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C:\Users\Zelhoss\Documents\"/>
    </mc:Choice>
  </mc:AlternateContent>
  <xr:revisionPtr revIDLastSave="0" documentId="13_ncr:1_{7C0FD1F8-595E-4CEC-8E62-BB711820B52C}" xr6:coauthVersionLast="45" xr6:coauthVersionMax="47" xr10:uidLastSave="{00000000-0000-0000-0000-000000000000}"/>
  <workbookProtection workbookAlgorithmName="SHA-512" workbookHashValue="p8o0Wzj0qqylTZtj8mRpIAc73787AGqJ5/u3y7MJa7lnQNHbXGlRPoRfPhfewuzhvgF3QPjLBLJJsoXDBGzffQ==" workbookSaltValue="C/SHD/2Sn41omjbd3laihA==" workbookSpinCount="100000" lockStructure="1"/>
  <bookViews>
    <workbookView xWindow="-30828" yWindow="-84" windowWidth="30936" windowHeight="16896" tabRatio="888" firstSheet="1" activeTab="2" xr2:uid="{00000000-000D-0000-FFFF-FFFF00000000}"/>
  </bookViews>
  <sheets>
    <sheet name="Version Control" sheetId="1" state="veryHidden" r:id="rId1"/>
    <sheet name="Workbook Guide" sheetId="14" r:id="rId2"/>
    <sheet name="Proforma" sheetId="3" r:id="rId3"/>
    <sheet name="LA Scheme Outputs" sheetId="40" r:id="rId4"/>
    <sheet name="Scheme Info" sheetId="2" state="veryHidden" r:id="rId5"/>
    <sheet name="Proforma Scrutiny" sheetId="6" state="veryHidden" r:id="rId6"/>
    <sheet name="VfM Scrutiny" sheetId="28" state="veryHidden" r:id="rId7"/>
    <sheet name="Carriageways" sheetId="8" state="veryHidden" r:id="rId8"/>
    <sheet name="HDM-4 Output" sheetId="7" state="veryHidden" r:id="rId9"/>
    <sheet name="Cycleways" sheetId="9" state="veryHidden" r:id="rId10"/>
    <sheet name="Diversion" sheetId="10" state="veryHidden" r:id="rId11"/>
    <sheet name="Bridges" sheetId="11" state="veryHidden" r:id="rId12"/>
    <sheet name="Drainage" sheetId="12" state="veryHidden" r:id="rId13"/>
    <sheet name="PVB calculations" sheetId="13" state="veryHidden" r:id="rId14"/>
    <sheet name="PVC Calculations" sheetId="5" state="veryHidden" r:id="rId15"/>
    <sheet name="Look Up Values" sheetId="29" state="veryHidden" r:id="rId16"/>
    <sheet name="Annual Parameters" sheetId="30" state="veryHidden" r:id="rId17"/>
    <sheet name="National Traffic Model" sheetId="31" state="veryHidden" r:id="rId18"/>
    <sheet name="Table A1.1.1" sheetId="15" state="veryHidden" r:id="rId19"/>
    <sheet name="Table A.1.3.4" sheetId="16" state="veryHidden" r:id="rId20"/>
    <sheet name="Table A1.3.6" sheetId="17" state="veryHidden" r:id="rId21"/>
    <sheet name="Table A1.3.7" sheetId="18" state="veryHidden" r:id="rId22"/>
    <sheet name="Table A1.3.9" sheetId="26" state="veryHidden" r:id="rId23"/>
    <sheet name="Table A1.3.11" sheetId="25" state="veryHidden" r:id="rId24"/>
    <sheet name="Table A1.3.12" sheetId="19" state="veryHidden" r:id="rId25"/>
    <sheet name="Table A1.3.13" sheetId="20" state="veryHidden" r:id="rId26"/>
    <sheet name="Table A.3.14" sheetId="24" state="veryHidden" r:id="rId27"/>
    <sheet name="Table 1.3.15" sheetId="21" state="veryHidden" r:id="rId28"/>
    <sheet name="Table A3.3" sheetId="22" state="veryHidden" r:id="rId29"/>
    <sheet name="Table A.3.4" sheetId="23" state="veryHidden" r:id="rId30"/>
    <sheet name="Table 4.1.6" sheetId="38" state="veryHidden" r:id="rId31"/>
    <sheet name="Table A5.4.2" sheetId="32" state="veryHidden" r:id="rId32"/>
    <sheet name="Latest MECs - all vehicle types" sheetId="36" state="veryHidden" r:id="rId33"/>
    <sheet name="HGV classes" sheetId="35" state="very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[1]TABLE1a!$U$1:$U$7</definedName>
    <definedName name="\a" localSheetId="33">!#REF!</definedName>
    <definedName name="\a" localSheetId="3">!#REF!</definedName>
    <definedName name="\a" localSheetId="32">!#REF!</definedName>
    <definedName name="\a">!#REF!</definedName>
    <definedName name="\b" localSheetId="33">!#REF!</definedName>
    <definedName name="\b" localSheetId="3">!#REF!</definedName>
    <definedName name="\b" localSheetId="32">!#REF!</definedName>
    <definedName name="\b">!#REF!</definedName>
    <definedName name="\c" localSheetId="33">!#REF!</definedName>
    <definedName name="\c" localSheetId="3">!#REF!</definedName>
    <definedName name="\c" localSheetId="32">!#REF!</definedName>
    <definedName name="\c">!#REF!</definedName>
    <definedName name="\d" localSheetId="33">!#REF!</definedName>
    <definedName name="\d" localSheetId="3">!#REF!</definedName>
    <definedName name="\d" localSheetId="32">!#REF!</definedName>
    <definedName name="\d">!#REF!</definedName>
    <definedName name="\DUTCH" localSheetId="33">!#REF!</definedName>
    <definedName name="\DUTCH" localSheetId="3">!#REF!</definedName>
    <definedName name="\DUTCH" localSheetId="32">!#REF!</definedName>
    <definedName name="\DUTCH">!#REF!</definedName>
    <definedName name="\e" localSheetId="33">!#REF!</definedName>
    <definedName name="\e" localSheetId="3">!#REF!</definedName>
    <definedName name="\e" localSheetId="32">!#REF!</definedName>
    <definedName name="\e">!#REF!</definedName>
    <definedName name="\f" localSheetId="33">!#REF!</definedName>
    <definedName name="\f" localSheetId="3">!#REF!</definedName>
    <definedName name="\f" localSheetId="32">!#REF!</definedName>
    <definedName name="\f">!#REF!</definedName>
    <definedName name="\g" localSheetId="33">!#REF!</definedName>
    <definedName name="\g" localSheetId="3">!#REF!</definedName>
    <definedName name="\g" localSheetId="32">!#REF!</definedName>
    <definedName name="\g">!#REF!</definedName>
    <definedName name="\i" localSheetId="33">!#REF!</definedName>
    <definedName name="\i" localSheetId="3">!#REF!</definedName>
    <definedName name="\i" localSheetId="32">!#REF!</definedName>
    <definedName name="\i">!#REF!</definedName>
    <definedName name="\j" localSheetId="33">!#REF!</definedName>
    <definedName name="\j" localSheetId="3">!#REF!</definedName>
    <definedName name="\j" localSheetId="32">!#REF!</definedName>
    <definedName name="\j">!#REF!</definedName>
    <definedName name="\k" localSheetId="33">!#REF!</definedName>
    <definedName name="\k" localSheetId="3">!#REF!</definedName>
    <definedName name="\k" localSheetId="32">!#REF!</definedName>
    <definedName name="\k">!#REF!</definedName>
    <definedName name="\l" localSheetId="33">!#REF!</definedName>
    <definedName name="\l" localSheetId="3">!#REF!</definedName>
    <definedName name="\l" localSheetId="32">!#REF!</definedName>
    <definedName name="\l">!#REF!</definedName>
    <definedName name="\n" localSheetId="33">!#REF!</definedName>
    <definedName name="\n" localSheetId="3">!#REF!</definedName>
    <definedName name="\n" localSheetId="32">!#REF!</definedName>
    <definedName name="\n">!#REF!</definedName>
    <definedName name="\o" localSheetId="33">!#REF!</definedName>
    <definedName name="\o" localSheetId="3">!#REF!</definedName>
    <definedName name="\o" localSheetId="32">!#REF!</definedName>
    <definedName name="\o">!#REF!</definedName>
    <definedName name="\ONE" localSheetId="33">!#REF!</definedName>
    <definedName name="\ONE" localSheetId="3">!#REF!</definedName>
    <definedName name="\ONE" localSheetId="32">!#REF!</definedName>
    <definedName name="\ONE">!#REF!</definedName>
    <definedName name="\p">[1]TABLE1a!$P$1</definedName>
    <definedName name="\r" localSheetId="33">!#REF!</definedName>
    <definedName name="\r" localSheetId="3">!#REF!</definedName>
    <definedName name="\r" localSheetId="32">!#REF!</definedName>
    <definedName name="\r">!#REF!</definedName>
    <definedName name="\s" localSheetId="33">!#REF!</definedName>
    <definedName name="\s" localSheetId="3">!#REF!</definedName>
    <definedName name="\s" localSheetId="32">!#REF!</definedName>
    <definedName name="\s">!#REF!</definedName>
    <definedName name="\SWISS" localSheetId="33">!#REF!</definedName>
    <definedName name="\SWISS" localSheetId="3">!#REF!</definedName>
    <definedName name="\SWISS" localSheetId="32">!#REF!</definedName>
    <definedName name="\SWISS">!#REF!</definedName>
    <definedName name="\t">[1]TABLE1a!$U$3</definedName>
    <definedName name="\TWO" localSheetId="33">!#REF!</definedName>
    <definedName name="\TWO" localSheetId="3">!#REF!</definedName>
    <definedName name="\TWO" localSheetId="32">!#REF!</definedName>
    <definedName name="\TWO">!#REF!</definedName>
    <definedName name="\u" localSheetId="33">!#REF!</definedName>
    <definedName name="\u" localSheetId="3">!#REF!</definedName>
    <definedName name="\u" localSheetId="32">!#REF!</definedName>
    <definedName name="\u">!#REF!</definedName>
    <definedName name="\v" localSheetId="33">!#REF!</definedName>
    <definedName name="\v" localSheetId="3">!#REF!</definedName>
    <definedName name="\v" localSheetId="32">!#REF!</definedName>
    <definedName name="\v">!#REF!</definedName>
    <definedName name="\w" localSheetId="33">!#REF!</definedName>
    <definedName name="\w" localSheetId="3">!#REF!</definedName>
    <definedName name="\w" localSheetId="32">!#REF!</definedName>
    <definedName name="\w">!#REF!</definedName>
    <definedName name="\x" localSheetId="33">'[2]TABLE1_19_-_2006'!#REF!</definedName>
    <definedName name="\x" localSheetId="3">'[2]TABLE1_19_-_2006'!#REF!</definedName>
    <definedName name="\x" localSheetId="32">'[2]TABLE1_19_-_2006'!#REF!</definedName>
    <definedName name="\x">'[2]TABLE1_19_-_2006'!#REF!</definedName>
    <definedName name="\ZERO" localSheetId="33">!#REF!</definedName>
    <definedName name="\ZERO" localSheetId="3">!#REF!</definedName>
    <definedName name="\ZERO" localSheetId="32">!#REF!</definedName>
    <definedName name="\ZERO">!#REF!</definedName>
    <definedName name="_" localSheetId="33">!#REF!</definedName>
    <definedName name="_" localSheetId="3">!#REF!</definedName>
    <definedName name="_" localSheetId="32">!#REF!</definedName>
    <definedName name="_">!#REF!</definedName>
    <definedName name="__tab13" localSheetId="33">!#REF!</definedName>
    <definedName name="__tab13" localSheetId="3">!#REF!</definedName>
    <definedName name="__tab13" localSheetId="32">!#REF!</definedName>
    <definedName name="__tab13">!#REF!</definedName>
    <definedName name="__tab14" localSheetId="33">!#REF!</definedName>
    <definedName name="__tab14" localSheetId="3">!#REF!</definedName>
    <definedName name="__tab14" localSheetId="32">!#REF!</definedName>
    <definedName name="__tab14">!#REF!</definedName>
    <definedName name="_1.2__Average_distance_travelled_by_mode_of_travel__1975_76__1985_86_and_1993_95" localSheetId="33">!#REF!</definedName>
    <definedName name="_1.2__Average_distance_travelled_by_mode_of_travel__1975_76__1985_86_and_1993_95" localSheetId="3">!#REF!</definedName>
    <definedName name="_1.2__Average_distance_travelled_by_mode_of_travel__1975_76__1985_86_and_1993_95" localSheetId="32">!#REF!</definedName>
    <definedName name="_1.2__Average_distance_travelled_by_mode_of_travel__1975_76__1985_86_and_1993_95">!#REF!</definedName>
    <definedName name="_1981" localSheetId="33">!#REF!</definedName>
    <definedName name="_1981" localSheetId="3">!#REF!</definedName>
    <definedName name="_1981" localSheetId="32">!#REF!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 localSheetId="33">!#REF!</definedName>
    <definedName name="_D__RETURN_" localSheetId="3">!#REF!</definedName>
    <definedName name="_D__RETURN_" localSheetId="32">!#REF!</definedName>
    <definedName name="_D__RETURN_">!#REF!</definedName>
    <definedName name="_EDIT__HOME__DE" localSheetId="33">!#REF!</definedName>
    <definedName name="_EDIT__HOME__DE" localSheetId="3">!#REF!</definedName>
    <definedName name="_EDIT__HOME__DE" localSheetId="32">!#REF!</definedName>
    <definedName name="_EDIT__HOME__DE">!#REF!</definedName>
    <definedName name="_GETLABEL__ENTE" localSheetId="33">!#REF!</definedName>
    <definedName name="_GETLABEL__ENTE" localSheetId="3">!#REF!</definedName>
    <definedName name="_GETLABEL__ENTE" localSheetId="32">!#REF!</definedName>
    <definedName name="_GETLABEL__ENTE">!#REF!</definedName>
    <definedName name="_GOTO_FRED_" localSheetId="33">!#REF!</definedName>
    <definedName name="_GOTO_FRED_" localSheetId="3">!#REF!</definedName>
    <definedName name="_GOTO_FRED_" localSheetId="32">!#REF!</definedName>
    <definedName name="_GOTO_FRED_">!#REF!</definedName>
    <definedName name="_IF__CELLPOINTE" localSheetId="33">!#REF!</definedName>
    <definedName name="_IF__CELLPOINTE" localSheetId="3">!#REF!</definedName>
    <definedName name="_IF__CELLPOINTE" localSheetId="32">!#REF!</definedName>
    <definedName name="_IF__CELLPOINTE">!#REF!</definedName>
    <definedName name="_IF__LENGTH____" localSheetId="33">!#REF!</definedName>
    <definedName name="_IF__LENGTH____" localSheetId="3">!#REF!</definedName>
    <definedName name="_IF__LENGTH____" localSheetId="32">!#REF!</definedName>
    <definedName name="_IF__LENGTH____">!#REF!</definedName>
    <definedName name="_LET_CELLREF__C" localSheetId="33">!#REF!</definedName>
    <definedName name="_LET_CELLREF__C" localSheetId="3">!#REF!</definedName>
    <definedName name="_LET_CELLREF__C" localSheetId="32">!#REF!</definedName>
    <definedName name="_LET_CELLREF__C">!#REF!</definedName>
    <definedName name="_LET_NUMBROWS__" localSheetId="33">!#REF!</definedName>
    <definedName name="_LET_NUMBROWS__" localSheetId="3">!#REF!</definedName>
    <definedName name="_LET_NUMBROWS__" localSheetId="32">!#REF!</definedName>
    <definedName name="_LET_NUMBROWS__">!#REF!</definedName>
    <definedName name="_LET_TRIMMED__T" localSheetId="33">!#REF!</definedName>
    <definedName name="_LET_TRIMMED__T" localSheetId="3">!#REF!</definedName>
    <definedName name="_LET_TRIMMED__T" localSheetId="32">!#REF!</definedName>
    <definedName name="_LET_TRIMMED__T">!#REF!</definedName>
    <definedName name="_RNCFRED__CALC_" localSheetId="33">!#REF!</definedName>
    <definedName name="_RNCFRED__CALC_" localSheetId="3">!#REF!</definedName>
    <definedName name="_RNCFRED__CALC_" localSheetId="32">!#REF!</definedName>
    <definedName name="_RNCFRED__CALC_">!#REF!</definedName>
    <definedName name="_RVTRIMMED__" localSheetId="33">!#REF!</definedName>
    <definedName name="_RVTRIMMED__" localSheetId="3">!#REF!</definedName>
    <definedName name="_RVTRIMMED__" localSheetId="32">!#REF!</definedName>
    <definedName name="_RVTRIMMED__">!#REF!</definedName>
    <definedName name="_tab13" localSheetId="33">!#REF!</definedName>
    <definedName name="_tab13" localSheetId="3">!#REF!</definedName>
    <definedName name="_tab13" localSheetId="32">!#REF!</definedName>
    <definedName name="_tab13">!#REF!</definedName>
    <definedName name="_tab14" localSheetId="33">!#REF!</definedName>
    <definedName name="_tab14" localSheetId="3">!#REF!</definedName>
    <definedName name="_tab14" localSheetId="32">!#REF!</definedName>
    <definedName name="_tab14">!#REF!</definedName>
    <definedName name="_XA123" localSheetId="33">!#REF!</definedName>
    <definedName name="_XA123" localSheetId="3">!#REF!</definedName>
    <definedName name="_XA123" localSheetId="32">!#REF!</definedName>
    <definedName name="_XA123">!#REF!</definedName>
    <definedName name="a">[3]RAWDATA!$L$2</definedName>
    <definedName name="activeCell" localSheetId="33">!#REF!</definedName>
    <definedName name="activeCell" localSheetId="3">!#REF!</definedName>
    <definedName name="activeCell" localSheetId="32">!#REF!</definedName>
    <definedName name="activeCell">!#REF!</definedName>
    <definedName name="Agricvehicles" localSheetId="33">!#REF!</definedName>
    <definedName name="Agricvehicles" localSheetId="3">!#REF!</definedName>
    <definedName name="Agricvehicles" localSheetId="32">!#REF!</definedName>
    <definedName name="Agricvehicles">!#REF!</definedName>
    <definedName name="Agrimachines" localSheetId="33">!#REF!</definedName>
    <definedName name="Agrimachines" localSheetId="3">!#REF!</definedName>
    <definedName name="Agrimachines" localSheetId="32">!#REF!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 localSheetId="33">!#REF!</definedName>
    <definedName name="ANNUAL" localSheetId="3">!#REF!</definedName>
    <definedName name="ANNUAL" localSheetId="32">!#REF!</definedName>
    <definedName name="ANNUAL">!#REF!</definedName>
    <definedName name="ANNUK">[1]TABLE1a!$E$8:$E$14</definedName>
    <definedName name="ANNUT">[1]TABLE1a!$M$8:$M$14</definedName>
    <definedName name="AppraisalP_bid">'[4]PVC_Costs submitted'!$D$11</definedName>
    <definedName name="ART33F" localSheetId="33">!#REF!</definedName>
    <definedName name="ART33F" localSheetId="3">!#REF!</definedName>
    <definedName name="ART33F" localSheetId="32">!#REF!</definedName>
    <definedName name="ART33F">!#REF!</definedName>
    <definedName name="ART33G" localSheetId="33">!#REF!</definedName>
    <definedName name="ART33G" localSheetId="3">!#REF!</definedName>
    <definedName name="ART33G" localSheetId="32">!#REF!</definedName>
    <definedName name="ART33G">!#REF!</definedName>
    <definedName name="ARTICF" localSheetId="33">!#REF!</definedName>
    <definedName name="ARTICF" localSheetId="3">!#REF!</definedName>
    <definedName name="ARTICF" localSheetId="32">!#REF!</definedName>
    <definedName name="ARTICF">!#REF!</definedName>
    <definedName name="ARTICG" localSheetId="33">!#REF!</definedName>
    <definedName name="ARTICG" localSheetId="3">!#REF!</definedName>
    <definedName name="ARTICG" localSheetId="32">!#REF!</definedName>
    <definedName name="ARTICG">!#REF!</definedName>
    <definedName name="AverageSpeed">Proforma!$D$31</definedName>
    <definedName name="AVON" localSheetId="33">!#REF!</definedName>
    <definedName name="AVON" localSheetId="3">!#REF!</definedName>
    <definedName name="AVON" localSheetId="32">!#REF!</definedName>
    <definedName name="AVON">!#REF!</definedName>
    <definedName name="ayear">[3]RAWDATA!$J$2</definedName>
    <definedName name="B2.B11_" localSheetId="33">!#REF!</definedName>
    <definedName name="B2.B11_" localSheetId="3">!#REF!</definedName>
    <definedName name="B2.B11_" localSheetId="32">!#REF!</definedName>
    <definedName name="B2.B11_">!#REF!</definedName>
    <definedName name="BARQTR" localSheetId="33">!#REF!</definedName>
    <definedName name="BARQTR" localSheetId="3">!#REF!</definedName>
    <definedName name="BARQTR" localSheetId="32">!#REF!</definedName>
    <definedName name="BARQTR">!#REF!</definedName>
    <definedName name="BEDS" localSheetId="33">!#REF!</definedName>
    <definedName name="BEDS" localSheetId="3">!#REF!</definedName>
    <definedName name="BEDS" localSheetId="32">!#REF!</definedName>
    <definedName name="BEDS">!#REF!</definedName>
    <definedName name="BELGIUM" localSheetId="33">!#REF!</definedName>
    <definedName name="BELGIUM" localSheetId="3">!#REF!</definedName>
    <definedName name="BELGIUM" localSheetId="32">!#REF!</definedName>
    <definedName name="BELGIUM">!#REF!</definedName>
    <definedName name="BERKS" localSheetId="33">!#REF!</definedName>
    <definedName name="BERKS" localSheetId="3">!#REF!</definedName>
    <definedName name="BERKS" localSheetId="32">!#REF!</definedName>
    <definedName name="BERKS">!#REF!</definedName>
    <definedName name="BUCKS" localSheetId="33">!#REF!</definedName>
    <definedName name="BUCKS" localSheetId="3">!#REF!</definedName>
    <definedName name="BUCKS" localSheetId="32">!#REF!</definedName>
    <definedName name="BUCKS">!#REF!</definedName>
    <definedName name="BULL">#N/A</definedName>
    <definedName name="byear">[3]RAWDATA!$L$2</definedName>
    <definedName name="CAMARA">[1]TABLE1a!$P$4</definedName>
    <definedName name="CAMBS" localSheetId="33">!#REF!</definedName>
    <definedName name="CAMBS" localSheetId="3">!#REF!</definedName>
    <definedName name="CAMBS" localSheetId="32">!#REF!</definedName>
    <definedName name="CAMBS">!#REF!</definedName>
    <definedName name="Carbon" localSheetId="33">'[5]Table A3.3'!$B$26:$E$106</definedName>
    <definedName name="Carbon" localSheetId="32">'[5]Table A3.3'!$B$26:$E$106</definedName>
    <definedName name="Carbon">'Table A3.3'!$B$26:$E$106</definedName>
    <definedName name="Carbon_price" localSheetId="33">'[5]Table A.3.4'!$B$24:$F$115</definedName>
    <definedName name="Carbon_price" localSheetId="32">'[5]Table A.3.4'!$B$24:$F$115</definedName>
    <definedName name="Carbon_price">'Table A.3.4'!$B$24:$F$115</definedName>
    <definedName name="CarSpeed">Carriageways!$E$5</definedName>
    <definedName name="CategoryTitle" localSheetId="33">!#REF!</definedName>
    <definedName name="CategoryTitle" localSheetId="3">!#REF!</definedName>
    <definedName name="CategoryTitle" localSheetId="32">!#REF!</definedName>
    <definedName name="CategoryTitle">!#REF!</definedName>
    <definedName name="chart" localSheetId="33">'[6]1997'!$A$7,'[6]1997'!$L$7,'[6]1997'!$M$7,'[6]1997'!#REF!,'[6]1997'!$A$10,'[6]1997'!$A$11,'[6]1997'!$L$10,'[6]1997'!$L$11,'[6]1997'!$M$10,'[6]1997'!$M$11,'[6]1997'!#REF!,'[6]1997'!#REF!,'[6]1997'!$Q$20,'[6]1997'!$L$19,'[6]1997'!$M$19,'[6]1997'!#REF!</definedName>
    <definedName name="chart" localSheetId="3">'[6]1997'!$A$7,'[6]1997'!$L$7,'[6]1997'!$M$7,'[6]1997'!#REF!,'[6]1997'!$A$10,'[6]1997'!$A$11,'[6]1997'!$L$10,'[6]1997'!$L$11,'[6]1997'!$M$10,'[6]1997'!$M$11,'[6]1997'!#REF!,'[6]1997'!#REF!,'[6]1997'!$Q$20,'[6]1997'!$L$19,'[6]1997'!$M$19,'[6]1997'!#REF!</definedName>
    <definedName name="chart" localSheetId="32">'[6]1997'!$A$7,'[6]1997'!$L$7,'[6]1997'!$M$7,'[6]1997'!#REF!,'[6]1997'!$A$10,'[6]1997'!$A$11,'[6]1997'!$L$10,'[6]1997'!$L$11,'[6]1997'!$M$10,'[6]1997'!$M$11,'[6]1997'!#REF!,'[6]1997'!#REF!,'[6]1997'!$Q$20,'[6]1997'!$L$19,'[6]1997'!$M$19,'[6]1997'!#REF!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 localSheetId="33">!#REF!</definedName>
    <definedName name="CHECK15" localSheetId="3">!#REF!</definedName>
    <definedName name="CHECK15" localSheetId="32">!#REF!</definedName>
    <definedName name="CHECK15">!#REF!</definedName>
    <definedName name="CHECK16" localSheetId="33">!#REF!</definedName>
    <definedName name="CHECK16" localSheetId="3">!#REF!</definedName>
    <definedName name="CHECK16" localSheetId="32">!#REF!</definedName>
    <definedName name="CHECK16">!#REF!</definedName>
    <definedName name="CHECK17" localSheetId="33">!#REF!</definedName>
    <definedName name="CHECK17" localSheetId="3">!#REF!</definedName>
    <definedName name="CHECK17" localSheetId="32">!#REF!</definedName>
    <definedName name="CHECK17">!#REF!</definedName>
    <definedName name="CHECK19">[7]T23!$L$5:$L$19</definedName>
    <definedName name="CHECK2">#N/A</definedName>
    <definedName name="CHECK20">[7]T23!$O$34:$IV$16384</definedName>
    <definedName name="CHESHIRE" localSheetId="33">!#REF!</definedName>
    <definedName name="CHESHIRE" localSheetId="3">!#REF!</definedName>
    <definedName name="CHESHIRE" localSheetId="32">!#REF!</definedName>
    <definedName name="CHESHIRE">!#REF!</definedName>
    <definedName name="CLEVELAND" localSheetId="33">!#REF!</definedName>
    <definedName name="CLEVELAND" localSheetId="3">!#REF!</definedName>
    <definedName name="CLEVELAND" localSheetId="32">!#REF!</definedName>
    <definedName name="CLEVELAND">!#REF!</definedName>
    <definedName name="CLONE">[1]TABLE1a!$P$6</definedName>
    <definedName name="CLWYD" localSheetId="33">!#REF!</definedName>
    <definedName name="CLWYD" localSheetId="3">!#REF!</definedName>
    <definedName name="CLWYD" localSheetId="32">!#REF!</definedName>
    <definedName name="CLWYD">!#REF!</definedName>
    <definedName name="column1">[8]Sheet5!$Q$4:$Q$26</definedName>
    <definedName name="COO" localSheetId="33">!#REF!</definedName>
    <definedName name="COO" localSheetId="3">!#REF!</definedName>
    <definedName name="COO" localSheetId="32">!#REF!</definedName>
    <definedName name="COO">!#REF!</definedName>
    <definedName name="CORNWALL" localSheetId="33">!#REF!</definedName>
    <definedName name="CORNWALL" localSheetId="3">!#REF!</definedName>
    <definedName name="CORNWALL" localSheetId="32">!#REF!</definedName>
    <definedName name="CORNWALL">!#REF!</definedName>
    <definedName name="Crownvehicles" localSheetId="33">!#REF!</definedName>
    <definedName name="Crownvehicles" localSheetId="3">!#REF!</definedName>
    <definedName name="Crownvehicles" localSheetId="32">!#REF!</definedName>
    <definedName name="Crownvehicles">!#REF!</definedName>
    <definedName name="CUMBRIA" localSheetId="33">!#REF!</definedName>
    <definedName name="CUMBRIA" localSheetId="3">!#REF!</definedName>
    <definedName name="CUMBRIA" localSheetId="32">!#REF!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 localSheetId="33">!#REF!</definedName>
    <definedName name="DATA4" localSheetId="3">!#REF!</definedName>
    <definedName name="DATA4" localSheetId="32">!#REF!</definedName>
    <definedName name="DATA4">!#REF!</definedName>
    <definedName name="DATE">#N/A</definedName>
    <definedName name="DEFLATOR" localSheetId="33">!#REF!</definedName>
    <definedName name="DEFLATOR" localSheetId="3">!#REF!</definedName>
    <definedName name="DEFLATOR" localSheetId="32">!#REF!</definedName>
    <definedName name="DEFLATOR">!#REF!</definedName>
    <definedName name="DERBYSHIRE" localSheetId="33">!#REF!</definedName>
    <definedName name="DERBYSHIRE" localSheetId="3">!#REF!</definedName>
    <definedName name="DERBYSHIRE" localSheetId="32">!#REF!</definedName>
    <definedName name="DERBYSHIRE">!#REF!</definedName>
    <definedName name="DEVON" localSheetId="33">!#REF!</definedName>
    <definedName name="DEVON" localSheetId="3">!#REF!</definedName>
    <definedName name="DEVON" localSheetId="32">!#REF!</definedName>
    <definedName name="DEVON">!#REF!</definedName>
    <definedName name="dgdsfyh" localSheetId="33">!#REF!</definedName>
    <definedName name="dgdsfyh" localSheetId="3">!#REF!</definedName>
    <definedName name="dgdsfyh" localSheetId="32">!#REF!</definedName>
    <definedName name="dgdsfyh">!#REF!</definedName>
    <definedName name="Dialog" localSheetId="3">[6]!Dialog</definedName>
    <definedName name="Dialog">[6]!Dialog</definedName>
    <definedName name="dialog2" localSheetId="3">[6]!dialog2</definedName>
    <definedName name="dialog2">[6]!dialog2</definedName>
    <definedName name="Digging" localSheetId="33">!#REF!</definedName>
    <definedName name="Digging" localSheetId="3">!#REF!</definedName>
    <definedName name="Digging" localSheetId="32">!#REF!</definedName>
    <definedName name="Digging">!#REF!</definedName>
    <definedName name="Disabled" localSheetId="33">!#REF!</definedName>
    <definedName name="Disabled" localSheetId="3">!#REF!</definedName>
    <definedName name="Disabled" localSheetId="32">!#REF!</definedName>
    <definedName name="Disabled">!#REF!</definedName>
    <definedName name="Discount">'Table A1.1.1'!$B$25:$D$30</definedName>
    <definedName name="DK" localSheetId="33">!#REF!</definedName>
    <definedName name="DK" localSheetId="3">!#REF!</definedName>
    <definedName name="DK" localSheetId="32">!#REF!</definedName>
    <definedName name="DK">!#REF!</definedName>
    <definedName name="DNK_D" localSheetId="33">!#REF!</definedName>
    <definedName name="DNK_D" localSheetId="3">!#REF!</definedName>
    <definedName name="DNK_D" localSheetId="32">!#REF!</definedName>
    <definedName name="DNK_D">!#REF!</definedName>
    <definedName name="DORSET" localSheetId="33">!#REF!</definedName>
    <definedName name="DORSET" localSheetId="3">!#REF!</definedName>
    <definedName name="DORSET" localSheetId="32">!#REF!</definedName>
    <definedName name="DORSET">!#REF!</definedName>
    <definedName name="DOVER">#N/A</definedName>
    <definedName name="DURHAM" localSheetId="33">!#REF!</definedName>
    <definedName name="DURHAM" localSheetId="3">!#REF!</definedName>
    <definedName name="DURHAM" localSheetId="32">!#REF!</definedName>
    <definedName name="DURHAM">!#REF!</definedName>
    <definedName name="DYFED" localSheetId="33">!#REF!</definedName>
    <definedName name="DYFED" localSheetId="3">!#REF!</definedName>
    <definedName name="DYFED" localSheetId="32">!#REF!</definedName>
    <definedName name="DYFED">!#REF!</definedName>
    <definedName name="E_SUSSEX" localSheetId="33">!#REF!</definedName>
    <definedName name="E_SUSSEX" localSheetId="3">!#REF!</definedName>
    <definedName name="E_SUSSEX" localSheetId="32">!#REF!</definedName>
    <definedName name="E_SUSSEX">!#REF!</definedName>
    <definedName name="EIRE" localSheetId="33">!#REF!</definedName>
    <definedName name="EIRE" localSheetId="3">!#REF!</definedName>
    <definedName name="EIRE" localSheetId="32">!#REF!</definedName>
    <definedName name="EIRE">!#REF!</definedName>
    <definedName name="Electric" localSheetId="33">!#REF!</definedName>
    <definedName name="Electric" localSheetId="3">!#REF!</definedName>
    <definedName name="Electric" localSheetId="32">!#REF!</definedName>
    <definedName name="Electric">!#REF!</definedName>
    <definedName name="ENGLISH">#N/A</definedName>
    <definedName name="ESSEX" localSheetId="33">!#REF!</definedName>
    <definedName name="ESSEX" localSheetId="3">!#REF!</definedName>
    <definedName name="ESSEX" localSheetId="32">!#REF!</definedName>
    <definedName name="ESSEX">!#REF!</definedName>
    <definedName name="exemptall" localSheetId="33">!#REF!</definedName>
    <definedName name="exemptall" localSheetId="3">!#REF!</definedName>
    <definedName name="exemptall" localSheetId="32">!#REF!</definedName>
    <definedName name="exemptall">!#REF!</definedName>
    <definedName name="fayear" localSheetId="33">!#REF!</definedName>
    <definedName name="fayear" localSheetId="3">!#REF!</definedName>
    <definedName name="fayear" localSheetId="32">!#REF!</definedName>
    <definedName name="fayear">!#REF!</definedName>
    <definedName name="fbegyear" localSheetId="33">!#REF!</definedName>
    <definedName name="fbegyear" localSheetId="3">!#REF!</definedName>
    <definedName name="fbegyear" localSheetId="32">!#REF!</definedName>
    <definedName name="fbegyear">!#REF!</definedName>
    <definedName name="fdafda" localSheetId="33">!#REF!</definedName>
    <definedName name="fdafda" localSheetId="3">!#REF!</definedName>
    <definedName name="fdafda" localSheetId="32">!#REF!</definedName>
    <definedName name="fdafda">!#REF!</definedName>
    <definedName name="fendyear">[10]Year!$B$3</definedName>
    <definedName name="ffyear">[3]RAWDATA!$J$2</definedName>
    <definedName name="FL" localSheetId="33">!#REF!</definedName>
    <definedName name="FL" localSheetId="3">!#REF!</definedName>
    <definedName name="FL" localSheetId="32">!#REF!</definedName>
    <definedName name="FL">!#REF!</definedName>
    <definedName name="Footnotes" localSheetId="33">!#REF!</definedName>
    <definedName name="Footnotes" localSheetId="3">!#REF!</definedName>
    <definedName name="Footnotes" localSheetId="32">!#REF!</definedName>
    <definedName name="Footnotes">!#REF!</definedName>
    <definedName name="FOREIGN">[1]TABLE1a!$P$38:$P$52</definedName>
    <definedName name="FORM">#N/A</definedName>
    <definedName name="FRANCE" localSheetId="33">!#REF!</definedName>
    <definedName name="FRANCE" localSheetId="3">!#REF!</definedName>
    <definedName name="FRANCE" localSheetId="32">!#REF!</definedName>
    <definedName name="FRANCE">!#REF!</definedName>
    <definedName name="Fuel_proportion" localSheetId="33">'[5]Table A1.3.9'!$B$24:$I$72</definedName>
    <definedName name="Fuel_proportion" localSheetId="32">'[5]Table A1.3.9'!$B$24:$I$72</definedName>
    <definedName name="Fuel_proportion">'Table A1.3.9'!$B$24:$I$72</definedName>
    <definedName name="fyear">[10]c11!$D$42</definedName>
    <definedName name="fyear2" localSheetId="33">!#REF!</definedName>
    <definedName name="fyear2" localSheetId="3">!#REF!</definedName>
    <definedName name="fyear2" localSheetId="32">!#REF!</definedName>
    <definedName name="fyear2">!#REF!</definedName>
    <definedName name="GDP" localSheetId="33">!#REF!</definedName>
    <definedName name="GDP" localSheetId="3">!#REF!</definedName>
    <definedName name="GDP" localSheetId="32">!#REF!</definedName>
    <definedName name="GDP">!#REF!</definedName>
    <definedName name="GDP_deflator" localSheetId="33">'[5]Annual Parameters'!$B$28:$D$139</definedName>
    <definedName name="GDP_deflator" localSheetId="32">'[5]Annual Parameters'!$B$28:$D$139</definedName>
    <definedName name="GDP_deflator">'Annual Parameters'!$B$28:$D$139</definedName>
    <definedName name="GERMANY" localSheetId="33">!#REF!</definedName>
    <definedName name="GERMANY" localSheetId="3">!#REF!</definedName>
    <definedName name="GERMANY" localSheetId="32">!#REF!</definedName>
    <definedName name="GERMANY">!#REF!</definedName>
    <definedName name="GG_fuel" localSheetId="33">'[5]Table A1.3.11'!$B$27:$AM$106</definedName>
    <definedName name="GG_fuel" localSheetId="32">'[5]Table A1.3.11'!$B$27:$AM$106</definedName>
    <definedName name="GG_fuel">'Table A1.3.11'!$B$27:$AM$106</definedName>
    <definedName name="GLOS" localSheetId="33">!#REF!</definedName>
    <definedName name="GLOS" localSheetId="3">!#REF!</definedName>
    <definedName name="GLOS" localSheetId="32">!#REF!</definedName>
    <definedName name="GLOS">!#REF!</definedName>
    <definedName name="goods" localSheetId="33">!#REF!</definedName>
    <definedName name="goods" localSheetId="3">!#REF!</definedName>
    <definedName name="goods" localSheetId="32">!#REF!</definedName>
    <definedName name="goods">!#REF!</definedName>
    <definedName name="GraphData">'[11]TIS-INDEX'!$B$13:$Q$44,'[11]TIS-INDEX'!$E$9:$R$9</definedName>
    <definedName name="GraphTitle" localSheetId="33">!#REF!</definedName>
    <definedName name="GraphTitle" localSheetId="3">!#REF!</definedName>
    <definedName name="GraphTitle" localSheetId="32">!#REF!</definedName>
    <definedName name="GraphTitle">!#REF!</definedName>
    <definedName name="Gritting" localSheetId="33">!#REF!</definedName>
    <definedName name="Gritting" localSheetId="3">!#REF!</definedName>
    <definedName name="Gritting" localSheetId="32">!#REF!</definedName>
    <definedName name="Gritting">!#REF!</definedName>
    <definedName name="GTR_MAN" localSheetId="33">!#REF!</definedName>
    <definedName name="GTR_MAN" localSheetId="3">!#REF!</definedName>
    <definedName name="GTR_MAN" localSheetId="32">!#REF!</definedName>
    <definedName name="GTR_MAN">!#REF!</definedName>
    <definedName name="GWENT" localSheetId="33">!#REF!</definedName>
    <definedName name="GWENT" localSheetId="3">!#REF!</definedName>
    <definedName name="GWENT" localSheetId="32">!#REF!</definedName>
    <definedName name="GWENT">!#REF!</definedName>
    <definedName name="GWYNEDD" localSheetId="33">!#REF!</definedName>
    <definedName name="GWYNEDD" localSheetId="3">!#REF!</definedName>
    <definedName name="GWYNEDD" localSheetId="32">!#REF!</definedName>
    <definedName name="GWYNEDD">!#REF!</definedName>
    <definedName name="HANTS" localSheetId="33">!#REF!</definedName>
    <definedName name="HANTS" localSheetId="3">!#REF!</definedName>
    <definedName name="HANTS" localSheetId="32">!#REF!</definedName>
    <definedName name="HANTS">!#REF!</definedName>
    <definedName name="HEREFORD_W" localSheetId="33">!#REF!</definedName>
    <definedName name="HEREFORD_W" localSheetId="3">!#REF!</definedName>
    <definedName name="HEREFORD_W" localSheetId="32">!#REF!</definedName>
    <definedName name="HEREFORD_W">!#REF!</definedName>
    <definedName name="HERTS" localSheetId="33">!#REF!</definedName>
    <definedName name="HERTS" localSheetId="3">!#REF!</definedName>
    <definedName name="HERTS" localSheetId="32">!#REF!</definedName>
    <definedName name="HERTS">!#REF!</definedName>
    <definedName name="HGVSpeed">Carriageways!$E$7</definedName>
    <definedName name="HUMBERSIDE" localSheetId="33">!#REF!</definedName>
    <definedName name="HUMBERSIDE" localSheetId="3">!#REF!</definedName>
    <definedName name="HUMBERSIDE" localSheetId="32">!#REF!</definedName>
    <definedName name="HUMBERSIDE">!#REF!</definedName>
    <definedName name="I_OF_WIGHT" localSheetId="33">!#REF!</definedName>
    <definedName name="I_OF_WIGHT" localSheetId="3">!#REF!</definedName>
    <definedName name="I_OF_WIGHT" localSheetId="32">!#REF!</definedName>
    <definedName name="I_OF_WIGHT">!#REF!</definedName>
    <definedName name="impact_3rdPCapexDisb" localSheetId="33">'[5]VfM Scrutiny'!#REF!</definedName>
    <definedName name="impact_3rdPCapexDisb" localSheetId="3">'VfM Scrutiny'!#REF!</definedName>
    <definedName name="impact_3rdPCapexDisb" localSheetId="32">'[5]VfM Scrutiny'!#REF!</definedName>
    <definedName name="impact_3rdPCapexDisb">'VfM Scrutiny'!#REF!</definedName>
    <definedName name="impact_accidents" localSheetId="33">'[5]VfM Scrutiny'!#REF!</definedName>
    <definedName name="impact_accidents" localSheetId="3">'VfM Scrutiny'!#REF!</definedName>
    <definedName name="impact_accidents" localSheetId="32">'[5]VfM Scrutiny'!#REF!</definedName>
    <definedName name="impact_accidents">'VfM Scrutiny'!#REF!</definedName>
    <definedName name="impact_Bridgebenefit" localSheetId="33">'[5]VfM Scrutiny'!#REF!</definedName>
    <definedName name="impact_Bridgebenefit" localSheetId="3">'VfM Scrutiny'!#REF!</definedName>
    <definedName name="impact_Bridgebenefit" localSheetId="32">'[5]VfM Scrutiny'!#REF!</definedName>
    <definedName name="impact_Bridgebenefit">'VfM Scrutiny'!#REF!</definedName>
    <definedName name="impact_CRCIndirectTaxloss" localSheetId="33">'[5]VfM Scrutiny'!#REF!</definedName>
    <definedName name="impact_CRCIndirectTaxloss" localSheetId="3">'VfM Scrutiny'!#REF!</definedName>
    <definedName name="impact_CRCIndirectTaxloss" localSheetId="32">'[5]VfM Scrutiny'!#REF!</definedName>
    <definedName name="impact_CRCIndirectTaxloss">'VfM Scrutiny'!#REF!</definedName>
    <definedName name="impact_floodprevent" localSheetId="33">'[5]VfM Scrutiny'!#REF!</definedName>
    <definedName name="impact_floodprevent" localSheetId="3">'VfM Scrutiny'!#REF!</definedName>
    <definedName name="impact_floodprevent" localSheetId="32">'[5]VfM Scrutiny'!#REF!</definedName>
    <definedName name="impact_floodprevent">'VfM Scrutiny'!#REF!</definedName>
    <definedName name="impact_Health" localSheetId="33">'[5]VfM Scrutiny'!#REF!</definedName>
    <definedName name="impact_Health" localSheetId="3">'VfM Scrutiny'!#REF!</definedName>
    <definedName name="impact_Health" localSheetId="32">'[5]VfM Scrutiny'!#REF!</definedName>
    <definedName name="impact_Health">'VfM Scrutiny'!#REF!</definedName>
    <definedName name="impact_journeyT" localSheetId="33">'[5]VfM Scrutiny'!#REF!</definedName>
    <definedName name="impact_journeyT" localSheetId="3">'VfM Scrutiny'!#REF!</definedName>
    <definedName name="impact_journeyT" localSheetId="32">'[5]VfM Scrutiny'!#REF!</definedName>
    <definedName name="impact_journeyT">'VfM Scrutiny'!#REF!</definedName>
    <definedName name="impact_Noise" localSheetId="33">'[5]VfM Scrutiny'!#REF!</definedName>
    <definedName name="impact_Noise" localSheetId="3">'VfM Scrutiny'!#REF!</definedName>
    <definedName name="impact_Noise" localSheetId="32">'[5]VfM Scrutiny'!#REF!</definedName>
    <definedName name="impact_Noise">'VfM Scrutiny'!#REF!</definedName>
    <definedName name="impact_VOC" localSheetId="33">'[5]VfM Scrutiny'!#REF!</definedName>
    <definedName name="impact_VOC" localSheetId="3">'VfM Scrutiny'!#REF!</definedName>
    <definedName name="impact_VOC" localSheetId="32">'[5]VfM Scrutiny'!#REF!</definedName>
    <definedName name="impact_VOC">'VfM Scrutiny'!#REF!</definedName>
    <definedName name="ITALY" localSheetId="33">!#REF!</definedName>
    <definedName name="ITALY" localSheetId="3">!#REF!</definedName>
    <definedName name="ITALY" localSheetId="32">!#REF!</definedName>
    <definedName name="ITALY">!#REF!</definedName>
    <definedName name="J" localSheetId="33">!#REF!</definedName>
    <definedName name="J" localSheetId="3">!#REF!</definedName>
    <definedName name="J" localSheetId="32">!#REF!</definedName>
    <definedName name="J">!#REF!</definedName>
    <definedName name="JA_walk">'[9]WebTAG journey Quality'!$I$2:$I$4</definedName>
    <definedName name="KENT" localSheetId="33">!#REF!</definedName>
    <definedName name="KENT" localSheetId="3">!#REF!</definedName>
    <definedName name="KENT" localSheetId="32">!#REF!</definedName>
    <definedName name="KENT">!#REF!</definedName>
    <definedName name="KM_Length_Scheme">'[4]Pro-Forma Scrutiny'!$D$9</definedName>
    <definedName name="LANCS" localSheetId="33">!#REF!</definedName>
    <definedName name="LANCS" localSheetId="3">!#REF!</definedName>
    <definedName name="LANCS" localSheetId="32">!#REF!</definedName>
    <definedName name="LANCS">!#REF!</definedName>
    <definedName name="LEICS" localSheetId="33">!#REF!</definedName>
    <definedName name="LEICS" localSheetId="3">!#REF!</definedName>
    <definedName name="LEICS" localSheetId="32">!#REF!</definedName>
    <definedName name="LEICS">!#REF!</definedName>
    <definedName name="LGVSpeed">Carriageways!$E$6</definedName>
    <definedName name="LINCS" localSheetId="33">!#REF!</definedName>
    <definedName name="LINCS" localSheetId="3">!#REF!</definedName>
    <definedName name="LINCS" localSheetId="32">!#REF!</definedName>
    <definedName name="LINCS">!#REF!</definedName>
    <definedName name="LONDON" localSheetId="33">!#REF!</definedName>
    <definedName name="LONDON" localSheetId="3">!#REF!</definedName>
    <definedName name="LONDON" localSheetId="32">!#REF!</definedName>
    <definedName name="LONDON">!#REF!</definedName>
    <definedName name="Luton" localSheetId="33">!#REF!</definedName>
    <definedName name="Luton" localSheetId="3">!#REF!</definedName>
    <definedName name="Luton" localSheetId="32">!#REF!</definedName>
    <definedName name="Luton">!#REF!</definedName>
    <definedName name="M_GLAM" localSheetId="33">!#REF!</definedName>
    <definedName name="M_GLAM" localSheetId="3">!#REF!</definedName>
    <definedName name="M_GLAM" localSheetId="32">!#REF!</definedName>
    <definedName name="M_GLAM">!#REF!</definedName>
    <definedName name="MACRO">#N/A</definedName>
    <definedName name="MACRO_STOPLABS" localSheetId="33">!#REF!</definedName>
    <definedName name="MACRO_STOPLABS" localSheetId="3">!#REF!</definedName>
    <definedName name="MACRO_STOPLABS" localSheetId="32">!#REF!</definedName>
    <definedName name="MACRO_STOPLABS">!#REF!</definedName>
    <definedName name="MACRO_SUBROUTIN" localSheetId="33">!#REF!</definedName>
    <definedName name="MACRO_SUBROUTIN" localSheetId="3">!#REF!</definedName>
    <definedName name="MACRO_SUBROUTIN" localSheetId="32">!#REF!</definedName>
    <definedName name="MACRO_SUBROUTIN">!#REF!</definedName>
    <definedName name="MANO" localSheetId="33">!#REF!</definedName>
    <definedName name="MANO" localSheetId="3">!#REF!</definedName>
    <definedName name="MANO" localSheetId="32">!#REF!</definedName>
    <definedName name="MANO">!#REF!</definedName>
    <definedName name="MERSEYSIDE" localSheetId="33">!#REF!</definedName>
    <definedName name="MERSEYSIDE" localSheetId="3">!#REF!</definedName>
    <definedName name="MERSEYSIDE" localSheetId="32">!#REF!</definedName>
    <definedName name="MERSEYSIDE">!#REF!</definedName>
    <definedName name="MONTH">#N/A</definedName>
    <definedName name="Mowing" localSheetId="33">!#REF!</definedName>
    <definedName name="Mowing" localSheetId="3">!#REF!</definedName>
    <definedName name="Mowing" localSheetId="32">!#REF!</definedName>
    <definedName name="Mowing">!#REF!</definedName>
    <definedName name="MP" localSheetId="33">!#REF!</definedName>
    <definedName name="MP" localSheetId="3">!#REF!</definedName>
    <definedName name="MP" localSheetId="32">!#REF!</definedName>
    <definedName name="MP">!#REF!</definedName>
    <definedName name="N_YORKS" localSheetId="33">!#REF!</definedName>
    <definedName name="N_YORKS" localSheetId="3">!#REF!</definedName>
    <definedName name="N_YORKS" localSheetId="32">!#REF!</definedName>
    <definedName name="N_YORKS">!#REF!</definedName>
    <definedName name="new_chart" localSheetId="33">'[12]1997'!$A$7,'[12]1997'!$L$7,'[12]1997'!$M$7,'[12]1997'!#REF!,'[12]1997'!$A$10,'[12]1997'!$A$11,'[12]1997'!$L$10,'[12]1997'!$L$11,'[12]1997'!$M$10,'[12]1997'!$M$11,'[12]1997'!#REF!,'[12]1997'!#REF!,'[12]1997'!$Q$20,'[12]1997'!$L$19,'[12]1997'!$M$19,'[12]1997'!#REF!</definedName>
    <definedName name="new_chart" localSheetId="3">'[12]1997'!$A$7,'[12]1997'!$L$7,'[12]1997'!$M$7,'[12]1997'!#REF!,'[12]1997'!$A$10,'[12]1997'!$A$11,'[12]1997'!$L$10,'[12]1997'!$L$11,'[12]1997'!$M$10,'[12]1997'!$M$11,'[12]1997'!#REF!,'[12]1997'!#REF!,'[12]1997'!$Q$20,'[12]1997'!$L$19,'[12]1997'!$M$19,'[12]1997'!#REF!</definedName>
    <definedName name="new_chart" localSheetId="32">'[12]1997'!$A$7,'[12]1997'!$L$7,'[12]1997'!$M$7,'[12]1997'!#REF!,'[12]1997'!$A$10,'[12]1997'!$A$11,'[12]1997'!$L$10,'[12]1997'!$L$11,'[12]1997'!$M$10,'[12]1997'!$M$11,'[12]1997'!#REF!,'[12]1997'!#REF!,'[12]1997'!$Q$20,'[12]1997'!$L$19,'[12]1997'!$M$19,'[12]1997'!#REF!</definedName>
    <definedName name="new_chart">'[12]1997'!$A$7,'[12]1997'!$L$7,'[12]1997'!$M$7,'[12]1997'!#REF!,'[12]1997'!$A$10,'[12]1997'!$A$11,'[12]1997'!$L$10,'[12]1997'!$L$11,'[12]1997'!$M$10,'[12]1997'!$M$11,'[12]1997'!#REF!,'[12]1997'!#REF!,'[12]1997'!$Q$20,'[12]1997'!$L$19,'[12]1997'!$M$19,'[12]1997'!#REF!</definedName>
    <definedName name="new_dialog" localSheetId="3">[12]!Dialog</definedName>
    <definedName name="new_dialog">[12]!Dialog</definedName>
    <definedName name="new_table" localSheetId="33">!#REF!</definedName>
    <definedName name="new_table" localSheetId="3">!#REF!</definedName>
    <definedName name="new_table" localSheetId="32">!#REF!</definedName>
    <definedName name="new_table">!#REF!</definedName>
    <definedName name="NLS" localSheetId="33">!#REF!</definedName>
    <definedName name="NLS" localSheetId="3">!#REF!</definedName>
    <definedName name="NLS" localSheetId="32">!#REF!</definedName>
    <definedName name="NLS">!#REF!</definedName>
    <definedName name="No_lights_repl">'[4]Pro-Forma submitted '!$D$40</definedName>
    <definedName name="NONEC" localSheetId="33">!#REF!</definedName>
    <definedName name="NONEC" localSheetId="3">!#REF!</definedName>
    <definedName name="NONEC" localSheetId="32">!#REF!</definedName>
    <definedName name="NONEC">!#REF!</definedName>
    <definedName name="NORFOLK" localSheetId="33">!#REF!</definedName>
    <definedName name="NORFOLK" localSheetId="3">!#REF!</definedName>
    <definedName name="NORFOLK" localSheetId="32">!#REF!</definedName>
    <definedName name="NORFOLK">!#REF!</definedName>
    <definedName name="NORTHANTS" localSheetId="33">!#REF!</definedName>
    <definedName name="NORTHANTS" localSheetId="3">!#REF!</definedName>
    <definedName name="NORTHANTS" localSheetId="32">!#REF!</definedName>
    <definedName name="NORTHANTS">!#REF!</definedName>
    <definedName name="NORTHSEA">#N/A</definedName>
    <definedName name="NORTHUMBERLAND" localSheetId="33">!#REF!</definedName>
    <definedName name="NORTHUMBERLAND" localSheetId="3">!#REF!</definedName>
    <definedName name="NORTHUMBERLAND" localSheetId="32">!#REF!</definedName>
    <definedName name="NORTHUMBERLAND">!#REF!</definedName>
    <definedName name="NOTTS" localSheetId="33">!#REF!</definedName>
    <definedName name="NOTTS" localSheetId="3">!#REF!</definedName>
    <definedName name="NOTTS" localSheetId="32">!#REF!</definedName>
    <definedName name="NOTTS">!#REF!</definedName>
    <definedName name="NPValtcalc" localSheetId="33">#REF!</definedName>
    <definedName name="NPValtcalc" localSheetId="3">#REF!</definedName>
    <definedName name="NPValtcalc" localSheetId="32">#REF!</definedName>
    <definedName name="NPValtcalc">#REF!</definedName>
    <definedName name="NPVfinal" localSheetId="33">#REF!</definedName>
    <definedName name="NPVfinal" localSheetId="3">#REF!</definedName>
    <definedName name="NPVfinal" localSheetId="32">#REF!</definedName>
    <definedName name="NPVfinal">#REF!</definedName>
    <definedName name="NTM_car" localSheetId="33">'[5]National Traffic Model'!$D$59:$J$59</definedName>
    <definedName name="NTM_car" localSheetId="32">'[5]National Traffic Model'!$D$59:$J$59</definedName>
    <definedName name="NTM_car">'National Traffic Model'!$D$59:$L$59</definedName>
    <definedName name="NTM_HGV" localSheetId="33">'[5]National Traffic Model'!$D$64:$J$64</definedName>
    <definedName name="NTM_HGV" localSheetId="32">'[5]National Traffic Model'!$D$64:$J$64</definedName>
    <definedName name="NTM_HGV">'National Traffic Model'!$D$64:$L$64</definedName>
    <definedName name="NTM_LGV" localSheetId="33">'[5]National Traffic Model'!$D$60:$J$60</definedName>
    <definedName name="NTM_LGV" localSheetId="32">'[5]National Traffic Model'!$D$60:$J$60</definedName>
    <definedName name="NTM_LGV">'National Traffic Model'!$D$60:$L$60</definedName>
    <definedName name="NTM_PSV" localSheetId="33">'[5]National Traffic Model'!$D$63:$J$63</definedName>
    <definedName name="NTM_PSV" localSheetId="32">'[5]National Traffic Model'!$D$63:$J$63</definedName>
    <definedName name="NTM_PSV">'National Traffic Model'!$D$63:$L$63</definedName>
    <definedName name="OldData" localSheetId="33">!#REF!</definedName>
    <definedName name="OldData" localSheetId="3">!#REF!</definedName>
    <definedName name="OldData" localSheetId="32">!#REF!</definedName>
    <definedName name="OldData">!#REF!</definedName>
    <definedName name="OTHER">#N/A</definedName>
    <definedName name="OTHEREC" localSheetId="33">!#REF!</definedName>
    <definedName name="OTHEREC" localSheetId="3">!#REF!</definedName>
    <definedName name="OTHEREC" localSheetId="32">!#REF!</definedName>
    <definedName name="OTHEREC">!#REF!</definedName>
    <definedName name="OtherExempt" localSheetId="33">!#REF!</definedName>
    <definedName name="OtherExempt" localSheetId="3">!#REF!</definedName>
    <definedName name="OtherExempt" localSheetId="32">!#REF!</definedName>
    <definedName name="OtherExempt">!#REF!</definedName>
    <definedName name="Outturncost_TotalScheme">'[4]PVC_Costs submitted'!$F$21</definedName>
    <definedName name="Over25yrs" localSheetId="33">!#REF!</definedName>
    <definedName name="Over25yrs" localSheetId="3">!#REF!</definedName>
    <definedName name="Over25yrs" localSheetId="32">!#REF!</definedName>
    <definedName name="Over25yrs">!#REF!</definedName>
    <definedName name="OXON" localSheetId="33">!#REF!</definedName>
    <definedName name="OXON" localSheetId="3">!#REF!</definedName>
    <definedName name="OXON" localSheetId="32">!#REF!</definedName>
    <definedName name="OXON">!#REF!</definedName>
    <definedName name="PAGE1">#N/A</definedName>
    <definedName name="PAGE2">#N/A</definedName>
    <definedName name="Peterborough" localSheetId="33">!#REF!</definedName>
    <definedName name="Peterborough" localSheetId="3">!#REF!</definedName>
    <definedName name="Peterborough" localSheetId="32">!#REF!</definedName>
    <definedName name="Peterborough">!#REF!</definedName>
    <definedName name="PIE" localSheetId="33">!#REF!</definedName>
    <definedName name="PIE" localSheetId="3">!#REF!</definedName>
    <definedName name="PIE" localSheetId="32">!#REF!</definedName>
    <definedName name="PIE">!#REF!</definedName>
    <definedName name="Pop99a" localSheetId="33">!#REF!</definedName>
    <definedName name="Pop99a" localSheetId="3">!#REF!</definedName>
    <definedName name="Pop99a" localSheetId="32">!#REF!</definedName>
    <definedName name="Pop99a">!#REF!</definedName>
    <definedName name="POWYS" localSheetId="33">!#REF!</definedName>
    <definedName name="POWYS" localSheetId="3">!#REF!</definedName>
    <definedName name="POWYS" localSheetId="32">!#REF!</definedName>
    <definedName name="POWYS">!#REF!</definedName>
    <definedName name="_xlnm.Print_Area" localSheetId="33">!#REF!</definedName>
    <definedName name="_xlnm.Print_Area" localSheetId="3">!#REF!</definedName>
    <definedName name="_xlnm.Print_Area" localSheetId="32">!#REF!</definedName>
    <definedName name="_xlnm.Print_Area">!#REF!</definedName>
    <definedName name="Print_Area_MI">[1]TABLE1a!$A$1:$O$37</definedName>
    <definedName name="printarea" localSheetId="33">!#REF!</definedName>
    <definedName name="printarea" localSheetId="3">!#REF!</definedName>
    <definedName name="printarea" localSheetId="32">!#REF!</definedName>
    <definedName name="printarea">!#REF!</definedName>
    <definedName name="PSVSpeed">Carriageways!$E$8</definedName>
    <definedName name="PUBLISH_Print_Area" localSheetId="33">!#REF!</definedName>
    <definedName name="PUBLISH_Print_Area" localSheetId="3">!#REF!</definedName>
    <definedName name="PUBLISH_Print_Area" localSheetId="32">!#REF!</definedName>
    <definedName name="PUBLISH_Print_Area">!#REF!</definedName>
    <definedName name="PUBLISH1998_Print_Area" localSheetId="33">!#REF!</definedName>
    <definedName name="PUBLISH1998_Print_Area" localSheetId="3">!#REF!</definedName>
    <definedName name="PUBLISH1998_Print_Area" localSheetId="32">!#REF!</definedName>
    <definedName name="PUBLISH1998_Print_Area">!#REF!</definedName>
    <definedName name="PVB_CwaysMaint_simplcalc">[4]PVB_scrutiny!$N$14</definedName>
    <definedName name="PVB_Source" localSheetId="33">'[5]Look Up Values'!$C$6:$C$8</definedName>
    <definedName name="PVB_Source" localSheetId="32">'[5]Look Up Values'!$C$6:$C$8</definedName>
    <definedName name="PVB_Source">'Look Up Values'!$C$6:$C$8</definedName>
    <definedName name="PVBfinalUse" localSheetId="33">#REF!</definedName>
    <definedName name="PVBfinalUse" localSheetId="3">#REF!</definedName>
    <definedName name="PVBfinalUse" localSheetId="32">#REF!</definedName>
    <definedName name="PVBfinalUse">#REF!</definedName>
    <definedName name="PVC_capex_AltCalc">'[4]PVC_Maint scrutiny'!$J$18</definedName>
    <definedName name="PVCfinalUse" localSheetId="33">#REF!</definedName>
    <definedName name="PVCfinalUse" localSheetId="3">#REF!</definedName>
    <definedName name="PVCfinalUse" localSheetId="32">#REF!</definedName>
    <definedName name="PVCfinalUse">#REF!</definedName>
    <definedName name="qryNonEUBreakdown" localSheetId="33">!#REF!</definedName>
    <definedName name="qryNonEUBreakdown" localSheetId="3">!#REF!</definedName>
    <definedName name="qryNonEUBreakdown" localSheetId="32">!#REF!</definedName>
    <definedName name="qryNonEUBreakdown">!#REF!</definedName>
    <definedName name="QUARTER" localSheetId="33">!#REF!</definedName>
    <definedName name="QUARTER" localSheetId="3">!#REF!</definedName>
    <definedName name="QUARTER" localSheetId="32">!#REF!</definedName>
    <definedName name="QUARTER">!#REF!</definedName>
    <definedName name="RAG" localSheetId="33">'[5]Look Up Values'!$C$11:$C$13</definedName>
    <definedName name="RAG" localSheetId="32">'[5]Look Up Values'!$C$11:$C$13</definedName>
    <definedName name="RAG">'Look Up Values'!$C$11:$C$13</definedName>
    <definedName name="RAG_VfMAssess_overall">[4]LookUp!$B$39:$B$44</definedName>
    <definedName name="RAGG" localSheetId="33">'[5]Look Up Values'!$C$10:$C$13</definedName>
    <definedName name="RAGG" localSheetId="32">'[5]Look Up Values'!$C$10:$C$13</definedName>
    <definedName name="RAGG">'Look Up Values'!$C$10:$C$13</definedName>
    <definedName name="RAGGG">'Look Up Values'!$D$10:$D$15</definedName>
    <definedName name="RAGrating">[4]LookUp!$B$16:$B$19</definedName>
    <definedName name="RANGE_CELLREF" localSheetId="33">!#REF!</definedName>
    <definedName name="RANGE_CELLREF" localSheetId="3">!#REF!</definedName>
    <definedName name="RANGE_CELLREF" localSheetId="32">!#REF!</definedName>
    <definedName name="RANGE_CELLREF">!#REF!</definedName>
    <definedName name="RANGE_NUMBROWS" localSheetId="33">!#REF!</definedName>
    <definedName name="RANGE_NUMBROWS" localSheetId="3">!#REF!</definedName>
    <definedName name="RANGE_NUMBROWS" localSheetId="32">!#REF!</definedName>
    <definedName name="RANGE_NUMBROWS">!#REF!</definedName>
    <definedName name="RANGE_REP_NUM" localSheetId="33">!#REF!</definedName>
    <definedName name="RANGE_REP_NUM" localSheetId="3">!#REF!</definedName>
    <definedName name="RANGE_REP_NUM" localSheetId="32">!#REF!</definedName>
    <definedName name="RANGE_REP_NUM">!#REF!</definedName>
    <definedName name="RANGE_TRIMMED" localSheetId="33">!#REF!</definedName>
    <definedName name="RANGE_TRIMMED" localSheetId="3">!#REF!</definedName>
    <definedName name="RANGE_TRIMMED" localSheetId="32">!#REF!</definedName>
    <definedName name="RANGE_TRIMMED">!#REF!</definedName>
    <definedName name="RIGIDF" localSheetId="33">!#REF!</definedName>
    <definedName name="RIGIDF" localSheetId="3">!#REF!</definedName>
    <definedName name="RIGIDF" localSheetId="32">!#REF!</definedName>
    <definedName name="RIGIDF">!#REF!</definedName>
    <definedName name="RIGIDG" localSheetId="33">!#REF!</definedName>
    <definedName name="RIGIDG" localSheetId="3">!#REF!</definedName>
    <definedName name="RIGIDG" localSheetId="32">!#REF!</definedName>
    <definedName name="RIGIDG">!#REF!</definedName>
    <definedName name="S_GLAM" localSheetId="33">!#REF!</definedName>
    <definedName name="S_GLAM" localSheetId="3">!#REF!</definedName>
    <definedName name="S_GLAM" localSheetId="32">!#REF!</definedName>
    <definedName name="S_GLAM">!#REF!</definedName>
    <definedName name="S_YORKS" localSheetId="33">!#REF!</definedName>
    <definedName name="S_YORKS" localSheetId="3">!#REF!</definedName>
    <definedName name="S_YORKS" localSheetId="32">!#REF!</definedName>
    <definedName name="S_YORKS">!#REF!</definedName>
    <definedName name="Scheme_Length">Proforma!$D$25</definedName>
    <definedName name="Scheme_Name">Proforma!$D$3</definedName>
    <definedName name="Scheme_Promoter">Proforma!$D$5</definedName>
    <definedName name="SEADJUSTED">#N/A</definedName>
    <definedName name="SHROPS" localSheetId="33">!#REF!</definedName>
    <definedName name="SHROPS" localSheetId="3">!#REF!</definedName>
    <definedName name="SHROPS" localSheetId="32">!#REF!</definedName>
    <definedName name="SHROPS">!#REF!</definedName>
    <definedName name="Snow" localSheetId="33">!#REF!</definedName>
    <definedName name="Snow" localSheetId="3">!#REF!</definedName>
    <definedName name="Snow" localSheetId="32">!#REF!</definedName>
    <definedName name="Snow">!#REF!</definedName>
    <definedName name="SOMERSET" localSheetId="33">!#REF!</definedName>
    <definedName name="SOMERSET" localSheetId="3">!#REF!</definedName>
    <definedName name="SOMERSET" localSheetId="32">!#REF!</definedName>
    <definedName name="SOMERSET">!#REF!</definedName>
    <definedName name="SouthendOnSea" localSheetId="33">!#REF!</definedName>
    <definedName name="SouthendOnSea" localSheetId="3">!#REF!</definedName>
    <definedName name="SouthendOnSea" localSheetId="32">!#REF!</definedName>
    <definedName name="SouthendOnSea">!#REF!</definedName>
    <definedName name="SPAIN" localSheetId="33">!#REF!</definedName>
    <definedName name="SPAIN" localSheetId="3">!#REF!</definedName>
    <definedName name="SPAIN" localSheetId="32">!#REF!</definedName>
    <definedName name="SPAIN">!#REF!</definedName>
    <definedName name="STAFFS" localSheetId="33">!#REF!</definedName>
    <definedName name="STAFFS" localSheetId="3">!#REF!</definedName>
    <definedName name="STAFFS" localSheetId="32">!#REF!</definedName>
    <definedName name="STAFFS">!#REF!</definedName>
    <definedName name="Steam" localSheetId="33">!#REF!</definedName>
    <definedName name="Steam" localSheetId="3">!#REF!</definedName>
    <definedName name="Steam" localSheetId="32">!#REF!</definedName>
    <definedName name="Steam">!#REF!</definedName>
    <definedName name="SUFFOLK" localSheetId="33">!#REF!</definedName>
    <definedName name="SUFFOLK" localSheetId="3">!#REF!</definedName>
    <definedName name="SUFFOLK" localSheetId="32">!#REF!</definedName>
    <definedName name="SUFFOLK">!#REF!</definedName>
    <definedName name="SURREY" localSheetId="33">!#REF!</definedName>
    <definedName name="SURREY" localSheetId="3">!#REF!</definedName>
    <definedName name="SURREY" localSheetId="32">!#REF!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 localSheetId="33">!#REF!</definedName>
    <definedName name="TABLE16" localSheetId="3">!#REF!</definedName>
    <definedName name="TABLE16" localSheetId="32">!#REF!</definedName>
    <definedName name="TABLE16">!#REF!</definedName>
    <definedName name="TABLE17" localSheetId="33">!#REF!</definedName>
    <definedName name="TABLE17" localSheetId="3">!#REF!</definedName>
    <definedName name="TABLE17" localSheetId="32">!#REF!</definedName>
    <definedName name="TABLE17">!#REF!</definedName>
    <definedName name="TABLE18" localSheetId="33">!#REF!</definedName>
    <definedName name="TABLE18" localSheetId="3">!#REF!</definedName>
    <definedName name="TABLE18" localSheetId="32">!#REF!</definedName>
    <definedName name="TABLE18">!#REF!</definedName>
    <definedName name="TABLE19" localSheetId="33">!#REF!</definedName>
    <definedName name="TABLE19" localSheetId="3">!#REF!</definedName>
    <definedName name="TABLE19" localSheetId="32">!#REF!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 localSheetId="33">!#REF!</definedName>
    <definedName name="TABLEJ" localSheetId="3">!#REF!</definedName>
    <definedName name="TABLEJ" localSheetId="32">!#REF!</definedName>
    <definedName name="TABLEJ">!#REF!</definedName>
    <definedName name="TableTitle" localSheetId="33">!#REF!</definedName>
    <definedName name="TableTitle" localSheetId="3">!#REF!</definedName>
    <definedName name="TableTitle" localSheetId="32">!#REF!</definedName>
    <definedName name="TableTitle">!#REF!</definedName>
    <definedName name="testing" localSheetId="33">!#REF!</definedName>
    <definedName name="testing" localSheetId="3">!#REF!</definedName>
    <definedName name="testing" localSheetId="32">!#REF!</definedName>
    <definedName name="testing">!#REF!</definedName>
    <definedName name="Thurrock" localSheetId="33">!#REF!</definedName>
    <definedName name="Thurrock" localSheetId="3">!#REF!</definedName>
    <definedName name="Thurrock" localSheetId="32">!#REF!</definedName>
    <definedName name="Thurrock">!#REF!</definedName>
    <definedName name="TKM" localSheetId="33">!#REF!</definedName>
    <definedName name="TKM" localSheetId="3">!#REF!</definedName>
    <definedName name="TKM" localSheetId="32">!#REF!</definedName>
    <definedName name="TKM">!#REF!</definedName>
    <definedName name="TLOO" localSheetId="33">!#REF!</definedName>
    <definedName name="TLOO" localSheetId="3">!#REF!</definedName>
    <definedName name="TLOO" localSheetId="32">!#REF!</definedName>
    <definedName name="TLOO">!#REF!</definedName>
    <definedName name="TLPH" localSheetId="33">!#REF!</definedName>
    <definedName name="TLPH" localSheetId="3">!#REF!</definedName>
    <definedName name="TLPH" localSheetId="32">!#REF!</definedName>
    <definedName name="TLPH">!#REF!</definedName>
    <definedName name="TMOO" localSheetId="33">!#REF!</definedName>
    <definedName name="TMOO" localSheetId="3">!#REF!</definedName>
    <definedName name="TMOO" localSheetId="32">!#REF!</definedName>
    <definedName name="TMOO">!#REF!</definedName>
    <definedName name="TMPH" localSheetId="33">!#REF!</definedName>
    <definedName name="TMPH" localSheetId="3">!#REF!</definedName>
    <definedName name="TMPH" localSheetId="32">!#REF!</definedName>
    <definedName name="TMPH">!#REF!</definedName>
    <definedName name="TONNE" localSheetId="33">!#REF!</definedName>
    <definedName name="TONNE" localSheetId="3">!#REF!</definedName>
    <definedName name="TONNE" localSheetId="32">!#REF!</definedName>
    <definedName name="TONNE">!#REF!</definedName>
    <definedName name="Total_veh_AADT">'[4]Pro-Forma Scrutiny'!$D$10</definedName>
    <definedName name="Traffic_model">'National Traffic Model'!$C$7:$J$70</definedName>
    <definedName name="TYNE_WEAR" localSheetId="33">!#REF!</definedName>
    <definedName name="TYNE_WEAR" localSheetId="3">!#REF!</definedName>
    <definedName name="TYNE_WEAR" localSheetId="32">!#REF!</definedName>
    <definedName name="TYNE_WEAR">!#REF!</definedName>
    <definedName name="UK">#N/A</definedName>
    <definedName name="UT">#N/A</definedName>
    <definedName name="ValueTitle" localSheetId="33">!#REF!</definedName>
    <definedName name="ValueTitle" localSheetId="3">!#REF!</definedName>
    <definedName name="ValueTitle" localSheetId="32">!#REF!</definedName>
    <definedName name="ValueTitle">!#REF!</definedName>
    <definedName name="VFM" localSheetId="33">'[5]Look Up Values'!$F$17:$F$21</definedName>
    <definedName name="VFM" localSheetId="32">'[5]Look Up Values'!$F$17:$F$21</definedName>
    <definedName name="VFM">'Look Up Values'!$F$17:$F$21</definedName>
    <definedName name="VFM_Cat">[4]LookUp!$B$31:$B$36</definedName>
    <definedName name="VKM" localSheetId="33">!#REF!</definedName>
    <definedName name="VKM" localSheetId="3">!#REF!</definedName>
    <definedName name="VKM" localSheetId="32">!#REF!</definedName>
    <definedName name="VKM">!#REF!</definedName>
    <definedName name="voc_nonfuel" localSheetId="33">'[5]Table 1.3.15'!$B$26:$I$51</definedName>
    <definedName name="voc_nonfuel" localSheetId="32">'[5]Table 1.3.15'!$B$26:$I$51</definedName>
    <definedName name="voc_nonfuel">'Table 1.3.15'!$B$26:$I$51</definedName>
    <definedName name="voc_nonwork" localSheetId="33">'[5]Table A1.3.13'!$B$27:$AI$107</definedName>
    <definedName name="voc_nonwork" localSheetId="32">'[5]Table A1.3.13'!$B$27:$AI$107</definedName>
    <definedName name="voc_nonwork">'Table A1.3.13'!$B$27:$AI$107</definedName>
    <definedName name="voc_work" localSheetId="33">'[5]Table A1.3.12'!$B$26:$BS$106</definedName>
    <definedName name="voc_work" localSheetId="32">'[5]Table A1.3.12'!$B$26:$BS$106</definedName>
    <definedName name="voc_work">'Table A1.3.12'!$B$26:$BS$106</definedName>
    <definedName name="VOT" localSheetId="33">'[5]Table A1.3.6'!$B$29:$CP$108</definedName>
    <definedName name="VOT" localSheetId="32">'[5]Table A1.3.6'!$B$29:$CP$108</definedName>
    <definedName name="VOT">'Table A1.3.6'!$B$29:$CP$108</definedName>
    <definedName name="W_GLAM" localSheetId="33">!#REF!</definedName>
    <definedName name="W_GLAM" localSheetId="3">!#REF!</definedName>
    <definedName name="W_GLAM" localSheetId="32">!#REF!</definedName>
    <definedName name="W_GLAM">!#REF!</definedName>
    <definedName name="W_MIDS" localSheetId="33">!#REF!</definedName>
    <definedName name="W_MIDS" localSheetId="3">!#REF!</definedName>
    <definedName name="W_MIDS" localSheetId="32">!#REF!</definedName>
    <definedName name="W_MIDS">!#REF!</definedName>
    <definedName name="W_SUSSEX" localSheetId="33">!#REF!</definedName>
    <definedName name="W_SUSSEX" localSheetId="3">!#REF!</definedName>
    <definedName name="W_SUSSEX" localSheetId="32">!#REF!</definedName>
    <definedName name="W_SUSSEX">!#REF!</definedName>
    <definedName name="W_YORKS" localSheetId="33">!#REF!</definedName>
    <definedName name="W_YORKS" localSheetId="3">!#REF!</definedName>
    <definedName name="W_YORKS" localSheetId="32">!#REF!</definedName>
    <definedName name="W_YORKS">!#REF!</definedName>
    <definedName name="WARWICKS" localSheetId="33">!#REF!</definedName>
    <definedName name="WARWICKS" localSheetId="3">!#REF!</definedName>
    <definedName name="WARWICKS" localSheetId="32">!#REF!</definedName>
    <definedName name="WARWICKS">!#REF!</definedName>
    <definedName name="WILTS" localSheetId="33">!#REF!</definedName>
    <definedName name="WILTS" localSheetId="3">!#REF!</definedName>
    <definedName name="WILTS" localSheetId="32">!#REF!</definedName>
    <definedName name="WILTS">!#REF!</definedName>
    <definedName name="XAQTS" localSheetId="33">!#REF!</definedName>
    <definedName name="XAQTS" localSheetId="3">!#REF!</definedName>
    <definedName name="XAQTS" localSheetId="32">!#REF!</definedName>
    <definedName name="XAQTS">!#REF!</definedName>
    <definedName name="XATOP">#N/A</definedName>
    <definedName name="XATSGB">#N/A</definedName>
    <definedName name="year" localSheetId="33">!#REF!</definedName>
    <definedName name="year" localSheetId="3">!#REF!</definedName>
    <definedName name="year" localSheetId="32">!#REF!</definedName>
    <definedName name="year">!#REF!</definedName>
    <definedName name="YEARG" localSheetId="33">!#REF!</definedName>
    <definedName name="YEARG" localSheetId="3">!#REF!</definedName>
    <definedName name="YEARG" localSheetId="32">!#REF!</definedName>
    <definedName name="YEARG">!#REF!</definedName>
    <definedName name="YEARS" localSheetId="33">!#REF!</definedName>
    <definedName name="YEARS" localSheetId="3">!#REF!</definedName>
    <definedName name="YEARS" localSheetId="32">!#REF!</definedName>
    <definedName name="YEARS">!#REF!</definedName>
    <definedName name="YEARSF" localSheetId="33">!#REF!</definedName>
    <definedName name="YEARSF" localSheetId="3">!#REF!</definedName>
    <definedName name="YEARSF" localSheetId="32">!#REF!</definedName>
    <definedName name="YEARSF">!#REF!</definedName>
    <definedName name="Yes_no" localSheetId="33">'[5]Look Up Values'!$C$2:$C$4</definedName>
    <definedName name="Yes_no" localSheetId="32">'[5]Look Up Values'!$C$2:$C$4</definedName>
    <definedName name="Yes_no">'Look Up Values'!$C$2:$C$4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10" l="1"/>
  <c r="F186" i="10" l="1"/>
  <c r="G186" i="10"/>
  <c r="H186" i="10"/>
  <c r="I186" i="10"/>
  <c r="J186" i="10"/>
  <c r="K186" i="10"/>
  <c r="L186" i="10"/>
  <c r="M186" i="10"/>
  <c r="N186" i="10"/>
  <c r="AD186" i="10"/>
  <c r="AF186" i="10"/>
  <c r="AG186" i="10"/>
  <c r="AL186" i="10"/>
  <c r="AO186" i="10"/>
  <c r="AP186" i="10"/>
  <c r="AQ186" i="10"/>
  <c r="AR186" i="10"/>
  <c r="AX186" i="10"/>
  <c r="AY186" i="10"/>
  <c r="BF186" i="10"/>
  <c r="BG186" i="10"/>
  <c r="BN186" i="10"/>
  <c r="BO186" i="10"/>
  <c r="BV186" i="10"/>
  <c r="BW186" i="10"/>
  <c r="CD186" i="10"/>
  <c r="CE186" i="10"/>
  <c r="F187" i="10"/>
  <c r="G187" i="10"/>
  <c r="H187" i="10"/>
  <c r="I187" i="10"/>
  <c r="J187" i="10"/>
  <c r="K187" i="10"/>
  <c r="L187" i="10"/>
  <c r="M187" i="10"/>
  <c r="N187" i="10"/>
  <c r="AD187" i="10"/>
  <c r="AN187" i="10"/>
  <c r="AR187" i="10"/>
  <c r="AS187" i="10"/>
  <c r="BA187" i="10"/>
  <c r="BI187" i="10"/>
  <c r="BY187" i="10"/>
  <c r="F188" i="10"/>
  <c r="G188" i="10"/>
  <c r="H188" i="10"/>
  <c r="I188" i="10"/>
  <c r="J188" i="10"/>
  <c r="K188" i="10"/>
  <c r="L188" i="10"/>
  <c r="M188" i="10"/>
  <c r="N188" i="10"/>
  <c r="O188" i="10"/>
  <c r="Q188" i="10"/>
  <c r="V188" i="10"/>
  <c r="AA188" i="10"/>
  <c r="AB188" i="10"/>
  <c r="AI188" i="10"/>
  <c r="AK188" i="10"/>
  <c r="AM188" i="10"/>
  <c r="AP188" i="10"/>
  <c r="AY188" i="10"/>
  <c r="BA188" i="10"/>
  <c r="BR188" i="10"/>
  <c r="BW188" i="10"/>
  <c r="E187" i="10"/>
  <c r="E188" i="10"/>
  <c r="E186" i="10"/>
  <c r="I59" i="36"/>
  <c r="I58" i="36"/>
  <c r="I57" i="36"/>
  <c r="I56" i="36"/>
  <c r="I55" i="36"/>
  <c r="I54" i="36"/>
  <c r="I53" i="36"/>
  <c r="I52" i="36"/>
  <c r="I51" i="36"/>
  <c r="H59" i="36"/>
  <c r="H58" i="36"/>
  <c r="H57" i="36"/>
  <c r="H56" i="36"/>
  <c r="H55" i="36"/>
  <c r="H54" i="36"/>
  <c r="H53" i="36"/>
  <c r="H52" i="36"/>
  <c r="H51" i="36"/>
  <c r="G59" i="36"/>
  <c r="AV188" i="10" s="1"/>
  <c r="G58" i="36"/>
  <c r="AQ188" i="10" s="1"/>
  <c r="G57" i="36"/>
  <c r="AJ188" i="10" s="1"/>
  <c r="G56" i="36"/>
  <c r="AD188" i="10" s="1"/>
  <c r="G55" i="36"/>
  <c r="AC188" i="10" s="1"/>
  <c r="G54" i="36"/>
  <c r="W188" i="10" s="1"/>
  <c r="G53" i="36"/>
  <c r="R188" i="10" s="1"/>
  <c r="G52" i="36"/>
  <c r="G51" i="36"/>
  <c r="F59" i="36"/>
  <c r="F58" i="36"/>
  <c r="F57" i="36"/>
  <c r="F56" i="36"/>
  <c r="F55" i="36"/>
  <c r="F54" i="36"/>
  <c r="F53" i="36"/>
  <c r="F52" i="36"/>
  <c r="F51" i="36"/>
  <c r="E59" i="36"/>
  <c r="E58" i="36"/>
  <c r="E57" i="36"/>
  <c r="E56" i="36"/>
  <c r="E55" i="36"/>
  <c r="E54" i="36"/>
  <c r="E53" i="36"/>
  <c r="E52" i="36"/>
  <c r="E51" i="36"/>
  <c r="D59" i="36"/>
  <c r="D58" i="36"/>
  <c r="D57" i="36"/>
  <c r="D56" i="36"/>
  <c r="D55" i="36"/>
  <c r="D54" i="36"/>
  <c r="D53" i="36"/>
  <c r="D52" i="36"/>
  <c r="D51" i="36"/>
  <c r="C59" i="36"/>
  <c r="C58" i="36"/>
  <c r="C57" i="36"/>
  <c r="C56" i="36"/>
  <c r="C55" i="36"/>
  <c r="C54" i="36"/>
  <c r="C53" i="36"/>
  <c r="C52" i="36"/>
  <c r="C51" i="36"/>
  <c r="B59" i="36"/>
  <c r="B58" i="36"/>
  <c r="B57" i="36"/>
  <c r="B56" i="36"/>
  <c r="B55" i="36"/>
  <c r="B54" i="36"/>
  <c r="B53" i="36"/>
  <c r="B52" i="36"/>
  <c r="I47" i="36"/>
  <c r="I46" i="36"/>
  <c r="I45" i="36"/>
  <c r="I44" i="36"/>
  <c r="I43" i="36"/>
  <c r="I42" i="36"/>
  <c r="I41" i="36"/>
  <c r="I40" i="36"/>
  <c r="I39" i="36"/>
  <c r="H47" i="36"/>
  <c r="H46" i="36"/>
  <c r="H45" i="36"/>
  <c r="H44" i="36"/>
  <c r="H43" i="36"/>
  <c r="H42" i="36"/>
  <c r="H41" i="36"/>
  <c r="H40" i="36"/>
  <c r="H39" i="36"/>
  <c r="G47" i="36"/>
  <c r="BQ187" i="10" s="1"/>
  <c r="G46" i="36"/>
  <c r="G45" i="36"/>
  <c r="G44" i="36"/>
  <c r="G43" i="36"/>
  <c r="G42" i="36"/>
  <c r="U187" i="10" s="1"/>
  <c r="G41" i="36"/>
  <c r="P187" i="10" s="1"/>
  <c r="G39" i="36"/>
  <c r="G40" i="36"/>
  <c r="F47" i="36"/>
  <c r="F46" i="36"/>
  <c r="F45" i="36"/>
  <c r="F44" i="36"/>
  <c r="F43" i="36"/>
  <c r="F42" i="36"/>
  <c r="F41" i="36"/>
  <c r="F40" i="36"/>
  <c r="F39" i="36"/>
  <c r="E47" i="36"/>
  <c r="E46" i="36"/>
  <c r="E45" i="36"/>
  <c r="E44" i="36"/>
  <c r="E43" i="36"/>
  <c r="E41" i="36"/>
  <c r="E40" i="36"/>
  <c r="E39" i="36"/>
  <c r="E42" i="36"/>
  <c r="D47" i="36"/>
  <c r="D46" i="36"/>
  <c r="D45" i="36"/>
  <c r="D44" i="36"/>
  <c r="D43" i="36"/>
  <c r="D42" i="36"/>
  <c r="D41" i="36"/>
  <c r="D40" i="36"/>
  <c r="D39" i="36"/>
  <c r="C47" i="36"/>
  <c r="C46" i="36"/>
  <c r="C45" i="36"/>
  <c r="C44" i="36"/>
  <c r="C43" i="36"/>
  <c r="C42" i="36"/>
  <c r="C41" i="36"/>
  <c r="C40" i="36"/>
  <c r="C39" i="36"/>
  <c r="B47" i="36"/>
  <c r="B46" i="36"/>
  <c r="B45" i="36"/>
  <c r="B44" i="36"/>
  <c r="B43" i="36"/>
  <c r="B42" i="36"/>
  <c r="B41" i="36"/>
  <c r="B40" i="36"/>
  <c r="B51" i="36"/>
  <c r="B39" i="36"/>
  <c r="I35" i="36"/>
  <c r="I34" i="36"/>
  <c r="I33" i="36"/>
  <c r="I32" i="36"/>
  <c r="I31" i="36"/>
  <c r="I30" i="36"/>
  <c r="I29" i="36"/>
  <c r="I28" i="36"/>
  <c r="I27" i="36"/>
  <c r="H35" i="36"/>
  <c r="H34" i="36"/>
  <c r="H33" i="36"/>
  <c r="H32" i="36"/>
  <c r="H31" i="36"/>
  <c r="H30" i="36"/>
  <c r="H29" i="36"/>
  <c r="H28" i="36"/>
  <c r="H27" i="36"/>
  <c r="G35" i="36"/>
  <c r="AT187" i="10" s="1"/>
  <c r="G34" i="36"/>
  <c r="AO187" i="10" s="1"/>
  <c r="G33" i="36"/>
  <c r="G32" i="36"/>
  <c r="AE187" i="10" s="1"/>
  <c r="G31" i="36"/>
  <c r="G30" i="36"/>
  <c r="G29" i="36"/>
  <c r="G28" i="36"/>
  <c r="G27" i="36"/>
  <c r="F35" i="36"/>
  <c r="F34" i="36"/>
  <c r="F33" i="36"/>
  <c r="F32" i="36"/>
  <c r="F31" i="36"/>
  <c r="F30" i="36"/>
  <c r="F29" i="36"/>
  <c r="F28" i="36"/>
  <c r="F27" i="36"/>
  <c r="E35" i="36"/>
  <c r="E34" i="36"/>
  <c r="E33" i="36"/>
  <c r="E32" i="36"/>
  <c r="E31" i="36"/>
  <c r="E30" i="36"/>
  <c r="E29" i="36"/>
  <c r="E28" i="36"/>
  <c r="E27" i="36"/>
  <c r="D35" i="36"/>
  <c r="D34" i="36"/>
  <c r="D33" i="36"/>
  <c r="D32" i="36"/>
  <c r="D31" i="36"/>
  <c r="D30" i="36"/>
  <c r="D29" i="36"/>
  <c r="D28" i="36"/>
  <c r="D27" i="36"/>
  <c r="C35" i="36"/>
  <c r="C34" i="36"/>
  <c r="C33" i="36"/>
  <c r="C32" i="36"/>
  <c r="C31" i="36"/>
  <c r="C30" i="36"/>
  <c r="C29" i="36"/>
  <c r="C28" i="36"/>
  <c r="C27" i="36"/>
  <c r="B35" i="36"/>
  <c r="B34" i="36"/>
  <c r="B33" i="36"/>
  <c r="B32" i="36"/>
  <c r="B31" i="36"/>
  <c r="B30" i="36"/>
  <c r="B29" i="36"/>
  <c r="B28" i="36"/>
  <c r="B27" i="36"/>
  <c r="I23" i="36"/>
  <c r="I22" i="36"/>
  <c r="I21" i="36"/>
  <c r="I20" i="36"/>
  <c r="I19" i="36"/>
  <c r="I18" i="36"/>
  <c r="I17" i="36"/>
  <c r="I16" i="36"/>
  <c r="I15" i="36"/>
  <c r="H23" i="36"/>
  <c r="H22" i="36"/>
  <c r="H21" i="36"/>
  <c r="H20" i="36"/>
  <c r="H19" i="36"/>
  <c r="H18" i="36"/>
  <c r="H17" i="36"/>
  <c r="H16" i="36"/>
  <c r="H15" i="36"/>
  <c r="G23" i="36"/>
  <c r="AZ186" i="10" s="1"/>
  <c r="G22" i="36"/>
  <c r="AN186" i="10" s="1"/>
  <c r="G21" i="36"/>
  <c r="AM186" i="10" s="1"/>
  <c r="G20" i="36"/>
  <c r="AE186" i="10" s="1"/>
  <c r="G19" i="36"/>
  <c r="Y186" i="10" s="1"/>
  <c r="G18" i="36"/>
  <c r="T186" i="10" s="1"/>
  <c r="G17" i="36"/>
  <c r="O186" i="10" s="1"/>
  <c r="G16" i="36"/>
  <c r="G15" i="36"/>
  <c r="F23" i="36"/>
  <c r="F22" i="36"/>
  <c r="F21" i="36"/>
  <c r="F20" i="36"/>
  <c r="F19" i="36"/>
  <c r="F18" i="36"/>
  <c r="F17" i="36"/>
  <c r="F16" i="36"/>
  <c r="F15" i="36"/>
  <c r="E23" i="36"/>
  <c r="E22" i="36"/>
  <c r="E21" i="36"/>
  <c r="E20" i="36"/>
  <c r="E19" i="36"/>
  <c r="E18" i="36"/>
  <c r="E17" i="36"/>
  <c r="E16" i="36"/>
  <c r="E15" i="36"/>
  <c r="D23" i="36"/>
  <c r="D22" i="36"/>
  <c r="D21" i="36"/>
  <c r="D20" i="36"/>
  <c r="D19" i="36"/>
  <c r="D18" i="36"/>
  <c r="D17" i="36"/>
  <c r="D16" i="36"/>
  <c r="D15" i="36"/>
  <c r="C23" i="36"/>
  <c r="C22" i="36"/>
  <c r="C21" i="36"/>
  <c r="C20" i="36"/>
  <c r="C19" i="36"/>
  <c r="C18" i="36"/>
  <c r="C17" i="36"/>
  <c r="C16" i="36"/>
  <c r="C15" i="36"/>
  <c r="B23" i="36"/>
  <c r="B22" i="36"/>
  <c r="B21" i="36"/>
  <c r="B20" i="36"/>
  <c r="B19" i="36"/>
  <c r="B18" i="36"/>
  <c r="B17" i="36"/>
  <c r="B16" i="36"/>
  <c r="B15" i="36"/>
  <c r="CF181" i="10"/>
  <c r="CE181" i="10"/>
  <c r="CD181" i="10"/>
  <c r="CC181" i="10"/>
  <c r="CB181" i="10"/>
  <c r="CA181" i="10"/>
  <c r="BZ181" i="10"/>
  <c r="BY181" i="10"/>
  <c r="BX181" i="10"/>
  <c r="BW181" i="10"/>
  <c r="BV181" i="10"/>
  <c r="BU181" i="10"/>
  <c r="BT181"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P181" i="10"/>
  <c r="Q181" i="10"/>
  <c r="R181" i="10"/>
  <c r="S181" i="10"/>
  <c r="O181" i="10"/>
  <c r="N181" i="10"/>
  <c r="M181" i="10"/>
  <c r="L181" i="10"/>
  <c r="K181" i="10"/>
  <c r="I181" i="10"/>
  <c r="H181" i="10"/>
  <c r="G181" i="10"/>
  <c r="F181" i="10"/>
  <c r="E181" i="10"/>
  <c r="J181" i="10"/>
  <c r="I11" i="36"/>
  <c r="I10" i="36"/>
  <c r="I9" i="36"/>
  <c r="I8" i="36"/>
  <c r="I7" i="36"/>
  <c r="I6" i="36"/>
  <c r="I5" i="36"/>
  <c r="I4" i="36"/>
  <c r="I3" i="36"/>
  <c r="H11" i="36"/>
  <c r="H10" i="36"/>
  <c r="H9" i="36"/>
  <c r="H8" i="36"/>
  <c r="H7" i="36"/>
  <c r="H6" i="36"/>
  <c r="H5" i="36"/>
  <c r="H4" i="36"/>
  <c r="H3" i="36"/>
  <c r="G11" i="36"/>
  <c r="G10" i="36"/>
  <c r="G9" i="36"/>
  <c r="G8" i="36"/>
  <c r="G7" i="36"/>
  <c r="G6" i="36"/>
  <c r="G5" i="36"/>
  <c r="G4" i="36"/>
  <c r="G3" i="36"/>
  <c r="F11" i="36"/>
  <c r="F10" i="36"/>
  <c r="F9" i="36"/>
  <c r="F8" i="36"/>
  <c r="F7" i="36"/>
  <c r="F6" i="36"/>
  <c r="F5" i="36"/>
  <c r="F4" i="36"/>
  <c r="F3" i="36"/>
  <c r="E11" i="36"/>
  <c r="E10" i="36"/>
  <c r="E9" i="36"/>
  <c r="E8" i="36"/>
  <c r="E7" i="36"/>
  <c r="E6" i="36"/>
  <c r="E5" i="36"/>
  <c r="E4" i="36"/>
  <c r="E3" i="36"/>
  <c r="D11" i="36"/>
  <c r="D10" i="36"/>
  <c r="D9" i="36"/>
  <c r="D8" i="36"/>
  <c r="D7" i="36"/>
  <c r="D6" i="36"/>
  <c r="D5" i="36"/>
  <c r="D4" i="36"/>
  <c r="D3" i="36"/>
  <c r="C11" i="36"/>
  <c r="C10" i="36"/>
  <c r="C9" i="36"/>
  <c r="C8" i="36"/>
  <c r="C7" i="36"/>
  <c r="C6" i="36"/>
  <c r="C5" i="36"/>
  <c r="C4" i="36"/>
  <c r="C3" i="36"/>
  <c r="B11" i="36"/>
  <c r="B10" i="36"/>
  <c r="B9" i="36"/>
  <c r="B8" i="36"/>
  <c r="B7" i="36"/>
  <c r="B6" i="36"/>
  <c r="B5" i="36"/>
  <c r="B4" i="36"/>
  <c r="B3" i="36"/>
  <c r="AT182" i="10"/>
  <c r="AU182" i="10"/>
  <c r="AV182" i="10"/>
  <c r="AW182" i="10"/>
  <c r="AX182" i="10"/>
  <c r="AY182" i="10"/>
  <c r="AZ182" i="10"/>
  <c r="BA182" i="10"/>
  <c r="BB182" i="10"/>
  <c r="BC182" i="10"/>
  <c r="BD182" i="10"/>
  <c r="BE182" i="10"/>
  <c r="BF182" i="10"/>
  <c r="BG182" i="10"/>
  <c r="BH182" i="10"/>
  <c r="BI182" i="10"/>
  <c r="BJ182" i="10"/>
  <c r="BK182" i="10"/>
  <c r="BL182" i="10"/>
  <c r="BM182" i="10"/>
  <c r="BN182" i="10"/>
  <c r="BO182" i="10"/>
  <c r="BP182" i="10"/>
  <c r="BQ182" i="10"/>
  <c r="BR182" i="10"/>
  <c r="BS182" i="10"/>
  <c r="BT182" i="10"/>
  <c r="BU182" i="10"/>
  <c r="BV182" i="10"/>
  <c r="BW182" i="10"/>
  <c r="BX182" i="10"/>
  <c r="BY182" i="10"/>
  <c r="BZ182" i="10"/>
  <c r="CA182" i="10"/>
  <c r="CB182" i="10"/>
  <c r="CC182" i="10"/>
  <c r="CD182" i="10"/>
  <c r="CE182" i="10"/>
  <c r="CF182" i="10"/>
  <c r="AS182" i="10"/>
  <c r="AR182" i="10"/>
  <c r="AQ182" i="10"/>
  <c r="AP182" i="10"/>
  <c r="AO182" i="10"/>
  <c r="AN182" i="10"/>
  <c r="AM182" i="10"/>
  <c r="AL182" i="10"/>
  <c r="AK182" i="10"/>
  <c r="AJ182" i="10"/>
  <c r="AI182" i="10"/>
  <c r="I182" i="10"/>
  <c r="H182" i="10"/>
  <c r="G182" i="10"/>
  <c r="F182" i="10"/>
  <c r="E182" i="10"/>
  <c r="I180" i="10"/>
  <c r="H180" i="10"/>
  <c r="G180" i="10"/>
  <c r="F180" i="10"/>
  <c r="E180" i="10"/>
  <c r="I179" i="10"/>
  <c r="H179" i="10"/>
  <c r="G179" i="10"/>
  <c r="F179" i="10"/>
  <c r="E179" i="10"/>
  <c r="I178" i="10"/>
  <c r="H178" i="10"/>
  <c r="G178" i="10"/>
  <c r="F178" i="10"/>
  <c r="E178" i="10"/>
  <c r="I177" i="10"/>
  <c r="H177" i="10"/>
  <c r="G177" i="10"/>
  <c r="F177" i="10"/>
  <c r="E177" i="10"/>
  <c r="CF180" i="10"/>
  <c r="CE180" i="10"/>
  <c r="CD180" i="10"/>
  <c r="CC180" i="10"/>
  <c r="CB180" i="10"/>
  <c r="CA180" i="10"/>
  <c r="BZ180" i="10"/>
  <c r="BY180" i="10"/>
  <c r="BX180" i="10"/>
  <c r="BW180" i="10"/>
  <c r="BV180" i="10"/>
  <c r="BU180" i="10"/>
  <c r="BT180"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CF179" i="10"/>
  <c r="CE179" i="10"/>
  <c r="CD179" i="10"/>
  <c r="CC179" i="10"/>
  <c r="CB179" i="10"/>
  <c r="CA179" i="10"/>
  <c r="BZ179" i="10"/>
  <c r="BY179" i="10"/>
  <c r="BX179" i="10"/>
  <c r="BW179" i="10"/>
  <c r="BV179" i="10"/>
  <c r="BU179" i="10"/>
  <c r="BT179" i="10"/>
  <c r="BS179" i="10"/>
  <c r="BR179" i="10"/>
  <c r="BQ179" i="10"/>
  <c r="BP179" i="10"/>
  <c r="BO179" i="10"/>
  <c r="BN179" i="10"/>
  <c r="BM179" i="10"/>
  <c r="BL179" i="10"/>
  <c r="BK179" i="10"/>
  <c r="BJ179" i="10"/>
  <c r="BI179" i="10"/>
  <c r="BH179" i="10"/>
  <c r="BG179" i="10"/>
  <c r="BF179" i="10"/>
  <c r="BE179" i="10"/>
  <c r="BD179" i="10"/>
  <c r="BC179" i="10"/>
  <c r="BB179" i="10"/>
  <c r="BA179" i="10"/>
  <c r="AZ179" i="10"/>
  <c r="AY179" i="10"/>
  <c r="AX179" i="10"/>
  <c r="AW179" i="10"/>
  <c r="AV179" i="10"/>
  <c r="AU179" i="10"/>
  <c r="AT179" i="10"/>
  <c r="CF178" i="10"/>
  <c r="CE178" i="10"/>
  <c r="CD178" i="10"/>
  <c r="CC178" i="10"/>
  <c r="CB178" i="10"/>
  <c r="CA178" i="10"/>
  <c r="BZ178" i="10"/>
  <c r="BY178" i="10"/>
  <c r="BX178" i="10"/>
  <c r="BW178" i="10"/>
  <c r="BV178" i="10"/>
  <c r="BU178" i="10"/>
  <c r="BT178" i="10"/>
  <c r="BS178" i="10"/>
  <c r="BR178" i="10"/>
  <c r="BQ178" i="10"/>
  <c r="BP178" i="10"/>
  <c r="BO178" i="10"/>
  <c r="BN178" i="10"/>
  <c r="BM178" i="10"/>
  <c r="BL178" i="10"/>
  <c r="BK178" i="10"/>
  <c r="BJ178" i="10"/>
  <c r="BI178" i="10"/>
  <c r="BH178" i="10"/>
  <c r="BG178" i="10"/>
  <c r="BF178" i="10"/>
  <c r="BE178" i="10"/>
  <c r="BD178" i="10"/>
  <c r="BC178" i="10"/>
  <c r="BB178" i="10"/>
  <c r="BA178" i="10"/>
  <c r="AZ178" i="10"/>
  <c r="AY178" i="10"/>
  <c r="AX178" i="10"/>
  <c r="AW178" i="10"/>
  <c r="AV178" i="10"/>
  <c r="AU178" i="10"/>
  <c r="AT178" i="10"/>
  <c r="CF177" i="10"/>
  <c r="CE177" i="10"/>
  <c r="CD177" i="10"/>
  <c r="CC177" i="10"/>
  <c r="CB177" i="10"/>
  <c r="CA177" i="10"/>
  <c r="BZ177" i="10"/>
  <c r="BY177" i="10"/>
  <c r="BX177" i="10"/>
  <c r="BW177" i="10"/>
  <c r="BV177" i="10"/>
  <c r="BU177" i="10"/>
  <c r="BT177" i="10"/>
  <c r="BS177" i="10"/>
  <c r="BR177" i="10"/>
  <c r="BQ177" i="10"/>
  <c r="BP177" i="10"/>
  <c r="BO177" i="10"/>
  <c r="BN177" i="10"/>
  <c r="BM177" i="10"/>
  <c r="BL177" i="10"/>
  <c r="BK177" i="10"/>
  <c r="BJ177" i="10"/>
  <c r="BI177" i="10"/>
  <c r="BH177" i="10"/>
  <c r="BG177" i="10"/>
  <c r="BF177" i="10"/>
  <c r="BE177" i="10"/>
  <c r="BD177" i="10"/>
  <c r="BC177" i="10"/>
  <c r="BB177" i="10"/>
  <c r="BA177" i="10"/>
  <c r="AZ177" i="10"/>
  <c r="AY177" i="10"/>
  <c r="AX177" i="10"/>
  <c r="AW177" i="10"/>
  <c r="AV177" i="10"/>
  <c r="AU177" i="10"/>
  <c r="AT177" i="10"/>
  <c r="CF176" i="10"/>
  <c r="CE176" i="10"/>
  <c r="CD176" i="10"/>
  <c r="CC176" i="10"/>
  <c r="CB176" i="10"/>
  <c r="CA176" i="10"/>
  <c r="BZ176" i="10"/>
  <c r="BY176" i="10"/>
  <c r="BX176" i="10"/>
  <c r="BW176" i="10"/>
  <c r="BV176" i="10"/>
  <c r="BU176" i="10"/>
  <c r="BT176" i="10"/>
  <c r="BS176" i="10"/>
  <c r="BR176" i="10"/>
  <c r="BQ176" i="10"/>
  <c r="BP176" i="10"/>
  <c r="BO176" i="10"/>
  <c r="BN176" i="10"/>
  <c r="BM176" i="10"/>
  <c r="BL176" i="10"/>
  <c r="BK176" i="10"/>
  <c r="BJ176" i="10"/>
  <c r="BI176" i="10"/>
  <c r="BH176" i="10"/>
  <c r="BG176" i="10"/>
  <c r="BF176" i="10"/>
  <c r="BE176" i="10"/>
  <c r="BD176" i="10"/>
  <c r="BC176" i="10"/>
  <c r="BB176" i="10"/>
  <c r="BA176" i="10"/>
  <c r="AZ176" i="10"/>
  <c r="AY176" i="10"/>
  <c r="AX176" i="10"/>
  <c r="AW176" i="10"/>
  <c r="AV176" i="10"/>
  <c r="AU176" i="10"/>
  <c r="AT176" i="10"/>
  <c r="AS180" i="10"/>
  <c r="AS179" i="10"/>
  <c r="AS178" i="10"/>
  <c r="AS177" i="10"/>
  <c r="AR180" i="10"/>
  <c r="AQ180" i="10"/>
  <c r="AP180" i="10"/>
  <c r="AO180" i="10"/>
  <c r="AR179" i="10"/>
  <c r="AQ179" i="10"/>
  <c r="AP179" i="10"/>
  <c r="AO179" i="10"/>
  <c r="AR178" i="10"/>
  <c r="AQ178" i="10"/>
  <c r="AP178" i="10"/>
  <c r="AO178" i="10"/>
  <c r="AR177" i="10"/>
  <c r="AQ177" i="10"/>
  <c r="AP177" i="10"/>
  <c r="AO177" i="10"/>
  <c r="AR176" i="10"/>
  <c r="AQ176" i="10"/>
  <c r="AP176" i="10"/>
  <c r="AO176" i="10"/>
  <c r="AN180" i="10"/>
  <c r="AN179" i="10"/>
  <c r="AN178" i="10"/>
  <c r="AN177" i="10"/>
  <c r="AM180" i="10"/>
  <c r="AL180" i="10"/>
  <c r="AK180" i="10"/>
  <c r="AJ180" i="10"/>
  <c r="AM179" i="10"/>
  <c r="AL179" i="10"/>
  <c r="AK179" i="10"/>
  <c r="AJ179" i="10"/>
  <c r="AM178" i="10"/>
  <c r="AL178" i="10"/>
  <c r="AK178" i="10"/>
  <c r="AJ178" i="10"/>
  <c r="AM177" i="10"/>
  <c r="AL177" i="10"/>
  <c r="AK177" i="10"/>
  <c r="AJ177" i="10"/>
  <c r="AM176" i="10"/>
  <c r="AL176" i="10"/>
  <c r="AK176" i="10"/>
  <c r="AJ176" i="10"/>
  <c r="AI180" i="10"/>
  <c r="AI179" i="10"/>
  <c r="AI178" i="10"/>
  <c r="AI177" i="10"/>
  <c r="AH177" i="10"/>
  <c r="AH178" i="10"/>
  <c r="AH179" i="10"/>
  <c r="AH180" i="10"/>
  <c r="AS176" i="10"/>
  <c r="AN176" i="10"/>
  <c r="AI176" i="10"/>
  <c r="H176" i="10"/>
  <c r="G176" i="10"/>
  <c r="F176" i="10"/>
  <c r="E176" i="10"/>
  <c r="I176" i="10"/>
  <c r="BQ188" i="10" l="1"/>
  <c r="AS188" i="10"/>
  <c r="BO188" i="10"/>
  <c r="BJ188" i="10"/>
  <c r="CE188" i="10"/>
  <c r="BI188" i="10"/>
  <c r="BZ188" i="10"/>
  <c r="BG188" i="10"/>
  <c r="BY188" i="10"/>
  <c r="BB188" i="10"/>
  <c r="CA188" i="10"/>
  <c r="BS188" i="10"/>
  <c r="BK188" i="10"/>
  <c r="BC188" i="10"/>
  <c r="AU188" i="10"/>
  <c r="AT188" i="10"/>
  <c r="CF188" i="10"/>
  <c r="BX188" i="10"/>
  <c r="BP188" i="10"/>
  <c r="BH188" i="10"/>
  <c r="AZ188" i="10"/>
  <c r="CD188" i="10"/>
  <c r="BV188" i="10"/>
  <c r="BN188" i="10"/>
  <c r="BF188" i="10"/>
  <c r="AX188" i="10"/>
  <c r="CC188" i="10"/>
  <c r="BU188" i="10"/>
  <c r="BM188" i="10"/>
  <c r="BE188" i="10"/>
  <c r="AW188" i="10"/>
  <c r="CB188" i="10"/>
  <c r="BT188" i="10"/>
  <c r="BL188" i="10"/>
  <c r="BD188" i="10"/>
  <c r="CF187" i="10"/>
  <c r="BX187" i="10"/>
  <c r="BP187" i="10"/>
  <c r="BH187" i="10"/>
  <c r="AZ187" i="10"/>
  <c r="CE187" i="10"/>
  <c r="BW187" i="10"/>
  <c r="BO187" i="10"/>
  <c r="BG187" i="10"/>
  <c r="AY187" i="10"/>
  <c r="CD187" i="10"/>
  <c r="BV187" i="10"/>
  <c r="BN187" i="10"/>
  <c r="BF187" i="10"/>
  <c r="AX187" i="10"/>
  <c r="CC187" i="10"/>
  <c r="BU187" i="10"/>
  <c r="BM187" i="10"/>
  <c r="BE187" i="10"/>
  <c r="AW187" i="10"/>
  <c r="CB187" i="10"/>
  <c r="BT187" i="10"/>
  <c r="BL187" i="10"/>
  <c r="BD187" i="10"/>
  <c r="AV187" i="10"/>
  <c r="CA187" i="10"/>
  <c r="BS187" i="10"/>
  <c r="BK187" i="10"/>
  <c r="BC187" i="10"/>
  <c r="AU187" i="10"/>
  <c r="BZ187" i="10"/>
  <c r="BR187" i="10"/>
  <c r="BJ187" i="10"/>
  <c r="BB187" i="10"/>
  <c r="CC186" i="10"/>
  <c r="BU186" i="10"/>
  <c r="BM186" i="10"/>
  <c r="BE186" i="10"/>
  <c r="AW186" i="10"/>
  <c r="CB186" i="10"/>
  <c r="BT186" i="10"/>
  <c r="BL186" i="10"/>
  <c r="BD186" i="10"/>
  <c r="AV186" i="10"/>
  <c r="CA186" i="10"/>
  <c r="BS186" i="10"/>
  <c r="BK186" i="10"/>
  <c r="BC186" i="10"/>
  <c r="AU186" i="10"/>
  <c r="BZ186" i="10"/>
  <c r="BR186" i="10"/>
  <c r="BJ186" i="10"/>
  <c r="BB186" i="10"/>
  <c r="AT186" i="10"/>
  <c r="BY186" i="10"/>
  <c r="BQ186" i="10"/>
  <c r="BI186" i="10"/>
  <c r="BA186" i="10"/>
  <c r="AS186" i="10"/>
  <c r="CF186" i="10"/>
  <c r="BX186" i="10"/>
  <c r="BP186" i="10"/>
  <c r="BH186" i="10"/>
  <c r="AO188" i="10"/>
  <c r="AN188" i="10"/>
  <c r="AR188" i="10"/>
  <c r="AQ187" i="10"/>
  <c r="AP187" i="10"/>
  <c r="AL188" i="10"/>
  <c r="AM187" i="10"/>
  <c r="AL187" i="10"/>
  <c r="AK187" i="10"/>
  <c r="AI187" i="10"/>
  <c r="AJ187" i="10"/>
  <c r="AK186" i="10"/>
  <c r="AJ186" i="10"/>
  <c r="AI186" i="10"/>
  <c r="AH188" i="10"/>
  <c r="AG188" i="10"/>
  <c r="AF188" i="10"/>
  <c r="AE188" i="10"/>
  <c r="AH187" i="10"/>
  <c r="AG187" i="10"/>
  <c r="AF187" i="10"/>
  <c r="AH186" i="10"/>
  <c r="Z188" i="10"/>
  <c r="Y188" i="10"/>
  <c r="Y187" i="10"/>
  <c r="AC187" i="10"/>
  <c r="AB187" i="10"/>
  <c r="AA187" i="10"/>
  <c r="Z187" i="10"/>
  <c r="AC186" i="10"/>
  <c r="AB186" i="10"/>
  <c r="AA186" i="10"/>
  <c r="Z186" i="10"/>
  <c r="U188" i="10"/>
  <c r="T188" i="10"/>
  <c r="X188" i="10"/>
  <c r="T187" i="10"/>
  <c r="V187" i="10"/>
  <c r="X187" i="10"/>
  <c r="W187" i="10"/>
  <c r="X186" i="10"/>
  <c r="W186" i="10"/>
  <c r="V186" i="10"/>
  <c r="U186" i="10"/>
  <c r="P188" i="10"/>
  <c r="S188" i="10"/>
  <c r="Q187" i="10"/>
  <c r="O187" i="10"/>
  <c r="S187" i="10"/>
  <c r="R187" i="10"/>
  <c r="S186" i="10"/>
  <c r="R186" i="10"/>
  <c r="Q186" i="10"/>
  <c r="P186" i="10"/>
  <c r="D13" i="13"/>
  <c r="E13" i="13"/>
  <c r="F13" i="13"/>
  <c r="G13" i="13"/>
  <c r="H13" i="13"/>
  <c r="I13" i="13"/>
  <c r="J13" i="13"/>
  <c r="K13" i="13"/>
  <c r="L13" i="13"/>
  <c r="M13" i="13"/>
  <c r="N13" i="13"/>
  <c r="O13" i="13"/>
  <c r="P13" i="13"/>
  <c r="Q13" i="13"/>
  <c r="R13" i="13"/>
  <c r="S13" i="13"/>
  <c r="T13" i="13"/>
  <c r="U13" i="13"/>
  <c r="V13" i="13"/>
  <c r="W13" i="13"/>
  <c r="X13" i="13"/>
  <c r="Y13" i="13"/>
  <c r="Z13" i="13"/>
  <c r="AA13" i="13"/>
  <c r="AB13" i="13"/>
  <c r="AC13" i="13"/>
  <c r="AD13" i="13"/>
  <c r="AE13" i="13"/>
  <c r="AF13" i="13"/>
  <c r="AG13" i="13"/>
  <c r="AH13" i="13"/>
  <c r="AI13" i="13"/>
  <c r="AJ13" i="13"/>
  <c r="AK13" i="13"/>
  <c r="AL13" i="13"/>
  <c r="AM13" i="13"/>
  <c r="AN13" i="13"/>
  <c r="AO13" i="13"/>
  <c r="AP13" i="13"/>
  <c r="AQ13" i="13"/>
  <c r="AR13" i="13"/>
  <c r="AS13" i="13"/>
  <c r="AT13" i="13"/>
  <c r="AU13" i="13"/>
  <c r="AV13" i="13"/>
  <c r="AW13" i="13"/>
  <c r="AX13" i="13"/>
  <c r="AY13" i="13"/>
  <c r="AZ13" i="13"/>
  <c r="BA13" i="13"/>
  <c r="BB13" i="13"/>
  <c r="BC13" i="13"/>
  <c r="BD13" i="13"/>
  <c r="BE13" i="13"/>
  <c r="BF13" i="13"/>
  <c r="BG13" i="13"/>
  <c r="BH13" i="13"/>
  <c r="BI13" i="13"/>
  <c r="BJ13" i="13"/>
  <c r="BK13" i="13"/>
  <c r="BL13" i="13"/>
  <c r="BM13" i="13"/>
  <c r="BN13" i="13"/>
  <c r="BO13" i="13"/>
  <c r="BP13" i="13"/>
  <c r="BQ13" i="13"/>
  <c r="BR13" i="13"/>
  <c r="BS13" i="13"/>
  <c r="BT13" i="13"/>
  <c r="BU13" i="13"/>
  <c r="BV13" i="13"/>
  <c r="BW13" i="13"/>
  <c r="BX13" i="13"/>
  <c r="BY13" i="13"/>
  <c r="BZ13" i="13"/>
  <c r="CA13" i="13"/>
  <c r="CB13" i="13"/>
  <c r="CC13" i="13"/>
  <c r="CD13" i="13"/>
  <c r="CD18" i="13" s="1"/>
  <c r="CC18" i="13" s="1"/>
  <c r="CB18" i="13" s="1"/>
  <c r="CA18" i="13" s="1"/>
  <c r="BZ18" i="13" s="1"/>
  <c r="BY18" i="13" s="1"/>
  <c r="BX18" i="13" s="1"/>
  <c r="BW18" i="13" s="1"/>
  <c r="BV18" i="13" s="1"/>
  <c r="BU18" i="13" s="1"/>
  <c r="BT18" i="13" s="1"/>
  <c r="BS18" i="13" s="1"/>
  <c r="BR18" i="13" s="1"/>
  <c r="BQ18" i="13" s="1"/>
  <c r="BP18" i="13" s="1"/>
  <c r="BO18" i="13" s="1"/>
  <c r="BN18" i="13" s="1"/>
  <c r="BM18" i="13" s="1"/>
  <c r="BL18" i="13" s="1"/>
  <c r="BK18" i="13" s="1"/>
  <c r="BJ18" i="13" s="1"/>
  <c r="BI18" i="13" s="1"/>
  <c r="BH18" i="13" s="1"/>
  <c r="BG18" i="13" s="1"/>
  <c r="BF18" i="13" s="1"/>
  <c r="BE18" i="13" s="1"/>
  <c r="BD18" i="13" s="1"/>
  <c r="BC18" i="13" s="1"/>
  <c r="BB18" i="13" s="1"/>
  <c r="BA18" i="13" s="1"/>
  <c r="AZ18" i="13" s="1"/>
  <c r="AY18" i="13" s="1"/>
  <c r="AX18" i="13" s="1"/>
  <c r="AW18" i="13" s="1"/>
  <c r="AV18" i="13" s="1"/>
  <c r="AU18" i="13" s="1"/>
  <c r="AT18" i="13" s="1"/>
  <c r="AS18" i="13" s="1"/>
  <c r="AR18" i="13" s="1"/>
  <c r="D14" i="13"/>
  <c r="E14" i="13"/>
  <c r="F14" i="13"/>
  <c r="G14" i="13"/>
  <c r="H14" i="13"/>
  <c r="I14" i="13"/>
  <c r="J14" i="13"/>
  <c r="K14" i="13"/>
  <c r="L14" i="13"/>
  <c r="M14" i="13"/>
  <c r="N14" i="13"/>
  <c r="O14" i="13"/>
  <c r="P14" i="13"/>
  <c r="Q14" i="13"/>
  <c r="R14" i="13"/>
  <c r="S14" i="13"/>
  <c r="T14" i="13"/>
  <c r="U14" i="13"/>
  <c r="V14" i="13"/>
  <c r="W14" i="13"/>
  <c r="X14" i="13"/>
  <c r="Y14" i="13"/>
  <c r="Z14" i="13"/>
  <c r="AA14" i="13"/>
  <c r="AB14" i="13"/>
  <c r="AC14" i="13"/>
  <c r="AD14" i="13"/>
  <c r="AE14" i="13"/>
  <c r="AF14" i="13"/>
  <c r="AG14" i="13"/>
  <c r="AH14" i="13"/>
  <c r="AI14" i="13"/>
  <c r="AJ14" i="13"/>
  <c r="AK14" i="13"/>
  <c r="AL14" i="13"/>
  <c r="AM14" i="13"/>
  <c r="AN14" i="13"/>
  <c r="AO14" i="13"/>
  <c r="AP14" i="13"/>
  <c r="AQ14" i="13"/>
  <c r="AR14" i="13"/>
  <c r="AS14" i="13"/>
  <c r="AT14" i="13"/>
  <c r="AU14" i="13"/>
  <c r="AV14" i="13"/>
  <c r="AW14" i="13"/>
  <c r="AX14" i="13"/>
  <c r="AY14" i="13"/>
  <c r="AZ14" i="13"/>
  <c r="BA14" i="13"/>
  <c r="BB14" i="13"/>
  <c r="BC14" i="13"/>
  <c r="BD14" i="13"/>
  <c r="BE14" i="13"/>
  <c r="BF14" i="13"/>
  <c r="BG14" i="13"/>
  <c r="BH14" i="13"/>
  <c r="BI14" i="13"/>
  <c r="BJ14" i="13"/>
  <c r="BK14" i="13"/>
  <c r="BL14" i="13"/>
  <c r="BM14" i="13"/>
  <c r="BN14" i="13"/>
  <c r="BO14" i="13"/>
  <c r="BP14" i="13"/>
  <c r="BQ14" i="13"/>
  <c r="BR14" i="13"/>
  <c r="BS14" i="13"/>
  <c r="BT14" i="13"/>
  <c r="BU14" i="13"/>
  <c r="BV14" i="13"/>
  <c r="BW14" i="13"/>
  <c r="BX14" i="13"/>
  <c r="BY14" i="13"/>
  <c r="BZ14" i="13"/>
  <c r="CA14" i="13"/>
  <c r="CB14" i="13"/>
  <c r="CC14" i="13"/>
  <c r="CD14" i="13"/>
  <c r="C14" i="13"/>
  <c r="C13" i="13"/>
  <c r="J60" i="31"/>
  <c r="K60" i="31"/>
  <c r="L60" i="31"/>
  <c r="J61" i="31"/>
  <c r="K61" i="31"/>
  <c r="L61" i="31"/>
  <c r="J62" i="31"/>
  <c r="K62" i="31"/>
  <c r="L62" i="31"/>
  <c r="J63" i="31"/>
  <c r="K63" i="31"/>
  <c r="L63" i="31"/>
  <c r="J64" i="31"/>
  <c r="K64" i="31"/>
  <c r="L64" i="31"/>
  <c r="J65" i="31"/>
  <c r="K65" i="31"/>
  <c r="L65" i="31"/>
  <c r="J66" i="31"/>
  <c r="K66" i="31"/>
  <c r="L66" i="31"/>
  <c r="J67" i="31"/>
  <c r="K67" i="31"/>
  <c r="L67" i="31"/>
  <c r="J68" i="31"/>
  <c r="K68" i="31"/>
  <c r="L68" i="31"/>
  <c r="J69" i="31"/>
  <c r="K69" i="31"/>
  <c r="L69" i="31"/>
  <c r="J70" i="31"/>
  <c r="K70" i="31"/>
  <c r="L70" i="31"/>
  <c r="K59" i="31"/>
  <c r="L59" i="31"/>
  <c r="F59" i="31"/>
  <c r="G59" i="31"/>
  <c r="H59" i="31"/>
  <c r="I59" i="31"/>
  <c r="J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E60" i="31"/>
  <c r="E61" i="31"/>
  <c r="E62" i="31"/>
  <c r="E63" i="31"/>
  <c r="E64" i="31"/>
  <c r="E65" i="31"/>
  <c r="E66" i="31"/>
  <c r="E67" i="31"/>
  <c r="E68" i="31"/>
  <c r="E69" i="31"/>
  <c r="E70" i="31"/>
  <c r="E59" i="31"/>
  <c r="C18" i="13" l="1"/>
  <c r="C17" i="13"/>
  <c r="C15" i="13"/>
  <c r="AQ17" i="13"/>
  <c r="AR17" i="13" s="1"/>
  <c r="AS17" i="13" s="1"/>
  <c r="AT17" i="13" s="1"/>
  <c r="AU17" i="13" s="1"/>
  <c r="AV17" i="13" s="1"/>
  <c r="AW17" i="13" s="1"/>
  <c r="AX17" i="13" s="1"/>
  <c r="AY17" i="13" s="1"/>
  <c r="AZ17" i="13" s="1"/>
  <c r="BA17" i="13" s="1"/>
  <c r="BB17" i="13" s="1"/>
  <c r="BC17" i="13" s="1"/>
  <c r="BD17" i="13" s="1"/>
  <c r="BE17" i="13" s="1"/>
  <c r="BF17" i="13" s="1"/>
  <c r="BG17" i="13" s="1"/>
  <c r="BH17" i="13" s="1"/>
  <c r="BI17" i="13" s="1"/>
  <c r="BJ17" i="13" s="1"/>
  <c r="BK17" i="13" s="1"/>
  <c r="BL17" i="13" s="1"/>
  <c r="BM17" i="13" s="1"/>
  <c r="BN17" i="13" s="1"/>
  <c r="BO17" i="13" s="1"/>
  <c r="BP17" i="13" s="1"/>
  <c r="BQ17" i="13" s="1"/>
  <c r="BR17" i="13" s="1"/>
  <c r="BS17" i="13" s="1"/>
  <c r="BT17" i="13" s="1"/>
  <c r="BU17" i="13" s="1"/>
  <c r="BV17" i="13" s="1"/>
  <c r="BW17" i="13" s="1"/>
  <c r="BX17" i="13" s="1"/>
  <c r="BY17" i="13" s="1"/>
  <c r="BZ17" i="13" s="1"/>
  <c r="CA17" i="13" s="1"/>
  <c r="CB17" i="13" s="1"/>
  <c r="CC17" i="13" s="1"/>
  <c r="CD17" i="13" s="1"/>
  <c r="AQ18" i="13"/>
  <c r="AP18" i="13" s="1"/>
  <c r="AO18" i="13" s="1"/>
  <c r="AN18" i="13" s="1"/>
  <c r="AM18" i="13" s="1"/>
  <c r="AL17" i="13"/>
  <c r="AM17" i="13" s="1"/>
  <c r="AN17" i="13" s="1"/>
  <c r="AO17" i="13" s="1"/>
  <c r="AP17" i="13" s="1"/>
  <c r="AL18" i="13"/>
  <c r="AK18" i="13" s="1"/>
  <c r="AJ18" i="13" s="1"/>
  <c r="AI18" i="13" s="1"/>
  <c r="AH18" i="13" s="1"/>
  <c r="AG17" i="13"/>
  <c r="AH17" i="13" s="1"/>
  <c r="AI17" i="13" s="1"/>
  <c r="AJ17" i="13" s="1"/>
  <c r="AK17" i="13" s="1"/>
  <c r="AG18" i="13"/>
  <c r="AF18" i="13" s="1"/>
  <c r="AE18" i="13" s="1"/>
  <c r="AD18" i="13" s="1"/>
  <c r="AC18" i="13" s="1"/>
  <c r="AB17" i="13"/>
  <c r="AC17" i="13" s="1"/>
  <c r="AD17" i="13" s="1"/>
  <c r="AE17" i="13" s="1"/>
  <c r="AF17" i="13" s="1"/>
  <c r="AB18" i="13"/>
  <c r="AA18" i="13" s="1"/>
  <c r="Z18" i="13" s="1"/>
  <c r="Y18" i="13" s="1"/>
  <c r="X18" i="13" s="1"/>
  <c r="W17" i="13"/>
  <c r="X17" i="13" s="1"/>
  <c r="Y17" i="13" s="1"/>
  <c r="Z17" i="13" s="1"/>
  <c r="AA17" i="13" s="1"/>
  <c r="W18" i="13"/>
  <c r="V18" i="13" s="1"/>
  <c r="U18" i="13" s="1"/>
  <c r="T18" i="13" s="1"/>
  <c r="S18" i="13" s="1"/>
  <c r="R17" i="13"/>
  <c r="S17" i="13" s="1"/>
  <c r="T17" i="13" s="1"/>
  <c r="U17" i="13" s="1"/>
  <c r="V17" i="13" s="1"/>
  <c r="R18" i="13"/>
  <c r="Q18" i="13" s="1"/>
  <c r="P18" i="13" s="1"/>
  <c r="O18" i="13" s="1"/>
  <c r="N18" i="13" s="1"/>
  <c r="M17" i="13"/>
  <c r="N17" i="13" s="1"/>
  <c r="O17" i="13" s="1"/>
  <c r="P17" i="13" s="1"/>
  <c r="Q17" i="13" s="1"/>
  <c r="M18" i="13"/>
  <c r="L18" i="13" s="1"/>
  <c r="K18" i="13" s="1"/>
  <c r="J18" i="13" s="1"/>
  <c r="I18" i="13" s="1"/>
  <c r="H17" i="13"/>
  <c r="I17" i="13" s="1"/>
  <c r="J17" i="13" s="1"/>
  <c r="K17" i="13" s="1"/>
  <c r="L17" i="13" s="1"/>
  <c r="H18" i="13"/>
  <c r="G18" i="13" s="1"/>
  <c r="F18" i="13" s="1"/>
  <c r="E18" i="13" s="1"/>
  <c r="D18" i="13" s="1"/>
  <c r="D17" i="13"/>
  <c r="E17" i="13" s="1"/>
  <c r="F17" i="13" s="1"/>
  <c r="G17" i="13" s="1"/>
  <c r="C3" i="13"/>
  <c r="U10" i="31" l="1"/>
  <c r="V10" i="31"/>
  <c r="U11" i="31"/>
  <c r="V11" i="31"/>
  <c r="U12" i="31"/>
  <c r="V12" i="31"/>
  <c r="U13" i="31"/>
  <c r="V13" i="31"/>
  <c r="U14" i="31"/>
  <c r="V14" i="31"/>
  <c r="U15" i="31"/>
  <c r="V15" i="31"/>
  <c r="U16" i="31"/>
  <c r="V16" i="31"/>
  <c r="U17" i="31"/>
  <c r="V17" i="31"/>
  <c r="U18" i="31"/>
  <c r="V18" i="31"/>
  <c r="U19" i="31"/>
  <c r="V19" i="31"/>
  <c r="U20" i="31"/>
  <c r="V20" i="31"/>
  <c r="U22" i="31"/>
  <c r="V22" i="31"/>
  <c r="U23" i="31"/>
  <c r="V23" i="31"/>
  <c r="U24" i="31"/>
  <c r="V24" i="31"/>
  <c r="U25" i="31"/>
  <c r="V25" i="31"/>
  <c r="U27" i="31"/>
  <c r="V27" i="31"/>
  <c r="U28" i="31"/>
  <c r="V28" i="31"/>
  <c r="U29" i="31"/>
  <c r="V29" i="31"/>
  <c r="U30" i="31"/>
  <c r="V30" i="31"/>
  <c r="U31" i="31"/>
  <c r="V31" i="31"/>
  <c r="U32" i="31"/>
  <c r="V32" i="31"/>
  <c r="U35" i="31"/>
  <c r="V35" i="31"/>
  <c r="U36" i="31"/>
  <c r="V36" i="31"/>
  <c r="U37" i="31"/>
  <c r="V37" i="31"/>
  <c r="U38" i="31"/>
  <c r="V38" i="31"/>
  <c r="U39" i="31"/>
  <c r="V39" i="31"/>
  <c r="U40" i="31"/>
  <c r="V40" i="31"/>
  <c r="U41" i="31"/>
  <c r="V41" i="31"/>
  <c r="U42" i="31"/>
  <c r="V42" i="31"/>
  <c r="U43" i="31"/>
  <c r="V43" i="31"/>
  <c r="U44" i="31"/>
  <c r="V44" i="31"/>
  <c r="U45" i="31"/>
  <c r="V45" i="31"/>
  <c r="U47" i="31"/>
  <c r="V47" i="31"/>
  <c r="U48" i="31"/>
  <c r="V48" i="31"/>
  <c r="U49" i="31"/>
  <c r="V49" i="31"/>
  <c r="U50" i="31"/>
  <c r="V50" i="31"/>
  <c r="U51" i="31"/>
  <c r="V51" i="31"/>
  <c r="U52" i="31"/>
  <c r="V52" i="31"/>
  <c r="U53" i="31"/>
  <c r="V53" i="31"/>
  <c r="U54" i="31"/>
  <c r="V54" i="31"/>
  <c r="U55" i="31"/>
  <c r="V55" i="31"/>
  <c r="U56" i="31"/>
  <c r="V56" i="31"/>
  <c r="U57" i="31"/>
  <c r="V57" i="31"/>
  <c r="O51" i="31"/>
  <c r="P51" i="31"/>
  <c r="Q51" i="31"/>
  <c r="R51" i="31"/>
  <c r="O52" i="31"/>
  <c r="P52" i="31"/>
  <c r="Q52" i="31"/>
  <c r="R52" i="31"/>
  <c r="O11" i="31"/>
  <c r="C14" i="40" l="1"/>
  <c r="C13" i="40"/>
  <c r="C5" i="40"/>
  <c r="C4" i="40"/>
  <c r="Q11" i="31"/>
  <c r="E11" i="8" l="1"/>
  <c r="D7" i="6"/>
  <c r="E6" i="8"/>
  <c r="F75" i="8" s="1"/>
  <c r="E7" i="8"/>
  <c r="H76" i="8" s="1"/>
  <c r="E8" i="8"/>
  <c r="E5" i="8"/>
  <c r="D40" i="6"/>
  <c r="C7" i="2"/>
  <c r="C8" i="2"/>
  <c r="E77" i="8" l="1"/>
  <c r="CD77" i="8"/>
  <c r="CE77" i="8"/>
  <c r="BY77" i="8"/>
  <c r="BV77" i="8"/>
  <c r="BQ77" i="8"/>
  <c r="BI77" i="8"/>
  <c r="E80" i="8"/>
  <c r="CF77" i="8"/>
  <c r="CB77" i="8"/>
  <c r="BT77" i="8"/>
  <c r="BL77" i="8"/>
  <c r="BD77" i="8"/>
  <c r="AV77" i="8"/>
  <c r="AN77" i="8"/>
  <c r="AF77" i="8"/>
  <c r="X77" i="8"/>
  <c r="P77" i="8"/>
  <c r="H77" i="8"/>
  <c r="CA76" i="8"/>
  <c r="BS76" i="8"/>
  <c r="BK76" i="8"/>
  <c r="BC76" i="8"/>
  <c r="AU76" i="8"/>
  <c r="AM76" i="8"/>
  <c r="AE76" i="8"/>
  <c r="W76" i="8"/>
  <c r="O76" i="8"/>
  <c r="F76" i="8"/>
  <c r="BY75" i="8"/>
  <c r="BQ75" i="8"/>
  <c r="BI75" i="8"/>
  <c r="BA75" i="8"/>
  <c r="AS75" i="8"/>
  <c r="AK75" i="8"/>
  <c r="AC75" i="8"/>
  <c r="U75" i="8"/>
  <c r="M75" i="8"/>
  <c r="CF74" i="8"/>
  <c r="BX74" i="8"/>
  <c r="BP74" i="8"/>
  <c r="BH74" i="8"/>
  <c r="AZ74" i="8"/>
  <c r="AR74" i="8"/>
  <c r="AJ74" i="8"/>
  <c r="AB74" i="8"/>
  <c r="T74" i="8"/>
  <c r="L74" i="8"/>
  <c r="E76" i="8"/>
  <c r="CA77" i="8"/>
  <c r="BS77" i="8"/>
  <c r="BK77" i="8"/>
  <c r="BC77" i="8"/>
  <c r="AU77" i="8"/>
  <c r="AM77" i="8"/>
  <c r="AE77" i="8"/>
  <c r="W77" i="8"/>
  <c r="O77" i="8"/>
  <c r="G77" i="8"/>
  <c r="BZ76" i="8"/>
  <c r="BR76" i="8"/>
  <c r="BJ76" i="8"/>
  <c r="BB76" i="8"/>
  <c r="AT76" i="8"/>
  <c r="AL76" i="8"/>
  <c r="AD76" i="8"/>
  <c r="V76" i="8"/>
  <c r="N76" i="8"/>
  <c r="CF75" i="8"/>
  <c r="BX75" i="8"/>
  <c r="BP75" i="8"/>
  <c r="BH75" i="8"/>
  <c r="AZ75" i="8"/>
  <c r="AR75" i="8"/>
  <c r="AJ75" i="8"/>
  <c r="AB75" i="8"/>
  <c r="T75" i="8"/>
  <c r="L75" i="8"/>
  <c r="CE74" i="8"/>
  <c r="BW74" i="8"/>
  <c r="BO74" i="8"/>
  <c r="BG74" i="8"/>
  <c r="AY74" i="8"/>
  <c r="AQ74" i="8"/>
  <c r="AI74" i="8"/>
  <c r="AA74" i="8"/>
  <c r="S74" i="8"/>
  <c r="K74" i="8"/>
  <c r="E75" i="8"/>
  <c r="BZ77" i="8"/>
  <c r="BR77" i="8"/>
  <c r="BJ77" i="8"/>
  <c r="BB77" i="8"/>
  <c r="AT77" i="8"/>
  <c r="AL77" i="8"/>
  <c r="AD77" i="8"/>
  <c r="V77" i="8"/>
  <c r="N77" i="8"/>
  <c r="F77" i="8"/>
  <c r="BY76" i="8"/>
  <c r="BQ76" i="8"/>
  <c r="BI76" i="8"/>
  <c r="BA76" i="8"/>
  <c r="AS76" i="8"/>
  <c r="AK76" i="8"/>
  <c r="AC76" i="8"/>
  <c r="U76" i="8"/>
  <c r="M76" i="8"/>
  <c r="CE75" i="8"/>
  <c r="BW75" i="8"/>
  <c r="BO75" i="8"/>
  <c r="BG75" i="8"/>
  <c r="AY75" i="8"/>
  <c r="AQ75" i="8"/>
  <c r="AI75" i="8"/>
  <c r="AA75" i="8"/>
  <c r="S75" i="8"/>
  <c r="K75" i="8"/>
  <c r="CD74" i="8"/>
  <c r="BV74" i="8"/>
  <c r="BN74" i="8"/>
  <c r="BF74" i="8"/>
  <c r="AX74" i="8"/>
  <c r="AP74" i="8"/>
  <c r="AH74" i="8"/>
  <c r="Z74" i="8"/>
  <c r="R74" i="8"/>
  <c r="J74" i="8"/>
  <c r="E74" i="8"/>
  <c r="BA77" i="8"/>
  <c r="AS77" i="8"/>
  <c r="AK77" i="8"/>
  <c r="AC77" i="8"/>
  <c r="U77" i="8"/>
  <c r="M77" i="8"/>
  <c r="CF76" i="8"/>
  <c r="BX76" i="8"/>
  <c r="BP76" i="8"/>
  <c r="BH76" i="8"/>
  <c r="AZ76" i="8"/>
  <c r="AR76" i="8"/>
  <c r="AJ76" i="8"/>
  <c r="AB76" i="8"/>
  <c r="T76" i="8"/>
  <c r="L76" i="8"/>
  <c r="CD75" i="8"/>
  <c r="BV75" i="8"/>
  <c r="BN75" i="8"/>
  <c r="BF75" i="8"/>
  <c r="AX75" i="8"/>
  <c r="AP75" i="8"/>
  <c r="AH75" i="8"/>
  <c r="Z75" i="8"/>
  <c r="R75" i="8"/>
  <c r="J75" i="8"/>
  <c r="CC74" i="8"/>
  <c r="BU74" i="8"/>
  <c r="BM74" i="8"/>
  <c r="BE74" i="8"/>
  <c r="AW74" i="8"/>
  <c r="AO74" i="8"/>
  <c r="AG74" i="8"/>
  <c r="Y74" i="8"/>
  <c r="Q74" i="8"/>
  <c r="I74" i="8"/>
  <c r="G76" i="8"/>
  <c r="BX77" i="8"/>
  <c r="BP77" i="8"/>
  <c r="BH77" i="8"/>
  <c r="AZ77" i="8"/>
  <c r="AR77" i="8"/>
  <c r="AJ77" i="8"/>
  <c r="AB77" i="8"/>
  <c r="T77" i="8"/>
  <c r="L77" i="8"/>
  <c r="CE76" i="8"/>
  <c r="BW76" i="8"/>
  <c r="BO76" i="8"/>
  <c r="BG76" i="8"/>
  <c r="AY76" i="8"/>
  <c r="AQ76" i="8"/>
  <c r="AI76" i="8"/>
  <c r="AA76" i="8"/>
  <c r="S76" i="8"/>
  <c r="K76" i="8"/>
  <c r="CC75" i="8"/>
  <c r="BU75" i="8"/>
  <c r="BM75" i="8"/>
  <c r="BE75" i="8"/>
  <c r="AW75" i="8"/>
  <c r="AO75" i="8"/>
  <c r="AG75" i="8"/>
  <c r="Y75" i="8"/>
  <c r="Q75" i="8"/>
  <c r="I75" i="8"/>
  <c r="CB74" i="8"/>
  <c r="BT74" i="8"/>
  <c r="BL74" i="8"/>
  <c r="BD74" i="8"/>
  <c r="AV74" i="8"/>
  <c r="AN74" i="8"/>
  <c r="AF74" i="8"/>
  <c r="X74" i="8"/>
  <c r="P74" i="8"/>
  <c r="H74" i="8"/>
  <c r="BW77" i="8"/>
  <c r="BO77" i="8"/>
  <c r="BG77" i="8"/>
  <c r="AY77" i="8"/>
  <c r="AQ77" i="8"/>
  <c r="AI77" i="8"/>
  <c r="AA77" i="8"/>
  <c r="S77" i="8"/>
  <c r="K77" i="8"/>
  <c r="CD76" i="8"/>
  <c r="BV76" i="8"/>
  <c r="BN76" i="8"/>
  <c r="BF76" i="8"/>
  <c r="AX76" i="8"/>
  <c r="AP76" i="8"/>
  <c r="AH76" i="8"/>
  <c r="Z76" i="8"/>
  <c r="R76" i="8"/>
  <c r="J76" i="8"/>
  <c r="CB75" i="8"/>
  <c r="BT75" i="8"/>
  <c r="BL75" i="8"/>
  <c r="BD75" i="8"/>
  <c r="AV75" i="8"/>
  <c r="AN75" i="8"/>
  <c r="AF75" i="8"/>
  <c r="X75" i="8"/>
  <c r="P75" i="8"/>
  <c r="H75" i="8"/>
  <c r="CA74" i="8"/>
  <c r="BS74" i="8"/>
  <c r="BK74" i="8"/>
  <c r="BC74" i="8"/>
  <c r="AU74" i="8"/>
  <c r="AM74" i="8"/>
  <c r="AE74" i="8"/>
  <c r="W74" i="8"/>
  <c r="O74" i="8"/>
  <c r="G74" i="8"/>
  <c r="BN77" i="8"/>
  <c r="BF77" i="8"/>
  <c r="AX77" i="8"/>
  <c r="AP77" i="8"/>
  <c r="AH77" i="8"/>
  <c r="Z77" i="8"/>
  <c r="R77" i="8"/>
  <c r="J77" i="8"/>
  <c r="CC76" i="8"/>
  <c r="BU76" i="8"/>
  <c r="BM76" i="8"/>
  <c r="BE76" i="8"/>
  <c r="AW76" i="8"/>
  <c r="AO76" i="8"/>
  <c r="AG76" i="8"/>
  <c r="Y76" i="8"/>
  <c r="Q76" i="8"/>
  <c r="I76" i="8"/>
  <c r="CA75" i="8"/>
  <c r="BS75" i="8"/>
  <c r="BK75" i="8"/>
  <c r="BC75" i="8"/>
  <c r="AU75" i="8"/>
  <c r="AM75" i="8"/>
  <c r="AE75" i="8"/>
  <c r="W75" i="8"/>
  <c r="O75" i="8"/>
  <c r="G75" i="8"/>
  <c r="BZ74" i="8"/>
  <c r="BR74" i="8"/>
  <c r="BJ74" i="8"/>
  <c r="BB74" i="8"/>
  <c r="AT74" i="8"/>
  <c r="AL74" i="8"/>
  <c r="AD74" i="8"/>
  <c r="V74" i="8"/>
  <c r="N74" i="8"/>
  <c r="F74" i="8"/>
  <c r="E107" i="8"/>
  <c r="CC77" i="8"/>
  <c r="BU77" i="8"/>
  <c r="BM77" i="8"/>
  <c r="BE77" i="8"/>
  <c r="AW77" i="8"/>
  <c r="AO77" i="8"/>
  <c r="AG77" i="8"/>
  <c r="Y77" i="8"/>
  <c r="Q77" i="8"/>
  <c r="I77" i="8"/>
  <c r="CB76" i="8"/>
  <c r="BT76" i="8"/>
  <c r="BL76" i="8"/>
  <c r="BD76" i="8"/>
  <c r="AV76" i="8"/>
  <c r="AN76" i="8"/>
  <c r="AF76" i="8"/>
  <c r="X76" i="8"/>
  <c r="P76" i="8"/>
  <c r="BZ75" i="8"/>
  <c r="BR75" i="8"/>
  <c r="BJ75" i="8"/>
  <c r="BB75" i="8"/>
  <c r="AT75" i="8"/>
  <c r="AL75" i="8"/>
  <c r="AD75" i="8"/>
  <c r="V75" i="8"/>
  <c r="N75" i="8"/>
  <c r="BY74" i="8"/>
  <c r="BQ74" i="8"/>
  <c r="BI74" i="8"/>
  <c r="BA74" i="8"/>
  <c r="AS74" i="8"/>
  <c r="AK74" i="8"/>
  <c r="AC74" i="8"/>
  <c r="U74" i="8"/>
  <c r="M74" i="8"/>
  <c r="E85" i="8" l="1"/>
  <c r="D5" i="11"/>
  <c r="D6" i="11"/>
  <c r="D7" i="11"/>
  <c r="D4" i="11"/>
  <c r="O48" i="31" l="1"/>
  <c r="P48" i="31"/>
  <c r="Q48" i="31"/>
  <c r="R48" i="31"/>
  <c r="S48" i="31"/>
  <c r="T48" i="31"/>
  <c r="O49" i="31"/>
  <c r="P49" i="31"/>
  <c r="Q49" i="31"/>
  <c r="R49" i="31"/>
  <c r="S49" i="31"/>
  <c r="T49" i="31"/>
  <c r="O50" i="31"/>
  <c r="P50" i="31"/>
  <c r="Q50" i="31"/>
  <c r="R50" i="31"/>
  <c r="S50" i="31"/>
  <c r="T50" i="31"/>
  <c r="S51" i="31"/>
  <c r="T51" i="31"/>
  <c r="S52" i="31"/>
  <c r="T52" i="31"/>
  <c r="O53" i="31"/>
  <c r="P53" i="31"/>
  <c r="Q53" i="31"/>
  <c r="R53" i="31"/>
  <c r="S53" i="31"/>
  <c r="T53" i="31"/>
  <c r="O54" i="31"/>
  <c r="P54" i="31"/>
  <c r="Q54" i="31"/>
  <c r="R54" i="31"/>
  <c r="S54" i="31"/>
  <c r="T54" i="31"/>
  <c r="O55" i="31"/>
  <c r="P55" i="31"/>
  <c r="Q55" i="31"/>
  <c r="R55" i="31"/>
  <c r="S55" i="31"/>
  <c r="T55" i="31"/>
  <c r="O56" i="31"/>
  <c r="P56" i="31"/>
  <c r="Q56" i="31"/>
  <c r="R56" i="31"/>
  <c r="S56" i="31"/>
  <c r="T56" i="31"/>
  <c r="O57" i="31"/>
  <c r="P57" i="31"/>
  <c r="Q57" i="31"/>
  <c r="R57" i="31"/>
  <c r="S57" i="31"/>
  <c r="T57" i="31"/>
  <c r="P47" i="31"/>
  <c r="Q47" i="31"/>
  <c r="R47" i="31"/>
  <c r="S47" i="31"/>
  <c r="T47" i="31"/>
  <c r="O47" i="31"/>
  <c r="O36" i="31"/>
  <c r="P36" i="31"/>
  <c r="Q36" i="31"/>
  <c r="R36" i="31"/>
  <c r="S36" i="31"/>
  <c r="T36" i="31"/>
  <c r="O37" i="31"/>
  <c r="P37" i="31"/>
  <c r="Q37" i="31"/>
  <c r="R37" i="31"/>
  <c r="S37" i="31"/>
  <c r="T37" i="31"/>
  <c r="O38" i="31"/>
  <c r="P38" i="31"/>
  <c r="Q38" i="31"/>
  <c r="R38" i="31"/>
  <c r="S38" i="31"/>
  <c r="T38" i="31"/>
  <c r="O39" i="31"/>
  <c r="P39" i="31"/>
  <c r="Q39" i="31"/>
  <c r="R39" i="31"/>
  <c r="S39" i="31"/>
  <c r="T39" i="31"/>
  <c r="O40" i="31"/>
  <c r="P40" i="31"/>
  <c r="Q40" i="31"/>
  <c r="R40" i="31"/>
  <c r="S40" i="31"/>
  <c r="T40" i="31"/>
  <c r="O41" i="31"/>
  <c r="P41" i="31"/>
  <c r="Q41" i="31"/>
  <c r="R41" i="31"/>
  <c r="S41" i="31"/>
  <c r="T41" i="31"/>
  <c r="O42" i="31"/>
  <c r="P42" i="31"/>
  <c r="Q42" i="31"/>
  <c r="R42" i="31"/>
  <c r="S42" i="31"/>
  <c r="T42" i="31"/>
  <c r="O43" i="31"/>
  <c r="P43" i="31"/>
  <c r="Q43" i="31"/>
  <c r="R43" i="31"/>
  <c r="S43" i="31"/>
  <c r="T43" i="31"/>
  <c r="O44" i="31"/>
  <c r="P44" i="31"/>
  <c r="Q44" i="31"/>
  <c r="R44" i="31"/>
  <c r="S44" i="31"/>
  <c r="T44" i="31"/>
  <c r="O45" i="31"/>
  <c r="P45" i="31"/>
  <c r="Q45" i="31"/>
  <c r="R45" i="31"/>
  <c r="S45" i="31"/>
  <c r="T45" i="31"/>
  <c r="P35" i="31"/>
  <c r="Q35" i="31"/>
  <c r="R35" i="31"/>
  <c r="S35" i="31"/>
  <c r="T35" i="31"/>
  <c r="O35" i="31"/>
  <c r="O23" i="31"/>
  <c r="P23" i="31"/>
  <c r="Q23" i="31"/>
  <c r="R23" i="31"/>
  <c r="S23" i="31"/>
  <c r="T23" i="31"/>
  <c r="O24" i="31"/>
  <c r="P24" i="31"/>
  <c r="Q24" i="31"/>
  <c r="R24" i="31"/>
  <c r="S24" i="31"/>
  <c r="T24" i="31"/>
  <c r="O25" i="31"/>
  <c r="P25" i="31"/>
  <c r="Q25" i="31"/>
  <c r="R25" i="31"/>
  <c r="S25" i="31"/>
  <c r="T25" i="31"/>
  <c r="O27" i="31"/>
  <c r="P27" i="31"/>
  <c r="Q27" i="31"/>
  <c r="R27" i="31"/>
  <c r="S27" i="31"/>
  <c r="T27" i="31"/>
  <c r="O28" i="31"/>
  <c r="P28" i="31"/>
  <c r="Q28" i="31"/>
  <c r="R28" i="31"/>
  <c r="S28" i="31"/>
  <c r="T28" i="31"/>
  <c r="O29" i="31"/>
  <c r="P29" i="31"/>
  <c r="Q29" i="31"/>
  <c r="R29" i="31"/>
  <c r="S29" i="31"/>
  <c r="T29" i="31"/>
  <c r="O30" i="31"/>
  <c r="P30" i="31"/>
  <c r="Q30" i="31"/>
  <c r="R30" i="31"/>
  <c r="S30" i="31"/>
  <c r="T30" i="31"/>
  <c r="O31" i="31"/>
  <c r="P31" i="31"/>
  <c r="Q31" i="31"/>
  <c r="R31" i="31"/>
  <c r="S31" i="31"/>
  <c r="T31" i="31"/>
  <c r="O32" i="31"/>
  <c r="P32" i="31"/>
  <c r="Q32" i="31"/>
  <c r="R32" i="31"/>
  <c r="S32" i="31"/>
  <c r="T32" i="31"/>
  <c r="P22" i="31"/>
  <c r="Q22" i="31"/>
  <c r="R22" i="31"/>
  <c r="S22" i="31"/>
  <c r="T22" i="31"/>
  <c r="O22" i="31"/>
  <c r="Q17" i="31"/>
  <c r="O12" i="31"/>
  <c r="P12" i="31"/>
  <c r="Q12" i="31"/>
  <c r="R12" i="31"/>
  <c r="S12" i="31"/>
  <c r="T12" i="31"/>
  <c r="O13" i="31"/>
  <c r="P13" i="31"/>
  <c r="Q13" i="31"/>
  <c r="R13" i="31"/>
  <c r="S13" i="31"/>
  <c r="T13" i="31"/>
  <c r="O14" i="31"/>
  <c r="P14" i="31"/>
  <c r="Q14" i="31"/>
  <c r="R14" i="31"/>
  <c r="S14" i="31"/>
  <c r="T14" i="31"/>
  <c r="O15" i="31"/>
  <c r="P15" i="31"/>
  <c r="Q15" i="31"/>
  <c r="R15" i="31"/>
  <c r="S15" i="31"/>
  <c r="T15" i="31"/>
  <c r="O16" i="31"/>
  <c r="P16" i="31"/>
  <c r="Q16" i="31"/>
  <c r="R16" i="31"/>
  <c r="S16" i="31"/>
  <c r="T16" i="31"/>
  <c r="O17" i="31"/>
  <c r="P17" i="31"/>
  <c r="R17" i="31"/>
  <c r="S17" i="31"/>
  <c r="T17" i="31"/>
  <c r="O18" i="31"/>
  <c r="P18" i="31"/>
  <c r="Q18" i="31"/>
  <c r="R18" i="31"/>
  <c r="S18" i="31"/>
  <c r="T18" i="31"/>
  <c r="O19" i="31"/>
  <c r="P19" i="31"/>
  <c r="Q19" i="31"/>
  <c r="R19" i="31"/>
  <c r="S19" i="31"/>
  <c r="T19" i="31"/>
  <c r="O20" i="31"/>
  <c r="P20" i="31"/>
  <c r="Q20" i="31"/>
  <c r="R20" i="31"/>
  <c r="S20" i="31"/>
  <c r="T20" i="31"/>
  <c r="P11" i="31"/>
  <c r="R11" i="31"/>
  <c r="S11" i="31"/>
  <c r="T11" i="31"/>
  <c r="T10" i="31"/>
  <c r="P10" i="31"/>
  <c r="Q10" i="31"/>
  <c r="R10" i="31"/>
  <c r="S10" i="31"/>
  <c r="O10" i="31"/>
  <c r="B25" i="23" l="1"/>
  <c r="A23" i="23"/>
  <c r="B27" i="22"/>
  <c r="B26" i="21"/>
  <c r="D23" i="21"/>
  <c r="D23" i="20"/>
  <c r="D23" i="19"/>
  <c r="B26" i="23" l="1"/>
  <c r="B27" i="23" s="1"/>
  <c r="B28" i="23" s="1"/>
  <c r="A24" i="38"/>
  <c r="B28" i="22"/>
  <c r="B27" i="21"/>
  <c r="A24" i="24"/>
  <c r="B29" i="23" l="1"/>
  <c r="B29" i="22"/>
  <c r="B28" i="21"/>
  <c r="F6" i="5"/>
  <c r="B30" i="23" l="1"/>
  <c r="B30" i="22"/>
  <c r="B29" i="21"/>
  <c r="D73" i="6"/>
  <c r="D72" i="6"/>
  <c r="D68" i="6"/>
  <c r="D66" i="6"/>
  <c r="D25" i="6"/>
  <c r="D30" i="6" s="1"/>
  <c r="D26" i="6"/>
  <c r="D12" i="6"/>
  <c r="D13" i="6"/>
  <c r="D14" i="6"/>
  <c r="D15" i="6"/>
  <c r="B31" i="23" l="1"/>
  <c r="B31" i="22"/>
  <c r="B30" i="21"/>
  <c r="C20" i="2"/>
  <c r="B32" i="23" l="1"/>
  <c r="B32" i="22"/>
  <c r="B31" i="21"/>
  <c r="C21" i="2"/>
  <c r="D11" i="6"/>
  <c r="D18" i="6" s="1"/>
  <c r="E19" i="8" s="1"/>
  <c r="Q26" i="28"/>
  <c r="D57" i="28"/>
  <c r="D56" i="28"/>
  <c r="D55" i="28"/>
  <c r="D54" i="28"/>
  <c r="D53" i="28"/>
  <c r="D52" i="28"/>
  <c r="D51" i="28"/>
  <c r="D50" i="28"/>
  <c r="B57" i="28"/>
  <c r="B56" i="28"/>
  <c r="B55" i="28"/>
  <c r="B54" i="28"/>
  <c r="B53" i="28"/>
  <c r="B52" i="28"/>
  <c r="B51" i="28"/>
  <c r="B50" i="28"/>
  <c r="D46" i="6"/>
  <c r="D5" i="9" s="1"/>
  <c r="C4" i="2"/>
  <c r="D9" i="12"/>
  <c r="D11" i="11"/>
  <c r="H73" i="6"/>
  <c r="H72" i="6"/>
  <c r="H67" i="6"/>
  <c r="H66" i="6"/>
  <c r="H54" i="6"/>
  <c r="H61" i="6"/>
  <c r="H53" i="6"/>
  <c r="H46" i="6"/>
  <c r="H41" i="6"/>
  <c r="H40" i="6"/>
  <c r="H26" i="6"/>
  <c r="H27" i="6"/>
  <c r="H25" i="6"/>
  <c r="H12" i="6"/>
  <c r="H13" i="6"/>
  <c r="H14" i="6"/>
  <c r="H15" i="6"/>
  <c r="H11" i="6"/>
  <c r="H7" i="6"/>
  <c r="B33" i="23" l="1"/>
  <c r="B33" i="22"/>
  <c r="B32" i="21"/>
  <c r="D21" i="6"/>
  <c r="E22" i="8" s="1"/>
  <c r="D20" i="6"/>
  <c r="E21" i="8" s="1"/>
  <c r="D19" i="6"/>
  <c r="E20" i="8" s="1"/>
  <c r="F183" i="10"/>
  <c r="G183" i="10"/>
  <c r="H183" i="10"/>
  <c r="I183" i="10"/>
  <c r="E183" i="10"/>
  <c r="B34" i="23" l="1"/>
  <c r="B34" i="22"/>
  <c r="B33" i="21"/>
  <c r="D10" i="11"/>
  <c r="D11" i="7"/>
  <c r="D12" i="7"/>
  <c r="D10" i="7"/>
  <c r="B35" i="23" l="1"/>
  <c r="B35" i="22"/>
  <c r="B34" i="21"/>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F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S130" i="10"/>
  <c r="AT130" i="10" s="1"/>
  <c r="AU130" i="10" s="1"/>
  <c r="AV130" i="10" s="1"/>
  <c r="AW130" i="10" s="1"/>
  <c r="AX130" i="10" s="1"/>
  <c r="AY130" i="10" s="1"/>
  <c r="AZ130" i="10" s="1"/>
  <c r="BA130" i="10" s="1"/>
  <c r="BB130" i="10" s="1"/>
  <c r="BC130" i="10" s="1"/>
  <c r="BD130" i="10" s="1"/>
  <c r="BE130" i="10" s="1"/>
  <c r="BF130" i="10" s="1"/>
  <c r="BG130" i="10" s="1"/>
  <c r="BH130" i="10" s="1"/>
  <c r="BI130" i="10" s="1"/>
  <c r="BJ130" i="10" s="1"/>
  <c r="BK130" i="10" s="1"/>
  <c r="BL130" i="10" s="1"/>
  <c r="BM130" i="10" s="1"/>
  <c r="BN130" i="10" s="1"/>
  <c r="BO130" i="10" s="1"/>
  <c r="BP130" i="10" s="1"/>
  <c r="BQ130" i="10" s="1"/>
  <c r="BR130" i="10" s="1"/>
  <c r="BS130" i="10" s="1"/>
  <c r="BT130" i="10" s="1"/>
  <c r="BU130" i="10" s="1"/>
  <c r="BV130" i="10" s="1"/>
  <c r="BW130" i="10" s="1"/>
  <c r="BX130" i="10" s="1"/>
  <c r="BY130" i="10" s="1"/>
  <c r="BZ130" i="10" s="1"/>
  <c r="CA130" i="10" s="1"/>
  <c r="CB130" i="10" s="1"/>
  <c r="CC130" i="10" s="1"/>
  <c r="CD130" i="10" s="1"/>
  <c r="CE130" i="10" s="1"/>
  <c r="CF130" i="10" s="1"/>
  <c r="AR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V130" i="10"/>
  <c r="U130" i="10"/>
  <c r="T130" i="10"/>
  <c r="S130" i="10"/>
  <c r="R130" i="10"/>
  <c r="Q130" i="10"/>
  <c r="P130" i="10"/>
  <c r="O130" i="10"/>
  <c r="N130" i="10"/>
  <c r="M130" i="10"/>
  <c r="L130" i="10"/>
  <c r="K130" i="10"/>
  <c r="J130" i="10"/>
  <c r="I130" i="10"/>
  <c r="H130" i="10"/>
  <c r="G130" i="10"/>
  <c r="F130" i="10"/>
  <c r="AS129" i="10"/>
  <c r="AT129" i="10" s="1"/>
  <c r="AU129" i="10" s="1"/>
  <c r="AV129" i="10" s="1"/>
  <c r="AW129" i="10" s="1"/>
  <c r="AX129" i="10" s="1"/>
  <c r="AY129" i="10" s="1"/>
  <c r="AZ129" i="10" s="1"/>
  <c r="BA129" i="10" s="1"/>
  <c r="BB129" i="10" s="1"/>
  <c r="BC129" i="10" s="1"/>
  <c r="BD129" i="10" s="1"/>
  <c r="BE129" i="10" s="1"/>
  <c r="BF129" i="10" s="1"/>
  <c r="BG129" i="10" s="1"/>
  <c r="BH129" i="10" s="1"/>
  <c r="BI129" i="10" s="1"/>
  <c r="BJ129" i="10" s="1"/>
  <c r="BK129" i="10" s="1"/>
  <c r="BL129" i="10" s="1"/>
  <c r="BM129" i="10" s="1"/>
  <c r="BN129" i="10" s="1"/>
  <c r="BO129" i="10" s="1"/>
  <c r="BP129" i="10" s="1"/>
  <c r="BQ129" i="10" s="1"/>
  <c r="BR129" i="10" s="1"/>
  <c r="BS129" i="10" s="1"/>
  <c r="BT129" i="10" s="1"/>
  <c r="BU129" i="10" s="1"/>
  <c r="BV129" i="10" s="1"/>
  <c r="BW129" i="10" s="1"/>
  <c r="BX129" i="10" s="1"/>
  <c r="BY129" i="10" s="1"/>
  <c r="BZ129" i="10" s="1"/>
  <c r="CA129" i="10" s="1"/>
  <c r="CB129" i="10" s="1"/>
  <c r="CC129" i="10" s="1"/>
  <c r="CD129" i="10" s="1"/>
  <c r="CE129" i="10" s="1"/>
  <c r="CF129" i="10" s="1"/>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J129" i="10"/>
  <c r="I129" i="10"/>
  <c r="H129" i="10"/>
  <c r="G129" i="10"/>
  <c r="F129" i="10"/>
  <c r="E134" i="10"/>
  <c r="B36" i="23" l="1"/>
  <c r="B36" i="22"/>
  <c r="B35" i="21"/>
  <c r="D54" i="6"/>
  <c r="E19" i="10" s="1"/>
  <c r="D53" i="6"/>
  <c r="D27" i="6"/>
  <c r="B37" i="23" l="1"/>
  <c r="B37" i="22"/>
  <c r="B36" i="21"/>
  <c r="D55" i="6"/>
  <c r="E6" i="10"/>
  <c r="E7" i="10"/>
  <c r="E8" i="10"/>
  <c r="E5" i="10"/>
  <c r="B38" i="23" l="1"/>
  <c r="B38" i="22"/>
  <c r="B37" i="21"/>
  <c r="E17" i="10"/>
  <c r="B39" i="23" l="1"/>
  <c r="B39" i="22"/>
  <c r="B38" i="21"/>
  <c r="Q25" i="28"/>
  <c r="E6" i="5"/>
  <c r="G6" i="5"/>
  <c r="H6" i="5"/>
  <c r="E7" i="5"/>
  <c r="F7" i="5"/>
  <c r="G7" i="5"/>
  <c r="H7" i="5"/>
  <c r="E8" i="5"/>
  <c r="F8" i="5"/>
  <c r="G8" i="5"/>
  <c r="H8" i="5"/>
  <c r="D7" i="5"/>
  <c r="D8" i="5"/>
  <c r="D6" i="5"/>
  <c r="H20" i="3"/>
  <c r="G20" i="3"/>
  <c r="F20" i="3"/>
  <c r="E20" i="3"/>
  <c r="D20" i="3"/>
  <c r="I19" i="3"/>
  <c r="I18" i="3"/>
  <c r="I17" i="3"/>
  <c r="D41" i="6"/>
  <c r="D42" i="6" s="1"/>
  <c r="B40" i="23" l="1"/>
  <c r="B40" i="22"/>
  <c r="B39" i="21"/>
  <c r="I20" i="3"/>
  <c r="B41" i="23" l="1"/>
  <c r="B41" i="22"/>
  <c r="B40" i="21"/>
  <c r="E16" i="10"/>
  <c r="D9" i="9"/>
  <c r="D10" i="9"/>
  <c r="D8" i="9"/>
  <c r="E15" i="8"/>
  <c r="E16" i="8"/>
  <c r="B42" i="23" l="1"/>
  <c r="B42" i="22"/>
  <c r="B41" i="21"/>
  <c r="D56" i="6"/>
  <c r="D32" i="6"/>
  <c r="D4" i="9"/>
  <c r="D15" i="9" s="1"/>
  <c r="D18" i="9" s="1"/>
  <c r="D31" i="6"/>
  <c r="E14" i="8"/>
  <c r="D26" i="29"/>
  <c r="D27" i="29"/>
  <c r="D28" i="29"/>
  <c r="D29" i="29"/>
  <c r="D43" i="6" s="1"/>
  <c r="B43" i="23" l="1"/>
  <c r="B43" i="22"/>
  <c r="B42" i="21"/>
  <c r="E15" i="10"/>
  <c r="E14" i="10"/>
  <c r="G21" i="7"/>
  <c r="B12" i="31"/>
  <c r="B44" i="23" l="1"/>
  <c r="B44" i="22"/>
  <c r="B43" i="21"/>
  <c r="G22" i="7"/>
  <c r="G23" i="7" s="1"/>
  <c r="B50" i="7"/>
  <c r="D59" i="7" s="1"/>
  <c r="D20" i="5"/>
  <c r="D17" i="5"/>
  <c r="B45" i="23" l="1"/>
  <c r="B45" i="22"/>
  <c r="B44" i="21"/>
  <c r="I23" i="13"/>
  <c r="J23" i="13"/>
  <c r="K23" i="13"/>
  <c r="L23" i="13"/>
  <c r="M23" i="13"/>
  <c r="N23" i="13"/>
  <c r="O23" i="13"/>
  <c r="P23" i="13"/>
  <c r="Q23" i="13"/>
  <c r="R23" i="13"/>
  <c r="S23" i="13"/>
  <c r="T23" i="13"/>
  <c r="U23" i="13"/>
  <c r="V23" i="13"/>
  <c r="W23" i="13"/>
  <c r="X23" i="13"/>
  <c r="Y23" i="13"/>
  <c r="Z23" i="13"/>
  <c r="AA23" i="13"/>
  <c r="AB23" i="13"/>
  <c r="AC23" i="13"/>
  <c r="AD23" i="13"/>
  <c r="AE23" i="13"/>
  <c r="AF23" i="13"/>
  <c r="AG23" i="13"/>
  <c r="AH23" i="13"/>
  <c r="AI23" i="13"/>
  <c r="AJ23" i="13"/>
  <c r="AK23" i="13"/>
  <c r="AL23" i="13"/>
  <c r="AM23" i="13"/>
  <c r="AN23" i="13"/>
  <c r="AO23" i="13"/>
  <c r="AP23" i="13"/>
  <c r="AQ23" i="13"/>
  <c r="AR23" i="13"/>
  <c r="AS23" i="13"/>
  <c r="AT23" i="13"/>
  <c r="AU23" i="13"/>
  <c r="AV23" i="13"/>
  <c r="AW23" i="13"/>
  <c r="AX23" i="13"/>
  <c r="AY23" i="13"/>
  <c r="AZ23" i="13"/>
  <c r="BA23" i="13"/>
  <c r="BB23" i="13"/>
  <c r="BC23" i="13"/>
  <c r="BD23" i="13"/>
  <c r="BE23" i="13"/>
  <c r="BF23" i="13"/>
  <c r="BG23" i="13"/>
  <c r="BH23" i="13"/>
  <c r="BI23" i="13"/>
  <c r="BJ23" i="13"/>
  <c r="BK23" i="13"/>
  <c r="BL23" i="13"/>
  <c r="BM23" i="13"/>
  <c r="BN23" i="13"/>
  <c r="BO23" i="13"/>
  <c r="BP23" i="13"/>
  <c r="BQ23" i="13"/>
  <c r="BR23" i="13"/>
  <c r="BS23" i="13"/>
  <c r="BT23" i="13"/>
  <c r="BU23" i="13"/>
  <c r="BV23" i="13"/>
  <c r="BW23" i="13"/>
  <c r="BX23" i="13"/>
  <c r="BY23" i="13"/>
  <c r="BZ23" i="13"/>
  <c r="CA23" i="13"/>
  <c r="CB23" i="13"/>
  <c r="CC23" i="13"/>
  <c r="CD23" i="13"/>
  <c r="B46" i="23" l="1"/>
  <c r="B46" i="22"/>
  <c r="B45" i="21"/>
  <c r="F18" i="29"/>
  <c r="F19" i="29"/>
  <c r="F20" i="29"/>
  <c r="F21" i="29"/>
  <c r="F17" i="29"/>
  <c r="B47" i="23" l="1"/>
  <c r="B47" i="22"/>
  <c r="B46" i="21"/>
  <c r="D21" i="5"/>
  <c r="D22" i="5"/>
  <c r="D23" i="5"/>
  <c r="E27" i="5"/>
  <c r="E28" i="5" s="1"/>
  <c r="F27" i="5"/>
  <c r="F28" i="5" s="1"/>
  <c r="G27" i="5"/>
  <c r="G28" i="5" s="1"/>
  <c r="H27" i="5"/>
  <c r="H28" i="5" s="1"/>
  <c r="I27" i="5"/>
  <c r="I28" i="5" s="1"/>
  <c r="J27" i="5"/>
  <c r="J28" i="5" s="1"/>
  <c r="K27" i="5"/>
  <c r="L27" i="5"/>
  <c r="M27" i="5"/>
  <c r="N27" i="5"/>
  <c r="O27" i="5"/>
  <c r="P27" i="5"/>
  <c r="Q27" i="5"/>
  <c r="R27" i="5"/>
  <c r="S27" i="5"/>
  <c r="T27" i="5"/>
  <c r="T28" i="5" s="1"/>
  <c r="U27" i="5"/>
  <c r="U28" i="5" s="1"/>
  <c r="V27" i="5"/>
  <c r="V28" i="5" s="1"/>
  <c r="W27" i="5"/>
  <c r="W28" i="5" s="1"/>
  <c r="X27" i="5"/>
  <c r="X28" i="5" s="1"/>
  <c r="Y27" i="5"/>
  <c r="Y28" i="5" s="1"/>
  <c r="Z27" i="5"/>
  <c r="Z28" i="5" s="1"/>
  <c r="AA27" i="5"/>
  <c r="AA28" i="5" s="1"/>
  <c r="AB27" i="5"/>
  <c r="AB28" i="5" s="1"/>
  <c r="AC27" i="5"/>
  <c r="AC28" i="5" s="1"/>
  <c r="AD27" i="5"/>
  <c r="AD28" i="5" s="1"/>
  <c r="AE27" i="5"/>
  <c r="AE28" i="5" s="1"/>
  <c r="AF27" i="5"/>
  <c r="AF28" i="5" s="1"/>
  <c r="AG27" i="5"/>
  <c r="AG28" i="5" s="1"/>
  <c r="AH27" i="5"/>
  <c r="AH28" i="5" s="1"/>
  <c r="AI27" i="5"/>
  <c r="AI28" i="5" s="1"/>
  <c r="AJ27" i="5"/>
  <c r="AJ28" i="5" s="1"/>
  <c r="AK27" i="5"/>
  <c r="AK28" i="5" s="1"/>
  <c r="AL27" i="5"/>
  <c r="AL28" i="5" s="1"/>
  <c r="AM27" i="5"/>
  <c r="AM28" i="5" s="1"/>
  <c r="AN27" i="5"/>
  <c r="AN28" i="5" s="1"/>
  <c r="AO27" i="5"/>
  <c r="AO28" i="5" s="1"/>
  <c r="AP27" i="5"/>
  <c r="AP28" i="5" s="1"/>
  <c r="AQ27" i="5"/>
  <c r="AQ28" i="5" s="1"/>
  <c r="AR27" i="5"/>
  <c r="AR28" i="5" s="1"/>
  <c r="AS27" i="5"/>
  <c r="AS28" i="5" s="1"/>
  <c r="AT27" i="5"/>
  <c r="AT28" i="5" s="1"/>
  <c r="AU27" i="5"/>
  <c r="AU28" i="5" s="1"/>
  <c r="AV27" i="5"/>
  <c r="AV28" i="5" s="1"/>
  <c r="AW27" i="5"/>
  <c r="AW28" i="5" s="1"/>
  <c r="AX27" i="5"/>
  <c r="AX28" i="5" s="1"/>
  <c r="AY27" i="5"/>
  <c r="AY28" i="5" s="1"/>
  <c r="AZ27" i="5"/>
  <c r="AZ28" i="5" s="1"/>
  <c r="BA27" i="5"/>
  <c r="BA28" i="5" s="1"/>
  <c r="BB27" i="5"/>
  <c r="BB28" i="5" s="1"/>
  <c r="BC27" i="5"/>
  <c r="BC28" i="5" s="1"/>
  <c r="BD27" i="5"/>
  <c r="BD28" i="5" s="1"/>
  <c r="BE27" i="5"/>
  <c r="BE28" i="5" s="1"/>
  <c r="BF27" i="5"/>
  <c r="BF28" i="5" s="1"/>
  <c r="BG27" i="5"/>
  <c r="BG28" i="5" s="1"/>
  <c r="BH27" i="5"/>
  <c r="BH28" i="5" s="1"/>
  <c r="BI27" i="5"/>
  <c r="BI28" i="5" s="1"/>
  <c r="BJ27" i="5"/>
  <c r="BJ28" i="5" s="1"/>
  <c r="BK27" i="5"/>
  <c r="BK28" i="5" s="1"/>
  <c r="BL27" i="5"/>
  <c r="BL28" i="5" s="1"/>
  <c r="BM27" i="5"/>
  <c r="BM28" i="5" s="1"/>
  <c r="BN27" i="5"/>
  <c r="BN28" i="5" s="1"/>
  <c r="BO27" i="5"/>
  <c r="BO28" i="5" s="1"/>
  <c r="BP27" i="5"/>
  <c r="BP28" i="5" s="1"/>
  <c r="BQ27" i="5"/>
  <c r="BQ28" i="5" s="1"/>
  <c r="BR27" i="5"/>
  <c r="BR28" i="5" s="1"/>
  <c r="BS27" i="5"/>
  <c r="BS28" i="5" s="1"/>
  <c r="BT27" i="5"/>
  <c r="BT28" i="5" s="1"/>
  <c r="BU27" i="5"/>
  <c r="BU28" i="5" s="1"/>
  <c r="BV27" i="5"/>
  <c r="BV28" i="5" s="1"/>
  <c r="BW27" i="5"/>
  <c r="BW28" i="5" s="1"/>
  <c r="BX27" i="5"/>
  <c r="BX28" i="5" s="1"/>
  <c r="BY27" i="5"/>
  <c r="BY28" i="5" s="1"/>
  <c r="BZ27" i="5"/>
  <c r="BZ28" i="5" s="1"/>
  <c r="CA27" i="5"/>
  <c r="CA28" i="5" s="1"/>
  <c r="CB27" i="5"/>
  <c r="CB28" i="5" s="1"/>
  <c r="CC27" i="5"/>
  <c r="CC28" i="5" s="1"/>
  <c r="CD27" i="5"/>
  <c r="CD28" i="5" s="1"/>
  <c r="CE27" i="5"/>
  <c r="CE28" i="5" s="1"/>
  <c r="D27" i="5"/>
  <c r="D28" i="5" s="1"/>
  <c r="I7" i="5"/>
  <c r="I8" i="5"/>
  <c r="G9" i="5"/>
  <c r="H9" i="5"/>
  <c r="I6" i="5"/>
  <c r="AT135" i="10"/>
  <c r="AU135" i="10" s="1"/>
  <c r="AV135" i="10" s="1"/>
  <c r="AW135" i="10" s="1"/>
  <c r="AX135" i="10" s="1"/>
  <c r="AY135" i="10" s="1"/>
  <c r="AZ135" i="10" s="1"/>
  <c r="BA135" i="10" s="1"/>
  <c r="BB135" i="10" s="1"/>
  <c r="BC135" i="10" s="1"/>
  <c r="BD135" i="10" s="1"/>
  <c r="BE135" i="10" s="1"/>
  <c r="BF135" i="10" s="1"/>
  <c r="BG135" i="10" s="1"/>
  <c r="BH135" i="10" s="1"/>
  <c r="BI135" i="10" s="1"/>
  <c r="BJ135" i="10" s="1"/>
  <c r="BK135" i="10" s="1"/>
  <c r="BL135" i="10" s="1"/>
  <c r="BM135" i="10" s="1"/>
  <c r="BN135" i="10" s="1"/>
  <c r="BO135" i="10" s="1"/>
  <c r="BP135" i="10" s="1"/>
  <c r="BQ135" i="10" s="1"/>
  <c r="BR135" i="10" s="1"/>
  <c r="BS135" i="10" s="1"/>
  <c r="BT135" i="10" s="1"/>
  <c r="BU135" i="10" s="1"/>
  <c r="BV135" i="10" s="1"/>
  <c r="BW135" i="10" s="1"/>
  <c r="BX135" i="10" s="1"/>
  <c r="BY135" i="10" s="1"/>
  <c r="BZ135" i="10" s="1"/>
  <c r="CA135" i="10" s="1"/>
  <c r="CB135" i="10" s="1"/>
  <c r="CC135" i="10" s="1"/>
  <c r="CD135" i="10" s="1"/>
  <c r="CE135" i="10" s="1"/>
  <c r="CF135" i="10" s="1"/>
  <c r="E135" i="10"/>
  <c r="AT134" i="10"/>
  <c r="AU134" i="10" s="1"/>
  <c r="AV134" i="10" s="1"/>
  <c r="AW134" i="10" s="1"/>
  <c r="AX134" i="10" s="1"/>
  <c r="AY134" i="10" s="1"/>
  <c r="AZ134" i="10" s="1"/>
  <c r="BA134" i="10" s="1"/>
  <c r="BB134" i="10" s="1"/>
  <c r="BC134" i="10" s="1"/>
  <c r="BD134" i="10" s="1"/>
  <c r="BE134" i="10" s="1"/>
  <c r="BF134" i="10" s="1"/>
  <c r="BG134" i="10" s="1"/>
  <c r="BH134" i="10" s="1"/>
  <c r="BI134" i="10" s="1"/>
  <c r="BJ134" i="10" s="1"/>
  <c r="BK134" i="10" s="1"/>
  <c r="BL134" i="10" s="1"/>
  <c r="BM134" i="10" s="1"/>
  <c r="BN134" i="10" s="1"/>
  <c r="BO134" i="10" s="1"/>
  <c r="BP134" i="10" s="1"/>
  <c r="BQ134" i="10" s="1"/>
  <c r="BR134" i="10" s="1"/>
  <c r="BS134" i="10" s="1"/>
  <c r="BT134" i="10" s="1"/>
  <c r="BU134" i="10" s="1"/>
  <c r="BV134" i="10" s="1"/>
  <c r="BW134" i="10" s="1"/>
  <c r="BX134" i="10" s="1"/>
  <c r="BY134" i="10" s="1"/>
  <c r="BZ134" i="10" s="1"/>
  <c r="CA134" i="10" s="1"/>
  <c r="CB134" i="10" s="1"/>
  <c r="CC134" i="10" s="1"/>
  <c r="CD134" i="10" s="1"/>
  <c r="CE134" i="10" s="1"/>
  <c r="CF134" i="10" s="1"/>
  <c r="E130" i="10"/>
  <c r="E129" i="10"/>
  <c r="S28" i="5" l="1"/>
  <c r="R28" i="5"/>
  <c r="N28" i="5"/>
  <c r="B48" i="23"/>
  <c r="B48" i="22"/>
  <c r="B47" i="21"/>
  <c r="I21" i="7"/>
  <c r="B52" i="7" s="1"/>
  <c r="D61" i="7" s="1"/>
  <c r="B49" i="23" l="1"/>
  <c r="B49" i="22"/>
  <c r="B48" i="21"/>
  <c r="J21" i="7"/>
  <c r="H21" i="7"/>
  <c r="I22" i="7"/>
  <c r="I23" i="7" s="1"/>
  <c r="C52" i="7" s="1"/>
  <c r="F21" i="7"/>
  <c r="F22" i="7" s="1"/>
  <c r="F23" i="7" s="1"/>
  <c r="C49" i="7" s="1"/>
  <c r="E21" i="7"/>
  <c r="E22" i="7" s="1"/>
  <c r="E23" i="7" s="1"/>
  <c r="C48" i="7" s="1"/>
  <c r="D48" i="7" s="1"/>
  <c r="G48" i="7" s="1"/>
  <c r="G57" i="7" s="1"/>
  <c r="D21" i="7"/>
  <c r="D22" i="7" s="1"/>
  <c r="D23" i="7" s="1"/>
  <c r="C50" i="7"/>
  <c r="B50" i="23" l="1"/>
  <c r="B50" i="22"/>
  <c r="B49" i="21"/>
  <c r="J22" i="7"/>
  <c r="J23" i="7" s="1"/>
  <c r="C53" i="7" s="1"/>
  <c r="D53" i="7" s="1"/>
  <c r="L53" i="7" s="1"/>
  <c r="L62" i="7" s="1"/>
  <c r="B53" i="7"/>
  <c r="D62" i="7" s="1"/>
  <c r="H22" i="7"/>
  <c r="H23" i="7" s="1"/>
  <c r="C51" i="7" s="1"/>
  <c r="D51" i="7" s="1"/>
  <c r="G51" i="7" s="1"/>
  <c r="G60" i="7" s="1"/>
  <c r="B51" i="7"/>
  <c r="D60" i="7" s="1"/>
  <c r="C47" i="7"/>
  <c r="D47" i="7" s="1"/>
  <c r="D52" i="7"/>
  <c r="J52" i="7" s="1"/>
  <c r="J61" i="7" s="1"/>
  <c r="D49" i="7"/>
  <c r="I49" i="7" s="1"/>
  <c r="I58" i="7" s="1"/>
  <c r="E46" i="8" s="1"/>
  <c r="D50" i="7"/>
  <c r="B51" i="23" l="1"/>
  <c r="B51" i="22"/>
  <c r="B50" i="21"/>
  <c r="G47" i="7"/>
  <c r="G56" i="7" s="1"/>
  <c r="G30" i="8" s="1"/>
  <c r="F47" i="7"/>
  <c r="F56" i="7" s="1"/>
  <c r="F30" i="8" s="1"/>
  <c r="K48" i="7"/>
  <c r="K57" i="7" s="1"/>
  <c r="G45" i="8" s="1"/>
  <c r="F48" i="7"/>
  <c r="F57" i="7" s="1"/>
  <c r="F31" i="8" s="1"/>
  <c r="P49" i="7"/>
  <c r="P58" i="7" s="1"/>
  <c r="H60" i="8" s="1"/>
  <c r="L49" i="7"/>
  <c r="L58" i="7" s="1"/>
  <c r="H46" i="8" s="1"/>
  <c r="H53" i="7"/>
  <c r="H62" i="7" s="1"/>
  <c r="N48" i="7"/>
  <c r="N57" i="7" s="1"/>
  <c r="F59" i="8" s="1"/>
  <c r="K47" i="7"/>
  <c r="K56" i="7" s="1"/>
  <c r="G44" i="8" s="1"/>
  <c r="P47" i="7"/>
  <c r="P56" i="7" s="1"/>
  <c r="H58" i="8" s="1"/>
  <c r="O48" i="7"/>
  <c r="O57" i="7" s="1"/>
  <c r="G59" i="8" s="1"/>
  <c r="P53" i="7"/>
  <c r="P62" i="7" s="1"/>
  <c r="F51" i="7"/>
  <c r="F60" i="7" s="1"/>
  <c r="M53" i="7"/>
  <c r="M62" i="7" s="1"/>
  <c r="E53" i="7"/>
  <c r="E62" i="7" s="1"/>
  <c r="O53" i="7"/>
  <c r="O62" i="7" s="1"/>
  <c r="I53" i="7"/>
  <c r="I62" i="7" s="1"/>
  <c r="H52" i="7"/>
  <c r="H61" i="7" s="1"/>
  <c r="E52" i="7"/>
  <c r="E61" i="7" s="1"/>
  <c r="M52" i="7"/>
  <c r="M61" i="7" s="1"/>
  <c r="L52" i="7"/>
  <c r="L61" i="7" s="1"/>
  <c r="G52" i="7"/>
  <c r="G61" i="7" s="1"/>
  <c r="F52" i="7"/>
  <c r="F61" i="7" s="1"/>
  <c r="O52" i="7"/>
  <c r="O61" i="7" s="1"/>
  <c r="N52" i="7"/>
  <c r="N61" i="7" s="1"/>
  <c r="I52" i="7"/>
  <c r="I61" i="7" s="1"/>
  <c r="P52" i="7"/>
  <c r="P61" i="7" s="1"/>
  <c r="K52" i="7"/>
  <c r="K61" i="7" s="1"/>
  <c r="K53" i="7"/>
  <c r="K62" i="7" s="1"/>
  <c r="G53" i="7"/>
  <c r="G62" i="7" s="1"/>
  <c r="J53" i="7"/>
  <c r="J62" i="7" s="1"/>
  <c r="N53" i="7"/>
  <c r="N62" i="7" s="1"/>
  <c r="F53" i="7"/>
  <c r="F62" i="7" s="1"/>
  <c r="M49" i="7"/>
  <c r="M58" i="7" s="1"/>
  <c r="E60" i="8" s="1"/>
  <c r="J48" i="7"/>
  <c r="J57" i="7" s="1"/>
  <c r="F45" i="8" s="1"/>
  <c r="G31" i="8"/>
  <c r="P51" i="7"/>
  <c r="P60" i="7" s="1"/>
  <c r="J51" i="7"/>
  <c r="J60" i="7" s="1"/>
  <c r="I51" i="7"/>
  <c r="I60" i="7" s="1"/>
  <c r="L51" i="7"/>
  <c r="L60" i="7" s="1"/>
  <c r="O51" i="7"/>
  <c r="O60" i="7" s="1"/>
  <c r="O47" i="7"/>
  <c r="O56" i="7" s="1"/>
  <c r="G58" i="8" s="1"/>
  <c r="E47" i="7"/>
  <c r="J47" i="7"/>
  <c r="J56" i="7" s="1"/>
  <c r="F44" i="8" s="1"/>
  <c r="H47" i="7"/>
  <c r="H56" i="7" s="1"/>
  <c r="H30" i="8" s="1"/>
  <c r="I47" i="7"/>
  <c r="I56" i="7" s="1"/>
  <c r="E44" i="8" s="1"/>
  <c r="N47" i="7"/>
  <c r="N56" i="7" s="1"/>
  <c r="F58" i="8" s="1"/>
  <c r="H51" i="7"/>
  <c r="H60" i="7" s="1"/>
  <c r="E51" i="7"/>
  <c r="E60" i="7" s="1"/>
  <c r="K51" i="7"/>
  <c r="K60" i="7" s="1"/>
  <c r="L47" i="7"/>
  <c r="L56" i="7" s="1"/>
  <c r="H44" i="8" s="1"/>
  <c r="M47" i="7"/>
  <c r="M56" i="7" s="1"/>
  <c r="E58" i="8" s="1"/>
  <c r="N51" i="7"/>
  <c r="N60" i="7" s="1"/>
  <c r="M51" i="7"/>
  <c r="M60" i="7" s="1"/>
  <c r="I48" i="7"/>
  <c r="I57" i="7" s="1"/>
  <c r="E45" i="8" s="1"/>
  <c r="L48" i="7"/>
  <c r="L57" i="7" s="1"/>
  <c r="H45" i="8" s="1"/>
  <c r="E48" i="7"/>
  <c r="E57" i="7" s="1"/>
  <c r="E31" i="8" s="1"/>
  <c r="M48" i="7"/>
  <c r="M57" i="7" s="1"/>
  <c r="E59" i="8" s="1"/>
  <c r="H48" i="7"/>
  <c r="H57" i="7" s="1"/>
  <c r="H31" i="8" s="1"/>
  <c r="P48" i="7"/>
  <c r="P57" i="7" s="1"/>
  <c r="H59" i="8" s="1"/>
  <c r="H49" i="7"/>
  <c r="H58" i="7" s="1"/>
  <c r="H32" i="8" s="1"/>
  <c r="F49" i="7"/>
  <c r="F58" i="7" s="1"/>
  <c r="F32" i="8" s="1"/>
  <c r="N49" i="7"/>
  <c r="N58" i="7" s="1"/>
  <c r="F60" i="8" s="1"/>
  <c r="G49" i="7"/>
  <c r="G58" i="7" s="1"/>
  <c r="G32" i="8" s="1"/>
  <c r="O49" i="7"/>
  <c r="O58" i="7" s="1"/>
  <c r="G60" i="8" s="1"/>
  <c r="J49" i="7"/>
  <c r="J58" i="7" s="1"/>
  <c r="F46" i="8" s="1"/>
  <c r="E49" i="7"/>
  <c r="E58" i="7" s="1"/>
  <c r="E32" i="8" s="1"/>
  <c r="K49" i="7"/>
  <c r="K58" i="7" s="1"/>
  <c r="G46" i="8" s="1"/>
  <c r="H50" i="7"/>
  <c r="H59" i="7" s="1"/>
  <c r="L50" i="7"/>
  <c r="L59" i="7" s="1"/>
  <c r="P50" i="7"/>
  <c r="P59" i="7" s="1"/>
  <c r="E50" i="7"/>
  <c r="E59" i="7" s="1"/>
  <c r="I50" i="7"/>
  <c r="I59" i="7" s="1"/>
  <c r="M50" i="7"/>
  <c r="M59" i="7" s="1"/>
  <c r="G50" i="7"/>
  <c r="G59" i="7" s="1"/>
  <c r="K50" i="7"/>
  <c r="K59" i="7" s="1"/>
  <c r="O50" i="7"/>
  <c r="O59" i="7" s="1"/>
  <c r="F50" i="7"/>
  <c r="F59" i="7" s="1"/>
  <c r="J50" i="7"/>
  <c r="J59" i="7" s="1"/>
  <c r="N50" i="7"/>
  <c r="N59" i="7" s="1"/>
  <c r="B52" i="23" l="1"/>
  <c r="B52" i="22"/>
  <c r="B51" i="21"/>
  <c r="E56" i="7"/>
  <c r="E30" i="8" s="1"/>
  <c r="D34" i="8" s="1" a="1"/>
  <c r="D62" i="8" a="1"/>
  <c r="D48" i="8" a="1"/>
  <c r="D48" i="8" s="1"/>
  <c r="C28" i="13"/>
  <c r="B53" i="23" l="1"/>
  <c r="B53" i="22"/>
  <c r="B52" i="21"/>
  <c r="D62" i="8"/>
  <c r="G66" i="8"/>
  <c r="G64" i="8"/>
  <c r="F65" i="8"/>
  <c r="E65" i="8"/>
  <c r="F62" i="8"/>
  <c r="D63" i="8"/>
  <c r="G63" i="8"/>
  <c r="F64" i="8"/>
  <c r="E64" i="8"/>
  <c r="D66" i="8"/>
  <c r="G62" i="8"/>
  <c r="F63" i="8"/>
  <c r="E63" i="8"/>
  <c r="D65" i="8"/>
  <c r="G65" i="8"/>
  <c r="F66" i="8"/>
  <c r="E66" i="8"/>
  <c r="E62" i="8"/>
  <c r="D64" i="8"/>
  <c r="D51" i="8"/>
  <c r="E48" i="8"/>
  <c r="E50" i="8"/>
  <c r="E143" i="8" s="1"/>
  <c r="E150" i="8" s="1"/>
  <c r="E157" i="8" s="1"/>
  <c r="E49" i="8"/>
  <c r="E142" i="8" s="1"/>
  <c r="E149" i="8" s="1"/>
  <c r="E156" i="8" s="1"/>
  <c r="F49" i="8"/>
  <c r="F142" i="8" s="1"/>
  <c r="F149" i="8" s="1"/>
  <c r="F156" i="8" s="1"/>
  <c r="D52" i="8"/>
  <c r="E52" i="8"/>
  <c r="E145" i="8" s="1"/>
  <c r="E152" i="8" s="1"/>
  <c r="E159" i="8" s="1"/>
  <c r="E51" i="8"/>
  <c r="F48" i="8"/>
  <c r="G48" i="8"/>
  <c r="G49" i="8"/>
  <c r="G142" i="8" s="1"/>
  <c r="G149" i="8" s="1"/>
  <c r="G156" i="8" s="1"/>
  <c r="F51" i="8"/>
  <c r="F144" i="8" s="1"/>
  <c r="F151" i="8" s="1"/>
  <c r="F158" i="8" s="1"/>
  <c r="F50" i="8"/>
  <c r="F143" i="8" s="1"/>
  <c r="F150" i="8" s="1"/>
  <c r="F157" i="8" s="1"/>
  <c r="F52" i="8"/>
  <c r="F145" i="8" s="1"/>
  <c r="F152" i="8" s="1"/>
  <c r="F159" i="8" s="1"/>
  <c r="G52" i="8"/>
  <c r="G145" i="8" s="1"/>
  <c r="G152" i="8" s="1"/>
  <c r="G159" i="8" s="1"/>
  <c r="D49" i="8"/>
  <c r="G50" i="8"/>
  <c r="G143" i="8" s="1"/>
  <c r="G150" i="8" s="1"/>
  <c r="G157" i="8" s="1"/>
  <c r="D50" i="8"/>
  <c r="G51" i="8"/>
  <c r="G144" i="8" s="1"/>
  <c r="G151" i="8" s="1"/>
  <c r="G158" i="8" s="1"/>
  <c r="D34" i="8"/>
  <c r="G39" i="8"/>
  <c r="F36" i="8"/>
  <c r="G38" i="8"/>
  <c r="F35" i="8"/>
  <c r="G37" i="8"/>
  <c r="F34" i="8"/>
  <c r="F37" i="8"/>
  <c r="E34" i="8"/>
  <c r="H38" i="8"/>
  <c r="G35" i="8"/>
  <c r="H37" i="8"/>
  <c r="G34" i="8"/>
  <c r="H36" i="8"/>
  <c r="H39" i="8"/>
  <c r="G36" i="8"/>
  <c r="D38" i="8"/>
  <c r="H34" i="8"/>
  <c r="D37" i="8"/>
  <c r="E39" i="8"/>
  <c r="D36" i="8"/>
  <c r="D39" i="8"/>
  <c r="H35" i="8"/>
  <c r="E37" i="8"/>
  <c r="F39" i="8"/>
  <c r="E36" i="8"/>
  <c r="F38" i="8"/>
  <c r="E35" i="8"/>
  <c r="E38" i="8"/>
  <c r="D35" i="8"/>
  <c r="CB28" i="13"/>
  <c r="BX28" i="13"/>
  <c r="BT28" i="13"/>
  <c r="BP28" i="13"/>
  <c r="BL28" i="13"/>
  <c r="BH28" i="13"/>
  <c r="BD28" i="13"/>
  <c r="AZ28" i="13"/>
  <c r="AV28" i="13"/>
  <c r="AR28" i="13"/>
  <c r="AN28" i="13"/>
  <c r="AJ28" i="13"/>
  <c r="AF28" i="13"/>
  <c r="AB28" i="13"/>
  <c r="X28" i="13"/>
  <c r="T28" i="13"/>
  <c r="P28" i="13"/>
  <c r="L28" i="13"/>
  <c r="H28" i="13"/>
  <c r="D28" i="13"/>
  <c r="BS28" i="13"/>
  <c r="BG28" i="13"/>
  <c r="AY28" i="13"/>
  <c r="AM28" i="13"/>
  <c r="AI28" i="13"/>
  <c r="AA28" i="13"/>
  <c r="W28" i="13"/>
  <c r="S28" i="13"/>
  <c r="O28" i="13"/>
  <c r="K28" i="13"/>
  <c r="G28" i="13"/>
  <c r="CA28" i="13"/>
  <c r="BW28" i="13"/>
  <c r="BO28" i="13"/>
  <c r="BK28" i="13"/>
  <c r="BC28" i="13"/>
  <c r="AU28" i="13"/>
  <c r="AQ28" i="13"/>
  <c r="AE28" i="13"/>
  <c r="CD28" i="13"/>
  <c r="BZ28" i="13"/>
  <c r="BV28" i="13"/>
  <c r="BR28" i="13"/>
  <c r="BN28" i="13"/>
  <c r="BJ28" i="13"/>
  <c r="BF28" i="13"/>
  <c r="BB28" i="13"/>
  <c r="AX28" i="13"/>
  <c r="AT28" i="13"/>
  <c r="AP28" i="13"/>
  <c r="AL28" i="13"/>
  <c r="AH28" i="13"/>
  <c r="AD28" i="13"/>
  <c r="Z28" i="13"/>
  <c r="V28" i="13"/>
  <c r="R28" i="13"/>
  <c r="N28" i="13"/>
  <c r="J28" i="13"/>
  <c r="F28" i="13"/>
  <c r="CC28" i="13"/>
  <c r="BY28" i="13"/>
  <c r="BU28" i="13"/>
  <c r="BQ28" i="13"/>
  <c r="BM28" i="13"/>
  <c r="BI28" i="13"/>
  <c r="BE28" i="13"/>
  <c r="BA28" i="13"/>
  <c r="AW28" i="13"/>
  <c r="AS28" i="13"/>
  <c r="AO28" i="13"/>
  <c r="AK28" i="13"/>
  <c r="AG28" i="13"/>
  <c r="AC28" i="13"/>
  <c r="Y28" i="13"/>
  <c r="U28" i="13"/>
  <c r="Q28" i="13"/>
  <c r="M28" i="13"/>
  <c r="I28" i="13"/>
  <c r="E28" i="13"/>
  <c r="D81" i="31"/>
  <c r="E144" i="8" l="1"/>
  <c r="E151" i="8" s="1"/>
  <c r="E158" i="8" s="1"/>
  <c r="B54" i="23"/>
  <c r="B54" i="22"/>
  <c r="B53" i="21"/>
  <c r="R16" i="13"/>
  <c r="D26" i="31"/>
  <c r="H19" i="13" l="1"/>
  <c r="H20" i="13"/>
  <c r="U26" i="31"/>
  <c r="V26" i="31"/>
  <c r="O26" i="31"/>
  <c r="P26" i="31"/>
  <c r="Q26" i="31"/>
  <c r="R26" i="31"/>
  <c r="S26" i="31"/>
  <c r="T26" i="31"/>
  <c r="B55" i="23"/>
  <c r="B55" i="22"/>
  <c r="B54" i="21"/>
  <c r="W16" i="13"/>
  <c r="V16" i="13" s="1"/>
  <c r="U16" i="13" s="1"/>
  <c r="T16" i="13" s="1"/>
  <c r="S16" i="13" s="1"/>
  <c r="AG16" i="13"/>
  <c r="AF16" i="13" s="1"/>
  <c r="AE16" i="13" s="1"/>
  <c r="AD16" i="13" s="1"/>
  <c r="AC16" i="13" s="1"/>
  <c r="AB19" i="13"/>
  <c r="AB22" i="13"/>
  <c r="AB21" i="13"/>
  <c r="AB20" i="13"/>
  <c r="H22" i="13"/>
  <c r="H21" i="13"/>
  <c r="W22" i="13"/>
  <c r="W21" i="13"/>
  <c r="W20" i="13"/>
  <c r="W19" i="13"/>
  <c r="W15" i="13"/>
  <c r="X15" i="13" s="1"/>
  <c r="Y15" i="13" s="1"/>
  <c r="Z15" i="13" s="1"/>
  <c r="H16" i="13"/>
  <c r="G16" i="13" s="1"/>
  <c r="F16" i="13" s="1"/>
  <c r="E16" i="13" s="1"/>
  <c r="D16" i="13" s="1"/>
  <c r="M21" i="13"/>
  <c r="M20" i="13"/>
  <c r="M19" i="13"/>
  <c r="M22" i="13"/>
  <c r="Q16" i="13"/>
  <c r="P16" i="13" s="1"/>
  <c r="O16" i="13" s="1"/>
  <c r="N16" i="13" s="1"/>
  <c r="H15" i="13"/>
  <c r="I15" i="13" s="1"/>
  <c r="J15" i="13" s="1"/>
  <c r="R15" i="13"/>
  <c r="S15" i="13" s="1"/>
  <c r="T15" i="13" s="1"/>
  <c r="U15" i="13" s="1"/>
  <c r="V15" i="13" s="1"/>
  <c r="M15" i="13"/>
  <c r="N15" i="13" s="1"/>
  <c r="O15" i="13" s="1"/>
  <c r="P15" i="13" s="1"/>
  <c r="CD16" i="13"/>
  <c r="CC16" i="13" s="1"/>
  <c r="CB16" i="13" s="1"/>
  <c r="CA16" i="13" s="1"/>
  <c r="BZ16" i="13" s="1"/>
  <c r="BY16" i="13" s="1"/>
  <c r="BX16" i="13" s="1"/>
  <c r="BW16" i="13" s="1"/>
  <c r="BV16" i="13" s="1"/>
  <c r="BU16" i="13" s="1"/>
  <c r="BT16" i="13" s="1"/>
  <c r="BS16" i="13" s="1"/>
  <c r="BR16" i="13" s="1"/>
  <c r="BQ16" i="13" s="1"/>
  <c r="BP16" i="13" s="1"/>
  <c r="BO16" i="13" s="1"/>
  <c r="BN16" i="13" s="1"/>
  <c r="BM16" i="13" s="1"/>
  <c r="BL16" i="13" s="1"/>
  <c r="BK16" i="13" s="1"/>
  <c r="BJ16" i="13" s="1"/>
  <c r="BI16" i="13" s="1"/>
  <c r="BH16" i="13" s="1"/>
  <c r="BG16" i="13" s="1"/>
  <c r="BF16" i="13" s="1"/>
  <c r="BE16" i="13" s="1"/>
  <c r="BD16" i="13" s="1"/>
  <c r="BC16" i="13" s="1"/>
  <c r="BB16" i="13" s="1"/>
  <c r="BA16" i="13" s="1"/>
  <c r="AZ16" i="13" s="1"/>
  <c r="AY16" i="13" s="1"/>
  <c r="AX16" i="13" s="1"/>
  <c r="AW16" i="13" s="1"/>
  <c r="AV16" i="13" s="1"/>
  <c r="AU16" i="13" s="1"/>
  <c r="AT16" i="13" s="1"/>
  <c r="AS16" i="13" s="1"/>
  <c r="AR16" i="13" s="1"/>
  <c r="AQ16" i="13" s="1"/>
  <c r="AP16" i="13" s="1"/>
  <c r="AO16" i="13" s="1"/>
  <c r="AN16" i="13" s="1"/>
  <c r="AM16" i="13" s="1"/>
  <c r="AL16" i="13" s="1"/>
  <c r="AK16" i="13" s="1"/>
  <c r="AJ16" i="13" s="1"/>
  <c r="AI16" i="13" s="1"/>
  <c r="AH16" i="13" s="1"/>
  <c r="M16" i="13"/>
  <c r="L16" i="13" s="1"/>
  <c r="K16" i="13" s="1"/>
  <c r="J16" i="13" s="1"/>
  <c r="I16" i="13" s="1"/>
  <c r="D15" i="13"/>
  <c r="E15" i="13" s="1"/>
  <c r="AG15" i="13"/>
  <c r="AH15" i="13" s="1"/>
  <c r="AI15" i="13" s="1"/>
  <c r="AJ15" i="13" s="1"/>
  <c r="AK15" i="13" s="1"/>
  <c r="AL15" i="13" s="1"/>
  <c r="AB16" i="13"/>
  <c r="AA16" i="13" s="1"/>
  <c r="Z16" i="13" s="1"/>
  <c r="Y16" i="13" s="1"/>
  <c r="X16" i="13" s="1"/>
  <c r="AB15" i="13"/>
  <c r="AC15" i="13" s="1"/>
  <c r="AD15" i="13" s="1"/>
  <c r="C16" i="13"/>
  <c r="AG22" i="13"/>
  <c r="R22" i="13"/>
  <c r="D29" i="13"/>
  <c r="E29" i="13"/>
  <c r="F29" i="13"/>
  <c r="G29" i="13"/>
  <c r="H29" i="13"/>
  <c r="I29" i="13"/>
  <c r="J29" i="13"/>
  <c r="K29" i="13"/>
  <c r="L29" i="13"/>
  <c r="M29" i="13"/>
  <c r="N29" i="13"/>
  <c r="O29" i="13"/>
  <c r="P29" i="13"/>
  <c r="Q29" i="13"/>
  <c r="R29" i="13"/>
  <c r="S29" i="13"/>
  <c r="T29" i="13"/>
  <c r="U29" i="13"/>
  <c r="V29" i="13"/>
  <c r="W29" i="13"/>
  <c r="X29" i="13"/>
  <c r="Y29" i="13"/>
  <c r="Z29" i="13"/>
  <c r="AA29" i="13"/>
  <c r="AB29" i="13"/>
  <c r="AC29" i="13"/>
  <c r="AD29" i="13"/>
  <c r="AE29" i="13"/>
  <c r="AF29" i="13"/>
  <c r="AG29" i="13"/>
  <c r="AH29" i="13"/>
  <c r="AI29" i="13"/>
  <c r="AJ29" i="13"/>
  <c r="AK29" i="13"/>
  <c r="AL29" i="13"/>
  <c r="AM29" i="13"/>
  <c r="AN29" i="13"/>
  <c r="AO29" i="13"/>
  <c r="AP29" i="13"/>
  <c r="AQ29" i="13"/>
  <c r="AR29" i="13"/>
  <c r="AS29" i="13"/>
  <c r="AT29" i="13"/>
  <c r="AU29" i="13"/>
  <c r="AV29" i="13"/>
  <c r="AW29" i="13"/>
  <c r="AX29" i="13"/>
  <c r="AY29" i="13"/>
  <c r="AZ29" i="13"/>
  <c r="BA29" i="13"/>
  <c r="BB29" i="13"/>
  <c r="BC29" i="13"/>
  <c r="BD29" i="13"/>
  <c r="BE29" i="13"/>
  <c r="BF29" i="13"/>
  <c r="BG29" i="13"/>
  <c r="BH29" i="13"/>
  <c r="BI29" i="13"/>
  <c r="BJ29" i="13"/>
  <c r="BK29" i="13"/>
  <c r="BL29" i="13"/>
  <c r="BM29" i="13"/>
  <c r="BN29" i="13"/>
  <c r="BO29" i="13"/>
  <c r="BP29" i="13"/>
  <c r="BQ29" i="13"/>
  <c r="BR29" i="13"/>
  <c r="BS29" i="13"/>
  <c r="BT29" i="13"/>
  <c r="BU29" i="13"/>
  <c r="BV29" i="13"/>
  <c r="BW29" i="13"/>
  <c r="BX29" i="13"/>
  <c r="BY29" i="13"/>
  <c r="BZ29" i="13"/>
  <c r="CA29" i="13"/>
  <c r="CB29" i="13"/>
  <c r="CC29" i="13"/>
  <c r="CD29" i="13"/>
  <c r="C29" i="13"/>
  <c r="C27" i="13"/>
  <c r="D27" i="13"/>
  <c r="E27" i="13"/>
  <c r="F27" i="13"/>
  <c r="G27" i="13"/>
  <c r="H27" i="13"/>
  <c r="I27" i="13"/>
  <c r="J27" i="13"/>
  <c r="K27" i="13"/>
  <c r="L27" i="13"/>
  <c r="M27" i="13"/>
  <c r="N27" i="13"/>
  <c r="O27" i="13"/>
  <c r="P27" i="13"/>
  <c r="Q27" i="13"/>
  <c r="R27" i="13"/>
  <c r="S27" i="13"/>
  <c r="T27" i="13"/>
  <c r="U27" i="13"/>
  <c r="V27" i="13"/>
  <c r="W27" i="13"/>
  <c r="X27" i="13"/>
  <c r="Y27" i="13"/>
  <c r="Z27" i="13"/>
  <c r="AA27" i="13"/>
  <c r="AB27" i="13"/>
  <c r="AC27" i="13"/>
  <c r="AD27" i="13"/>
  <c r="AE27" i="13"/>
  <c r="AF27" i="13"/>
  <c r="AG27" i="13"/>
  <c r="AH27" i="13"/>
  <c r="AI27" i="13"/>
  <c r="AJ27" i="13"/>
  <c r="AK27" i="13"/>
  <c r="AL27" i="13"/>
  <c r="AM27" i="13"/>
  <c r="AN27" i="13"/>
  <c r="AO27" i="13"/>
  <c r="AP27" i="13"/>
  <c r="AQ27" i="13"/>
  <c r="AR27" i="13"/>
  <c r="AS27" i="13"/>
  <c r="AT27" i="13"/>
  <c r="AU27" i="13"/>
  <c r="AV27" i="13"/>
  <c r="AW27" i="13"/>
  <c r="AX27" i="13"/>
  <c r="AY27" i="13"/>
  <c r="AZ27" i="13"/>
  <c r="BA27" i="13"/>
  <c r="BB27" i="13"/>
  <c r="BC27" i="13"/>
  <c r="BD27" i="13"/>
  <c r="BE27" i="13"/>
  <c r="BF27" i="13"/>
  <c r="BG27" i="13"/>
  <c r="BH27" i="13"/>
  <c r="BI27" i="13"/>
  <c r="BJ27" i="13"/>
  <c r="BK27" i="13"/>
  <c r="BL27" i="13"/>
  <c r="BM27" i="13"/>
  <c r="BN27" i="13"/>
  <c r="BO27" i="13"/>
  <c r="BP27" i="13"/>
  <c r="BQ27" i="13"/>
  <c r="BR27" i="13"/>
  <c r="BS27" i="13"/>
  <c r="BT27" i="13"/>
  <c r="BU27" i="13"/>
  <c r="BV27" i="13"/>
  <c r="BW27" i="13"/>
  <c r="BX27" i="13"/>
  <c r="BY27" i="13"/>
  <c r="BZ27" i="13"/>
  <c r="CA27" i="13"/>
  <c r="CB27" i="13"/>
  <c r="CC27" i="13"/>
  <c r="CD27" i="13"/>
  <c r="AH20" i="13" l="1"/>
  <c r="B56" i="23"/>
  <c r="B56" i="22"/>
  <c r="B55" i="21"/>
  <c r="S22" i="13"/>
  <c r="I19" i="13"/>
  <c r="AG19" i="13"/>
  <c r="AG21" i="13"/>
  <c r="AH19" i="13"/>
  <c r="AH21" i="13"/>
  <c r="I22" i="13"/>
  <c r="I20" i="13"/>
  <c r="X20" i="13"/>
  <c r="I21" i="13"/>
  <c r="X21" i="13"/>
  <c r="X22" i="13"/>
  <c r="R19" i="13"/>
  <c r="R20" i="13"/>
  <c r="S19" i="13"/>
  <c r="S21" i="13"/>
  <c r="R21" i="13"/>
  <c r="AH22" i="13"/>
  <c r="S20" i="13"/>
  <c r="X19" i="13"/>
  <c r="AG20" i="13"/>
  <c r="F15" i="13"/>
  <c r="G15" i="13" s="1"/>
  <c r="Q15" i="13"/>
  <c r="N22" i="13"/>
  <c r="K15" i="13"/>
  <c r="AM15" i="13"/>
  <c r="AE15" i="13"/>
  <c r="AA15" i="13"/>
  <c r="B57" i="23" l="1"/>
  <c r="B57" i="22"/>
  <c r="B56" i="21"/>
  <c r="T19" i="13"/>
  <c r="T21" i="13"/>
  <c r="T22" i="13"/>
  <c r="T20" i="13"/>
  <c r="AD19" i="13"/>
  <c r="AD21" i="13"/>
  <c r="AD20" i="13"/>
  <c r="AD22" i="13"/>
  <c r="AC21" i="13"/>
  <c r="AC19" i="13"/>
  <c r="AC20" i="13"/>
  <c r="O21" i="13"/>
  <c r="AC22" i="13"/>
  <c r="P22" i="13"/>
  <c r="N21" i="13"/>
  <c r="N19" i="13"/>
  <c r="N20" i="13"/>
  <c r="AJ19" i="13"/>
  <c r="AJ21" i="13"/>
  <c r="AJ22" i="13"/>
  <c r="AJ20" i="13"/>
  <c r="Y22" i="13"/>
  <c r="Y21" i="13"/>
  <c r="Y20" i="13"/>
  <c r="Y19" i="13"/>
  <c r="P19" i="13"/>
  <c r="Q21" i="13"/>
  <c r="O22" i="13"/>
  <c r="AI19" i="13"/>
  <c r="AI21" i="13"/>
  <c r="AI22" i="13"/>
  <c r="AI20" i="13"/>
  <c r="Q22" i="13"/>
  <c r="J19" i="13"/>
  <c r="J21" i="13"/>
  <c r="J22" i="13"/>
  <c r="J20" i="13"/>
  <c r="Q19" i="13"/>
  <c r="Q20" i="13"/>
  <c r="O19" i="13"/>
  <c r="P21" i="13"/>
  <c r="O20" i="13"/>
  <c r="P20" i="13"/>
  <c r="AF15" i="13"/>
  <c r="L15" i="13"/>
  <c r="AN15" i="13"/>
  <c r="B58" i="23" l="1"/>
  <c r="B58" i="22"/>
  <c r="B57" i="21"/>
  <c r="U22" i="13"/>
  <c r="U20" i="13"/>
  <c r="U21" i="13"/>
  <c r="U19" i="13"/>
  <c r="Z19" i="13"/>
  <c r="Z21" i="13"/>
  <c r="Z22" i="13"/>
  <c r="Z20" i="13"/>
  <c r="AK22" i="13"/>
  <c r="AK21" i="13"/>
  <c r="AK20" i="13"/>
  <c r="AK19" i="13"/>
  <c r="AE19" i="13"/>
  <c r="AE21" i="13"/>
  <c r="AE20" i="13"/>
  <c r="AE22" i="13"/>
  <c r="K19" i="13"/>
  <c r="K21" i="13"/>
  <c r="K20" i="13"/>
  <c r="K22" i="13"/>
  <c r="AO15" i="13"/>
  <c r="B59" i="23" l="1"/>
  <c r="B59" i="22"/>
  <c r="B58" i="21"/>
  <c r="AA19" i="13"/>
  <c r="AA21" i="13"/>
  <c r="AA22" i="13"/>
  <c r="AA20" i="13"/>
  <c r="V19" i="13"/>
  <c r="V21" i="13"/>
  <c r="V20" i="13"/>
  <c r="V22" i="13"/>
  <c r="L20" i="13"/>
  <c r="L19" i="13"/>
  <c r="L22" i="13"/>
  <c r="L21" i="13"/>
  <c r="AL19" i="13"/>
  <c r="AL21" i="13"/>
  <c r="AL22" i="13"/>
  <c r="AL20" i="13"/>
  <c r="AF20" i="13"/>
  <c r="AF22" i="13"/>
  <c r="AF21" i="13"/>
  <c r="AF19" i="13"/>
  <c r="AP15" i="13"/>
  <c r="B60" i="23" l="1"/>
  <c r="B60" i="22"/>
  <c r="B59" i="21"/>
  <c r="AM19" i="13"/>
  <c r="AM21" i="13"/>
  <c r="AM20" i="13"/>
  <c r="AM22" i="13"/>
  <c r="AQ15" i="13"/>
  <c r="B61" i="23" l="1"/>
  <c r="B61" i="22"/>
  <c r="B60" i="21"/>
  <c r="AN21" i="13"/>
  <c r="AN19" i="13"/>
  <c r="AN20" i="13"/>
  <c r="AN22" i="13"/>
  <c r="AR15" i="13"/>
  <c r="B62" i="23" l="1"/>
  <c r="B62" i="22"/>
  <c r="B61" i="21"/>
  <c r="AO21" i="13"/>
  <c r="AO19" i="13"/>
  <c r="AO20" i="13"/>
  <c r="AO22" i="13"/>
  <c r="AS15" i="13"/>
  <c r="B63" i="23" l="1"/>
  <c r="B63" i="22"/>
  <c r="AP19" i="13"/>
  <c r="AP21" i="13"/>
  <c r="AP22" i="13"/>
  <c r="AP20" i="13"/>
  <c r="AT15" i="13"/>
  <c r="B64" i="23" l="1"/>
  <c r="B64" i="22"/>
  <c r="AQ19" i="13"/>
  <c r="AQ21" i="13"/>
  <c r="AQ22" i="13"/>
  <c r="AQ20" i="13"/>
  <c r="AU15" i="13"/>
  <c r="B65" i="23" l="1"/>
  <c r="B65" i="22"/>
  <c r="AR20" i="13"/>
  <c r="AR22" i="13"/>
  <c r="AR21" i="13"/>
  <c r="AR19" i="13"/>
  <c r="AV15" i="13"/>
  <c r="B66" i="23" l="1"/>
  <c r="B66" i="22"/>
  <c r="AS22" i="13"/>
  <c r="AS21" i="13"/>
  <c r="AS20" i="13"/>
  <c r="AS19" i="13"/>
  <c r="AW15" i="13"/>
  <c r="B67" i="23" l="1"/>
  <c r="B67" i="22"/>
  <c r="AT19" i="13"/>
  <c r="AT21" i="13"/>
  <c r="AT20" i="13"/>
  <c r="AT22" i="13"/>
  <c r="AX15" i="13"/>
  <c r="B68" i="23" l="1"/>
  <c r="B68" i="22"/>
  <c r="AU19" i="13"/>
  <c r="AU21" i="13"/>
  <c r="AU20" i="13"/>
  <c r="AU22" i="13"/>
  <c r="AY15" i="13"/>
  <c r="B69" i="23" l="1"/>
  <c r="B69" i="22"/>
  <c r="AV20" i="13"/>
  <c r="AV22" i="13"/>
  <c r="AV19" i="13"/>
  <c r="AV21" i="13"/>
  <c r="AZ15" i="13"/>
  <c r="B70" i="23" l="1"/>
  <c r="B70" i="22"/>
  <c r="AW19" i="13"/>
  <c r="AW22" i="13"/>
  <c r="AW21" i="13"/>
  <c r="AW20" i="13"/>
  <c r="BA15" i="13"/>
  <c r="B71" i="23" l="1"/>
  <c r="B71" i="22"/>
  <c r="AX19" i="13"/>
  <c r="AX21" i="13"/>
  <c r="AX22" i="13"/>
  <c r="AX20" i="13"/>
  <c r="BB15" i="13"/>
  <c r="B72" i="23" l="1"/>
  <c r="B72" i="22"/>
  <c r="AY19" i="13"/>
  <c r="AY21" i="13"/>
  <c r="AY22" i="13"/>
  <c r="AY20" i="13"/>
  <c r="BC15" i="13"/>
  <c r="B73" i="23" l="1"/>
  <c r="B73" i="22"/>
  <c r="AZ21" i="13"/>
  <c r="AZ19" i="13"/>
  <c r="AZ22" i="13"/>
  <c r="AZ20" i="13"/>
  <c r="BD15" i="13"/>
  <c r="B74" i="23" l="1"/>
  <c r="B74" i="22"/>
  <c r="BA21" i="13"/>
  <c r="BA19" i="13"/>
  <c r="BA22" i="13"/>
  <c r="BA20" i="13"/>
  <c r="BE15" i="13"/>
  <c r="B75" i="23" l="1"/>
  <c r="B75" i="22"/>
  <c r="BB19" i="13"/>
  <c r="BB22" i="13"/>
  <c r="BB21" i="13"/>
  <c r="BB20" i="13"/>
  <c r="BF15" i="13"/>
  <c r="B76" i="23" l="1"/>
  <c r="B76" i="22"/>
  <c r="BC19" i="13"/>
  <c r="BC21" i="13"/>
  <c r="BC20" i="13"/>
  <c r="BC22" i="13"/>
  <c r="BG15" i="13"/>
  <c r="B77" i="23" l="1"/>
  <c r="B77" i="22"/>
  <c r="BD19" i="13"/>
  <c r="BD21" i="13"/>
  <c r="BD20" i="13"/>
  <c r="BD22" i="13"/>
  <c r="BH15" i="13"/>
  <c r="B78" i="23" l="1"/>
  <c r="B78" i="22"/>
  <c r="BE22" i="13"/>
  <c r="BE21" i="13"/>
  <c r="BE20" i="13"/>
  <c r="BE19" i="13"/>
  <c r="BI15" i="13"/>
  <c r="B79" i="23" l="1"/>
  <c r="B79" i="22"/>
  <c r="BF19" i="13"/>
  <c r="BF21" i="13"/>
  <c r="BF22" i="13"/>
  <c r="BF20" i="13"/>
  <c r="BJ15" i="13"/>
  <c r="B80" i="23" l="1"/>
  <c r="B80" i="22"/>
  <c r="BG19" i="13"/>
  <c r="BG21" i="13"/>
  <c r="BG22" i="13"/>
  <c r="BG20" i="13"/>
  <c r="BK15" i="13"/>
  <c r="B81" i="23" l="1"/>
  <c r="B81" i="22"/>
  <c r="BH22" i="13"/>
  <c r="BH20" i="13"/>
  <c r="BH21" i="13"/>
  <c r="BH19" i="13"/>
  <c r="BL15" i="13"/>
  <c r="B82" i="23" l="1"/>
  <c r="B82" i="22"/>
  <c r="BI21" i="13"/>
  <c r="BI19" i="13"/>
  <c r="BI20" i="13"/>
  <c r="BI22" i="13"/>
  <c r="BM15" i="13"/>
  <c r="B83" i="23" l="1"/>
  <c r="B83" i="22"/>
  <c r="BJ19" i="13"/>
  <c r="BJ21" i="13"/>
  <c r="BJ22" i="13"/>
  <c r="BJ20" i="13"/>
  <c r="BN15" i="13"/>
  <c r="B84" i="23" l="1"/>
  <c r="B84" i="22"/>
  <c r="BK19" i="13"/>
  <c r="BK21" i="13"/>
  <c r="BK20" i="13"/>
  <c r="BK22" i="13"/>
  <c r="BO15" i="13"/>
  <c r="B85" i="23" l="1"/>
  <c r="B85" i="22"/>
  <c r="BL19" i="13"/>
  <c r="BL21" i="13"/>
  <c r="BL22" i="13"/>
  <c r="BL20" i="13"/>
  <c r="BP15" i="13"/>
  <c r="B86" i="23" l="1"/>
  <c r="B86" i="22"/>
  <c r="BM19" i="13"/>
  <c r="BM22" i="13"/>
  <c r="BM21" i="13"/>
  <c r="BM20" i="13"/>
  <c r="BQ15" i="13"/>
  <c r="B87" i="23" l="1"/>
  <c r="B87" i="22"/>
  <c r="BN19" i="13"/>
  <c r="BN21" i="13"/>
  <c r="BN22" i="13"/>
  <c r="BN20" i="13"/>
  <c r="BR15" i="13"/>
  <c r="B88" i="23" l="1"/>
  <c r="B88" i="22"/>
  <c r="BO19" i="13"/>
  <c r="BO21" i="13"/>
  <c r="BO22" i="13"/>
  <c r="BO20" i="13"/>
  <c r="BS15" i="13"/>
  <c r="B89" i="23" l="1"/>
  <c r="B89" i="22"/>
  <c r="BP21" i="13"/>
  <c r="BP19" i="13"/>
  <c r="BP22" i="13"/>
  <c r="BP20" i="13"/>
  <c r="BT15" i="13"/>
  <c r="B90" i="23" l="1"/>
  <c r="B90" i="22"/>
  <c r="BQ22" i="13"/>
  <c r="BQ20" i="13"/>
  <c r="BQ19" i="13"/>
  <c r="BQ21" i="13"/>
  <c r="BU15" i="13"/>
  <c r="B91" i="23" l="1"/>
  <c r="B91" i="22"/>
  <c r="BR19" i="13"/>
  <c r="BR21" i="13"/>
  <c r="BR20" i="13"/>
  <c r="BR22" i="13"/>
  <c r="BV15" i="13"/>
  <c r="B92" i="23" l="1"/>
  <c r="B92" i="22"/>
  <c r="BS19" i="13"/>
  <c r="BS21" i="13"/>
  <c r="BS20" i="13"/>
  <c r="BS22" i="13"/>
  <c r="BW15" i="13"/>
  <c r="B93" i="23" l="1"/>
  <c r="B93" i="22"/>
  <c r="BT19" i="13"/>
  <c r="BT21" i="13"/>
  <c r="BT20" i="13"/>
  <c r="BT22" i="13"/>
  <c r="BX15" i="13"/>
  <c r="B94" i="23" l="1"/>
  <c r="B94" i="22"/>
  <c r="BU22" i="13"/>
  <c r="BU21" i="13"/>
  <c r="BU20" i="13"/>
  <c r="BU19" i="13"/>
  <c r="BY15" i="13"/>
  <c r="B95" i="23" l="1"/>
  <c r="B95" i="22"/>
  <c r="BV19" i="13"/>
  <c r="BV21" i="13"/>
  <c r="BV22" i="13"/>
  <c r="BV20" i="13"/>
  <c r="BZ15" i="13"/>
  <c r="B96" i="23" l="1"/>
  <c r="B96" i="22"/>
  <c r="BW19" i="13"/>
  <c r="BW21" i="13"/>
  <c r="BW22" i="13"/>
  <c r="BW20" i="13"/>
  <c r="CA15" i="13"/>
  <c r="B97" i="23" l="1"/>
  <c r="B97" i="22"/>
  <c r="BX20" i="13"/>
  <c r="BX21" i="13"/>
  <c r="BX22" i="13"/>
  <c r="BX19" i="13"/>
  <c r="CB15" i="13"/>
  <c r="B98" i="23" l="1"/>
  <c r="B98" i="22"/>
  <c r="BY21" i="13"/>
  <c r="BY19" i="13"/>
  <c r="BY20" i="13"/>
  <c r="BY22" i="13"/>
  <c r="CC15" i="13"/>
  <c r="B99" i="23" l="1"/>
  <c r="B99" i="22"/>
  <c r="BZ19" i="13"/>
  <c r="BZ21" i="13"/>
  <c r="BZ22" i="13"/>
  <c r="BZ20" i="13"/>
  <c r="CD15" i="13"/>
  <c r="B100" i="23" l="1"/>
  <c r="B100" i="22"/>
  <c r="CA19" i="13"/>
  <c r="CA21" i="13"/>
  <c r="CA20" i="13"/>
  <c r="CA22" i="13"/>
  <c r="B101" i="23" l="1"/>
  <c r="B101" i="22"/>
  <c r="CB20" i="13"/>
  <c r="CB22" i="13"/>
  <c r="CB19" i="13"/>
  <c r="CB21" i="13"/>
  <c r="B102" i="23" l="1"/>
  <c r="B102" i="22"/>
  <c r="CC22" i="13"/>
  <c r="CC20" i="13"/>
  <c r="CC19" i="13"/>
  <c r="CC21" i="13"/>
  <c r="B103" i="23" l="1"/>
  <c r="B103" i="22"/>
  <c r="CD19" i="13"/>
  <c r="CD21" i="13"/>
  <c r="CD22" i="13"/>
  <c r="CD20" i="13"/>
  <c r="B104" i="23" l="1"/>
  <c r="B104" i="22"/>
  <c r="E29" i="5"/>
  <c r="E30" i="5" s="1"/>
  <c r="F29" i="5"/>
  <c r="F30" i="5" s="1"/>
  <c r="G29" i="5"/>
  <c r="G30" i="5" s="1"/>
  <c r="H29" i="5"/>
  <c r="H30" i="5" s="1"/>
  <c r="I29" i="5"/>
  <c r="I30" i="5" s="1"/>
  <c r="J29" i="5"/>
  <c r="J30" i="5" s="1"/>
  <c r="N29" i="5"/>
  <c r="N30" i="5" s="1"/>
  <c r="R29" i="5"/>
  <c r="R30" i="5" s="1"/>
  <c r="S29" i="5"/>
  <c r="S30" i="5" s="1"/>
  <c r="T29" i="5"/>
  <c r="T30" i="5" s="1"/>
  <c r="U29" i="5"/>
  <c r="U30" i="5" s="1"/>
  <c r="V29" i="5"/>
  <c r="V30" i="5" s="1"/>
  <c r="W29" i="5"/>
  <c r="W30" i="5" s="1"/>
  <c r="X29" i="5"/>
  <c r="X30" i="5" s="1"/>
  <c r="Y29" i="5"/>
  <c r="Y30" i="5" s="1"/>
  <c r="Z29" i="5"/>
  <c r="Z30" i="5" s="1"/>
  <c r="AA29" i="5"/>
  <c r="AA30" i="5" s="1"/>
  <c r="AB29" i="5"/>
  <c r="AB30" i="5" s="1"/>
  <c r="AC29" i="5"/>
  <c r="AC30" i="5" s="1"/>
  <c r="AD29" i="5"/>
  <c r="AD30" i="5" s="1"/>
  <c r="AE29" i="5"/>
  <c r="AE30" i="5" s="1"/>
  <c r="AF29" i="5"/>
  <c r="AF30" i="5" s="1"/>
  <c r="AG29" i="5"/>
  <c r="AG30" i="5" s="1"/>
  <c r="AH29" i="5"/>
  <c r="AH30" i="5" s="1"/>
  <c r="AI29" i="5"/>
  <c r="AI30" i="5" s="1"/>
  <c r="AJ29" i="5"/>
  <c r="AJ30" i="5" s="1"/>
  <c r="AK29" i="5"/>
  <c r="AK30" i="5" s="1"/>
  <c r="AL29" i="5"/>
  <c r="AL30" i="5" s="1"/>
  <c r="AM29" i="5"/>
  <c r="AM30" i="5" s="1"/>
  <c r="AN29" i="5"/>
  <c r="AN30" i="5" s="1"/>
  <c r="AO29" i="5"/>
  <c r="AO30" i="5" s="1"/>
  <c r="AP29" i="5"/>
  <c r="AP30" i="5" s="1"/>
  <c r="AQ29" i="5"/>
  <c r="AQ30" i="5" s="1"/>
  <c r="AR29" i="5"/>
  <c r="AR30" i="5" s="1"/>
  <c r="AS29" i="5"/>
  <c r="AS30" i="5" s="1"/>
  <c r="AT29" i="5"/>
  <c r="AT30" i="5" s="1"/>
  <c r="AU29" i="5"/>
  <c r="AU30" i="5" s="1"/>
  <c r="AV29" i="5"/>
  <c r="AV30" i="5" s="1"/>
  <c r="AW29" i="5"/>
  <c r="AW30" i="5" s="1"/>
  <c r="AX29" i="5"/>
  <c r="AX30" i="5" s="1"/>
  <c r="AY29" i="5"/>
  <c r="AY30" i="5" s="1"/>
  <c r="AZ29" i="5"/>
  <c r="AZ30" i="5" s="1"/>
  <c r="BA29" i="5"/>
  <c r="BA30" i="5" s="1"/>
  <c r="BB29" i="5"/>
  <c r="BB30" i="5" s="1"/>
  <c r="BC29" i="5"/>
  <c r="BC30" i="5" s="1"/>
  <c r="BD29" i="5"/>
  <c r="BD30" i="5" s="1"/>
  <c r="BE29" i="5"/>
  <c r="BE30" i="5" s="1"/>
  <c r="BF29" i="5"/>
  <c r="BF30" i="5" s="1"/>
  <c r="BG29" i="5"/>
  <c r="BG30" i="5" s="1"/>
  <c r="BH29" i="5"/>
  <c r="BH30" i="5" s="1"/>
  <c r="BI29" i="5"/>
  <c r="BI30" i="5" s="1"/>
  <c r="BJ29" i="5"/>
  <c r="BJ30" i="5" s="1"/>
  <c r="BK29" i="5"/>
  <c r="BK30" i="5" s="1"/>
  <c r="BL29" i="5"/>
  <c r="BL30" i="5" s="1"/>
  <c r="BM29" i="5"/>
  <c r="BM30" i="5" s="1"/>
  <c r="BN29" i="5"/>
  <c r="BN30" i="5" s="1"/>
  <c r="BO29" i="5"/>
  <c r="BO30" i="5" s="1"/>
  <c r="BP29" i="5"/>
  <c r="BP30" i="5" s="1"/>
  <c r="BQ29" i="5"/>
  <c r="BQ30" i="5" s="1"/>
  <c r="BR29" i="5"/>
  <c r="BR30" i="5" s="1"/>
  <c r="BS29" i="5"/>
  <c r="BS30" i="5" s="1"/>
  <c r="BT29" i="5"/>
  <c r="BT30" i="5" s="1"/>
  <c r="BU29" i="5"/>
  <c r="BU30" i="5" s="1"/>
  <c r="BV29" i="5"/>
  <c r="BV30" i="5" s="1"/>
  <c r="BW29" i="5"/>
  <c r="BW30" i="5" s="1"/>
  <c r="BX29" i="5"/>
  <c r="BX30" i="5" s="1"/>
  <c r="BY29" i="5"/>
  <c r="BY30" i="5" s="1"/>
  <c r="BZ29" i="5"/>
  <c r="BZ30" i="5" s="1"/>
  <c r="CA29" i="5"/>
  <c r="CA30" i="5" s="1"/>
  <c r="CB29" i="5"/>
  <c r="CB30" i="5" s="1"/>
  <c r="CC29" i="5"/>
  <c r="CC30" i="5" s="1"/>
  <c r="CD29" i="5"/>
  <c r="CD30" i="5" s="1"/>
  <c r="CE29" i="5"/>
  <c r="CE30" i="5" s="1"/>
  <c r="D29" i="5"/>
  <c r="D30" i="5" s="1"/>
  <c r="B105" i="23" l="1"/>
  <c r="B105" i="22"/>
  <c r="D31" i="5"/>
  <c r="D32" i="5" s="1"/>
  <c r="CA31" i="5"/>
  <c r="CA32" i="5" s="1"/>
  <c r="BS31" i="5"/>
  <c r="BS32" i="5" s="1"/>
  <c r="BG31" i="5"/>
  <c r="BG32" i="5" s="1"/>
  <c r="CD31" i="5"/>
  <c r="CD32" i="5" s="1"/>
  <c r="BZ31" i="5"/>
  <c r="BZ32" i="5" s="1"/>
  <c r="BV31" i="5"/>
  <c r="BV32" i="5" s="1"/>
  <c r="BR31" i="5"/>
  <c r="BR32" i="5" s="1"/>
  <c r="BN31" i="5"/>
  <c r="BN32" i="5" s="1"/>
  <c r="BJ31" i="5"/>
  <c r="BJ32" i="5" s="1"/>
  <c r="BF31" i="5"/>
  <c r="BF32" i="5" s="1"/>
  <c r="BB31" i="5"/>
  <c r="BB32" i="5" s="1"/>
  <c r="AX31" i="5"/>
  <c r="AX32" i="5" s="1"/>
  <c r="AT31" i="5"/>
  <c r="AT32" i="5" s="1"/>
  <c r="AP31" i="5"/>
  <c r="AP32" i="5" s="1"/>
  <c r="AL31" i="5"/>
  <c r="AL32" i="5" s="1"/>
  <c r="AH31" i="5"/>
  <c r="AH32" i="5" s="1"/>
  <c r="AD31" i="5"/>
  <c r="AD32" i="5" s="1"/>
  <c r="Z31" i="5"/>
  <c r="Z32" i="5" s="1"/>
  <c r="V31" i="5"/>
  <c r="V32" i="5" s="1"/>
  <c r="R31" i="5"/>
  <c r="R32" i="5" s="1"/>
  <c r="N31" i="5"/>
  <c r="N32" i="5" s="1"/>
  <c r="J31" i="5"/>
  <c r="J32" i="5" s="1"/>
  <c r="F31" i="5"/>
  <c r="F32" i="5" s="1"/>
  <c r="CB31" i="5"/>
  <c r="CB32" i="5" s="1"/>
  <c r="BW31" i="5"/>
  <c r="BW32" i="5" s="1"/>
  <c r="BK31" i="5"/>
  <c r="BK32" i="5" s="1"/>
  <c r="CC31" i="5"/>
  <c r="CC32" i="5" s="1"/>
  <c r="BY31" i="5"/>
  <c r="BY32" i="5" s="1"/>
  <c r="BU31" i="5"/>
  <c r="BU32" i="5" s="1"/>
  <c r="BQ31" i="5"/>
  <c r="BQ32" i="5" s="1"/>
  <c r="BM31" i="5"/>
  <c r="BM32" i="5" s="1"/>
  <c r="BI31" i="5"/>
  <c r="BI32" i="5" s="1"/>
  <c r="BE31" i="5"/>
  <c r="BE32" i="5" s="1"/>
  <c r="BA31" i="5"/>
  <c r="BA32" i="5" s="1"/>
  <c r="AW31" i="5"/>
  <c r="AW32" i="5" s="1"/>
  <c r="AS31" i="5"/>
  <c r="AS32" i="5" s="1"/>
  <c r="AO31" i="5"/>
  <c r="AO32" i="5" s="1"/>
  <c r="AK31" i="5"/>
  <c r="AK32" i="5" s="1"/>
  <c r="AG31" i="5"/>
  <c r="AG32" i="5" s="1"/>
  <c r="AC31" i="5"/>
  <c r="AC32" i="5" s="1"/>
  <c r="Y31" i="5"/>
  <c r="Y32" i="5" s="1"/>
  <c r="U31" i="5"/>
  <c r="U32" i="5" s="1"/>
  <c r="BX31" i="5"/>
  <c r="BX32" i="5" s="1"/>
  <c r="BT31" i="5"/>
  <c r="BT32" i="5" s="1"/>
  <c r="BP31" i="5"/>
  <c r="BP32" i="5" s="1"/>
  <c r="BL31" i="5"/>
  <c r="BL32" i="5" s="1"/>
  <c r="BH31" i="5"/>
  <c r="BH32" i="5" s="1"/>
  <c r="BD31" i="5"/>
  <c r="BD32" i="5" s="1"/>
  <c r="AZ31" i="5"/>
  <c r="AZ32" i="5" s="1"/>
  <c r="AV31" i="5"/>
  <c r="AV32" i="5" s="1"/>
  <c r="AR31" i="5"/>
  <c r="AR32" i="5" s="1"/>
  <c r="AN31" i="5"/>
  <c r="AN32" i="5" s="1"/>
  <c r="AJ31" i="5"/>
  <c r="AJ32" i="5" s="1"/>
  <c r="AF31" i="5"/>
  <c r="AF32" i="5" s="1"/>
  <c r="AB31" i="5"/>
  <c r="AB32" i="5" s="1"/>
  <c r="X31" i="5"/>
  <c r="X32" i="5" s="1"/>
  <c r="T31" i="5"/>
  <c r="T32" i="5" s="1"/>
  <c r="H31" i="5"/>
  <c r="H32" i="5" s="1"/>
  <c r="I31" i="5"/>
  <c r="I32" i="5" s="1"/>
  <c r="CE31" i="5"/>
  <c r="CE32" i="5" s="1"/>
  <c r="BO31" i="5"/>
  <c r="BO32" i="5" s="1"/>
  <c r="BC31" i="5"/>
  <c r="BC32" i="5" s="1"/>
  <c r="AY31" i="5"/>
  <c r="AY32" i="5" s="1"/>
  <c r="AU31" i="5"/>
  <c r="AU32" i="5" s="1"/>
  <c r="AQ31" i="5"/>
  <c r="AQ32" i="5" s="1"/>
  <c r="AM31" i="5"/>
  <c r="AM32" i="5" s="1"/>
  <c r="AI31" i="5"/>
  <c r="AI32" i="5" s="1"/>
  <c r="AE31" i="5"/>
  <c r="AE32" i="5" s="1"/>
  <c r="AA31" i="5"/>
  <c r="AA32" i="5" s="1"/>
  <c r="W31" i="5"/>
  <c r="W32" i="5" s="1"/>
  <c r="S31" i="5"/>
  <c r="S32" i="5" s="1"/>
  <c r="G31" i="5"/>
  <c r="G32" i="5" s="1"/>
  <c r="E31" i="5"/>
  <c r="E32" i="5" s="1"/>
  <c r="D9" i="5"/>
  <c r="O28" i="5" s="1"/>
  <c r="O29" i="5" s="1"/>
  <c r="O30" i="5" s="1"/>
  <c r="O31" i="5" s="1"/>
  <c r="O32" i="5" s="1"/>
  <c r="B106" i="23" l="1"/>
  <c r="B106" i="22"/>
  <c r="K28" i="5"/>
  <c r="F9" i="5"/>
  <c r="Q28" i="5" s="1"/>
  <c r="Q29" i="5" s="1"/>
  <c r="Q30" i="5" s="1"/>
  <c r="Q31" i="5" s="1"/>
  <c r="Q32" i="5" s="1"/>
  <c r="E9" i="5"/>
  <c r="P28" i="5" s="1"/>
  <c r="P29" i="5" s="1"/>
  <c r="P30" i="5" s="1"/>
  <c r="P31" i="5" s="1"/>
  <c r="P32" i="5" s="1"/>
  <c r="D11" i="28"/>
  <c r="B107" i="23" l="1"/>
  <c r="B107" i="22"/>
  <c r="K29" i="5"/>
  <c r="K30" i="5" s="1"/>
  <c r="K31" i="5" s="1"/>
  <c r="K32" i="5" s="1"/>
  <c r="M28" i="5"/>
  <c r="M29" i="5" s="1"/>
  <c r="M30" i="5" s="1"/>
  <c r="M31" i="5" s="1"/>
  <c r="M32" i="5" s="1"/>
  <c r="L28" i="5"/>
  <c r="L29" i="5" s="1"/>
  <c r="L30" i="5" s="1"/>
  <c r="L31" i="5" s="1"/>
  <c r="L32" i="5" s="1"/>
  <c r="I9" i="5"/>
  <c r="B108" i="23" l="1"/>
  <c r="B108" i="22"/>
  <c r="AO107" i="10"/>
  <c r="Q107" i="10"/>
  <c r="AA107" i="10"/>
  <c r="AQ108" i="10"/>
  <c r="R108" i="10"/>
  <c r="AK107" i="10"/>
  <c r="E107" i="10"/>
  <c r="AY108" i="10"/>
  <c r="J108" i="10"/>
  <c r="AU107" i="10"/>
  <c r="AS108" i="10"/>
  <c r="CC108" i="10"/>
  <c r="AV107" i="10"/>
  <c r="BQ108" i="10"/>
  <c r="E108" i="10"/>
  <c r="AC108" i="10"/>
  <c r="BT107" i="10"/>
  <c r="BH108" i="10"/>
  <c r="BA108" i="10"/>
  <c r="BX108" i="10"/>
  <c r="AM107" i="10"/>
  <c r="O107" i="10"/>
  <c r="M108" i="10"/>
  <c r="T108" i="10"/>
  <c r="BY108" i="10"/>
  <c r="BN108" i="10"/>
  <c r="BX107" i="10"/>
  <c r="N107" i="10"/>
  <c r="BC107" i="10"/>
  <c r="BI107" i="10"/>
  <c r="E105" i="10"/>
  <c r="AI108" i="10"/>
  <c r="S108" i="10"/>
  <c r="F107" i="10"/>
  <c r="S107" i="10"/>
  <c r="I107" i="10"/>
  <c r="AK108" i="10"/>
  <c r="BK107" i="10"/>
  <c r="BD108" i="10"/>
  <c r="BJ107" i="10"/>
  <c r="AR108" i="10"/>
  <c r="O108" i="10"/>
  <c r="BZ108" i="10"/>
  <c r="BS107" i="10"/>
  <c r="CD108" i="10"/>
  <c r="E106" i="10"/>
  <c r="CA107" i="10"/>
  <c r="H108" i="10"/>
  <c r="AW108" i="10"/>
  <c r="BY107" i="10"/>
  <c r="BQ107" i="10"/>
  <c r="BL107" i="10"/>
  <c r="CB107" i="10"/>
  <c r="AS107" i="10"/>
  <c r="BR108" i="10"/>
  <c r="BU107" i="10"/>
  <c r="AE107" i="10"/>
  <c r="AB108" i="10"/>
  <c r="P108" i="10"/>
  <c r="BP108" i="10"/>
  <c r="AX108" i="10"/>
  <c r="G108" i="10"/>
  <c r="U107" i="10"/>
  <c r="BV107" i="10"/>
  <c r="AN107" i="10"/>
  <c r="BL108" i="10"/>
  <c r="AI107" i="10"/>
  <c r="AJ108" i="10"/>
  <c r="BW108" i="10"/>
  <c r="V108" i="10"/>
  <c r="BE107" i="10"/>
  <c r="AY107" i="10"/>
  <c r="AP108" i="10"/>
  <c r="BD107" i="10"/>
  <c r="AU108" i="10"/>
  <c r="BW107" i="10"/>
  <c r="AW107" i="10"/>
  <c r="F108" i="10"/>
  <c r="X108" i="10"/>
  <c r="U108" i="10"/>
  <c r="CB108" i="10"/>
  <c r="BI108" i="10"/>
  <c r="I108" i="10"/>
  <c r="K108" i="10"/>
  <c r="R107" i="10"/>
  <c r="BN107" i="10"/>
  <c r="BM107" i="10"/>
  <c r="Y107" i="10"/>
  <c r="AA108" i="10"/>
  <c r="CD107" i="10"/>
  <c r="BR107" i="10"/>
  <c r="CF108" i="10"/>
  <c r="BM108" i="10"/>
  <c r="CF107" i="10"/>
  <c r="BT108" i="10"/>
  <c r="BZ107" i="10"/>
  <c r="Q108" i="10"/>
  <c r="AB107" i="10"/>
  <c r="W107" i="10"/>
  <c r="J107" i="10"/>
  <c r="CE107" i="10"/>
  <c r="AR107" i="10"/>
  <c r="AG107" i="10"/>
  <c r="AM108" i="10"/>
  <c r="BH107" i="10"/>
  <c r="BO108" i="10"/>
  <c r="BA107" i="10"/>
  <c r="AG108" i="10"/>
  <c r="AH107" i="10"/>
  <c r="BB108" i="10"/>
  <c r="BJ108" i="10"/>
  <c r="BG107" i="10"/>
  <c r="BK108" i="10"/>
  <c r="AF108" i="10"/>
  <c r="BP107" i="10"/>
  <c r="CC107" i="10"/>
  <c r="N108" i="10"/>
  <c r="AD108" i="10"/>
  <c r="AH108" i="10"/>
  <c r="V107" i="10"/>
  <c r="AT107" i="10"/>
  <c r="BB107" i="10"/>
  <c r="AC107" i="10"/>
  <c r="L108" i="10"/>
  <c r="L107" i="10"/>
  <c r="T107" i="10"/>
  <c r="AX107" i="10"/>
  <c r="Z107" i="10"/>
  <c r="AN108" i="10"/>
  <c r="BC108" i="10"/>
  <c r="AP107" i="10"/>
  <c r="AT108" i="10"/>
  <c r="BO107" i="10"/>
  <c r="H107" i="10"/>
  <c r="AJ107" i="10"/>
  <c r="AL107" i="10"/>
  <c r="M107" i="10"/>
  <c r="CE108" i="10"/>
  <c r="BG108" i="10"/>
  <c r="CA108" i="10"/>
  <c r="G107" i="10"/>
  <c r="X107" i="10"/>
  <c r="AL108" i="10"/>
  <c r="AF107" i="10"/>
  <c r="AZ108" i="10"/>
  <c r="BV108" i="10"/>
  <c r="Y108" i="10"/>
  <c r="AV108" i="10"/>
  <c r="W108" i="10"/>
  <c r="AE108" i="10"/>
  <c r="P107" i="10"/>
  <c r="BE108" i="10"/>
  <c r="AD107" i="10"/>
  <c r="BS108" i="10"/>
  <c r="AZ107" i="10"/>
  <c r="BF108" i="10"/>
  <c r="BU108" i="10"/>
  <c r="AO108" i="10"/>
  <c r="K107" i="10"/>
  <c r="Z108" i="10"/>
  <c r="BF107" i="10"/>
  <c r="AQ107" i="10"/>
  <c r="G120" i="10"/>
  <c r="I106" i="10"/>
  <c r="H105" i="10"/>
  <c r="F106" i="10"/>
  <c r="N105" i="10"/>
  <c r="O105" i="10"/>
  <c r="N106" i="10"/>
  <c r="S106" i="10"/>
  <c r="L106" i="10"/>
  <c r="F105" i="10"/>
  <c r="K119" i="10"/>
  <c r="H106" i="10"/>
  <c r="J119" i="10"/>
  <c r="R105" i="10"/>
  <c r="P106" i="10"/>
  <c r="K106" i="10"/>
  <c r="J106" i="10"/>
  <c r="O119" i="10"/>
  <c r="M106" i="10"/>
  <c r="G106" i="10"/>
  <c r="G105" i="10"/>
  <c r="I105" i="10"/>
  <c r="F119" i="10"/>
  <c r="M105" i="10"/>
  <c r="P119" i="10"/>
  <c r="E119" i="10"/>
  <c r="J120" i="10"/>
  <c r="L105" i="10"/>
  <c r="H120" i="10"/>
  <c r="P120" i="10"/>
  <c r="F120" i="10"/>
  <c r="P105" i="10"/>
  <c r="Q119" i="10"/>
  <c r="N120" i="10"/>
  <c r="G119" i="10"/>
  <c r="I120" i="10"/>
  <c r="I119" i="10"/>
  <c r="K120" i="10"/>
  <c r="M119" i="10"/>
  <c r="L119" i="10"/>
  <c r="Q120" i="10"/>
  <c r="N119" i="10"/>
  <c r="H119" i="10"/>
  <c r="L120" i="10"/>
  <c r="Q105" i="10"/>
  <c r="R106" i="10"/>
  <c r="O120" i="10"/>
  <c r="J105" i="10"/>
  <c r="R120" i="10"/>
  <c r="R119" i="10"/>
  <c r="E120" i="10"/>
  <c r="K105" i="10"/>
  <c r="M120" i="10"/>
  <c r="V105" i="10"/>
  <c r="S120" i="10"/>
  <c r="T105" i="10"/>
  <c r="U105" i="10"/>
  <c r="T119" i="10"/>
  <c r="T120" i="10"/>
  <c r="T106" i="10"/>
  <c r="S119" i="10"/>
  <c r="S105" i="10"/>
  <c r="V120" i="10"/>
  <c r="V106" i="10"/>
  <c r="U120" i="10"/>
  <c r="U106" i="10"/>
  <c r="V119" i="10"/>
  <c r="U119" i="10"/>
  <c r="W106" i="10"/>
  <c r="W105" i="10"/>
  <c r="X106" i="10"/>
  <c r="X120" i="10"/>
  <c r="W119" i="10"/>
  <c r="W120" i="10"/>
  <c r="X105" i="10"/>
  <c r="X119" i="10"/>
  <c r="Z106" i="10"/>
  <c r="Z119" i="10"/>
  <c r="Z105" i="10"/>
  <c r="AB105" i="10"/>
  <c r="Y105" i="10"/>
  <c r="Z120" i="10"/>
  <c r="Y120" i="10"/>
  <c r="AA120" i="10"/>
  <c r="Y119" i="10"/>
  <c r="Y106" i="10"/>
  <c r="AA105" i="10"/>
  <c r="AA119" i="10"/>
  <c r="AB119" i="10"/>
  <c r="AA106" i="10"/>
  <c r="AB106" i="10"/>
  <c r="D35" i="5"/>
  <c r="B109" i="23" l="1"/>
  <c r="B109" i="22"/>
  <c r="D31" i="28"/>
  <c r="S15" i="6"/>
  <c r="CB201" i="8"/>
  <c r="CB189" i="8"/>
  <c r="CB187" i="8"/>
  <c r="E216" i="8"/>
  <c r="F215" i="8"/>
  <c r="G215" i="8"/>
  <c r="H215" i="8"/>
  <c r="I215" i="8"/>
  <c r="J215" i="8"/>
  <c r="K215" i="8"/>
  <c r="L215" i="8"/>
  <c r="M215" i="8"/>
  <c r="N215" i="8"/>
  <c r="O215" i="8"/>
  <c r="P215" i="8"/>
  <c r="Q215" i="8"/>
  <c r="R215" i="8"/>
  <c r="S215" i="8"/>
  <c r="T215" i="8"/>
  <c r="U215" i="8"/>
  <c r="V215" i="8"/>
  <c r="W215" i="8"/>
  <c r="X215" i="8"/>
  <c r="Y215" i="8"/>
  <c r="Z215" i="8"/>
  <c r="AA215" i="8"/>
  <c r="AB215" i="8"/>
  <c r="AC215" i="8"/>
  <c r="AD215" i="8"/>
  <c r="AE215" i="8" s="1"/>
  <c r="AF215" i="8" s="1"/>
  <c r="AG215" i="8" s="1"/>
  <c r="AH215" i="8" s="1"/>
  <c r="AI215" i="8" s="1"/>
  <c r="AJ215" i="8" s="1"/>
  <c r="AK215" i="8" s="1"/>
  <c r="AL215" i="8" s="1"/>
  <c r="AM215" i="8" s="1"/>
  <c r="AN215" i="8" s="1"/>
  <c r="AO215" i="8" s="1"/>
  <c r="AP215" i="8" s="1"/>
  <c r="AQ215" i="8" s="1"/>
  <c r="AR215" i="8" s="1"/>
  <c r="AS215" i="8" s="1"/>
  <c r="AT215" i="8" s="1"/>
  <c r="AU215" i="8" s="1"/>
  <c r="AV215" i="8" s="1"/>
  <c r="AW215" i="8" s="1"/>
  <c r="AX215" i="8" s="1"/>
  <c r="AY215" i="8" s="1"/>
  <c r="AZ215" i="8" s="1"/>
  <c r="BA215" i="8" s="1"/>
  <c r="BB215" i="8" s="1"/>
  <c r="BC215" i="8" s="1"/>
  <c r="BD215" i="8" s="1"/>
  <c r="BE215" i="8" s="1"/>
  <c r="BF215" i="8" s="1"/>
  <c r="BG215" i="8" s="1"/>
  <c r="BH215" i="8" s="1"/>
  <c r="BI215" i="8" s="1"/>
  <c r="BJ215" i="8" s="1"/>
  <c r="BK215" i="8" s="1"/>
  <c r="BL215" i="8" s="1"/>
  <c r="BM215" i="8" s="1"/>
  <c r="BN215" i="8" s="1"/>
  <c r="BO215" i="8" s="1"/>
  <c r="BP215" i="8" s="1"/>
  <c r="BQ215" i="8" s="1"/>
  <c r="BR215" i="8" s="1"/>
  <c r="BS215" i="8" s="1"/>
  <c r="BT215" i="8" s="1"/>
  <c r="BU215" i="8" s="1"/>
  <c r="BV215" i="8" s="1"/>
  <c r="BW215" i="8" s="1"/>
  <c r="BX215" i="8" s="1"/>
  <c r="BY215" i="8" s="1"/>
  <c r="BZ215" i="8" s="1"/>
  <c r="CA215" i="8" s="1"/>
  <c r="CB215" i="8" s="1"/>
  <c r="CC215" i="8" s="1"/>
  <c r="CD215" i="8" s="1"/>
  <c r="CE215" i="8" s="1"/>
  <c r="CF215" i="8" s="1"/>
  <c r="E215" i="8"/>
  <c r="AD216" i="8"/>
  <c r="AE216" i="8" s="1"/>
  <c r="AF216" i="8" s="1"/>
  <c r="AG216" i="8" s="1"/>
  <c r="AH216" i="8" s="1"/>
  <c r="AI216" i="8" s="1"/>
  <c r="AJ216" i="8" s="1"/>
  <c r="AK216" i="8" s="1"/>
  <c r="AL216" i="8" s="1"/>
  <c r="AM216" i="8" s="1"/>
  <c r="AN216" i="8" s="1"/>
  <c r="AO216" i="8" s="1"/>
  <c r="AP216" i="8" s="1"/>
  <c r="AQ216" i="8" s="1"/>
  <c r="AR216" i="8" s="1"/>
  <c r="AS216" i="8" s="1"/>
  <c r="AT216" i="8" s="1"/>
  <c r="AU216" i="8" s="1"/>
  <c r="AV216" i="8" s="1"/>
  <c r="AW216" i="8" s="1"/>
  <c r="AX216" i="8" s="1"/>
  <c r="AY216" i="8" s="1"/>
  <c r="AZ216" i="8" s="1"/>
  <c r="BA216" i="8" s="1"/>
  <c r="BB216" i="8" s="1"/>
  <c r="BC216" i="8" s="1"/>
  <c r="BD216" i="8" s="1"/>
  <c r="BE216" i="8" s="1"/>
  <c r="BF216" i="8" s="1"/>
  <c r="BG216" i="8" s="1"/>
  <c r="BH216" i="8" s="1"/>
  <c r="BI216" i="8" s="1"/>
  <c r="BJ216" i="8" s="1"/>
  <c r="BK216" i="8" s="1"/>
  <c r="BL216" i="8" s="1"/>
  <c r="BM216" i="8" s="1"/>
  <c r="BN216" i="8" s="1"/>
  <c r="BO216" i="8" s="1"/>
  <c r="BP216" i="8" s="1"/>
  <c r="BQ216" i="8" s="1"/>
  <c r="BR216" i="8" s="1"/>
  <c r="BS216" i="8" s="1"/>
  <c r="BT216" i="8" s="1"/>
  <c r="BU216" i="8" s="1"/>
  <c r="BV216" i="8" s="1"/>
  <c r="BW216" i="8" s="1"/>
  <c r="BX216" i="8" s="1"/>
  <c r="BY216" i="8" s="1"/>
  <c r="BZ216" i="8" s="1"/>
  <c r="CA216" i="8" s="1"/>
  <c r="CB216" i="8" s="1"/>
  <c r="CC216" i="8" s="1"/>
  <c r="CD216" i="8" s="1"/>
  <c r="CE216" i="8" s="1"/>
  <c r="CF216" i="8" s="1"/>
  <c r="AC216" i="8"/>
  <c r="AB216" i="8"/>
  <c r="AA216" i="8"/>
  <c r="Z216" i="8"/>
  <c r="Y216" i="8"/>
  <c r="X216" i="8"/>
  <c r="W216" i="8"/>
  <c r="V216" i="8"/>
  <c r="U216" i="8"/>
  <c r="T216" i="8"/>
  <c r="S216" i="8"/>
  <c r="R216" i="8"/>
  <c r="Q216" i="8"/>
  <c r="P216" i="8"/>
  <c r="O216" i="8"/>
  <c r="N216" i="8"/>
  <c r="M216" i="8"/>
  <c r="L216" i="8"/>
  <c r="K216" i="8"/>
  <c r="J216" i="8"/>
  <c r="I216" i="8"/>
  <c r="H216" i="8"/>
  <c r="G216" i="8"/>
  <c r="F216" i="8"/>
  <c r="F210" i="8"/>
  <c r="G210" i="8"/>
  <c r="H210" i="8"/>
  <c r="I210" i="8"/>
  <c r="J210" i="8"/>
  <c r="K210" i="8"/>
  <c r="L210" i="8"/>
  <c r="M210" i="8"/>
  <c r="N210" i="8"/>
  <c r="O210" i="8"/>
  <c r="P210" i="8"/>
  <c r="Q210" i="8"/>
  <c r="R210" i="8"/>
  <c r="S210" i="8"/>
  <c r="T210" i="8"/>
  <c r="U210" i="8"/>
  <c r="V210" i="8"/>
  <c r="W210" i="8"/>
  <c r="X210" i="8"/>
  <c r="Y210" i="8"/>
  <c r="Z210" i="8"/>
  <c r="AA210" i="8"/>
  <c r="AB210" i="8"/>
  <c r="AC210" i="8"/>
  <c r="AD210" i="8"/>
  <c r="AE210" i="8" s="1"/>
  <c r="AF210" i="8" s="1"/>
  <c r="AG210" i="8" s="1"/>
  <c r="AH210" i="8" s="1"/>
  <c r="AI210" i="8" s="1"/>
  <c r="AJ210" i="8" s="1"/>
  <c r="AK210" i="8" s="1"/>
  <c r="AL210" i="8" s="1"/>
  <c r="AM210" i="8" s="1"/>
  <c r="AN210" i="8" s="1"/>
  <c r="AO210" i="8" s="1"/>
  <c r="AP210" i="8" s="1"/>
  <c r="AQ210" i="8" s="1"/>
  <c r="AR210" i="8" s="1"/>
  <c r="AS210" i="8" s="1"/>
  <c r="AT210" i="8" s="1"/>
  <c r="AU210" i="8" s="1"/>
  <c r="AV210" i="8" s="1"/>
  <c r="AW210" i="8" s="1"/>
  <c r="AX210" i="8" s="1"/>
  <c r="AY210" i="8" s="1"/>
  <c r="AZ210" i="8" s="1"/>
  <c r="BA210" i="8" s="1"/>
  <c r="BB210" i="8" s="1"/>
  <c r="BC210" i="8" s="1"/>
  <c r="BD210" i="8" s="1"/>
  <c r="BE210" i="8" s="1"/>
  <c r="BF210" i="8" s="1"/>
  <c r="BG210" i="8" s="1"/>
  <c r="BH210" i="8" s="1"/>
  <c r="BI210" i="8" s="1"/>
  <c r="BJ210" i="8" s="1"/>
  <c r="BK210" i="8" s="1"/>
  <c r="BL210" i="8" s="1"/>
  <c r="BM210" i="8" s="1"/>
  <c r="BN210" i="8" s="1"/>
  <c r="BO210" i="8" s="1"/>
  <c r="BP210" i="8" s="1"/>
  <c r="BQ210" i="8" s="1"/>
  <c r="BR210" i="8" s="1"/>
  <c r="BS210" i="8" s="1"/>
  <c r="BT210" i="8" s="1"/>
  <c r="BU210" i="8" s="1"/>
  <c r="BV210" i="8" s="1"/>
  <c r="BW210" i="8" s="1"/>
  <c r="BX210" i="8" s="1"/>
  <c r="BY210" i="8" s="1"/>
  <c r="BZ210" i="8" s="1"/>
  <c r="CA210" i="8" s="1"/>
  <c r="CB210" i="8" s="1"/>
  <c r="CC210" i="8" s="1"/>
  <c r="CD210" i="8" s="1"/>
  <c r="CE210" i="8" s="1"/>
  <c r="CF210" i="8" s="1"/>
  <c r="F211" i="8"/>
  <c r="G211" i="8"/>
  <c r="H211" i="8"/>
  <c r="I211" i="8"/>
  <c r="J211" i="8"/>
  <c r="K211" i="8"/>
  <c r="L211" i="8"/>
  <c r="M211" i="8"/>
  <c r="N211" i="8"/>
  <c r="O211" i="8"/>
  <c r="P211" i="8"/>
  <c r="Q211" i="8"/>
  <c r="R211" i="8"/>
  <c r="S211" i="8"/>
  <c r="T211" i="8"/>
  <c r="U211" i="8"/>
  <c r="V211" i="8"/>
  <c r="W211" i="8"/>
  <c r="X211" i="8"/>
  <c r="Y211" i="8"/>
  <c r="Z211" i="8"/>
  <c r="AA211" i="8"/>
  <c r="AB211" i="8"/>
  <c r="AC211" i="8"/>
  <c r="AD211" i="8"/>
  <c r="AE211" i="8" s="1"/>
  <c r="AF211" i="8" s="1"/>
  <c r="AG211" i="8" s="1"/>
  <c r="AH211" i="8" s="1"/>
  <c r="AI211" i="8" s="1"/>
  <c r="AJ211" i="8" s="1"/>
  <c r="AK211" i="8" s="1"/>
  <c r="AL211" i="8" s="1"/>
  <c r="AM211" i="8" s="1"/>
  <c r="AN211" i="8" s="1"/>
  <c r="AO211" i="8" s="1"/>
  <c r="AP211" i="8" s="1"/>
  <c r="AQ211" i="8" s="1"/>
  <c r="AR211" i="8" s="1"/>
  <c r="AS211" i="8" s="1"/>
  <c r="AT211" i="8" s="1"/>
  <c r="AU211" i="8" s="1"/>
  <c r="AV211" i="8" s="1"/>
  <c r="AW211" i="8" s="1"/>
  <c r="AX211" i="8" s="1"/>
  <c r="AY211" i="8" s="1"/>
  <c r="AZ211" i="8" s="1"/>
  <c r="BA211" i="8" s="1"/>
  <c r="BB211" i="8" s="1"/>
  <c r="BC211" i="8" s="1"/>
  <c r="BD211" i="8" s="1"/>
  <c r="BE211" i="8" s="1"/>
  <c r="BF211" i="8" s="1"/>
  <c r="BG211" i="8" s="1"/>
  <c r="BH211" i="8" s="1"/>
  <c r="BI211" i="8" s="1"/>
  <c r="BJ211" i="8" s="1"/>
  <c r="BK211" i="8" s="1"/>
  <c r="BL211" i="8" s="1"/>
  <c r="BM211" i="8" s="1"/>
  <c r="BN211" i="8" s="1"/>
  <c r="BO211" i="8" s="1"/>
  <c r="BP211" i="8" s="1"/>
  <c r="BQ211" i="8" s="1"/>
  <c r="BR211" i="8" s="1"/>
  <c r="BS211" i="8" s="1"/>
  <c r="BT211" i="8" s="1"/>
  <c r="BU211" i="8" s="1"/>
  <c r="BV211" i="8" s="1"/>
  <c r="BW211" i="8" s="1"/>
  <c r="BX211" i="8" s="1"/>
  <c r="BY211" i="8" s="1"/>
  <c r="BZ211" i="8" s="1"/>
  <c r="CA211" i="8" s="1"/>
  <c r="CB211" i="8" s="1"/>
  <c r="CC211" i="8" s="1"/>
  <c r="CD211" i="8" s="1"/>
  <c r="CE211" i="8" s="1"/>
  <c r="CF211" i="8" s="1"/>
  <c r="E211" i="8"/>
  <c r="E210" i="8"/>
  <c r="F201" i="8"/>
  <c r="G201" i="8"/>
  <c r="H201" i="8"/>
  <c r="I201" i="8"/>
  <c r="J201" i="8"/>
  <c r="K201" i="8"/>
  <c r="L201" i="8"/>
  <c r="M201" i="8"/>
  <c r="N201" i="8"/>
  <c r="O201" i="8"/>
  <c r="P201" i="8"/>
  <c r="Q201" i="8"/>
  <c r="R201" i="8"/>
  <c r="S201" i="8"/>
  <c r="T201" i="8"/>
  <c r="U201" i="8"/>
  <c r="V201" i="8"/>
  <c r="W201" i="8"/>
  <c r="X201" i="8"/>
  <c r="Y201" i="8"/>
  <c r="Z201" i="8"/>
  <c r="AA201" i="8"/>
  <c r="AB201" i="8"/>
  <c r="AC201" i="8"/>
  <c r="AD201" i="8"/>
  <c r="AE201" i="8"/>
  <c r="AF201" i="8"/>
  <c r="AG201" i="8"/>
  <c r="AH201" i="8"/>
  <c r="AI201" i="8"/>
  <c r="AJ201" i="8"/>
  <c r="AK201" i="8"/>
  <c r="AL201" i="8"/>
  <c r="AM201" i="8"/>
  <c r="AN201" i="8"/>
  <c r="AO201" i="8"/>
  <c r="AP201" i="8"/>
  <c r="AQ201" i="8"/>
  <c r="AR201" i="8"/>
  <c r="AS201" i="8"/>
  <c r="AT201" i="8"/>
  <c r="AU201" i="8"/>
  <c r="AV201" i="8"/>
  <c r="AW201" i="8"/>
  <c r="AX201" i="8"/>
  <c r="AY201" i="8"/>
  <c r="AZ201" i="8"/>
  <c r="BA201" i="8"/>
  <c r="BB201" i="8"/>
  <c r="BC201" i="8"/>
  <c r="BD201" i="8"/>
  <c r="BE201" i="8"/>
  <c r="BF201" i="8"/>
  <c r="BG201" i="8"/>
  <c r="BH201" i="8"/>
  <c r="BI201" i="8"/>
  <c r="BJ201" i="8"/>
  <c r="BK201" i="8"/>
  <c r="BL201" i="8"/>
  <c r="BM201" i="8"/>
  <c r="BN201" i="8"/>
  <c r="BO201" i="8"/>
  <c r="BP201" i="8"/>
  <c r="BQ201" i="8"/>
  <c r="BR201" i="8"/>
  <c r="BS201" i="8"/>
  <c r="BT201" i="8"/>
  <c r="BU201" i="8"/>
  <c r="BV201" i="8"/>
  <c r="BW201" i="8"/>
  <c r="BX201" i="8"/>
  <c r="BY201" i="8"/>
  <c r="BZ201" i="8"/>
  <c r="CA201" i="8"/>
  <c r="E201" i="8"/>
  <c r="F187" i="8"/>
  <c r="G187" i="8"/>
  <c r="H187" i="8"/>
  <c r="I187" i="8"/>
  <c r="J187" i="8"/>
  <c r="K187" i="8"/>
  <c r="L187" i="8"/>
  <c r="M187" i="8"/>
  <c r="N187" i="8"/>
  <c r="O187" i="8"/>
  <c r="P187" i="8"/>
  <c r="Q187" i="8"/>
  <c r="R187" i="8"/>
  <c r="S187" i="8"/>
  <c r="T187" i="8"/>
  <c r="U187" i="8"/>
  <c r="V187" i="8"/>
  <c r="W187" i="8"/>
  <c r="X187" i="8"/>
  <c r="Y187" i="8"/>
  <c r="Z187" i="8"/>
  <c r="AA187" i="8"/>
  <c r="AB187" i="8"/>
  <c r="AC187" i="8"/>
  <c r="AD187" i="8"/>
  <c r="AE187" i="8"/>
  <c r="AF187" i="8"/>
  <c r="AG187" i="8"/>
  <c r="AH187" i="8"/>
  <c r="AI187" i="8"/>
  <c r="AJ187" i="8"/>
  <c r="AK187" i="8"/>
  <c r="AL187" i="8"/>
  <c r="AM187" i="8"/>
  <c r="AN187" i="8"/>
  <c r="AO187" i="8"/>
  <c r="AP187" i="8"/>
  <c r="AQ187" i="8"/>
  <c r="AR187" i="8"/>
  <c r="AS187" i="8"/>
  <c r="AT187" i="8"/>
  <c r="AU187" i="8"/>
  <c r="AV187" i="8"/>
  <c r="AW187" i="8"/>
  <c r="AX187" i="8"/>
  <c r="AY187" i="8"/>
  <c r="AZ187" i="8"/>
  <c r="BA187" i="8"/>
  <c r="BB187" i="8"/>
  <c r="BC187" i="8"/>
  <c r="BD187" i="8"/>
  <c r="BE187" i="8"/>
  <c r="BF187" i="8"/>
  <c r="BG187" i="8"/>
  <c r="BH187" i="8"/>
  <c r="BI187" i="8"/>
  <c r="BJ187" i="8"/>
  <c r="BK187" i="8"/>
  <c r="BL187" i="8"/>
  <c r="BM187" i="8"/>
  <c r="BN187" i="8"/>
  <c r="BO187" i="8"/>
  <c r="BP187" i="8"/>
  <c r="BQ187" i="8"/>
  <c r="BR187" i="8"/>
  <c r="BS187" i="8"/>
  <c r="BT187" i="8"/>
  <c r="BU187" i="8"/>
  <c r="BV187" i="8"/>
  <c r="BW187" i="8"/>
  <c r="BX187" i="8"/>
  <c r="BY187" i="8"/>
  <c r="BZ187" i="8"/>
  <c r="CA187" i="8"/>
  <c r="E187" i="8"/>
  <c r="F186" i="8"/>
  <c r="G186" i="8"/>
  <c r="H186" i="8"/>
  <c r="I186" i="8"/>
  <c r="J186" i="8"/>
  <c r="K186" i="8"/>
  <c r="L186" i="8"/>
  <c r="M186" i="8"/>
  <c r="N186" i="8"/>
  <c r="O186" i="8"/>
  <c r="P186" i="8"/>
  <c r="Q186" i="8"/>
  <c r="R186" i="8"/>
  <c r="S186" i="8"/>
  <c r="T186" i="8"/>
  <c r="U186" i="8"/>
  <c r="V186" i="8"/>
  <c r="W186" i="8"/>
  <c r="X186" i="8"/>
  <c r="Y186" i="8"/>
  <c r="Z186" i="8"/>
  <c r="AA186" i="8"/>
  <c r="AB186" i="8"/>
  <c r="AC186" i="8"/>
  <c r="AD186" i="8"/>
  <c r="AE186" i="8"/>
  <c r="AF186" i="8"/>
  <c r="AG186" i="8"/>
  <c r="AH186" i="8"/>
  <c r="AI186" i="8"/>
  <c r="AJ186" i="8"/>
  <c r="AK186" i="8"/>
  <c r="AL186" i="8"/>
  <c r="AM186" i="8"/>
  <c r="AN186" i="8"/>
  <c r="AO186" i="8"/>
  <c r="AP186" i="8"/>
  <c r="AQ186" i="8"/>
  <c r="AR186" i="8"/>
  <c r="AS186" i="8"/>
  <c r="AT186" i="8"/>
  <c r="AU186" i="8"/>
  <c r="AV186" i="8"/>
  <c r="AW186" i="8"/>
  <c r="AX186" i="8"/>
  <c r="AY186" i="8"/>
  <c r="AZ186" i="8"/>
  <c r="BA186" i="8"/>
  <c r="BB186" i="8"/>
  <c r="BC186" i="8"/>
  <c r="BD186" i="8"/>
  <c r="BE186" i="8"/>
  <c r="BF186" i="8"/>
  <c r="BG186" i="8"/>
  <c r="BH186" i="8"/>
  <c r="BI186" i="8"/>
  <c r="BJ186" i="8"/>
  <c r="BK186" i="8"/>
  <c r="BL186" i="8"/>
  <c r="BM186" i="8"/>
  <c r="BN186" i="8"/>
  <c r="BO186" i="8"/>
  <c r="BP186" i="8"/>
  <c r="BQ186" i="8"/>
  <c r="BR186" i="8"/>
  <c r="BS186" i="8"/>
  <c r="BT186" i="8"/>
  <c r="BU186" i="8"/>
  <c r="BV186" i="8"/>
  <c r="BW186" i="8"/>
  <c r="BX186" i="8"/>
  <c r="BY186" i="8"/>
  <c r="BZ186" i="8"/>
  <c r="CA186" i="8"/>
  <c r="CB186" i="8"/>
  <c r="E186" i="8"/>
  <c r="F200" i="8"/>
  <c r="G200" i="8"/>
  <c r="H200" i="8"/>
  <c r="I200" i="8"/>
  <c r="J200" i="8"/>
  <c r="K200" i="8"/>
  <c r="L200" i="8"/>
  <c r="M200" i="8"/>
  <c r="N200" i="8"/>
  <c r="O200" i="8"/>
  <c r="P200" i="8"/>
  <c r="Q200" i="8"/>
  <c r="R200" i="8"/>
  <c r="S200" i="8"/>
  <c r="T200" i="8"/>
  <c r="U200" i="8"/>
  <c r="V200" i="8"/>
  <c r="W200" i="8"/>
  <c r="X200" i="8"/>
  <c r="Y200" i="8"/>
  <c r="Z200" i="8"/>
  <c r="AA200" i="8"/>
  <c r="AB200" i="8"/>
  <c r="AC200" i="8"/>
  <c r="AD200" i="8"/>
  <c r="AE200" i="8"/>
  <c r="AF200" i="8"/>
  <c r="AG200" i="8"/>
  <c r="AH200" i="8"/>
  <c r="AI200" i="8"/>
  <c r="AJ200" i="8"/>
  <c r="AK200" i="8"/>
  <c r="AL200" i="8"/>
  <c r="AM200" i="8"/>
  <c r="AN200" i="8"/>
  <c r="AO200" i="8"/>
  <c r="AP200" i="8"/>
  <c r="AQ200" i="8"/>
  <c r="AR200" i="8"/>
  <c r="AS200" i="8"/>
  <c r="AT200" i="8"/>
  <c r="AU200" i="8"/>
  <c r="AV200" i="8"/>
  <c r="AW200" i="8"/>
  <c r="AX200" i="8"/>
  <c r="AY200" i="8"/>
  <c r="AZ200" i="8"/>
  <c r="BA200" i="8"/>
  <c r="BB200" i="8"/>
  <c r="BC200" i="8"/>
  <c r="BD200" i="8"/>
  <c r="BE200" i="8"/>
  <c r="BF200" i="8"/>
  <c r="BG200" i="8"/>
  <c r="BH200" i="8"/>
  <c r="BI200" i="8"/>
  <c r="BJ200" i="8"/>
  <c r="BK200" i="8"/>
  <c r="BL200" i="8"/>
  <c r="BM200" i="8"/>
  <c r="BN200" i="8"/>
  <c r="BO200" i="8"/>
  <c r="BP200" i="8"/>
  <c r="BQ200" i="8"/>
  <c r="BR200" i="8"/>
  <c r="BS200" i="8"/>
  <c r="BT200" i="8"/>
  <c r="BU200" i="8"/>
  <c r="BV200" i="8"/>
  <c r="BW200" i="8"/>
  <c r="BX200" i="8"/>
  <c r="BY200" i="8"/>
  <c r="BZ200" i="8"/>
  <c r="CA200" i="8"/>
  <c r="CB200" i="8"/>
  <c r="E200" i="8"/>
  <c r="F189" i="8"/>
  <c r="G189" i="8"/>
  <c r="H189" i="8"/>
  <c r="I189" i="8"/>
  <c r="J189" i="8"/>
  <c r="K189" i="8"/>
  <c r="L189" i="8"/>
  <c r="M189" i="8"/>
  <c r="N189" i="8"/>
  <c r="O189" i="8"/>
  <c r="P189" i="8"/>
  <c r="Q189" i="8"/>
  <c r="R189" i="8"/>
  <c r="S189" i="8"/>
  <c r="T189" i="8"/>
  <c r="U189" i="8"/>
  <c r="V189" i="8"/>
  <c r="W189" i="8"/>
  <c r="X189" i="8"/>
  <c r="Y189" i="8"/>
  <c r="Z189" i="8"/>
  <c r="AA189" i="8"/>
  <c r="AB189" i="8"/>
  <c r="AC189" i="8"/>
  <c r="AD189" i="8"/>
  <c r="AE189" i="8"/>
  <c r="AF189" i="8"/>
  <c r="AG189" i="8"/>
  <c r="AH189" i="8"/>
  <c r="AI189" i="8"/>
  <c r="AJ189" i="8"/>
  <c r="AK189" i="8"/>
  <c r="AL189" i="8"/>
  <c r="AM189" i="8"/>
  <c r="AN189" i="8"/>
  <c r="AO189" i="8"/>
  <c r="AP189" i="8"/>
  <c r="AQ189" i="8"/>
  <c r="AR189" i="8"/>
  <c r="AS189" i="8"/>
  <c r="AT189" i="8"/>
  <c r="AU189" i="8"/>
  <c r="AV189" i="8"/>
  <c r="AW189" i="8"/>
  <c r="AX189" i="8"/>
  <c r="AY189" i="8"/>
  <c r="AZ189" i="8"/>
  <c r="BA189" i="8"/>
  <c r="BB189" i="8"/>
  <c r="BC189" i="8"/>
  <c r="BD189" i="8"/>
  <c r="BE189" i="8"/>
  <c r="BF189" i="8"/>
  <c r="BG189" i="8"/>
  <c r="BH189" i="8"/>
  <c r="BI189" i="8"/>
  <c r="BJ189" i="8"/>
  <c r="BK189" i="8"/>
  <c r="BL189" i="8"/>
  <c r="BM189" i="8"/>
  <c r="BN189" i="8"/>
  <c r="BO189" i="8"/>
  <c r="BP189" i="8"/>
  <c r="BQ189" i="8"/>
  <c r="BR189" i="8"/>
  <c r="BS189" i="8"/>
  <c r="BT189" i="8"/>
  <c r="BU189" i="8"/>
  <c r="BV189" i="8"/>
  <c r="BW189" i="8"/>
  <c r="BX189" i="8"/>
  <c r="BY189" i="8"/>
  <c r="BZ189" i="8"/>
  <c r="CA189" i="8"/>
  <c r="E189"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BA188" i="8"/>
  <c r="BB188" i="8"/>
  <c r="BC188" i="8"/>
  <c r="BD188" i="8"/>
  <c r="BE188" i="8"/>
  <c r="BF188" i="8"/>
  <c r="BG188" i="8"/>
  <c r="BH188" i="8"/>
  <c r="BI188" i="8"/>
  <c r="BJ188" i="8"/>
  <c r="BK188" i="8"/>
  <c r="BL188" i="8"/>
  <c r="BM188" i="8"/>
  <c r="BN188" i="8"/>
  <c r="BO188" i="8"/>
  <c r="BP188" i="8"/>
  <c r="BQ188" i="8"/>
  <c r="BR188" i="8"/>
  <c r="BS188" i="8"/>
  <c r="BT188" i="8"/>
  <c r="BU188" i="8"/>
  <c r="BV188" i="8"/>
  <c r="BW188" i="8"/>
  <c r="BX188" i="8"/>
  <c r="BY188" i="8"/>
  <c r="BZ188" i="8"/>
  <c r="CA188" i="8"/>
  <c r="CB188" i="8"/>
  <c r="E188" i="8"/>
  <c r="C22" i="25"/>
  <c r="D22" i="25" s="1"/>
  <c r="E22" i="25" s="1"/>
  <c r="F22" i="25" s="1"/>
  <c r="G22" i="25" s="1"/>
  <c r="H22" i="25" s="1"/>
  <c r="I22" i="25" s="1"/>
  <c r="J22" i="25" s="1"/>
  <c r="K22" i="25" s="1"/>
  <c r="L22" i="25" s="1"/>
  <c r="M22" i="25" s="1"/>
  <c r="N22" i="25" s="1"/>
  <c r="O22" i="25" s="1"/>
  <c r="P22" i="25" s="1"/>
  <c r="Q22" i="25" s="1"/>
  <c r="R22" i="25" s="1"/>
  <c r="S22" i="25" s="1"/>
  <c r="T22" i="25" s="1"/>
  <c r="U22" i="25" s="1"/>
  <c r="V22" i="25" s="1"/>
  <c r="W22" i="25" s="1"/>
  <c r="X22" i="25" s="1"/>
  <c r="Y22" i="25" s="1"/>
  <c r="Z22" i="25" s="1"/>
  <c r="AA22" i="25" s="1"/>
  <c r="AB22" i="25" s="1"/>
  <c r="AC22" i="25" s="1"/>
  <c r="AD22" i="25" s="1"/>
  <c r="AE22" i="25" s="1"/>
  <c r="AF22" i="25" s="1"/>
  <c r="AG22" i="25" s="1"/>
  <c r="AH22" i="25" s="1"/>
  <c r="AI22" i="25" s="1"/>
  <c r="AJ22" i="25" s="1"/>
  <c r="AK22" i="25" s="1"/>
  <c r="AL22" i="25" s="1"/>
  <c r="AM22" i="25" s="1"/>
  <c r="Q23" i="28" l="1"/>
  <c r="C10" i="40"/>
  <c r="B110" i="23"/>
  <c r="B110" i="22"/>
  <c r="CC189" i="8"/>
  <c r="B111" i="23" l="1"/>
  <c r="B111" i="22"/>
  <c r="CC201" i="8"/>
  <c r="CD189" i="8"/>
  <c r="CD201" i="8"/>
  <c r="CD187" i="8"/>
  <c r="CD186" i="8"/>
  <c r="CD200" i="8"/>
  <c r="CD188" i="8"/>
  <c r="CC186" i="8"/>
  <c r="CC188" i="8"/>
  <c r="CC187" i="8"/>
  <c r="CC200" i="8"/>
  <c r="B112" i="23" l="1"/>
  <c r="B112" i="22"/>
  <c r="CE189" i="8"/>
  <c r="CE188" i="8"/>
  <c r="B113" i="23" l="1"/>
  <c r="B113" i="22"/>
  <c r="CE187" i="8"/>
  <c r="CE200" i="8"/>
  <c r="CE201" i="8"/>
  <c r="CF187" i="8"/>
  <c r="CF200" i="8"/>
  <c r="CF188" i="8"/>
  <c r="CF189" i="8"/>
  <c r="CF186" i="8"/>
  <c r="CF201" i="8"/>
  <c r="CE186" i="8"/>
  <c r="D19" i="9"/>
  <c r="D22" i="9" s="1"/>
  <c r="D23" i="18"/>
  <c r="A23" i="17"/>
  <c r="CR5" i="17"/>
  <c r="B114" i="23" l="1"/>
  <c r="B114" i="22"/>
  <c r="L33" i="13"/>
  <c r="L75" i="13" s="1"/>
  <c r="N33" i="13"/>
  <c r="N75" i="13" s="1"/>
  <c r="Q106" i="10"/>
  <c r="O106" i="10"/>
  <c r="BX120" i="10"/>
  <c r="CB120" i="10"/>
  <c r="BD105" i="10"/>
  <c r="AN105" i="10"/>
  <c r="BP106" i="10"/>
  <c r="AZ120" i="10"/>
  <c r="AJ120" i="10"/>
  <c r="AV119" i="10"/>
  <c r="AR120" i="10"/>
  <c r="AZ106" i="10"/>
  <c r="BH120" i="10"/>
  <c r="BL119" i="10"/>
  <c r="AJ106" i="10"/>
  <c r="CF119" i="10"/>
  <c r="BP120" i="10"/>
  <c r="AF119" i="10"/>
  <c r="AH120" i="10"/>
  <c r="AN119" i="10"/>
  <c r="BD119" i="10"/>
  <c r="AB120" i="10"/>
  <c r="CC119" i="10"/>
  <c r="BJ106" i="10"/>
  <c r="BU106" i="10"/>
  <c r="CB119" i="10"/>
  <c r="CF120" i="10"/>
  <c r="BY120" i="10"/>
  <c r="AW106" i="10"/>
  <c r="AR119" i="10"/>
  <c r="BX106" i="10"/>
  <c r="BT105" i="10"/>
  <c r="BT119" i="10"/>
  <c r="BV105" i="10"/>
  <c r="AM106" i="10"/>
  <c r="BR120" i="10"/>
  <c r="CF106" i="10"/>
  <c r="AX120" i="10"/>
  <c r="AI119" i="10"/>
  <c r="AP106" i="10"/>
  <c r="AY119" i="10"/>
  <c r="AU105" i="10"/>
  <c r="CD105" i="10"/>
  <c r="AD105" i="10"/>
  <c r="CA119" i="10"/>
  <c r="AM120" i="10"/>
  <c r="BD106" i="10"/>
  <c r="BL120" i="10"/>
  <c r="AQ119" i="10"/>
  <c r="AE120" i="10"/>
  <c r="BY119" i="10"/>
  <c r="BA105" i="10"/>
  <c r="BU119" i="10"/>
  <c r="BO106" i="10"/>
  <c r="BK105" i="10"/>
  <c r="BY106" i="10"/>
  <c r="BI120" i="10"/>
  <c r="AI105" i="10"/>
  <c r="AF106" i="10"/>
  <c r="CA120" i="10"/>
  <c r="BJ105" i="10"/>
  <c r="BL105" i="10"/>
  <c r="BH105" i="10"/>
  <c r="BV120" i="10"/>
  <c r="BA119" i="10"/>
  <c r="BZ106" i="10"/>
  <c r="AU120" i="10"/>
  <c r="AN120" i="10"/>
  <c r="BO119" i="10"/>
  <c r="AU106" i="10"/>
  <c r="AX119" i="10"/>
  <c r="AR105" i="10"/>
  <c r="CD120" i="10"/>
  <c r="CF105" i="10"/>
  <c r="BG120" i="10"/>
  <c r="BC106" i="10"/>
  <c r="BE106" i="10"/>
  <c r="AF120" i="10"/>
  <c r="AM105" i="10"/>
  <c r="BN105" i="10"/>
  <c r="BN106" i="10"/>
  <c r="AT120" i="10"/>
  <c r="BG106" i="10"/>
  <c r="AC120" i="10"/>
  <c r="CA105" i="10"/>
  <c r="AL105" i="10"/>
  <c r="AF105" i="10"/>
  <c r="CC120" i="10"/>
  <c r="AL106" i="10"/>
  <c r="AY120" i="10"/>
  <c r="AK105" i="10"/>
  <c r="AO119" i="10"/>
  <c r="BE119" i="10"/>
  <c r="AJ105" i="10"/>
  <c r="AG106" i="10"/>
  <c r="BM120" i="10"/>
  <c r="BQ119" i="10"/>
  <c r="AL120" i="10"/>
  <c r="BS119" i="10"/>
  <c r="BG119" i="10"/>
  <c r="CE105" i="10"/>
  <c r="AY106" i="10"/>
  <c r="BV119" i="10"/>
  <c r="BE105" i="10"/>
  <c r="AU119" i="10"/>
  <c r="AV120" i="10"/>
  <c r="AD119" i="10"/>
  <c r="BN120" i="10"/>
  <c r="AI106" i="10"/>
  <c r="BE120" i="10"/>
  <c r="CB105" i="10"/>
  <c r="CB106" i="10"/>
  <c r="AT119" i="10"/>
  <c r="AD120" i="10"/>
  <c r="BB106" i="10"/>
  <c r="AW120" i="10"/>
  <c r="BI119" i="10"/>
  <c r="AM119" i="10"/>
  <c r="BA120" i="10"/>
  <c r="CC105" i="10"/>
  <c r="AY105" i="10"/>
  <c r="AJ119" i="10"/>
  <c r="AC106" i="10"/>
  <c r="AG120" i="10"/>
  <c r="CE120" i="10"/>
  <c r="BF119" i="10"/>
  <c r="BM105" i="10"/>
  <c r="BI106" i="10"/>
  <c r="AQ106" i="10"/>
  <c r="BF106" i="10"/>
  <c r="AO105" i="10"/>
  <c r="CD106" i="10"/>
  <c r="CE106" i="10"/>
  <c r="BH119" i="10"/>
  <c r="BJ120" i="10"/>
  <c r="BW119" i="10"/>
  <c r="BC119" i="10"/>
  <c r="BW106" i="10"/>
  <c r="BD120" i="10"/>
  <c r="BB105" i="10"/>
  <c r="BJ119" i="10"/>
  <c r="AW119" i="10"/>
  <c r="BZ105" i="10"/>
  <c r="AT106" i="10"/>
  <c r="BR105" i="10"/>
  <c r="AK120" i="10"/>
  <c r="AH106" i="10"/>
  <c r="BM106" i="10"/>
  <c r="BW105" i="10"/>
  <c r="AI120" i="10"/>
  <c r="BR106" i="10"/>
  <c r="AZ105" i="10"/>
  <c r="AS120" i="10"/>
  <c r="BS106" i="10"/>
  <c r="BQ120" i="10"/>
  <c r="BX119" i="10"/>
  <c r="AE105" i="10"/>
  <c r="CA106" i="10"/>
  <c r="BM119" i="10"/>
  <c r="BU105" i="10"/>
  <c r="CD119" i="10"/>
  <c r="BT120" i="10"/>
  <c r="BC120" i="10"/>
  <c r="BG105" i="10"/>
  <c r="AO120" i="10"/>
  <c r="AV105" i="10"/>
  <c r="BR119" i="10"/>
  <c r="BK119" i="10"/>
  <c r="AR106" i="10"/>
  <c r="AC105" i="10"/>
  <c r="AG119" i="10"/>
  <c r="BP119" i="10"/>
  <c r="CE119" i="10"/>
  <c r="AS105" i="10"/>
  <c r="AH119" i="10"/>
  <c r="BZ120" i="10"/>
  <c r="BV106" i="10"/>
  <c r="BA106" i="10"/>
  <c r="BZ119" i="10"/>
  <c r="AW105" i="10"/>
  <c r="AK106" i="10"/>
  <c r="BC105" i="10"/>
  <c r="AG105" i="10"/>
  <c r="BO105" i="10"/>
  <c r="AQ120" i="10"/>
  <c r="AX105" i="10"/>
  <c r="BS105" i="10"/>
  <c r="BQ106" i="10"/>
  <c r="AK119" i="10"/>
  <c r="BS120" i="10"/>
  <c r="AP119" i="10"/>
  <c r="AV106" i="10"/>
  <c r="AX106" i="10"/>
  <c r="AC119" i="10"/>
  <c r="AN106" i="10"/>
  <c r="AL119" i="10"/>
  <c r="BH106" i="10"/>
  <c r="BP105" i="10"/>
  <c r="AQ105" i="10"/>
  <c r="AE106" i="10"/>
  <c r="BK120" i="10"/>
  <c r="AT105" i="10"/>
  <c r="AS119" i="10"/>
  <c r="AD106" i="10"/>
  <c r="AZ119" i="10"/>
  <c r="BL106" i="10"/>
  <c r="BW120" i="10"/>
  <c r="AH105" i="10"/>
  <c r="AO106" i="10"/>
  <c r="BF105" i="10"/>
  <c r="BB120" i="10"/>
  <c r="AP105" i="10"/>
  <c r="AE119" i="10"/>
  <c r="BY105" i="10"/>
  <c r="AP120" i="10"/>
  <c r="BO120" i="10"/>
  <c r="BF120" i="10"/>
  <c r="CC106" i="10"/>
  <c r="BX105" i="10"/>
  <c r="AS106" i="10"/>
  <c r="BI105" i="10"/>
  <c r="BQ105" i="10"/>
  <c r="BT106" i="10"/>
  <c r="BU120" i="10"/>
  <c r="BN119" i="10"/>
  <c r="BK106" i="10"/>
  <c r="BB119" i="10"/>
  <c r="BU33" i="13"/>
  <c r="BU75" i="13" s="1"/>
  <c r="BQ33" i="13"/>
  <c r="BQ75" i="13" s="1"/>
  <c r="BL33" i="13"/>
  <c r="BL75" i="13" s="1"/>
  <c r="AF33" i="13"/>
  <c r="AF75" i="13" s="1"/>
  <c r="X33" i="13"/>
  <c r="X75" i="13" s="1"/>
  <c r="E33" i="13"/>
  <c r="E75" i="13" s="1"/>
  <c r="BX33" i="13"/>
  <c r="BX75" i="13" s="1"/>
  <c r="BH33" i="13"/>
  <c r="BH75" i="13" s="1"/>
  <c r="AR33" i="13"/>
  <c r="AR75" i="13" s="1"/>
  <c r="CB33" i="13"/>
  <c r="CB75" i="13" s="1"/>
  <c r="AZ33" i="13"/>
  <c r="AZ75" i="13" s="1"/>
  <c r="AV33" i="13"/>
  <c r="AV75" i="13" s="1"/>
  <c r="H33" i="13"/>
  <c r="H75" i="13" s="1"/>
  <c r="BA33" i="13"/>
  <c r="BA75" i="13" s="1"/>
  <c r="I33" i="13"/>
  <c r="I75" i="13" s="1"/>
  <c r="BO33" i="13"/>
  <c r="BO75" i="13" s="1"/>
  <c r="Q33" i="13"/>
  <c r="Q75" i="13" s="1"/>
  <c r="BT33" i="13"/>
  <c r="BT75" i="13" s="1"/>
  <c r="AN33" i="13"/>
  <c r="AN75" i="13" s="1"/>
  <c r="P33" i="13"/>
  <c r="P75" i="13" s="1"/>
  <c r="AG33" i="13"/>
  <c r="AG75" i="13" s="1"/>
  <c r="U33" i="13"/>
  <c r="U75" i="13" s="1"/>
  <c r="CA33" i="13"/>
  <c r="CA75" i="13" s="1"/>
  <c r="BG33" i="13"/>
  <c r="BG75" i="13" s="1"/>
  <c r="AU33" i="13"/>
  <c r="AU75" i="13" s="1"/>
  <c r="AQ33" i="13"/>
  <c r="AQ75" i="13" s="1"/>
  <c r="AE33" i="13"/>
  <c r="AE75" i="13" s="1"/>
  <c r="O33" i="13"/>
  <c r="O75" i="13" s="1"/>
  <c r="BY33" i="13"/>
  <c r="BY75" i="13" s="1"/>
  <c r="AW33" i="13"/>
  <c r="AW75" i="13" s="1"/>
  <c r="AS33" i="13"/>
  <c r="AS75" i="13" s="1"/>
  <c r="BE33" i="13"/>
  <c r="BE75" i="13" s="1"/>
  <c r="Y33" i="13"/>
  <c r="Y75" i="13" s="1"/>
  <c r="BD33" i="13"/>
  <c r="BD75" i="13" s="1"/>
  <c r="AC33" i="13"/>
  <c r="AC75" i="13" s="1"/>
  <c r="M33" i="13"/>
  <c r="M75" i="13" s="1"/>
  <c r="BS33" i="13"/>
  <c r="BS75" i="13" s="1"/>
  <c r="BK33" i="13"/>
  <c r="BK75" i="13" s="1"/>
  <c r="BC33" i="13"/>
  <c r="BC75" i="13" s="1"/>
  <c r="AY33" i="13"/>
  <c r="AY75" i="13" s="1"/>
  <c r="AM33" i="13"/>
  <c r="AM75" i="13" s="1"/>
  <c r="AI33" i="13"/>
  <c r="AI75" i="13" s="1"/>
  <c r="W33" i="13"/>
  <c r="W75" i="13" s="1"/>
  <c r="G33" i="13"/>
  <c r="G75" i="13" s="1"/>
  <c r="AK33" i="13"/>
  <c r="AK75" i="13" s="1"/>
  <c r="AJ33" i="13"/>
  <c r="AJ75" i="13" s="1"/>
  <c r="AB33" i="13"/>
  <c r="AB75" i="13" s="1"/>
  <c r="T33" i="13"/>
  <c r="T75" i="13" s="1"/>
  <c r="CD33" i="13"/>
  <c r="CD75" i="13" s="1"/>
  <c r="BN33" i="13"/>
  <c r="BN75" i="13" s="1"/>
  <c r="AX33" i="13"/>
  <c r="AX75" i="13" s="1"/>
  <c r="BW33" i="13"/>
  <c r="BW75" i="13" s="1"/>
  <c r="S33" i="13"/>
  <c r="S75" i="13" s="1"/>
  <c r="AD33" i="13"/>
  <c r="AD75" i="13" s="1"/>
  <c r="D33" i="13"/>
  <c r="D75" i="13" s="1"/>
  <c r="CC33" i="13"/>
  <c r="CC75" i="13" s="1"/>
  <c r="BM33" i="13"/>
  <c r="BM75" i="13" s="1"/>
  <c r="AO33" i="13"/>
  <c r="AO75" i="13" s="1"/>
  <c r="C33" i="13"/>
  <c r="BI33" i="13"/>
  <c r="BI75" i="13" s="1"/>
  <c r="BZ33" i="13"/>
  <c r="BZ75" i="13" s="1"/>
  <c r="BJ33" i="13"/>
  <c r="BJ75" i="13" s="1"/>
  <c r="BF33" i="13"/>
  <c r="BF75" i="13" s="1"/>
  <c r="AT33" i="13"/>
  <c r="AT75" i="13" s="1"/>
  <c r="AH33" i="13"/>
  <c r="AH75" i="13" s="1"/>
  <c r="R33" i="13"/>
  <c r="R75" i="13" s="1"/>
  <c r="F33" i="13"/>
  <c r="F75" i="13" s="1"/>
  <c r="BP33" i="13"/>
  <c r="BP75" i="13" s="1"/>
  <c r="AA33" i="13"/>
  <c r="AA75" i="13" s="1"/>
  <c r="K33" i="13"/>
  <c r="K75" i="13" s="1"/>
  <c r="BR33" i="13"/>
  <c r="BR75" i="13" s="1"/>
  <c r="BB33" i="13"/>
  <c r="BB75" i="13" s="1"/>
  <c r="AL33" i="13"/>
  <c r="AL75" i="13" s="1"/>
  <c r="Z33" i="13"/>
  <c r="Z75" i="13" s="1"/>
  <c r="V33" i="13"/>
  <c r="V75" i="13" s="1"/>
  <c r="BV33" i="13"/>
  <c r="BV75" i="13" s="1"/>
  <c r="AP33" i="13"/>
  <c r="AP75" i="13" s="1"/>
  <c r="J33" i="13"/>
  <c r="J75" i="13" s="1"/>
  <c r="E125" i="10"/>
  <c r="B115" i="23" l="1"/>
  <c r="B115" i="22"/>
  <c r="E206" i="8"/>
  <c r="D27" i="28"/>
  <c r="C75" i="13"/>
  <c r="B116" i="22" l="1"/>
  <c r="F206" i="8"/>
  <c r="F125" i="10"/>
  <c r="B117" i="22" l="1"/>
  <c r="G206" i="8"/>
  <c r="G125" i="10"/>
  <c r="E114" i="10" l="1"/>
  <c r="E141" i="10" s="1"/>
  <c r="E124" i="10" l="1"/>
  <c r="E113" i="10"/>
  <c r="E140" i="10" s="1"/>
  <c r="P115" i="10"/>
  <c r="P142" i="10" s="1"/>
  <c r="P156" i="10" s="1"/>
  <c r="L115" i="10"/>
  <c r="L142" i="10" s="1"/>
  <c r="L156" i="10" s="1"/>
  <c r="H115" i="10"/>
  <c r="H142" i="10" s="1"/>
  <c r="R114" i="10"/>
  <c r="R141" i="10" s="1"/>
  <c r="R155" i="10" s="1"/>
  <c r="N114" i="10"/>
  <c r="N141" i="10" s="1"/>
  <c r="N155" i="10" s="1"/>
  <c r="J114" i="10"/>
  <c r="J141" i="10" s="1"/>
  <c r="J155" i="10" s="1"/>
  <c r="F114" i="10"/>
  <c r="F141" i="10" s="1"/>
  <c r="O115" i="10"/>
  <c r="O142" i="10" s="1"/>
  <c r="O156" i="10" s="1"/>
  <c r="K115" i="10"/>
  <c r="K142" i="10" s="1"/>
  <c r="K156" i="10" s="1"/>
  <c r="G115" i="10"/>
  <c r="G142" i="10" s="1"/>
  <c r="Q114" i="10"/>
  <c r="Q141" i="10" s="1"/>
  <c r="Q155" i="10" s="1"/>
  <c r="M114" i="10"/>
  <c r="M141" i="10" s="1"/>
  <c r="M155" i="10" s="1"/>
  <c r="I114" i="10"/>
  <c r="I141" i="10" s="1"/>
  <c r="I155" i="10" s="1"/>
  <c r="R115" i="10"/>
  <c r="R142" i="10" s="1"/>
  <c r="R156" i="10" s="1"/>
  <c r="N115" i="10"/>
  <c r="N142" i="10" s="1"/>
  <c r="N156" i="10" s="1"/>
  <c r="J115" i="10"/>
  <c r="J142" i="10" s="1"/>
  <c r="J156" i="10" s="1"/>
  <c r="F115" i="10"/>
  <c r="F142" i="10" s="1"/>
  <c r="P114" i="10"/>
  <c r="P141" i="10" s="1"/>
  <c r="P155" i="10" s="1"/>
  <c r="L114" i="10"/>
  <c r="L141" i="10" s="1"/>
  <c r="L155" i="10" s="1"/>
  <c r="H114" i="10"/>
  <c r="H141" i="10" s="1"/>
  <c r="E112" i="10"/>
  <c r="E139" i="10" s="1"/>
  <c r="Q115" i="10"/>
  <c r="Q142" i="10" s="1"/>
  <c r="Q156" i="10" s="1"/>
  <c r="M115" i="10"/>
  <c r="M142" i="10" s="1"/>
  <c r="M156" i="10" s="1"/>
  <c r="I115" i="10"/>
  <c r="I142" i="10" s="1"/>
  <c r="I156" i="10" s="1"/>
  <c r="E115" i="10"/>
  <c r="E142" i="10" s="1"/>
  <c r="O114" i="10"/>
  <c r="O141" i="10" s="1"/>
  <c r="O155" i="10" s="1"/>
  <c r="K114" i="10"/>
  <c r="K141" i="10" s="1"/>
  <c r="K155" i="10" s="1"/>
  <c r="G114" i="10"/>
  <c r="G141" i="10" s="1"/>
  <c r="H112" i="10"/>
  <c r="H139" i="10" s="1"/>
  <c r="K113" i="10"/>
  <c r="O124" i="10"/>
  <c r="I112" i="10"/>
  <c r="I139" i="10" s="1"/>
  <c r="I153" i="10" s="1"/>
  <c r="L113" i="10"/>
  <c r="P124" i="10"/>
  <c r="R112" i="10"/>
  <c r="R139" i="10" s="1"/>
  <c r="R153" i="10" s="1"/>
  <c r="M124" i="10"/>
  <c r="F113" i="10"/>
  <c r="F140" i="10" s="1"/>
  <c r="J124" i="10"/>
  <c r="L112" i="10"/>
  <c r="L139" i="10" s="1"/>
  <c r="L153" i="10" s="1"/>
  <c r="P113" i="10"/>
  <c r="M112" i="10"/>
  <c r="M139" i="10" s="1"/>
  <c r="M153" i="10" s="1"/>
  <c r="R113" i="10"/>
  <c r="F112" i="10"/>
  <c r="F139" i="10" s="1"/>
  <c r="I113" i="10"/>
  <c r="Q124" i="10"/>
  <c r="G112" i="10"/>
  <c r="G139" i="10" s="1"/>
  <c r="J113" i="10"/>
  <c r="N124" i="10"/>
  <c r="P112" i="10"/>
  <c r="P139" i="10" s="1"/>
  <c r="P153" i="10" s="1"/>
  <c r="G124" i="10"/>
  <c r="Q112" i="10"/>
  <c r="Q139" i="10" s="1"/>
  <c r="Q153" i="10" s="1"/>
  <c r="H124" i="10"/>
  <c r="J112" i="10"/>
  <c r="J139" i="10" s="1"/>
  <c r="J153" i="10" s="1"/>
  <c r="M113" i="10"/>
  <c r="K112" i="10"/>
  <c r="K139" i="10" s="1"/>
  <c r="K153" i="10" s="1"/>
  <c r="N113" i="10"/>
  <c r="R124" i="10"/>
  <c r="G113" i="10"/>
  <c r="G140" i="10" s="1"/>
  <c r="K124" i="10"/>
  <c r="H113" i="10"/>
  <c r="L124" i="10"/>
  <c r="N112" i="10"/>
  <c r="N139" i="10" s="1"/>
  <c r="N153" i="10" s="1"/>
  <c r="I124" i="10"/>
  <c r="O112" i="10"/>
  <c r="O139" i="10" s="1"/>
  <c r="O153" i="10" s="1"/>
  <c r="F124" i="10"/>
  <c r="S115" i="10"/>
  <c r="S142" i="10" s="1"/>
  <c r="S156" i="10" s="1"/>
  <c r="S114" i="10"/>
  <c r="S141" i="10" s="1"/>
  <c r="S155" i="10" s="1"/>
  <c r="T114" i="10"/>
  <c r="T141" i="10" s="1"/>
  <c r="T155" i="10" s="1"/>
  <c r="T115" i="10"/>
  <c r="T142" i="10" s="1"/>
  <c r="T156" i="10" s="1"/>
  <c r="S124" i="10"/>
  <c r="S112" i="10"/>
  <c r="S139" i="10" s="1"/>
  <c r="S153" i="10" s="1"/>
  <c r="S113" i="10"/>
  <c r="T124" i="10"/>
  <c r="T113" i="10"/>
  <c r="T112" i="10"/>
  <c r="T139" i="10" s="1"/>
  <c r="T153" i="10" s="1"/>
  <c r="U115" i="10"/>
  <c r="U142" i="10" s="1"/>
  <c r="U156" i="10" s="1"/>
  <c r="U114" i="10"/>
  <c r="U141" i="10" s="1"/>
  <c r="U155" i="10" s="1"/>
  <c r="V114" i="10"/>
  <c r="V141" i="10" s="1"/>
  <c r="V155" i="10" s="1"/>
  <c r="V115" i="10"/>
  <c r="V142" i="10" s="1"/>
  <c r="V156" i="10" s="1"/>
  <c r="U113" i="10"/>
  <c r="V113" i="10"/>
  <c r="V124" i="10"/>
  <c r="V112" i="10"/>
  <c r="V139" i="10" s="1"/>
  <c r="V153" i="10" s="1"/>
  <c r="U124" i="10"/>
  <c r="W114" i="10"/>
  <c r="W141" i="10" s="1"/>
  <c r="W155" i="10" s="1"/>
  <c r="U112" i="10"/>
  <c r="U139" i="10" s="1"/>
  <c r="U153" i="10" s="1"/>
  <c r="X114" i="10"/>
  <c r="X141" i="10" s="1"/>
  <c r="X155" i="10" s="1"/>
  <c r="W115" i="10"/>
  <c r="W142" i="10" s="1"/>
  <c r="W156" i="10" s="1"/>
  <c r="X115" i="10"/>
  <c r="X142" i="10" s="1"/>
  <c r="X156" i="10" s="1"/>
  <c r="W113" i="10"/>
  <c r="W112" i="10"/>
  <c r="W139" i="10" s="1"/>
  <c r="W153" i="10" s="1"/>
  <c r="X113" i="10"/>
  <c r="X112" i="10"/>
  <c r="X139" i="10" s="1"/>
  <c r="X153" i="10" s="1"/>
  <c r="X124" i="10"/>
  <c r="W124" i="10"/>
  <c r="Y115" i="10"/>
  <c r="Y142" i="10" s="1"/>
  <c r="Y156" i="10" s="1"/>
  <c r="Z114" i="10"/>
  <c r="Z141" i="10" s="1"/>
  <c r="Z155" i="10" s="1"/>
  <c r="Y114" i="10"/>
  <c r="Y141" i="10" s="1"/>
  <c r="Y155" i="10" s="1"/>
  <c r="Z115" i="10"/>
  <c r="Z142" i="10" s="1"/>
  <c r="Z156" i="10" s="1"/>
  <c r="Y113" i="10"/>
  <c r="Z113" i="10"/>
  <c r="Y124" i="10"/>
  <c r="Z124" i="10"/>
  <c r="Z112" i="10"/>
  <c r="Z139" i="10" s="1"/>
  <c r="Z153" i="10" s="1"/>
  <c r="Y112" i="10"/>
  <c r="Y139" i="10" s="1"/>
  <c r="Y153" i="10" s="1"/>
  <c r="AA114" i="10"/>
  <c r="AA141" i="10" s="1"/>
  <c r="AA155" i="10" s="1"/>
  <c r="AB114" i="10"/>
  <c r="AB141" i="10" s="1"/>
  <c r="AB155" i="10" s="1"/>
  <c r="AA115" i="10"/>
  <c r="AA142" i="10" s="1"/>
  <c r="AA156" i="10" s="1"/>
  <c r="AA113" i="10"/>
  <c r="AB112" i="10"/>
  <c r="AB139" i="10" s="1"/>
  <c r="AB153" i="10" s="1"/>
  <c r="AA112" i="10"/>
  <c r="AA139" i="10" s="1"/>
  <c r="AA153" i="10" s="1"/>
  <c r="AA124" i="10"/>
  <c r="AB124" i="10"/>
  <c r="AB113" i="10"/>
  <c r="AI195" i="8"/>
  <c r="AI222" i="8" s="1"/>
  <c r="AI229" i="8" s="1"/>
  <c r="AI236" i="8" s="1"/>
  <c r="K195" i="8"/>
  <c r="K222" i="8" s="1"/>
  <c r="K229" i="8" s="1"/>
  <c r="K236" i="8" s="1"/>
  <c r="Z196" i="8"/>
  <c r="Z223" i="8" s="1"/>
  <c r="Z230" i="8" s="1"/>
  <c r="Z237" i="8" s="1"/>
  <c r="AC205" i="8"/>
  <c r="Y193" i="8"/>
  <c r="Y220" i="8" s="1"/>
  <c r="Y227" i="8" s="1"/>
  <c r="Y234" i="8" s="1"/>
  <c r="L194" i="8"/>
  <c r="AK195" i="8"/>
  <c r="AK222" i="8" s="1"/>
  <c r="AK229" i="8" s="1"/>
  <c r="AK236" i="8" s="1"/>
  <c r="Q195" i="8"/>
  <c r="Q222" i="8" s="1"/>
  <c r="Q229" i="8" s="1"/>
  <c r="Q236" i="8" s="1"/>
  <c r="AF196" i="8"/>
  <c r="AF223" i="8" s="1"/>
  <c r="AF230" i="8" s="1"/>
  <c r="AF237" i="8" s="1"/>
  <c r="P196" i="8"/>
  <c r="P223" i="8" s="1"/>
  <c r="P230" i="8" s="1"/>
  <c r="P237" i="8" s="1"/>
  <c r="AE205" i="8"/>
  <c r="K205" i="8"/>
  <c r="AF195" i="8"/>
  <c r="AF222" i="8" s="1"/>
  <c r="AF229" i="8" s="1"/>
  <c r="AF236" i="8" s="1"/>
  <c r="P195" i="8"/>
  <c r="P222" i="8" s="1"/>
  <c r="P229" i="8" s="1"/>
  <c r="P236" i="8" s="1"/>
  <c r="AQ196" i="8"/>
  <c r="AQ223" i="8" s="1"/>
  <c r="AQ230" i="8" s="1"/>
  <c r="AQ237" i="8" s="1"/>
  <c r="AA196" i="8"/>
  <c r="AA223" i="8" s="1"/>
  <c r="AA230" i="8" s="1"/>
  <c r="AA237" i="8" s="1"/>
  <c r="K196" i="8"/>
  <c r="K223" i="8" s="1"/>
  <c r="K230" i="8" s="1"/>
  <c r="K237" i="8" s="1"/>
  <c r="AL205" i="8"/>
  <c r="V205" i="8"/>
  <c r="F205" i="8"/>
  <c r="AH193" i="8"/>
  <c r="AH220" i="8" s="1"/>
  <c r="AH227" i="8" s="1"/>
  <c r="AH234" i="8" s="1"/>
  <c r="R193" i="8"/>
  <c r="R220" i="8" s="1"/>
  <c r="R227" i="8" s="1"/>
  <c r="R234" i="8" s="1"/>
  <c r="AC194" i="8"/>
  <c r="M194" i="8"/>
  <c r="G195" i="8"/>
  <c r="G222" i="8" s="1"/>
  <c r="G229" i="8" s="1"/>
  <c r="G236" i="8" s="1"/>
  <c r="R196" i="8"/>
  <c r="R223" i="8" s="1"/>
  <c r="R230" i="8" s="1"/>
  <c r="R237" i="8" s="1"/>
  <c r="AK205" i="8"/>
  <c r="AH195" i="8"/>
  <c r="AH222" i="8" s="1"/>
  <c r="AH229" i="8" s="1"/>
  <c r="AH236" i="8" s="1"/>
  <c r="R195" i="8"/>
  <c r="R222" i="8" s="1"/>
  <c r="R229" i="8" s="1"/>
  <c r="R236" i="8" s="1"/>
  <c r="AC196" i="8"/>
  <c r="AC223" i="8" s="1"/>
  <c r="AC230" i="8" s="1"/>
  <c r="AC237" i="8" s="1"/>
  <c r="M196" i="8"/>
  <c r="M223" i="8" s="1"/>
  <c r="M230" i="8" s="1"/>
  <c r="M237" i="8" s="1"/>
  <c r="AN205" i="8"/>
  <c r="X205" i="8"/>
  <c r="H205" i="8"/>
  <c r="AJ193" i="8"/>
  <c r="AJ220" i="8" s="1"/>
  <c r="AJ227" i="8" s="1"/>
  <c r="AJ234" i="8" s="1"/>
  <c r="T193" i="8"/>
  <c r="T220" i="8" s="1"/>
  <c r="T227" i="8" s="1"/>
  <c r="T234" i="8" s="1"/>
  <c r="AE194" i="8"/>
  <c r="O194" i="8"/>
  <c r="W195" i="8"/>
  <c r="W222" i="8" s="1"/>
  <c r="W229" i="8" s="1"/>
  <c r="W236" i="8" s="1"/>
  <c r="J196" i="8"/>
  <c r="J223" i="8" s="1"/>
  <c r="J230" i="8" s="1"/>
  <c r="J237" i="8" s="1"/>
  <c r="X194" i="8"/>
  <c r="AO195" i="8"/>
  <c r="AO222" i="8" s="1"/>
  <c r="AO229" i="8" s="1"/>
  <c r="AO236" i="8" s="1"/>
  <c r="AJ196" i="8"/>
  <c r="AJ223" i="8" s="1"/>
  <c r="AJ230" i="8" s="1"/>
  <c r="AJ237" i="8" s="1"/>
  <c r="S205" i="8"/>
  <c r="AE193" i="8"/>
  <c r="AE220" i="8" s="1"/>
  <c r="AE227" i="8" s="1"/>
  <c r="AE234" i="8" s="1"/>
  <c r="O193" i="8"/>
  <c r="O220" i="8" s="1"/>
  <c r="O227" i="8" s="1"/>
  <c r="O234" i="8" s="1"/>
  <c r="AP194" i="8"/>
  <c r="Z194" i="8"/>
  <c r="J194" i="8"/>
  <c r="AE195" i="8"/>
  <c r="AE222" i="8" s="1"/>
  <c r="AE229" i="8" s="1"/>
  <c r="AE236" i="8" s="1"/>
  <c r="V196" i="8"/>
  <c r="V223" i="8" s="1"/>
  <c r="V230" i="8" s="1"/>
  <c r="V237" i="8" s="1"/>
  <c r="Q205" i="8"/>
  <c r="AO193" i="8"/>
  <c r="AO220" i="8" s="1"/>
  <c r="AO227" i="8" s="1"/>
  <c r="AO234" i="8" s="1"/>
  <c r="U193" i="8"/>
  <c r="U220" i="8" s="1"/>
  <c r="U227" i="8" s="1"/>
  <c r="U234" i="8" s="1"/>
  <c r="AJ194" i="8"/>
  <c r="AG195" i="8"/>
  <c r="AG222" i="8" s="1"/>
  <c r="AG229" i="8" s="1"/>
  <c r="AG236" i="8" s="1"/>
  <c r="M195" i="8"/>
  <c r="M222" i="8" s="1"/>
  <c r="M229" i="8" s="1"/>
  <c r="M236" i="8" s="1"/>
  <c r="AB196" i="8"/>
  <c r="AB223" i="8" s="1"/>
  <c r="AB230" i="8" s="1"/>
  <c r="AB237" i="8" s="1"/>
  <c r="L196" i="8"/>
  <c r="L223" i="8" s="1"/>
  <c r="L230" i="8" s="1"/>
  <c r="L237" i="8" s="1"/>
  <c r="AA205" i="8"/>
  <c r="G205" i="8"/>
  <c r="AB195" i="8"/>
  <c r="AB222" i="8" s="1"/>
  <c r="AB229" i="8" s="1"/>
  <c r="AB236" i="8" s="1"/>
  <c r="L195" i="8"/>
  <c r="L222" i="8" s="1"/>
  <c r="L229" i="8" s="1"/>
  <c r="L236" i="8" s="1"/>
  <c r="AM196" i="8"/>
  <c r="AM223" i="8" s="1"/>
  <c r="AM230" i="8" s="1"/>
  <c r="AM237" i="8" s="1"/>
  <c r="W196" i="8"/>
  <c r="W223" i="8" s="1"/>
  <c r="W230" i="8" s="1"/>
  <c r="W237" i="8" s="1"/>
  <c r="G196" i="8"/>
  <c r="G223" i="8" s="1"/>
  <c r="G230" i="8" s="1"/>
  <c r="G237" i="8" s="1"/>
  <c r="AH205" i="8"/>
  <c r="R205" i="8"/>
  <c r="AD193" i="8"/>
  <c r="AD220" i="8" s="1"/>
  <c r="AD227" i="8" s="1"/>
  <c r="AD234" i="8" s="1"/>
  <c r="N193" i="8"/>
  <c r="N220" i="8" s="1"/>
  <c r="N227" i="8" s="1"/>
  <c r="N234" i="8" s="1"/>
  <c r="AO194" i="8"/>
  <c r="Y194" i="8"/>
  <c r="I194" i="8"/>
  <c r="F196" i="8"/>
  <c r="F223" i="8" s="1"/>
  <c r="F230" i="8" s="1"/>
  <c r="F237" i="8" s="1"/>
  <c r="Y205" i="8"/>
  <c r="AK193" i="8"/>
  <c r="AK220" i="8" s="1"/>
  <c r="AK227" i="8" s="1"/>
  <c r="AK234" i="8" s="1"/>
  <c r="AN194" i="8"/>
  <c r="AD195" i="8"/>
  <c r="AD222" i="8" s="1"/>
  <c r="AD229" i="8" s="1"/>
  <c r="AD236" i="8" s="1"/>
  <c r="N195" i="8"/>
  <c r="N222" i="8" s="1"/>
  <c r="N229" i="8" s="1"/>
  <c r="N236" i="8" s="1"/>
  <c r="AO196" i="8"/>
  <c r="AO223" i="8" s="1"/>
  <c r="AO230" i="8" s="1"/>
  <c r="AO237" i="8" s="1"/>
  <c r="Y196" i="8"/>
  <c r="Y223" i="8" s="1"/>
  <c r="Y230" i="8" s="1"/>
  <c r="Y237" i="8" s="1"/>
  <c r="I196" i="8"/>
  <c r="I223" i="8" s="1"/>
  <c r="I230" i="8" s="1"/>
  <c r="I237" i="8" s="1"/>
  <c r="AJ205" i="8"/>
  <c r="T205" i="8"/>
  <c r="AF193" i="8"/>
  <c r="AF220" i="8" s="1"/>
  <c r="AF227" i="8" s="1"/>
  <c r="AF234" i="8" s="1"/>
  <c r="P193" i="8"/>
  <c r="P220" i="8" s="1"/>
  <c r="P227" i="8" s="1"/>
  <c r="P234" i="8" s="1"/>
  <c r="AQ194" i="8"/>
  <c r="AA194" i="8"/>
  <c r="K194" i="8"/>
  <c r="Q193" i="8"/>
  <c r="Q220" i="8" s="1"/>
  <c r="Q227" i="8" s="1"/>
  <c r="Q234" i="8" s="1"/>
  <c r="H194" i="8"/>
  <c r="Y195" i="8"/>
  <c r="Y222" i="8" s="1"/>
  <c r="Y229" i="8" s="1"/>
  <c r="Y236" i="8" s="1"/>
  <c r="H196" i="8"/>
  <c r="H223" i="8" s="1"/>
  <c r="H230" i="8" s="1"/>
  <c r="H237" i="8" s="1"/>
  <c r="AQ193" i="8"/>
  <c r="AQ220" i="8" s="1"/>
  <c r="AQ227" i="8" s="1"/>
  <c r="AQ234" i="8" s="1"/>
  <c r="AA193" i="8"/>
  <c r="AA220" i="8" s="1"/>
  <c r="AA227" i="8" s="1"/>
  <c r="AA234" i="8" s="1"/>
  <c r="K193" i="8"/>
  <c r="K220" i="8" s="1"/>
  <c r="K227" i="8" s="1"/>
  <c r="K234" i="8" s="1"/>
  <c r="AL194" i="8"/>
  <c r="V194" i="8"/>
  <c r="F194" i="8"/>
  <c r="F221" i="8" s="1"/>
  <c r="F228" i="8" s="1"/>
  <c r="F235" i="8" s="1"/>
  <c r="S195" i="8"/>
  <c r="S222" i="8" s="1"/>
  <c r="S229" i="8" s="1"/>
  <c r="S236" i="8" s="1"/>
  <c r="AP196" i="8"/>
  <c r="AP223" i="8" s="1"/>
  <c r="AP230" i="8" s="1"/>
  <c r="AP237" i="8" s="1"/>
  <c r="N196" i="8"/>
  <c r="N223" i="8" s="1"/>
  <c r="N230" i="8" s="1"/>
  <c r="N237" i="8" s="1"/>
  <c r="AO205" i="8"/>
  <c r="I205" i="8"/>
  <c r="AG193" i="8"/>
  <c r="AG220" i="8" s="1"/>
  <c r="AG227" i="8" s="1"/>
  <c r="AG234" i="8" s="1"/>
  <c r="I193" i="8"/>
  <c r="I220" i="8" s="1"/>
  <c r="I227" i="8" s="1"/>
  <c r="I234" i="8" s="1"/>
  <c r="AF194" i="8"/>
  <c r="AC195" i="8"/>
  <c r="AC222" i="8" s="1"/>
  <c r="AC229" i="8" s="1"/>
  <c r="AC236" i="8" s="1"/>
  <c r="I195" i="8"/>
  <c r="I222" i="8" s="1"/>
  <c r="I229" i="8" s="1"/>
  <c r="I236" i="8" s="1"/>
  <c r="X196" i="8"/>
  <c r="X223" i="8" s="1"/>
  <c r="X230" i="8" s="1"/>
  <c r="X237" i="8" s="1"/>
  <c r="AQ205" i="8"/>
  <c r="W205" i="8"/>
  <c r="AN195" i="8"/>
  <c r="AN222" i="8" s="1"/>
  <c r="AN229" i="8" s="1"/>
  <c r="AN236" i="8" s="1"/>
  <c r="X195" i="8"/>
  <c r="X222" i="8" s="1"/>
  <c r="X229" i="8" s="1"/>
  <c r="X236" i="8" s="1"/>
  <c r="H195" i="8"/>
  <c r="AI196" i="8"/>
  <c r="AI223" i="8" s="1"/>
  <c r="AI230" i="8" s="1"/>
  <c r="AI237" i="8" s="1"/>
  <c r="S196" i="8"/>
  <c r="S223" i="8" s="1"/>
  <c r="S230" i="8" s="1"/>
  <c r="S237" i="8" s="1"/>
  <c r="AD205" i="8"/>
  <c r="N205" i="8"/>
  <c r="AP193" i="8"/>
  <c r="AP220" i="8" s="1"/>
  <c r="AP227" i="8" s="1"/>
  <c r="AP234" i="8" s="1"/>
  <c r="Z193" i="8"/>
  <c r="Z220" i="8" s="1"/>
  <c r="Z227" i="8" s="1"/>
  <c r="Z234" i="8" s="1"/>
  <c r="J193" i="8"/>
  <c r="J220" i="8" s="1"/>
  <c r="J227" i="8" s="1"/>
  <c r="J234" i="8" s="1"/>
  <c r="AK194" i="8"/>
  <c r="U194" i="8"/>
  <c r="AM195" i="8"/>
  <c r="AM222" i="8" s="1"/>
  <c r="AM229" i="8" s="1"/>
  <c r="AM236" i="8" s="1"/>
  <c r="M205" i="8"/>
  <c r="M193" i="8"/>
  <c r="M220" i="8" s="1"/>
  <c r="M227" i="8" s="1"/>
  <c r="M234" i="8" s="1"/>
  <c r="AB194" i="8"/>
  <c r="AP195" i="8"/>
  <c r="AP222" i="8" s="1"/>
  <c r="AP229" i="8" s="1"/>
  <c r="AP236" i="8" s="1"/>
  <c r="Z195" i="8"/>
  <c r="Z222" i="8" s="1"/>
  <c r="Z229" i="8" s="1"/>
  <c r="Z236" i="8" s="1"/>
  <c r="J195" i="8"/>
  <c r="J222" i="8" s="1"/>
  <c r="J229" i="8" s="1"/>
  <c r="J236" i="8" s="1"/>
  <c r="AK196" i="8"/>
  <c r="AK223" i="8" s="1"/>
  <c r="AK230" i="8" s="1"/>
  <c r="AK237" i="8" s="1"/>
  <c r="U196" i="8"/>
  <c r="U223" i="8" s="1"/>
  <c r="U230" i="8" s="1"/>
  <c r="U237" i="8" s="1"/>
  <c r="AF205" i="8"/>
  <c r="P205" i="8"/>
  <c r="AQ195" i="8"/>
  <c r="AQ222" i="8" s="1"/>
  <c r="AQ229" i="8" s="1"/>
  <c r="AQ236" i="8" s="1"/>
  <c r="O195" i="8"/>
  <c r="O222" i="8" s="1"/>
  <c r="O229" i="8" s="1"/>
  <c r="O236" i="8" s="1"/>
  <c r="AD196" i="8"/>
  <c r="AD223" i="8" s="1"/>
  <c r="AD230" i="8" s="1"/>
  <c r="AD237" i="8" s="1"/>
  <c r="E205" i="8"/>
  <c r="AG205" i="8"/>
  <c r="E193" i="8"/>
  <c r="E220" i="8" s="1"/>
  <c r="E227" i="8" s="1"/>
  <c r="E234" i="8" s="1"/>
  <c r="AC193" i="8"/>
  <c r="AC220" i="8" s="1"/>
  <c r="AC227" i="8" s="1"/>
  <c r="AC234" i="8" s="1"/>
  <c r="E194" i="8"/>
  <c r="E221" i="8" s="1"/>
  <c r="E228" i="8" s="1"/>
  <c r="E235" i="8" s="1"/>
  <c r="T194" i="8"/>
  <c r="E195" i="8"/>
  <c r="E222" i="8" s="1"/>
  <c r="E229" i="8" s="1"/>
  <c r="E236" i="8" s="1"/>
  <c r="U195" i="8"/>
  <c r="U222" i="8" s="1"/>
  <c r="U229" i="8" s="1"/>
  <c r="U236" i="8" s="1"/>
  <c r="AN196" i="8"/>
  <c r="AN223" i="8" s="1"/>
  <c r="AN230" i="8" s="1"/>
  <c r="AN237" i="8" s="1"/>
  <c r="T196" i="8"/>
  <c r="T223" i="8" s="1"/>
  <c r="T230" i="8" s="1"/>
  <c r="T237" i="8" s="1"/>
  <c r="AI205" i="8"/>
  <c r="O205" i="8"/>
  <c r="AJ195" i="8"/>
  <c r="AJ222" i="8" s="1"/>
  <c r="AJ229" i="8" s="1"/>
  <c r="AJ236" i="8" s="1"/>
  <c r="T195" i="8"/>
  <c r="T222" i="8" s="1"/>
  <c r="T229" i="8" s="1"/>
  <c r="T236" i="8" s="1"/>
  <c r="AE196" i="8"/>
  <c r="AE223" i="8" s="1"/>
  <c r="AE230" i="8" s="1"/>
  <c r="AE237" i="8" s="1"/>
  <c r="O196" i="8"/>
  <c r="O223" i="8" s="1"/>
  <c r="O230" i="8" s="1"/>
  <c r="O237" i="8" s="1"/>
  <c r="AP205" i="8"/>
  <c r="Z205" i="8"/>
  <c r="J205" i="8"/>
  <c r="AL193" i="8"/>
  <c r="AL220" i="8" s="1"/>
  <c r="AL227" i="8" s="1"/>
  <c r="AL234" i="8" s="1"/>
  <c r="V193" i="8"/>
  <c r="V220" i="8" s="1"/>
  <c r="V227" i="8" s="1"/>
  <c r="V234" i="8" s="1"/>
  <c r="F193" i="8"/>
  <c r="F220" i="8" s="1"/>
  <c r="F227" i="8" s="1"/>
  <c r="F234" i="8" s="1"/>
  <c r="AG194" i="8"/>
  <c r="Q194" i="8"/>
  <c r="AA195" i="8"/>
  <c r="AA222" i="8" s="1"/>
  <c r="AA229" i="8" s="1"/>
  <c r="AA236" i="8" s="1"/>
  <c r="AH196" i="8"/>
  <c r="AH223" i="8" s="1"/>
  <c r="AH230" i="8" s="1"/>
  <c r="AH237" i="8" s="1"/>
  <c r="P194" i="8"/>
  <c r="AL195" i="8"/>
  <c r="AL222" i="8" s="1"/>
  <c r="AL229" i="8" s="1"/>
  <c r="AL236" i="8" s="1"/>
  <c r="V195" i="8"/>
  <c r="V222" i="8" s="1"/>
  <c r="V229" i="8" s="1"/>
  <c r="V236" i="8" s="1"/>
  <c r="F195" i="8"/>
  <c r="F222" i="8" s="1"/>
  <c r="F229" i="8" s="1"/>
  <c r="F236" i="8" s="1"/>
  <c r="AG196" i="8"/>
  <c r="AG223" i="8" s="1"/>
  <c r="AG230" i="8" s="1"/>
  <c r="AG237" i="8" s="1"/>
  <c r="Q196" i="8"/>
  <c r="Q223" i="8" s="1"/>
  <c r="Q230" i="8" s="1"/>
  <c r="Q237" i="8" s="1"/>
  <c r="AB205" i="8"/>
  <c r="L205" i="8"/>
  <c r="AN193" i="8"/>
  <c r="AN220" i="8" s="1"/>
  <c r="AN227" i="8" s="1"/>
  <c r="AN234" i="8" s="1"/>
  <c r="X193" i="8"/>
  <c r="X220" i="8" s="1"/>
  <c r="X227" i="8" s="1"/>
  <c r="X234" i="8" s="1"/>
  <c r="H193" i="8"/>
  <c r="H220" i="8" s="1"/>
  <c r="H227" i="8" s="1"/>
  <c r="H234" i="8" s="1"/>
  <c r="AI194" i="8"/>
  <c r="S194" i="8"/>
  <c r="AL196" i="8"/>
  <c r="AL223" i="8" s="1"/>
  <c r="AL230" i="8" s="1"/>
  <c r="AL237" i="8" s="1"/>
  <c r="AM205" i="8"/>
  <c r="AI193" i="8"/>
  <c r="AI220" i="8" s="1"/>
  <c r="AI227" i="8" s="1"/>
  <c r="AI234" i="8" s="1"/>
  <c r="S193" i="8"/>
  <c r="S220" i="8" s="1"/>
  <c r="S227" i="8" s="1"/>
  <c r="S234" i="8" s="1"/>
  <c r="AD194" i="8"/>
  <c r="N194" i="8"/>
  <c r="G194" i="8"/>
  <c r="G221" i="8" s="1"/>
  <c r="G228" i="8" s="1"/>
  <c r="G235" i="8" s="1"/>
  <c r="E196" i="8"/>
  <c r="E223" i="8" s="1"/>
  <c r="E230" i="8" s="1"/>
  <c r="E237" i="8" s="1"/>
  <c r="AM193" i="8"/>
  <c r="AM220" i="8" s="1"/>
  <c r="AM227" i="8" s="1"/>
  <c r="AM234" i="8" s="1"/>
  <c r="W193" i="8"/>
  <c r="W220" i="8" s="1"/>
  <c r="W227" i="8" s="1"/>
  <c r="W234" i="8" s="1"/>
  <c r="AH194" i="8"/>
  <c r="AB193" i="8"/>
  <c r="AB220" i="8" s="1"/>
  <c r="AB227" i="8" s="1"/>
  <c r="AB234" i="8" s="1"/>
  <c r="AM194" i="8"/>
  <c r="G193" i="8"/>
  <c r="G220" i="8" s="1"/>
  <c r="G227" i="8" s="1"/>
  <c r="G234" i="8" s="1"/>
  <c r="R194" i="8"/>
  <c r="L193" i="8"/>
  <c r="L220" i="8" s="1"/>
  <c r="L227" i="8" s="1"/>
  <c r="L234" i="8" s="1"/>
  <c r="W194" i="8"/>
  <c r="U205" i="8"/>
  <c r="AJ115" i="10"/>
  <c r="AJ142" i="10" s="1"/>
  <c r="AJ156" i="10" s="1"/>
  <c r="AM114" i="10"/>
  <c r="AM141" i="10" s="1"/>
  <c r="AM155" i="10" s="1"/>
  <c r="AP114" i="10"/>
  <c r="AP141" i="10" s="1"/>
  <c r="AP155" i="10" s="1"/>
  <c r="AG115" i="10"/>
  <c r="AG142" i="10" s="1"/>
  <c r="AG156" i="10" s="1"/>
  <c r="AK115" i="10"/>
  <c r="AK142" i="10" s="1"/>
  <c r="AK156" i="10" s="1"/>
  <c r="AH114" i="10"/>
  <c r="AH141" i="10" s="1"/>
  <c r="AH155" i="10" s="1"/>
  <c r="AM115" i="10"/>
  <c r="AM142" i="10" s="1"/>
  <c r="AM156" i="10" s="1"/>
  <c r="AI114" i="10"/>
  <c r="AI141" i="10" s="1"/>
  <c r="AI155" i="10" s="1"/>
  <c r="AB115" i="10"/>
  <c r="AB142" i="10" s="1"/>
  <c r="AB156" i="10" s="1"/>
  <c r="AK114" i="10"/>
  <c r="AK141" i="10" s="1"/>
  <c r="AK155" i="10" s="1"/>
  <c r="AI115" i="10"/>
  <c r="AI142" i="10" s="1"/>
  <c r="AI156" i="10" s="1"/>
  <c r="AL114" i="10"/>
  <c r="AL141" i="10" s="1"/>
  <c r="AL155" i="10" s="1"/>
  <c r="AF115" i="10"/>
  <c r="AF142" i="10" s="1"/>
  <c r="AF156" i="10" s="1"/>
  <c r="AO114" i="10"/>
  <c r="AO141" i="10" s="1"/>
  <c r="AO155" i="10" s="1"/>
  <c r="AD115" i="10"/>
  <c r="AD142" i="10" s="1"/>
  <c r="AD156" i="10" s="1"/>
  <c r="AQ114" i="10"/>
  <c r="AQ141" i="10" s="1"/>
  <c r="AQ155" i="10" s="1"/>
  <c r="AH115" i="10"/>
  <c r="AH142" i="10" s="1"/>
  <c r="AH156" i="10" s="1"/>
  <c r="AF114" i="10"/>
  <c r="AF141" i="10" s="1"/>
  <c r="AF155" i="10" s="1"/>
  <c r="AG114" i="10"/>
  <c r="AG141" i="10" s="1"/>
  <c r="AG155" i="10" s="1"/>
  <c r="AE114" i="10"/>
  <c r="AE141" i="10" s="1"/>
  <c r="AE155" i="10" s="1"/>
  <c r="AE115" i="10"/>
  <c r="AE142" i="10" s="1"/>
  <c r="AE156" i="10" s="1"/>
  <c r="AN115" i="10"/>
  <c r="AN142" i="10" s="1"/>
  <c r="AN156" i="10" s="1"/>
  <c r="AO115" i="10"/>
  <c r="AO142" i="10" s="1"/>
  <c r="AO156" i="10" s="1"/>
  <c r="AD114" i="10"/>
  <c r="AD141" i="10" s="1"/>
  <c r="AD155" i="10" s="1"/>
  <c r="AC115" i="10"/>
  <c r="AC142" i="10" s="1"/>
  <c r="AC156" i="10" s="1"/>
  <c r="AQ115" i="10"/>
  <c r="AQ142" i="10" s="1"/>
  <c r="AQ156" i="10" s="1"/>
  <c r="AJ114" i="10"/>
  <c r="AJ141" i="10" s="1"/>
  <c r="AJ155" i="10" s="1"/>
  <c r="AP115" i="10"/>
  <c r="AP142" i="10" s="1"/>
  <c r="AP156" i="10" s="1"/>
  <c r="AL115" i="10"/>
  <c r="AL142" i="10" s="1"/>
  <c r="AL156" i="10" s="1"/>
  <c r="AC114" i="10"/>
  <c r="AC141" i="10" s="1"/>
  <c r="AC155" i="10" s="1"/>
  <c r="AN114" i="10"/>
  <c r="AN141" i="10" s="1"/>
  <c r="AN155" i="10" s="1"/>
  <c r="AG113" i="10"/>
  <c r="AC113" i="10"/>
  <c r="AP124" i="10"/>
  <c r="AK112" i="10"/>
  <c r="AK139" i="10" s="1"/>
  <c r="AK153" i="10" s="1"/>
  <c r="AM113" i="10"/>
  <c r="AD113" i="10"/>
  <c r="AG124" i="10"/>
  <c r="AE112" i="10"/>
  <c r="AE139" i="10" s="1"/>
  <c r="AE153" i="10" s="1"/>
  <c r="AQ124" i="10"/>
  <c r="AQ112" i="10"/>
  <c r="AQ139" i="10" s="1"/>
  <c r="AQ153" i="10" s="1"/>
  <c r="AM124" i="10"/>
  <c r="AC112" i="10"/>
  <c r="AC139" i="10" s="1"/>
  <c r="AC153" i="10" s="1"/>
  <c r="AL124" i="10"/>
  <c r="AO112" i="10"/>
  <c r="AO139" i="10" s="1"/>
  <c r="AO153" i="10" s="1"/>
  <c r="AI113" i="10"/>
  <c r="AF112" i="10"/>
  <c r="AF139" i="10" s="1"/>
  <c r="AF153" i="10" s="1"/>
  <c r="AI112" i="10"/>
  <c r="AI139" i="10" s="1"/>
  <c r="AI153" i="10" s="1"/>
  <c r="AD112" i="10"/>
  <c r="AD139" i="10" s="1"/>
  <c r="AD153" i="10" s="1"/>
  <c r="AE124" i="10"/>
  <c r="AK113" i="10"/>
  <c r="AC124" i="10"/>
  <c r="AH124" i="10"/>
  <c r="AJ112" i="10"/>
  <c r="AJ139" i="10" s="1"/>
  <c r="AJ153" i="10" s="1"/>
  <c r="AF113" i="10"/>
  <c r="AP113" i="10"/>
  <c r="AH112" i="10"/>
  <c r="AH139" i="10" s="1"/>
  <c r="AH153" i="10" s="1"/>
  <c r="AH113" i="10"/>
  <c r="AQ113" i="10"/>
  <c r="AM112" i="10"/>
  <c r="AM139" i="10" s="1"/>
  <c r="AM153" i="10" s="1"/>
  <c r="AI124" i="10"/>
  <c r="AJ124" i="10"/>
  <c r="AO124" i="10"/>
  <c r="AJ113" i="10"/>
  <c r="AO113" i="10"/>
  <c r="AE113" i="10"/>
  <c r="AN112" i="10"/>
  <c r="AN139" i="10" s="1"/>
  <c r="AN153" i="10" s="1"/>
  <c r="AP112" i="10"/>
  <c r="AP139" i="10" s="1"/>
  <c r="AP153" i="10" s="1"/>
  <c r="AD124" i="10"/>
  <c r="AL113" i="10"/>
  <c r="AK124" i="10"/>
  <c r="O113" i="10"/>
  <c r="AN124" i="10"/>
  <c r="Q113" i="10"/>
  <c r="AL112" i="10"/>
  <c r="AL139" i="10" s="1"/>
  <c r="AL153" i="10" s="1"/>
  <c r="AN113" i="10"/>
  <c r="AG112" i="10"/>
  <c r="AG139" i="10" s="1"/>
  <c r="AG153" i="10" s="1"/>
  <c r="AF124" i="10"/>
  <c r="H222" i="8" l="1"/>
  <c r="H229" i="8" s="1"/>
  <c r="H236" i="8" s="1"/>
  <c r="AR114" i="10"/>
  <c r="AR141" i="10" s="1"/>
  <c r="AR155" i="10" s="1"/>
  <c r="AR124" i="10"/>
  <c r="AR195" i="8"/>
  <c r="AR222" i="8" s="1"/>
  <c r="AR229" i="8" s="1"/>
  <c r="AR236" i="8" s="1"/>
  <c r="E153" i="10"/>
  <c r="F156" i="10"/>
  <c r="AR112" i="10"/>
  <c r="AR139" i="10" s="1"/>
  <c r="AR153" i="10" s="1"/>
  <c r="AR115" i="10"/>
  <c r="AR142" i="10" s="1"/>
  <c r="AR156" i="10" s="1"/>
  <c r="G154" i="10"/>
  <c r="G153" i="10"/>
  <c r="F155" i="10"/>
  <c r="H156" i="10"/>
  <c r="AR193" i="8"/>
  <c r="AR220" i="8" s="1"/>
  <c r="AR227" i="8" s="1"/>
  <c r="AR234" i="8" s="1"/>
  <c r="AR196" i="8"/>
  <c r="AR223" i="8" s="1"/>
  <c r="AR230" i="8" s="1"/>
  <c r="AR237" i="8" s="1"/>
  <c r="AR194" i="8"/>
  <c r="G155" i="10"/>
  <c r="H155" i="10"/>
  <c r="AR205" i="8"/>
  <c r="F154" i="10"/>
  <c r="H153" i="10"/>
  <c r="E156" i="10"/>
  <c r="E155" i="10"/>
  <c r="G156" i="10"/>
  <c r="AR113" i="10"/>
  <c r="F153" i="10"/>
  <c r="E154" i="10"/>
  <c r="AX196" i="8" l="1"/>
  <c r="AX223" i="8" s="1"/>
  <c r="AX230" i="8" s="1"/>
  <c r="AX237" i="8" s="1"/>
  <c r="AV195" i="8"/>
  <c r="AV222" i="8" s="1"/>
  <c r="AV229" i="8" s="1"/>
  <c r="AV236" i="8" s="1"/>
  <c r="BG196" i="8"/>
  <c r="BG223" i="8" s="1"/>
  <c r="BG230" i="8" s="1"/>
  <c r="BG237" i="8" s="1"/>
  <c r="AX195" i="8"/>
  <c r="AX222" i="8" s="1"/>
  <c r="AX229" i="8" s="1"/>
  <c r="AX236" i="8" s="1"/>
  <c r="BI196" i="8"/>
  <c r="BI223" i="8" s="1"/>
  <c r="BI230" i="8" s="1"/>
  <c r="BI237" i="8" s="1"/>
  <c r="AS193" i="8"/>
  <c r="AS220" i="8" s="1"/>
  <c r="AS227" i="8" s="1"/>
  <c r="AS234" i="8" s="1"/>
  <c r="AY195" i="8"/>
  <c r="AY222" i="8" s="1"/>
  <c r="AY229" i="8" s="1"/>
  <c r="AY236" i="8" s="1"/>
  <c r="BK205" i="8"/>
  <c r="AT193" i="8"/>
  <c r="AT220" i="8" s="1"/>
  <c r="AT227" i="8" s="1"/>
  <c r="AT234" i="8" s="1"/>
  <c r="BE194" i="8"/>
  <c r="BG195" i="8"/>
  <c r="BG222" i="8" s="1"/>
  <c r="BG229" i="8" s="1"/>
  <c r="BG236" i="8" s="1"/>
  <c r="AT195" i="8"/>
  <c r="AT222" i="8" s="1"/>
  <c r="AT229" i="8" s="1"/>
  <c r="AT236" i="8" s="1"/>
  <c r="BE196" i="8"/>
  <c r="BE223" i="8" s="1"/>
  <c r="BE230" i="8" s="1"/>
  <c r="BE237" i="8" s="1"/>
  <c r="AU195" i="8"/>
  <c r="AU222" i="8" s="1"/>
  <c r="AU229" i="8" s="1"/>
  <c r="AU236" i="8" s="1"/>
  <c r="BE193" i="8"/>
  <c r="BE220" i="8" s="1"/>
  <c r="BE227" i="8" s="1"/>
  <c r="BE234" i="8" s="1"/>
  <c r="BG205" i="8"/>
  <c r="BA194" i="8"/>
  <c r="BJ196" i="8"/>
  <c r="BJ223" i="8" s="1"/>
  <c r="BJ230" i="8" s="1"/>
  <c r="BJ237" i="8" s="1"/>
  <c r="AV205" i="8"/>
  <c r="BH193" i="8"/>
  <c r="BH220" i="8" s="1"/>
  <c r="BH227" i="8" s="1"/>
  <c r="BH234" i="8" s="1"/>
  <c r="BB196" i="8"/>
  <c r="BB223" i="8" s="1"/>
  <c r="BB230" i="8" s="1"/>
  <c r="BB237" i="8" s="1"/>
  <c r="AS195" i="8"/>
  <c r="AS222" i="8" s="1"/>
  <c r="AS229" i="8" s="1"/>
  <c r="AS236" i="8" s="1"/>
  <c r="AU196" i="8"/>
  <c r="AU223" i="8" s="1"/>
  <c r="AU230" i="8" s="1"/>
  <c r="AU237" i="8" s="1"/>
  <c r="BF205" i="8"/>
  <c r="BB195" i="8"/>
  <c r="BB222" i="8" s="1"/>
  <c r="BB229" i="8" s="1"/>
  <c r="BB236" i="8" s="1"/>
  <c r="BH196" i="8"/>
  <c r="BH223" i="8" s="1"/>
  <c r="BH230" i="8" s="1"/>
  <c r="BH237" i="8" s="1"/>
  <c r="AT194" i="8"/>
  <c r="AX194" i="8"/>
  <c r="AV114" i="10"/>
  <c r="AV141" i="10" s="1"/>
  <c r="AV155" i="10" s="1"/>
  <c r="BG115" i="10"/>
  <c r="BG142" i="10" s="1"/>
  <c r="BG156" i="10" s="1"/>
  <c r="BJ115" i="10"/>
  <c r="BJ142" i="10" s="1"/>
  <c r="BJ156" i="10" s="1"/>
  <c r="BB115" i="10"/>
  <c r="BB142" i="10" s="1"/>
  <c r="BB156" i="10" s="1"/>
  <c r="AY114" i="10"/>
  <c r="AY141" i="10" s="1"/>
  <c r="AY155" i="10" s="1"/>
  <c r="AZ115" i="10"/>
  <c r="AZ142" i="10" s="1"/>
  <c r="AZ156" i="10" s="1"/>
  <c r="AU115" i="10"/>
  <c r="AU142" i="10" s="1"/>
  <c r="AU156" i="10" s="1"/>
  <c r="BC115" i="10"/>
  <c r="BC142" i="10" s="1"/>
  <c r="BC156" i="10" s="1"/>
  <c r="AT115" i="10"/>
  <c r="AT142" i="10" s="1"/>
  <c r="AT156" i="10" s="1"/>
  <c r="BD114" i="10"/>
  <c r="BD141" i="10" s="1"/>
  <c r="BD155" i="10" s="1"/>
  <c r="AW115" i="10"/>
  <c r="AW142" i="10" s="1"/>
  <c r="AW156" i="10" s="1"/>
  <c r="AX112" i="10"/>
  <c r="AX139" i="10" s="1"/>
  <c r="AX153" i="10" s="1"/>
  <c r="BA124" i="10"/>
  <c r="AT113" i="10"/>
  <c r="BG112" i="10"/>
  <c r="BG139" i="10" s="1"/>
  <c r="BG153" i="10" s="1"/>
  <c r="BH113" i="10"/>
  <c r="AW193" i="8"/>
  <c r="AW220" i="8" s="1"/>
  <c r="AW227" i="8" s="1"/>
  <c r="AW234" i="8" s="1"/>
  <c r="BI194" i="8"/>
  <c r="BD194" i="8"/>
  <c r="BK193" i="8"/>
  <c r="BK220" i="8" s="1"/>
  <c r="BK227" i="8" s="1"/>
  <c r="BK234" i="8" s="1"/>
  <c r="AV193" i="8"/>
  <c r="AV220" i="8" s="1"/>
  <c r="AV227" i="8" s="1"/>
  <c r="AV234" i="8" s="1"/>
  <c r="BA193" i="8"/>
  <c r="BA220" i="8" s="1"/>
  <c r="BA227" i="8" s="1"/>
  <c r="BA234" i="8" s="1"/>
  <c r="BD193" i="8"/>
  <c r="BD220" i="8" s="1"/>
  <c r="BD227" i="8" s="1"/>
  <c r="BD234" i="8" s="1"/>
  <c r="BC193" i="8"/>
  <c r="BC220" i="8" s="1"/>
  <c r="BC227" i="8" s="1"/>
  <c r="BC234" i="8" s="1"/>
  <c r="BC114" i="10"/>
  <c r="BC141" i="10" s="1"/>
  <c r="BC155" i="10" s="1"/>
  <c r="BJ112" i="10"/>
  <c r="BJ139" i="10" s="1"/>
  <c r="BJ153" i="10" s="1"/>
  <c r="BI112" i="10"/>
  <c r="BI139" i="10" s="1"/>
  <c r="BI153" i="10" s="1"/>
  <c r="AV113" i="10"/>
  <c r="BK195" i="8"/>
  <c r="BK222" i="8" s="1"/>
  <c r="BK229" i="8" s="1"/>
  <c r="BK236" i="8" s="1"/>
  <c r="BB205" i="8"/>
  <c r="BI193" i="8"/>
  <c r="BI220" i="8" s="1"/>
  <c r="BI227" i="8" s="1"/>
  <c r="BI234" i="8" s="1"/>
  <c r="AS196" i="8"/>
  <c r="AS223" i="8" s="1"/>
  <c r="AS230" i="8" s="1"/>
  <c r="AS237" i="8" s="1"/>
  <c r="BD205" i="8"/>
  <c r="BI195" i="8"/>
  <c r="BI222" i="8" s="1"/>
  <c r="BI229" i="8" s="1"/>
  <c r="BI236" i="8" s="1"/>
  <c r="AV196" i="8"/>
  <c r="AV223" i="8" s="1"/>
  <c r="AV230" i="8" s="1"/>
  <c r="AV237" i="8" s="1"/>
  <c r="AU205" i="8"/>
  <c r="BH195" i="8"/>
  <c r="BH222" i="8" s="1"/>
  <c r="BH229" i="8" s="1"/>
  <c r="BH236" i="8" s="1"/>
  <c r="AZ205" i="8"/>
  <c r="BA195" i="8"/>
  <c r="BA222" i="8" s="1"/>
  <c r="BA229" i="8" s="1"/>
  <c r="BA236" i="8" s="1"/>
  <c r="BD195" i="8"/>
  <c r="BD222" i="8" s="1"/>
  <c r="BD229" i="8" s="1"/>
  <c r="BD236" i="8" s="1"/>
  <c r="AZ194" i="8"/>
  <c r="BB193" i="8"/>
  <c r="BB220" i="8" s="1"/>
  <c r="BB227" i="8" s="1"/>
  <c r="BB234" i="8" s="1"/>
  <c r="AW196" i="8"/>
  <c r="AW223" i="8" s="1"/>
  <c r="AW230" i="8" s="1"/>
  <c r="AW237" i="8" s="1"/>
  <c r="BH205" i="8"/>
  <c r="AV194" i="8"/>
  <c r="BF196" i="8"/>
  <c r="BF223" i="8" s="1"/>
  <c r="BF230" i="8" s="1"/>
  <c r="BF237" i="8" s="1"/>
  <c r="BE195" i="8"/>
  <c r="BE222" i="8" s="1"/>
  <c r="BE229" i="8" s="1"/>
  <c r="BE236" i="8" s="1"/>
  <c r="BH115" i="10"/>
  <c r="BH142" i="10" s="1"/>
  <c r="BH156" i="10" s="1"/>
  <c r="BD115" i="10"/>
  <c r="BD142" i="10" s="1"/>
  <c r="BD156" i="10" s="1"/>
  <c r="AZ114" i="10"/>
  <c r="AZ141" i="10" s="1"/>
  <c r="AZ155" i="10" s="1"/>
  <c r="BE114" i="10"/>
  <c r="BE141" i="10" s="1"/>
  <c r="BE155" i="10" s="1"/>
  <c r="BB114" i="10"/>
  <c r="BB141" i="10" s="1"/>
  <c r="BB155" i="10" s="1"/>
  <c r="BK114" i="10"/>
  <c r="BK141" i="10" s="1"/>
  <c r="BK155" i="10" s="1"/>
  <c r="BA114" i="10"/>
  <c r="BA141" i="10" s="1"/>
  <c r="BA155" i="10" s="1"/>
  <c r="AY115" i="10"/>
  <c r="AY142" i="10" s="1"/>
  <c r="AY156" i="10" s="1"/>
  <c r="AU114" i="10"/>
  <c r="AU141" i="10" s="1"/>
  <c r="AU155" i="10" s="1"/>
  <c r="AS114" i="10"/>
  <c r="AS141" i="10" s="1"/>
  <c r="AS155" i="10" s="1"/>
  <c r="BG114" i="10"/>
  <c r="BG141" i="10" s="1"/>
  <c r="BG155" i="10" s="1"/>
  <c r="AX115" i="10"/>
  <c r="AX142" i="10" s="1"/>
  <c r="AX156" i="10" s="1"/>
  <c r="AV115" i="10"/>
  <c r="AV142" i="10" s="1"/>
  <c r="AV156" i="10" s="1"/>
  <c r="AT112" i="10"/>
  <c r="AT139" i="10" s="1"/>
  <c r="AT153" i="10" s="1"/>
  <c r="BC113" i="10"/>
  <c r="BA112" i="10"/>
  <c r="BA139" i="10" s="1"/>
  <c r="BA153" i="10" s="1"/>
  <c r="BJ124" i="10"/>
  <c r="BD124" i="10"/>
  <c r="BB113" i="10"/>
  <c r="AZ124" i="10"/>
  <c r="BI113" i="10"/>
  <c r="BJ113" i="10"/>
  <c r="AS112" i="10"/>
  <c r="AS139" i="10" s="1"/>
  <c r="AS153" i="10" s="1"/>
  <c r="AU124" i="10"/>
  <c r="AY124" i="10"/>
  <c r="BA113" i="10"/>
  <c r="BC112" i="10"/>
  <c r="BC139" i="10" s="1"/>
  <c r="BC153" i="10" s="1"/>
  <c r="BC124" i="10"/>
  <c r="BE112" i="10"/>
  <c r="BE139" i="10" s="1"/>
  <c r="BE153" i="10" s="1"/>
  <c r="AZ112" i="10"/>
  <c r="AZ139" i="10" s="1"/>
  <c r="AZ153" i="10" s="1"/>
  <c r="BF112" i="10"/>
  <c r="BF139" i="10" s="1"/>
  <c r="BF153" i="10" s="1"/>
  <c r="AT124" i="10"/>
  <c r="AS205" i="8"/>
  <c r="BC196" i="8"/>
  <c r="BC223" i="8" s="1"/>
  <c r="BC230" i="8" s="1"/>
  <c r="BC237" i="8" s="1"/>
  <c r="AY196" i="8"/>
  <c r="AY223" i="8" s="1"/>
  <c r="AY230" i="8" s="1"/>
  <c r="AY237" i="8" s="1"/>
  <c r="BH114" i="10"/>
  <c r="BH141" i="10" s="1"/>
  <c r="BH155" i="10" s="1"/>
  <c r="BG113" i="10"/>
  <c r="AS113" i="10"/>
  <c r="BD112" i="10"/>
  <c r="BD139" i="10" s="1"/>
  <c r="BD153" i="10" s="1"/>
  <c r="AV124" i="10"/>
  <c r="AU112" i="10"/>
  <c r="AU139" i="10" s="1"/>
  <c r="AU153" i="10" s="1"/>
  <c r="BH112" i="10"/>
  <c r="BH139" i="10" s="1"/>
  <c r="BH153" i="10" s="1"/>
  <c r="AW205" i="8"/>
  <c r="AZ196" i="8"/>
  <c r="AZ223" i="8" s="1"/>
  <c r="AZ230" i="8" s="1"/>
  <c r="AZ237" i="8" s="1"/>
  <c r="AY205" i="8"/>
  <c r="AS194" i="8"/>
  <c r="AU194" i="8"/>
  <c r="AU193" i="8"/>
  <c r="AU220" i="8" s="1"/>
  <c r="AU227" i="8" s="1"/>
  <c r="AU234" i="8" s="1"/>
  <c r="BF194" i="8"/>
  <c r="AT196" i="8"/>
  <c r="AT223" i="8" s="1"/>
  <c r="AT230" i="8" s="1"/>
  <c r="AT237" i="8" s="1"/>
  <c r="AX205" i="8"/>
  <c r="BJ193" i="8"/>
  <c r="BJ220" i="8" s="1"/>
  <c r="BJ227" i="8" s="1"/>
  <c r="BJ234" i="8" s="1"/>
  <c r="BJ195" i="8"/>
  <c r="BJ222" i="8" s="1"/>
  <c r="BJ229" i="8" s="1"/>
  <c r="BJ236" i="8" s="1"/>
  <c r="BA205" i="8"/>
  <c r="BB194" i="8"/>
  <c r="BH194" i="8"/>
  <c r="AT205" i="8"/>
  <c r="BF193" i="8"/>
  <c r="BF220" i="8" s="1"/>
  <c r="BF227" i="8" s="1"/>
  <c r="BF234" i="8" s="1"/>
  <c r="BA196" i="8"/>
  <c r="BA223" i="8" s="1"/>
  <c r="BA230" i="8" s="1"/>
  <c r="BA237" i="8" s="1"/>
  <c r="BI205" i="8"/>
  <c r="BD196" i="8"/>
  <c r="BD223" i="8" s="1"/>
  <c r="BD230" i="8" s="1"/>
  <c r="BD237" i="8" s="1"/>
  <c r="BC205" i="8"/>
  <c r="AZ195" i="8"/>
  <c r="AZ222" i="8" s="1"/>
  <c r="AZ229" i="8" s="1"/>
  <c r="AZ236" i="8" s="1"/>
  <c r="BK196" i="8"/>
  <c r="BK223" i="8" s="1"/>
  <c r="BK230" i="8" s="1"/>
  <c r="BK237" i="8" s="1"/>
  <c r="BE205" i="8"/>
  <c r="AY194" i="8"/>
  <c r="AW195" i="8"/>
  <c r="AW222" i="8" s="1"/>
  <c r="AW229" i="8" s="1"/>
  <c r="AW236" i="8" s="1"/>
  <c r="AY193" i="8"/>
  <c r="AY220" i="8" s="1"/>
  <c r="AY227" i="8" s="1"/>
  <c r="AY234" i="8" s="1"/>
  <c r="BJ194" i="8"/>
  <c r="BE115" i="10"/>
  <c r="BE142" i="10" s="1"/>
  <c r="BE156" i="10" s="1"/>
  <c r="BI114" i="10"/>
  <c r="BI141" i="10" s="1"/>
  <c r="BI155" i="10" s="1"/>
  <c r="BJ114" i="10"/>
  <c r="BJ141" i="10" s="1"/>
  <c r="BJ155" i="10" s="1"/>
  <c r="BK115" i="10"/>
  <c r="BK142" i="10" s="1"/>
  <c r="BK156" i="10" s="1"/>
  <c r="BF115" i="10"/>
  <c r="BF142" i="10" s="1"/>
  <c r="BF156" i="10" s="1"/>
  <c r="AX114" i="10"/>
  <c r="AX141" i="10" s="1"/>
  <c r="AX155" i="10" s="1"/>
  <c r="AT114" i="10"/>
  <c r="AT141" i="10" s="1"/>
  <c r="AT155" i="10" s="1"/>
  <c r="AW114" i="10"/>
  <c r="AW141" i="10" s="1"/>
  <c r="AW155" i="10" s="1"/>
  <c r="BF114" i="10"/>
  <c r="BF141" i="10" s="1"/>
  <c r="BF155" i="10" s="1"/>
  <c r="AY113" i="10"/>
  <c r="BB112" i="10"/>
  <c r="BB139" i="10" s="1"/>
  <c r="BB153" i="10" s="1"/>
  <c r="AZ113" i="10"/>
  <c r="BH124" i="10"/>
  <c r="BE113" i="10"/>
  <c r="AW112" i="10"/>
  <c r="AW139" i="10" s="1"/>
  <c r="AW153" i="10" s="1"/>
  <c r="AY112" i="10"/>
  <c r="AY139" i="10" s="1"/>
  <c r="AY153" i="10" s="1"/>
  <c r="AX113" i="10"/>
  <c r="BB124" i="10"/>
  <c r="AW113" i="10"/>
  <c r="BK113" i="10"/>
  <c r="AS124" i="10"/>
  <c r="AW124" i="10"/>
  <c r="BK112" i="10"/>
  <c r="BK139" i="10" s="1"/>
  <c r="BK153" i="10" s="1"/>
  <c r="BF113" i="10"/>
  <c r="AV112" i="10"/>
  <c r="AV139" i="10" s="1"/>
  <c r="AV153" i="10" s="1"/>
  <c r="BD113" i="10"/>
  <c r="BG124" i="10"/>
  <c r="AX193" i="8"/>
  <c r="AX220" i="8" s="1"/>
  <c r="AX227" i="8" s="1"/>
  <c r="AX234" i="8" s="1"/>
  <c r="AZ193" i="8"/>
  <c r="AZ220" i="8" s="1"/>
  <c r="AZ227" i="8" s="1"/>
  <c r="AZ234" i="8" s="1"/>
  <c r="BK194" i="8"/>
  <c r="BG194" i="8"/>
  <c r="BG193" i="8"/>
  <c r="BG220" i="8" s="1"/>
  <c r="BG227" i="8" s="1"/>
  <c r="BG234" i="8" s="1"/>
  <c r="BJ205" i="8"/>
  <c r="BF195" i="8"/>
  <c r="BF222" i="8" s="1"/>
  <c r="BF229" i="8" s="1"/>
  <c r="BF236" i="8" s="1"/>
  <c r="AW194" i="8"/>
  <c r="BC195" i="8"/>
  <c r="BC222" i="8" s="1"/>
  <c r="BC229" i="8" s="1"/>
  <c r="BC236" i="8" s="1"/>
  <c r="BC194" i="8"/>
  <c r="BA115" i="10"/>
  <c r="BA142" i="10" s="1"/>
  <c r="BA156" i="10" s="1"/>
  <c r="BI115" i="10"/>
  <c r="BI142" i="10" s="1"/>
  <c r="BI156" i="10" s="1"/>
  <c r="AS115" i="10"/>
  <c r="AS142" i="10" s="1"/>
  <c r="AS156" i="10" s="1"/>
  <c r="BK124" i="10"/>
  <c r="BE124" i="10"/>
  <c r="AX124" i="10"/>
  <c r="BI124" i="10"/>
  <c r="BF124" i="10"/>
  <c r="AU113" i="10"/>
  <c r="BL194" i="8" l="1"/>
  <c r="BL195" i="8"/>
  <c r="BL222" i="8" s="1"/>
  <c r="BL229" i="8" s="1"/>
  <c r="BL236" i="8" s="1"/>
  <c r="BL193" i="8"/>
  <c r="BL220" i="8" s="1"/>
  <c r="BL227" i="8" s="1"/>
  <c r="BL234" i="8" s="1"/>
  <c r="BL196" i="8"/>
  <c r="BL223" i="8" s="1"/>
  <c r="BL230" i="8" s="1"/>
  <c r="BL237" i="8" s="1"/>
  <c r="BL124" i="10"/>
  <c r="BL112" i="10"/>
  <c r="BL139" i="10" s="1"/>
  <c r="BL153" i="10" s="1"/>
  <c r="BL114" i="10"/>
  <c r="BL141" i="10" s="1"/>
  <c r="BL155" i="10" s="1"/>
  <c r="BL113" i="10"/>
  <c r="BL115" i="10"/>
  <c r="BL142" i="10" s="1"/>
  <c r="BL156" i="10" s="1"/>
  <c r="BL205" i="8"/>
  <c r="BQ193" i="8" l="1"/>
  <c r="BQ220" i="8" s="1"/>
  <c r="BQ227" i="8" s="1"/>
  <c r="BQ234" i="8" s="1"/>
  <c r="BR193" i="8"/>
  <c r="BR220" i="8" s="1"/>
  <c r="BR227" i="8" s="1"/>
  <c r="BR234" i="8" s="1"/>
  <c r="BR114" i="10"/>
  <c r="BR141" i="10" s="1"/>
  <c r="BR155" i="10" s="1"/>
  <c r="BM113" i="10"/>
  <c r="BR124" i="10"/>
  <c r="BO112" i="10"/>
  <c r="BO139" i="10" s="1"/>
  <c r="BO153" i="10" s="1"/>
  <c r="BU193" i="8"/>
  <c r="BU220" i="8" s="1"/>
  <c r="BU227" i="8" s="1"/>
  <c r="BU234" i="8" s="1"/>
  <c r="BM205" i="8"/>
  <c r="BT194" i="8"/>
  <c r="BP115" i="10"/>
  <c r="BP142" i="10" s="1"/>
  <c r="BP156" i="10" s="1"/>
  <c r="BP113" i="10"/>
  <c r="BT124" i="10"/>
  <c r="BS195" i="8"/>
  <c r="BS222" i="8" s="1"/>
  <c r="BS229" i="8" s="1"/>
  <c r="BS236" i="8" s="1"/>
  <c r="BS193" i="8"/>
  <c r="BS220" i="8" s="1"/>
  <c r="BS227" i="8" s="1"/>
  <c r="BS234" i="8" s="1"/>
  <c r="BQ114" i="10"/>
  <c r="BQ141" i="10" s="1"/>
  <c r="BQ155" i="10" s="1"/>
  <c r="BR205" i="8"/>
  <c r="BU114" i="10"/>
  <c r="BU141" i="10" s="1"/>
  <c r="BU155" i="10" s="1"/>
  <c r="BQ112" i="10"/>
  <c r="BQ139" i="10" s="1"/>
  <c r="BQ153" i="10" s="1"/>
  <c r="BR113" i="10"/>
  <c r="BQ113" i="10"/>
  <c r="BU112" i="10"/>
  <c r="BU139" i="10" s="1"/>
  <c r="BU153" i="10" s="1"/>
  <c r="BO194" i="8"/>
  <c r="BO124" i="10"/>
  <c r="BN193" i="8"/>
  <c r="BN220" i="8" s="1"/>
  <c r="BN227" i="8" s="1"/>
  <c r="BN234" i="8" s="1"/>
  <c r="BS196" i="8"/>
  <c r="BS223" i="8" s="1"/>
  <c r="BS230" i="8" s="1"/>
  <c r="BS237" i="8" s="1"/>
  <c r="BM194" i="8"/>
  <c r="BT193" i="8"/>
  <c r="BT220" i="8" s="1"/>
  <c r="BT227" i="8" s="1"/>
  <c r="BT234" i="8" s="1"/>
  <c r="BU115" i="10"/>
  <c r="BU142" i="10" s="1"/>
  <c r="BU156" i="10" s="1"/>
  <c r="BT112" i="10"/>
  <c r="BT139" i="10" s="1"/>
  <c r="BT153" i="10" s="1"/>
  <c r="BQ196" i="8"/>
  <c r="BQ223" i="8" s="1"/>
  <c r="BQ230" i="8" s="1"/>
  <c r="BQ237" i="8" s="1"/>
  <c r="BQ194" i="8"/>
  <c r="BS194" i="8"/>
  <c r="BS115" i="10"/>
  <c r="BS142" i="10" s="1"/>
  <c r="BS156" i="10" s="1"/>
  <c r="BM115" i="10"/>
  <c r="BM142" i="10" s="1"/>
  <c r="BM156" i="10" s="1"/>
  <c r="BU124" i="10"/>
  <c r="BS205" i="8"/>
  <c r="BN205" i="8"/>
  <c r="BN196" i="8"/>
  <c r="BN223" i="8" s="1"/>
  <c r="BN230" i="8" s="1"/>
  <c r="BN237" i="8" s="1"/>
  <c r="BP114" i="10"/>
  <c r="BP141" i="10" s="1"/>
  <c r="BP155" i="10" s="1"/>
  <c r="BN115" i="10"/>
  <c r="BN142" i="10" s="1"/>
  <c r="BN156" i="10" s="1"/>
  <c r="BP124" i="10"/>
  <c r="BT195" i="8"/>
  <c r="BT222" i="8" s="1"/>
  <c r="BT229" i="8" s="1"/>
  <c r="BT236" i="8" s="1"/>
  <c r="BM196" i="8"/>
  <c r="BM223" i="8" s="1"/>
  <c r="BM230" i="8" s="1"/>
  <c r="BM237" i="8" s="1"/>
  <c r="BO114" i="10"/>
  <c r="BO141" i="10" s="1"/>
  <c r="BO155" i="10" s="1"/>
  <c r="BM114" i="10"/>
  <c r="BM141" i="10" s="1"/>
  <c r="BM155" i="10" s="1"/>
  <c r="BO113" i="10"/>
  <c r="BT196" i="8"/>
  <c r="BT223" i="8" s="1"/>
  <c r="BT230" i="8" s="1"/>
  <c r="BT237" i="8" s="1"/>
  <c r="BP193" i="8"/>
  <c r="BP220" i="8" s="1"/>
  <c r="BP227" i="8" s="1"/>
  <c r="BP234" i="8" s="1"/>
  <c r="BR196" i="8"/>
  <c r="BR223" i="8" s="1"/>
  <c r="BR230" i="8" s="1"/>
  <c r="BR237" i="8" s="1"/>
  <c r="BO196" i="8"/>
  <c r="BO223" i="8" s="1"/>
  <c r="BO230" i="8" s="1"/>
  <c r="BO237" i="8" s="1"/>
  <c r="BO195" i="8"/>
  <c r="BO222" i="8" s="1"/>
  <c r="BO229" i="8" s="1"/>
  <c r="BO236" i="8" s="1"/>
  <c r="BP194" i="8"/>
  <c r="BN112" i="10"/>
  <c r="BN139" i="10" s="1"/>
  <c r="BN153" i="10" s="1"/>
  <c r="BS113" i="10"/>
  <c r="BM124" i="10"/>
  <c r="BQ195" i="8"/>
  <c r="BQ222" i="8" s="1"/>
  <c r="BQ229" i="8" s="1"/>
  <c r="BQ236" i="8" s="1"/>
  <c r="BU194" i="8"/>
  <c r="BT114" i="10"/>
  <c r="BT141" i="10" s="1"/>
  <c r="BT155" i="10" s="1"/>
  <c r="BT115" i="10"/>
  <c r="BT142" i="10" s="1"/>
  <c r="BT156" i="10" s="1"/>
  <c r="BP112" i="10"/>
  <c r="BP139" i="10" s="1"/>
  <c r="BP153" i="10" s="1"/>
  <c r="BM195" i="8"/>
  <c r="BM222" i="8" s="1"/>
  <c r="BM229" i="8" s="1"/>
  <c r="BM236" i="8" s="1"/>
  <c r="BP195" i="8"/>
  <c r="BP222" i="8" s="1"/>
  <c r="BP229" i="8" s="1"/>
  <c r="BP236" i="8" s="1"/>
  <c r="BO193" i="8"/>
  <c r="BO220" i="8" s="1"/>
  <c r="BO227" i="8" s="1"/>
  <c r="BO234" i="8" s="1"/>
  <c r="BO115" i="10"/>
  <c r="BO142" i="10" s="1"/>
  <c r="BO156" i="10" s="1"/>
  <c r="BT113" i="10"/>
  <c r="BN114" i="10"/>
  <c r="BN141" i="10" s="1"/>
  <c r="BN155" i="10" s="1"/>
  <c r="BS124" i="10"/>
  <c r="BR112" i="10"/>
  <c r="BR139" i="10" s="1"/>
  <c r="BR153" i="10" s="1"/>
  <c r="BT205" i="8"/>
  <c r="BP196" i="8"/>
  <c r="BP223" i="8" s="1"/>
  <c r="BP230" i="8" s="1"/>
  <c r="BP237" i="8" s="1"/>
  <c r="BP205" i="8"/>
  <c r="BM193" i="8"/>
  <c r="BM220" i="8" s="1"/>
  <c r="BM227" i="8" s="1"/>
  <c r="BM234" i="8" s="1"/>
  <c r="BO205" i="8"/>
  <c r="BS112" i="10"/>
  <c r="BS139" i="10" s="1"/>
  <c r="BS153" i="10" s="1"/>
  <c r="BM112" i="10"/>
  <c r="BM139" i="10" s="1"/>
  <c r="BM153" i="10" s="1"/>
  <c r="BQ124" i="10"/>
  <c r="BQ205" i="8"/>
  <c r="BU205" i="8"/>
  <c r="BQ115" i="10"/>
  <c r="BQ142" i="10" s="1"/>
  <c r="BQ156" i="10" s="1"/>
  <c r="BR115" i="10"/>
  <c r="BR142" i="10" s="1"/>
  <c r="BR156" i="10" s="1"/>
  <c r="BN124" i="10"/>
  <c r="BU195" i="8"/>
  <c r="BU222" i="8" s="1"/>
  <c r="BU229" i="8" s="1"/>
  <c r="BU236" i="8" s="1"/>
  <c r="BN195" i="8"/>
  <c r="BN222" i="8" s="1"/>
  <c r="BN229" i="8" s="1"/>
  <c r="BN236" i="8" s="1"/>
  <c r="BU196" i="8"/>
  <c r="BU223" i="8" s="1"/>
  <c r="BU230" i="8" s="1"/>
  <c r="BU237" i="8" s="1"/>
  <c r="BR195" i="8"/>
  <c r="BR222" i="8" s="1"/>
  <c r="BR229" i="8" s="1"/>
  <c r="BR236" i="8" s="1"/>
  <c r="BN194" i="8"/>
  <c r="BN113" i="10"/>
  <c r="BR194" i="8"/>
  <c r="BS114" i="10"/>
  <c r="BS141" i="10" s="1"/>
  <c r="BS155" i="10" s="1"/>
  <c r="BU113" i="10"/>
  <c r="BV114" i="10"/>
  <c r="BV141" i="10" s="1"/>
  <c r="BV155" i="10" s="1"/>
  <c r="BV194" i="8" l="1"/>
  <c r="BV112" i="10"/>
  <c r="BV139" i="10" s="1"/>
  <c r="BV153" i="10" s="1"/>
  <c r="BV115" i="10"/>
  <c r="BV142" i="10" s="1"/>
  <c r="BV156" i="10" s="1"/>
  <c r="BV205" i="8"/>
  <c r="BV193" i="8"/>
  <c r="BV220" i="8" s="1"/>
  <c r="BV227" i="8" s="1"/>
  <c r="BV234" i="8" s="1"/>
  <c r="BV196" i="8"/>
  <c r="BV223" i="8" s="1"/>
  <c r="BV230" i="8" s="1"/>
  <c r="BV237" i="8" s="1"/>
  <c r="BV124" i="10"/>
  <c r="BV113" i="10"/>
  <c r="BV195" i="8"/>
  <c r="BV222" i="8" s="1"/>
  <c r="BV229" i="8" s="1"/>
  <c r="BV236" i="8" s="1"/>
  <c r="BW112" i="10" l="1"/>
  <c r="BW139" i="10" s="1"/>
  <c r="BW153" i="10" s="1"/>
  <c r="BY112" i="10"/>
  <c r="BY139" i="10" s="1"/>
  <c r="BY153" i="10" s="1"/>
  <c r="BX195" i="8"/>
  <c r="BX222" i="8" s="1"/>
  <c r="BX229" i="8" s="1"/>
  <c r="BX236" i="8" s="1"/>
  <c r="BW193" i="8"/>
  <c r="BW220" i="8" s="1"/>
  <c r="BW227" i="8" s="1"/>
  <c r="BW234" i="8" s="1"/>
  <c r="BZ193" i="8"/>
  <c r="BZ220" i="8" s="1"/>
  <c r="BZ227" i="8" s="1"/>
  <c r="BZ234" i="8" s="1"/>
  <c r="BZ112" i="10"/>
  <c r="BZ139" i="10" s="1"/>
  <c r="BZ153" i="10" s="1"/>
  <c r="BY205" i="8"/>
  <c r="BW115" i="10"/>
  <c r="BW142" i="10" s="1"/>
  <c r="BW156" i="10" s="1"/>
  <c r="BZ124" i="10"/>
  <c r="BY196" i="8"/>
  <c r="BY223" i="8" s="1"/>
  <c r="BY230" i="8" s="1"/>
  <c r="BY237" i="8" s="1"/>
  <c r="BZ196" i="8"/>
  <c r="BZ223" i="8" s="1"/>
  <c r="BZ230" i="8" s="1"/>
  <c r="BZ237" i="8" s="1"/>
  <c r="BX115" i="10"/>
  <c r="BX142" i="10" s="1"/>
  <c r="BX156" i="10" s="1"/>
  <c r="BW195" i="8"/>
  <c r="BW222" i="8" s="1"/>
  <c r="BW229" i="8" s="1"/>
  <c r="BW236" i="8" s="1"/>
  <c r="BX193" i="8"/>
  <c r="BX220" i="8" s="1"/>
  <c r="BX227" i="8" s="1"/>
  <c r="BX234" i="8" s="1"/>
  <c r="BW205" i="8"/>
  <c r="BW113" i="10"/>
  <c r="BY194" i="8"/>
  <c r="BY195" i="8"/>
  <c r="BY222" i="8" s="1"/>
  <c r="BY229" i="8" s="1"/>
  <c r="BY236" i="8" s="1"/>
  <c r="BW196" i="8"/>
  <c r="BW223" i="8" s="1"/>
  <c r="BW230" i="8" s="1"/>
  <c r="BW237" i="8" s="1"/>
  <c r="BX124" i="10"/>
  <c r="BY113" i="10"/>
  <c r="BW124" i="10"/>
  <c r="BY193" i="8"/>
  <c r="BY220" i="8" s="1"/>
  <c r="BY227" i="8" s="1"/>
  <c r="BY234" i="8" s="1"/>
  <c r="BX205" i="8"/>
  <c r="BY124" i="10"/>
  <c r="BZ205" i="8"/>
  <c r="BY115" i="10"/>
  <c r="BY142" i="10" s="1"/>
  <c r="BY156" i="10" s="1"/>
  <c r="BZ114" i="10"/>
  <c r="BZ141" i="10" s="1"/>
  <c r="BZ155" i="10" s="1"/>
  <c r="BW194" i="8"/>
  <c r="BZ115" i="10"/>
  <c r="BZ142" i="10" s="1"/>
  <c r="BZ156" i="10" s="1"/>
  <c r="BX196" i="8"/>
  <c r="BX223" i="8" s="1"/>
  <c r="BX230" i="8" s="1"/>
  <c r="BX237" i="8" s="1"/>
  <c r="BX194" i="8"/>
  <c r="BX112" i="10"/>
  <c r="BX139" i="10" s="1"/>
  <c r="BX153" i="10" s="1"/>
  <c r="BZ113" i="10"/>
  <c r="BZ195" i="8"/>
  <c r="BZ222" i="8" s="1"/>
  <c r="BZ229" i="8" s="1"/>
  <c r="BZ236" i="8" s="1"/>
  <c r="BX113" i="10"/>
  <c r="BX114" i="10"/>
  <c r="BX141" i="10" s="1"/>
  <c r="BX155" i="10" s="1"/>
  <c r="BW114" i="10"/>
  <c r="BW141" i="10" s="1"/>
  <c r="BW155" i="10" s="1"/>
  <c r="BY114" i="10"/>
  <c r="BY141" i="10" s="1"/>
  <c r="BY155" i="10" s="1"/>
  <c r="BZ194" i="8"/>
  <c r="D23" i="25"/>
  <c r="CA114" i="10" l="1"/>
  <c r="CA141" i="10" s="1"/>
  <c r="CA155" i="10" s="1"/>
  <c r="CA115" i="10"/>
  <c r="CA142" i="10" s="1"/>
  <c r="CA156" i="10" s="1"/>
  <c r="CB115" i="10" l="1"/>
  <c r="CB142" i="10" s="1"/>
  <c r="CB156" i="10" s="1"/>
  <c r="CB114" i="10"/>
  <c r="CB141" i="10" s="1"/>
  <c r="CB155" i="10" s="1"/>
  <c r="CC115" i="10"/>
  <c r="CC142" i="10" s="1"/>
  <c r="CC156" i="10" s="1"/>
  <c r="CC114" i="10"/>
  <c r="CC141" i="10" s="1"/>
  <c r="CC155" i="10" s="1"/>
  <c r="Z125" i="10" l="1"/>
  <c r="Z140" i="10" s="1"/>
  <c r="Z154" i="10" s="1"/>
  <c r="K125" i="10"/>
  <c r="K140" i="10" s="1"/>
  <c r="K154" i="10" s="1"/>
  <c r="U125" i="10"/>
  <c r="U140" i="10" s="1"/>
  <c r="U154" i="10" s="1"/>
  <c r="R125" i="10"/>
  <c r="R140" i="10" s="1"/>
  <c r="R154" i="10" s="1"/>
  <c r="BO206" i="8"/>
  <c r="BO221" i="8" s="1"/>
  <c r="BO228" i="8" s="1"/>
  <c r="BO235" i="8" s="1"/>
  <c r="AS206" i="8"/>
  <c r="AS221" i="8" s="1"/>
  <c r="AS228" i="8" s="1"/>
  <c r="AS235" i="8" s="1"/>
  <c r="Q125" i="10"/>
  <c r="Q140" i="10" s="1"/>
  <c r="Q154" i="10" s="1"/>
  <c r="Z206" i="8"/>
  <c r="Z221" i="8" s="1"/>
  <c r="Z228" i="8" s="1"/>
  <c r="Z235" i="8" s="1"/>
  <c r="S125" i="10"/>
  <c r="S140" i="10" s="1"/>
  <c r="S154" i="10" s="1"/>
  <c r="X125" i="10"/>
  <c r="X140" i="10" s="1"/>
  <c r="X154" i="10" s="1"/>
  <c r="O125" i="10"/>
  <c r="O140" i="10" s="1"/>
  <c r="O154" i="10" s="1"/>
  <c r="L125" i="10"/>
  <c r="L140" i="10" s="1"/>
  <c r="L154" i="10" s="1"/>
  <c r="P206" i="8"/>
  <c r="P221" i="8" s="1"/>
  <c r="P228" i="8" s="1"/>
  <c r="P235" i="8" s="1"/>
  <c r="BD206" i="8"/>
  <c r="BD221" i="8" s="1"/>
  <c r="BD228" i="8" s="1"/>
  <c r="BD235" i="8" s="1"/>
  <c r="K206" i="8"/>
  <c r="K221" i="8" s="1"/>
  <c r="K228" i="8" s="1"/>
  <c r="K235" i="8" s="1"/>
  <c r="BW206" i="8"/>
  <c r="BW221" i="8" s="1"/>
  <c r="BW228" i="8" s="1"/>
  <c r="BW235" i="8" s="1"/>
  <c r="AK206" i="8"/>
  <c r="AK221" i="8" s="1"/>
  <c r="AK228" i="8" s="1"/>
  <c r="AK235" i="8" s="1"/>
  <c r="W125" i="10"/>
  <c r="W140" i="10" s="1"/>
  <c r="W154" i="10" s="1"/>
  <c r="BE206" i="8"/>
  <c r="BE221" i="8" s="1"/>
  <c r="BE228" i="8" s="1"/>
  <c r="BE235" i="8" s="1"/>
  <c r="AE206" i="8"/>
  <c r="AE221" i="8" s="1"/>
  <c r="AE228" i="8" s="1"/>
  <c r="AE235" i="8" s="1"/>
  <c r="BY206" i="8"/>
  <c r="BY221" i="8" s="1"/>
  <c r="BY228" i="8" s="1"/>
  <c r="BY235" i="8" s="1"/>
  <c r="AD206" i="8"/>
  <c r="AD221" i="8" s="1"/>
  <c r="AD228" i="8" s="1"/>
  <c r="AD235" i="8" s="1"/>
  <c r="BL206" i="8"/>
  <c r="BL221" i="8" s="1"/>
  <c r="BL228" i="8" s="1"/>
  <c r="BL235" i="8" s="1"/>
  <c r="BT206" i="8"/>
  <c r="BT221" i="8" s="1"/>
  <c r="BT228" i="8" s="1"/>
  <c r="BT235" i="8" s="1"/>
  <c r="H125" i="10"/>
  <c r="H140" i="10" s="1"/>
  <c r="Y206" i="8"/>
  <c r="Y221" i="8" s="1"/>
  <c r="Y228" i="8" s="1"/>
  <c r="Y235" i="8" s="1"/>
  <c r="AZ206" i="8"/>
  <c r="AZ221" i="8" s="1"/>
  <c r="AZ228" i="8" s="1"/>
  <c r="AZ235" i="8" s="1"/>
  <c r="BN206" i="8"/>
  <c r="BN221" i="8" s="1"/>
  <c r="BN228" i="8" s="1"/>
  <c r="BN235" i="8" s="1"/>
  <c r="AR206" i="8"/>
  <c r="AR221" i="8" s="1"/>
  <c r="AR228" i="8" s="1"/>
  <c r="AR235" i="8" s="1"/>
  <c r="BZ206" i="8"/>
  <c r="BZ221" i="8" s="1"/>
  <c r="BZ228" i="8" s="1"/>
  <c r="BZ235" i="8" s="1"/>
  <c r="AB206" i="8"/>
  <c r="AB221" i="8" s="1"/>
  <c r="AB228" i="8" s="1"/>
  <c r="AB235" i="8" s="1"/>
  <c r="AV206" i="8"/>
  <c r="AV221" i="8" s="1"/>
  <c r="AV228" i="8" s="1"/>
  <c r="AV235" i="8" s="1"/>
  <c r="I206" i="8"/>
  <c r="I221" i="8" s="1"/>
  <c r="I228" i="8" s="1"/>
  <c r="I235" i="8" s="1"/>
  <c r="T206" i="8"/>
  <c r="T221" i="8" s="1"/>
  <c r="T228" i="8" s="1"/>
  <c r="T235" i="8" s="1"/>
  <c r="BI206" i="8"/>
  <c r="BI221" i="8" s="1"/>
  <c r="BI228" i="8" s="1"/>
  <c r="BI235" i="8" s="1"/>
  <c r="AX206" i="8"/>
  <c r="AX221" i="8" s="1"/>
  <c r="AX228" i="8" s="1"/>
  <c r="AX235" i="8" s="1"/>
  <c r="N206" i="8"/>
  <c r="N221" i="8" s="1"/>
  <c r="N228" i="8" s="1"/>
  <c r="N235" i="8" s="1"/>
  <c r="BQ206" i="8"/>
  <c r="BQ221" i="8" s="1"/>
  <c r="BQ228" i="8" s="1"/>
  <c r="BQ235" i="8" s="1"/>
  <c r="BR206" i="8"/>
  <c r="BR221" i="8" s="1"/>
  <c r="BR228" i="8" s="1"/>
  <c r="BR235" i="8" s="1"/>
  <c r="AI206" i="8"/>
  <c r="AI221" i="8" s="1"/>
  <c r="AI228" i="8" s="1"/>
  <c r="AI235" i="8" s="1"/>
  <c r="BP206" i="8"/>
  <c r="BP221" i="8" s="1"/>
  <c r="BP228" i="8" s="1"/>
  <c r="BP235" i="8" s="1"/>
  <c r="BS206" i="8"/>
  <c r="BS221" i="8" s="1"/>
  <c r="BS228" i="8" s="1"/>
  <c r="BS235" i="8" s="1"/>
  <c r="AP206" i="8"/>
  <c r="AP221" i="8" s="1"/>
  <c r="AP228" i="8" s="1"/>
  <c r="AP235" i="8" s="1"/>
  <c r="S206" i="8"/>
  <c r="S221" i="8" s="1"/>
  <c r="S228" i="8" s="1"/>
  <c r="S235" i="8" s="1"/>
  <c r="M125" i="10"/>
  <c r="M140" i="10" s="1"/>
  <c r="M154" i="10" s="1"/>
  <c r="AW206" i="8"/>
  <c r="AW221" i="8" s="1"/>
  <c r="AW228" i="8" s="1"/>
  <c r="AW235" i="8" s="1"/>
  <c r="CD206" i="8"/>
  <c r="AM206" i="8"/>
  <c r="AM221" i="8" s="1"/>
  <c r="AM228" i="8" s="1"/>
  <c r="AM235" i="8" s="1"/>
  <c r="AQ206" i="8"/>
  <c r="AQ221" i="8" s="1"/>
  <c r="AQ228" i="8" s="1"/>
  <c r="AQ235" i="8" s="1"/>
  <c r="BG206" i="8"/>
  <c r="BG221" i="8" s="1"/>
  <c r="BG228" i="8" s="1"/>
  <c r="BG235" i="8" s="1"/>
  <c r="AF206" i="8"/>
  <c r="AF221" i="8" s="1"/>
  <c r="AF228" i="8" s="1"/>
  <c r="AF235" i="8" s="1"/>
  <c r="X206" i="8"/>
  <c r="X221" i="8" s="1"/>
  <c r="X228" i="8" s="1"/>
  <c r="X235" i="8" s="1"/>
  <c r="BB206" i="8"/>
  <c r="BB221" i="8" s="1"/>
  <c r="BB228" i="8" s="1"/>
  <c r="BB235" i="8" s="1"/>
  <c r="BM206" i="8"/>
  <c r="BM221" i="8" s="1"/>
  <c r="BM228" i="8" s="1"/>
  <c r="BM235" i="8" s="1"/>
  <c r="U206" i="8"/>
  <c r="U221" i="8" s="1"/>
  <c r="U228" i="8" s="1"/>
  <c r="U235" i="8" s="1"/>
  <c r="AA125" i="10"/>
  <c r="AA140" i="10" s="1"/>
  <c r="AA154" i="10" s="1"/>
  <c r="H206" i="8"/>
  <c r="H221" i="8" s="1"/>
  <c r="H228" i="8" s="1"/>
  <c r="H235" i="8" s="1"/>
  <c r="H242" i="8" s="1"/>
  <c r="AL206" i="8"/>
  <c r="AL221" i="8" s="1"/>
  <c r="AL228" i="8" s="1"/>
  <c r="AL235" i="8" s="1"/>
  <c r="BH206" i="8"/>
  <c r="BH221" i="8" s="1"/>
  <c r="BH228" i="8" s="1"/>
  <c r="BH235" i="8" s="1"/>
  <c r="BJ206" i="8"/>
  <c r="BJ221" i="8" s="1"/>
  <c r="BJ228" i="8" s="1"/>
  <c r="BJ235" i="8" s="1"/>
  <c r="AY206" i="8"/>
  <c r="AY221" i="8" s="1"/>
  <c r="AY228" i="8" s="1"/>
  <c r="AY235" i="8" s="1"/>
  <c r="I125" i="10"/>
  <c r="I140" i="10" s="1"/>
  <c r="I154" i="10" s="1"/>
  <c r="BV206" i="8"/>
  <c r="BV221" i="8" s="1"/>
  <c r="BV228" i="8" s="1"/>
  <c r="BV235" i="8" s="1"/>
  <c r="AN206" i="8"/>
  <c r="AN221" i="8" s="1"/>
  <c r="AN228" i="8" s="1"/>
  <c r="AN235" i="8" s="1"/>
  <c r="CB206" i="8"/>
  <c r="AH206" i="8"/>
  <c r="AH221" i="8" s="1"/>
  <c r="AH228" i="8" s="1"/>
  <c r="AH235" i="8" s="1"/>
  <c r="T125" i="10"/>
  <c r="T140" i="10" s="1"/>
  <c r="T154" i="10" s="1"/>
  <c r="M206" i="8"/>
  <c r="M221" i="8" s="1"/>
  <c r="M228" i="8" s="1"/>
  <c r="M235" i="8" s="1"/>
  <c r="BK206" i="8"/>
  <c r="BK221" i="8" s="1"/>
  <c r="BK228" i="8" s="1"/>
  <c r="BK235" i="8" s="1"/>
  <c r="O206" i="8"/>
  <c r="O221" i="8" s="1"/>
  <c r="O228" i="8" s="1"/>
  <c r="O235" i="8" s="1"/>
  <c r="N125" i="10"/>
  <c r="N140" i="10" s="1"/>
  <c r="N154" i="10" s="1"/>
  <c r="J206" i="8"/>
  <c r="J221" i="8" s="1"/>
  <c r="J228" i="8" s="1"/>
  <c r="J235" i="8" s="1"/>
  <c r="AJ206" i="8"/>
  <c r="AJ221" i="8" s="1"/>
  <c r="AJ228" i="8" s="1"/>
  <c r="AJ235" i="8" s="1"/>
  <c r="Y125" i="10"/>
  <c r="Y140" i="10" s="1"/>
  <c r="Y154" i="10" s="1"/>
  <c r="P125" i="10"/>
  <c r="P140" i="10" s="1"/>
  <c r="P154" i="10" s="1"/>
  <c r="J125" i="10"/>
  <c r="J140" i="10" s="1"/>
  <c r="J154" i="10" s="1"/>
  <c r="BF206" i="8"/>
  <c r="BF221" i="8" s="1"/>
  <c r="BF228" i="8" s="1"/>
  <c r="BF235" i="8" s="1"/>
  <c r="BA206" i="8"/>
  <c r="BA221" i="8" s="1"/>
  <c r="BA228" i="8" s="1"/>
  <c r="BA235" i="8" s="1"/>
  <c r="BC206" i="8"/>
  <c r="BC221" i="8" s="1"/>
  <c r="BC228" i="8" s="1"/>
  <c r="BC235" i="8" s="1"/>
  <c r="AO206" i="8"/>
  <c r="AO221" i="8" s="1"/>
  <c r="AO228" i="8" s="1"/>
  <c r="AO235" i="8" s="1"/>
  <c r="CA206" i="8"/>
  <c r="L206" i="8"/>
  <c r="L221" i="8" s="1"/>
  <c r="L228" i="8" s="1"/>
  <c r="L235" i="8" s="1"/>
  <c r="Q206" i="8"/>
  <c r="Q221" i="8" s="1"/>
  <c r="Q228" i="8" s="1"/>
  <c r="Q235" i="8" s="1"/>
  <c r="W206" i="8"/>
  <c r="W221" i="8" s="1"/>
  <c r="W228" i="8" s="1"/>
  <c r="W235" i="8" s="1"/>
  <c r="R206" i="8"/>
  <c r="R221" i="8" s="1"/>
  <c r="R228" i="8" s="1"/>
  <c r="R235" i="8" s="1"/>
  <c r="AC206" i="8"/>
  <c r="AC221" i="8" s="1"/>
  <c r="AC228" i="8" s="1"/>
  <c r="AC235" i="8" s="1"/>
  <c r="AU206" i="8"/>
  <c r="AU221" i="8" s="1"/>
  <c r="AU228" i="8" s="1"/>
  <c r="AU235" i="8" s="1"/>
  <c r="CC206" i="8"/>
  <c r="BU206" i="8"/>
  <c r="BU221" i="8" s="1"/>
  <c r="BU228" i="8" s="1"/>
  <c r="BU235" i="8" s="1"/>
  <c r="V206" i="8"/>
  <c r="V221" i="8" s="1"/>
  <c r="V228" i="8" s="1"/>
  <c r="V235" i="8" s="1"/>
  <c r="BX206" i="8"/>
  <c r="BX221" i="8" s="1"/>
  <c r="BX228" i="8" s="1"/>
  <c r="BX235" i="8" s="1"/>
  <c r="AR125" i="10"/>
  <c r="AR140" i="10" s="1"/>
  <c r="AR154" i="10" s="1"/>
  <c r="AG206" i="8"/>
  <c r="AG221" i="8" s="1"/>
  <c r="AG228" i="8" s="1"/>
  <c r="AG235" i="8" s="1"/>
  <c r="V125" i="10"/>
  <c r="V140" i="10" s="1"/>
  <c r="V154" i="10" s="1"/>
  <c r="AT206" i="8"/>
  <c r="AT221" i="8" s="1"/>
  <c r="AT228" i="8" s="1"/>
  <c r="AT235" i="8" s="1"/>
  <c r="CE206" i="8"/>
  <c r="AX125" i="10"/>
  <c r="AX140" i="10" s="1"/>
  <c r="AX154" i="10" s="1"/>
  <c r="AA206" i="8"/>
  <c r="AA221" i="8" s="1"/>
  <c r="AA228" i="8" s="1"/>
  <c r="AA235" i="8" s="1"/>
  <c r="AC125" i="10"/>
  <c r="AC140" i="10" s="1"/>
  <c r="AC154" i="10" s="1"/>
  <c r="BW125" i="10"/>
  <c r="BW140" i="10" s="1"/>
  <c r="BW154" i="10" s="1"/>
  <c r="BJ125" i="10"/>
  <c r="BJ140" i="10" s="1"/>
  <c r="BJ154" i="10" s="1"/>
  <c r="AH125" i="10"/>
  <c r="AH140" i="10" s="1"/>
  <c r="AH154" i="10" s="1"/>
  <c r="BE125" i="10"/>
  <c r="BE140" i="10" s="1"/>
  <c r="BE154" i="10" s="1"/>
  <c r="AE125" i="10"/>
  <c r="AE140" i="10" s="1"/>
  <c r="AE154" i="10" s="1"/>
  <c r="CE125" i="10"/>
  <c r="BX125" i="10"/>
  <c r="BX140" i="10" s="1"/>
  <c r="BX154" i="10" s="1"/>
  <c r="BK125" i="10"/>
  <c r="BK140" i="10" s="1"/>
  <c r="BK154" i="10" s="1"/>
  <c r="BA125" i="10"/>
  <c r="BA140" i="10" s="1"/>
  <c r="BA154" i="10" s="1"/>
  <c r="BF125" i="10"/>
  <c r="BF140" i="10" s="1"/>
  <c r="BF154" i="10" s="1"/>
  <c r="BM125" i="10"/>
  <c r="BM140" i="10" s="1"/>
  <c r="BM154" i="10" s="1"/>
  <c r="AZ125" i="10"/>
  <c r="AZ140" i="10" s="1"/>
  <c r="AZ154" i="10" s="1"/>
  <c r="BU125" i="10"/>
  <c r="BU140" i="10" s="1"/>
  <c r="BU154" i="10" s="1"/>
  <c r="AF125" i="10"/>
  <c r="AF140" i="10" s="1"/>
  <c r="AF154" i="10" s="1"/>
  <c r="AD125" i="10"/>
  <c r="AD140" i="10" s="1"/>
  <c r="AD154" i="10" s="1"/>
  <c r="AL125" i="10"/>
  <c r="AL140" i="10" s="1"/>
  <c r="AL154" i="10" s="1"/>
  <c r="BH125" i="10"/>
  <c r="BH140" i="10" s="1"/>
  <c r="BH154" i="10" s="1"/>
  <c r="AU125" i="10"/>
  <c r="AU140" i="10" s="1"/>
  <c r="AU154" i="10" s="1"/>
  <c r="BD125" i="10"/>
  <c r="BD140" i="10" s="1"/>
  <c r="BD154" i="10" s="1"/>
  <c r="AT125" i="10"/>
  <c r="AT140" i="10" s="1"/>
  <c r="AT154" i="10" s="1"/>
  <c r="AY125" i="10"/>
  <c r="AY140" i="10" s="1"/>
  <c r="AY154" i="10" s="1"/>
  <c r="CA125" i="10"/>
  <c r="AG125" i="10"/>
  <c r="AG140" i="10" s="1"/>
  <c r="AG154" i="10" s="1"/>
  <c r="AQ125" i="10"/>
  <c r="AQ140" i="10" s="1"/>
  <c r="AQ154" i="10" s="1"/>
  <c r="BC125" i="10"/>
  <c r="BC140" i="10" s="1"/>
  <c r="BC154" i="10" s="1"/>
  <c r="BT125" i="10"/>
  <c r="BT140" i="10" s="1"/>
  <c r="BT154" i="10" s="1"/>
  <c r="BZ125" i="10"/>
  <c r="BZ140" i="10" s="1"/>
  <c r="BZ154" i="10" s="1"/>
  <c r="BN125" i="10"/>
  <c r="BN140" i="10" s="1"/>
  <c r="BN154" i="10" s="1"/>
  <c r="BG125" i="10"/>
  <c r="BG140" i="10" s="1"/>
  <c r="BG154" i="10" s="1"/>
  <c r="BR125" i="10"/>
  <c r="BR140" i="10" s="1"/>
  <c r="BR154" i="10" s="1"/>
  <c r="CC125" i="10"/>
  <c r="BL125" i="10"/>
  <c r="BL140" i="10" s="1"/>
  <c r="BL154" i="10" s="1"/>
  <c r="AW125" i="10"/>
  <c r="AW140" i="10" s="1"/>
  <c r="AW154" i="10" s="1"/>
  <c r="CF206" i="8"/>
  <c r="AK125" i="10"/>
  <c r="AK140" i="10" s="1"/>
  <c r="AK154" i="10" s="1"/>
  <c r="AB125" i="10"/>
  <c r="AB140" i="10" s="1"/>
  <c r="AB154" i="10" s="1"/>
  <c r="BQ125" i="10"/>
  <c r="BQ140" i="10" s="1"/>
  <c r="BQ154" i="10" s="1"/>
  <c r="AP125" i="10"/>
  <c r="AP140" i="10" s="1"/>
  <c r="AP154" i="10" s="1"/>
  <c r="AS125" i="10"/>
  <c r="AS140" i="10" s="1"/>
  <c r="AS154" i="10" s="1"/>
  <c r="CF125" i="10"/>
  <c r="AO125" i="10"/>
  <c r="AO140" i="10" s="1"/>
  <c r="AO154" i="10" s="1"/>
  <c r="AM125" i="10"/>
  <c r="AM140" i="10" s="1"/>
  <c r="AM154" i="10" s="1"/>
  <c r="AJ125" i="10"/>
  <c r="AJ140" i="10" s="1"/>
  <c r="AJ154" i="10" s="1"/>
  <c r="CB125" i="10"/>
  <c r="BY125" i="10"/>
  <c r="BY140" i="10" s="1"/>
  <c r="BY154" i="10" s="1"/>
  <c r="BB125" i="10"/>
  <c r="BB140" i="10" s="1"/>
  <c r="BB154" i="10" s="1"/>
  <c r="AI125" i="10"/>
  <c r="AI140" i="10" s="1"/>
  <c r="AI154" i="10" s="1"/>
  <c r="BS125" i="10"/>
  <c r="BS140" i="10" s="1"/>
  <c r="BS154" i="10" s="1"/>
  <c r="BP125" i="10"/>
  <c r="BP140" i="10" s="1"/>
  <c r="BP154" i="10" s="1"/>
  <c r="BV125" i="10"/>
  <c r="BV140" i="10" s="1"/>
  <c r="BV154" i="10" s="1"/>
  <c r="BI125" i="10"/>
  <c r="BI140" i="10" s="1"/>
  <c r="BI154" i="10" s="1"/>
  <c r="AV125" i="10"/>
  <c r="AV140" i="10" s="1"/>
  <c r="AV154" i="10" s="1"/>
  <c r="AN125" i="10"/>
  <c r="AN140" i="10" s="1"/>
  <c r="AN154" i="10" s="1"/>
  <c r="CD125" i="10"/>
  <c r="BO125" i="10"/>
  <c r="BO140" i="10" s="1"/>
  <c r="BO154" i="10" s="1"/>
  <c r="CC196" i="8"/>
  <c r="CC223" i="8" s="1"/>
  <c r="CC230" i="8" s="1"/>
  <c r="CC237" i="8" s="1"/>
  <c r="CA113" i="10"/>
  <c r="CA196" i="8"/>
  <c r="CA223" i="8" s="1"/>
  <c r="CA230" i="8" s="1"/>
  <c r="CA237" i="8" s="1"/>
  <c r="CE112" i="10"/>
  <c r="CE139" i="10" s="1"/>
  <c r="CE153" i="10" s="1"/>
  <c r="CC124" i="10"/>
  <c r="CA112" i="10"/>
  <c r="CA139" i="10" s="1"/>
  <c r="CA153" i="10" s="1"/>
  <c r="CF124" i="10"/>
  <c r="CE195" i="8"/>
  <c r="CE222" i="8" s="1"/>
  <c r="CE229" i="8" s="1"/>
  <c r="CE236" i="8" s="1"/>
  <c r="CA205" i="8"/>
  <c r="CD124" i="10"/>
  <c r="CE113" i="10"/>
  <c r="CD196" i="8"/>
  <c r="CD223" i="8" s="1"/>
  <c r="CD230" i="8" s="1"/>
  <c r="CD237" i="8" s="1"/>
  <c r="CE205" i="8"/>
  <c r="CF196" i="8"/>
  <c r="CF223" i="8" s="1"/>
  <c r="CF230" i="8" s="1"/>
  <c r="CF237" i="8" s="1"/>
  <c r="CF205" i="8"/>
  <c r="CB205" i="8"/>
  <c r="CA195" i="8"/>
  <c r="CA222" i="8" s="1"/>
  <c r="CA229" i="8" s="1"/>
  <c r="CA236" i="8" s="1"/>
  <c r="CF113" i="10"/>
  <c r="CD195" i="8"/>
  <c r="CD222" i="8" s="1"/>
  <c r="CD229" i="8" s="1"/>
  <c r="CD236" i="8" s="1"/>
  <c r="CF195" i="8"/>
  <c r="CF222" i="8" s="1"/>
  <c r="CF229" i="8" s="1"/>
  <c r="CF236" i="8" s="1"/>
  <c r="CE196" i="8"/>
  <c r="CE223" i="8" s="1"/>
  <c r="CE230" i="8" s="1"/>
  <c r="CE237" i="8" s="1"/>
  <c r="CC195" i="8"/>
  <c r="CC222" i="8" s="1"/>
  <c r="CC229" i="8" s="1"/>
  <c r="CC236" i="8" s="1"/>
  <c r="CC205" i="8"/>
  <c r="CE124" i="10"/>
  <c r="CF194" i="8"/>
  <c r="CA194" i="8"/>
  <c r="CC193" i="8"/>
  <c r="CC220" i="8" s="1"/>
  <c r="CC227" i="8" s="1"/>
  <c r="CC234" i="8" s="1"/>
  <c r="CB113" i="10"/>
  <c r="CD205" i="8"/>
  <c r="CF193" i="8"/>
  <c r="CF220" i="8" s="1"/>
  <c r="CF227" i="8" s="1"/>
  <c r="CF234" i="8" s="1"/>
  <c r="CB196" i="8"/>
  <c r="CB223" i="8" s="1"/>
  <c r="CB230" i="8" s="1"/>
  <c r="CB237" i="8" s="1"/>
  <c r="CB194" i="8"/>
  <c r="CB193" i="8"/>
  <c r="CB220" i="8" s="1"/>
  <c r="CB227" i="8" s="1"/>
  <c r="CB234" i="8" s="1"/>
  <c r="CE194" i="8"/>
  <c r="CD113" i="10"/>
  <c r="CB124" i="10"/>
  <c r="CA193" i="8"/>
  <c r="CA220" i="8" s="1"/>
  <c r="CA227" i="8" s="1"/>
  <c r="CA234" i="8" s="1"/>
  <c r="CB195" i="8"/>
  <c r="CB222" i="8" s="1"/>
  <c r="CB229" i="8" s="1"/>
  <c r="CB236" i="8" s="1"/>
  <c r="CA124" i="10"/>
  <c r="CF112" i="10"/>
  <c r="CF139" i="10" s="1"/>
  <c r="CF153" i="10" s="1"/>
  <c r="CC194" i="8"/>
  <c r="CE193" i="8"/>
  <c r="CE220" i="8" s="1"/>
  <c r="CE227" i="8" s="1"/>
  <c r="CE234" i="8" s="1"/>
  <c r="CB112" i="10"/>
  <c r="CB139" i="10" s="1"/>
  <c r="CB153" i="10" s="1"/>
  <c r="CC113" i="10"/>
  <c r="CC140" i="10" s="1"/>
  <c r="CC154" i="10" s="1"/>
  <c r="CC112" i="10"/>
  <c r="CC139" i="10" s="1"/>
  <c r="CC153" i="10" s="1"/>
  <c r="CD194" i="8"/>
  <c r="CD112" i="10"/>
  <c r="CD139" i="10" s="1"/>
  <c r="CD153" i="10" s="1"/>
  <c r="CD193" i="8"/>
  <c r="CD220" i="8" s="1"/>
  <c r="CD227" i="8" s="1"/>
  <c r="CD234" i="8" s="1"/>
  <c r="CD115" i="10"/>
  <c r="CD142" i="10" s="1"/>
  <c r="CD156" i="10" s="1"/>
  <c r="CE115" i="10"/>
  <c r="CE142" i="10" s="1"/>
  <c r="CE156" i="10" s="1"/>
  <c r="CD114" i="10"/>
  <c r="CD141" i="10" s="1"/>
  <c r="CD155" i="10" s="1"/>
  <c r="CF114" i="10"/>
  <c r="CF141" i="10" s="1"/>
  <c r="CF155" i="10" s="1"/>
  <c r="CE114" i="10"/>
  <c r="CE141" i="10" s="1"/>
  <c r="CE155" i="10" s="1"/>
  <c r="CF115" i="10"/>
  <c r="CF142" i="10" s="1"/>
  <c r="CF156" i="10" s="1"/>
  <c r="CD140" i="10" l="1"/>
  <c r="CD154" i="10" s="1"/>
  <c r="CE140" i="10"/>
  <c r="CE154" i="10" s="1"/>
  <c r="CE221" i="8"/>
  <c r="CE228" i="8" s="1"/>
  <c r="CE235" i="8" s="1"/>
  <c r="CB140" i="10"/>
  <c r="CB154" i="10" s="1"/>
  <c r="CF140" i="10"/>
  <c r="CF154" i="10" s="1"/>
  <c r="CA140" i="10"/>
  <c r="CA154" i="10" s="1"/>
  <c r="CD221" i="8"/>
  <c r="CD228" i="8" s="1"/>
  <c r="CD235" i="8" s="1"/>
  <c r="CA221" i="8"/>
  <c r="CA228" i="8" s="1"/>
  <c r="CA235" i="8" s="1"/>
  <c r="CC221" i="8"/>
  <c r="CC228" i="8" s="1"/>
  <c r="CC235" i="8" s="1"/>
  <c r="CF221" i="8"/>
  <c r="CF228" i="8" s="1"/>
  <c r="CF235" i="8" s="1"/>
  <c r="CB221" i="8"/>
  <c r="CB228" i="8" s="1"/>
  <c r="CB235" i="8" s="1"/>
  <c r="H154" i="10"/>
  <c r="X106" i="8" l="1"/>
  <c r="X113" i="8" s="1"/>
  <c r="X120" i="8" s="1"/>
  <c r="AD106" i="8"/>
  <c r="H106" i="8"/>
  <c r="H113" i="8" s="1"/>
  <c r="H120" i="8" s="1"/>
  <c r="H52" i="10"/>
  <c r="H59" i="10" s="1"/>
  <c r="CD164" i="10"/>
  <c r="CD171" i="10" s="1"/>
  <c r="CD243" i="8"/>
  <c r="CD244" i="8"/>
  <c r="CD163" i="10"/>
  <c r="CD170" i="10" s="1"/>
  <c r="CD161" i="10"/>
  <c r="CD168" i="10" s="1"/>
  <c r="CD241" i="8"/>
  <c r="CD162" i="10"/>
  <c r="CD169" i="10" s="1"/>
  <c r="CD242" i="8"/>
  <c r="CD149" i="10"/>
  <c r="CD146" i="10"/>
  <c r="CD147" i="10"/>
  <c r="CD148" i="10"/>
  <c r="BK164" i="10"/>
  <c r="BK171" i="10" s="1"/>
  <c r="BK161" i="10"/>
  <c r="BK168" i="10" s="1"/>
  <c r="BK163" i="10"/>
  <c r="BK170" i="10" s="1"/>
  <c r="BK243" i="8"/>
  <c r="BK241" i="8"/>
  <c r="BK244" i="8"/>
  <c r="BK162" i="10"/>
  <c r="BK169" i="10" s="1"/>
  <c r="BK242" i="8"/>
  <c r="BK148" i="10"/>
  <c r="BK147" i="10"/>
  <c r="BK149" i="10"/>
  <c r="BK146" i="10"/>
  <c r="BC244" i="8"/>
  <c r="BC161" i="10"/>
  <c r="BC168" i="10" s="1"/>
  <c r="BC243" i="8"/>
  <c r="BC241" i="8"/>
  <c r="BC163" i="10"/>
  <c r="BC170" i="10" s="1"/>
  <c r="BC164" i="10"/>
  <c r="BC171" i="10" s="1"/>
  <c r="BC162" i="10"/>
  <c r="BC169" i="10" s="1"/>
  <c r="BC242" i="8"/>
  <c r="BC147" i="10"/>
  <c r="BC149" i="10"/>
  <c r="BC148" i="10"/>
  <c r="BC146" i="10"/>
  <c r="AQ164" i="10"/>
  <c r="AQ171" i="10" s="1"/>
  <c r="AQ243" i="8"/>
  <c r="AQ241" i="8"/>
  <c r="AQ244" i="8"/>
  <c r="AQ161" i="10"/>
  <c r="AQ168" i="10" s="1"/>
  <c r="AQ163" i="10"/>
  <c r="AQ170" i="10" s="1"/>
  <c r="AQ162" i="10"/>
  <c r="AQ169" i="10" s="1"/>
  <c r="AQ242" i="8"/>
  <c r="AQ148" i="10"/>
  <c r="AQ149" i="10"/>
  <c r="AQ146" i="10"/>
  <c r="AQ147" i="10"/>
  <c r="AP164" i="10"/>
  <c r="AP171" i="10" s="1"/>
  <c r="AP244" i="8"/>
  <c r="AP241" i="8"/>
  <c r="AP163" i="10"/>
  <c r="AP170" i="10" s="1"/>
  <c r="AP243" i="8"/>
  <c r="AP161" i="10"/>
  <c r="AP168" i="10" s="1"/>
  <c r="AP242" i="8"/>
  <c r="AP162" i="10"/>
  <c r="AP169" i="10" s="1"/>
  <c r="AP147" i="10"/>
  <c r="AP146" i="10"/>
  <c r="AP148" i="10"/>
  <c r="AP149" i="10"/>
  <c r="AL241" i="8"/>
  <c r="AL161" i="10"/>
  <c r="AL168" i="10" s="1"/>
  <c r="AL164" i="10"/>
  <c r="AL171" i="10" s="1"/>
  <c r="AL163" i="10"/>
  <c r="AL170" i="10" s="1"/>
  <c r="AL244" i="8"/>
  <c r="AL243" i="8"/>
  <c r="AL242" i="8"/>
  <c r="AL162" i="10"/>
  <c r="AL169" i="10" s="1"/>
  <c r="AL148" i="10"/>
  <c r="AL149" i="10"/>
  <c r="AL146" i="10"/>
  <c r="AL147" i="10"/>
  <c r="AI244" i="8"/>
  <c r="AI163" i="10"/>
  <c r="AI170" i="10" s="1"/>
  <c r="AI243" i="8"/>
  <c r="AI161" i="10"/>
  <c r="AI168" i="10" s="1"/>
  <c r="AI164" i="10"/>
  <c r="AI171" i="10" s="1"/>
  <c r="AI241" i="8"/>
  <c r="AI162" i="10"/>
  <c r="AI169" i="10" s="1"/>
  <c r="AI242" i="8"/>
  <c r="AI147" i="10"/>
  <c r="AI148" i="10"/>
  <c r="AI149" i="10"/>
  <c r="AI146" i="10"/>
  <c r="W164" i="10"/>
  <c r="W171" i="10" s="1"/>
  <c r="W241" i="8"/>
  <c r="W244" i="8"/>
  <c r="W161" i="10"/>
  <c r="W168" i="10" s="1"/>
  <c r="W163" i="10"/>
  <c r="W170" i="10" s="1"/>
  <c r="W243" i="8"/>
  <c r="W162" i="10"/>
  <c r="W169" i="10" s="1"/>
  <c r="W242" i="8"/>
  <c r="W148" i="10"/>
  <c r="W147" i="10"/>
  <c r="W146" i="10"/>
  <c r="W149" i="10"/>
  <c r="V244" i="8"/>
  <c r="V241" i="8"/>
  <c r="V161" i="10"/>
  <c r="V168" i="10" s="1"/>
  <c r="V164" i="10"/>
  <c r="V171" i="10" s="1"/>
  <c r="V243" i="8"/>
  <c r="V163" i="10"/>
  <c r="V170" i="10" s="1"/>
  <c r="V242" i="8"/>
  <c r="V162" i="10"/>
  <c r="V169" i="10" s="1"/>
  <c r="V149" i="10"/>
  <c r="V148" i="10"/>
  <c r="V147" i="10"/>
  <c r="V146" i="10"/>
  <c r="S244" i="8"/>
  <c r="S243" i="8"/>
  <c r="S241" i="8"/>
  <c r="S164" i="10"/>
  <c r="S171" i="10" s="1"/>
  <c r="S161" i="10"/>
  <c r="S168" i="10" s="1"/>
  <c r="S163" i="10"/>
  <c r="S170" i="10" s="1"/>
  <c r="S162" i="10"/>
  <c r="S169" i="10" s="1"/>
  <c r="S242" i="8"/>
  <c r="S149" i="10"/>
  <c r="S148" i="10"/>
  <c r="S147" i="10"/>
  <c r="S146" i="10"/>
  <c r="R243" i="8"/>
  <c r="R241" i="8"/>
  <c r="R244" i="8"/>
  <c r="R242" i="8"/>
  <c r="R162" i="10"/>
  <c r="R169" i="10" s="1"/>
  <c r="R147" i="10"/>
  <c r="R163" i="10"/>
  <c r="R170" i="10" s="1"/>
  <c r="R146" i="10"/>
  <c r="R161" i="10"/>
  <c r="R168" i="10" s="1"/>
  <c r="R149" i="10"/>
  <c r="R148" i="10"/>
  <c r="R164" i="10"/>
  <c r="R171" i="10" s="1"/>
  <c r="H148" i="10"/>
  <c r="H149" i="10"/>
  <c r="H244" i="8"/>
  <c r="H243" i="8"/>
  <c r="H241" i="8"/>
  <c r="H146" i="10"/>
  <c r="H164" i="10"/>
  <c r="H171" i="10" s="1"/>
  <c r="H163" i="10"/>
  <c r="H170" i="10" s="1"/>
  <c r="H161" i="10"/>
  <c r="H168" i="10" s="1"/>
  <c r="H147" i="10"/>
  <c r="H162" i="10"/>
  <c r="H169" i="10" s="1"/>
  <c r="AE180" i="10"/>
  <c r="AD180" i="10"/>
  <c r="AG180" i="10"/>
  <c r="AF180" i="10"/>
  <c r="R178" i="10"/>
  <c r="P178" i="10"/>
  <c r="S178" i="10"/>
  <c r="Q178" i="10"/>
  <c r="O178" i="10"/>
  <c r="S179" i="10"/>
  <c r="Q179" i="10"/>
  <c r="R179" i="10"/>
  <c r="O179" i="10"/>
  <c r="P179" i="10"/>
  <c r="CE243" i="8"/>
  <c r="CE162" i="10"/>
  <c r="CE169" i="10" s="1"/>
  <c r="CE163" i="10"/>
  <c r="CE170" i="10" s="1"/>
  <c r="CE161" i="10"/>
  <c r="CE168" i="10" s="1"/>
  <c r="CE164" i="10"/>
  <c r="CE171" i="10" s="1"/>
  <c r="CE241" i="8"/>
  <c r="CE244" i="8"/>
  <c r="CE242" i="8"/>
  <c r="CE147" i="10"/>
  <c r="CE149" i="10"/>
  <c r="CE146" i="10"/>
  <c r="CE148" i="10"/>
  <c r="CA164" i="10"/>
  <c r="CA171" i="10" s="1"/>
  <c r="CA163" i="10"/>
  <c r="CA170" i="10" s="1"/>
  <c r="CA161" i="10"/>
  <c r="CA168" i="10" s="1"/>
  <c r="CA243" i="8"/>
  <c r="CA244" i="8"/>
  <c r="CA241" i="8"/>
  <c r="CA242" i="8"/>
  <c r="CA162" i="10"/>
  <c r="CA169" i="10" s="1"/>
  <c r="CA146" i="10"/>
  <c r="CA147" i="10"/>
  <c r="CA148" i="10"/>
  <c r="CA149" i="10"/>
  <c r="BZ163" i="10"/>
  <c r="BZ170" i="10" s="1"/>
  <c r="BZ243" i="8"/>
  <c r="BZ164" i="10"/>
  <c r="BZ171" i="10" s="1"/>
  <c r="BZ161" i="10"/>
  <c r="BZ168" i="10" s="1"/>
  <c r="BZ244" i="8"/>
  <c r="BZ241" i="8"/>
  <c r="BZ242" i="8"/>
  <c r="BZ162" i="10"/>
  <c r="BZ169" i="10" s="1"/>
  <c r="BZ149" i="10"/>
  <c r="BZ147" i="10"/>
  <c r="BZ148" i="10"/>
  <c r="BZ146" i="10"/>
  <c r="BW244" i="8"/>
  <c r="BW241" i="8"/>
  <c r="BW161" i="10"/>
  <c r="BW168" i="10" s="1"/>
  <c r="BW164" i="10"/>
  <c r="BW171" i="10" s="1"/>
  <c r="BW163" i="10"/>
  <c r="BW170" i="10" s="1"/>
  <c r="BW243" i="8"/>
  <c r="BW242" i="8"/>
  <c r="BW162" i="10"/>
  <c r="BW169" i="10" s="1"/>
  <c r="BW149" i="10"/>
  <c r="BW146" i="10"/>
  <c r="BW148" i="10"/>
  <c r="BW147" i="10"/>
  <c r="BS163" i="10"/>
  <c r="BS170" i="10" s="1"/>
  <c r="BS243" i="8"/>
  <c r="BS164" i="10"/>
  <c r="BS171" i="10" s="1"/>
  <c r="BS241" i="8"/>
  <c r="BS244" i="8"/>
  <c r="BS161" i="10"/>
  <c r="BS168" i="10" s="1"/>
  <c r="BS162" i="10"/>
  <c r="BS169" i="10" s="1"/>
  <c r="BS242" i="8"/>
  <c r="BS148" i="10"/>
  <c r="BS149" i="10"/>
  <c r="BS147" i="10"/>
  <c r="BS146" i="10"/>
  <c r="BR163" i="10"/>
  <c r="BR170" i="10" s="1"/>
  <c r="BR164" i="10"/>
  <c r="BR171" i="10" s="1"/>
  <c r="BR244" i="8"/>
  <c r="BR243" i="8"/>
  <c r="BR161" i="10"/>
  <c r="BR168" i="10" s="1"/>
  <c r="BR241" i="8"/>
  <c r="BR162" i="10"/>
  <c r="BR169" i="10" s="1"/>
  <c r="BR242" i="8"/>
  <c r="BR149" i="10"/>
  <c r="BR147" i="10"/>
  <c r="BR146" i="10"/>
  <c r="BR148" i="10"/>
  <c r="BO163" i="10"/>
  <c r="BO170" i="10" s="1"/>
  <c r="BO244" i="8"/>
  <c r="BO164" i="10"/>
  <c r="BO171" i="10" s="1"/>
  <c r="BO241" i="8"/>
  <c r="BO161" i="10"/>
  <c r="BO168" i="10" s="1"/>
  <c r="BO243" i="8"/>
  <c r="BO162" i="10"/>
  <c r="BO169" i="10" s="1"/>
  <c r="BO242" i="8"/>
  <c r="BO147" i="10"/>
  <c r="BO148" i="10"/>
  <c r="BO146" i="10"/>
  <c r="BO149" i="10"/>
  <c r="BN163" i="10"/>
  <c r="BN170" i="10" s="1"/>
  <c r="BN244" i="8"/>
  <c r="BN243" i="8"/>
  <c r="BN164" i="10"/>
  <c r="BN171" i="10" s="1"/>
  <c r="BN241" i="8"/>
  <c r="BN161" i="10"/>
  <c r="BN168" i="10" s="1"/>
  <c r="BN162" i="10"/>
  <c r="BN169" i="10" s="1"/>
  <c r="BN242" i="8"/>
  <c r="BN147" i="10"/>
  <c r="BN146" i="10"/>
  <c r="BN148" i="10"/>
  <c r="BN149" i="10"/>
  <c r="BJ243" i="8"/>
  <c r="BJ161" i="10"/>
  <c r="BJ168" i="10" s="1"/>
  <c r="BJ244" i="8"/>
  <c r="BJ163" i="10"/>
  <c r="BJ170" i="10" s="1"/>
  <c r="BJ241" i="8"/>
  <c r="BJ164" i="10"/>
  <c r="BJ171" i="10" s="1"/>
  <c r="BJ162" i="10"/>
  <c r="BJ169" i="10" s="1"/>
  <c r="BJ242" i="8"/>
  <c r="BJ147" i="10"/>
  <c r="BJ148" i="10"/>
  <c r="BJ149" i="10"/>
  <c r="BJ146" i="10"/>
  <c r="BG243" i="8"/>
  <c r="BG244" i="8"/>
  <c r="BG164" i="10"/>
  <c r="BG171" i="10" s="1"/>
  <c r="BG241" i="8"/>
  <c r="BG163" i="10"/>
  <c r="BG170" i="10" s="1"/>
  <c r="BG161" i="10"/>
  <c r="BG168" i="10" s="1"/>
  <c r="BG242" i="8"/>
  <c r="BG162" i="10"/>
  <c r="BG169" i="10" s="1"/>
  <c r="BG148" i="10"/>
  <c r="BG149" i="10"/>
  <c r="BG146" i="10"/>
  <c r="BG147" i="10"/>
  <c r="BB241" i="8"/>
  <c r="BB243" i="8"/>
  <c r="BB244" i="8"/>
  <c r="BB161" i="10"/>
  <c r="BB168" i="10" s="1"/>
  <c r="BB163" i="10"/>
  <c r="BB170" i="10" s="1"/>
  <c r="BB164" i="10"/>
  <c r="BB171" i="10" s="1"/>
  <c r="BB162" i="10"/>
  <c r="BB169" i="10" s="1"/>
  <c r="BB242" i="8"/>
  <c r="BB146" i="10"/>
  <c r="BB147" i="10"/>
  <c r="BB148" i="10"/>
  <c r="BB149" i="10"/>
  <c r="AM161" i="10"/>
  <c r="AM168" i="10" s="1"/>
  <c r="AM241" i="8"/>
  <c r="AM163" i="10"/>
  <c r="AM170" i="10" s="1"/>
  <c r="AM164" i="10"/>
  <c r="AM171" i="10" s="1"/>
  <c r="AM243" i="8"/>
  <c r="AM244" i="8"/>
  <c r="AM162" i="10"/>
  <c r="AM169" i="10" s="1"/>
  <c r="AM242" i="8"/>
  <c r="AM146" i="10"/>
  <c r="AM147" i="10"/>
  <c r="AM148" i="10"/>
  <c r="AM149" i="10"/>
  <c r="AD244" i="8"/>
  <c r="AD241" i="8"/>
  <c r="AD164" i="10"/>
  <c r="AD171" i="10" s="1"/>
  <c r="AD243" i="8"/>
  <c r="AD161" i="10"/>
  <c r="AD168" i="10" s="1"/>
  <c r="AD163" i="10"/>
  <c r="AD170" i="10" s="1"/>
  <c r="AD242" i="8"/>
  <c r="AD162" i="10"/>
  <c r="AD169" i="10" s="1"/>
  <c r="AD149" i="10"/>
  <c r="AD148" i="10"/>
  <c r="AD146" i="10"/>
  <c r="AD147" i="10"/>
  <c r="AA243" i="8"/>
  <c r="AA244" i="8"/>
  <c r="AA161" i="10"/>
  <c r="AA168" i="10" s="1"/>
  <c r="AA163" i="10"/>
  <c r="AA170" i="10" s="1"/>
  <c r="AA241" i="8"/>
  <c r="AA164" i="10"/>
  <c r="AA171" i="10" s="1"/>
  <c r="AA162" i="10"/>
  <c r="AA169" i="10" s="1"/>
  <c r="AA242" i="8"/>
  <c r="AA146" i="10"/>
  <c r="AA147" i="10"/>
  <c r="AA148" i="10"/>
  <c r="AA149" i="10"/>
  <c r="N244" i="8"/>
  <c r="N243" i="8"/>
  <c r="N241" i="8"/>
  <c r="N242" i="8"/>
  <c r="N164" i="10"/>
  <c r="N171" i="10" s="1"/>
  <c r="N146" i="10"/>
  <c r="N162" i="10"/>
  <c r="N169" i="10" s="1"/>
  <c r="N163" i="10"/>
  <c r="N170" i="10" s="1"/>
  <c r="N147" i="10"/>
  <c r="N161" i="10"/>
  <c r="N168" i="10" s="1"/>
  <c r="N148" i="10"/>
  <c r="N149" i="10"/>
  <c r="G148" i="10"/>
  <c r="G244" i="8"/>
  <c r="G241" i="8"/>
  <c r="G243" i="8"/>
  <c r="G146" i="10"/>
  <c r="G242" i="8"/>
  <c r="G147" i="10"/>
  <c r="G149" i="10"/>
  <c r="G161" i="10"/>
  <c r="G168" i="10" s="1"/>
  <c r="G163" i="10"/>
  <c r="G170" i="10" s="1"/>
  <c r="G164" i="10"/>
  <c r="G171" i="10" s="1"/>
  <c r="G162" i="10"/>
  <c r="G169" i="10" s="1"/>
  <c r="F243" i="8"/>
  <c r="F146" i="10"/>
  <c r="F148" i="10"/>
  <c r="F242" i="8"/>
  <c r="F244" i="8"/>
  <c r="F149" i="10"/>
  <c r="F147" i="10"/>
  <c r="F241" i="8"/>
  <c r="F161" i="10"/>
  <c r="F168" i="10" s="1"/>
  <c r="F162" i="10"/>
  <c r="F169" i="10" s="1"/>
  <c r="F164" i="10"/>
  <c r="F171" i="10" s="1"/>
  <c r="F163" i="10"/>
  <c r="F170" i="10" s="1"/>
  <c r="BV163" i="10"/>
  <c r="BV170" i="10" s="1"/>
  <c r="BV243" i="8"/>
  <c r="BV244" i="8"/>
  <c r="BV161" i="10"/>
  <c r="BV168" i="10" s="1"/>
  <c r="BV164" i="10"/>
  <c r="BV171" i="10" s="1"/>
  <c r="BV241" i="8"/>
  <c r="BV242" i="8"/>
  <c r="BV162" i="10"/>
  <c r="BV169" i="10" s="1"/>
  <c r="BV147" i="10"/>
  <c r="BV146" i="10"/>
  <c r="BV149" i="10"/>
  <c r="BV148" i="10"/>
  <c r="BF164" i="10"/>
  <c r="BF171" i="10" s="1"/>
  <c r="BF244" i="8"/>
  <c r="BF241" i="8"/>
  <c r="BF243" i="8"/>
  <c r="BF161" i="10"/>
  <c r="BF168" i="10" s="1"/>
  <c r="BF163" i="10"/>
  <c r="BF170" i="10" s="1"/>
  <c r="BF242" i="8"/>
  <c r="BF162" i="10"/>
  <c r="BF169" i="10" s="1"/>
  <c r="BF149" i="10"/>
  <c r="BF146" i="10"/>
  <c r="BF147" i="10"/>
  <c r="BF148" i="10"/>
  <c r="AY164" i="10"/>
  <c r="AY171" i="10" s="1"/>
  <c r="AY243" i="8"/>
  <c r="AY244" i="8"/>
  <c r="AY241" i="8"/>
  <c r="AY161" i="10"/>
  <c r="AY168" i="10" s="1"/>
  <c r="AY163" i="10"/>
  <c r="AY170" i="10" s="1"/>
  <c r="AY242" i="8"/>
  <c r="AY162" i="10"/>
  <c r="AY169" i="10" s="1"/>
  <c r="AY147" i="10"/>
  <c r="AY149" i="10"/>
  <c r="AY146" i="10"/>
  <c r="AY148" i="10"/>
  <c r="AX164" i="10"/>
  <c r="AX171" i="10" s="1"/>
  <c r="AX163" i="10"/>
  <c r="AX170" i="10" s="1"/>
  <c r="AX243" i="8"/>
  <c r="AX244" i="8"/>
  <c r="AX161" i="10"/>
  <c r="AX168" i="10" s="1"/>
  <c r="AX241" i="8"/>
  <c r="AX162" i="10"/>
  <c r="AX169" i="10" s="1"/>
  <c r="AX242" i="8"/>
  <c r="AX147" i="10"/>
  <c r="AX149" i="10"/>
  <c r="AX146" i="10"/>
  <c r="AX148" i="10"/>
  <c r="AT164" i="10"/>
  <c r="AT171" i="10" s="1"/>
  <c r="AT243" i="8"/>
  <c r="AT241" i="8"/>
  <c r="AT244" i="8"/>
  <c r="AT161" i="10"/>
  <c r="AT168" i="10" s="1"/>
  <c r="AT163" i="10"/>
  <c r="AT170" i="10" s="1"/>
  <c r="AT162" i="10"/>
  <c r="AT169" i="10" s="1"/>
  <c r="AT242" i="8"/>
  <c r="AT148" i="10"/>
  <c r="AT147" i="10"/>
  <c r="AT149" i="10"/>
  <c r="AT146" i="10"/>
  <c r="AH163" i="10"/>
  <c r="AH170" i="10" s="1"/>
  <c r="AH241" i="8"/>
  <c r="AH161" i="10"/>
  <c r="AH168" i="10" s="1"/>
  <c r="AH244" i="8"/>
  <c r="AH243" i="8"/>
  <c r="AH164" i="10"/>
  <c r="AH171" i="10" s="1"/>
  <c r="AH162" i="10"/>
  <c r="AH169" i="10" s="1"/>
  <c r="AH242" i="8"/>
  <c r="AH147" i="10"/>
  <c r="AH148" i="10"/>
  <c r="AH149" i="10"/>
  <c r="AH146" i="10"/>
  <c r="AE161" i="10"/>
  <c r="AE168" i="10" s="1"/>
  <c r="AE163" i="10"/>
  <c r="AE170" i="10" s="1"/>
  <c r="AE243" i="8"/>
  <c r="AE244" i="8"/>
  <c r="AE164" i="10"/>
  <c r="AE171" i="10" s="1"/>
  <c r="AE241" i="8"/>
  <c r="AE162" i="10"/>
  <c r="AE169" i="10" s="1"/>
  <c r="AE242" i="8"/>
  <c r="AE149" i="10"/>
  <c r="AE147" i="10"/>
  <c r="AE146" i="10"/>
  <c r="AE148" i="10"/>
  <c r="Z241" i="8"/>
  <c r="Z244" i="8"/>
  <c r="Z243" i="8"/>
  <c r="Z164" i="10"/>
  <c r="Z171" i="10" s="1"/>
  <c r="Z163" i="10"/>
  <c r="Z170" i="10" s="1"/>
  <c r="Z161" i="10"/>
  <c r="Z168" i="10" s="1"/>
  <c r="Z242" i="8"/>
  <c r="Z162" i="10"/>
  <c r="Z169" i="10" s="1"/>
  <c r="Z146" i="10"/>
  <c r="Z149" i="10"/>
  <c r="Z148" i="10"/>
  <c r="Z147" i="10"/>
  <c r="X176" i="10"/>
  <c r="T176" i="10"/>
  <c r="W176" i="10"/>
  <c r="V176" i="10"/>
  <c r="U176" i="10"/>
  <c r="AA178" i="10"/>
  <c r="Z178" i="10"/>
  <c r="AC178" i="10"/>
  <c r="Y178" i="10"/>
  <c r="AB178" i="10"/>
  <c r="L178" i="10"/>
  <c r="N178" i="10"/>
  <c r="K178" i="10"/>
  <c r="M178" i="10"/>
  <c r="J178" i="10"/>
  <c r="J179" i="10"/>
  <c r="L179" i="10"/>
  <c r="N179" i="10"/>
  <c r="K179" i="10"/>
  <c r="M179" i="10"/>
  <c r="Q177" i="10"/>
  <c r="S177" i="10"/>
  <c r="P177" i="10"/>
  <c r="R177" i="10"/>
  <c r="O177" i="10"/>
  <c r="AG176" i="10"/>
  <c r="AF176" i="10"/>
  <c r="AE176" i="10"/>
  <c r="AD176" i="10"/>
  <c r="AH176" i="10"/>
  <c r="U180" i="10"/>
  <c r="W180" i="10"/>
  <c r="X180" i="10"/>
  <c r="V180" i="10"/>
  <c r="T180" i="10"/>
  <c r="R176" i="10"/>
  <c r="P176" i="10"/>
  <c r="O176" i="10"/>
  <c r="S176" i="10"/>
  <c r="Q176" i="10"/>
  <c r="W178" i="10"/>
  <c r="X178" i="10"/>
  <c r="V178" i="10"/>
  <c r="T178" i="10"/>
  <c r="U178" i="10"/>
  <c r="U177" i="10"/>
  <c r="T177" i="10"/>
  <c r="W177" i="10"/>
  <c r="V177" i="10"/>
  <c r="X177" i="10"/>
  <c r="BI164" i="10"/>
  <c r="BI171" i="10" s="1"/>
  <c r="BI243" i="8"/>
  <c r="BI163" i="10"/>
  <c r="BI170" i="10" s="1"/>
  <c r="BI241" i="8"/>
  <c r="BI161" i="10"/>
  <c r="BI168" i="10" s="1"/>
  <c r="BI244" i="8"/>
  <c r="BI242" i="8"/>
  <c r="BI162" i="10"/>
  <c r="BI169" i="10" s="1"/>
  <c r="BI147" i="10"/>
  <c r="BI149" i="10"/>
  <c r="BI146" i="10"/>
  <c r="BI148" i="10"/>
  <c r="Q243" i="8"/>
  <c r="Q244" i="8"/>
  <c r="Q241" i="8"/>
  <c r="Q242" i="8"/>
  <c r="Q162" i="10"/>
  <c r="Q169" i="10" s="1"/>
  <c r="Q149" i="10"/>
  <c r="Q147" i="10"/>
  <c r="Q163" i="10"/>
  <c r="Q170" i="10" s="1"/>
  <c r="Q161" i="10"/>
  <c r="Q168" i="10" s="1"/>
  <c r="Q164" i="10"/>
  <c r="Q171" i="10" s="1"/>
  <c r="Q148" i="10"/>
  <c r="Q146" i="10"/>
  <c r="O244" i="8"/>
  <c r="O241" i="8"/>
  <c r="O243" i="8"/>
  <c r="O161" i="10"/>
  <c r="O168" i="10" s="1"/>
  <c r="O162" i="10"/>
  <c r="O169" i="10" s="1"/>
  <c r="O242" i="8"/>
  <c r="O148" i="10"/>
  <c r="O146" i="10"/>
  <c r="O147" i="10"/>
  <c r="O163" i="10"/>
  <c r="O170" i="10" s="1"/>
  <c r="O164" i="10"/>
  <c r="O171" i="10" s="1"/>
  <c r="O149" i="10"/>
  <c r="K161" i="10"/>
  <c r="K168" i="10" s="1"/>
  <c r="K243" i="8"/>
  <c r="K241" i="8"/>
  <c r="K244" i="8"/>
  <c r="K242" i="8"/>
  <c r="K162" i="10"/>
  <c r="K169" i="10" s="1"/>
  <c r="K149" i="10"/>
  <c r="K163" i="10"/>
  <c r="K170" i="10" s="1"/>
  <c r="K147" i="10"/>
  <c r="K164" i="10"/>
  <c r="K171" i="10" s="1"/>
  <c r="K148" i="10"/>
  <c r="K146" i="10"/>
  <c r="J244" i="8"/>
  <c r="J243" i="8"/>
  <c r="J241" i="8"/>
  <c r="J242" i="8"/>
  <c r="J147" i="10"/>
  <c r="J146" i="10"/>
  <c r="J164" i="10"/>
  <c r="J171" i="10" s="1"/>
  <c r="J161" i="10"/>
  <c r="J168" i="10" s="1"/>
  <c r="J163" i="10"/>
  <c r="J170" i="10" s="1"/>
  <c r="J162" i="10"/>
  <c r="J169" i="10" s="1"/>
  <c r="J149" i="10"/>
  <c r="J148" i="10"/>
  <c r="AE182" i="10"/>
  <c r="AD182" i="10"/>
  <c r="AF182" i="10"/>
  <c r="AH182" i="10"/>
  <c r="AG182" i="10"/>
  <c r="AD178" i="10"/>
  <c r="AG178" i="10"/>
  <c r="AE178" i="10"/>
  <c r="AF178" i="10"/>
  <c r="CC163" i="10"/>
  <c r="CC170" i="10" s="1"/>
  <c r="CC164" i="10"/>
  <c r="CC171" i="10" s="1"/>
  <c r="CC162" i="10"/>
  <c r="CC169" i="10" s="1"/>
  <c r="CC244" i="8"/>
  <c r="CC161" i="10"/>
  <c r="CC168" i="10" s="1"/>
  <c r="CC243" i="8"/>
  <c r="CC241" i="8"/>
  <c r="CC242" i="8"/>
  <c r="CC149" i="10"/>
  <c r="CC148" i="10"/>
  <c r="CC147" i="10"/>
  <c r="CC146" i="10"/>
  <c r="BU243" i="8"/>
  <c r="BU164" i="10"/>
  <c r="BU171" i="10" s="1"/>
  <c r="BU161" i="10"/>
  <c r="BU168" i="10" s="1"/>
  <c r="BU244" i="8"/>
  <c r="BU163" i="10"/>
  <c r="BU170" i="10" s="1"/>
  <c r="BU241" i="8"/>
  <c r="BU242" i="8"/>
  <c r="BU162" i="10"/>
  <c r="BU169" i="10" s="1"/>
  <c r="BU146" i="10"/>
  <c r="BU149" i="10"/>
  <c r="BU147" i="10"/>
  <c r="BU148" i="10"/>
  <c r="BE164" i="10"/>
  <c r="BE171" i="10" s="1"/>
  <c r="BE241" i="8"/>
  <c r="BE163" i="10"/>
  <c r="BE170" i="10" s="1"/>
  <c r="BE243" i="8"/>
  <c r="BE161" i="10"/>
  <c r="BE168" i="10" s="1"/>
  <c r="BE244" i="8"/>
  <c r="BE242" i="8"/>
  <c r="BE162" i="10"/>
  <c r="BE169" i="10" s="1"/>
  <c r="BE147" i="10"/>
  <c r="BE149" i="10"/>
  <c r="BE146" i="10"/>
  <c r="BE148" i="10"/>
  <c r="AK161" i="10"/>
  <c r="AK168" i="10" s="1"/>
  <c r="AK163" i="10"/>
  <c r="AK170" i="10" s="1"/>
  <c r="AK243" i="8"/>
  <c r="AK241" i="8"/>
  <c r="AK164" i="10"/>
  <c r="AK171" i="10" s="1"/>
  <c r="AK244" i="8"/>
  <c r="AK242" i="8"/>
  <c r="AK162" i="10"/>
  <c r="AK169" i="10" s="1"/>
  <c r="AK147" i="10"/>
  <c r="AK149" i="10"/>
  <c r="AK146" i="10"/>
  <c r="AK148" i="10"/>
  <c r="AJ244" i="8"/>
  <c r="AJ163" i="10"/>
  <c r="AJ170" i="10" s="1"/>
  <c r="AJ241" i="8"/>
  <c r="AJ164" i="10"/>
  <c r="AJ171" i="10" s="1"/>
  <c r="AJ161" i="10"/>
  <c r="AJ168" i="10" s="1"/>
  <c r="AJ243" i="8"/>
  <c r="AJ242" i="8"/>
  <c r="AJ162" i="10"/>
  <c r="AJ169" i="10" s="1"/>
  <c r="AJ146" i="10"/>
  <c r="AJ148" i="10"/>
  <c r="AJ149" i="10"/>
  <c r="AJ147" i="10"/>
  <c r="M244" i="8"/>
  <c r="M241" i="8"/>
  <c r="M243" i="8"/>
  <c r="M242" i="8"/>
  <c r="M162" i="10"/>
  <c r="M169" i="10" s="1"/>
  <c r="M148" i="10"/>
  <c r="M146" i="10"/>
  <c r="M149" i="10"/>
  <c r="M147" i="10"/>
  <c r="M163" i="10"/>
  <c r="M170" i="10" s="1"/>
  <c r="M161" i="10"/>
  <c r="M168" i="10" s="1"/>
  <c r="M164" i="10"/>
  <c r="M171" i="10" s="1"/>
  <c r="K182" i="10"/>
  <c r="M182" i="10"/>
  <c r="L182" i="10"/>
  <c r="N182" i="10"/>
  <c r="J182" i="10"/>
  <c r="AB182" i="10"/>
  <c r="Z182" i="10"/>
  <c r="Y182" i="10"/>
  <c r="AC182" i="10"/>
  <c r="AA182" i="10"/>
  <c r="AF179" i="10"/>
  <c r="AG179" i="10"/>
  <c r="AD179" i="10"/>
  <c r="AE179" i="10"/>
  <c r="AD55" i="10"/>
  <c r="S55" i="10"/>
  <c r="S62" i="10" s="1"/>
  <c r="AB55" i="10"/>
  <c r="AB62" i="10" s="1"/>
  <c r="T55" i="10"/>
  <c r="T62" i="10" s="1"/>
  <c r="U109" i="8"/>
  <c r="U116" i="8" s="1"/>
  <c r="U123" i="8" s="1"/>
  <c r="E109" i="8"/>
  <c r="E116" i="8" s="1"/>
  <c r="E123" i="8" s="1"/>
  <c r="T109" i="8"/>
  <c r="T116" i="8" s="1"/>
  <c r="T123" i="8" s="1"/>
  <c r="V55" i="10"/>
  <c r="V62" i="10" s="1"/>
  <c r="AA109" i="8"/>
  <c r="AA116" i="8" s="1"/>
  <c r="AA123" i="8" s="1"/>
  <c r="R109" i="8"/>
  <c r="R116" i="8" s="1"/>
  <c r="R123" i="8" s="1"/>
  <c r="K109" i="8"/>
  <c r="K116" i="8" s="1"/>
  <c r="K123" i="8" s="1"/>
  <c r="Z55" i="10"/>
  <c r="Z62" i="10" s="1"/>
  <c r="H55" i="10"/>
  <c r="H62" i="10" s="1"/>
  <c r="Z109" i="8"/>
  <c r="Z116" i="8" s="1"/>
  <c r="Z123" i="8" s="1"/>
  <c r="Q55" i="10"/>
  <c r="Q62" i="10" s="1"/>
  <c r="I55" i="10"/>
  <c r="I62" i="10" s="1"/>
  <c r="Q109" i="8"/>
  <c r="Q116" i="8" s="1"/>
  <c r="Q123" i="8" s="1"/>
  <c r="G109" i="8"/>
  <c r="G116" i="8" s="1"/>
  <c r="G123" i="8" s="1"/>
  <c r="L109" i="8"/>
  <c r="L116" i="8" s="1"/>
  <c r="L123" i="8" s="1"/>
  <c r="F55" i="10"/>
  <c r="F62" i="10" s="1"/>
  <c r="W109" i="8"/>
  <c r="W116" i="8" s="1"/>
  <c r="W123" i="8" s="1"/>
  <c r="P55" i="10"/>
  <c r="P62" i="10" s="1"/>
  <c r="F109" i="8"/>
  <c r="F116" i="8" s="1"/>
  <c r="F123" i="8" s="1"/>
  <c r="AB109" i="8"/>
  <c r="AB116" i="8" s="1"/>
  <c r="AB123" i="8" s="1"/>
  <c r="G55" i="10"/>
  <c r="G62" i="10" s="1"/>
  <c r="W55" i="10"/>
  <c r="W62" i="10" s="1"/>
  <c r="Y55" i="10"/>
  <c r="Y62" i="10" s="1"/>
  <c r="L55" i="10"/>
  <c r="L62" i="10" s="1"/>
  <c r="V109" i="8"/>
  <c r="V116" i="8" s="1"/>
  <c r="V123" i="8" s="1"/>
  <c r="M55" i="10"/>
  <c r="M62" i="10" s="1"/>
  <c r="M109" i="8"/>
  <c r="M116" i="8" s="1"/>
  <c r="M123" i="8" s="1"/>
  <c r="K55" i="10"/>
  <c r="K62" i="10" s="1"/>
  <c r="I109" i="8"/>
  <c r="I116" i="8" s="1"/>
  <c r="I123" i="8" s="1"/>
  <c r="S109" i="8"/>
  <c r="S116" i="8" s="1"/>
  <c r="S123" i="8" s="1"/>
  <c r="O55" i="10"/>
  <c r="O62" i="10" s="1"/>
  <c r="H109" i="8"/>
  <c r="H116" i="8" s="1"/>
  <c r="H123" i="8" s="1"/>
  <c r="AC55" i="10"/>
  <c r="AC62" i="10" s="1"/>
  <c r="AC109" i="8"/>
  <c r="AC116" i="8" s="1"/>
  <c r="AC123" i="8" s="1"/>
  <c r="N109" i="8"/>
  <c r="N116" i="8" s="1"/>
  <c r="N123" i="8" s="1"/>
  <c r="E55" i="10"/>
  <c r="E62" i="10" s="1"/>
  <c r="X109" i="8"/>
  <c r="X116" i="8" s="1"/>
  <c r="X123" i="8" s="1"/>
  <c r="R55" i="10"/>
  <c r="R62" i="10" s="1"/>
  <c r="X55" i="10"/>
  <c r="X62" i="10" s="1"/>
  <c r="AD109" i="8"/>
  <c r="O109" i="8"/>
  <c r="O116" i="8" s="1"/>
  <c r="O123" i="8" s="1"/>
  <c r="U55" i="10"/>
  <c r="U62" i="10" s="1"/>
  <c r="N55" i="10"/>
  <c r="N62" i="10" s="1"/>
  <c r="P109" i="8"/>
  <c r="P116" i="8" s="1"/>
  <c r="P123" i="8" s="1"/>
  <c r="J55" i="10"/>
  <c r="J62" i="10" s="1"/>
  <c r="Y109" i="8"/>
  <c r="Y116" i="8" s="1"/>
  <c r="Y123" i="8" s="1"/>
  <c r="J109" i="8"/>
  <c r="J116" i="8" s="1"/>
  <c r="J123" i="8" s="1"/>
  <c r="AA55" i="10"/>
  <c r="AA62" i="10" s="1"/>
  <c r="AC177" i="10"/>
  <c r="AB177" i="10"/>
  <c r="AA177" i="10"/>
  <c r="Z177" i="10"/>
  <c r="Y177" i="10"/>
  <c r="K177" i="10"/>
  <c r="M177" i="10"/>
  <c r="J177" i="10"/>
  <c r="L177" i="10"/>
  <c r="N177" i="10"/>
  <c r="N180" i="10"/>
  <c r="L180" i="10"/>
  <c r="K180" i="10"/>
  <c r="J180" i="10"/>
  <c r="M180" i="10"/>
  <c r="AA180" i="10"/>
  <c r="AC180" i="10"/>
  <c r="Y180" i="10"/>
  <c r="AB180" i="10"/>
  <c r="Z180" i="10"/>
  <c r="CB163" i="10"/>
  <c r="CB170" i="10" s="1"/>
  <c r="CB164" i="10"/>
  <c r="CB171" i="10" s="1"/>
  <c r="CB241" i="8"/>
  <c r="CB161" i="10"/>
  <c r="CB168" i="10" s="1"/>
  <c r="CB244" i="8"/>
  <c r="CB243" i="8"/>
  <c r="CB162" i="10"/>
  <c r="CB169" i="10" s="1"/>
  <c r="CB242" i="8"/>
  <c r="CB148" i="10"/>
  <c r="CB146" i="10"/>
  <c r="CB147" i="10"/>
  <c r="CB149" i="10"/>
  <c r="BY164" i="10"/>
  <c r="BY171" i="10" s="1"/>
  <c r="BY163" i="10"/>
  <c r="BY170" i="10" s="1"/>
  <c r="BY243" i="8"/>
  <c r="BY244" i="8"/>
  <c r="BY161" i="10"/>
  <c r="BY168" i="10" s="1"/>
  <c r="BY241" i="8"/>
  <c r="BY242" i="8"/>
  <c r="BY162" i="10"/>
  <c r="BY169" i="10" s="1"/>
  <c r="BY146" i="10"/>
  <c r="BY149" i="10"/>
  <c r="BY147" i="10"/>
  <c r="BY148" i="10"/>
  <c r="BX164" i="10"/>
  <c r="BX171" i="10" s="1"/>
  <c r="BX161" i="10"/>
  <c r="BX168" i="10" s="1"/>
  <c r="BX163" i="10"/>
  <c r="BX170" i="10" s="1"/>
  <c r="BX241" i="8"/>
  <c r="BX243" i="8"/>
  <c r="BX244" i="8"/>
  <c r="BX242" i="8"/>
  <c r="BX162" i="10"/>
  <c r="BX169" i="10" s="1"/>
  <c r="BX149" i="10"/>
  <c r="BX146" i="10"/>
  <c r="BX148" i="10"/>
  <c r="BX147" i="10"/>
  <c r="BT163" i="10"/>
  <c r="BT170" i="10" s="1"/>
  <c r="BT161" i="10"/>
  <c r="BT168" i="10" s="1"/>
  <c r="BT243" i="8"/>
  <c r="BT244" i="8"/>
  <c r="BT164" i="10"/>
  <c r="BT171" i="10" s="1"/>
  <c r="BT241" i="8"/>
  <c r="BT242" i="8"/>
  <c r="BT162" i="10"/>
  <c r="BT169" i="10" s="1"/>
  <c r="BT149" i="10"/>
  <c r="BT147" i="10"/>
  <c r="BT146" i="10"/>
  <c r="BT148" i="10"/>
  <c r="BQ164" i="10"/>
  <c r="BQ171" i="10" s="1"/>
  <c r="BQ244" i="8"/>
  <c r="BQ243" i="8"/>
  <c r="BQ161" i="10"/>
  <c r="BQ168" i="10" s="1"/>
  <c r="BQ163" i="10"/>
  <c r="BQ170" i="10" s="1"/>
  <c r="BQ241" i="8"/>
  <c r="BQ242" i="8"/>
  <c r="BQ162" i="10"/>
  <c r="BQ169" i="10" s="1"/>
  <c r="BQ147" i="10"/>
  <c r="BQ146" i="10"/>
  <c r="BQ149" i="10"/>
  <c r="BQ148" i="10"/>
  <c r="BM163" i="10"/>
  <c r="BM170" i="10" s="1"/>
  <c r="BM241" i="8"/>
  <c r="BM161" i="10"/>
  <c r="BM168" i="10" s="1"/>
  <c r="BM164" i="10"/>
  <c r="BM171" i="10" s="1"/>
  <c r="BM243" i="8"/>
  <c r="BM244" i="8"/>
  <c r="BM162" i="10"/>
  <c r="BM169" i="10" s="1"/>
  <c r="BM242" i="8"/>
  <c r="BM147" i="10"/>
  <c r="BM146" i="10"/>
  <c r="BM148" i="10"/>
  <c r="BM149" i="10"/>
  <c r="BL163" i="10"/>
  <c r="BL170" i="10" s="1"/>
  <c r="BL164" i="10"/>
  <c r="BL171" i="10" s="1"/>
  <c r="BL241" i="8"/>
  <c r="BL244" i="8"/>
  <c r="BL161" i="10"/>
  <c r="BL168" i="10" s="1"/>
  <c r="BL243" i="8"/>
  <c r="BL242" i="8"/>
  <c r="BL162" i="10"/>
  <c r="BL169" i="10" s="1"/>
  <c r="BL149" i="10"/>
  <c r="BL148" i="10"/>
  <c r="BL146" i="10"/>
  <c r="BL147" i="10"/>
  <c r="BD244" i="8"/>
  <c r="BD163" i="10"/>
  <c r="BD170" i="10" s="1"/>
  <c r="BD243" i="8"/>
  <c r="BD161" i="10"/>
  <c r="BD168" i="10" s="1"/>
  <c r="BD241" i="8"/>
  <c r="BD164" i="10"/>
  <c r="BD171" i="10" s="1"/>
  <c r="BD162" i="10"/>
  <c r="BD169" i="10" s="1"/>
  <c r="BD242" i="8"/>
  <c r="BD147" i="10"/>
  <c r="BD149" i="10"/>
  <c r="BD148" i="10"/>
  <c r="BD146" i="10"/>
  <c r="BA164" i="10"/>
  <c r="BA171" i="10" s="1"/>
  <c r="BA161" i="10"/>
  <c r="BA168" i="10" s="1"/>
  <c r="BA241" i="8"/>
  <c r="BA244" i="8"/>
  <c r="BA243" i="8"/>
  <c r="BA163" i="10"/>
  <c r="BA170" i="10" s="1"/>
  <c r="BA162" i="10"/>
  <c r="BA169" i="10" s="1"/>
  <c r="BA242" i="8"/>
  <c r="BA146" i="10"/>
  <c r="BA147" i="10"/>
  <c r="BA149" i="10"/>
  <c r="BA148" i="10"/>
  <c r="AZ161" i="10"/>
  <c r="AZ168" i="10" s="1"/>
  <c r="AZ164" i="10"/>
  <c r="AZ171" i="10" s="1"/>
  <c r="AZ241" i="8"/>
  <c r="AZ243" i="8"/>
  <c r="AZ244" i="8"/>
  <c r="AZ163" i="10"/>
  <c r="AZ170" i="10" s="1"/>
  <c r="AZ242" i="8"/>
  <c r="AZ162" i="10"/>
  <c r="AZ169" i="10" s="1"/>
  <c r="AZ149" i="10"/>
  <c r="AZ147" i="10"/>
  <c r="AZ148" i="10"/>
  <c r="AZ146" i="10"/>
  <c r="AS164" i="10"/>
  <c r="AS171" i="10" s="1"/>
  <c r="AS243" i="8"/>
  <c r="AS163" i="10"/>
  <c r="AS170" i="10" s="1"/>
  <c r="AS244" i="8"/>
  <c r="AS161" i="10"/>
  <c r="AS168" i="10" s="1"/>
  <c r="AS241" i="8"/>
  <c r="AS162" i="10"/>
  <c r="AS169" i="10" s="1"/>
  <c r="AS242" i="8"/>
  <c r="AS148" i="10"/>
  <c r="AS149" i="10"/>
  <c r="AS147" i="10"/>
  <c r="AS146" i="10"/>
  <c r="AO164" i="10"/>
  <c r="AO171" i="10" s="1"/>
  <c r="AO161" i="10"/>
  <c r="AO168" i="10" s="1"/>
  <c r="AO243" i="8"/>
  <c r="AO241" i="8"/>
  <c r="AO244" i="8"/>
  <c r="AO163" i="10"/>
  <c r="AO170" i="10" s="1"/>
  <c r="AO242" i="8"/>
  <c r="AO162" i="10"/>
  <c r="AO169" i="10" s="1"/>
  <c r="AO146" i="10"/>
  <c r="AO149" i="10"/>
  <c r="AO148" i="10"/>
  <c r="AO147" i="10"/>
  <c r="AN161" i="10"/>
  <c r="AN168" i="10" s="1"/>
  <c r="AN243" i="8"/>
  <c r="AN244" i="8"/>
  <c r="AN241" i="8"/>
  <c r="AN164" i="10"/>
  <c r="AN171" i="10" s="1"/>
  <c r="AN163" i="10"/>
  <c r="AN170" i="10" s="1"/>
  <c r="AN162" i="10"/>
  <c r="AN169" i="10" s="1"/>
  <c r="AN242" i="8"/>
  <c r="AN146" i="10"/>
  <c r="AN148" i="10"/>
  <c r="AN149" i="10"/>
  <c r="AN147" i="10"/>
  <c r="AB243" i="8"/>
  <c r="AB164" i="10"/>
  <c r="AB171" i="10" s="1"/>
  <c r="AB163" i="10"/>
  <c r="AB170" i="10" s="1"/>
  <c r="AB244" i="8"/>
  <c r="AB241" i="8"/>
  <c r="AB161" i="10"/>
  <c r="AB168" i="10" s="1"/>
  <c r="AB162" i="10"/>
  <c r="AB169" i="10" s="1"/>
  <c r="AB242" i="8"/>
  <c r="AB149" i="10"/>
  <c r="AB148" i="10"/>
  <c r="AB147" i="10"/>
  <c r="AB146" i="10"/>
  <c r="L161" i="10"/>
  <c r="L168" i="10" s="1"/>
  <c r="L243" i="8"/>
  <c r="L241" i="8"/>
  <c r="L244" i="8"/>
  <c r="L242" i="8"/>
  <c r="L146" i="10"/>
  <c r="L147" i="10"/>
  <c r="L164" i="10"/>
  <c r="L171" i="10" s="1"/>
  <c r="L148" i="10"/>
  <c r="L162" i="10"/>
  <c r="L169" i="10" s="1"/>
  <c r="L149" i="10"/>
  <c r="L163" i="10"/>
  <c r="L170" i="10" s="1"/>
  <c r="N176" i="10"/>
  <c r="K176" i="10"/>
  <c r="J176" i="10"/>
  <c r="M176" i="10"/>
  <c r="L176" i="10"/>
  <c r="AG177" i="10"/>
  <c r="AF177" i="10"/>
  <c r="AD177" i="10"/>
  <c r="AE177" i="10"/>
  <c r="AA179" i="10"/>
  <c r="Y179" i="10"/>
  <c r="AB179" i="10"/>
  <c r="Z179" i="10"/>
  <c r="AC179" i="10"/>
  <c r="E244" i="8"/>
  <c r="E242" i="8"/>
  <c r="E147" i="10"/>
  <c r="E243" i="8"/>
  <c r="E149" i="10"/>
  <c r="E241" i="8"/>
  <c r="E146" i="10"/>
  <c r="E148" i="10"/>
  <c r="E163" i="10"/>
  <c r="E170" i="10" s="1"/>
  <c r="E164" i="10"/>
  <c r="E171" i="10" s="1"/>
  <c r="E162" i="10"/>
  <c r="E169" i="10" s="1"/>
  <c r="E161" i="10"/>
  <c r="E168" i="10" s="1"/>
  <c r="L54" i="10"/>
  <c r="L61" i="10" s="1"/>
  <c r="AC54" i="10"/>
  <c r="AC61" i="10" s="1"/>
  <c r="F54" i="10"/>
  <c r="F61" i="10" s="1"/>
  <c r="S108" i="8"/>
  <c r="S115" i="8" s="1"/>
  <c r="S122" i="8" s="1"/>
  <c r="R108" i="8"/>
  <c r="R115" i="8" s="1"/>
  <c r="R122" i="8" s="1"/>
  <c r="T108" i="8"/>
  <c r="T115" i="8" s="1"/>
  <c r="T122" i="8" s="1"/>
  <c r="H54" i="10"/>
  <c r="H61" i="10" s="1"/>
  <c r="Y54" i="10"/>
  <c r="Y61" i="10" s="1"/>
  <c r="O108" i="8"/>
  <c r="O115" i="8" s="1"/>
  <c r="O122" i="8" s="1"/>
  <c r="N108" i="8"/>
  <c r="N115" i="8" s="1"/>
  <c r="N122" i="8" s="1"/>
  <c r="J108" i="8"/>
  <c r="J115" i="8" s="1"/>
  <c r="J122" i="8" s="1"/>
  <c r="R54" i="10"/>
  <c r="R61" i="10" s="1"/>
  <c r="P108" i="8"/>
  <c r="P115" i="8" s="1"/>
  <c r="P122" i="8" s="1"/>
  <c r="AA54" i="10"/>
  <c r="AA61" i="10" s="1"/>
  <c r="U54" i="10"/>
  <c r="U61" i="10" s="1"/>
  <c r="AD54" i="10"/>
  <c r="K108" i="8"/>
  <c r="K115" i="8" s="1"/>
  <c r="K122" i="8" s="1"/>
  <c r="L108" i="8"/>
  <c r="L115" i="8" s="1"/>
  <c r="L122" i="8" s="1"/>
  <c r="W54" i="10"/>
  <c r="W61" i="10" s="1"/>
  <c r="Q54" i="10"/>
  <c r="Q61" i="10" s="1"/>
  <c r="N54" i="10"/>
  <c r="N61" i="10" s="1"/>
  <c r="G108" i="8"/>
  <c r="G115" i="8" s="1"/>
  <c r="G122" i="8" s="1"/>
  <c r="F108" i="8"/>
  <c r="F115" i="8" s="1"/>
  <c r="F122" i="8" s="1"/>
  <c r="M108" i="8"/>
  <c r="M115" i="8" s="1"/>
  <c r="M122" i="8" s="1"/>
  <c r="H108" i="8"/>
  <c r="H115" i="8" s="1"/>
  <c r="H122" i="8" s="1"/>
  <c r="K54" i="10"/>
  <c r="K61" i="10" s="1"/>
  <c r="AB108" i="8"/>
  <c r="AB115" i="8" s="1"/>
  <c r="AB122" i="8" s="1"/>
  <c r="AB54" i="10"/>
  <c r="AB61" i="10" s="1"/>
  <c r="S54" i="10"/>
  <c r="S61" i="10" s="1"/>
  <c r="M54" i="10"/>
  <c r="M61" i="10" s="1"/>
  <c r="Z54" i="10"/>
  <c r="Z61" i="10" s="1"/>
  <c r="U108" i="8"/>
  <c r="U115" i="8" s="1"/>
  <c r="U122" i="8" s="1"/>
  <c r="AC108" i="8"/>
  <c r="AC115" i="8" s="1"/>
  <c r="AC122" i="8" s="1"/>
  <c r="Y108" i="8"/>
  <c r="Y115" i="8" s="1"/>
  <c r="Y122" i="8" s="1"/>
  <c r="I108" i="8"/>
  <c r="I115" i="8" s="1"/>
  <c r="I122" i="8" s="1"/>
  <c r="X54" i="10"/>
  <c r="X61" i="10" s="1"/>
  <c r="O54" i="10"/>
  <c r="O61" i="10" s="1"/>
  <c r="I54" i="10"/>
  <c r="I61" i="10" s="1"/>
  <c r="J54" i="10"/>
  <c r="J61" i="10" s="1"/>
  <c r="AD108" i="8"/>
  <c r="Q108" i="8"/>
  <c r="Q115" i="8" s="1"/>
  <c r="Q122" i="8" s="1"/>
  <c r="T54" i="10"/>
  <c r="T61" i="10" s="1"/>
  <c r="E54" i="10"/>
  <c r="E61" i="10" s="1"/>
  <c r="Z108" i="8"/>
  <c r="Z115" i="8" s="1"/>
  <c r="Z122" i="8" s="1"/>
  <c r="P54" i="10"/>
  <c r="P61" i="10" s="1"/>
  <c r="G54" i="10"/>
  <c r="G61" i="10" s="1"/>
  <c r="V54" i="10"/>
  <c r="V61" i="10" s="1"/>
  <c r="W108" i="8"/>
  <c r="W115" i="8" s="1"/>
  <c r="W122" i="8" s="1"/>
  <c r="V108" i="8"/>
  <c r="V115" i="8" s="1"/>
  <c r="V122" i="8" s="1"/>
  <c r="X108" i="8"/>
  <c r="X115" i="8" s="1"/>
  <c r="X122" i="8" s="1"/>
  <c r="E108" i="8"/>
  <c r="E115" i="8" s="1"/>
  <c r="E122" i="8" s="1"/>
  <c r="AA108" i="8"/>
  <c r="AA115" i="8" s="1"/>
  <c r="AA122" i="8" s="1"/>
  <c r="BP244" i="8"/>
  <c r="BP243" i="8"/>
  <c r="BP241" i="8"/>
  <c r="BP163" i="10"/>
  <c r="BP170" i="10" s="1"/>
  <c r="BP164" i="10"/>
  <c r="BP171" i="10" s="1"/>
  <c r="BP161" i="10"/>
  <c r="BP168" i="10" s="1"/>
  <c r="BP162" i="10"/>
  <c r="BP169" i="10" s="1"/>
  <c r="BP242" i="8"/>
  <c r="BP149" i="10"/>
  <c r="BP148" i="10"/>
  <c r="BP146" i="10"/>
  <c r="BP147" i="10"/>
  <c r="BH241" i="8"/>
  <c r="BH161" i="10"/>
  <c r="BH168" i="10" s="1"/>
  <c r="BH164" i="10"/>
  <c r="BH171" i="10" s="1"/>
  <c r="BH244" i="8"/>
  <c r="BH243" i="8"/>
  <c r="BH163" i="10"/>
  <c r="BH170" i="10" s="1"/>
  <c r="BH162" i="10"/>
  <c r="BH169" i="10" s="1"/>
  <c r="BH242" i="8"/>
  <c r="BH146" i="10"/>
  <c r="BH147" i="10"/>
  <c r="BH148" i="10"/>
  <c r="BH149" i="10"/>
  <c r="AW241" i="8"/>
  <c r="AW243" i="8"/>
  <c r="AW161" i="10"/>
  <c r="AW168" i="10" s="1"/>
  <c r="AW244" i="8"/>
  <c r="AW164" i="10"/>
  <c r="AW171" i="10" s="1"/>
  <c r="AW163" i="10"/>
  <c r="AW170" i="10" s="1"/>
  <c r="AW242" i="8"/>
  <c r="AW162" i="10"/>
  <c r="AW169" i="10" s="1"/>
  <c r="AW149" i="10"/>
  <c r="AW146" i="10"/>
  <c r="AW148" i="10"/>
  <c r="AW147" i="10"/>
  <c r="AV163" i="10"/>
  <c r="AV170" i="10" s="1"/>
  <c r="AV164" i="10"/>
  <c r="AV171" i="10" s="1"/>
  <c r="AV244" i="8"/>
  <c r="AV243" i="8"/>
  <c r="AV161" i="10"/>
  <c r="AV168" i="10" s="1"/>
  <c r="AV241" i="8"/>
  <c r="AV242" i="8"/>
  <c r="AV162" i="10"/>
  <c r="AV169" i="10" s="1"/>
  <c r="AV147" i="10"/>
  <c r="AV149" i="10"/>
  <c r="AV148" i="10"/>
  <c r="AV146" i="10"/>
  <c r="AR243" i="8"/>
  <c r="AR164" i="10"/>
  <c r="AR171" i="10" s="1"/>
  <c r="AR244" i="8"/>
  <c r="AR161" i="10"/>
  <c r="AR168" i="10" s="1"/>
  <c r="AR163" i="10"/>
  <c r="AR170" i="10" s="1"/>
  <c r="AR241" i="8"/>
  <c r="AR242" i="8"/>
  <c r="AR162" i="10"/>
  <c r="AR169" i="10" s="1"/>
  <c r="AR149" i="10"/>
  <c r="AR148" i="10"/>
  <c r="AR147" i="10"/>
  <c r="AR146" i="10"/>
  <c r="AG243" i="8"/>
  <c r="AG241" i="8"/>
  <c r="AG163" i="10"/>
  <c r="AG170" i="10" s="1"/>
  <c r="AG244" i="8"/>
  <c r="AG164" i="10"/>
  <c r="AG171" i="10" s="1"/>
  <c r="AG161" i="10"/>
  <c r="AG168" i="10" s="1"/>
  <c r="AG242" i="8"/>
  <c r="AG162" i="10"/>
  <c r="AG169" i="10" s="1"/>
  <c r="AG147" i="10"/>
  <c r="AG146" i="10"/>
  <c r="AG148" i="10"/>
  <c r="AG149" i="10"/>
  <c r="AF244" i="8"/>
  <c r="AF161" i="10"/>
  <c r="AF168" i="10" s="1"/>
  <c r="AF243" i="8"/>
  <c r="AF163" i="10"/>
  <c r="AF170" i="10" s="1"/>
  <c r="AF241" i="8"/>
  <c r="AF164" i="10"/>
  <c r="AF171" i="10" s="1"/>
  <c r="AF162" i="10"/>
  <c r="AF169" i="10" s="1"/>
  <c r="AF242" i="8"/>
  <c r="AF149" i="10"/>
  <c r="AF146" i="10"/>
  <c r="AF148" i="10"/>
  <c r="AF147" i="10"/>
  <c r="T243" i="8"/>
  <c r="T163" i="10"/>
  <c r="T170" i="10" s="1"/>
  <c r="T241" i="8"/>
  <c r="T244" i="8"/>
  <c r="T161" i="10"/>
  <c r="T168" i="10" s="1"/>
  <c r="T164" i="10"/>
  <c r="T171" i="10" s="1"/>
  <c r="T162" i="10"/>
  <c r="T169" i="10" s="1"/>
  <c r="T242" i="8"/>
  <c r="T146" i="10"/>
  <c r="T148" i="10"/>
  <c r="T147" i="10"/>
  <c r="T149" i="10"/>
  <c r="R182" i="10"/>
  <c r="S182" i="10"/>
  <c r="P182" i="10"/>
  <c r="O182" i="10"/>
  <c r="Q182" i="10"/>
  <c r="N53" i="10"/>
  <c r="N60" i="10" s="1"/>
  <c r="P107" i="8"/>
  <c r="P114" i="8" s="1"/>
  <c r="P121" i="8" s="1"/>
  <c r="AB53" i="10"/>
  <c r="AB60" i="10" s="1"/>
  <c r="F53" i="10"/>
  <c r="F60" i="10" s="1"/>
  <c r="X53" i="10"/>
  <c r="X60" i="10" s="1"/>
  <c r="Z53" i="10"/>
  <c r="Z60" i="10" s="1"/>
  <c r="X107" i="8"/>
  <c r="X114" i="8" s="1"/>
  <c r="X121" i="8" s="1"/>
  <c r="U53" i="10"/>
  <c r="U60" i="10" s="1"/>
  <c r="W53" i="10"/>
  <c r="W60" i="10" s="1"/>
  <c r="Y53" i="10"/>
  <c r="Y60" i="10" s="1"/>
  <c r="K107" i="8"/>
  <c r="K114" i="8" s="1"/>
  <c r="K121" i="8" s="1"/>
  <c r="T53" i="10"/>
  <c r="T60" i="10" s="1"/>
  <c r="H107" i="8"/>
  <c r="H114" i="8" s="1"/>
  <c r="H121" i="8" s="1"/>
  <c r="Y107" i="8"/>
  <c r="Y114" i="8" s="1"/>
  <c r="Y121" i="8" s="1"/>
  <c r="V53" i="10"/>
  <c r="V60" i="10" s="1"/>
  <c r="Z107" i="8"/>
  <c r="Z114" i="8" s="1"/>
  <c r="Z121" i="8" s="1"/>
  <c r="H53" i="10"/>
  <c r="H60" i="10" s="1"/>
  <c r="U107" i="8"/>
  <c r="U114" i="8" s="1"/>
  <c r="U121" i="8" s="1"/>
  <c r="I53" i="10"/>
  <c r="I60" i="10" s="1"/>
  <c r="R107" i="8"/>
  <c r="R114" i="8" s="1"/>
  <c r="R121" i="8" s="1"/>
  <c r="Q107" i="8"/>
  <c r="Q114" i="8" s="1"/>
  <c r="Q121" i="8" s="1"/>
  <c r="J107" i="8"/>
  <c r="J114" i="8" s="1"/>
  <c r="J121" i="8" s="1"/>
  <c r="I107" i="8"/>
  <c r="I114" i="8" s="1"/>
  <c r="I121" i="8" s="1"/>
  <c r="Q53" i="10"/>
  <c r="Q60" i="10" s="1"/>
  <c r="S107" i="8"/>
  <c r="S114" i="8" s="1"/>
  <c r="S121" i="8" s="1"/>
  <c r="M53" i="10"/>
  <c r="M60" i="10" s="1"/>
  <c r="N107" i="8"/>
  <c r="N114" i="8" s="1"/>
  <c r="N121" i="8" s="1"/>
  <c r="S53" i="10"/>
  <c r="S60" i="10" s="1"/>
  <c r="E114" i="8"/>
  <c r="E121" i="8" s="1"/>
  <c r="AB107" i="8"/>
  <c r="AB114" i="8" s="1"/>
  <c r="AB121" i="8" s="1"/>
  <c r="R53" i="10"/>
  <c r="R60" i="10" s="1"/>
  <c r="T107" i="8"/>
  <c r="T114" i="8" s="1"/>
  <c r="T121" i="8" s="1"/>
  <c r="AA53" i="10"/>
  <c r="AA60" i="10" s="1"/>
  <c r="L107" i="8"/>
  <c r="L114" i="8" s="1"/>
  <c r="L121" i="8" s="1"/>
  <c r="AD107" i="8"/>
  <c r="E53" i="10"/>
  <c r="E60" i="10" s="1"/>
  <c r="P53" i="10"/>
  <c r="P60" i="10" s="1"/>
  <c r="J53" i="10"/>
  <c r="J60" i="10" s="1"/>
  <c r="AC53" i="10"/>
  <c r="AC60" i="10" s="1"/>
  <c r="W107" i="8"/>
  <c r="W114" i="8" s="1"/>
  <c r="W121" i="8" s="1"/>
  <c r="K53" i="10"/>
  <c r="K60" i="10" s="1"/>
  <c r="V107" i="8"/>
  <c r="V114" i="8" s="1"/>
  <c r="V121" i="8" s="1"/>
  <c r="AC107" i="8"/>
  <c r="AC114" i="8" s="1"/>
  <c r="AC121" i="8" s="1"/>
  <c r="L53" i="10"/>
  <c r="L60" i="10" s="1"/>
  <c r="F107" i="8"/>
  <c r="F114" i="8" s="1"/>
  <c r="F121" i="8" s="1"/>
  <c r="AD53" i="10"/>
  <c r="O107" i="8"/>
  <c r="O114" i="8" s="1"/>
  <c r="O121" i="8" s="1"/>
  <c r="O53" i="10"/>
  <c r="O60" i="10" s="1"/>
  <c r="AA107" i="8"/>
  <c r="AA114" i="8" s="1"/>
  <c r="AA121" i="8" s="1"/>
  <c r="G53" i="10"/>
  <c r="G60" i="10" s="1"/>
  <c r="G107" i="8"/>
  <c r="G114" i="8" s="1"/>
  <c r="G121" i="8" s="1"/>
  <c r="M107" i="8"/>
  <c r="M114" i="8" s="1"/>
  <c r="M121" i="8" s="1"/>
  <c r="Y176" i="10"/>
  <c r="AB176" i="10"/>
  <c r="AA176" i="10"/>
  <c r="Z176" i="10"/>
  <c r="AC176" i="10"/>
  <c r="T182" i="10"/>
  <c r="W182" i="10"/>
  <c r="V182" i="10"/>
  <c r="X182" i="10"/>
  <c r="U182" i="10"/>
  <c r="W179" i="10"/>
  <c r="T179" i="10"/>
  <c r="V179" i="10"/>
  <c r="X179" i="10"/>
  <c r="U179" i="10"/>
  <c r="CF244" i="8"/>
  <c r="CF243" i="8"/>
  <c r="CF164" i="10"/>
  <c r="CF171" i="10" s="1"/>
  <c r="CF241" i="8"/>
  <c r="CF161" i="10"/>
  <c r="CF168" i="10" s="1"/>
  <c r="CF163" i="10"/>
  <c r="CF170" i="10" s="1"/>
  <c r="CF162" i="10"/>
  <c r="CF169" i="10" s="1"/>
  <c r="CF242" i="8"/>
  <c r="CF147" i="10"/>
  <c r="CF146" i="10"/>
  <c r="CF149" i="10"/>
  <c r="CF148" i="10"/>
  <c r="AU161" i="10"/>
  <c r="AU168" i="10" s="1"/>
  <c r="AU163" i="10"/>
  <c r="AU170" i="10" s="1"/>
  <c r="AU243" i="8"/>
  <c r="AU241" i="8"/>
  <c r="AU164" i="10"/>
  <c r="AU171" i="10" s="1"/>
  <c r="AU244" i="8"/>
  <c r="AU242" i="8"/>
  <c r="AU162" i="10"/>
  <c r="AU169" i="10" s="1"/>
  <c r="AU148" i="10"/>
  <c r="AU149" i="10"/>
  <c r="AU146" i="10"/>
  <c r="AU147" i="10"/>
  <c r="AC164" i="10"/>
  <c r="AC171" i="10" s="1"/>
  <c r="AC243" i="8"/>
  <c r="AC241" i="8"/>
  <c r="AC161" i="10"/>
  <c r="AC168" i="10" s="1"/>
  <c r="AC244" i="8"/>
  <c r="AC163" i="10"/>
  <c r="AC170" i="10" s="1"/>
  <c r="AC162" i="10"/>
  <c r="AC169" i="10" s="1"/>
  <c r="AC242" i="8"/>
  <c r="AC148" i="10"/>
  <c r="AC146" i="10"/>
  <c r="AC149" i="10"/>
  <c r="AC147" i="10"/>
  <c r="Y241" i="8"/>
  <c r="Y243" i="8"/>
  <c r="Y244" i="8"/>
  <c r="Y161" i="10"/>
  <c r="Y168" i="10" s="1"/>
  <c r="Y163" i="10"/>
  <c r="Y170" i="10" s="1"/>
  <c r="Y164" i="10"/>
  <c r="Y171" i="10" s="1"/>
  <c r="Y242" i="8"/>
  <c r="Y162" i="10"/>
  <c r="Y169" i="10" s="1"/>
  <c r="Y146" i="10"/>
  <c r="Y149" i="10"/>
  <c r="Y147" i="10"/>
  <c r="Y148" i="10"/>
  <c r="X244" i="8"/>
  <c r="X243" i="8"/>
  <c r="X161" i="10"/>
  <c r="X168" i="10" s="1"/>
  <c r="X164" i="10"/>
  <c r="X171" i="10" s="1"/>
  <c r="X163" i="10"/>
  <c r="X170" i="10" s="1"/>
  <c r="X241" i="8"/>
  <c r="X242" i="8"/>
  <c r="X162" i="10"/>
  <c r="X169" i="10" s="1"/>
  <c r="X148" i="10"/>
  <c r="X146" i="10"/>
  <c r="X149" i="10"/>
  <c r="X147" i="10"/>
  <c r="U161" i="10"/>
  <c r="U168" i="10" s="1"/>
  <c r="U241" i="8"/>
  <c r="U243" i="8"/>
  <c r="U164" i="10"/>
  <c r="U171" i="10" s="1"/>
  <c r="U244" i="8"/>
  <c r="U163" i="10"/>
  <c r="U170" i="10" s="1"/>
  <c r="U242" i="8"/>
  <c r="U162" i="10"/>
  <c r="U169" i="10" s="1"/>
  <c r="U146" i="10"/>
  <c r="U147" i="10"/>
  <c r="U149" i="10"/>
  <c r="U148" i="10"/>
  <c r="P241" i="8"/>
  <c r="P243" i="8"/>
  <c r="P161" i="10"/>
  <c r="P168" i="10" s="1"/>
  <c r="P244" i="8"/>
  <c r="P242" i="8"/>
  <c r="P164" i="10"/>
  <c r="P171" i="10" s="1"/>
  <c r="P148" i="10"/>
  <c r="P162" i="10"/>
  <c r="P169" i="10" s="1"/>
  <c r="P147" i="10"/>
  <c r="P146" i="10"/>
  <c r="P149" i="10"/>
  <c r="P163" i="10"/>
  <c r="P170" i="10" s="1"/>
  <c r="I244" i="8"/>
  <c r="I243" i="8"/>
  <c r="I241" i="8"/>
  <c r="I242" i="8"/>
  <c r="I147" i="10"/>
  <c r="I148" i="10"/>
  <c r="I161" i="10"/>
  <c r="I168" i="10" s="1"/>
  <c r="I149" i="10"/>
  <c r="I162" i="10"/>
  <c r="I169" i="10" s="1"/>
  <c r="I164" i="10"/>
  <c r="I171" i="10" s="1"/>
  <c r="I163" i="10"/>
  <c r="I170" i="10" s="1"/>
  <c r="I146" i="10"/>
  <c r="Q180" i="10"/>
  <c r="P180" i="10"/>
  <c r="S180" i="10"/>
  <c r="O180" i="10"/>
  <c r="R180" i="10"/>
  <c r="AB106" i="8" l="1"/>
  <c r="AB113" i="8" s="1"/>
  <c r="AB120" i="8" s="1"/>
  <c r="J52" i="10"/>
  <c r="J59" i="10" s="1"/>
  <c r="AA52" i="10"/>
  <c r="AA59" i="10" s="1"/>
  <c r="T106" i="8"/>
  <c r="T113" i="8" s="1"/>
  <c r="T120" i="8" s="1"/>
  <c r="S52" i="10"/>
  <c r="S59" i="10" s="1"/>
  <c r="K106" i="8"/>
  <c r="K113" i="8" s="1"/>
  <c r="K120" i="8" s="1"/>
  <c r="P106" i="8"/>
  <c r="P113" i="8" s="1"/>
  <c r="P120" i="8" s="1"/>
  <c r="AB52" i="10"/>
  <c r="AB59" i="10" s="1"/>
  <c r="X52" i="10"/>
  <c r="X59" i="10" s="1"/>
  <c r="AC183" i="10"/>
  <c r="AC195" i="10" s="1"/>
  <c r="AA106" i="8"/>
  <c r="AA113" i="8" s="1"/>
  <c r="AA120" i="8" s="1"/>
  <c r="K52" i="10"/>
  <c r="K59" i="10" s="1"/>
  <c r="P52" i="10"/>
  <c r="P59" i="10" s="1"/>
  <c r="Y183" i="10"/>
  <c r="Y194" i="10" s="1"/>
  <c r="J183" i="10"/>
  <c r="J195" i="10" s="1"/>
  <c r="AD52" i="10"/>
  <c r="AD59" i="10" s="1"/>
  <c r="F52" i="10"/>
  <c r="F59" i="10" s="1"/>
  <c r="L183" i="10"/>
  <c r="S106" i="8"/>
  <c r="S113" i="8" s="1"/>
  <c r="S120" i="8" s="1"/>
  <c r="M183" i="10"/>
  <c r="M195" i="10" s="1"/>
  <c r="J106" i="8"/>
  <c r="J113" i="8" s="1"/>
  <c r="J120" i="8" s="1"/>
  <c r="F106" i="8"/>
  <c r="F113" i="8" s="1"/>
  <c r="F120" i="8" s="1"/>
  <c r="AY183" i="10"/>
  <c r="AY193" i="10" s="1"/>
  <c r="BA183" i="10"/>
  <c r="BA193" i="10" s="1"/>
  <c r="G53" i="13"/>
  <c r="I251" i="8"/>
  <c r="N51" i="13"/>
  <c r="P249" i="8"/>
  <c r="W50" i="13"/>
  <c r="Y248" i="8"/>
  <c r="AA53" i="13"/>
  <c r="AC251" i="8"/>
  <c r="N52" i="13"/>
  <c r="P250" i="8"/>
  <c r="V52" i="13"/>
  <c r="X250" i="8"/>
  <c r="AA52" i="13"/>
  <c r="AC250" i="8"/>
  <c r="AS53" i="13"/>
  <c r="AU251" i="8"/>
  <c r="CD52" i="13"/>
  <c r="CF250" i="8"/>
  <c r="P248" i="8"/>
  <c r="N50" i="13"/>
  <c r="U251" i="8"/>
  <c r="S53" i="13"/>
  <c r="V53" i="13"/>
  <c r="X251" i="8"/>
  <c r="CF251" i="8"/>
  <c r="CD53" i="13"/>
  <c r="AE50" i="13"/>
  <c r="AG248" i="8"/>
  <c r="AR248" i="8"/>
  <c r="AP50" i="13"/>
  <c r="M196" i="10"/>
  <c r="J51" i="13"/>
  <c r="L249" i="8"/>
  <c r="Z52" i="13"/>
  <c r="AB250" i="8"/>
  <c r="AY52" i="13"/>
  <c r="BA250" i="8"/>
  <c r="BD251" i="8"/>
  <c r="BB53" i="13"/>
  <c r="BV52" i="13"/>
  <c r="BX250" i="8"/>
  <c r="CB251" i="8"/>
  <c r="BZ53" i="13"/>
  <c r="AD116" i="8"/>
  <c r="AD123" i="8" s="1"/>
  <c r="AE109" i="8"/>
  <c r="AK251" i="8"/>
  <c r="AI53" i="13"/>
  <c r="BC50" i="13"/>
  <c r="BE248" i="8"/>
  <c r="BS50" i="13"/>
  <c r="BU248" i="8"/>
  <c r="J248" i="8"/>
  <c r="H50" i="13"/>
  <c r="M52" i="13"/>
  <c r="O250" i="8"/>
  <c r="AH183" i="10"/>
  <c r="BQ183" i="10"/>
  <c r="AV183" i="10"/>
  <c r="AK183" i="10"/>
  <c r="CC183" i="10"/>
  <c r="AE183" i="10"/>
  <c r="X183" i="10"/>
  <c r="AF52" i="13"/>
  <c r="AH250" i="8"/>
  <c r="D51" i="13"/>
  <c r="F249" i="8"/>
  <c r="N249" i="8"/>
  <c r="L51" i="13"/>
  <c r="Y51" i="13"/>
  <c r="AA249" i="8"/>
  <c r="AB52" i="13"/>
  <c r="AD250" i="8"/>
  <c r="AK51" i="13"/>
  <c r="AM249" i="8"/>
  <c r="BN249" i="8"/>
  <c r="BL51" i="13"/>
  <c r="BO248" i="8"/>
  <c r="BM50" i="13"/>
  <c r="BR249" i="8"/>
  <c r="BP51" i="13"/>
  <c r="BS248" i="8"/>
  <c r="BQ50" i="13"/>
  <c r="H251" i="8"/>
  <c r="F53" i="13"/>
  <c r="Q50" i="13"/>
  <c r="S248" i="8"/>
  <c r="V249" i="8"/>
  <c r="T51" i="13"/>
  <c r="U53" i="13"/>
  <c r="W251" i="8"/>
  <c r="AN51" i="13"/>
  <c r="AP249" i="8"/>
  <c r="AO50" i="13"/>
  <c r="AQ248" i="8"/>
  <c r="V52" i="10"/>
  <c r="V59" i="10" s="1"/>
  <c r="V106" i="8"/>
  <c r="V113" i="8" s="1"/>
  <c r="V120" i="8" s="1"/>
  <c r="G106" i="8"/>
  <c r="G113" i="8" s="1"/>
  <c r="G120" i="8" s="1"/>
  <c r="G52" i="10"/>
  <c r="G59" i="10" s="1"/>
  <c r="G51" i="13"/>
  <c r="I249" i="8"/>
  <c r="AA51" i="13"/>
  <c r="AC249" i="8"/>
  <c r="AS50" i="13"/>
  <c r="AU248" i="8"/>
  <c r="CD51" i="13"/>
  <c r="CF249" i="8"/>
  <c r="Z183" i="10"/>
  <c r="R52" i="13"/>
  <c r="T250" i="8"/>
  <c r="AD50" i="13"/>
  <c r="AF248" i="8"/>
  <c r="AE52" i="13"/>
  <c r="AG250" i="8"/>
  <c r="BF50" i="13"/>
  <c r="BH248" i="8"/>
  <c r="C51" i="13"/>
  <c r="E249" i="8"/>
  <c r="J53" i="13"/>
  <c r="L251" i="8"/>
  <c r="Z51" i="13"/>
  <c r="AB249" i="8"/>
  <c r="AN248" i="8"/>
  <c r="AL50" i="13"/>
  <c r="AQ53" i="13"/>
  <c r="AS251" i="8"/>
  <c r="AY53" i="13"/>
  <c r="BA251" i="8"/>
  <c r="BD249" i="8"/>
  <c r="BB51" i="13"/>
  <c r="BL251" i="8"/>
  <c r="BJ53" i="13"/>
  <c r="BM249" i="8"/>
  <c r="BK51" i="13"/>
  <c r="BV50" i="13"/>
  <c r="BX248" i="8"/>
  <c r="AH53" i="13"/>
  <c r="AJ251" i="8"/>
  <c r="H52" i="13"/>
  <c r="J250" i="8"/>
  <c r="M50" i="13"/>
  <c r="O248" i="8"/>
  <c r="BI250" i="8"/>
  <c r="BG52" i="13"/>
  <c r="AP183" i="10"/>
  <c r="BD183" i="10"/>
  <c r="BJ183" i="10"/>
  <c r="AM183" i="10"/>
  <c r="BB183" i="10"/>
  <c r="BF183" i="10"/>
  <c r="AF183" i="10"/>
  <c r="AC51" i="13"/>
  <c r="AE249" i="8"/>
  <c r="AF53" i="13"/>
  <c r="AH251" i="8"/>
  <c r="AT249" i="8"/>
  <c r="AR51" i="13"/>
  <c r="AX251" i="8"/>
  <c r="AV53" i="13"/>
  <c r="BF250" i="8"/>
  <c r="BD52" i="13"/>
  <c r="N248" i="8"/>
  <c r="L50" i="13"/>
  <c r="AZ53" i="13"/>
  <c r="BB251" i="8"/>
  <c r="BE51" i="13"/>
  <c r="BG249" i="8"/>
  <c r="BH53" i="13"/>
  <c r="BJ251" i="8"/>
  <c r="BU51" i="13"/>
  <c r="BW249" i="8"/>
  <c r="CA249" i="8"/>
  <c r="BY51" i="13"/>
  <c r="F51" i="13"/>
  <c r="H249" i="8"/>
  <c r="Q52" i="13"/>
  <c r="S250" i="8"/>
  <c r="U50" i="13"/>
  <c r="W248" i="8"/>
  <c r="AG50" i="13"/>
  <c r="AI248" i="8"/>
  <c r="AQ250" i="8"/>
  <c r="AO52" i="13"/>
  <c r="CB50" i="13"/>
  <c r="CD248" i="8"/>
  <c r="O52" i="10"/>
  <c r="O59" i="10" s="1"/>
  <c r="O106" i="8"/>
  <c r="O113" i="8" s="1"/>
  <c r="O120" i="8" s="1"/>
  <c r="G50" i="13"/>
  <c r="I248" i="8"/>
  <c r="S52" i="13"/>
  <c r="U250" i="8"/>
  <c r="V51" i="13"/>
  <c r="X249" i="8"/>
  <c r="W53" i="13"/>
  <c r="Y251" i="8"/>
  <c r="AU250" i="8"/>
  <c r="AS52" i="13"/>
  <c r="AA183" i="10"/>
  <c r="R51" i="13"/>
  <c r="T249" i="8"/>
  <c r="AU53" i="13"/>
  <c r="AW251" i="8"/>
  <c r="BF51" i="13"/>
  <c r="BH249" i="8"/>
  <c r="C53" i="13"/>
  <c r="E251" i="8"/>
  <c r="K183" i="10"/>
  <c r="J50" i="13"/>
  <c r="L248" i="8"/>
  <c r="AN251" i="8"/>
  <c r="AL53" i="13"/>
  <c r="AM51" i="13"/>
  <c r="AO249" i="8"/>
  <c r="AZ249" i="8"/>
  <c r="AX51" i="13"/>
  <c r="AY50" i="13"/>
  <c r="BA248" i="8"/>
  <c r="BL248" i="8"/>
  <c r="BJ50" i="13"/>
  <c r="BO52" i="13"/>
  <c r="BQ250" i="8"/>
  <c r="BR51" i="13"/>
  <c r="BT249" i="8"/>
  <c r="BW51" i="13"/>
  <c r="BY249" i="8"/>
  <c r="BZ50" i="13"/>
  <c r="CB248" i="8"/>
  <c r="M249" i="8"/>
  <c r="K51" i="13"/>
  <c r="AI50" i="13"/>
  <c r="AK248" i="8"/>
  <c r="BU251" i="8"/>
  <c r="BS53" i="13"/>
  <c r="CA51" i="13"/>
  <c r="CC249" i="8"/>
  <c r="H53" i="13"/>
  <c r="J251" i="8"/>
  <c r="I51" i="13"/>
  <c r="K249" i="8"/>
  <c r="M53" i="13"/>
  <c r="O251" i="8"/>
  <c r="Q183" i="10"/>
  <c r="BR183" i="10"/>
  <c r="CA183" i="10"/>
  <c r="CF183" i="10"/>
  <c r="BL183" i="10"/>
  <c r="BX183" i="10"/>
  <c r="BM183" i="10"/>
  <c r="AG183" i="10"/>
  <c r="X52" i="13"/>
  <c r="Z250" i="8"/>
  <c r="AV52" i="13"/>
  <c r="AX250" i="8"/>
  <c r="AW51" i="13"/>
  <c r="AY249" i="8"/>
  <c r="BD50" i="13"/>
  <c r="BF248" i="8"/>
  <c r="BT51" i="13"/>
  <c r="BV249" i="8"/>
  <c r="G249" i="8"/>
  <c r="E51" i="13"/>
  <c r="N250" i="8"/>
  <c r="L52" i="13"/>
  <c r="AB50" i="13"/>
  <c r="AD248" i="8"/>
  <c r="AK53" i="13"/>
  <c r="AM251" i="8"/>
  <c r="AZ52" i="13"/>
  <c r="BB250" i="8"/>
  <c r="BM53" i="13"/>
  <c r="BO251" i="8"/>
  <c r="BR248" i="8"/>
  <c r="BP50" i="13"/>
  <c r="BS250" i="8"/>
  <c r="BQ52" i="13"/>
  <c r="BW250" i="8"/>
  <c r="BU52" i="13"/>
  <c r="BX52" i="13"/>
  <c r="BZ250" i="8"/>
  <c r="CA248" i="8"/>
  <c r="BY50" i="13"/>
  <c r="Q53" i="13"/>
  <c r="S251" i="8"/>
  <c r="T52" i="13"/>
  <c r="V250" i="8"/>
  <c r="AJ50" i="13"/>
  <c r="AL248" i="8"/>
  <c r="AN52" i="13"/>
  <c r="AP250" i="8"/>
  <c r="N106" i="8"/>
  <c r="N113" i="8" s="1"/>
  <c r="N120" i="8" s="1"/>
  <c r="N52" i="10"/>
  <c r="N59" i="10" s="1"/>
  <c r="Z106" i="8"/>
  <c r="Z113" i="8" s="1"/>
  <c r="Z120" i="8" s="1"/>
  <c r="Z52" i="10"/>
  <c r="Z59" i="10" s="1"/>
  <c r="E52" i="10"/>
  <c r="E59" i="10" s="1"/>
  <c r="E106" i="8"/>
  <c r="E113" i="8" s="1"/>
  <c r="E120" i="8" s="1"/>
  <c r="G52" i="13"/>
  <c r="I250" i="8"/>
  <c r="S50" i="13"/>
  <c r="U248" i="8"/>
  <c r="V50" i="13"/>
  <c r="X248" i="8"/>
  <c r="W52" i="13"/>
  <c r="Y250" i="8"/>
  <c r="AB183" i="10"/>
  <c r="AE53" i="10"/>
  <c r="AD60" i="10"/>
  <c r="AF250" i="8"/>
  <c r="AD52" i="13"/>
  <c r="AE51" i="13"/>
  <c r="AG249" i="8"/>
  <c r="AP53" i="13"/>
  <c r="AR251" i="8"/>
  <c r="AT51" i="13"/>
  <c r="AV249" i="8"/>
  <c r="BN50" i="13"/>
  <c r="BP248" i="8"/>
  <c r="N183" i="10"/>
  <c r="L250" i="8"/>
  <c r="J52" i="13"/>
  <c r="AL52" i="13"/>
  <c r="AN250" i="8"/>
  <c r="AQ52" i="13"/>
  <c r="AS250" i="8"/>
  <c r="BK53" i="13"/>
  <c r="BM251" i="8"/>
  <c r="BQ251" i="8"/>
  <c r="BO53" i="13"/>
  <c r="BR50" i="13"/>
  <c r="BT248" i="8"/>
  <c r="BY248" i="8"/>
  <c r="BW50" i="13"/>
  <c r="AE55" i="10"/>
  <c r="AD62" i="10"/>
  <c r="K52" i="13"/>
  <c r="M250" i="8"/>
  <c r="AH51" i="13"/>
  <c r="AJ249" i="8"/>
  <c r="AI52" i="13"/>
  <c r="AK250" i="8"/>
  <c r="BE249" i="8"/>
  <c r="BC51" i="13"/>
  <c r="CA50" i="13"/>
  <c r="CC248" i="8"/>
  <c r="I53" i="13"/>
  <c r="K251" i="8"/>
  <c r="Q249" i="8"/>
  <c r="O51" i="13"/>
  <c r="S183" i="10"/>
  <c r="BH183" i="10"/>
  <c r="AU183" i="10"/>
  <c r="AZ183" i="10"/>
  <c r="BI183" i="10"/>
  <c r="AR183" i="10"/>
  <c r="CD183" i="10"/>
  <c r="BZ183" i="10"/>
  <c r="X53" i="13"/>
  <c r="Z251" i="8"/>
  <c r="AC50" i="13"/>
  <c r="AE248" i="8"/>
  <c r="AF50" i="13"/>
  <c r="AH248" i="8"/>
  <c r="BD53" i="13"/>
  <c r="BF251" i="8"/>
  <c r="BV248" i="8"/>
  <c r="BT50" i="13"/>
  <c r="F250" i="8"/>
  <c r="D52" i="13"/>
  <c r="N251" i="8"/>
  <c r="L53" i="13"/>
  <c r="Y50" i="13"/>
  <c r="AA248" i="8"/>
  <c r="AB53" i="13"/>
  <c r="AD251" i="8"/>
  <c r="AK52" i="13"/>
  <c r="AM250" i="8"/>
  <c r="AZ50" i="13"/>
  <c r="BB248" i="8"/>
  <c r="BJ250" i="8"/>
  <c r="BH52" i="13"/>
  <c r="BN248" i="8"/>
  <c r="BL50" i="13"/>
  <c r="CA251" i="8"/>
  <c r="BY53" i="13"/>
  <c r="CC52" i="13"/>
  <c r="CE250" i="8"/>
  <c r="P51" i="13"/>
  <c r="R249" i="8"/>
  <c r="S249" i="8"/>
  <c r="Q51" i="13"/>
  <c r="W249" i="8"/>
  <c r="U51" i="13"/>
  <c r="AO51" i="13"/>
  <c r="AQ249" i="8"/>
  <c r="BA50" i="13"/>
  <c r="BC248" i="8"/>
  <c r="BI51" i="13"/>
  <c r="BK249" i="8"/>
  <c r="R52" i="10"/>
  <c r="R59" i="10" s="1"/>
  <c r="R106" i="8"/>
  <c r="R113" i="8" s="1"/>
  <c r="R120" i="8" s="1"/>
  <c r="AV248" i="8"/>
  <c r="AT50" i="13"/>
  <c r="AU52" i="13"/>
  <c r="AW250" i="8"/>
  <c r="BP250" i="8"/>
  <c r="BN52" i="13"/>
  <c r="Z50" i="13"/>
  <c r="AB248" i="8"/>
  <c r="AM53" i="13"/>
  <c r="AO251" i="8"/>
  <c r="AZ251" i="8"/>
  <c r="AX53" i="13"/>
  <c r="BB50" i="13"/>
  <c r="BD248" i="8"/>
  <c r="BK52" i="13"/>
  <c r="BM250" i="8"/>
  <c r="K50" i="13"/>
  <c r="M248" i="8"/>
  <c r="AJ250" i="8"/>
  <c r="AH52" i="13"/>
  <c r="BC53" i="13"/>
  <c r="BE251" i="8"/>
  <c r="CC250" i="8"/>
  <c r="CA52" i="13"/>
  <c r="I50" i="13"/>
  <c r="K248" i="8"/>
  <c r="Q248" i="8"/>
  <c r="O50" i="13"/>
  <c r="BI249" i="8"/>
  <c r="BG51" i="13"/>
  <c r="O183" i="10"/>
  <c r="BV183" i="10"/>
  <c r="BW183" i="10"/>
  <c r="AW183" i="10"/>
  <c r="BO183" i="10"/>
  <c r="AX183" i="10"/>
  <c r="AT183" i="10"/>
  <c r="U183" i="10"/>
  <c r="X50" i="13"/>
  <c r="Z248" i="8"/>
  <c r="D50" i="13"/>
  <c r="F248" i="8"/>
  <c r="E52" i="13"/>
  <c r="G250" i="8"/>
  <c r="AZ51" i="13"/>
  <c r="BB249" i="8"/>
  <c r="BG248" i="8"/>
  <c r="BE50" i="13"/>
  <c r="BH51" i="13"/>
  <c r="BJ249" i="8"/>
  <c r="BO249" i="8"/>
  <c r="BM51" i="13"/>
  <c r="BP52" i="13"/>
  <c r="BR250" i="8"/>
  <c r="BQ51" i="13"/>
  <c r="BS249" i="8"/>
  <c r="CA250" i="8"/>
  <c r="BY52" i="13"/>
  <c r="CC51" i="13"/>
  <c r="CE249" i="8"/>
  <c r="P53" i="13"/>
  <c r="R251" i="8"/>
  <c r="AG52" i="13"/>
  <c r="AI250" i="8"/>
  <c r="AJ51" i="13"/>
  <c r="AL249" i="8"/>
  <c r="AP248" i="8"/>
  <c r="AN50" i="13"/>
  <c r="BA52" i="13"/>
  <c r="BC250" i="8"/>
  <c r="CB53" i="13"/>
  <c r="CD251" i="8"/>
  <c r="T52" i="10"/>
  <c r="T59" i="10" s="1"/>
  <c r="Y106" i="8"/>
  <c r="Y113" i="8" s="1"/>
  <c r="Y120" i="8" s="1"/>
  <c r="Y52" i="10"/>
  <c r="Y59" i="10" s="1"/>
  <c r="P251" i="8"/>
  <c r="N53" i="13"/>
  <c r="CD50" i="13"/>
  <c r="CF248" i="8"/>
  <c r="AD53" i="13"/>
  <c r="AF251" i="8"/>
  <c r="AP52" i="13"/>
  <c r="AR250" i="8"/>
  <c r="AU50" i="13"/>
  <c r="AW248" i="8"/>
  <c r="BF52" i="13"/>
  <c r="BH250" i="8"/>
  <c r="BN53" i="13"/>
  <c r="BP251" i="8"/>
  <c r="E248" i="8"/>
  <c r="C50" i="13"/>
  <c r="Z53" i="13"/>
  <c r="AB251" i="8"/>
  <c r="AN249" i="8"/>
  <c r="AL51" i="13"/>
  <c r="AM50" i="13"/>
  <c r="AO248" i="8"/>
  <c r="AS249" i="8"/>
  <c r="AQ51" i="13"/>
  <c r="AX52" i="13"/>
  <c r="AZ250" i="8"/>
  <c r="BA249" i="8"/>
  <c r="AY51" i="13"/>
  <c r="BR53" i="13"/>
  <c r="BT251" i="8"/>
  <c r="BW53" i="13"/>
  <c r="BY251" i="8"/>
  <c r="CB249" i="8"/>
  <c r="BZ51" i="13"/>
  <c r="K53" i="13"/>
  <c r="M251" i="8"/>
  <c r="BS52" i="13"/>
  <c r="BU250" i="8"/>
  <c r="K250" i="8"/>
  <c r="I52" i="13"/>
  <c r="M51" i="13"/>
  <c r="O249" i="8"/>
  <c r="Q251" i="8"/>
  <c r="O53" i="13"/>
  <c r="BG53" i="13"/>
  <c r="BI251" i="8"/>
  <c r="P183" i="10"/>
  <c r="BE183" i="10"/>
  <c r="AL183" i="10"/>
  <c r="AQ183" i="10"/>
  <c r="CB183" i="10"/>
  <c r="AI183" i="10"/>
  <c r="BT183" i="10"/>
  <c r="BP183" i="10"/>
  <c r="V183" i="10"/>
  <c r="AC53" i="13"/>
  <c r="AE251" i="8"/>
  <c r="AF51" i="13"/>
  <c r="AH249" i="8"/>
  <c r="AT251" i="8"/>
  <c r="AR53" i="13"/>
  <c r="AV51" i="13"/>
  <c r="AX249" i="8"/>
  <c r="AY248" i="8"/>
  <c r="AW50" i="13"/>
  <c r="G248" i="8"/>
  <c r="E50" i="13"/>
  <c r="AB51" i="13"/>
  <c r="AD249" i="8"/>
  <c r="BL52" i="13"/>
  <c r="BN250" i="8"/>
  <c r="BR251" i="8"/>
  <c r="BP53" i="13"/>
  <c r="BX51" i="13"/>
  <c r="BZ249" i="8"/>
  <c r="CC53" i="13"/>
  <c r="CE251" i="8"/>
  <c r="R248" i="8"/>
  <c r="P50" i="13"/>
  <c r="T50" i="13"/>
  <c r="V248" i="8"/>
  <c r="U52" i="13"/>
  <c r="W250" i="8"/>
  <c r="AJ52" i="13"/>
  <c r="AL250" i="8"/>
  <c r="AN53" i="13"/>
  <c r="AP251" i="8"/>
  <c r="BK251" i="8"/>
  <c r="BI53" i="13"/>
  <c r="CB52" i="13"/>
  <c r="CD250" i="8"/>
  <c r="AC106" i="8"/>
  <c r="AC113" i="8" s="1"/>
  <c r="AC120" i="8" s="1"/>
  <c r="AC52" i="10"/>
  <c r="AC59" i="10" s="1"/>
  <c r="Q52" i="10"/>
  <c r="Q59" i="10" s="1"/>
  <c r="Q106" i="8"/>
  <c r="Q113" i="8" s="1"/>
  <c r="Q120" i="8" s="1"/>
  <c r="U249" i="8"/>
  <c r="S51" i="13"/>
  <c r="W51" i="13"/>
  <c r="Y249" i="8"/>
  <c r="AA50" i="13"/>
  <c r="AC248" i="8"/>
  <c r="AS51" i="13"/>
  <c r="AU249" i="8"/>
  <c r="AD114" i="8"/>
  <c r="AD121" i="8" s="1"/>
  <c r="AE107" i="8"/>
  <c r="R53" i="13"/>
  <c r="T251" i="8"/>
  <c r="AD51" i="13"/>
  <c r="AF249" i="8"/>
  <c r="AE53" i="13"/>
  <c r="AG251" i="8"/>
  <c r="AT52" i="13"/>
  <c r="AV250" i="8"/>
  <c r="BH251" i="8"/>
  <c r="BF53" i="13"/>
  <c r="BP249" i="8"/>
  <c r="BN51" i="13"/>
  <c r="AO250" i="8"/>
  <c r="AM52" i="13"/>
  <c r="AX50" i="13"/>
  <c r="AZ248" i="8"/>
  <c r="BB52" i="13"/>
  <c r="BD250" i="8"/>
  <c r="BJ51" i="13"/>
  <c r="BL249" i="8"/>
  <c r="BO51" i="13"/>
  <c r="BQ249" i="8"/>
  <c r="BT250" i="8"/>
  <c r="BR52" i="13"/>
  <c r="BX249" i="8"/>
  <c r="BV51" i="13"/>
  <c r="BY250" i="8"/>
  <c r="BW52" i="13"/>
  <c r="BE250" i="8"/>
  <c r="BC52" i="13"/>
  <c r="CC251" i="8"/>
  <c r="CA53" i="13"/>
  <c r="Q250" i="8"/>
  <c r="O52" i="13"/>
  <c r="R183" i="10"/>
  <c r="AS183" i="10"/>
  <c r="CE183" i="10"/>
  <c r="AD183" i="10"/>
  <c r="BS183" i="10"/>
  <c r="BY183" i="10"/>
  <c r="AN183" i="10"/>
  <c r="AJ183" i="10"/>
  <c r="W183" i="10"/>
  <c r="X51" i="13"/>
  <c r="Z249" i="8"/>
  <c r="AC52" i="13"/>
  <c r="AE250" i="8"/>
  <c r="AR50" i="13"/>
  <c r="AT248" i="8"/>
  <c r="AW53" i="13"/>
  <c r="AY251" i="8"/>
  <c r="BF249" i="8"/>
  <c r="BD51" i="13"/>
  <c r="BV251" i="8"/>
  <c r="BT53" i="13"/>
  <c r="G251" i="8"/>
  <c r="E53" i="13"/>
  <c r="AA251" i="8"/>
  <c r="Y53" i="13"/>
  <c r="AM248" i="8"/>
  <c r="AK50" i="13"/>
  <c r="BE53" i="13"/>
  <c r="BG251" i="8"/>
  <c r="BL53" i="13"/>
  <c r="BN251" i="8"/>
  <c r="BM52" i="13"/>
  <c r="BO250" i="8"/>
  <c r="BU50" i="13"/>
  <c r="BW248" i="8"/>
  <c r="BX50" i="13"/>
  <c r="BZ248" i="8"/>
  <c r="CC50" i="13"/>
  <c r="CE248" i="8"/>
  <c r="F50" i="13"/>
  <c r="H248" i="8"/>
  <c r="P52" i="13"/>
  <c r="R250" i="8"/>
  <c r="T53" i="13"/>
  <c r="V251" i="8"/>
  <c r="AI251" i="8"/>
  <c r="AG53" i="13"/>
  <c r="AJ53" i="13"/>
  <c r="AL251" i="8"/>
  <c r="BA53" i="13"/>
  <c r="BC251" i="8"/>
  <c r="BI50" i="13"/>
  <c r="BK248" i="8"/>
  <c r="AE106" i="8"/>
  <c r="AD113" i="8"/>
  <c r="AD120" i="8" s="1"/>
  <c r="W106" i="8"/>
  <c r="W113" i="8" s="1"/>
  <c r="W120" i="8" s="1"/>
  <c r="W52" i="10"/>
  <c r="W59" i="10" s="1"/>
  <c r="L52" i="10"/>
  <c r="L59" i="10" s="1"/>
  <c r="L106" i="8"/>
  <c r="L113" i="8" s="1"/>
  <c r="L120" i="8" s="1"/>
  <c r="M52" i="10"/>
  <c r="M59" i="10" s="1"/>
  <c r="M106" i="8"/>
  <c r="M113" i="8" s="1"/>
  <c r="M120" i="8" s="1"/>
  <c r="R50" i="13"/>
  <c r="T248" i="8"/>
  <c r="AP51" i="13"/>
  <c r="AR249" i="8"/>
  <c r="AT53" i="13"/>
  <c r="AV251" i="8"/>
  <c r="AU51" i="13"/>
  <c r="AW249" i="8"/>
  <c r="AD115" i="8"/>
  <c r="AD122" i="8" s="1"/>
  <c r="AE108" i="8"/>
  <c r="AE54" i="10"/>
  <c r="AD61" i="10"/>
  <c r="C52" i="13"/>
  <c r="E250" i="8"/>
  <c r="L195" i="10"/>
  <c r="L193" i="10"/>
  <c r="L194" i="10"/>
  <c r="L196" i="10"/>
  <c r="AS248" i="8"/>
  <c r="AQ50" i="13"/>
  <c r="BL250" i="8"/>
  <c r="BJ52" i="13"/>
  <c r="BK50" i="13"/>
  <c r="BM248" i="8"/>
  <c r="BO50" i="13"/>
  <c r="BQ248" i="8"/>
  <c r="BV53" i="13"/>
  <c r="BX251" i="8"/>
  <c r="BZ52" i="13"/>
  <c r="CB250" i="8"/>
  <c r="AH50" i="13"/>
  <c r="AJ248" i="8"/>
  <c r="AI51" i="13"/>
  <c r="AK249" i="8"/>
  <c r="BS51" i="13"/>
  <c r="BU249" i="8"/>
  <c r="H51" i="13"/>
  <c r="J249" i="8"/>
  <c r="BG50" i="13"/>
  <c r="BI248" i="8"/>
  <c r="BN183" i="10"/>
  <c r="BU183" i="10"/>
  <c r="AO183" i="10"/>
  <c r="BC183" i="10"/>
  <c r="BK183" i="10"/>
  <c r="BG183" i="10"/>
  <c r="T183" i="10"/>
  <c r="AR52" i="13"/>
  <c r="AT250" i="8"/>
  <c r="AV50" i="13"/>
  <c r="AX248" i="8"/>
  <c r="AY250" i="8"/>
  <c r="AW52" i="13"/>
  <c r="BV250" i="8"/>
  <c r="BT52" i="13"/>
  <c r="D53" i="13"/>
  <c r="F251" i="8"/>
  <c r="Y52" i="13"/>
  <c r="AA250" i="8"/>
  <c r="BG250" i="8"/>
  <c r="BE52" i="13"/>
  <c r="BH50" i="13"/>
  <c r="BJ248" i="8"/>
  <c r="BS251" i="8"/>
  <c r="BQ53" i="13"/>
  <c r="BW251" i="8"/>
  <c r="BU53" i="13"/>
  <c r="BX53" i="13"/>
  <c r="BZ251" i="8"/>
  <c r="F52" i="13"/>
  <c r="H250" i="8"/>
  <c r="AI249" i="8"/>
  <c r="AG51" i="13"/>
  <c r="AO53" i="13"/>
  <c r="AQ251" i="8"/>
  <c r="BA51" i="13"/>
  <c r="BC249" i="8"/>
  <c r="BI52" i="13"/>
  <c r="BK250" i="8"/>
  <c r="CB51" i="13"/>
  <c r="CD249" i="8"/>
  <c r="U106" i="8"/>
  <c r="U113" i="8" s="1"/>
  <c r="U120" i="8" s="1"/>
  <c r="U52" i="10"/>
  <c r="U59" i="10" s="1"/>
  <c r="I52" i="10"/>
  <c r="I59" i="10" s="1"/>
  <c r="I106" i="8"/>
  <c r="I113" i="8" s="1"/>
  <c r="I120" i="8" s="1"/>
  <c r="Y195" i="10" l="1"/>
  <c r="AY194" i="10"/>
  <c r="AC194" i="10"/>
  <c r="J194" i="10"/>
  <c r="J193" i="10"/>
  <c r="J196" i="10"/>
  <c r="M193" i="10"/>
  <c r="Y193" i="10"/>
  <c r="Y196" i="10"/>
  <c r="AE52" i="10"/>
  <c r="AF52" i="10" s="1"/>
  <c r="BA195" i="10"/>
  <c r="M194" i="10"/>
  <c r="AC196" i="10"/>
  <c r="AC193" i="10"/>
  <c r="BA196" i="10"/>
  <c r="BA194" i="10"/>
  <c r="AY196" i="10"/>
  <c r="AY195" i="10"/>
  <c r="BG195" i="10"/>
  <c r="BG196" i="10"/>
  <c r="BG193" i="10"/>
  <c r="BG194" i="10"/>
  <c r="BU195" i="10"/>
  <c r="BU196" i="10"/>
  <c r="BU193" i="10"/>
  <c r="BU194" i="10"/>
  <c r="BS195" i="10"/>
  <c r="BS193" i="10"/>
  <c r="BS194" i="10"/>
  <c r="BS196" i="10"/>
  <c r="AE59" i="10"/>
  <c r="BP195" i="10"/>
  <c r="BP196" i="10"/>
  <c r="BP193" i="10"/>
  <c r="BP194" i="10"/>
  <c r="U195" i="10"/>
  <c r="U193" i="10"/>
  <c r="U194" i="10"/>
  <c r="U196" i="10"/>
  <c r="AU195" i="10"/>
  <c r="AU193" i="10"/>
  <c r="AU194" i="10"/>
  <c r="AU196" i="10"/>
  <c r="AG195" i="10"/>
  <c r="AG193" i="10"/>
  <c r="AG194" i="10"/>
  <c r="AG196" i="10"/>
  <c r="AA195" i="10"/>
  <c r="AA196" i="10"/>
  <c r="AA193" i="10"/>
  <c r="AA194" i="10"/>
  <c r="BK195" i="10"/>
  <c r="BK196" i="10"/>
  <c r="BK193" i="10"/>
  <c r="BK194" i="10"/>
  <c r="BN195" i="10"/>
  <c r="BN196" i="10"/>
  <c r="BN193" i="10"/>
  <c r="BN194" i="10"/>
  <c r="AD195" i="10"/>
  <c r="AD193" i="10"/>
  <c r="AD196" i="10"/>
  <c r="AD194" i="10"/>
  <c r="BT195" i="10"/>
  <c r="BT193" i="10"/>
  <c r="BT194" i="10"/>
  <c r="BT196" i="10"/>
  <c r="AT195" i="10"/>
  <c r="AT193" i="10"/>
  <c r="AT194" i="10"/>
  <c r="AT196" i="10"/>
  <c r="BH195" i="10"/>
  <c r="BH193" i="10"/>
  <c r="BH194" i="10"/>
  <c r="BH196" i="10"/>
  <c r="AE60" i="10"/>
  <c r="AF53" i="10"/>
  <c r="BM195" i="10"/>
  <c r="BM196" i="10"/>
  <c r="BM193" i="10"/>
  <c r="BM194" i="10"/>
  <c r="BC195" i="10"/>
  <c r="BC196" i="10"/>
  <c r="BC193" i="10"/>
  <c r="BC194" i="10"/>
  <c r="CE195" i="10"/>
  <c r="CE193" i="10"/>
  <c r="CE194" i="10"/>
  <c r="CE196" i="10"/>
  <c r="AI195" i="10"/>
  <c r="AI193" i="10"/>
  <c r="AI196" i="10"/>
  <c r="AI194" i="10"/>
  <c r="AX195" i="10"/>
  <c r="AX194" i="10"/>
  <c r="AX196" i="10"/>
  <c r="AX193" i="10"/>
  <c r="S195" i="10"/>
  <c r="S196" i="10"/>
  <c r="S193" i="10"/>
  <c r="S194" i="10"/>
  <c r="N195" i="10"/>
  <c r="N196" i="10"/>
  <c r="N193" i="10"/>
  <c r="N194" i="10"/>
  <c r="AB195" i="10"/>
  <c r="AB193" i="10"/>
  <c r="AB194" i="10"/>
  <c r="AB196" i="10"/>
  <c r="BX195" i="10"/>
  <c r="BX196" i="10"/>
  <c r="BX193" i="10"/>
  <c r="BX194" i="10"/>
  <c r="AO195" i="10"/>
  <c r="AO196" i="10"/>
  <c r="AO193" i="10"/>
  <c r="AO194" i="10"/>
  <c r="AS195" i="10"/>
  <c r="AS196" i="10"/>
  <c r="AS193" i="10"/>
  <c r="AS194" i="10"/>
  <c r="CB195" i="10"/>
  <c r="CB196" i="10"/>
  <c r="CB193" i="10"/>
  <c r="CB194" i="10"/>
  <c r="BO195" i="10"/>
  <c r="BO196" i="10"/>
  <c r="BO193" i="10"/>
  <c r="BO194" i="10"/>
  <c r="O195" i="10"/>
  <c r="O193" i="10"/>
  <c r="O194" i="10"/>
  <c r="O196" i="10"/>
  <c r="BZ195" i="10"/>
  <c r="BZ193" i="10"/>
  <c r="BZ196" i="10"/>
  <c r="BZ194" i="10"/>
  <c r="BL195" i="10"/>
  <c r="BL196" i="10"/>
  <c r="BL193" i="10"/>
  <c r="BL194" i="10"/>
  <c r="K195" i="10"/>
  <c r="K193" i="10"/>
  <c r="K194" i="10"/>
  <c r="K196" i="10"/>
  <c r="F195" i="10"/>
  <c r="F193" i="10"/>
  <c r="F196" i="10"/>
  <c r="F194" i="10"/>
  <c r="W195" i="10"/>
  <c r="W196" i="10"/>
  <c r="W193" i="10"/>
  <c r="W194" i="10"/>
  <c r="R195" i="10"/>
  <c r="R193" i="10"/>
  <c r="R194" i="10"/>
  <c r="R196" i="10"/>
  <c r="AF107" i="8"/>
  <c r="AE114" i="8"/>
  <c r="AE121" i="8" s="1"/>
  <c r="AQ195" i="10"/>
  <c r="AQ194" i="10"/>
  <c r="AQ196" i="10"/>
  <c r="AQ193" i="10"/>
  <c r="G195" i="10"/>
  <c r="G193" i="10"/>
  <c r="G194" i="10"/>
  <c r="G196" i="10"/>
  <c r="AW195" i="10"/>
  <c r="AW193" i="10"/>
  <c r="AW194" i="10"/>
  <c r="AW196" i="10"/>
  <c r="CD195" i="10"/>
  <c r="CD196" i="10"/>
  <c r="CD193" i="10"/>
  <c r="CD194" i="10"/>
  <c r="CF195" i="10"/>
  <c r="CF196" i="10"/>
  <c r="CF193" i="10"/>
  <c r="CF194" i="10"/>
  <c r="AF54" i="10"/>
  <c r="AE61" i="10"/>
  <c r="AJ195" i="10"/>
  <c r="AJ196" i="10"/>
  <c r="AJ193" i="10"/>
  <c r="AJ194" i="10"/>
  <c r="E195" i="10"/>
  <c r="E193" i="10"/>
  <c r="E194" i="10"/>
  <c r="E196" i="10"/>
  <c r="AL195" i="10"/>
  <c r="AL196" i="10"/>
  <c r="AL193" i="10"/>
  <c r="AL194" i="10"/>
  <c r="BW195" i="10"/>
  <c r="BW196" i="10"/>
  <c r="BW193" i="10"/>
  <c r="BW194" i="10"/>
  <c r="AR195" i="10"/>
  <c r="AR196" i="10"/>
  <c r="AR193" i="10"/>
  <c r="AR194" i="10"/>
  <c r="CA195" i="10"/>
  <c r="CA193" i="10"/>
  <c r="CA194" i="10"/>
  <c r="CA196" i="10"/>
  <c r="AE115" i="8"/>
  <c r="AE122" i="8" s="1"/>
  <c r="AF108" i="8"/>
  <c r="AN195" i="10"/>
  <c r="AN193" i="10"/>
  <c r="AN194" i="10"/>
  <c r="AN196" i="10"/>
  <c r="BE195" i="10"/>
  <c r="BE193" i="10"/>
  <c r="BE194" i="10"/>
  <c r="BE196" i="10"/>
  <c r="BV195" i="10"/>
  <c r="BV196" i="10"/>
  <c r="BV194" i="10"/>
  <c r="BV193" i="10"/>
  <c r="I195" i="10"/>
  <c r="I193" i="10"/>
  <c r="I194" i="10"/>
  <c r="I196" i="10"/>
  <c r="BI195" i="10"/>
  <c r="BI193" i="10"/>
  <c r="BI194" i="10"/>
  <c r="BI196" i="10"/>
  <c r="AE62" i="10"/>
  <c r="AF55" i="10"/>
  <c r="BR195" i="10"/>
  <c r="BR196" i="10"/>
  <c r="BR193" i="10"/>
  <c r="BR194" i="10"/>
  <c r="T195" i="10"/>
  <c r="T196" i="10"/>
  <c r="T193" i="10"/>
  <c r="T194" i="10"/>
  <c r="AF106" i="8"/>
  <c r="AE113" i="8"/>
  <c r="AE120" i="8" s="1"/>
  <c r="BY195" i="10"/>
  <c r="BY196" i="10"/>
  <c r="BY193" i="10"/>
  <c r="BY194" i="10"/>
  <c r="V195" i="10"/>
  <c r="V193" i="10"/>
  <c r="V194" i="10"/>
  <c r="V196" i="10"/>
  <c r="P195" i="10"/>
  <c r="P193" i="10"/>
  <c r="P194" i="10"/>
  <c r="P196" i="10"/>
  <c r="AZ195" i="10"/>
  <c r="AZ193" i="10"/>
  <c r="AZ196" i="10"/>
  <c r="AZ194" i="10"/>
  <c r="Q195" i="10"/>
  <c r="Q196" i="10"/>
  <c r="Q194" i="10"/>
  <c r="Q193" i="10"/>
  <c r="AP195" i="10"/>
  <c r="AP194" i="10"/>
  <c r="AP196" i="10"/>
  <c r="AP193" i="10"/>
  <c r="CC195" i="10"/>
  <c r="CC196" i="10"/>
  <c r="CC194" i="10"/>
  <c r="CC193" i="10"/>
  <c r="AF109" i="8"/>
  <c r="AE116" i="8"/>
  <c r="AE123" i="8" s="1"/>
  <c r="AK195" i="10"/>
  <c r="AK196" i="10"/>
  <c r="AK193" i="10"/>
  <c r="AK194" i="10"/>
  <c r="AF195" i="10"/>
  <c r="AF196" i="10"/>
  <c r="AF193" i="10"/>
  <c r="AF194" i="10"/>
  <c r="AV195" i="10"/>
  <c r="AV193" i="10"/>
  <c r="AV196" i="10"/>
  <c r="AV194" i="10"/>
  <c r="BF195" i="10"/>
  <c r="BF193" i="10"/>
  <c r="BF194" i="10"/>
  <c r="BF196" i="10"/>
  <c r="BQ195" i="10"/>
  <c r="BQ196" i="10"/>
  <c r="BQ193" i="10"/>
  <c r="BQ194" i="10"/>
  <c r="BB195" i="10"/>
  <c r="BB193" i="10"/>
  <c r="BB194" i="10"/>
  <c r="BB196" i="10"/>
  <c r="Z195" i="10"/>
  <c r="Z194" i="10"/>
  <c r="Z196" i="10"/>
  <c r="Z193" i="10"/>
  <c r="AH195" i="10"/>
  <c r="AH196" i="10"/>
  <c r="AH193" i="10"/>
  <c r="AH194" i="10"/>
  <c r="AM195" i="10"/>
  <c r="AM196" i="10"/>
  <c r="AM193" i="10"/>
  <c r="AM194" i="10"/>
  <c r="BJ195" i="10"/>
  <c r="BJ196" i="10"/>
  <c r="BJ193" i="10"/>
  <c r="BJ194" i="10"/>
  <c r="X195" i="10"/>
  <c r="X196" i="10"/>
  <c r="X193" i="10"/>
  <c r="X194" i="10"/>
  <c r="H195" i="10"/>
  <c r="H196" i="10"/>
  <c r="H193" i="10"/>
  <c r="H194" i="10"/>
  <c r="BD195" i="10"/>
  <c r="BD193" i="10"/>
  <c r="BD194" i="10"/>
  <c r="BD196" i="10"/>
  <c r="AE195" i="10"/>
  <c r="AE196" i="10"/>
  <c r="AE194" i="10"/>
  <c r="AE193" i="10"/>
  <c r="AG108" i="8" l="1"/>
  <c r="AF115" i="8"/>
  <c r="AF122" i="8" s="1"/>
  <c r="AG54" i="10"/>
  <c r="AF61" i="10"/>
  <c r="AG107" i="8"/>
  <c r="AF114" i="8"/>
  <c r="AF121" i="8" s="1"/>
  <c r="AG106" i="8"/>
  <c r="AF113" i="8"/>
  <c r="AF120" i="8" s="1"/>
  <c r="AG53" i="10"/>
  <c r="AF60" i="10"/>
  <c r="AF59" i="10"/>
  <c r="AG52" i="10"/>
  <c r="AF116" i="8"/>
  <c r="AF123" i="8" s="1"/>
  <c r="AG109" i="8"/>
  <c r="AF62" i="10"/>
  <c r="AG55" i="10"/>
  <c r="AG62" i="10" l="1"/>
  <c r="AH55" i="10"/>
  <c r="AH109" i="8"/>
  <c r="AG116" i="8"/>
  <c r="AG123" i="8" s="1"/>
  <c r="AH52" i="10"/>
  <c r="AG59" i="10"/>
  <c r="AH54" i="10"/>
  <c r="AG61" i="10"/>
  <c r="AH108" i="8"/>
  <c r="AG115" i="8"/>
  <c r="AG122" i="8" s="1"/>
  <c r="AH106" i="8"/>
  <c r="AG113" i="8"/>
  <c r="AG120" i="8" s="1"/>
  <c r="AH107" i="8"/>
  <c r="AG114" i="8"/>
  <c r="AG121" i="8" s="1"/>
  <c r="AG60" i="10"/>
  <c r="AH53" i="10"/>
  <c r="AI109" i="8" l="1"/>
  <c r="AH116" i="8"/>
  <c r="AH123" i="8" s="1"/>
  <c r="AH62" i="10"/>
  <c r="AI55" i="10"/>
  <c r="AH61" i="10"/>
  <c r="AI54" i="10"/>
  <c r="AI106" i="8"/>
  <c r="AH113" i="8"/>
  <c r="AH120" i="8" s="1"/>
  <c r="AI108" i="8"/>
  <c r="AH115" i="8"/>
  <c r="AH122" i="8" s="1"/>
  <c r="AH114" i="8"/>
  <c r="AH121" i="8" s="1"/>
  <c r="AI107" i="8"/>
  <c r="AI53" i="10"/>
  <c r="AH60" i="10"/>
  <c r="AH59" i="10"/>
  <c r="AI52" i="10"/>
  <c r="AJ52" i="10" l="1"/>
  <c r="AI59" i="10"/>
  <c r="AI114" i="8"/>
  <c r="AI121" i="8" s="1"/>
  <c r="AJ107" i="8"/>
  <c r="AJ106" i="8"/>
  <c r="AI113" i="8"/>
  <c r="AI120" i="8" s="1"/>
  <c r="AJ55" i="10"/>
  <c r="AI62" i="10"/>
  <c r="AI60" i="10"/>
  <c r="AJ53" i="10"/>
  <c r="AJ109" i="8"/>
  <c r="AI116" i="8"/>
  <c r="AI123" i="8" s="1"/>
  <c r="AJ108" i="8"/>
  <c r="AI115" i="8"/>
  <c r="AI122" i="8" s="1"/>
  <c r="AJ54" i="10"/>
  <c r="AI61" i="10"/>
  <c r="AJ116" i="8" l="1"/>
  <c r="AJ123" i="8" s="1"/>
  <c r="AK109" i="8"/>
  <c r="AK108" i="8"/>
  <c r="AJ115" i="8"/>
  <c r="AJ122" i="8" s="1"/>
  <c r="AJ61" i="10"/>
  <c r="AK54" i="10"/>
  <c r="AK106" i="8"/>
  <c r="AJ113" i="8"/>
  <c r="AJ120" i="8" s="1"/>
  <c r="AK53" i="10"/>
  <c r="AJ60" i="10"/>
  <c r="AK55" i="10"/>
  <c r="AJ62" i="10"/>
  <c r="AK107" i="8"/>
  <c r="AJ114" i="8"/>
  <c r="AJ121" i="8" s="1"/>
  <c r="AK52" i="10"/>
  <c r="AJ59" i="10"/>
  <c r="AL55" i="10" l="1"/>
  <c r="AK62" i="10"/>
  <c r="AL53" i="10"/>
  <c r="AK60" i="10"/>
  <c r="AK59" i="10"/>
  <c r="AL52" i="10"/>
  <c r="AL54" i="10"/>
  <c r="AK61" i="10"/>
  <c r="AL109" i="8"/>
  <c r="AK116" i="8"/>
  <c r="AK123" i="8" s="1"/>
  <c r="AL107" i="8"/>
  <c r="AK114" i="8"/>
  <c r="AK121" i="8" s="1"/>
  <c r="AL106" i="8"/>
  <c r="AK113" i="8"/>
  <c r="AK120" i="8" s="1"/>
  <c r="AL108" i="8"/>
  <c r="AK115" i="8"/>
  <c r="AK122" i="8" s="1"/>
  <c r="AL59" i="10" l="1"/>
  <c r="AM52" i="10"/>
  <c r="AM54" i="10"/>
  <c r="AL61" i="10"/>
  <c r="AM108" i="8"/>
  <c r="AL115" i="8"/>
  <c r="AL122" i="8" s="1"/>
  <c r="AM107" i="8"/>
  <c r="AL114" i="8"/>
  <c r="AL121" i="8" s="1"/>
  <c r="AM53" i="10"/>
  <c r="AL60" i="10"/>
  <c r="AL62" i="10"/>
  <c r="AM55" i="10"/>
  <c r="AL116" i="8"/>
  <c r="AL123" i="8" s="1"/>
  <c r="AM109" i="8"/>
  <c r="AM106" i="8"/>
  <c r="AL113" i="8"/>
  <c r="AL120" i="8" s="1"/>
  <c r="AM59" i="10" l="1"/>
  <c r="AN52" i="10"/>
  <c r="AM60" i="10"/>
  <c r="AN53" i="10"/>
  <c r="AN106" i="8"/>
  <c r="AM113" i="8"/>
  <c r="AM120" i="8" s="1"/>
  <c r="AM62" i="10"/>
  <c r="AN55" i="10"/>
  <c r="AM116" i="8"/>
  <c r="AM123" i="8" s="1"/>
  <c r="AN109" i="8"/>
  <c r="AM115" i="8"/>
  <c r="AM122" i="8" s="1"/>
  <c r="AN108" i="8"/>
  <c r="AM61" i="10"/>
  <c r="AN54" i="10"/>
  <c r="AN107" i="8"/>
  <c r="AM114" i="8"/>
  <c r="AM121" i="8" s="1"/>
  <c r="AO107" i="8" l="1"/>
  <c r="AN114" i="8"/>
  <c r="AN121" i="8" s="1"/>
  <c r="AN59" i="10"/>
  <c r="AO52" i="10"/>
  <c r="AO108" i="8"/>
  <c r="AN115" i="8"/>
  <c r="AN122" i="8" s="1"/>
  <c r="AO55" i="10"/>
  <c r="AN62" i="10"/>
  <c r="AN61" i="10"/>
  <c r="AO54" i="10"/>
  <c r="AO106" i="8"/>
  <c r="AN113" i="8"/>
  <c r="AN120" i="8" s="1"/>
  <c r="AO53" i="10"/>
  <c r="AN60" i="10"/>
  <c r="AO109" i="8"/>
  <c r="AN116" i="8"/>
  <c r="AN123" i="8" s="1"/>
  <c r="AP106" i="8" l="1"/>
  <c r="AO113" i="8"/>
  <c r="AO120" i="8" s="1"/>
  <c r="AP108" i="8"/>
  <c r="AO115" i="8"/>
  <c r="AO122" i="8" s="1"/>
  <c r="AP54" i="10"/>
  <c r="AO61" i="10"/>
  <c r="AO59" i="10"/>
  <c r="AP52" i="10"/>
  <c r="AP109" i="8"/>
  <c r="AO116" i="8"/>
  <c r="AO123" i="8" s="1"/>
  <c r="AO60" i="10"/>
  <c r="AP53" i="10"/>
  <c r="AO62" i="10"/>
  <c r="AP55" i="10"/>
  <c r="AP107" i="8"/>
  <c r="AO114" i="8"/>
  <c r="AO121" i="8" s="1"/>
  <c r="AP114" i="8" l="1"/>
  <c r="AP121" i="8" s="1"/>
  <c r="AQ107" i="8"/>
  <c r="AQ55" i="10"/>
  <c r="AP62" i="10"/>
  <c r="AP61" i="10"/>
  <c r="AQ54" i="10"/>
  <c r="AP113" i="8"/>
  <c r="AP120" i="8" s="1"/>
  <c r="AQ106" i="8"/>
  <c r="AP59" i="10"/>
  <c r="AQ52" i="10"/>
  <c r="AQ53" i="10"/>
  <c r="AP60" i="10"/>
  <c r="AQ109" i="8"/>
  <c r="AP116" i="8"/>
  <c r="AP123" i="8" s="1"/>
  <c r="AQ108" i="8"/>
  <c r="AP115" i="8"/>
  <c r="AP122" i="8" s="1"/>
  <c r="AR54" i="10" l="1"/>
  <c r="AQ61" i="10"/>
  <c r="AR109" i="8"/>
  <c r="AQ116" i="8"/>
  <c r="AQ123" i="8" s="1"/>
  <c r="AR53" i="10"/>
  <c r="AQ60" i="10"/>
  <c r="AR108" i="8"/>
  <c r="AQ115" i="8"/>
  <c r="AQ122" i="8" s="1"/>
  <c r="AQ62" i="10"/>
  <c r="AR55" i="10"/>
  <c r="AQ59" i="10"/>
  <c r="AR52" i="10"/>
  <c r="AR107" i="8"/>
  <c r="AQ114" i="8"/>
  <c r="AQ121" i="8" s="1"/>
  <c r="AR106" i="8"/>
  <c r="AQ113" i="8"/>
  <c r="AQ120" i="8" s="1"/>
  <c r="AR60" i="10" l="1"/>
  <c r="AS53" i="10"/>
  <c r="AS108" i="8"/>
  <c r="AR115" i="8"/>
  <c r="AR122" i="8" s="1"/>
  <c r="AR116" i="8"/>
  <c r="AR123" i="8" s="1"/>
  <c r="AS109" i="8"/>
  <c r="AS54" i="10"/>
  <c r="AR61" i="10"/>
  <c r="AS106" i="8"/>
  <c r="AR113" i="8"/>
  <c r="AR120" i="8" s="1"/>
  <c r="AR114" i="8"/>
  <c r="AR121" i="8" s="1"/>
  <c r="AS107" i="8"/>
  <c r="AS52" i="10"/>
  <c r="AR59" i="10"/>
  <c r="AS55" i="10"/>
  <c r="AR62" i="10"/>
  <c r="AT54" i="10" l="1"/>
  <c r="AS61" i="10"/>
  <c r="AT109" i="8"/>
  <c r="AS116" i="8"/>
  <c r="AS123" i="8" s="1"/>
  <c r="AT108" i="8"/>
  <c r="AS115" i="8"/>
  <c r="AS122" i="8" s="1"/>
  <c r="AS59" i="10"/>
  <c r="AT52" i="10"/>
  <c r="AT107" i="8"/>
  <c r="AS114" i="8"/>
  <c r="AS121" i="8" s="1"/>
  <c r="AT106" i="8"/>
  <c r="AS113" i="8"/>
  <c r="AS120" i="8" s="1"/>
  <c r="AS60" i="10"/>
  <c r="AT53" i="10"/>
  <c r="AT55" i="10"/>
  <c r="AS62" i="10"/>
  <c r="E82" i="10" l="1"/>
  <c r="E89" i="10" s="1"/>
  <c r="E96" i="10" s="1"/>
  <c r="H83" i="10"/>
  <c r="H90" i="10" s="1"/>
  <c r="H97" i="10" s="1"/>
  <c r="J163" i="8"/>
  <c r="J170" i="8" s="1"/>
  <c r="K85" i="10"/>
  <c r="K92" i="10" s="1"/>
  <c r="K99" i="10" s="1"/>
  <c r="I163" i="8"/>
  <c r="I170" i="8" s="1"/>
  <c r="F166" i="8"/>
  <c r="F173" i="8" s="1"/>
  <c r="F165" i="8"/>
  <c r="F172" i="8" s="1"/>
  <c r="F84" i="10"/>
  <c r="F91" i="10" s="1"/>
  <c r="F98" i="10" s="1"/>
  <c r="AU53" i="10"/>
  <c r="AT60" i="10"/>
  <c r="AU108" i="8"/>
  <c r="AT115" i="8"/>
  <c r="AT122" i="8" s="1"/>
  <c r="H165" i="8"/>
  <c r="H172" i="8" s="1"/>
  <c r="H84" i="10"/>
  <c r="H91" i="10" s="1"/>
  <c r="H98" i="10" s="1"/>
  <c r="AU106" i="8"/>
  <c r="AT113" i="8"/>
  <c r="AT120" i="8" s="1"/>
  <c r="AU52" i="10"/>
  <c r="AT59" i="10"/>
  <c r="L165" i="8"/>
  <c r="L172" i="8" s="1"/>
  <c r="L84" i="10"/>
  <c r="L91" i="10" s="1"/>
  <c r="L98" i="10" s="1"/>
  <c r="J82" i="10"/>
  <c r="J89" i="10" s="1"/>
  <c r="J96" i="10" s="1"/>
  <c r="I82" i="10"/>
  <c r="I89" i="10" s="1"/>
  <c r="I96" i="10" s="1"/>
  <c r="E164" i="8"/>
  <c r="E171" i="8" s="1"/>
  <c r="E83" i="10"/>
  <c r="E90" i="10" s="1"/>
  <c r="E97" i="10" s="1"/>
  <c r="AU109" i="8"/>
  <c r="AT116" i="8"/>
  <c r="AT123" i="8" s="1"/>
  <c r="AU107" i="8"/>
  <c r="AT114" i="8"/>
  <c r="AT121" i="8" s="1"/>
  <c r="E165" i="8"/>
  <c r="E172" i="8" s="1"/>
  <c r="E84" i="10"/>
  <c r="E91" i="10" s="1"/>
  <c r="E98" i="10" s="1"/>
  <c r="J83" i="10"/>
  <c r="J90" i="10" s="1"/>
  <c r="J97" i="10" s="1"/>
  <c r="J164" i="8"/>
  <c r="J171" i="8" s="1"/>
  <c r="I84" i="10"/>
  <c r="I91" i="10" s="1"/>
  <c r="I98" i="10" s="1"/>
  <c r="I165" i="8"/>
  <c r="I172" i="8" s="1"/>
  <c r="F85" i="10"/>
  <c r="F92" i="10" s="1"/>
  <c r="F99" i="10" s="1"/>
  <c r="AU54" i="10"/>
  <c r="AT61" i="10"/>
  <c r="K84" i="10"/>
  <c r="K91" i="10" s="1"/>
  <c r="K98" i="10" s="1"/>
  <c r="K165" i="8"/>
  <c r="K172" i="8" s="1"/>
  <c r="J84" i="10"/>
  <c r="J91" i="10" s="1"/>
  <c r="J98" i="10" s="1"/>
  <c r="J165" i="8"/>
  <c r="J172" i="8" s="1"/>
  <c r="G83" i="10"/>
  <c r="G90" i="10" s="1"/>
  <c r="G97" i="10" s="1"/>
  <c r="G164" i="8"/>
  <c r="G171" i="8" s="1"/>
  <c r="G165" i="8"/>
  <c r="G172" i="8" s="1"/>
  <c r="G84" i="10"/>
  <c r="G91" i="10" s="1"/>
  <c r="G98" i="10" s="1"/>
  <c r="AT62" i="10"/>
  <c r="AU55" i="10"/>
  <c r="E163" i="8" l="1"/>
  <c r="E170" i="8" s="1"/>
  <c r="E177" i="8" s="1"/>
  <c r="K166" i="8"/>
  <c r="K173" i="8" s="1"/>
  <c r="K180" i="8" s="1"/>
  <c r="H164" i="8"/>
  <c r="H171" i="8" s="1"/>
  <c r="F45" i="13" s="1"/>
  <c r="G179" i="8"/>
  <c r="E46" i="13"/>
  <c r="E45" i="13"/>
  <c r="G178" i="8"/>
  <c r="F180" i="8"/>
  <c r="D47" i="13"/>
  <c r="L166" i="8"/>
  <c r="L173" i="8" s="1"/>
  <c r="L85" i="10"/>
  <c r="L92" i="10" s="1"/>
  <c r="L99" i="10" s="1"/>
  <c r="AU59" i="10"/>
  <c r="AV52" i="10"/>
  <c r="AU60" i="10"/>
  <c r="AV53" i="10"/>
  <c r="AU114" i="8"/>
  <c r="AU121" i="8" s="1"/>
  <c r="AV107" i="8"/>
  <c r="H179" i="8"/>
  <c r="F46" i="13"/>
  <c r="I83" i="10"/>
  <c r="I90" i="10" s="1"/>
  <c r="I97" i="10" s="1"/>
  <c r="I164" i="8"/>
  <c r="I171" i="8" s="1"/>
  <c r="L179" i="8"/>
  <c r="J46" i="13"/>
  <c r="AV106" i="8"/>
  <c r="AU113" i="8"/>
  <c r="AU120" i="8" s="1"/>
  <c r="E166" i="8"/>
  <c r="E173" i="8" s="1"/>
  <c r="E85" i="10"/>
  <c r="E92" i="10" s="1"/>
  <c r="E99" i="10" s="1"/>
  <c r="H166" i="8"/>
  <c r="H173" i="8" s="1"/>
  <c r="H85" i="10"/>
  <c r="H92" i="10" s="1"/>
  <c r="H99" i="10" s="1"/>
  <c r="D46" i="13"/>
  <c r="F179" i="8"/>
  <c r="F164" i="8"/>
  <c r="F171" i="8" s="1"/>
  <c r="F83" i="10"/>
  <c r="F90" i="10" s="1"/>
  <c r="F97" i="10" s="1"/>
  <c r="J179" i="8"/>
  <c r="H46" i="13"/>
  <c r="AU61" i="10"/>
  <c r="AV54" i="10"/>
  <c r="H45" i="13"/>
  <c r="J178" i="8"/>
  <c r="C46" i="13"/>
  <c r="E179" i="8"/>
  <c r="H163" i="8"/>
  <c r="H170" i="8" s="1"/>
  <c r="H82" i="10"/>
  <c r="H89" i="10" s="1"/>
  <c r="H96" i="10" s="1"/>
  <c r="K82" i="10"/>
  <c r="K89" i="10" s="1"/>
  <c r="K96" i="10" s="1"/>
  <c r="K163" i="8"/>
  <c r="K170" i="8" s="1"/>
  <c r="F82" i="10"/>
  <c r="F89" i="10" s="1"/>
  <c r="F96" i="10" s="1"/>
  <c r="F163" i="8"/>
  <c r="F170" i="8" s="1"/>
  <c r="L83" i="10"/>
  <c r="L90" i="10" s="1"/>
  <c r="L97" i="10" s="1"/>
  <c r="L164" i="8"/>
  <c r="L171" i="8" s="1"/>
  <c r="AV109" i="8"/>
  <c r="AU116" i="8"/>
  <c r="AU123" i="8" s="1"/>
  <c r="C45" i="13"/>
  <c r="E178" i="8"/>
  <c r="H44" i="13"/>
  <c r="J177" i="8"/>
  <c r="K179" i="8"/>
  <c r="I46" i="13"/>
  <c r="I179" i="8"/>
  <c r="G46" i="13"/>
  <c r="G82" i="10"/>
  <c r="G89" i="10" s="1"/>
  <c r="G96" i="10" s="1"/>
  <c r="G163" i="8"/>
  <c r="G170" i="8" s="1"/>
  <c r="I166" i="8"/>
  <c r="I173" i="8" s="1"/>
  <c r="I85" i="10"/>
  <c r="I92" i="10" s="1"/>
  <c r="I99" i="10" s="1"/>
  <c r="L82" i="10"/>
  <c r="L89" i="10" s="1"/>
  <c r="L96" i="10" s="1"/>
  <c r="L163" i="8"/>
  <c r="L170" i="8" s="1"/>
  <c r="AV108" i="8"/>
  <c r="AU115" i="8"/>
  <c r="AU122" i="8" s="1"/>
  <c r="J166" i="8"/>
  <c r="J173" i="8" s="1"/>
  <c r="J85" i="10"/>
  <c r="J92" i="10" s="1"/>
  <c r="J99" i="10" s="1"/>
  <c r="K164" i="8"/>
  <c r="K171" i="8" s="1"/>
  <c r="K83" i="10"/>
  <c r="K90" i="10" s="1"/>
  <c r="K97" i="10" s="1"/>
  <c r="AU62" i="10"/>
  <c r="AV55" i="10"/>
  <c r="I177" i="8"/>
  <c r="G44" i="13"/>
  <c r="G166" i="8"/>
  <c r="G173" i="8" s="1"/>
  <c r="G85" i="10"/>
  <c r="G92" i="10" s="1"/>
  <c r="G99" i="10" s="1"/>
  <c r="H178" i="8" l="1"/>
  <c r="I47" i="13"/>
  <c r="C44" i="13"/>
  <c r="H180" i="8"/>
  <c r="F47" i="13"/>
  <c r="AW108" i="8"/>
  <c r="AV115" i="8"/>
  <c r="AV122" i="8" s="1"/>
  <c r="F178" i="8"/>
  <c r="D45" i="13"/>
  <c r="C47" i="13"/>
  <c r="E180" i="8"/>
  <c r="AW107" i="8"/>
  <c r="AV114" i="8"/>
  <c r="AV121" i="8" s="1"/>
  <c r="AV60" i="10"/>
  <c r="AW53" i="10"/>
  <c r="AV62" i="10"/>
  <c r="AW55" i="10"/>
  <c r="L177" i="8"/>
  <c r="J44" i="13"/>
  <c r="J45" i="13"/>
  <c r="L178" i="8"/>
  <c r="K177" i="8"/>
  <c r="I44" i="13"/>
  <c r="AW106" i="8"/>
  <c r="AV113" i="8"/>
  <c r="AV120" i="8" s="1"/>
  <c r="I45" i="13"/>
  <c r="K178" i="8"/>
  <c r="AV61" i="10"/>
  <c r="AW54" i="10"/>
  <c r="L180" i="8"/>
  <c r="J47" i="13"/>
  <c r="I180" i="8"/>
  <c r="G47" i="13"/>
  <c r="D44" i="13"/>
  <c r="F177" i="8"/>
  <c r="I178" i="8"/>
  <c r="G45" i="13"/>
  <c r="AV59" i="10"/>
  <c r="AW52" i="10"/>
  <c r="AV116" i="8"/>
  <c r="AV123" i="8" s="1"/>
  <c r="AW109" i="8"/>
  <c r="G180" i="8"/>
  <c r="E47" i="13"/>
  <c r="J180" i="8"/>
  <c r="H47" i="13"/>
  <c r="E44" i="13"/>
  <c r="G177" i="8"/>
  <c r="F44" i="13"/>
  <c r="H177" i="8"/>
  <c r="AX53" i="10" l="1"/>
  <c r="AW60" i="10"/>
  <c r="AX54" i="10"/>
  <c r="AW61" i="10"/>
  <c r="AW62" i="10"/>
  <c r="AX55" i="10"/>
  <c r="AX108" i="8"/>
  <c r="AW115" i="8"/>
  <c r="AW122" i="8" s="1"/>
  <c r="AW59" i="10"/>
  <c r="AX52" i="10"/>
  <c r="AX107" i="8"/>
  <c r="AW114" i="8"/>
  <c r="AW121" i="8" s="1"/>
  <c r="AX106" i="8"/>
  <c r="AW113" i="8"/>
  <c r="AW120" i="8" s="1"/>
  <c r="AX109" i="8"/>
  <c r="AW116" i="8"/>
  <c r="AW123" i="8" s="1"/>
  <c r="AY109" i="8" l="1"/>
  <c r="AX116" i="8"/>
  <c r="AX123" i="8" s="1"/>
  <c r="AY108" i="8"/>
  <c r="AX115" i="8"/>
  <c r="AX122" i="8" s="1"/>
  <c r="AY53" i="10"/>
  <c r="AX60" i="10"/>
  <c r="AY106" i="8"/>
  <c r="AX113" i="8"/>
  <c r="AX120" i="8" s="1"/>
  <c r="AY55" i="10"/>
  <c r="AX62" i="10"/>
  <c r="AX114" i="8"/>
  <c r="AX121" i="8" s="1"/>
  <c r="AY107" i="8"/>
  <c r="AY54" i="10"/>
  <c r="AX61" i="10"/>
  <c r="AY52" i="10"/>
  <c r="AX59" i="10"/>
  <c r="AZ55" i="10" l="1"/>
  <c r="AY62" i="10"/>
  <c r="AZ106" i="8"/>
  <c r="AY113" i="8"/>
  <c r="AY120" i="8" s="1"/>
  <c r="AZ108" i="8"/>
  <c r="AY115" i="8"/>
  <c r="AY122" i="8" s="1"/>
  <c r="AY59" i="10"/>
  <c r="AZ52" i="10"/>
  <c r="AY60" i="10"/>
  <c r="AZ53" i="10"/>
  <c r="AY114" i="8"/>
  <c r="AY121" i="8" s="1"/>
  <c r="AZ107" i="8"/>
  <c r="AZ109" i="8"/>
  <c r="AY116" i="8"/>
  <c r="AY123" i="8" s="1"/>
  <c r="AY61" i="10"/>
  <c r="AZ54" i="10"/>
  <c r="BA109" i="8" l="1"/>
  <c r="AZ116" i="8"/>
  <c r="AZ123" i="8" s="1"/>
  <c r="BA52" i="10"/>
  <c r="AZ59" i="10"/>
  <c r="BA53" i="10"/>
  <c r="AZ60" i="10"/>
  <c r="BA108" i="8"/>
  <c r="AZ115" i="8"/>
  <c r="AZ122" i="8" s="1"/>
  <c r="BA54" i="10"/>
  <c r="AZ61" i="10"/>
  <c r="BA106" i="8"/>
  <c r="AZ113" i="8"/>
  <c r="AZ120" i="8" s="1"/>
  <c r="BA107" i="8"/>
  <c r="AZ114" i="8"/>
  <c r="AZ121" i="8" s="1"/>
  <c r="AZ62" i="10"/>
  <c r="BA55" i="10"/>
  <c r="BB109" i="8" l="1"/>
  <c r="BA116" i="8"/>
  <c r="BA123" i="8" s="1"/>
  <c r="BB108" i="8"/>
  <c r="BA115" i="8"/>
  <c r="BA122" i="8" s="1"/>
  <c r="BA60" i="10"/>
  <c r="BB53" i="10"/>
  <c r="BB52" i="10"/>
  <c r="BA59" i="10"/>
  <c r="BB107" i="8"/>
  <c r="BA114" i="8"/>
  <c r="BA121" i="8" s="1"/>
  <c r="BB106" i="8"/>
  <c r="BA113" i="8"/>
  <c r="BA120" i="8" s="1"/>
  <c r="BA62" i="10"/>
  <c r="BB55" i="10"/>
  <c r="BB54" i="10"/>
  <c r="BA61" i="10"/>
  <c r="BC108" i="8" l="1"/>
  <c r="BB115" i="8"/>
  <c r="BB122" i="8" s="1"/>
  <c r="BB61" i="10"/>
  <c r="BC54" i="10"/>
  <c r="BC55" i="10"/>
  <c r="BB62" i="10"/>
  <c r="BC106" i="8"/>
  <c r="BB113" i="8"/>
  <c r="BB120" i="8" s="1"/>
  <c r="BC52" i="10"/>
  <c r="BB59" i="10"/>
  <c r="BB60" i="10"/>
  <c r="BC53" i="10"/>
  <c r="BB114" i="8"/>
  <c r="BB121" i="8" s="1"/>
  <c r="BC107" i="8"/>
  <c r="BC109" i="8"/>
  <c r="BB116" i="8"/>
  <c r="BB123" i="8" s="1"/>
  <c r="BD106" i="8" l="1"/>
  <c r="BC113" i="8"/>
  <c r="BC120" i="8" s="1"/>
  <c r="BD109" i="8"/>
  <c r="BC116" i="8"/>
  <c r="BC123" i="8" s="1"/>
  <c r="BC62" i="10"/>
  <c r="BD55" i="10"/>
  <c r="BC114" i="8"/>
  <c r="BC121" i="8" s="1"/>
  <c r="BD107" i="8"/>
  <c r="BC61" i="10"/>
  <c r="BD54" i="10"/>
  <c r="BC60" i="10"/>
  <c r="BD53" i="10"/>
  <c r="BC59" i="10"/>
  <c r="BD52" i="10"/>
  <c r="BD108" i="8"/>
  <c r="BC115" i="8"/>
  <c r="BC122" i="8" s="1"/>
  <c r="BE108" i="8" l="1"/>
  <c r="BD115" i="8"/>
  <c r="BD122" i="8" s="1"/>
  <c r="BE52" i="10"/>
  <c r="BD59" i="10"/>
  <c r="BE107" i="8"/>
  <c r="BD114" i="8"/>
  <c r="BD121" i="8" s="1"/>
  <c r="BE106" i="8"/>
  <c r="BD113" i="8"/>
  <c r="BD120" i="8" s="1"/>
  <c r="BE53" i="10"/>
  <c r="BD60" i="10"/>
  <c r="BE109" i="8"/>
  <c r="BD116" i="8"/>
  <c r="BD123" i="8" s="1"/>
  <c r="BD61" i="10"/>
  <c r="BE54" i="10"/>
  <c r="BD62" i="10"/>
  <c r="BE55" i="10"/>
  <c r="BF52" i="10" l="1"/>
  <c r="BE59" i="10"/>
  <c r="BE60" i="10"/>
  <c r="BF53" i="10"/>
  <c r="BF106" i="8"/>
  <c r="BE113" i="8"/>
  <c r="BE120" i="8" s="1"/>
  <c r="BF108" i="8"/>
  <c r="BE115" i="8"/>
  <c r="BE122" i="8" s="1"/>
  <c r="BF55" i="10"/>
  <c r="BE62" i="10"/>
  <c r="BF54" i="10"/>
  <c r="BE61" i="10"/>
  <c r="BF109" i="8"/>
  <c r="BE116" i="8"/>
  <c r="BE123" i="8" s="1"/>
  <c r="BF107" i="8"/>
  <c r="BE114" i="8"/>
  <c r="BE121" i="8" s="1"/>
  <c r="BG52" i="10" l="1"/>
  <c r="BF59" i="10"/>
  <c r="BG54" i="10"/>
  <c r="BF61" i="10"/>
  <c r="BF116" i="8"/>
  <c r="BF123" i="8" s="1"/>
  <c r="BG109" i="8"/>
  <c r="BG55" i="10"/>
  <c r="BF62" i="10"/>
  <c r="BG108" i="8"/>
  <c r="BF115" i="8"/>
  <c r="BF122" i="8" s="1"/>
  <c r="BG106" i="8"/>
  <c r="BF113" i="8"/>
  <c r="BF120" i="8" s="1"/>
  <c r="BG107" i="8"/>
  <c r="BF114" i="8"/>
  <c r="BF121" i="8" s="1"/>
  <c r="BG53" i="10"/>
  <c r="BF60" i="10"/>
  <c r="BH107" i="8" l="1"/>
  <c r="BG114" i="8"/>
  <c r="BG121" i="8" s="1"/>
  <c r="F29" i="10"/>
  <c r="F40" i="10" s="1"/>
  <c r="F47" i="10" s="1"/>
  <c r="F68" i="10" s="1"/>
  <c r="F75" i="10" s="1"/>
  <c r="F203" i="10" s="1"/>
  <c r="F87" i="8"/>
  <c r="F94" i="8" s="1"/>
  <c r="F101" i="8" s="1"/>
  <c r="F129" i="8" s="1"/>
  <c r="F136" i="8" s="1"/>
  <c r="D40" i="13" s="1"/>
  <c r="F30" i="10"/>
  <c r="F41" i="10" s="1"/>
  <c r="F48" i="10" s="1"/>
  <c r="F69" i="10" s="1"/>
  <c r="F76" i="10" s="1"/>
  <c r="F204" i="10" s="1"/>
  <c r="F88" i="8"/>
  <c r="F95" i="8" s="1"/>
  <c r="F102" i="8" s="1"/>
  <c r="F130" i="8" s="1"/>
  <c r="F137" i="8" s="1"/>
  <c r="D41" i="13" s="1"/>
  <c r="E29" i="10"/>
  <c r="E40" i="10" s="1"/>
  <c r="E47" i="10" s="1"/>
  <c r="E68" i="10" s="1"/>
  <c r="E75" i="10" s="1"/>
  <c r="E203" i="10" s="1"/>
  <c r="E87" i="8"/>
  <c r="E94" i="8" s="1"/>
  <c r="E101" i="8" s="1"/>
  <c r="E129" i="8" s="1"/>
  <c r="E136" i="8" s="1"/>
  <c r="C40" i="13" s="1"/>
  <c r="BG62" i="10"/>
  <c r="BH55" i="10"/>
  <c r="H88" i="8"/>
  <c r="H95" i="8" s="1"/>
  <c r="H102" i="8" s="1"/>
  <c r="H130" i="8" s="1"/>
  <c r="H137" i="8" s="1"/>
  <c r="F41" i="13" s="1"/>
  <c r="H30" i="10"/>
  <c r="H41" i="10" s="1"/>
  <c r="H48" i="10" s="1"/>
  <c r="H69" i="10" s="1"/>
  <c r="H76" i="10" s="1"/>
  <c r="H204" i="10" s="1"/>
  <c r="G30" i="10"/>
  <c r="G41" i="10" s="1"/>
  <c r="G48" i="10" s="1"/>
  <c r="G69" i="10" s="1"/>
  <c r="G76" i="10" s="1"/>
  <c r="G204" i="10" s="1"/>
  <c r="G88" i="8"/>
  <c r="G95" i="8" s="1"/>
  <c r="G102" i="8" s="1"/>
  <c r="G130" i="8" s="1"/>
  <c r="G137" i="8" s="1"/>
  <c r="E41" i="13" s="1"/>
  <c r="I87" i="8"/>
  <c r="I94" i="8" s="1"/>
  <c r="I101" i="8" s="1"/>
  <c r="I129" i="8" s="1"/>
  <c r="I136" i="8" s="1"/>
  <c r="G40" i="13" s="1"/>
  <c r="I29" i="10"/>
  <c r="I40" i="10" s="1"/>
  <c r="I47" i="10" s="1"/>
  <c r="I68" i="10" s="1"/>
  <c r="I75" i="10" s="1"/>
  <c r="I203" i="10" s="1"/>
  <c r="BG61" i="10"/>
  <c r="BH54" i="10"/>
  <c r="BG59" i="10"/>
  <c r="BH52" i="10"/>
  <c r="BG116" i="8"/>
  <c r="BG123" i="8" s="1"/>
  <c r="BH109" i="8"/>
  <c r="I88" i="8"/>
  <c r="I95" i="8" s="1"/>
  <c r="I102" i="8" s="1"/>
  <c r="I130" i="8" s="1"/>
  <c r="I137" i="8" s="1"/>
  <c r="G41" i="13" s="1"/>
  <c r="I30" i="10"/>
  <c r="I41" i="10" s="1"/>
  <c r="I48" i="10" s="1"/>
  <c r="I69" i="10" s="1"/>
  <c r="I76" i="10" s="1"/>
  <c r="I204" i="10" s="1"/>
  <c r="F28" i="10"/>
  <c r="G29" i="10"/>
  <c r="G40" i="10" s="1"/>
  <c r="G47" i="10" s="1"/>
  <c r="G68" i="10" s="1"/>
  <c r="G75" i="10" s="1"/>
  <c r="G203" i="10" s="1"/>
  <c r="G87" i="8"/>
  <c r="G94" i="8" s="1"/>
  <c r="BG60" i="10"/>
  <c r="BH53" i="10"/>
  <c r="BH106" i="8"/>
  <c r="BG113" i="8"/>
  <c r="BG120" i="8" s="1"/>
  <c r="K88" i="8"/>
  <c r="K95" i="8" s="1"/>
  <c r="K102" i="8" s="1"/>
  <c r="K130" i="8" s="1"/>
  <c r="K137" i="8" s="1"/>
  <c r="I41" i="13" s="1"/>
  <c r="K30" i="10"/>
  <c r="K41" i="10" s="1"/>
  <c r="K48" i="10" s="1"/>
  <c r="K69" i="10" s="1"/>
  <c r="K76" i="10" s="1"/>
  <c r="K204" i="10" s="1"/>
  <c r="H29" i="10"/>
  <c r="H40" i="10" s="1"/>
  <c r="H47" i="10" s="1"/>
  <c r="H68" i="10" s="1"/>
  <c r="H75" i="10" s="1"/>
  <c r="H203" i="10" s="1"/>
  <c r="H87" i="8"/>
  <c r="H94" i="8" s="1"/>
  <c r="H101" i="8" s="1"/>
  <c r="H129" i="8" s="1"/>
  <c r="H136" i="8" s="1"/>
  <c r="F40" i="13" s="1"/>
  <c r="K87" i="8"/>
  <c r="K94" i="8" s="1"/>
  <c r="K101" i="8" s="1"/>
  <c r="K129" i="8" s="1"/>
  <c r="K136" i="8" s="1"/>
  <c r="I40" i="13" s="1"/>
  <c r="K29" i="10"/>
  <c r="K40" i="10" s="1"/>
  <c r="K47" i="10" s="1"/>
  <c r="K68" i="10" s="1"/>
  <c r="K75" i="10" s="1"/>
  <c r="K203" i="10" s="1"/>
  <c r="J28" i="10"/>
  <c r="E30" i="10"/>
  <c r="E41" i="10" s="1"/>
  <c r="E48" i="10" s="1"/>
  <c r="E69" i="10" s="1"/>
  <c r="E76" i="10" s="1"/>
  <c r="E204" i="10" s="1"/>
  <c r="E88" i="8"/>
  <c r="E95" i="8" s="1"/>
  <c r="E102" i="8" s="1"/>
  <c r="E130" i="8" s="1"/>
  <c r="E137" i="8" s="1"/>
  <c r="C41" i="13" s="1"/>
  <c r="BH108" i="8"/>
  <c r="BG115" i="8"/>
  <c r="BG122" i="8" s="1"/>
  <c r="G101" i="8" l="1"/>
  <c r="G129" i="8" s="1"/>
  <c r="G136" i="8" s="1"/>
  <c r="E40" i="13" s="1"/>
  <c r="K27" i="10"/>
  <c r="I27" i="10"/>
  <c r="I28" i="10"/>
  <c r="F27" i="10"/>
  <c r="J20" i="11"/>
  <c r="J27" i="11" s="1"/>
  <c r="J34" i="11" s="1"/>
  <c r="I60" i="13" s="1"/>
  <c r="J18" i="12"/>
  <c r="J25" i="12" s="1"/>
  <c r="I67" i="13" s="1"/>
  <c r="H27" i="10"/>
  <c r="BH62" i="10"/>
  <c r="BI55" i="10"/>
  <c r="E27" i="10"/>
  <c r="BI106" i="8"/>
  <c r="BH113" i="8"/>
  <c r="BH120" i="8" s="1"/>
  <c r="K28" i="10"/>
  <c r="E20" i="11"/>
  <c r="E27" i="11" s="1"/>
  <c r="E34" i="11" s="1"/>
  <c r="D60" i="13" s="1"/>
  <c r="E18" i="12"/>
  <c r="E25" i="12" s="1"/>
  <c r="D67" i="13" s="1"/>
  <c r="H28" i="10"/>
  <c r="J27" i="10"/>
  <c r="BI52" i="10"/>
  <c r="BH59" i="10"/>
  <c r="BI108" i="8"/>
  <c r="BH115" i="8"/>
  <c r="BH122" i="8" s="1"/>
  <c r="BI109" i="8"/>
  <c r="BH116" i="8"/>
  <c r="BH123" i="8" s="1"/>
  <c r="G28" i="10"/>
  <c r="G19" i="11"/>
  <c r="G26" i="11" s="1"/>
  <c r="G33" i="11" s="1"/>
  <c r="F59" i="13" s="1"/>
  <c r="G17" i="12"/>
  <c r="G24" i="12" s="1"/>
  <c r="F66" i="13" s="1"/>
  <c r="BH61" i="10"/>
  <c r="BI54" i="10"/>
  <c r="H17" i="12"/>
  <c r="H24" i="12" s="1"/>
  <c r="G66" i="13" s="1"/>
  <c r="H19" i="11"/>
  <c r="H26" i="11" s="1"/>
  <c r="H33" i="11" s="1"/>
  <c r="G59" i="13" s="1"/>
  <c r="G18" i="12"/>
  <c r="G25" i="12" s="1"/>
  <c r="F67" i="13" s="1"/>
  <c r="G20" i="11"/>
  <c r="G27" i="11" s="1"/>
  <c r="G34" i="11" s="1"/>
  <c r="F60" i="13" s="1"/>
  <c r="E17" i="12"/>
  <c r="E24" i="12" s="1"/>
  <c r="D66" i="13" s="1"/>
  <c r="E19" i="11"/>
  <c r="E26" i="11" s="1"/>
  <c r="E33" i="11" s="1"/>
  <c r="D59" i="13" s="1"/>
  <c r="J19" i="11"/>
  <c r="J26" i="11" s="1"/>
  <c r="J33" i="11" s="1"/>
  <c r="I59" i="13" s="1"/>
  <c r="J17" i="12"/>
  <c r="J24" i="12" s="1"/>
  <c r="I66" i="13" s="1"/>
  <c r="H20" i="11"/>
  <c r="H27" i="11" s="1"/>
  <c r="H34" i="11" s="1"/>
  <c r="G60" i="13" s="1"/>
  <c r="H18" i="12"/>
  <c r="H25" i="12" s="1"/>
  <c r="G67" i="13" s="1"/>
  <c r="BI53" i="10"/>
  <c r="BH60" i="10"/>
  <c r="G80" i="8"/>
  <c r="F18" i="12"/>
  <c r="F25" i="12" s="1"/>
  <c r="E67" i="13" s="1"/>
  <c r="F20" i="11"/>
  <c r="F27" i="11" s="1"/>
  <c r="F34" i="11" s="1"/>
  <c r="E60" i="13" s="1"/>
  <c r="BI107" i="8"/>
  <c r="BH114" i="8"/>
  <c r="BH121" i="8" s="1"/>
  <c r="E28" i="10"/>
  <c r="D20" i="11"/>
  <c r="D27" i="11" s="1"/>
  <c r="D34" i="11" s="1"/>
  <c r="C60" i="13" s="1"/>
  <c r="D18" i="12"/>
  <c r="D25" i="12" s="1"/>
  <c r="C67" i="13" s="1"/>
  <c r="G27" i="10"/>
  <c r="F19" i="11"/>
  <c r="F26" i="11" s="1"/>
  <c r="F33" i="11" s="1"/>
  <c r="E59" i="13" s="1"/>
  <c r="F17" i="12"/>
  <c r="F24" i="12" s="1"/>
  <c r="E66" i="13" s="1"/>
  <c r="K81" i="8"/>
  <c r="D17" i="12"/>
  <c r="D24" i="12" s="1"/>
  <c r="C66" i="13" s="1"/>
  <c r="D19" i="11"/>
  <c r="D26" i="11" s="1"/>
  <c r="D33" i="11" s="1"/>
  <c r="C59" i="13" s="1"/>
  <c r="J34" i="10" l="1"/>
  <c r="J39" i="10" s="1"/>
  <c r="J46" i="10" s="1"/>
  <c r="J67" i="10" s="1"/>
  <c r="J74" i="10" s="1"/>
  <c r="J202" i="10" s="1"/>
  <c r="I18" i="11" s="1"/>
  <c r="I25" i="11" s="1"/>
  <c r="I32" i="11" s="1"/>
  <c r="H58" i="13" s="1"/>
  <c r="H81" i="8"/>
  <c r="H86" i="8" s="1"/>
  <c r="H93" i="8" s="1"/>
  <c r="H100" i="8" s="1"/>
  <c r="H128" i="8" s="1"/>
  <c r="H135" i="8" s="1"/>
  <c r="F39" i="13" s="1"/>
  <c r="E33" i="10"/>
  <c r="E38" i="10" s="1"/>
  <c r="E45" i="10" s="1"/>
  <c r="E66" i="10" s="1"/>
  <c r="E73" i="10" s="1"/>
  <c r="E201" i="10" s="1"/>
  <c r="D17" i="11" s="1"/>
  <c r="D24" i="11" s="1"/>
  <c r="D31" i="11" s="1"/>
  <c r="C57" i="13" s="1"/>
  <c r="D25" i="28" s="1"/>
  <c r="D73" i="13"/>
  <c r="J81" i="8"/>
  <c r="J86" i="8" s="1"/>
  <c r="J93" i="8" s="1"/>
  <c r="J100" i="8" s="1"/>
  <c r="J128" i="8" s="1"/>
  <c r="J135" i="8" s="1"/>
  <c r="H39" i="13" s="1"/>
  <c r="E92" i="8"/>
  <c r="E99" i="8" s="1"/>
  <c r="E127" i="8" s="1"/>
  <c r="E134" i="8" s="1"/>
  <c r="C38" i="13" s="1"/>
  <c r="K34" i="10"/>
  <c r="K39" i="10" s="1"/>
  <c r="K46" i="10" s="1"/>
  <c r="K67" i="10" s="1"/>
  <c r="K74" i="10" s="1"/>
  <c r="K202" i="10" s="1"/>
  <c r="J18" i="11" s="1"/>
  <c r="J25" i="11" s="1"/>
  <c r="J32" i="11" s="1"/>
  <c r="I58" i="13" s="1"/>
  <c r="E74" i="13"/>
  <c r="F81" i="8"/>
  <c r="F86" i="8" s="1"/>
  <c r="F93" i="8" s="1"/>
  <c r="F100" i="8" s="1"/>
  <c r="F128" i="8" s="1"/>
  <c r="F135" i="8" s="1"/>
  <c r="D39" i="13" s="1"/>
  <c r="F73" i="13"/>
  <c r="J33" i="10"/>
  <c r="J38" i="10" s="1"/>
  <c r="J45" i="10" s="1"/>
  <c r="J66" i="10" s="1"/>
  <c r="J73" i="10" s="1"/>
  <c r="J201" i="10" s="1"/>
  <c r="I17" i="11" s="1"/>
  <c r="I24" i="11" s="1"/>
  <c r="I31" i="11" s="1"/>
  <c r="H57" i="13" s="1"/>
  <c r="C73" i="13"/>
  <c r="D74" i="13"/>
  <c r="G74" i="13"/>
  <c r="I73" i="13"/>
  <c r="E73" i="13"/>
  <c r="G73" i="13"/>
  <c r="H34" i="10"/>
  <c r="H39" i="10" s="1"/>
  <c r="H46" i="10" s="1"/>
  <c r="H67" i="10" s="1"/>
  <c r="H74" i="10" s="1"/>
  <c r="H202" i="10" s="1"/>
  <c r="BJ109" i="8"/>
  <c r="BI116" i="8"/>
  <c r="BI123" i="8" s="1"/>
  <c r="F74" i="13"/>
  <c r="G34" i="10"/>
  <c r="G39" i="10" s="1"/>
  <c r="G46" i="10" s="1"/>
  <c r="G67" i="10" s="1"/>
  <c r="G74" i="10" s="1"/>
  <c r="G202" i="10" s="1"/>
  <c r="G81" i="8"/>
  <c r="G86" i="8" s="1"/>
  <c r="G93" i="8" s="1"/>
  <c r="G100" i="8" s="1"/>
  <c r="G128" i="8" s="1"/>
  <c r="G135" i="8" s="1"/>
  <c r="E39" i="13" s="1"/>
  <c r="F33" i="10"/>
  <c r="F38" i="10" s="1"/>
  <c r="F45" i="10" s="1"/>
  <c r="F66" i="10" s="1"/>
  <c r="F73" i="10" s="1"/>
  <c r="F201" i="10" s="1"/>
  <c r="F80" i="8"/>
  <c r="F85" i="8" s="1"/>
  <c r="F92" i="8" s="1"/>
  <c r="F99" i="8" s="1"/>
  <c r="F127" i="8" s="1"/>
  <c r="F134" i="8" s="1"/>
  <c r="D38" i="13" s="1"/>
  <c r="F34" i="10"/>
  <c r="F39" i="10" s="1"/>
  <c r="F46" i="10" s="1"/>
  <c r="F67" i="10" s="1"/>
  <c r="F74" i="10" s="1"/>
  <c r="F202" i="10" s="1"/>
  <c r="J80" i="8"/>
  <c r="J85" i="8" s="1"/>
  <c r="J92" i="8" s="1"/>
  <c r="J99" i="8" s="1"/>
  <c r="J127" i="8" s="1"/>
  <c r="J134" i="8" s="1"/>
  <c r="H38" i="13" s="1"/>
  <c r="G33" i="10"/>
  <c r="G38" i="10" s="1"/>
  <c r="G45" i="10" s="1"/>
  <c r="G66" i="10" s="1"/>
  <c r="G73" i="10" s="1"/>
  <c r="G201" i="10" s="1"/>
  <c r="BI62" i="10"/>
  <c r="BJ55" i="10"/>
  <c r="BI114" i="8"/>
  <c r="BI121" i="8" s="1"/>
  <c r="BJ107" i="8"/>
  <c r="BI60" i="10"/>
  <c r="BJ53" i="10"/>
  <c r="I80" i="8"/>
  <c r="I85" i="8" s="1"/>
  <c r="I92" i="8" s="1"/>
  <c r="I99" i="8" s="1"/>
  <c r="I127" i="8" s="1"/>
  <c r="I134" i="8" s="1"/>
  <c r="G38" i="13" s="1"/>
  <c r="I33" i="10"/>
  <c r="I38" i="10" s="1"/>
  <c r="I45" i="10" s="1"/>
  <c r="I66" i="10" s="1"/>
  <c r="I73" i="10" s="1"/>
  <c r="I201" i="10" s="1"/>
  <c r="BJ52" i="10"/>
  <c r="BI59" i="10"/>
  <c r="K86" i="8"/>
  <c r="K93" i="8" s="1"/>
  <c r="K100" i="8" s="1"/>
  <c r="K128" i="8" s="1"/>
  <c r="K135" i="8" s="1"/>
  <c r="I39" i="13" s="1"/>
  <c r="G85" i="8"/>
  <c r="G92" i="8" s="1"/>
  <c r="G99" i="8" s="1"/>
  <c r="G127" i="8" s="1"/>
  <c r="G134" i="8" s="1"/>
  <c r="E38" i="13" s="1"/>
  <c r="C74" i="13"/>
  <c r="Q32" i="28" s="1"/>
  <c r="I34" i="10"/>
  <c r="I39" i="10" s="1"/>
  <c r="I46" i="10" s="1"/>
  <c r="I67" i="10" s="1"/>
  <c r="I74" i="10" s="1"/>
  <c r="I202" i="10" s="1"/>
  <c r="I81" i="8"/>
  <c r="I86" i="8" s="1"/>
  <c r="I93" i="8" s="1"/>
  <c r="I100" i="8" s="1"/>
  <c r="I128" i="8" s="1"/>
  <c r="I135" i="8" s="1"/>
  <c r="G39" i="13" s="1"/>
  <c r="BJ108" i="8"/>
  <c r="BI115" i="8"/>
  <c r="BI122" i="8" s="1"/>
  <c r="BJ106" i="8"/>
  <c r="BI113" i="8"/>
  <c r="BI120" i="8" s="1"/>
  <c r="H80" i="8"/>
  <c r="H85" i="8" s="1"/>
  <c r="H92" i="8" s="1"/>
  <c r="H99" i="8" s="1"/>
  <c r="H127" i="8" s="1"/>
  <c r="H134" i="8" s="1"/>
  <c r="F38" i="13" s="1"/>
  <c r="H33" i="10"/>
  <c r="H38" i="10" s="1"/>
  <c r="H45" i="10" s="1"/>
  <c r="H66" i="10" s="1"/>
  <c r="H73" i="10" s="1"/>
  <c r="H201" i="10" s="1"/>
  <c r="BI61" i="10"/>
  <c r="BJ54" i="10"/>
  <c r="E81" i="8"/>
  <c r="E34" i="10"/>
  <c r="E39" i="10" s="1"/>
  <c r="E46" i="10" s="1"/>
  <c r="E67" i="10" s="1"/>
  <c r="E74" i="10" s="1"/>
  <c r="E202" i="10" s="1"/>
  <c r="I74" i="13"/>
  <c r="E86" i="8" l="1"/>
  <c r="E93" i="8" s="1"/>
  <c r="E100" i="8" s="1"/>
  <c r="E128" i="8" s="1"/>
  <c r="E135" i="8" s="1"/>
  <c r="C39" i="13" s="1"/>
  <c r="J16" i="12"/>
  <c r="J23" i="12" s="1"/>
  <c r="I65" i="13" s="1"/>
  <c r="I72" i="13" s="1"/>
  <c r="I16" i="12"/>
  <c r="I23" i="12" s="1"/>
  <c r="H65" i="13" s="1"/>
  <c r="H72" i="13" s="1"/>
  <c r="D15" i="12"/>
  <c r="D22" i="12" s="1"/>
  <c r="C64" i="13" s="1"/>
  <c r="I15" i="12"/>
  <c r="I22" i="12" s="1"/>
  <c r="H64" i="13" s="1"/>
  <c r="H71" i="13" s="1"/>
  <c r="D16" i="12"/>
  <c r="D23" i="12" s="1"/>
  <c r="C65" i="13" s="1"/>
  <c r="D18" i="11"/>
  <c r="D25" i="11" s="1"/>
  <c r="D32" i="11" s="1"/>
  <c r="C58" i="13" s="1"/>
  <c r="G15" i="12"/>
  <c r="G22" i="12" s="1"/>
  <c r="F64" i="13" s="1"/>
  <c r="G17" i="11"/>
  <c r="G24" i="11" s="1"/>
  <c r="G31" i="11" s="1"/>
  <c r="F57" i="13" s="1"/>
  <c r="BK55" i="10"/>
  <c r="BJ62" i="10"/>
  <c r="E17" i="11"/>
  <c r="E24" i="11" s="1"/>
  <c r="E31" i="11" s="1"/>
  <c r="D57" i="13" s="1"/>
  <c r="E15" i="12"/>
  <c r="E22" i="12" s="1"/>
  <c r="D64" i="13" s="1"/>
  <c r="BK108" i="8"/>
  <c r="BJ115" i="8"/>
  <c r="BJ122" i="8" s="1"/>
  <c r="G16" i="12"/>
  <c r="G23" i="12" s="1"/>
  <c r="F65" i="13" s="1"/>
  <c r="G18" i="11"/>
  <c r="G25" i="11" s="1"/>
  <c r="G32" i="11" s="1"/>
  <c r="F58" i="13" s="1"/>
  <c r="F17" i="11"/>
  <c r="F24" i="11" s="1"/>
  <c r="F31" i="11" s="1"/>
  <c r="E57" i="13" s="1"/>
  <c r="F15" i="12"/>
  <c r="F22" i="12" s="1"/>
  <c r="E64" i="13" s="1"/>
  <c r="H15" i="12"/>
  <c r="H22" i="12" s="1"/>
  <c r="G64" i="13" s="1"/>
  <c r="H17" i="11"/>
  <c r="H24" i="11" s="1"/>
  <c r="H31" i="11" s="1"/>
  <c r="G57" i="13" s="1"/>
  <c r="BJ60" i="10"/>
  <c r="BK53" i="10"/>
  <c r="BK109" i="8"/>
  <c r="BJ116" i="8"/>
  <c r="BJ123" i="8" s="1"/>
  <c r="BK54" i="10"/>
  <c r="BJ61" i="10"/>
  <c r="BK106" i="8"/>
  <c r="BJ113" i="8"/>
  <c r="BJ120" i="8" s="1"/>
  <c r="E16" i="12"/>
  <c r="E23" i="12" s="1"/>
  <c r="D65" i="13" s="1"/>
  <c r="E18" i="11"/>
  <c r="E25" i="11" s="1"/>
  <c r="E32" i="11" s="1"/>
  <c r="D58" i="13" s="1"/>
  <c r="F16" i="12"/>
  <c r="F23" i="12" s="1"/>
  <c r="E65" i="13" s="1"/>
  <c r="F18" i="11"/>
  <c r="F25" i="11" s="1"/>
  <c r="F32" i="11" s="1"/>
  <c r="E58" i="13" s="1"/>
  <c r="H16" i="12"/>
  <c r="H23" i="12" s="1"/>
  <c r="G65" i="13" s="1"/>
  <c r="H18" i="11"/>
  <c r="H25" i="11" s="1"/>
  <c r="H32" i="11" s="1"/>
  <c r="G58" i="13" s="1"/>
  <c r="BK52" i="10"/>
  <c r="BJ59" i="10"/>
  <c r="BK107" i="8"/>
  <c r="BJ114" i="8"/>
  <c r="BJ121" i="8" s="1"/>
  <c r="C71" i="13" l="1"/>
  <c r="Q29" i="28" s="1"/>
  <c r="E72" i="13"/>
  <c r="G71" i="13"/>
  <c r="F71" i="13"/>
  <c r="D71" i="13"/>
  <c r="D72" i="13"/>
  <c r="C72" i="13"/>
  <c r="Q30" i="28" s="1"/>
  <c r="E71" i="13"/>
  <c r="BL54" i="10"/>
  <c r="BK61" i="10"/>
  <c r="BL108" i="8"/>
  <c r="BK115" i="8"/>
  <c r="BK122" i="8" s="1"/>
  <c r="BK59" i="10"/>
  <c r="BL52" i="10"/>
  <c r="BK113" i="8"/>
  <c r="BK120" i="8" s="1"/>
  <c r="BL106" i="8"/>
  <c r="G72" i="13"/>
  <c r="BL53" i="10"/>
  <c r="BK60" i="10"/>
  <c r="BL107" i="8"/>
  <c r="BK114" i="8"/>
  <c r="BK121" i="8" s="1"/>
  <c r="BK116" i="8"/>
  <c r="BK123" i="8" s="1"/>
  <c r="BL109" i="8"/>
  <c r="F72" i="13"/>
  <c r="BK62" i="10"/>
  <c r="BL55" i="10"/>
  <c r="BL61" i="10" l="1"/>
  <c r="BM54" i="10"/>
  <c r="BL60" i="10"/>
  <c r="BM53" i="10"/>
  <c r="BM106" i="8"/>
  <c r="BL113" i="8"/>
  <c r="BL120" i="8" s="1"/>
  <c r="BL114" i="8"/>
  <c r="BL121" i="8" s="1"/>
  <c r="BM107" i="8"/>
  <c r="BM109" i="8"/>
  <c r="BL116" i="8"/>
  <c r="BL123" i="8" s="1"/>
  <c r="BL59" i="10"/>
  <c r="BM52" i="10"/>
  <c r="BM108" i="8"/>
  <c r="BL115" i="8"/>
  <c r="BL122" i="8" s="1"/>
  <c r="BL62" i="10"/>
  <c r="BM55" i="10"/>
  <c r="BM116" i="8" l="1"/>
  <c r="BM123" i="8" s="1"/>
  <c r="BN109" i="8"/>
  <c r="BN106" i="8"/>
  <c r="BM113" i="8"/>
  <c r="BM120" i="8" s="1"/>
  <c r="BN54" i="10"/>
  <c r="BM61" i="10"/>
  <c r="BN108" i="8"/>
  <c r="BM115" i="8"/>
  <c r="BM122" i="8" s="1"/>
  <c r="BM60" i="10"/>
  <c r="BN53" i="10"/>
  <c r="BN55" i="10"/>
  <c r="BM62" i="10"/>
  <c r="BM59" i="10"/>
  <c r="BN52" i="10"/>
  <c r="BN107" i="8"/>
  <c r="BM114" i="8"/>
  <c r="BM121" i="8" s="1"/>
  <c r="M163" i="8" l="1"/>
  <c r="M170" i="8" s="1"/>
  <c r="BO107" i="8"/>
  <c r="BN114" i="8"/>
  <c r="BN121" i="8" s="1"/>
  <c r="BO53" i="10"/>
  <c r="BN60" i="10"/>
  <c r="BO54" i="10"/>
  <c r="BN61" i="10"/>
  <c r="BO106" i="8"/>
  <c r="BN113" i="8"/>
  <c r="BN120" i="8" s="1"/>
  <c r="BO52" i="10"/>
  <c r="BN59" i="10"/>
  <c r="BO55" i="10"/>
  <c r="BN62" i="10"/>
  <c r="N165" i="8"/>
  <c r="N172" i="8" s="1"/>
  <c r="N84" i="10"/>
  <c r="N91" i="10" s="1"/>
  <c r="N98" i="10" s="1"/>
  <c r="BO108" i="8"/>
  <c r="BN115" i="8"/>
  <c r="BN122" i="8" s="1"/>
  <c r="BO109" i="8"/>
  <c r="BN116" i="8"/>
  <c r="BN123" i="8" s="1"/>
  <c r="M82" i="10" l="1"/>
  <c r="M89" i="10" s="1"/>
  <c r="M96" i="10" s="1"/>
  <c r="BO62" i="10"/>
  <c r="BP55" i="10"/>
  <c r="BP53" i="10"/>
  <c r="BO60" i="10"/>
  <c r="BP107" i="8"/>
  <c r="BO114" i="8"/>
  <c r="BO121" i="8" s="1"/>
  <c r="BP106" i="8"/>
  <c r="BO113" i="8"/>
  <c r="BO120" i="8" s="1"/>
  <c r="BP108" i="8"/>
  <c r="BO115" i="8"/>
  <c r="BO122" i="8" s="1"/>
  <c r="M83" i="10"/>
  <c r="M90" i="10" s="1"/>
  <c r="M97" i="10" s="1"/>
  <c r="M164" i="8"/>
  <c r="M171" i="8" s="1"/>
  <c r="BO61" i="10"/>
  <c r="BP54" i="10"/>
  <c r="N163" i="8"/>
  <c r="N170" i="8" s="1"/>
  <c r="N82" i="10"/>
  <c r="N89" i="10" s="1"/>
  <c r="N96" i="10" s="1"/>
  <c r="L46" i="13"/>
  <c r="N179" i="8"/>
  <c r="M177" i="8"/>
  <c r="K44" i="13"/>
  <c r="N83" i="10"/>
  <c r="N90" i="10" s="1"/>
  <c r="N97" i="10" s="1"/>
  <c r="N164" i="8"/>
  <c r="N171" i="8" s="1"/>
  <c r="BP52" i="10"/>
  <c r="BO59" i="10"/>
  <c r="N85" i="10"/>
  <c r="N92" i="10" s="1"/>
  <c r="N99" i="10" s="1"/>
  <c r="N166" i="8"/>
  <c r="N173" i="8" s="1"/>
  <c r="BP109" i="8"/>
  <c r="BO116" i="8"/>
  <c r="BO123" i="8" s="1"/>
  <c r="BQ52" i="10" l="1"/>
  <c r="BP59" i="10"/>
  <c r="BQ108" i="8"/>
  <c r="BP115" i="8"/>
  <c r="BP122" i="8" s="1"/>
  <c r="BQ55" i="10"/>
  <c r="BP62" i="10"/>
  <c r="N178" i="8"/>
  <c r="L45" i="13"/>
  <c r="BQ106" i="8"/>
  <c r="BP113" i="8"/>
  <c r="BP120" i="8" s="1"/>
  <c r="BQ107" i="8"/>
  <c r="BP114" i="8"/>
  <c r="BP121" i="8" s="1"/>
  <c r="N180" i="8"/>
  <c r="L47" i="13"/>
  <c r="BP61" i="10"/>
  <c r="BQ54" i="10"/>
  <c r="M178" i="8"/>
  <c r="K45" i="13"/>
  <c r="BP116" i="8"/>
  <c r="BP123" i="8" s="1"/>
  <c r="BQ109" i="8"/>
  <c r="BP60" i="10"/>
  <c r="BQ53" i="10"/>
  <c r="N177" i="8"/>
  <c r="L44" i="13"/>
  <c r="BQ60" i="10" l="1"/>
  <c r="BR53" i="10"/>
  <c r="BR106" i="8"/>
  <c r="BQ113" i="8"/>
  <c r="BQ120" i="8" s="1"/>
  <c r="BQ62" i="10"/>
  <c r="BR55" i="10"/>
  <c r="BR108" i="8"/>
  <c r="BQ115" i="8"/>
  <c r="BQ122" i="8" s="1"/>
  <c r="BR109" i="8"/>
  <c r="BQ116" i="8"/>
  <c r="BQ123" i="8" s="1"/>
  <c r="BQ61" i="10"/>
  <c r="BR54" i="10"/>
  <c r="BQ114" i="8"/>
  <c r="BQ121" i="8" s="1"/>
  <c r="BR107" i="8"/>
  <c r="BQ59" i="10"/>
  <c r="BR52" i="10"/>
  <c r="BR61" i="10" l="1"/>
  <c r="BS54" i="10"/>
  <c r="BS52" i="10"/>
  <c r="BR59" i="10"/>
  <c r="BS109" i="8"/>
  <c r="BR116" i="8"/>
  <c r="BR123" i="8" s="1"/>
  <c r="BS108" i="8"/>
  <c r="BR115" i="8"/>
  <c r="BR122" i="8" s="1"/>
  <c r="BS53" i="10"/>
  <c r="BR60" i="10"/>
  <c r="BR62" i="10"/>
  <c r="BS55" i="10"/>
  <c r="BS106" i="8"/>
  <c r="BR113" i="8"/>
  <c r="BR120" i="8" s="1"/>
  <c r="BS107" i="8"/>
  <c r="BR114" i="8"/>
  <c r="BR121" i="8" s="1"/>
  <c r="BS62" i="10" l="1"/>
  <c r="BT55" i="10"/>
  <c r="BT109" i="8"/>
  <c r="BS116" i="8"/>
  <c r="BS123" i="8" s="1"/>
  <c r="BT107" i="8"/>
  <c r="BS114" i="8"/>
  <c r="BS121" i="8" s="1"/>
  <c r="BS59" i="10"/>
  <c r="BT52" i="10"/>
  <c r="BT53" i="10"/>
  <c r="BS60" i="10"/>
  <c r="BS115" i="8"/>
  <c r="BS122" i="8" s="1"/>
  <c r="BT108" i="8"/>
  <c r="BT106" i="8"/>
  <c r="BS113" i="8"/>
  <c r="BS120" i="8" s="1"/>
  <c r="BS61" i="10"/>
  <c r="BT54" i="10"/>
  <c r="BU52" i="10" l="1"/>
  <c r="BT59" i="10"/>
  <c r="BU107" i="8"/>
  <c r="BT114" i="8"/>
  <c r="BT121" i="8" s="1"/>
  <c r="BT116" i="8"/>
  <c r="BT123" i="8" s="1"/>
  <c r="BU109" i="8"/>
  <c r="BT115" i="8"/>
  <c r="BT122" i="8" s="1"/>
  <c r="BU108" i="8"/>
  <c r="BU55" i="10"/>
  <c r="BT62" i="10"/>
  <c r="BT61" i="10"/>
  <c r="BU54" i="10"/>
  <c r="BU106" i="8"/>
  <c r="BT113" i="8"/>
  <c r="BT120" i="8" s="1"/>
  <c r="BU53" i="10"/>
  <c r="BT60" i="10"/>
  <c r="BU114" i="8" l="1"/>
  <c r="BU121" i="8" s="1"/>
  <c r="BV107" i="8"/>
  <c r="BV106" i="8"/>
  <c r="BU113" i="8"/>
  <c r="BU120" i="8" s="1"/>
  <c r="BU61" i="10"/>
  <c r="BV54" i="10"/>
  <c r="BV108" i="8"/>
  <c r="BU115" i="8"/>
  <c r="BU122" i="8" s="1"/>
  <c r="BV52" i="10"/>
  <c r="BU59" i="10"/>
  <c r="BU60" i="10"/>
  <c r="BV53" i="10"/>
  <c r="BU62" i="10"/>
  <c r="BV55" i="10"/>
  <c r="BU116" i="8"/>
  <c r="BU123" i="8" s="1"/>
  <c r="BV109" i="8"/>
  <c r="BW55" i="10" l="1"/>
  <c r="BV62" i="10"/>
  <c r="BW53" i="10"/>
  <c r="BV60" i="10"/>
  <c r="BW108" i="8"/>
  <c r="BV115" i="8"/>
  <c r="BV122" i="8" s="1"/>
  <c r="BV61" i="10"/>
  <c r="BW54" i="10"/>
  <c r="BV114" i="8"/>
  <c r="BV121" i="8" s="1"/>
  <c r="BW107" i="8"/>
  <c r="BW109" i="8"/>
  <c r="BV116" i="8"/>
  <c r="BV123" i="8" s="1"/>
  <c r="BW52" i="10"/>
  <c r="BV59" i="10"/>
  <c r="BW106" i="8"/>
  <c r="BV113" i="8"/>
  <c r="BV120" i="8" s="1"/>
  <c r="BX108" i="8" l="1"/>
  <c r="BW115" i="8"/>
  <c r="BW122" i="8" s="1"/>
  <c r="BX106" i="8"/>
  <c r="BW113" i="8"/>
  <c r="BW120" i="8" s="1"/>
  <c r="BW59" i="10"/>
  <c r="BX52" i="10"/>
  <c r="BX109" i="8"/>
  <c r="BW116" i="8"/>
  <c r="BW123" i="8" s="1"/>
  <c r="BX107" i="8"/>
  <c r="BW114" i="8"/>
  <c r="BW121" i="8" s="1"/>
  <c r="BW61" i="10"/>
  <c r="BX54" i="10"/>
  <c r="BW62" i="10"/>
  <c r="BX55" i="10"/>
  <c r="BW60" i="10"/>
  <c r="BX53" i="10"/>
  <c r="BX60" i="10" l="1"/>
  <c r="BY53" i="10"/>
  <c r="BX114" i="8"/>
  <c r="BX121" i="8" s="1"/>
  <c r="BY107" i="8"/>
  <c r="BY109" i="8"/>
  <c r="BX116" i="8"/>
  <c r="BX123" i="8" s="1"/>
  <c r="BY106" i="8"/>
  <c r="BX113" i="8"/>
  <c r="BX120" i="8" s="1"/>
  <c r="BY55" i="10"/>
  <c r="BX62" i="10"/>
  <c r="BY108" i="8"/>
  <c r="BX115" i="8"/>
  <c r="BX122" i="8" s="1"/>
  <c r="BX61" i="10"/>
  <c r="BY54" i="10"/>
  <c r="BX59" i="10"/>
  <c r="BY52" i="10"/>
  <c r="BY116" i="8" l="1"/>
  <c r="BY123" i="8" s="1"/>
  <c r="BZ109" i="8"/>
  <c r="BZ108" i="8"/>
  <c r="BY115" i="8"/>
  <c r="BY122" i="8" s="1"/>
  <c r="BZ52" i="10"/>
  <c r="BY59" i="10"/>
  <c r="BY61" i="10"/>
  <c r="BZ54" i="10"/>
  <c r="BY60" i="10"/>
  <c r="BZ53" i="10"/>
  <c r="BY62" i="10"/>
  <c r="BZ55" i="10"/>
  <c r="BZ106" i="8"/>
  <c r="BY113" i="8"/>
  <c r="BY120" i="8" s="1"/>
  <c r="BZ107" i="8"/>
  <c r="BY114" i="8"/>
  <c r="BY121" i="8" s="1"/>
  <c r="BZ60" i="10" l="1"/>
  <c r="CA53" i="10"/>
  <c r="CA107" i="8"/>
  <c r="BZ114" i="8"/>
  <c r="BZ121" i="8" s="1"/>
  <c r="CA109" i="8"/>
  <c r="BZ116" i="8"/>
  <c r="BZ123" i="8" s="1"/>
  <c r="CA106" i="8"/>
  <c r="BZ113" i="8"/>
  <c r="BZ120" i="8" s="1"/>
  <c r="CA55" i="10"/>
  <c r="BZ62" i="10"/>
  <c r="CA52" i="10"/>
  <c r="BZ59" i="10"/>
  <c r="CA54" i="10"/>
  <c r="BZ61" i="10"/>
  <c r="BZ115" i="8"/>
  <c r="BZ122" i="8" s="1"/>
  <c r="CA108" i="8"/>
  <c r="CB106" i="8" l="1"/>
  <c r="CA113" i="8"/>
  <c r="CA120" i="8" s="1"/>
  <c r="CA61" i="10"/>
  <c r="CB54" i="10"/>
  <c r="CA62" i="10"/>
  <c r="CB55" i="10"/>
  <c r="CA59" i="10"/>
  <c r="CB52" i="10"/>
  <c r="CB109" i="8"/>
  <c r="CA116" i="8"/>
  <c r="CA123" i="8" s="1"/>
  <c r="CA114" i="8"/>
  <c r="CA121" i="8" s="1"/>
  <c r="CB107" i="8"/>
  <c r="CB53" i="10"/>
  <c r="CA60" i="10"/>
  <c r="CB108" i="8"/>
  <c r="CA115" i="8"/>
  <c r="CA122" i="8" s="1"/>
  <c r="CB113" i="8" l="1"/>
  <c r="CB120" i="8" s="1"/>
  <c r="CC106" i="8"/>
  <c r="CC53" i="10"/>
  <c r="CB60" i="10"/>
  <c r="CC54" i="10"/>
  <c r="CB61" i="10"/>
  <c r="CC107" i="8"/>
  <c r="CB114" i="8"/>
  <c r="CB121" i="8" s="1"/>
  <c r="CC109" i="8"/>
  <c r="CB116" i="8"/>
  <c r="CB123" i="8" s="1"/>
  <c r="CB59" i="10"/>
  <c r="CC52" i="10"/>
  <c r="CC108" i="8"/>
  <c r="CB115" i="8"/>
  <c r="CB122" i="8" s="1"/>
  <c r="CC55" i="10"/>
  <c r="CB62" i="10"/>
  <c r="CD109" i="8" l="1"/>
  <c r="CC116" i="8"/>
  <c r="CC123" i="8" s="1"/>
  <c r="CD107" i="8"/>
  <c r="CC114" i="8"/>
  <c r="CC121" i="8" s="1"/>
  <c r="CD54" i="10"/>
  <c r="CC61" i="10"/>
  <c r="CD53" i="10"/>
  <c r="CC60" i="10"/>
  <c r="CC115" i="8"/>
  <c r="CC122" i="8" s="1"/>
  <c r="CD108" i="8"/>
  <c r="CD55" i="10"/>
  <c r="CC62" i="10"/>
  <c r="CD106" i="8"/>
  <c r="CC113" i="8"/>
  <c r="CC120" i="8" s="1"/>
  <c r="CD52" i="10"/>
  <c r="CC59" i="10"/>
  <c r="CD59" i="10" l="1"/>
  <c r="CE52" i="10"/>
  <c r="CE106" i="8"/>
  <c r="CD113" i="8"/>
  <c r="CD120" i="8" s="1"/>
  <c r="CD116" i="8"/>
  <c r="CD123" i="8" s="1"/>
  <c r="CE109" i="8"/>
  <c r="CE108" i="8"/>
  <c r="CD115" i="8"/>
  <c r="CD122" i="8" s="1"/>
  <c r="CE53" i="10"/>
  <c r="CD60" i="10"/>
  <c r="CE54" i="10"/>
  <c r="CD61" i="10"/>
  <c r="CE55" i="10"/>
  <c r="CD62" i="10"/>
  <c r="CE107" i="8"/>
  <c r="CD114" i="8"/>
  <c r="CD121" i="8" s="1"/>
  <c r="CF107" i="8" l="1"/>
  <c r="CF114" i="8" s="1"/>
  <c r="CF121" i="8" s="1"/>
  <c r="CE114" i="8"/>
  <c r="CE121" i="8" s="1"/>
  <c r="CF109" i="8"/>
  <c r="CF116" i="8" s="1"/>
  <c r="CF123" i="8" s="1"/>
  <c r="CE116" i="8"/>
  <c r="CE123" i="8" s="1"/>
  <c r="CE61" i="10"/>
  <c r="CF54" i="10"/>
  <c r="CF61" i="10" s="1"/>
  <c r="CF106" i="8"/>
  <c r="CF113" i="8" s="1"/>
  <c r="CF120" i="8" s="1"/>
  <c r="CE113" i="8"/>
  <c r="CE120" i="8" s="1"/>
  <c r="CE62" i="10"/>
  <c r="CF55" i="10"/>
  <c r="CF62" i="10" s="1"/>
  <c r="CF53" i="10"/>
  <c r="CF60" i="10" s="1"/>
  <c r="CE60" i="10"/>
  <c r="CF108" i="8"/>
  <c r="CF115" i="8" s="1"/>
  <c r="CF122" i="8" s="1"/>
  <c r="CE115" i="8"/>
  <c r="CE122" i="8" s="1"/>
  <c r="CE59" i="10"/>
  <c r="CF52" i="10"/>
  <c r="CF59" i="10" s="1"/>
  <c r="AQ163" i="8" l="1"/>
  <c r="AQ170" i="8" s="1"/>
  <c r="AE82" i="10"/>
  <c r="AE89" i="10" s="1"/>
  <c r="AE96" i="10" s="1"/>
  <c r="BF82" i="10"/>
  <c r="BF89" i="10" s="1"/>
  <c r="BF96" i="10" s="1"/>
  <c r="AH82" i="10"/>
  <c r="AH89" i="10" s="1"/>
  <c r="AH96" i="10" s="1"/>
  <c r="AA164" i="8"/>
  <c r="AA171" i="8" s="1"/>
  <c r="AN85" i="10"/>
  <c r="AN92" i="10" s="1"/>
  <c r="AN99" i="10" s="1"/>
  <c r="AY82" i="10"/>
  <c r="AY89" i="10" s="1"/>
  <c r="AY96" i="10" s="1"/>
  <c r="AF163" i="8"/>
  <c r="AF170" i="8" s="1"/>
  <c r="AD85" i="10"/>
  <c r="AD92" i="10" s="1"/>
  <c r="AD99" i="10" s="1"/>
  <c r="Z163" i="8"/>
  <c r="Z170" i="8" s="1"/>
  <c r="AD164" i="8"/>
  <c r="AD171" i="8" s="1"/>
  <c r="AE166" i="8"/>
  <c r="AE173" i="8" s="1"/>
  <c r="AU163" i="8"/>
  <c r="AU170" i="8" s="1"/>
  <c r="BD164" i="8"/>
  <c r="BD171" i="8" s="1"/>
  <c r="AR166" i="8"/>
  <c r="AR173" i="8" s="1"/>
  <c r="Z164" i="8"/>
  <c r="Z171" i="8" s="1"/>
  <c r="BB85" i="10"/>
  <c r="BB92" i="10" s="1"/>
  <c r="BB99" i="10" s="1"/>
  <c r="BQ164" i="8"/>
  <c r="BQ171" i="8" s="1"/>
  <c r="U85" i="10"/>
  <c r="U92" i="10" s="1"/>
  <c r="U99" i="10" s="1"/>
  <c r="BE82" i="10"/>
  <c r="BE89" i="10" s="1"/>
  <c r="BE96" i="10" s="1"/>
  <c r="BH82" i="10"/>
  <c r="BH89" i="10" s="1"/>
  <c r="BH96" i="10" s="1"/>
  <c r="BR85" i="10"/>
  <c r="BR92" i="10" s="1"/>
  <c r="BR99" i="10" s="1"/>
  <c r="P82" i="10"/>
  <c r="P89" i="10" s="1"/>
  <c r="P96" i="10" s="1"/>
  <c r="T83" i="10"/>
  <c r="T90" i="10" s="1"/>
  <c r="T97" i="10" s="1"/>
  <c r="AM164" i="8"/>
  <c r="AM171" i="8" s="1"/>
  <c r="AA163" i="8"/>
  <c r="AA170" i="8" s="1"/>
  <c r="AH83" i="10"/>
  <c r="AH90" i="10" s="1"/>
  <c r="AH97" i="10" s="1"/>
  <c r="AH164" i="8"/>
  <c r="AH171" i="8" s="1"/>
  <c r="BL164" i="8"/>
  <c r="BL171" i="8" s="1"/>
  <c r="BL83" i="10"/>
  <c r="BL90" i="10" s="1"/>
  <c r="BL97" i="10" s="1"/>
  <c r="BT83" i="10"/>
  <c r="BT90" i="10" s="1"/>
  <c r="BT97" i="10" s="1"/>
  <c r="BT164" i="8"/>
  <c r="BT171" i="8" s="1"/>
  <c r="BM85" i="10"/>
  <c r="BM92" i="10" s="1"/>
  <c r="BM99" i="10" s="1"/>
  <c r="BM166" i="8"/>
  <c r="BM173" i="8" s="1"/>
  <c r="AL83" i="10"/>
  <c r="AL90" i="10" s="1"/>
  <c r="AL97" i="10" s="1"/>
  <c r="AL164" i="8"/>
  <c r="AL171" i="8" s="1"/>
  <c r="Z83" i="10"/>
  <c r="Z90" i="10" s="1"/>
  <c r="Z97" i="10" s="1"/>
  <c r="BB166" i="8"/>
  <c r="BB173" i="8" s="1"/>
  <c r="AU83" i="10"/>
  <c r="AU90" i="10" s="1"/>
  <c r="AU97" i="10" s="1"/>
  <c r="AU164" i="8"/>
  <c r="AU171" i="8" s="1"/>
  <c r="AT164" i="8"/>
  <c r="AT171" i="8" s="1"/>
  <c r="AT83" i="10"/>
  <c r="AT90" i="10" s="1"/>
  <c r="AT97" i="10" s="1"/>
  <c r="AN166" i="8"/>
  <c r="AN173" i="8" s="1"/>
  <c r="BC85" i="10"/>
  <c r="BC92" i="10" s="1"/>
  <c r="BC99" i="10" s="1"/>
  <c r="BC166" i="8"/>
  <c r="BC173" i="8" s="1"/>
  <c r="AE164" i="8"/>
  <c r="AE171" i="8" s="1"/>
  <c r="AE83" i="10"/>
  <c r="AE90" i="10" s="1"/>
  <c r="AE97" i="10" s="1"/>
  <c r="BM83" i="10"/>
  <c r="BM90" i="10" s="1"/>
  <c r="BM97" i="10" s="1"/>
  <c r="BM164" i="8"/>
  <c r="BM171" i="8" s="1"/>
  <c r="X82" i="10"/>
  <c r="X89" i="10" s="1"/>
  <c r="X96" i="10" s="1"/>
  <c r="X163" i="8"/>
  <c r="X170" i="8" s="1"/>
  <c r="BU163" i="8"/>
  <c r="BU170" i="8" s="1"/>
  <c r="BU82" i="10"/>
  <c r="BU89" i="10" s="1"/>
  <c r="BU96" i="10" s="1"/>
  <c r="BL82" i="10"/>
  <c r="BL89" i="10" s="1"/>
  <c r="BL96" i="10" s="1"/>
  <c r="BL163" i="8"/>
  <c r="BL170" i="8" s="1"/>
  <c r="AP83" i="10"/>
  <c r="AP90" i="10" s="1"/>
  <c r="AP97" i="10" s="1"/>
  <c r="AP164" i="8"/>
  <c r="AP171" i="8" s="1"/>
  <c r="AY163" i="8"/>
  <c r="AY170" i="8" s="1"/>
  <c r="AM82" i="10"/>
  <c r="AM89" i="10" s="1"/>
  <c r="AM96" i="10" s="1"/>
  <c r="AM163" i="8"/>
  <c r="AM170" i="8" s="1"/>
  <c r="BN83" i="10"/>
  <c r="BN90" i="10" s="1"/>
  <c r="BN97" i="10" s="1"/>
  <c r="BN164" i="8"/>
  <c r="BN171" i="8" s="1"/>
  <c r="BO83" i="10"/>
  <c r="BO90" i="10" s="1"/>
  <c r="BO97" i="10" s="1"/>
  <c r="BO164" i="8"/>
  <c r="BO171" i="8" s="1"/>
  <c r="BR166" i="8"/>
  <c r="BR173" i="8" s="1"/>
  <c r="AJ85" i="10"/>
  <c r="AJ92" i="10" s="1"/>
  <c r="AJ99" i="10" s="1"/>
  <c r="AJ166" i="8"/>
  <c r="AJ173" i="8" s="1"/>
  <c r="BE166" i="8"/>
  <c r="BE173" i="8" s="1"/>
  <c r="BE85" i="10"/>
  <c r="BE92" i="10" s="1"/>
  <c r="BE99" i="10" s="1"/>
  <c r="AX83" i="10"/>
  <c r="AX90" i="10" s="1"/>
  <c r="AX97" i="10" s="1"/>
  <c r="AX164" i="8"/>
  <c r="AX171" i="8" s="1"/>
  <c r="BE164" i="8"/>
  <c r="BE171" i="8" s="1"/>
  <c r="BE83" i="10"/>
  <c r="BE90" i="10" s="1"/>
  <c r="BE97" i="10" s="1"/>
  <c r="AI163" i="8"/>
  <c r="AI170" i="8" s="1"/>
  <c r="AI82" i="10"/>
  <c r="AI89" i="10" s="1"/>
  <c r="AI96" i="10" s="1"/>
  <c r="BK85" i="10"/>
  <c r="BK92" i="10" s="1"/>
  <c r="BK99" i="10" s="1"/>
  <c r="BK166" i="8"/>
  <c r="BK173" i="8" s="1"/>
  <c r="S85" i="10"/>
  <c r="S92" i="10" s="1"/>
  <c r="S99" i="10" s="1"/>
  <c r="S166" i="8"/>
  <c r="S173" i="8" s="1"/>
  <c r="BN163" i="8"/>
  <c r="BN170" i="8" s="1"/>
  <c r="BN82" i="10"/>
  <c r="BN89" i="10" s="1"/>
  <c r="BN96" i="10" s="1"/>
  <c r="U83" i="10"/>
  <c r="U90" i="10" s="1"/>
  <c r="U97" i="10" s="1"/>
  <c r="U164" i="8"/>
  <c r="U171" i="8" s="1"/>
  <c r="BD83" i="10"/>
  <c r="BD90" i="10" s="1"/>
  <c r="BD97" i="10" s="1"/>
  <c r="AR85" i="10"/>
  <c r="AR92" i="10" s="1"/>
  <c r="AR99" i="10" s="1"/>
  <c r="AR84" i="10"/>
  <c r="AR91" i="10" s="1"/>
  <c r="AR98" i="10" s="1"/>
  <c r="AR165" i="8"/>
  <c r="AR172" i="8" s="1"/>
  <c r="BR165" i="8"/>
  <c r="BR172" i="8" s="1"/>
  <c r="BR84" i="10"/>
  <c r="BR91" i="10" s="1"/>
  <c r="BR98" i="10" s="1"/>
  <c r="BG83" i="10"/>
  <c r="BG90" i="10" s="1"/>
  <c r="BG97" i="10" s="1"/>
  <c r="BG164" i="8"/>
  <c r="BG171" i="8" s="1"/>
  <c r="Z84" i="10"/>
  <c r="Z91" i="10" s="1"/>
  <c r="Z98" i="10" s="1"/>
  <c r="Z165" i="8"/>
  <c r="Z172" i="8" s="1"/>
  <c r="BK84" i="10"/>
  <c r="BK91" i="10" s="1"/>
  <c r="BK98" i="10" s="1"/>
  <c r="BK165" i="8"/>
  <c r="BK172" i="8" s="1"/>
  <c r="AM85" i="10"/>
  <c r="AM92" i="10" s="1"/>
  <c r="AM99" i="10" s="1"/>
  <c r="AM166" i="8"/>
  <c r="AM173" i="8" s="1"/>
  <c r="AN165" i="8"/>
  <c r="AN172" i="8" s="1"/>
  <c r="AN84" i="10"/>
  <c r="AN91" i="10" s="1"/>
  <c r="AN98" i="10" s="1"/>
  <c r="BI85" i="10"/>
  <c r="BI92" i="10" s="1"/>
  <c r="BI99" i="10" s="1"/>
  <c r="BI166" i="8"/>
  <c r="BI173" i="8" s="1"/>
  <c r="BM163" i="8"/>
  <c r="BM170" i="8" s="1"/>
  <c r="BM82" i="10"/>
  <c r="BM89" i="10" s="1"/>
  <c r="BM96" i="10" s="1"/>
  <c r="BA165" i="8"/>
  <c r="BA172" i="8" s="1"/>
  <c r="BA84" i="10"/>
  <c r="BA91" i="10" s="1"/>
  <c r="BA98" i="10" s="1"/>
  <c r="BS84" i="10"/>
  <c r="BS91" i="10" s="1"/>
  <c r="BS98" i="10" s="1"/>
  <c r="BS165" i="8"/>
  <c r="BS172" i="8" s="1"/>
  <c r="BB164" i="8"/>
  <c r="BB171" i="8" s="1"/>
  <c r="BB83" i="10"/>
  <c r="BB90" i="10" s="1"/>
  <c r="BB97" i="10" s="1"/>
  <c r="AU84" i="10"/>
  <c r="AU91" i="10" s="1"/>
  <c r="AU98" i="10" s="1"/>
  <c r="AU165" i="8"/>
  <c r="AU172" i="8" s="1"/>
  <c r="AL165" i="8"/>
  <c r="AL172" i="8" s="1"/>
  <c r="AL84" i="10"/>
  <c r="AL91" i="10" s="1"/>
  <c r="AL98" i="10" s="1"/>
  <c r="BC164" i="8"/>
  <c r="BC171" i="8" s="1"/>
  <c r="BC83" i="10"/>
  <c r="BC90" i="10" s="1"/>
  <c r="BC97" i="10" s="1"/>
  <c r="AV84" i="10"/>
  <c r="AV91" i="10" s="1"/>
  <c r="AV98" i="10" s="1"/>
  <c r="AV165" i="8"/>
  <c r="AV172" i="8" s="1"/>
  <c r="AV85" i="10"/>
  <c r="AV92" i="10" s="1"/>
  <c r="AV99" i="10" s="1"/>
  <c r="AV166" i="8"/>
  <c r="AV173" i="8" s="1"/>
  <c r="X84" i="10"/>
  <c r="X91" i="10" s="1"/>
  <c r="X98" i="10" s="1"/>
  <c r="X165" i="8"/>
  <c r="X172" i="8" s="1"/>
  <c r="AA84" i="10"/>
  <c r="AA91" i="10" s="1"/>
  <c r="AA98" i="10" s="1"/>
  <c r="AA165" i="8"/>
  <c r="AA172" i="8" s="1"/>
  <c r="BP82" i="10"/>
  <c r="BP89" i="10" s="1"/>
  <c r="BP96" i="10" s="1"/>
  <c r="BP163" i="8"/>
  <c r="BP170" i="8" s="1"/>
  <c r="BH83" i="10"/>
  <c r="BH90" i="10" s="1"/>
  <c r="BH97" i="10" s="1"/>
  <c r="BH164" i="8"/>
  <c r="BH171" i="8" s="1"/>
  <c r="AQ84" i="10"/>
  <c r="AQ91" i="10" s="1"/>
  <c r="AQ98" i="10" s="1"/>
  <c r="AQ165" i="8"/>
  <c r="AQ172" i="8" s="1"/>
  <c r="Y84" i="10"/>
  <c r="Y91" i="10" s="1"/>
  <c r="Y98" i="10" s="1"/>
  <c r="Y165" i="8"/>
  <c r="Y172" i="8" s="1"/>
  <c r="BP84" i="10"/>
  <c r="BP91" i="10" s="1"/>
  <c r="BP98" i="10" s="1"/>
  <c r="BP165" i="8"/>
  <c r="BP172" i="8" s="1"/>
  <c r="AK84" i="10"/>
  <c r="AK91" i="10" s="1"/>
  <c r="AK98" i="10" s="1"/>
  <c r="AK165" i="8"/>
  <c r="AK172" i="8" s="1"/>
  <c r="AG84" i="10"/>
  <c r="AG91" i="10" s="1"/>
  <c r="AG98" i="10" s="1"/>
  <c r="AG165" i="8"/>
  <c r="AG172" i="8" s="1"/>
  <c r="AY165" i="8"/>
  <c r="AY172" i="8" s="1"/>
  <c r="AY84" i="10"/>
  <c r="AY91" i="10" s="1"/>
  <c r="AY98" i="10" s="1"/>
  <c r="V84" i="10"/>
  <c r="V91" i="10" s="1"/>
  <c r="V98" i="10" s="1"/>
  <c r="V165" i="8"/>
  <c r="V172" i="8" s="1"/>
  <c r="BM84" i="10"/>
  <c r="BM91" i="10" s="1"/>
  <c r="BM98" i="10" s="1"/>
  <c r="BM165" i="8"/>
  <c r="BM172" i="8" s="1"/>
  <c r="AR164" i="8"/>
  <c r="AR171" i="8" s="1"/>
  <c r="AR83" i="10"/>
  <c r="AR90" i="10" s="1"/>
  <c r="AR97" i="10" s="1"/>
  <c r="Y164" i="8"/>
  <c r="Y171" i="8" s="1"/>
  <c r="Y83" i="10"/>
  <c r="Y90" i="10" s="1"/>
  <c r="Y97" i="10" s="1"/>
  <c r="BJ85" i="10"/>
  <c r="BJ92" i="10" s="1"/>
  <c r="BJ99" i="10" s="1"/>
  <c r="BJ166" i="8"/>
  <c r="BJ173" i="8" s="1"/>
  <c r="U84" i="10"/>
  <c r="U91" i="10" s="1"/>
  <c r="U98" i="10" s="1"/>
  <c r="U165" i="8"/>
  <c r="U172" i="8" s="1"/>
  <c r="AX84" i="10"/>
  <c r="AX91" i="10" s="1"/>
  <c r="AX98" i="10" s="1"/>
  <c r="AX165" i="8"/>
  <c r="AX172" i="8" s="1"/>
  <c r="V85" i="10"/>
  <c r="V92" i="10" s="1"/>
  <c r="V99" i="10" s="1"/>
  <c r="V166" i="8"/>
  <c r="V173" i="8" s="1"/>
  <c r="BL165" i="8"/>
  <c r="BL172" i="8" s="1"/>
  <c r="BL84" i="10"/>
  <c r="BL91" i="10" s="1"/>
  <c r="BL98" i="10" s="1"/>
  <c r="AW164" i="8"/>
  <c r="AW171" i="8" s="1"/>
  <c r="AW83" i="10"/>
  <c r="AW90" i="10" s="1"/>
  <c r="AW97" i="10" s="1"/>
  <c r="AZ83" i="10"/>
  <c r="AZ90" i="10" s="1"/>
  <c r="AZ97" i="10" s="1"/>
  <c r="AZ164" i="8"/>
  <c r="AZ171" i="8" s="1"/>
  <c r="O166" i="8"/>
  <c r="O173" i="8" s="1"/>
  <c r="O85" i="10"/>
  <c r="O92" i="10" s="1"/>
  <c r="O99" i="10" s="1"/>
  <c r="AC84" i="10"/>
  <c r="AC91" i="10" s="1"/>
  <c r="AC98" i="10" s="1"/>
  <c r="AC165" i="8"/>
  <c r="AC172" i="8" s="1"/>
  <c r="BN165" i="8"/>
  <c r="BN172" i="8" s="1"/>
  <c r="BN84" i="10"/>
  <c r="BN91" i="10" s="1"/>
  <c r="BN98" i="10" s="1"/>
  <c r="AW165" i="8"/>
  <c r="AW172" i="8" s="1"/>
  <c r="AW84" i="10"/>
  <c r="AW91" i="10" s="1"/>
  <c r="AW98" i="10" s="1"/>
  <c r="AI84" i="10"/>
  <c r="AI91" i="10" s="1"/>
  <c r="AI98" i="10" s="1"/>
  <c r="AI165" i="8"/>
  <c r="AI172" i="8" s="1"/>
  <c r="AD84" i="10"/>
  <c r="AD91" i="10" s="1"/>
  <c r="AD98" i="10" s="1"/>
  <c r="AD165" i="8"/>
  <c r="AD172" i="8" s="1"/>
  <c r="P84" i="10"/>
  <c r="P91" i="10" s="1"/>
  <c r="P98" i="10" s="1"/>
  <c r="P165" i="8"/>
  <c r="P172" i="8" s="1"/>
  <c r="R166" i="8"/>
  <c r="R173" i="8" s="1"/>
  <c r="R85" i="10"/>
  <c r="R92" i="10" s="1"/>
  <c r="R99" i="10" s="1"/>
  <c r="BJ164" i="8"/>
  <c r="BJ171" i="8" s="1"/>
  <c r="BJ83" i="10"/>
  <c r="BJ90" i="10" s="1"/>
  <c r="BJ97" i="10" s="1"/>
  <c r="BN85" i="10"/>
  <c r="BN92" i="10" s="1"/>
  <c r="BN99" i="10" s="1"/>
  <c r="BN166" i="8"/>
  <c r="BN173" i="8" s="1"/>
  <c r="AB166" i="8"/>
  <c r="AB173" i="8" s="1"/>
  <c r="AB85" i="10"/>
  <c r="AB92" i="10" s="1"/>
  <c r="AB99" i="10" s="1"/>
  <c r="AY166" i="8"/>
  <c r="AY173" i="8" s="1"/>
  <c r="AY85" i="10"/>
  <c r="AY92" i="10" s="1"/>
  <c r="AY99" i="10" s="1"/>
  <c r="Z82" i="10"/>
  <c r="Z89" i="10" s="1"/>
  <c r="Z96" i="10" s="1"/>
  <c r="BI165" i="8"/>
  <c r="BI172" i="8" s="1"/>
  <c r="BI84" i="10"/>
  <c r="BI91" i="10" s="1"/>
  <c r="BI98" i="10" s="1"/>
  <c r="AH84" i="10"/>
  <c r="AH91" i="10" s="1"/>
  <c r="AH98" i="10" s="1"/>
  <c r="AH165" i="8"/>
  <c r="AH172" i="8" s="1"/>
  <c r="W164" i="8"/>
  <c r="W171" i="8" s="1"/>
  <c r="W83" i="10"/>
  <c r="W90" i="10" s="1"/>
  <c r="W97" i="10" s="1"/>
  <c r="AJ84" i="10"/>
  <c r="AJ91" i="10" s="1"/>
  <c r="AJ98" i="10" s="1"/>
  <c r="AJ165" i="8"/>
  <c r="AJ172" i="8" s="1"/>
  <c r="AY164" i="8"/>
  <c r="AY171" i="8" s="1"/>
  <c r="AY83" i="10"/>
  <c r="AY90" i="10" s="1"/>
  <c r="AY97" i="10" s="1"/>
  <c r="BK83" i="10"/>
  <c r="BK90" i="10" s="1"/>
  <c r="BK97" i="10" s="1"/>
  <c r="BK164" i="8"/>
  <c r="BK171" i="8" s="1"/>
  <c r="BH84" i="10"/>
  <c r="BH91" i="10" s="1"/>
  <c r="BH98" i="10" s="1"/>
  <c r="BH165" i="8"/>
  <c r="BH172" i="8" s="1"/>
  <c r="W84" i="10"/>
  <c r="W91" i="10" s="1"/>
  <c r="W98" i="10" s="1"/>
  <c r="W165" i="8"/>
  <c r="W172" i="8" s="1"/>
  <c r="AT165" i="8"/>
  <c r="AT172" i="8" s="1"/>
  <c r="AT84" i="10"/>
  <c r="AT91" i="10" s="1"/>
  <c r="AT98" i="10" s="1"/>
  <c r="BD84" i="10"/>
  <c r="BD91" i="10" s="1"/>
  <c r="BD98" i="10" s="1"/>
  <c r="BD165" i="8"/>
  <c r="BD172" i="8" s="1"/>
  <c r="BO84" i="10"/>
  <c r="BO91" i="10" s="1"/>
  <c r="BO98" i="10" s="1"/>
  <c r="BO165" i="8"/>
  <c r="BO172" i="8" s="1"/>
  <c r="AO166" i="8"/>
  <c r="AO173" i="8" s="1"/>
  <c r="AO85" i="10"/>
  <c r="AO92" i="10" s="1"/>
  <c r="AO99" i="10" s="1"/>
  <c r="AD166" i="8"/>
  <c r="AD173" i="8" s="1"/>
  <c r="AC83" i="10"/>
  <c r="AC90" i="10" s="1"/>
  <c r="AC97" i="10" s="1"/>
  <c r="AC164" i="8"/>
  <c r="AC171" i="8" s="1"/>
  <c r="BQ84" i="10"/>
  <c r="BQ91" i="10" s="1"/>
  <c r="BQ98" i="10" s="1"/>
  <c r="BQ165" i="8"/>
  <c r="BQ172" i="8" s="1"/>
  <c r="O84" i="10"/>
  <c r="O91" i="10" s="1"/>
  <c r="O98" i="10" s="1"/>
  <c r="O165" i="8"/>
  <c r="O172" i="8" s="1"/>
  <c r="AE84" i="10"/>
  <c r="AE91" i="10" s="1"/>
  <c r="AE98" i="10" s="1"/>
  <c r="AE165" i="8"/>
  <c r="AE172" i="8" s="1"/>
  <c r="AF165" i="8"/>
  <c r="AF172" i="8" s="1"/>
  <c r="AF84" i="10"/>
  <c r="AF91" i="10" s="1"/>
  <c r="AF98" i="10" s="1"/>
  <c r="Q165" i="8"/>
  <c r="Q172" i="8" s="1"/>
  <c r="Q84" i="10"/>
  <c r="Q91" i="10" s="1"/>
  <c r="Q98" i="10" s="1"/>
  <c r="AH163" i="8"/>
  <c r="AH170" i="8" s="1"/>
  <c r="BB84" i="10"/>
  <c r="BB91" i="10" s="1"/>
  <c r="BB98" i="10" s="1"/>
  <c r="BB165" i="8"/>
  <c r="BB172" i="8" s="1"/>
  <c r="BE165" i="8"/>
  <c r="BE172" i="8" s="1"/>
  <c r="BE84" i="10"/>
  <c r="BE91" i="10" s="1"/>
  <c r="BE98" i="10" s="1"/>
  <c r="V163" i="8"/>
  <c r="V170" i="8" s="1"/>
  <c r="V82" i="10"/>
  <c r="V89" i="10" s="1"/>
  <c r="V96" i="10" s="1"/>
  <c r="BF165" i="8"/>
  <c r="BF172" i="8" s="1"/>
  <c r="BF84" i="10"/>
  <c r="BF91" i="10" s="1"/>
  <c r="BF98" i="10" s="1"/>
  <c r="AH166" i="8"/>
  <c r="AH173" i="8" s="1"/>
  <c r="AH85" i="10"/>
  <c r="AH92" i="10" s="1"/>
  <c r="AH99" i="10" s="1"/>
  <c r="AM165" i="8"/>
  <c r="AM172" i="8" s="1"/>
  <c r="AM84" i="10"/>
  <c r="AM91" i="10" s="1"/>
  <c r="AM98" i="10" s="1"/>
  <c r="O82" i="10"/>
  <c r="O89" i="10" s="1"/>
  <c r="O96" i="10" s="1"/>
  <c r="O163" i="8"/>
  <c r="O170" i="8" s="1"/>
  <c r="T84" i="10"/>
  <c r="T91" i="10" s="1"/>
  <c r="T98" i="10" s="1"/>
  <c r="T165" i="8"/>
  <c r="T172" i="8" s="1"/>
  <c r="AQ83" i="10"/>
  <c r="AQ90" i="10" s="1"/>
  <c r="AQ97" i="10" s="1"/>
  <c r="AQ164" i="8"/>
  <c r="AQ171" i="8" s="1"/>
  <c r="R84" i="10"/>
  <c r="R91" i="10" s="1"/>
  <c r="R98" i="10" s="1"/>
  <c r="R165" i="8"/>
  <c r="R172" i="8" s="1"/>
  <c r="AZ165" i="8"/>
  <c r="AZ172" i="8" s="1"/>
  <c r="AZ84" i="10"/>
  <c r="AZ91" i="10" s="1"/>
  <c r="AZ98" i="10" s="1"/>
  <c r="AB84" i="10"/>
  <c r="AB91" i="10" s="1"/>
  <c r="AB98" i="10" s="1"/>
  <c r="AB165" i="8"/>
  <c r="AB172" i="8" s="1"/>
  <c r="BT84" i="10"/>
  <c r="BT91" i="10" s="1"/>
  <c r="BT98" i="10" s="1"/>
  <c r="BT165" i="8"/>
  <c r="BT172" i="8" s="1"/>
  <c r="AT82" i="10"/>
  <c r="AT89" i="10" s="1"/>
  <c r="AT96" i="10" s="1"/>
  <c r="AT163" i="8"/>
  <c r="AT170" i="8" s="1"/>
  <c r="BS166" i="8"/>
  <c r="BS173" i="8" s="1"/>
  <c r="BS85" i="10"/>
  <c r="BS92" i="10" s="1"/>
  <c r="BS99" i="10" s="1"/>
  <c r="BP164" i="8"/>
  <c r="BP171" i="8" s="1"/>
  <c r="BP83" i="10"/>
  <c r="BP90" i="10" s="1"/>
  <c r="BP97" i="10" s="1"/>
  <c r="BQ85" i="10"/>
  <c r="BQ92" i="10" s="1"/>
  <c r="BQ99" i="10" s="1"/>
  <c r="BQ166" i="8"/>
  <c r="BQ173" i="8" s="1"/>
  <c r="AR82" i="10"/>
  <c r="AR89" i="10" s="1"/>
  <c r="AR96" i="10" s="1"/>
  <c r="AR163" i="8"/>
  <c r="AR170" i="8" s="1"/>
  <c r="U163" i="8"/>
  <c r="U170" i="8" s="1"/>
  <c r="U82" i="10"/>
  <c r="U89" i="10" s="1"/>
  <c r="U96" i="10" s="1"/>
  <c r="AN83" i="10"/>
  <c r="AN90" i="10" s="1"/>
  <c r="AN97" i="10" s="1"/>
  <c r="AN164" i="8"/>
  <c r="AN171" i="8" s="1"/>
  <c r="AF166" i="8"/>
  <c r="AF173" i="8" s="1"/>
  <c r="AF85" i="10"/>
  <c r="AF92" i="10" s="1"/>
  <c r="AF99" i="10" s="1"/>
  <c r="BI83" i="10"/>
  <c r="BI90" i="10" s="1"/>
  <c r="BI97" i="10" s="1"/>
  <c r="BI164" i="8"/>
  <c r="BI171" i="8" s="1"/>
  <c r="BC165" i="8"/>
  <c r="BC172" i="8" s="1"/>
  <c r="BC84" i="10"/>
  <c r="BC91" i="10" s="1"/>
  <c r="BC98" i="10" s="1"/>
  <c r="AS84" i="10"/>
  <c r="AS91" i="10" s="1"/>
  <c r="AS98" i="10" s="1"/>
  <c r="AS165" i="8"/>
  <c r="AS172" i="8" s="1"/>
  <c r="BJ84" i="10"/>
  <c r="BJ91" i="10" s="1"/>
  <c r="BJ98" i="10" s="1"/>
  <c r="BJ165" i="8"/>
  <c r="BJ172" i="8" s="1"/>
  <c r="BG84" i="10"/>
  <c r="BG91" i="10" s="1"/>
  <c r="BG98" i="10" s="1"/>
  <c r="BG165" i="8"/>
  <c r="BG172" i="8" s="1"/>
  <c r="AF82" i="10"/>
  <c r="AF89" i="10" s="1"/>
  <c r="AF96" i="10" s="1"/>
  <c r="S165" i="8"/>
  <c r="S172" i="8" s="1"/>
  <c r="S84" i="10"/>
  <c r="S91" i="10" s="1"/>
  <c r="S98" i="10" s="1"/>
  <c r="AP84" i="10"/>
  <c r="AP91" i="10" s="1"/>
  <c r="AP98" i="10" s="1"/>
  <c r="AP165" i="8"/>
  <c r="AP172" i="8" s="1"/>
  <c r="AO165" i="8"/>
  <c r="AO172" i="8" s="1"/>
  <c r="AO84" i="10"/>
  <c r="AO91" i="10" s="1"/>
  <c r="AO98" i="10" s="1"/>
  <c r="AA83" i="10" l="1"/>
  <c r="AA90" i="10" s="1"/>
  <c r="AA97" i="10" s="1"/>
  <c r="BF163" i="8"/>
  <c r="BF170" i="8" s="1"/>
  <c r="BF177" i="8" s="1"/>
  <c r="AQ82" i="10"/>
  <c r="AQ89" i="10" s="1"/>
  <c r="AQ96" i="10" s="1"/>
  <c r="AU82" i="10"/>
  <c r="AU89" i="10" s="1"/>
  <c r="AU96" i="10" s="1"/>
  <c r="U166" i="8"/>
  <c r="U173" i="8" s="1"/>
  <c r="S47" i="13" s="1"/>
  <c r="T164" i="8"/>
  <c r="T171" i="8" s="1"/>
  <c r="R45" i="13" s="1"/>
  <c r="AD83" i="10"/>
  <c r="AD90" i="10" s="1"/>
  <c r="AD97" i="10" s="1"/>
  <c r="AE85" i="10"/>
  <c r="AE92" i="10" s="1"/>
  <c r="AE99" i="10" s="1"/>
  <c r="BQ83" i="10"/>
  <c r="BQ90" i="10" s="1"/>
  <c r="BQ97" i="10" s="1"/>
  <c r="AA82" i="10"/>
  <c r="AA89" i="10" s="1"/>
  <c r="AA96" i="10" s="1"/>
  <c r="AE163" i="8"/>
  <c r="AE170" i="8" s="1"/>
  <c r="AC44" i="13" s="1"/>
  <c r="BE163" i="8"/>
  <c r="BE170" i="8" s="1"/>
  <c r="BE177" i="8" s="1"/>
  <c r="AM83" i="10"/>
  <c r="AM90" i="10" s="1"/>
  <c r="AM97" i="10" s="1"/>
  <c r="P163" i="8"/>
  <c r="P170" i="8" s="1"/>
  <c r="P177" i="8" s="1"/>
  <c r="BH163" i="8"/>
  <c r="BH170" i="8" s="1"/>
  <c r="BH177" i="8" s="1"/>
  <c r="Q46" i="13"/>
  <c r="S179" i="8"/>
  <c r="BH46" i="13"/>
  <c r="BJ179" i="8"/>
  <c r="BF166" i="8"/>
  <c r="BF173" i="8" s="1"/>
  <c r="BF85" i="10"/>
  <c r="BF92" i="10" s="1"/>
  <c r="BF99" i="10" s="1"/>
  <c r="AA178" i="8"/>
  <c r="Y45" i="13"/>
  <c r="AI164" i="8"/>
  <c r="AI171" i="8" s="1"/>
  <c r="AI83" i="10"/>
  <c r="AI90" i="10" s="1"/>
  <c r="AI97" i="10" s="1"/>
  <c r="BO179" i="8"/>
  <c r="BM46" i="13"/>
  <c r="W179" i="8"/>
  <c r="U46" i="13"/>
  <c r="AD82" i="10"/>
  <c r="AD89" i="10" s="1"/>
  <c r="AD96" i="10" s="1"/>
  <c r="AD163" i="8"/>
  <c r="AD170" i="8" s="1"/>
  <c r="W178" i="8"/>
  <c r="U45" i="13"/>
  <c r="BJ178" i="8"/>
  <c r="BH45" i="13"/>
  <c r="BD82" i="10"/>
  <c r="BD89" i="10" s="1"/>
  <c r="BD96" i="10" s="1"/>
  <c r="BD163" i="8"/>
  <c r="BD170" i="8" s="1"/>
  <c r="O180" i="8"/>
  <c r="M47" i="13"/>
  <c r="AY179" i="8"/>
  <c r="AW46" i="13"/>
  <c r="S83" i="10"/>
  <c r="S90" i="10" s="1"/>
  <c r="S97" i="10" s="1"/>
  <c r="S164" i="8"/>
  <c r="S171" i="8" s="1"/>
  <c r="W85" i="10"/>
  <c r="W92" i="10" s="1"/>
  <c r="W99" i="10" s="1"/>
  <c r="W166" i="8"/>
  <c r="W173" i="8" s="1"/>
  <c r="P83" i="10"/>
  <c r="P90" i="10" s="1"/>
  <c r="P97" i="10" s="1"/>
  <c r="P164" i="8"/>
  <c r="P171" i="8" s="1"/>
  <c r="AE180" i="8"/>
  <c r="AC47" i="13"/>
  <c r="AP47" i="13"/>
  <c r="AR180" i="8"/>
  <c r="BL177" i="8"/>
  <c r="BJ44" i="13"/>
  <c r="BK45" i="13"/>
  <c r="BM178" i="8"/>
  <c r="BC180" i="8"/>
  <c r="BA47" i="13"/>
  <c r="BB180" i="8"/>
  <c r="AZ47" i="13"/>
  <c r="BT178" i="8"/>
  <c r="BR45" i="13"/>
  <c r="AO179" i="8"/>
  <c r="AM46" i="13"/>
  <c r="AP179" i="8"/>
  <c r="AN46" i="13"/>
  <c r="AB83" i="10"/>
  <c r="AB90" i="10" s="1"/>
  <c r="AB97" i="10" s="1"/>
  <c r="AB164" i="8"/>
  <c r="AB171" i="8" s="1"/>
  <c r="AQ85" i="10"/>
  <c r="AQ92" i="10" s="1"/>
  <c r="AQ99" i="10" s="1"/>
  <c r="AQ166" i="8"/>
  <c r="AQ173" i="8" s="1"/>
  <c r="S163" i="8"/>
  <c r="S170" i="8" s="1"/>
  <c r="S82" i="10"/>
  <c r="S89" i="10" s="1"/>
  <c r="S96" i="10" s="1"/>
  <c r="BK178" i="8"/>
  <c r="BI45" i="13"/>
  <c r="AG82" i="10"/>
  <c r="AG89" i="10" s="1"/>
  <c r="AG96" i="10" s="1"/>
  <c r="AG163" i="8"/>
  <c r="AG170" i="8" s="1"/>
  <c r="BQ82" i="10"/>
  <c r="BQ89" i="10" s="1"/>
  <c r="BQ96" i="10" s="1"/>
  <c r="BQ163" i="8"/>
  <c r="BQ170" i="8" s="1"/>
  <c r="AL82" i="10"/>
  <c r="AL89" i="10" s="1"/>
  <c r="AL96" i="10" s="1"/>
  <c r="AL163" i="8"/>
  <c r="AL170" i="8" s="1"/>
  <c r="Y85" i="10"/>
  <c r="Y92" i="10" s="1"/>
  <c r="Y99" i="10" s="1"/>
  <c r="Y166" i="8"/>
  <c r="Y173" i="8" s="1"/>
  <c r="BL85" i="10"/>
  <c r="BL92" i="10" s="1"/>
  <c r="BL99" i="10" s="1"/>
  <c r="BL166" i="8"/>
  <c r="BL173" i="8" s="1"/>
  <c r="AW82" i="10"/>
  <c r="AW89" i="10" s="1"/>
  <c r="AW96" i="10" s="1"/>
  <c r="AW163" i="8"/>
  <c r="AW170" i="8" s="1"/>
  <c r="BR83" i="10"/>
  <c r="BR90" i="10" s="1"/>
  <c r="BR97" i="10" s="1"/>
  <c r="BR164" i="8"/>
  <c r="BR171" i="8" s="1"/>
  <c r="AB82" i="10"/>
  <c r="AB89" i="10" s="1"/>
  <c r="AB96" i="10" s="1"/>
  <c r="AB163" i="8"/>
  <c r="AB170" i="8" s="1"/>
  <c r="W45" i="13"/>
  <c r="Y178" i="8"/>
  <c r="AG179" i="8"/>
  <c r="AE46" i="13"/>
  <c r="BP177" i="8"/>
  <c r="BN44" i="13"/>
  <c r="X179" i="8"/>
  <c r="V46" i="13"/>
  <c r="BO85" i="10"/>
  <c r="BO92" i="10" s="1"/>
  <c r="BO99" i="10" s="1"/>
  <c r="BO166" i="8"/>
  <c r="BO173" i="8" s="1"/>
  <c r="BK44" i="13"/>
  <c r="BM177" i="8"/>
  <c r="BC82" i="10"/>
  <c r="BC89" i="10" s="1"/>
  <c r="BC96" i="10" s="1"/>
  <c r="BC163" i="8"/>
  <c r="BC170" i="8" s="1"/>
  <c r="BS83" i="10"/>
  <c r="BS90" i="10" s="1"/>
  <c r="BS97" i="10" s="1"/>
  <c r="BS164" i="8"/>
  <c r="BS171" i="8" s="1"/>
  <c r="X46" i="13"/>
  <c r="Z179" i="8"/>
  <c r="BG178" i="8"/>
  <c r="BE45" i="13"/>
  <c r="AG83" i="10"/>
  <c r="AG90" i="10" s="1"/>
  <c r="AG97" i="10" s="1"/>
  <c r="AG164" i="8"/>
  <c r="AG171" i="8" s="1"/>
  <c r="BN177" i="8"/>
  <c r="BL44" i="13"/>
  <c r="AI177" i="8"/>
  <c r="AG44" i="13"/>
  <c r="BP47" i="13"/>
  <c r="BR180" i="8"/>
  <c r="AY177" i="8"/>
  <c r="AW44" i="13"/>
  <c r="AS179" i="8"/>
  <c r="AQ46" i="13"/>
  <c r="S44" i="13"/>
  <c r="U177" i="8"/>
  <c r="BP178" i="8"/>
  <c r="BN45" i="13"/>
  <c r="AC82" i="10"/>
  <c r="AC89" i="10" s="1"/>
  <c r="AC96" i="10" s="1"/>
  <c r="AC163" i="8"/>
  <c r="AC170" i="8" s="1"/>
  <c r="AT85" i="10"/>
  <c r="AT92" i="10" s="1"/>
  <c r="AT99" i="10" s="1"/>
  <c r="AT166" i="8"/>
  <c r="AT173" i="8" s="1"/>
  <c r="AJ82" i="10"/>
  <c r="AJ89" i="10" s="1"/>
  <c r="AJ96" i="10" s="1"/>
  <c r="AJ163" i="8"/>
  <c r="AJ170" i="8" s="1"/>
  <c r="Q82" i="10"/>
  <c r="Q89" i="10" s="1"/>
  <c r="Q96" i="10" s="1"/>
  <c r="Q163" i="8"/>
  <c r="Q170" i="8" s="1"/>
  <c r="O177" i="8"/>
  <c r="M44" i="13"/>
  <c r="AF179" i="8"/>
  <c r="AD46" i="13"/>
  <c r="O179" i="8"/>
  <c r="M46" i="13"/>
  <c r="W163" i="8"/>
  <c r="W170" i="8" s="1"/>
  <c r="W82" i="10"/>
  <c r="W89" i="10" s="1"/>
  <c r="W96" i="10" s="1"/>
  <c r="AF83" i="10"/>
  <c r="AF90" i="10" s="1"/>
  <c r="AF97" i="10" s="1"/>
  <c r="AF164" i="8"/>
  <c r="AF171" i="8" s="1"/>
  <c r="Z166" i="8"/>
  <c r="Z173" i="8" s="1"/>
  <c r="Z85" i="10"/>
  <c r="Z92" i="10" s="1"/>
  <c r="Z99" i="10" s="1"/>
  <c r="AW47" i="13"/>
  <c r="AY180" i="8"/>
  <c r="AI179" i="8"/>
  <c r="AG46" i="13"/>
  <c r="AO82" i="10"/>
  <c r="AO89" i="10" s="1"/>
  <c r="AO96" i="10" s="1"/>
  <c r="AO163" i="8"/>
  <c r="AO170" i="8" s="1"/>
  <c r="AX45" i="13"/>
  <c r="AZ178" i="8"/>
  <c r="AP85" i="10"/>
  <c r="AP92" i="10" s="1"/>
  <c r="AP99" i="10" s="1"/>
  <c r="AP166" i="8"/>
  <c r="AP173" i="8" s="1"/>
  <c r="V179" i="8"/>
  <c r="T46" i="13"/>
  <c r="AA166" i="8"/>
  <c r="AA173" i="8" s="1"/>
  <c r="AA85" i="10"/>
  <c r="AA92" i="10" s="1"/>
  <c r="AA99" i="10" s="1"/>
  <c r="BC178" i="8"/>
  <c r="BA45" i="13"/>
  <c r="AL179" i="8"/>
  <c r="AJ46" i="13"/>
  <c r="AY46" i="13"/>
  <c r="BA179" i="8"/>
  <c r="AZ82" i="10"/>
  <c r="AZ89" i="10" s="1"/>
  <c r="AZ96" i="10" s="1"/>
  <c r="AZ163" i="8"/>
  <c r="AZ170" i="8" s="1"/>
  <c r="S180" i="8"/>
  <c r="Q47" i="13"/>
  <c r="BM45" i="13"/>
  <c r="BO178" i="8"/>
  <c r="AL47" i="13"/>
  <c r="AN180" i="8"/>
  <c r="Z178" i="8"/>
  <c r="X45" i="13"/>
  <c r="AX82" i="10"/>
  <c r="AX89" i="10" s="1"/>
  <c r="AX96" i="10" s="1"/>
  <c r="AX163" i="8"/>
  <c r="AX170" i="8" s="1"/>
  <c r="AF177" i="8"/>
  <c r="AD44" i="13"/>
  <c r="AH180" i="8"/>
  <c r="AF47" i="13"/>
  <c r="BB179" i="8"/>
  <c r="AZ46" i="13"/>
  <c r="BI82" i="10"/>
  <c r="BI89" i="10" s="1"/>
  <c r="BI96" i="10" s="1"/>
  <c r="BI163" i="8"/>
  <c r="BI170" i="8" s="1"/>
  <c r="BA82" i="10"/>
  <c r="BA89" i="10" s="1"/>
  <c r="BA96" i="10" s="1"/>
  <c r="BA163" i="8"/>
  <c r="BA170" i="8" s="1"/>
  <c r="AC178" i="8"/>
  <c r="AA45" i="13"/>
  <c r="BU83" i="10"/>
  <c r="BU90" i="10" s="1"/>
  <c r="BU97" i="10" s="1"/>
  <c r="BU164" i="8"/>
  <c r="BU171" i="8" s="1"/>
  <c r="BD179" i="8"/>
  <c r="BB46" i="13"/>
  <c r="BT163" i="8"/>
  <c r="BT170" i="8" s="1"/>
  <c r="BT82" i="10"/>
  <c r="BT89" i="10" s="1"/>
  <c r="BT96" i="10" s="1"/>
  <c r="AK166" i="8"/>
  <c r="AK173" i="8" s="1"/>
  <c r="AK85" i="10"/>
  <c r="AK92" i="10" s="1"/>
  <c r="AK99" i="10" s="1"/>
  <c r="AV82" i="10"/>
  <c r="AV89" i="10" s="1"/>
  <c r="AV96" i="10" s="1"/>
  <c r="AV163" i="8"/>
  <c r="AV170" i="8" s="1"/>
  <c r="BH179" i="8"/>
  <c r="BF46" i="13"/>
  <c r="BA166" i="8"/>
  <c r="BA173" i="8" s="1"/>
  <c r="BA85" i="10"/>
  <c r="BA92" i="10" s="1"/>
  <c r="BA99" i="10" s="1"/>
  <c r="AH46" i="13"/>
  <c r="AJ179" i="8"/>
  <c r="BA164" i="8"/>
  <c r="BA171" i="8" s="1"/>
  <c r="BA83" i="10"/>
  <c r="BA90" i="10" s="1"/>
  <c r="BA97" i="10" s="1"/>
  <c r="AF46" i="13"/>
  <c r="AH179" i="8"/>
  <c r="P47" i="13"/>
  <c r="R180" i="8"/>
  <c r="AW179" i="8"/>
  <c r="AU46" i="13"/>
  <c r="AK83" i="10"/>
  <c r="AK90" i="10" s="1"/>
  <c r="AK97" i="10" s="1"/>
  <c r="AK164" i="8"/>
  <c r="AK171" i="8" s="1"/>
  <c r="AL85" i="10"/>
  <c r="AL92" i="10" s="1"/>
  <c r="AL99" i="10" s="1"/>
  <c r="AL166" i="8"/>
  <c r="AL173" i="8" s="1"/>
  <c r="AP45" i="13"/>
  <c r="AR178" i="8"/>
  <c r="Y179" i="8"/>
  <c r="W46" i="13"/>
  <c r="AV180" i="8"/>
  <c r="AT47" i="13"/>
  <c r="Q83" i="10"/>
  <c r="Q90" i="10" s="1"/>
  <c r="Q97" i="10" s="1"/>
  <c r="Q164" i="8"/>
  <c r="Q171" i="8" s="1"/>
  <c r="BB178" i="8"/>
  <c r="AZ45" i="13"/>
  <c r="BG47" i="13"/>
  <c r="BI180" i="8"/>
  <c r="AN179" i="8"/>
  <c r="AL46" i="13"/>
  <c r="BD178" i="8"/>
  <c r="BB45" i="13"/>
  <c r="BE178" i="8"/>
  <c r="BC45" i="13"/>
  <c r="BL178" i="8"/>
  <c r="BJ45" i="13"/>
  <c r="BO163" i="8"/>
  <c r="BO170" i="8" s="1"/>
  <c r="BO82" i="10"/>
  <c r="BO89" i="10" s="1"/>
  <c r="BO96" i="10" s="1"/>
  <c r="R164" i="8"/>
  <c r="R171" i="8" s="1"/>
  <c r="R83" i="10"/>
  <c r="R90" i="10" s="1"/>
  <c r="R97" i="10" s="1"/>
  <c r="BP85" i="10"/>
  <c r="BP92" i="10" s="1"/>
  <c r="BP99" i="10" s="1"/>
  <c r="BP166" i="8"/>
  <c r="BP173" i="8" s="1"/>
  <c r="X83" i="10"/>
  <c r="X90" i="10" s="1"/>
  <c r="X97" i="10" s="1"/>
  <c r="X164" i="8"/>
  <c r="X171" i="8" s="1"/>
  <c r="AR177" i="8"/>
  <c r="AP44" i="13"/>
  <c r="BS180" i="8"/>
  <c r="BQ47" i="13"/>
  <c r="BJ163" i="8"/>
  <c r="BJ170" i="8" s="1"/>
  <c r="BJ82" i="10"/>
  <c r="BJ89" i="10" s="1"/>
  <c r="BJ96" i="10" s="1"/>
  <c r="AU85" i="10"/>
  <c r="AU92" i="10" s="1"/>
  <c r="AU99" i="10" s="1"/>
  <c r="AU166" i="8"/>
  <c r="AU173" i="8" s="1"/>
  <c r="AP82" i="10"/>
  <c r="AP89" i="10" s="1"/>
  <c r="AP96" i="10" s="1"/>
  <c r="AP163" i="8"/>
  <c r="AP170" i="8" s="1"/>
  <c r="AQ178" i="8"/>
  <c r="AO45" i="13"/>
  <c r="BF179" i="8"/>
  <c r="BD46" i="13"/>
  <c r="BC46" i="13"/>
  <c r="BE179" i="8"/>
  <c r="AE179" i="8"/>
  <c r="AC46" i="13"/>
  <c r="BR82" i="10"/>
  <c r="BR89" i="10" s="1"/>
  <c r="BR96" i="10" s="1"/>
  <c r="BR163" i="8"/>
  <c r="BR170" i="8" s="1"/>
  <c r="AW45" i="13"/>
  <c r="AY178" i="8"/>
  <c r="BG46" i="13"/>
  <c r="BI179" i="8"/>
  <c r="Z47" i="13"/>
  <c r="AB180" i="8"/>
  <c r="N46" i="13"/>
  <c r="P179" i="8"/>
  <c r="AA46" i="13"/>
  <c r="AC179" i="8"/>
  <c r="BJ46" i="13"/>
  <c r="BL179" i="8"/>
  <c r="BB82" i="10"/>
  <c r="BB89" i="10" s="1"/>
  <c r="BB96" i="10" s="1"/>
  <c r="BB163" i="8"/>
  <c r="BB170" i="8" s="1"/>
  <c r="U179" i="8"/>
  <c r="S46" i="13"/>
  <c r="T82" i="10"/>
  <c r="T89" i="10" s="1"/>
  <c r="T96" i="10" s="1"/>
  <c r="T163" i="8"/>
  <c r="T170" i="8" s="1"/>
  <c r="R82" i="10"/>
  <c r="R89" i="10" s="1"/>
  <c r="R96" i="10" s="1"/>
  <c r="R163" i="8"/>
  <c r="R170" i="8" s="1"/>
  <c r="AG166" i="8"/>
  <c r="AG173" i="8" s="1"/>
  <c r="AG85" i="10"/>
  <c r="AG92" i="10" s="1"/>
  <c r="AG99" i="10" s="1"/>
  <c r="BO45" i="13"/>
  <c r="BQ178" i="8"/>
  <c r="BR179" i="8"/>
  <c r="BP46" i="13"/>
  <c r="AU177" i="8"/>
  <c r="AS44" i="13"/>
  <c r="AA177" i="8"/>
  <c r="Y44" i="13"/>
  <c r="AX178" i="8"/>
  <c r="AV45" i="13"/>
  <c r="BL45" i="13"/>
  <c r="BN178" i="8"/>
  <c r="AP178" i="8"/>
  <c r="AN45" i="13"/>
  <c r="AJ45" i="13"/>
  <c r="AL178" i="8"/>
  <c r="AH178" i="8"/>
  <c r="AF45" i="13"/>
  <c r="T166" i="8"/>
  <c r="T173" i="8" s="1"/>
  <c r="T85" i="10"/>
  <c r="T92" i="10" s="1"/>
  <c r="T99" i="10" s="1"/>
  <c r="BE46" i="13"/>
  <c r="BG179" i="8"/>
  <c r="AF180" i="8"/>
  <c r="AD47" i="13"/>
  <c r="AR44" i="13"/>
  <c r="AT177" i="8"/>
  <c r="R179" i="8"/>
  <c r="P46" i="13"/>
  <c r="AJ164" i="8"/>
  <c r="AJ171" i="8" s="1"/>
  <c r="AJ83" i="10"/>
  <c r="AJ90" i="10" s="1"/>
  <c r="AJ97" i="10" s="1"/>
  <c r="AM179" i="8"/>
  <c r="AK46" i="13"/>
  <c r="BF83" i="10"/>
  <c r="BF90" i="10" s="1"/>
  <c r="BF97" i="10" s="1"/>
  <c r="BF164" i="8"/>
  <c r="BF171" i="8" s="1"/>
  <c r="AH177" i="8"/>
  <c r="AF44" i="13"/>
  <c r="AQ177" i="8"/>
  <c r="AO44" i="13"/>
  <c r="BN180" i="8"/>
  <c r="BL47" i="13"/>
  <c r="AW178" i="8"/>
  <c r="AU45" i="13"/>
  <c r="T47" i="13"/>
  <c r="V180" i="8"/>
  <c r="AS166" i="8"/>
  <c r="AS173" i="8" s="1"/>
  <c r="AS85" i="10"/>
  <c r="AS92" i="10" s="1"/>
  <c r="AS99" i="10" s="1"/>
  <c r="BD85" i="10"/>
  <c r="BD92" i="10" s="1"/>
  <c r="BD99" i="10" s="1"/>
  <c r="BD166" i="8"/>
  <c r="BD173" i="8" s="1"/>
  <c r="AI46" i="13"/>
  <c r="AK179" i="8"/>
  <c r="BH178" i="8"/>
  <c r="BF45" i="13"/>
  <c r="AU179" i="8"/>
  <c r="AS46" i="13"/>
  <c r="AM180" i="8"/>
  <c r="AK47" i="13"/>
  <c r="AX166" i="8"/>
  <c r="AX173" i="8" s="1"/>
  <c r="AX85" i="10"/>
  <c r="AX92" i="10" s="1"/>
  <c r="AX99" i="10" s="1"/>
  <c r="V83" i="10"/>
  <c r="V90" i="10" s="1"/>
  <c r="V97" i="10" s="1"/>
  <c r="V164" i="8"/>
  <c r="V171" i="8" s="1"/>
  <c r="BI46" i="13"/>
  <c r="BK179" i="8"/>
  <c r="BE180" i="8"/>
  <c r="BC47" i="13"/>
  <c r="BS44" i="13"/>
  <c r="BU177" i="8"/>
  <c r="AR45" i="13"/>
  <c r="AT178" i="8"/>
  <c r="BU85" i="10"/>
  <c r="BU92" i="10" s="1"/>
  <c r="BU99" i="10" s="1"/>
  <c r="BU166" i="8"/>
  <c r="BU173" i="8" s="1"/>
  <c r="AZ85" i="10"/>
  <c r="AZ92" i="10" s="1"/>
  <c r="AZ99" i="10" s="1"/>
  <c r="AZ166" i="8"/>
  <c r="AZ173" i="8" s="1"/>
  <c r="Y163" i="8"/>
  <c r="Y170" i="8" s="1"/>
  <c r="Y82" i="10"/>
  <c r="Y89" i="10" s="1"/>
  <c r="Y96" i="10" s="1"/>
  <c r="Q85" i="10"/>
  <c r="Q92" i="10" s="1"/>
  <c r="Q99" i="10" s="1"/>
  <c r="Q166" i="8"/>
  <c r="Q173" i="8" s="1"/>
  <c r="BA46" i="13"/>
  <c r="BC179" i="8"/>
  <c r="AB179" i="8"/>
  <c r="Z46" i="13"/>
  <c r="AI166" i="8"/>
  <c r="AI173" i="8" s="1"/>
  <c r="AI85" i="10"/>
  <c r="AI92" i="10" s="1"/>
  <c r="AI99" i="10" s="1"/>
  <c r="T179" i="8"/>
  <c r="R46" i="13"/>
  <c r="V177" i="8"/>
  <c r="T44" i="13"/>
  <c r="Q179" i="8"/>
  <c r="O46" i="13"/>
  <c r="AD180" i="8"/>
  <c r="AB47" i="13"/>
  <c r="AR46" i="13"/>
  <c r="AT179" i="8"/>
  <c r="BH85" i="10"/>
  <c r="BH92" i="10" s="1"/>
  <c r="BH99" i="10" s="1"/>
  <c r="BH166" i="8"/>
  <c r="BH173" i="8" s="1"/>
  <c r="AV83" i="10"/>
  <c r="AV90" i="10" s="1"/>
  <c r="AV97" i="10" s="1"/>
  <c r="AV164" i="8"/>
  <c r="AV171" i="8" s="1"/>
  <c r="AC85" i="10"/>
  <c r="AC92" i="10" s="1"/>
  <c r="AC99" i="10" s="1"/>
  <c r="AC166" i="8"/>
  <c r="AC173" i="8" s="1"/>
  <c r="BG82" i="10"/>
  <c r="BG89" i="10" s="1"/>
  <c r="BG96" i="10" s="1"/>
  <c r="BG163" i="8"/>
  <c r="BG170" i="8" s="1"/>
  <c r="AD179" i="8"/>
  <c r="AB46" i="13"/>
  <c r="AK82" i="10"/>
  <c r="AK89" i="10" s="1"/>
  <c r="AK96" i="10" s="1"/>
  <c r="AK163" i="8"/>
  <c r="AK170" i="8" s="1"/>
  <c r="AS82" i="10"/>
  <c r="AS89" i="10" s="1"/>
  <c r="AS96" i="10" s="1"/>
  <c r="AS163" i="8"/>
  <c r="AS170" i="8" s="1"/>
  <c r="BJ180" i="8"/>
  <c r="BH47" i="13"/>
  <c r="BG166" i="8"/>
  <c r="BG173" i="8" s="1"/>
  <c r="BG85" i="10"/>
  <c r="BG92" i="10" s="1"/>
  <c r="BG99" i="10" s="1"/>
  <c r="BP179" i="8"/>
  <c r="BN46" i="13"/>
  <c r="AQ179" i="8"/>
  <c r="AO46" i="13"/>
  <c r="BS179" i="8"/>
  <c r="BQ46" i="13"/>
  <c r="AS83" i="10"/>
  <c r="AS90" i="10" s="1"/>
  <c r="AS97" i="10" s="1"/>
  <c r="AS164" i="8"/>
  <c r="AS171" i="8" s="1"/>
  <c r="BU84" i="10"/>
  <c r="BU91" i="10" s="1"/>
  <c r="BU98" i="10" s="1"/>
  <c r="BU165" i="8"/>
  <c r="BU172" i="8" s="1"/>
  <c r="AR179" i="8"/>
  <c r="AP46" i="13"/>
  <c r="U178" i="8"/>
  <c r="S45" i="13"/>
  <c r="BK180" i="8"/>
  <c r="BI47" i="13"/>
  <c r="AM178" i="8"/>
  <c r="AK45" i="13"/>
  <c r="AJ180" i="8"/>
  <c r="AH47" i="13"/>
  <c r="AM177" i="8"/>
  <c r="AK44" i="13"/>
  <c r="X177" i="8"/>
  <c r="V44" i="13"/>
  <c r="AU178" i="8"/>
  <c r="AS45" i="13"/>
  <c r="BK47" i="13"/>
  <c r="BM180" i="8"/>
  <c r="BD44" i="13"/>
  <c r="BT85" i="10"/>
  <c r="BT92" i="10" s="1"/>
  <c r="BT99" i="10" s="1"/>
  <c r="BT166" i="8"/>
  <c r="BT173" i="8" s="1"/>
  <c r="BI178" i="8"/>
  <c r="BG45" i="13"/>
  <c r="AN178" i="8"/>
  <c r="AL45" i="13"/>
  <c r="BQ180" i="8"/>
  <c r="BO47" i="13"/>
  <c r="BT179" i="8"/>
  <c r="BR46" i="13"/>
  <c r="P166" i="8"/>
  <c r="P173" i="8" s="1"/>
  <c r="P85" i="10"/>
  <c r="P92" i="10" s="1"/>
  <c r="P99" i="10" s="1"/>
  <c r="AZ179" i="8"/>
  <c r="AX46" i="13"/>
  <c r="AN163" i="8"/>
  <c r="AN170" i="8" s="1"/>
  <c r="AN82" i="10"/>
  <c r="AN89" i="10" s="1"/>
  <c r="AN96" i="10" s="1"/>
  <c r="AO83" i="10"/>
  <c r="AO90" i="10" s="1"/>
  <c r="AO97" i="10" s="1"/>
  <c r="AO164" i="8"/>
  <c r="AO171" i="8" s="1"/>
  <c r="BK82" i="10"/>
  <c r="BK89" i="10" s="1"/>
  <c r="BK96" i="10" s="1"/>
  <c r="BK163" i="8"/>
  <c r="BK170" i="8" s="1"/>
  <c r="BO46" i="13"/>
  <c r="BQ179" i="8"/>
  <c r="AO180" i="8"/>
  <c r="AM47" i="13"/>
  <c r="O83" i="10"/>
  <c r="O90" i="10" s="1"/>
  <c r="O97" i="10" s="1"/>
  <c r="O164" i="8"/>
  <c r="O171" i="8" s="1"/>
  <c r="Z177" i="8"/>
  <c r="X44" i="13"/>
  <c r="BL46" i="13"/>
  <c r="BN179" i="8"/>
  <c r="AW85" i="10"/>
  <c r="AW92" i="10" s="1"/>
  <c r="AW99" i="10" s="1"/>
  <c r="AW166" i="8"/>
  <c r="AW173" i="8" s="1"/>
  <c r="AX179" i="8"/>
  <c r="AV46" i="13"/>
  <c r="BM179" i="8"/>
  <c r="BK46" i="13"/>
  <c r="BS82" i="10"/>
  <c r="BS89" i="10" s="1"/>
  <c r="BS96" i="10" s="1"/>
  <c r="BS163" i="8"/>
  <c r="BS170" i="8" s="1"/>
  <c r="AA179" i="8"/>
  <c r="Y46" i="13"/>
  <c r="AV179" i="8"/>
  <c r="AT46" i="13"/>
  <c r="X85" i="10"/>
  <c r="X92" i="10" s="1"/>
  <c r="X99" i="10" s="1"/>
  <c r="X166" i="8"/>
  <c r="X173" i="8" s="1"/>
  <c r="AB45" i="13"/>
  <c r="AD178" i="8"/>
  <c r="AE178" i="8"/>
  <c r="AC45" i="13"/>
  <c r="AE177" i="8" l="1"/>
  <c r="N44" i="13"/>
  <c r="U180" i="8"/>
  <c r="BF44" i="13"/>
  <c r="T178" i="8"/>
  <c r="BC44" i="13"/>
  <c r="P44" i="13"/>
  <c r="R177" i="8"/>
  <c r="BV85" i="10"/>
  <c r="BV92" i="10" s="1"/>
  <c r="BV99" i="10" s="1"/>
  <c r="BV166" i="8"/>
  <c r="BV173" i="8" s="1"/>
  <c r="BU178" i="8"/>
  <c r="BS45" i="13"/>
  <c r="AQ87" i="8"/>
  <c r="AQ94" i="8" s="1"/>
  <c r="AQ101" i="8" s="1"/>
  <c r="AQ129" i="8" s="1"/>
  <c r="AQ136" i="8" s="1"/>
  <c r="AO40" i="13" s="1"/>
  <c r="AQ29" i="10"/>
  <c r="AQ40" i="10" s="1"/>
  <c r="AQ47" i="10" s="1"/>
  <c r="AQ68" i="10" s="1"/>
  <c r="AQ75" i="10" s="1"/>
  <c r="AQ203" i="10" s="1"/>
  <c r="AC29" i="10"/>
  <c r="AC40" i="10" s="1"/>
  <c r="AC47" i="10" s="1"/>
  <c r="AC68" i="10" s="1"/>
  <c r="AC75" i="10" s="1"/>
  <c r="AC203" i="10" s="1"/>
  <c r="AC87" i="8"/>
  <c r="AC94" i="8" s="1"/>
  <c r="AC101" i="8" s="1"/>
  <c r="AC129" i="8" s="1"/>
  <c r="AC136" i="8" s="1"/>
  <c r="AA40" i="13" s="1"/>
  <c r="BX29" i="10"/>
  <c r="BX40" i="10" s="1"/>
  <c r="BX47" i="10" s="1"/>
  <c r="BX68" i="10" s="1"/>
  <c r="BX75" i="10" s="1"/>
  <c r="BX87" i="8"/>
  <c r="BX94" i="8" s="1"/>
  <c r="BX101" i="8" s="1"/>
  <c r="BX129" i="8" s="1"/>
  <c r="BX136" i="8" s="1"/>
  <c r="BV40" i="13" s="1"/>
  <c r="AN30" i="10"/>
  <c r="AN41" i="10" s="1"/>
  <c r="AN48" i="10" s="1"/>
  <c r="AN69" i="10" s="1"/>
  <c r="AN76" i="10" s="1"/>
  <c r="AN204" i="10" s="1"/>
  <c r="AN88" i="8"/>
  <c r="AN95" i="8" s="1"/>
  <c r="AN102" i="8" s="1"/>
  <c r="AN130" i="8" s="1"/>
  <c r="AN137" i="8" s="1"/>
  <c r="AL41" i="13" s="1"/>
  <c r="L30" i="10"/>
  <c r="L41" i="10" s="1"/>
  <c r="L48" i="10" s="1"/>
  <c r="L69" i="10" s="1"/>
  <c r="L76" i="10" s="1"/>
  <c r="L204" i="10" s="1"/>
  <c r="L88" i="8"/>
  <c r="L95" i="8" s="1"/>
  <c r="L102" i="8" s="1"/>
  <c r="L130" i="8" s="1"/>
  <c r="L137" i="8" s="1"/>
  <c r="J41" i="13" s="1"/>
  <c r="CC30" i="10"/>
  <c r="CC41" i="10" s="1"/>
  <c r="CC48" i="10" s="1"/>
  <c r="CC69" i="10" s="1"/>
  <c r="CC76" i="10" s="1"/>
  <c r="CC88" i="8"/>
  <c r="CC95" i="8" s="1"/>
  <c r="CC102" i="8" s="1"/>
  <c r="CC130" i="8" s="1"/>
  <c r="CC137" i="8" s="1"/>
  <c r="CA41" i="13" s="1"/>
  <c r="AI87" i="8"/>
  <c r="AI94" i="8" s="1"/>
  <c r="AI101" i="8" s="1"/>
  <c r="AI129" i="8" s="1"/>
  <c r="AI136" i="8" s="1"/>
  <c r="AG40" i="13" s="1"/>
  <c r="AI29" i="10"/>
  <c r="AI40" i="10" s="1"/>
  <c r="AI47" i="10" s="1"/>
  <c r="AI68" i="10" s="1"/>
  <c r="AI75" i="10" s="1"/>
  <c r="AI203" i="10" s="1"/>
  <c r="AB87" i="8"/>
  <c r="AB94" i="8" s="1"/>
  <c r="AB101" i="8" s="1"/>
  <c r="AB129" i="8" s="1"/>
  <c r="AB136" i="8" s="1"/>
  <c r="Z40" i="13" s="1"/>
  <c r="AB29" i="10"/>
  <c r="AB40" i="10" s="1"/>
  <c r="AB47" i="10" s="1"/>
  <c r="AB68" i="10" s="1"/>
  <c r="AB75" i="10" s="1"/>
  <c r="AB203" i="10" s="1"/>
  <c r="BQ88" i="8"/>
  <c r="BQ95" i="8" s="1"/>
  <c r="BQ102" i="8" s="1"/>
  <c r="BQ130" i="8" s="1"/>
  <c r="BQ137" i="8" s="1"/>
  <c r="BO41" i="13" s="1"/>
  <c r="BQ30" i="10"/>
  <c r="BQ41" i="10" s="1"/>
  <c r="BQ48" i="10" s="1"/>
  <c r="BQ69" i="10" s="1"/>
  <c r="BQ76" i="10" s="1"/>
  <c r="BQ204" i="10" s="1"/>
  <c r="BC88" i="8"/>
  <c r="BC95" i="8" s="1"/>
  <c r="BC102" i="8" s="1"/>
  <c r="BC130" i="8" s="1"/>
  <c r="BC137" i="8" s="1"/>
  <c r="BA41" i="13" s="1"/>
  <c r="BC30" i="10"/>
  <c r="BC41" i="10" s="1"/>
  <c r="BC48" i="10" s="1"/>
  <c r="BC69" i="10" s="1"/>
  <c r="BC76" i="10" s="1"/>
  <c r="BC204" i="10" s="1"/>
  <c r="BU88" i="8"/>
  <c r="BU95" i="8" s="1"/>
  <c r="BU102" i="8" s="1"/>
  <c r="BU130" i="8" s="1"/>
  <c r="BU137" i="8" s="1"/>
  <c r="BS41" i="13" s="1"/>
  <c r="BU30" i="10"/>
  <c r="BU41" i="10" s="1"/>
  <c r="BU48" i="10" s="1"/>
  <c r="BU69" i="10" s="1"/>
  <c r="BU76" i="10" s="1"/>
  <c r="Y29" i="10"/>
  <c r="Y40" i="10" s="1"/>
  <c r="Y47" i="10" s="1"/>
  <c r="Y68" i="10" s="1"/>
  <c r="Y75" i="10" s="1"/>
  <c r="Y203" i="10" s="1"/>
  <c r="Y87" i="8"/>
  <c r="Y94" i="8" s="1"/>
  <c r="Y101" i="8" s="1"/>
  <c r="Y129" i="8" s="1"/>
  <c r="Y136" i="8" s="1"/>
  <c r="W40" i="13" s="1"/>
  <c r="AV29" i="10"/>
  <c r="AV40" i="10" s="1"/>
  <c r="AV47" i="10" s="1"/>
  <c r="AV68" i="10" s="1"/>
  <c r="AV75" i="10" s="1"/>
  <c r="AV203" i="10" s="1"/>
  <c r="AV87" i="8"/>
  <c r="AV94" i="8" s="1"/>
  <c r="AV101" i="8" s="1"/>
  <c r="AV129" i="8" s="1"/>
  <c r="AV136" i="8" s="1"/>
  <c r="AT40" i="13" s="1"/>
  <c r="CD29" i="10"/>
  <c r="CD40" i="10" s="1"/>
  <c r="CD47" i="10" s="1"/>
  <c r="CD68" i="10" s="1"/>
  <c r="CD75" i="10" s="1"/>
  <c r="CD87" i="8"/>
  <c r="CD94" i="8" s="1"/>
  <c r="CD101" i="8" s="1"/>
  <c r="CD129" i="8" s="1"/>
  <c r="CD136" i="8" s="1"/>
  <c r="CB40" i="13" s="1"/>
  <c r="L29" i="10"/>
  <c r="L40" i="10" s="1"/>
  <c r="L47" i="10" s="1"/>
  <c r="L68" i="10" s="1"/>
  <c r="L75" i="10" s="1"/>
  <c r="L203" i="10" s="1"/>
  <c r="L87" i="8"/>
  <c r="L94" i="8" s="1"/>
  <c r="L101" i="8" s="1"/>
  <c r="L129" i="8" s="1"/>
  <c r="L136" i="8" s="1"/>
  <c r="J40" i="13" s="1"/>
  <c r="N88" i="8"/>
  <c r="N95" i="8" s="1"/>
  <c r="N102" i="8" s="1"/>
  <c r="N130" i="8" s="1"/>
  <c r="N137" i="8" s="1"/>
  <c r="L41" i="13" s="1"/>
  <c r="N30" i="10"/>
  <c r="N41" i="10" s="1"/>
  <c r="N48" i="10" s="1"/>
  <c r="N69" i="10" s="1"/>
  <c r="N76" i="10" s="1"/>
  <c r="N204" i="10" s="1"/>
  <c r="AE88" i="8"/>
  <c r="AE95" i="8" s="1"/>
  <c r="AE102" i="8" s="1"/>
  <c r="AE130" i="8" s="1"/>
  <c r="AE137" i="8" s="1"/>
  <c r="AC41" i="13" s="1"/>
  <c r="AE30" i="10"/>
  <c r="AE41" i="10" s="1"/>
  <c r="AE48" i="10" s="1"/>
  <c r="AE69" i="10" s="1"/>
  <c r="AE76" i="10" s="1"/>
  <c r="AE204" i="10" s="1"/>
  <c r="X88" i="8"/>
  <c r="X95" i="8" s="1"/>
  <c r="X102" i="8" s="1"/>
  <c r="X130" i="8" s="1"/>
  <c r="X137" i="8" s="1"/>
  <c r="V41" i="13" s="1"/>
  <c r="X30" i="10"/>
  <c r="X41" i="10" s="1"/>
  <c r="X48" i="10" s="1"/>
  <c r="X69" i="10" s="1"/>
  <c r="X76" i="10" s="1"/>
  <c r="X204" i="10" s="1"/>
  <c r="AU88" i="8"/>
  <c r="AU95" i="8" s="1"/>
  <c r="AU102" i="8" s="1"/>
  <c r="AU130" i="8" s="1"/>
  <c r="AU137" i="8" s="1"/>
  <c r="AS41" i="13" s="1"/>
  <c r="AU30" i="10"/>
  <c r="AU41" i="10" s="1"/>
  <c r="AU48" i="10" s="1"/>
  <c r="AU69" i="10" s="1"/>
  <c r="AU76" i="10" s="1"/>
  <c r="Y88" i="8"/>
  <c r="Y95" i="8" s="1"/>
  <c r="Y102" i="8" s="1"/>
  <c r="Y130" i="8" s="1"/>
  <c r="Y137" i="8" s="1"/>
  <c r="W41" i="13" s="1"/>
  <c r="Y30" i="10"/>
  <c r="Y41" i="10" s="1"/>
  <c r="Y48" i="10" s="1"/>
  <c r="Y69" i="10" s="1"/>
  <c r="Y76" i="10" s="1"/>
  <c r="Y204" i="10" s="1"/>
  <c r="BI30" i="10"/>
  <c r="BI41" i="10" s="1"/>
  <c r="BI48" i="10" s="1"/>
  <c r="BI69" i="10" s="1"/>
  <c r="BI76" i="10" s="1"/>
  <c r="BI204" i="10" s="1"/>
  <c r="BI88" i="8"/>
  <c r="BI95" i="8" s="1"/>
  <c r="BI102" i="8" s="1"/>
  <c r="BI130" i="8" s="1"/>
  <c r="BI137" i="8" s="1"/>
  <c r="BG41" i="13" s="1"/>
  <c r="AS87" i="8"/>
  <c r="AS94" i="8" s="1"/>
  <c r="AS101" i="8" s="1"/>
  <c r="AS129" i="8" s="1"/>
  <c r="AS136" i="8" s="1"/>
  <c r="AQ40" i="13" s="1"/>
  <c r="AS29" i="10"/>
  <c r="AS40" i="10" s="1"/>
  <c r="AS47" i="10" s="1"/>
  <c r="AS68" i="10" s="1"/>
  <c r="AS75" i="10" s="1"/>
  <c r="AS203" i="10" s="1"/>
  <c r="AM27" i="10"/>
  <c r="J29" i="10"/>
  <c r="J40" i="10" s="1"/>
  <c r="J47" i="10" s="1"/>
  <c r="J68" i="10" s="1"/>
  <c r="J75" i="10" s="1"/>
  <c r="J203" i="10" s="1"/>
  <c r="J87" i="8"/>
  <c r="J94" i="8" s="1"/>
  <c r="J101" i="8" s="1"/>
  <c r="J129" i="8" s="1"/>
  <c r="J136" i="8" s="1"/>
  <c r="H40" i="13" s="1"/>
  <c r="BV83" i="10"/>
  <c r="BV90" i="10" s="1"/>
  <c r="BV97" i="10" s="1"/>
  <c r="BV164" i="8"/>
  <c r="BV171" i="8" s="1"/>
  <c r="AB178" i="8"/>
  <c r="Z45" i="13"/>
  <c r="BF180" i="8"/>
  <c r="BD47" i="13"/>
  <c r="AZ180" i="8"/>
  <c r="AX47" i="13"/>
  <c r="BD180" i="8"/>
  <c r="BB47" i="13"/>
  <c r="X180" i="8"/>
  <c r="V47" i="13"/>
  <c r="BG177" i="8"/>
  <c r="BE44" i="13"/>
  <c r="BJ177" i="8"/>
  <c r="BH44" i="13"/>
  <c r="BP180" i="8"/>
  <c r="BN47" i="13"/>
  <c r="AL180" i="8"/>
  <c r="AJ47" i="13"/>
  <c r="AV44" i="13"/>
  <c r="AX177" i="8"/>
  <c r="Z88" i="8"/>
  <c r="Z95" i="8" s="1"/>
  <c r="Z102" i="8" s="1"/>
  <c r="Z130" i="8" s="1"/>
  <c r="Z137" i="8" s="1"/>
  <c r="X41" i="13" s="1"/>
  <c r="Z30" i="10"/>
  <c r="Z41" i="10" s="1"/>
  <c r="Z48" i="10" s="1"/>
  <c r="Z69" i="10" s="1"/>
  <c r="Z76" i="10" s="1"/>
  <c r="CC87" i="8"/>
  <c r="CC94" i="8" s="1"/>
  <c r="CC101" i="8" s="1"/>
  <c r="CC129" i="8" s="1"/>
  <c r="CC136" i="8" s="1"/>
  <c r="CA40" i="13" s="1"/>
  <c r="CC29" i="10"/>
  <c r="CC40" i="10" s="1"/>
  <c r="CC47" i="10" s="1"/>
  <c r="CC68" i="10" s="1"/>
  <c r="CC75" i="10" s="1"/>
  <c r="BC29" i="10"/>
  <c r="BC40" i="10" s="1"/>
  <c r="BC47" i="10" s="1"/>
  <c r="BC68" i="10" s="1"/>
  <c r="BC75" i="10" s="1"/>
  <c r="BC203" i="10" s="1"/>
  <c r="BC87" i="8"/>
  <c r="BC94" i="8" s="1"/>
  <c r="BC101" i="8" s="1"/>
  <c r="BC129" i="8" s="1"/>
  <c r="BC136" i="8" s="1"/>
  <c r="BA40" i="13" s="1"/>
  <c r="AF30" i="10"/>
  <c r="AF41" i="10" s="1"/>
  <c r="AF48" i="10" s="1"/>
  <c r="AF69" i="10" s="1"/>
  <c r="AF76" i="10" s="1"/>
  <c r="AF204" i="10" s="1"/>
  <c r="AF88" i="8"/>
  <c r="AF95" i="8" s="1"/>
  <c r="AF102" i="8" s="1"/>
  <c r="AF130" i="8" s="1"/>
  <c r="AF137" i="8" s="1"/>
  <c r="AD41" i="13" s="1"/>
  <c r="BH87" i="8"/>
  <c r="BH94" i="8" s="1"/>
  <c r="BH101" i="8" s="1"/>
  <c r="BH129" i="8" s="1"/>
  <c r="BH136" i="8" s="1"/>
  <c r="BF40" i="13" s="1"/>
  <c r="BH29" i="10"/>
  <c r="BH40" i="10" s="1"/>
  <c r="BH47" i="10" s="1"/>
  <c r="BH68" i="10" s="1"/>
  <c r="BH75" i="10" s="1"/>
  <c r="BH203" i="10" s="1"/>
  <c r="N87" i="8"/>
  <c r="N94" i="8" s="1"/>
  <c r="N101" i="8" s="1"/>
  <c r="N129" i="8" s="1"/>
  <c r="N136" i="8" s="1"/>
  <c r="L40" i="13" s="1"/>
  <c r="N29" i="10"/>
  <c r="N40" i="10" s="1"/>
  <c r="N47" i="10" s="1"/>
  <c r="N68" i="10" s="1"/>
  <c r="N75" i="10" s="1"/>
  <c r="N203" i="10" s="1"/>
  <c r="AT29" i="10"/>
  <c r="AT40" i="10" s="1"/>
  <c r="AT47" i="10" s="1"/>
  <c r="AT68" i="10" s="1"/>
  <c r="AT75" i="10" s="1"/>
  <c r="AT203" i="10" s="1"/>
  <c r="AT87" i="8"/>
  <c r="AT94" i="8" s="1"/>
  <c r="AT101" i="8" s="1"/>
  <c r="AT129" i="8" s="1"/>
  <c r="AT136" i="8" s="1"/>
  <c r="AR40" i="13" s="1"/>
  <c r="AP30" i="10"/>
  <c r="AP41" i="10" s="1"/>
  <c r="AP48" i="10" s="1"/>
  <c r="AP69" i="10" s="1"/>
  <c r="AP76" i="10" s="1"/>
  <c r="AP204" i="10" s="1"/>
  <c r="AP88" i="8"/>
  <c r="AP95" i="8" s="1"/>
  <c r="AP102" i="8" s="1"/>
  <c r="AP130" i="8" s="1"/>
  <c r="AP137" i="8" s="1"/>
  <c r="AN41" i="13" s="1"/>
  <c r="AM30" i="10"/>
  <c r="AM41" i="10" s="1"/>
  <c r="AM48" i="10" s="1"/>
  <c r="AM69" i="10" s="1"/>
  <c r="AM76" i="10" s="1"/>
  <c r="AM204" i="10" s="1"/>
  <c r="AM88" i="8"/>
  <c r="AM95" i="8" s="1"/>
  <c r="AM102" i="8" s="1"/>
  <c r="AM130" i="8" s="1"/>
  <c r="AM137" i="8" s="1"/>
  <c r="AK41" i="13" s="1"/>
  <c r="AH88" i="8"/>
  <c r="AH95" i="8" s="1"/>
  <c r="AH102" i="8" s="1"/>
  <c r="AH130" i="8" s="1"/>
  <c r="AH137" i="8" s="1"/>
  <c r="AF41" i="13" s="1"/>
  <c r="AH30" i="10"/>
  <c r="AH41" i="10" s="1"/>
  <c r="AH48" i="10" s="1"/>
  <c r="AH69" i="10" s="1"/>
  <c r="AH76" i="10" s="1"/>
  <c r="AH204" i="10" s="1"/>
  <c r="AX30" i="10"/>
  <c r="AX41" i="10" s="1"/>
  <c r="AX48" i="10" s="1"/>
  <c r="AX69" i="10" s="1"/>
  <c r="AX76" i="10" s="1"/>
  <c r="AX204" i="10" s="1"/>
  <c r="AX88" i="8"/>
  <c r="AX95" i="8" s="1"/>
  <c r="AX102" i="8" s="1"/>
  <c r="AX130" i="8" s="1"/>
  <c r="AX137" i="8" s="1"/>
  <c r="AV41" i="13" s="1"/>
  <c r="P30" i="10"/>
  <c r="P41" i="10" s="1"/>
  <c r="P48" i="10" s="1"/>
  <c r="P69" i="10" s="1"/>
  <c r="P76" i="10" s="1"/>
  <c r="P204" i="10" s="1"/>
  <c r="P88" i="8"/>
  <c r="P95" i="8" s="1"/>
  <c r="P102" i="8" s="1"/>
  <c r="P130" i="8" s="1"/>
  <c r="P137" i="8" s="1"/>
  <c r="N41" i="13" s="1"/>
  <c r="W87" i="8"/>
  <c r="W94" i="8" s="1"/>
  <c r="W101" i="8" s="1"/>
  <c r="W129" i="8" s="1"/>
  <c r="W136" i="8" s="1"/>
  <c r="U40" i="13" s="1"/>
  <c r="W29" i="10"/>
  <c r="W40" i="10" s="1"/>
  <c r="W47" i="10" s="1"/>
  <c r="W68" i="10" s="1"/>
  <c r="W75" i="10" s="1"/>
  <c r="W203" i="10" s="1"/>
  <c r="BO29" i="10"/>
  <c r="BO40" i="10" s="1"/>
  <c r="BO47" i="10" s="1"/>
  <c r="BO68" i="10" s="1"/>
  <c r="BO75" i="10" s="1"/>
  <c r="BO203" i="10" s="1"/>
  <c r="BO87" i="8"/>
  <c r="BO94" i="8" s="1"/>
  <c r="BO101" i="8" s="1"/>
  <c r="BO129" i="8" s="1"/>
  <c r="BO136" i="8" s="1"/>
  <c r="BM40" i="13" s="1"/>
  <c r="M30" i="10"/>
  <c r="M41" i="10" s="1"/>
  <c r="M48" i="10" s="1"/>
  <c r="M69" i="10" s="1"/>
  <c r="M76" i="10" s="1"/>
  <c r="M88" i="8"/>
  <c r="M95" i="8" s="1"/>
  <c r="M102" i="8" s="1"/>
  <c r="M130" i="8" s="1"/>
  <c r="M137" i="8" s="1"/>
  <c r="K41" i="13" s="1"/>
  <c r="BD30" i="10"/>
  <c r="BD41" i="10" s="1"/>
  <c r="BD48" i="10" s="1"/>
  <c r="BD69" i="10" s="1"/>
  <c r="BD76" i="10" s="1"/>
  <c r="BD204" i="10" s="1"/>
  <c r="BD88" i="8"/>
  <c r="BD95" i="8" s="1"/>
  <c r="BD102" i="8" s="1"/>
  <c r="BD130" i="8" s="1"/>
  <c r="BD137" i="8" s="1"/>
  <c r="BB41" i="13" s="1"/>
  <c r="BB87" i="8"/>
  <c r="BB94" i="8" s="1"/>
  <c r="BB101" i="8" s="1"/>
  <c r="BB129" i="8" s="1"/>
  <c r="BB136" i="8" s="1"/>
  <c r="AZ40" i="13" s="1"/>
  <c r="BB29" i="10"/>
  <c r="BB40" i="10" s="1"/>
  <c r="BB47" i="10" s="1"/>
  <c r="BB68" i="10" s="1"/>
  <c r="BB75" i="10" s="1"/>
  <c r="BB203" i="10" s="1"/>
  <c r="AV27" i="10"/>
  <c r="AJ88" i="8"/>
  <c r="AJ95" i="8" s="1"/>
  <c r="AJ102" i="8" s="1"/>
  <c r="AJ130" i="8" s="1"/>
  <c r="AJ137" i="8" s="1"/>
  <c r="AH41" i="13" s="1"/>
  <c r="AJ30" i="10"/>
  <c r="AJ41" i="10" s="1"/>
  <c r="AJ48" i="10" s="1"/>
  <c r="AJ69" i="10" s="1"/>
  <c r="AJ76" i="10" s="1"/>
  <c r="AJ204" i="10" s="1"/>
  <c r="AB30" i="10"/>
  <c r="AB41" i="10" s="1"/>
  <c r="AB48" i="10" s="1"/>
  <c r="AB69" i="10" s="1"/>
  <c r="AB76" i="10" s="1"/>
  <c r="AB204" i="10" s="1"/>
  <c r="AB88" i="8"/>
  <c r="AB95" i="8" s="1"/>
  <c r="AB102" i="8" s="1"/>
  <c r="AB130" i="8" s="1"/>
  <c r="AB137" i="8" s="1"/>
  <c r="Z41" i="13" s="1"/>
  <c r="AA30" i="10"/>
  <c r="AA41" i="10" s="1"/>
  <c r="AA48" i="10" s="1"/>
  <c r="AA69" i="10" s="1"/>
  <c r="AA76" i="10" s="1"/>
  <c r="AA204" i="10" s="1"/>
  <c r="AA88" i="8"/>
  <c r="AA95" i="8" s="1"/>
  <c r="AA102" i="8" s="1"/>
  <c r="AA130" i="8" s="1"/>
  <c r="AA137" i="8" s="1"/>
  <c r="Y41" i="13" s="1"/>
  <c r="W30" i="10"/>
  <c r="W41" i="10" s="1"/>
  <c r="W48" i="10" s="1"/>
  <c r="W69" i="10" s="1"/>
  <c r="W76" i="10" s="1"/>
  <c r="W204" i="10" s="1"/>
  <c r="W88" i="8"/>
  <c r="W95" i="8" s="1"/>
  <c r="W102" i="8" s="1"/>
  <c r="W130" i="8" s="1"/>
  <c r="W137" i="8" s="1"/>
  <c r="U41" i="13" s="1"/>
  <c r="CF29" i="10"/>
  <c r="CF40" i="10" s="1"/>
  <c r="CF47" i="10" s="1"/>
  <c r="CF68" i="10" s="1"/>
  <c r="CF75" i="10" s="1"/>
  <c r="CF87" i="8"/>
  <c r="CF94" i="8" s="1"/>
  <c r="CF101" i="8" s="1"/>
  <c r="CF129" i="8" s="1"/>
  <c r="CF136" i="8" s="1"/>
  <c r="CD40" i="13" s="1"/>
  <c r="AK29" i="10"/>
  <c r="AK40" i="10" s="1"/>
  <c r="AK47" i="10" s="1"/>
  <c r="AK68" i="10" s="1"/>
  <c r="AK75" i="10" s="1"/>
  <c r="AK203" i="10" s="1"/>
  <c r="AK87" i="8"/>
  <c r="AK94" i="8" s="1"/>
  <c r="AK101" i="8" s="1"/>
  <c r="AK129" i="8" s="1"/>
  <c r="AK136" i="8" s="1"/>
  <c r="AI40" i="13" s="1"/>
  <c r="U44" i="13"/>
  <c r="W177" i="8"/>
  <c r="AC177" i="8"/>
  <c r="AA44" i="13"/>
  <c r="AW177" i="8"/>
  <c r="AU44" i="13"/>
  <c r="S178" i="8"/>
  <c r="Q45" i="13"/>
  <c r="BI44" i="13"/>
  <c r="BK177" i="8"/>
  <c r="BS177" i="8"/>
  <c r="BQ44" i="13"/>
  <c r="AW180" i="8"/>
  <c r="AU47" i="13"/>
  <c r="AK177" i="8"/>
  <c r="AI44" i="13"/>
  <c r="BU180" i="8"/>
  <c r="BS47" i="13"/>
  <c r="R178" i="8"/>
  <c r="P45" i="13"/>
  <c r="AV177" i="8"/>
  <c r="AT44" i="13"/>
  <c r="AP180" i="8"/>
  <c r="AN47" i="13"/>
  <c r="Q30" i="10"/>
  <c r="Q41" i="10" s="1"/>
  <c r="Q48" i="10" s="1"/>
  <c r="Q69" i="10" s="1"/>
  <c r="Q76" i="10" s="1"/>
  <c r="Q204" i="10" s="1"/>
  <c r="Q88" i="8"/>
  <c r="Q95" i="8" s="1"/>
  <c r="Q102" i="8" s="1"/>
  <c r="Q130" i="8" s="1"/>
  <c r="Q137" i="8" s="1"/>
  <c r="O41" i="13" s="1"/>
  <c r="BA88" i="8"/>
  <c r="BA95" i="8" s="1"/>
  <c r="BA102" i="8" s="1"/>
  <c r="BA130" i="8" s="1"/>
  <c r="BA137" i="8" s="1"/>
  <c r="AY41" i="13" s="1"/>
  <c r="BA30" i="10"/>
  <c r="BA41" i="10" s="1"/>
  <c r="BA48" i="10" s="1"/>
  <c r="BA69" i="10" s="1"/>
  <c r="BA76" i="10" s="1"/>
  <c r="BA204" i="10" s="1"/>
  <c r="BM27" i="10"/>
  <c r="R88" i="8"/>
  <c r="R95" i="8" s="1"/>
  <c r="R102" i="8" s="1"/>
  <c r="R130" i="8" s="1"/>
  <c r="R137" i="8" s="1"/>
  <c r="P41" i="13" s="1"/>
  <c r="R30" i="10"/>
  <c r="R41" i="10" s="1"/>
  <c r="R48" i="10" s="1"/>
  <c r="R69" i="10" s="1"/>
  <c r="R76" i="10" s="1"/>
  <c r="R204" i="10" s="1"/>
  <c r="BZ29" i="10"/>
  <c r="BZ40" i="10" s="1"/>
  <c r="BZ47" i="10" s="1"/>
  <c r="BZ68" i="10" s="1"/>
  <c r="BZ75" i="10" s="1"/>
  <c r="BZ87" i="8"/>
  <c r="BZ94" i="8" s="1"/>
  <c r="BZ101" i="8" s="1"/>
  <c r="BZ129" i="8" s="1"/>
  <c r="BZ136" i="8" s="1"/>
  <c r="BX40" i="13" s="1"/>
  <c r="BE28" i="10"/>
  <c r="AF29" i="10"/>
  <c r="AF40" i="10" s="1"/>
  <c r="AF47" i="10" s="1"/>
  <c r="AF68" i="10" s="1"/>
  <c r="AF75" i="10" s="1"/>
  <c r="AF203" i="10" s="1"/>
  <c r="AF87" i="8"/>
  <c r="AF94" i="8" s="1"/>
  <c r="AF101" i="8" s="1"/>
  <c r="AF129" i="8" s="1"/>
  <c r="AF136" i="8" s="1"/>
  <c r="AD40" i="13" s="1"/>
  <c r="S29" i="10"/>
  <c r="S40" i="10" s="1"/>
  <c r="S47" i="10" s="1"/>
  <c r="S68" i="10" s="1"/>
  <c r="S75" i="10" s="1"/>
  <c r="S203" i="10" s="1"/>
  <c r="S87" i="8"/>
  <c r="S94" i="8" s="1"/>
  <c r="S101" i="8" s="1"/>
  <c r="S129" i="8" s="1"/>
  <c r="S136" i="8" s="1"/>
  <c r="Q40" i="13" s="1"/>
  <c r="U30" i="10"/>
  <c r="U41" i="10" s="1"/>
  <c r="U48" i="10" s="1"/>
  <c r="U69" i="10" s="1"/>
  <c r="U76" i="10" s="1"/>
  <c r="U204" i="10" s="1"/>
  <c r="U88" i="8"/>
  <c r="U95" i="8" s="1"/>
  <c r="U102" i="8" s="1"/>
  <c r="U130" i="8" s="1"/>
  <c r="U137" i="8" s="1"/>
  <c r="S41" i="13" s="1"/>
  <c r="AD27" i="10"/>
  <c r="AT88" i="8"/>
  <c r="AT95" i="8" s="1"/>
  <c r="AT102" i="8" s="1"/>
  <c r="AT130" i="8" s="1"/>
  <c r="AT137" i="8" s="1"/>
  <c r="AR41" i="13" s="1"/>
  <c r="AT30" i="10"/>
  <c r="AT41" i="10" s="1"/>
  <c r="AT48" i="10" s="1"/>
  <c r="AT69" i="10" s="1"/>
  <c r="AT76" i="10" s="1"/>
  <c r="AT204" i="10" s="1"/>
  <c r="CF30" i="10"/>
  <c r="CF41" i="10" s="1"/>
  <c r="CF48" i="10" s="1"/>
  <c r="CF69" i="10" s="1"/>
  <c r="CF76" i="10" s="1"/>
  <c r="CF88" i="8"/>
  <c r="CF95" i="8" s="1"/>
  <c r="CF102" i="8" s="1"/>
  <c r="CF130" i="8" s="1"/>
  <c r="CF137" i="8" s="1"/>
  <c r="CD41" i="13" s="1"/>
  <c r="V87" i="8"/>
  <c r="V94" i="8" s="1"/>
  <c r="V101" i="8" s="1"/>
  <c r="V129" i="8" s="1"/>
  <c r="V136" i="8" s="1"/>
  <c r="T40" i="13" s="1"/>
  <c r="V29" i="10"/>
  <c r="V40" i="10" s="1"/>
  <c r="V47" i="10" s="1"/>
  <c r="V68" i="10" s="1"/>
  <c r="V75" i="10" s="1"/>
  <c r="V203" i="10" s="1"/>
  <c r="BQ29" i="10"/>
  <c r="BQ40" i="10" s="1"/>
  <c r="BQ47" i="10" s="1"/>
  <c r="BQ68" i="10" s="1"/>
  <c r="BQ75" i="10" s="1"/>
  <c r="BQ203" i="10" s="1"/>
  <c r="BQ87" i="8"/>
  <c r="BQ94" i="8" s="1"/>
  <c r="BQ101" i="8" s="1"/>
  <c r="BQ129" i="8" s="1"/>
  <c r="BQ136" i="8" s="1"/>
  <c r="BO40" i="13" s="1"/>
  <c r="CB29" i="10"/>
  <c r="CB40" i="10" s="1"/>
  <c r="CB47" i="10" s="1"/>
  <c r="CB68" i="10" s="1"/>
  <c r="CB75" i="10" s="1"/>
  <c r="CB87" i="8"/>
  <c r="CB94" i="8" s="1"/>
  <c r="CB101" i="8" s="1"/>
  <c r="CB129" i="8" s="1"/>
  <c r="CB136" i="8" s="1"/>
  <c r="BZ40" i="13" s="1"/>
  <c r="BR30" i="10"/>
  <c r="BR41" i="10" s="1"/>
  <c r="BR48" i="10" s="1"/>
  <c r="BR69" i="10" s="1"/>
  <c r="BR76" i="10" s="1"/>
  <c r="BR204" i="10" s="1"/>
  <c r="BR88" i="8"/>
  <c r="BR95" i="8" s="1"/>
  <c r="BR102" i="8" s="1"/>
  <c r="BR130" i="8" s="1"/>
  <c r="BR137" i="8" s="1"/>
  <c r="BP41" i="13" s="1"/>
  <c r="AV30" i="10"/>
  <c r="AV41" i="10" s="1"/>
  <c r="AV48" i="10" s="1"/>
  <c r="AV69" i="10" s="1"/>
  <c r="AV76" i="10" s="1"/>
  <c r="AV204" i="10" s="1"/>
  <c r="AV88" i="8"/>
  <c r="AV95" i="8" s="1"/>
  <c r="AV102" i="8" s="1"/>
  <c r="AV130" i="8" s="1"/>
  <c r="AV137" i="8" s="1"/>
  <c r="AT41" i="13" s="1"/>
  <c r="AL30" i="10"/>
  <c r="AL41" i="10" s="1"/>
  <c r="AL48" i="10" s="1"/>
  <c r="AL69" i="10" s="1"/>
  <c r="AL76" i="10" s="1"/>
  <c r="AL204" i="10" s="1"/>
  <c r="AL88" i="8"/>
  <c r="AL95" i="8" s="1"/>
  <c r="AL102" i="8" s="1"/>
  <c r="AL130" i="8" s="1"/>
  <c r="AL137" i="8" s="1"/>
  <c r="AJ41" i="13" s="1"/>
  <c r="AL87" i="8"/>
  <c r="AL94" i="8" s="1"/>
  <c r="AL101" i="8" s="1"/>
  <c r="AL129" i="8" s="1"/>
  <c r="AL136" i="8" s="1"/>
  <c r="AJ40" i="13" s="1"/>
  <c r="AL29" i="10"/>
  <c r="AL40" i="10" s="1"/>
  <c r="AL47" i="10" s="1"/>
  <c r="AL68" i="10" s="1"/>
  <c r="AL75" i="10" s="1"/>
  <c r="AL203" i="10" s="1"/>
  <c r="BK30" i="10"/>
  <c r="BK41" i="10" s="1"/>
  <c r="BK48" i="10" s="1"/>
  <c r="BK69" i="10" s="1"/>
  <c r="BK76" i="10" s="1"/>
  <c r="BK204" i="10" s="1"/>
  <c r="BK88" i="8"/>
  <c r="BK95" i="8" s="1"/>
  <c r="BK102" i="8" s="1"/>
  <c r="BK130" i="8" s="1"/>
  <c r="BK137" i="8" s="1"/>
  <c r="BI41" i="13" s="1"/>
  <c r="R87" i="8"/>
  <c r="R94" i="8" s="1"/>
  <c r="R101" i="8" s="1"/>
  <c r="R129" i="8" s="1"/>
  <c r="R136" i="8" s="1"/>
  <c r="P40" i="13" s="1"/>
  <c r="R29" i="10"/>
  <c r="R40" i="10" s="1"/>
  <c r="R47" i="10" s="1"/>
  <c r="R68" i="10" s="1"/>
  <c r="R75" i="10" s="1"/>
  <c r="R203" i="10" s="1"/>
  <c r="Z204" i="10"/>
  <c r="BO180" i="8"/>
  <c r="BM47" i="13"/>
  <c r="AI178" i="8"/>
  <c r="AG45" i="13"/>
  <c r="O178" i="8"/>
  <c r="M45" i="13"/>
  <c r="AC180" i="8"/>
  <c r="AA47" i="13"/>
  <c r="BU204" i="10"/>
  <c r="AS180" i="8"/>
  <c r="AQ47" i="13"/>
  <c r="BB177" i="8"/>
  <c r="AZ44" i="13"/>
  <c r="AI45" i="13"/>
  <c r="AK178" i="8"/>
  <c r="BA178" i="8"/>
  <c r="AY45" i="13"/>
  <c r="AZ177" i="8"/>
  <c r="AX44" i="13"/>
  <c r="BT88" i="8"/>
  <c r="BT95" i="8" s="1"/>
  <c r="BT102" i="8" s="1"/>
  <c r="BT130" i="8" s="1"/>
  <c r="BT137" i="8" s="1"/>
  <c r="BR41" i="13" s="1"/>
  <c r="BT30" i="10"/>
  <c r="BT41" i="10" s="1"/>
  <c r="BT48" i="10" s="1"/>
  <c r="BT69" i="10" s="1"/>
  <c r="BT76" i="10" s="1"/>
  <c r="BT204" i="10" s="1"/>
  <c r="AG30" i="10"/>
  <c r="AG41" i="10" s="1"/>
  <c r="AG48" i="10" s="1"/>
  <c r="AG69" i="10" s="1"/>
  <c r="AG76" i="10" s="1"/>
  <c r="AG204" i="10" s="1"/>
  <c r="AG88" i="8"/>
  <c r="AG95" i="8" s="1"/>
  <c r="AG102" i="8" s="1"/>
  <c r="AG130" i="8" s="1"/>
  <c r="AG137" i="8" s="1"/>
  <c r="AE41" i="13" s="1"/>
  <c r="BO30" i="10"/>
  <c r="BO41" i="10" s="1"/>
  <c r="BO48" i="10" s="1"/>
  <c r="BO69" i="10" s="1"/>
  <c r="BO76" i="10" s="1"/>
  <c r="BO204" i="10" s="1"/>
  <c r="BO88" i="8"/>
  <c r="BO95" i="8" s="1"/>
  <c r="BO102" i="8" s="1"/>
  <c r="BO130" i="8" s="1"/>
  <c r="BO137" i="8" s="1"/>
  <c r="BM41" i="13" s="1"/>
  <c r="AD87" i="8"/>
  <c r="AD94" i="8" s="1"/>
  <c r="AD101" i="8" s="1"/>
  <c r="AD129" i="8" s="1"/>
  <c r="AD136" i="8" s="1"/>
  <c r="AB40" i="13" s="1"/>
  <c r="AD29" i="10"/>
  <c r="AD40" i="10" s="1"/>
  <c r="AD47" i="10" s="1"/>
  <c r="AD68" i="10" s="1"/>
  <c r="AD75" i="10" s="1"/>
  <c r="AD203" i="10" s="1"/>
  <c r="BL88" i="8"/>
  <c r="BL95" i="8" s="1"/>
  <c r="BL102" i="8" s="1"/>
  <c r="BL130" i="8" s="1"/>
  <c r="BL137" i="8" s="1"/>
  <c r="BJ41" i="13" s="1"/>
  <c r="BL30" i="10"/>
  <c r="BL41" i="10" s="1"/>
  <c r="BL48" i="10" s="1"/>
  <c r="BL69" i="10" s="1"/>
  <c r="BL76" i="10" s="1"/>
  <c r="BL204" i="10" s="1"/>
  <c r="Z87" i="8"/>
  <c r="Z94" i="8" s="1"/>
  <c r="Z101" i="8" s="1"/>
  <c r="Z129" i="8" s="1"/>
  <c r="Z136" i="8" s="1"/>
  <c r="X40" i="13" s="1"/>
  <c r="Z29" i="10"/>
  <c r="Z40" i="10" s="1"/>
  <c r="Z47" i="10" s="1"/>
  <c r="Z68" i="10" s="1"/>
  <c r="Z75" i="10" s="1"/>
  <c r="Z203" i="10" s="1"/>
  <c r="AE27" i="10"/>
  <c r="BA87" i="8"/>
  <c r="BA94" i="8" s="1"/>
  <c r="BA101" i="8" s="1"/>
  <c r="BA129" i="8" s="1"/>
  <c r="BA136" i="8" s="1"/>
  <c r="AY40" i="13" s="1"/>
  <c r="BA29" i="10"/>
  <c r="BA40" i="10" s="1"/>
  <c r="BA47" i="10" s="1"/>
  <c r="BA68" i="10" s="1"/>
  <c r="BA75" i="10" s="1"/>
  <c r="BA203" i="10" s="1"/>
  <c r="O30" i="10"/>
  <c r="O41" i="10" s="1"/>
  <c r="O48" i="10" s="1"/>
  <c r="O69" i="10" s="1"/>
  <c r="O76" i="10" s="1"/>
  <c r="O204" i="10" s="1"/>
  <c r="O88" i="8"/>
  <c r="O95" i="8" s="1"/>
  <c r="O102" i="8" s="1"/>
  <c r="O130" i="8" s="1"/>
  <c r="O137" i="8" s="1"/>
  <c r="M41" i="13" s="1"/>
  <c r="BZ30" i="10"/>
  <c r="BZ41" i="10" s="1"/>
  <c r="BZ48" i="10" s="1"/>
  <c r="BZ69" i="10" s="1"/>
  <c r="BZ76" i="10" s="1"/>
  <c r="BZ88" i="8"/>
  <c r="BZ95" i="8" s="1"/>
  <c r="BZ102" i="8" s="1"/>
  <c r="BZ130" i="8" s="1"/>
  <c r="BZ137" i="8" s="1"/>
  <c r="BX41" i="13" s="1"/>
  <c r="BI29" i="10"/>
  <c r="BI40" i="10" s="1"/>
  <c r="BI47" i="10" s="1"/>
  <c r="BI68" i="10" s="1"/>
  <c r="BI75" i="10" s="1"/>
  <c r="BI203" i="10" s="1"/>
  <c r="BI87" i="8"/>
  <c r="BI94" i="8" s="1"/>
  <c r="BI101" i="8" s="1"/>
  <c r="BI129" i="8" s="1"/>
  <c r="BI136" i="8" s="1"/>
  <c r="BG40" i="13" s="1"/>
  <c r="AX29" i="10"/>
  <c r="AX40" i="10" s="1"/>
  <c r="AX47" i="10" s="1"/>
  <c r="AX68" i="10" s="1"/>
  <c r="AX75" i="10" s="1"/>
  <c r="AX203" i="10" s="1"/>
  <c r="AX87" i="8"/>
  <c r="AX94" i="8" s="1"/>
  <c r="AX101" i="8" s="1"/>
  <c r="AX129" i="8" s="1"/>
  <c r="AX136" i="8" s="1"/>
  <c r="AV40" i="13" s="1"/>
  <c r="AK30" i="10"/>
  <c r="AK41" i="10" s="1"/>
  <c r="AK48" i="10" s="1"/>
  <c r="AK69" i="10" s="1"/>
  <c r="AK76" i="10" s="1"/>
  <c r="AK204" i="10" s="1"/>
  <c r="AK88" i="8"/>
  <c r="AK95" i="8" s="1"/>
  <c r="AK102" i="8" s="1"/>
  <c r="AK130" i="8" s="1"/>
  <c r="AK137" i="8" s="1"/>
  <c r="AI41" i="13" s="1"/>
  <c r="AR87" i="8"/>
  <c r="AR94" i="8" s="1"/>
  <c r="AR101" i="8" s="1"/>
  <c r="AR129" i="8" s="1"/>
  <c r="AR136" i="8" s="1"/>
  <c r="AP40" i="13" s="1"/>
  <c r="AR29" i="10"/>
  <c r="AR40" i="10" s="1"/>
  <c r="AR47" i="10" s="1"/>
  <c r="AR68" i="10" s="1"/>
  <c r="AR75" i="10" s="1"/>
  <c r="AR203" i="10" s="1"/>
  <c r="BU29" i="10"/>
  <c r="BU40" i="10" s="1"/>
  <c r="BU47" i="10" s="1"/>
  <c r="BU68" i="10" s="1"/>
  <c r="BU75" i="10" s="1"/>
  <c r="BU203" i="10" s="1"/>
  <c r="BU87" i="8"/>
  <c r="BU94" i="8" s="1"/>
  <c r="BU101" i="8" s="1"/>
  <c r="BU129" i="8" s="1"/>
  <c r="BU136" i="8" s="1"/>
  <c r="BS40" i="13" s="1"/>
  <c r="BW30" i="10"/>
  <c r="BW41" i="10" s="1"/>
  <c r="BW48" i="10" s="1"/>
  <c r="BW69" i="10" s="1"/>
  <c r="BW76" i="10" s="1"/>
  <c r="BW88" i="8"/>
  <c r="BW95" i="8" s="1"/>
  <c r="BW102" i="8" s="1"/>
  <c r="BW130" i="8" s="1"/>
  <c r="BW137" i="8" s="1"/>
  <c r="BU41" i="13" s="1"/>
  <c r="CA30" i="10"/>
  <c r="CA41" i="10" s="1"/>
  <c r="CA48" i="10" s="1"/>
  <c r="CA69" i="10" s="1"/>
  <c r="CA76" i="10" s="1"/>
  <c r="CA88" i="8"/>
  <c r="CA95" i="8" s="1"/>
  <c r="CA102" i="8" s="1"/>
  <c r="CA130" i="8" s="1"/>
  <c r="CA137" i="8" s="1"/>
  <c r="BY41" i="13" s="1"/>
  <c r="BM87" i="8"/>
  <c r="BM94" i="8" s="1"/>
  <c r="BM101" i="8" s="1"/>
  <c r="BM129" i="8" s="1"/>
  <c r="BM136" i="8" s="1"/>
  <c r="BK40" i="13" s="1"/>
  <c r="BM29" i="10"/>
  <c r="BM40" i="10" s="1"/>
  <c r="BM47" i="10" s="1"/>
  <c r="BM68" i="10" s="1"/>
  <c r="BM75" i="10" s="1"/>
  <c r="BM203" i="10" s="1"/>
  <c r="T29" i="10"/>
  <c r="T40" i="10" s="1"/>
  <c r="T47" i="10" s="1"/>
  <c r="T68" i="10" s="1"/>
  <c r="T75" i="10" s="1"/>
  <c r="T203" i="10" s="1"/>
  <c r="T87" i="8"/>
  <c r="T94" i="8" s="1"/>
  <c r="T101" i="8" s="1"/>
  <c r="T129" i="8" s="1"/>
  <c r="T136" i="8" s="1"/>
  <c r="R40" i="13" s="1"/>
  <c r="AU27" i="10"/>
  <c r="BV30" i="10"/>
  <c r="BV41" i="10" s="1"/>
  <c r="BV48" i="10" s="1"/>
  <c r="BV69" i="10" s="1"/>
  <c r="BV76" i="10" s="1"/>
  <c r="BV88" i="8"/>
  <c r="BV95" i="8" s="1"/>
  <c r="BV102" i="8" s="1"/>
  <c r="BV130" i="8" s="1"/>
  <c r="BV137" i="8" s="1"/>
  <c r="BT41" i="13" s="1"/>
  <c r="AN87" i="8"/>
  <c r="AN94" i="8" s="1"/>
  <c r="AN101" i="8" s="1"/>
  <c r="AN129" i="8" s="1"/>
  <c r="AN136" i="8" s="1"/>
  <c r="AL40" i="13" s="1"/>
  <c r="AN29" i="10"/>
  <c r="AN40" i="10" s="1"/>
  <c r="AN47" i="10" s="1"/>
  <c r="AN68" i="10" s="1"/>
  <c r="AN75" i="10" s="1"/>
  <c r="AN203" i="10" s="1"/>
  <c r="CE88" i="8"/>
  <c r="CE95" i="8" s="1"/>
  <c r="CE102" i="8" s="1"/>
  <c r="CE130" i="8" s="1"/>
  <c r="CE137" i="8" s="1"/>
  <c r="CC41" i="13" s="1"/>
  <c r="CE30" i="10"/>
  <c r="CE41" i="10" s="1"/>
  <c r="CE48" i="10" s="1"/>
  <c r="CE69" i="10" s="1"/>
  <c r="CE76" i="10" s="1"/>
  <c r="BP30" i="10"/>
  <c r="BP41" i="10" s="1"/>
  <c r="BP48" i="10" s="1"/>
  <c r="BP69" i="10" s="1"/>
  <c r="BP76" i="10" s="1"/>
  <c r="BP204" i="10" s="1"/>
  <c r="BP88" i="8"/>
  <c r="BP95" i="8" s="1"/>
  <c r="BP102" i="8" s="1"/>
  <c r="BP130" i="8" s="1"/>
  <c r="BP137" i="8" s="1"/>
  <c r="BN41" i="13" s="1"/>
  <c r="Z180" i="8"/>
  <c r="X47" i="13"/>
  <c r="O44" i="13"/>
  <c r="Q177" i="8"/>
  <c r="BQ45" i="13"/>
  <c r="BS178" i="8"/>
  <c r="BL180" i="8"/>
  <c r="BJ47" i="13"/>
  <c r="Q44" i="13"/>
  <c r="S177" i="8"/>
  <c r="BU179" i="8"/>
  <c r="BS46" i="13"/>
  <c r="Q180" i="8"/>
  <c r="O47" i="13"/>
  <c r="V178" i="8"/>
  <c r="T45" i="13"/>
  <c r="BV84" i="10"/>
  <c r="BV91" i="10" s="1"/>
  <c r="BV98" i="10" s="1"/>
  <c r="BV165" i="8"/>
  <c r="BV172" i="8" s="1"/>
  <c r="AJ178" i="8"/>
  <c r="AH45" i="13"/>
  <c r="T177" i="8"/>
  <c r="R44" i="13"/>
  <c r="AN44" i="13"/>
  <c r="AP177" i="8"/>
  <c r="BA177" i="8"/>
  <c r="AY44" i="13"/>
  <c r="CB30" i="10"/>
  <c r="CB41" i="10" s="1"/>
  <c r="CB48" i="10" s="1"/>
  <c r="CB69" i="10" s="1"/>
  <c r="CB76" i="10" s="1"/>
  <c r="CB88" i="8"/>
  <c r="CB95" i="8" s="1"/>
  <c r="CB102" i="8" s="1"/>
  <c r="CB130" i="8" s="1"/>
  <c r="CB137" i="8" s="1"/>
  <c r="BZ41" i="13" s="1"/>
  <c r="U87" i="8"/>
  <c r="U94" i="8" s="1"/>
  <c r="U101" i="8" s="1"/>
  <c r="U129" i="8" s="1"/>
  <c r="U136" i="8" s="1"/>
  <c r="S40" i="13" s="1"/>
  <c r="U29" i="10"/>
  <c r="U40" i="10" s="1"/>
  <c r="U47" i="10" s="1"/>
  <c r="U68" i="10" s="1"/>
  <c r="U75" i="10" s="1"/>
  <c r="U203" i="10" s="1"/>
  <c r="BW87" i="8"/>
  <c r="BW94" i="8" s="1"/>
  <c r="BW101" i="8" s="1"/>
  <c r="BW129" i="8" s="1"/>
  <c r="BW136" i="8" s="1"/>
  <c r="BU40" i="13" s="1"/>
  <c r="BW29" i="10"/>
  <c r="BW40" i="10" s="1"/>
  <c r="BW47" i="10" s="1"/>
  <c r="BW68" i="10" s="1"/>
  <c r="BW75" i="10" s="1"/>
  <c r="CE29" i="10"/>
  <c r="CE40" i="10" s="1"/>
  <c r="CE47" i="10" s="1"/>
  <c r="CE68" i="10" s="1"/>
  <c r="CE75" i="10" s="1"/>
  <c r="CE87" i="8"/>
  <c r="CE94" i="8" s="1"/>
  <c r="CE101" i="8" s="1"/>
  <c r="CE129" i="8" s="1"/>
  <c r="CE136" i="8" s="1"/>
  <c r="CC40" i="13" s="1"/>
  <c r="BY87" i="8"/>
  <c r="BY94" i="8" s="1"/>
  <c r="BY101" i="8" s="1"/>
  <c r="BY129" i="8" s="1"/>
  <c r="BY136" i="8" s="1"/>
  <c r="BW40" i="13" s="1"/>
  <c r="BY29" i="10"/>
  <c r="BY40" i="10" s="1"/>
  <c r="BY47" i="10" s="1"/>
  <c r="BY68" i="10" s="1"/>
  <c r="BY75" i="10" s="1"/>
  <c r="AE87" i="8"/>
  <c r="AE94" i="8" s="1"/>
  <c r="AE101" i="8" s="1"/>
  <c r="AE129" i="8" s="1"/>
  <c r="AE136" i="8" s="1"/>
  <c r="AC40" i="13" s="1"/>
  <c r="AE29" i="10"/>
  <c r="AE40" i="10" s="1"/>
  <c r="AE47" i="10" s="1"/>
  <c r="AE68" i="10" s="1"/>
  <c r="AE75" i="10" s="1"/>
  <c r="AE203" i="10" s="1"/>
  <c r="BS88" i="8"/>
  <c r="BS95" i="8" s="1"/>
  <c r="BS102" i="8" s="1"/>
  <c r="BS130" i="8" s="1"/>
  <c r="BS137" i="8" s="1"/>
  <c r="BQ41" i="13" s="1"/>
  <c r="BS30" i="10"/>
  <c r="BS41" i="10" s="1"/>
  <c r="BS48" i="10" s="1"/>
  <c r="BS69" i="10" s="1"/>
  <c r="BS76" i="10" s="1"/>
  <c r="BS204" i="10" s="1"/>
  <c r="T30" i="10"/>
  <c r="T41" i="10" s="1"/>
  <c r="T48" i="10" s="1"/>
  <c r="T69" i="10" s="1"/>
  <c r="T76" i="10" s="1"/>
  <c r="T204" i="10" s="1"/>
  <c r="T88" i="8"/>
  <c r="T95" i="8" s="1"/>
  <c r="T102" i="8" s="1"/>
  <c r="T130" i="8" s="1"/>
  <c r="T137" i="8" s="1"/>
  <c r="R41" i="13" s="1"/>
  <c r="BL87" i="8"/>
  <c r="BL94" i="8" s="1"/>
  <c r="BL101" i="8" s="1"/>
  <c r="BL129" i="8" s="1"/>
  <c r="BL136" i="8" s="1"/>
  <c r="BJ40" i="13" s="1"/>
  <c r="BL29" i="10"/>
  <c r="BL40" i="10" s="1"/>
  <c r="BL47" i="10" s="1"/>
  <c r="BL68" i="10" s="1"/>
  <c r="BL75" i="10" s="1"/>
  <c r="BL203" i="10" s="1"/>
  <c r="BJ29" i="10"/>
  <c r="BJ40" i="10" s="1"/>
  <c r="BJ47" i="10" s="1"/>
  <c r="BJ68" i="10" s="1"/>
  <c r="BJ75" i="10" s="1"/>
  <c r="BJ203" i="10" s="1"/>
  <c r="BJ87" i="8"/>
  <c r="BJ94" i="8" s="1"/>
  <c r="BJ101" i="8" s="1"/>
  <c r="BJ129" i="8" s="1"/>
  <c r="BJ136" i="8" s="1"/>
  <c r="BH40" i="13" s="1"/>
  <c r="BE30" i="10"/>
  <c r="BE41" i="10" s="1"/>
  <c r="BE48" i="10" s="1"/>
  <c r="BE69" i="10" s="1"/>
  <c r="BE76" i="10" s="1"/>
  <c r="BE204" i="10" s="1"/>
  <c r="BE88" i="8"/>
  <c r="BE95" i="8" s="1"/>
  <c r="BE102" i="8" s="1"/>
  <c r="BE130" i="8" s="1"/>
  <c r="BE137" i="8" s="1"/>
  <c r="BC41" i="13" s="1"/>
  <c r="AS88" i="8"/>
  <c r="AS95" i="8" s="1"/>
  <c r="AS102" i="8" s="1"/>
  <c r="AS130" i="8" s="1"/>
  <c r="AS137" i="8" s="1"/>
  <c r="AQ41" i="13" s="1"/>
  <c r="AS30" i="10"/>
  <c r="AS41" i="10" s="1"/>
  <c r="AS48" i="10" s="1"/>
  <c r="AS69" i="10" s="1"/>
  <c r="AS76" i="10" s="1"/>
  <c r="AS204" i="10" s="1"/>
  <c r="AV28" i="10"/>
  <c r="AW87" i="8"/>
  <c r="AW94" i="8" s="1"/>
  <c r="AW101" i="8" s="1"/>
  <c r="AW129" i="8" s="1"/>
  <c r="AW136" i="8" s="1"/>
  <c r="AU40" i="13" s="1"/>
  <c r="AW29" i="10"/>
  <c r="AW40" i="10" s="1"/>
  <c r="AW47" i="10" s="1"/>
  <c r="AW68" i="10" s="1"/>
  <c r="AW75" i="10" s="1"/>
  <c r="AW203" i="10" s="1"/>
  <c r="BX30" i="10"/>
  <c r="BX41" i="10" s="1"/>
  <c r="BX48" i="10" s="1"/>
  <c r="BX69" i="10" s="1"/>
  <c r="BX76" i="10" s="1"/>
  <c r="BX88" i="8"/>
  <c r="BX95" i="8" s="1"/>
  <c r="BX102" i="8" s="1"/>
  <c r="BX130" i="8" s="1"/>
  <c r="BX137" i="8" s="1"/>
  <c r="BV41" i="13" s="1"/>
  <c r="T28" i="10"/>
  <c r="AZ87" i="8"/>
  <c r="AZ94" i="8" s="1"/>
  <c r="AZ101" i="8" s="1"/>
  <c r="AZ129" i="8" s="1"/>
  <c r="AZ136" i="8" s="1"/>
  <c r="AX40" i="13" s="1"/>
  <c r="AZ29" i="10"/>
  <c r="AZ40" i="10" s="1"/>
  <c r="AZ47" i="10" s="1"/>
  <c r="AZ68" i="10" s="1"/>
  <c r="AZ75" i="10" s="1"/>
  <c r="AZ203" i="10" s="1"/>
  <c r="BQ177" i="8"/>
  <c r="BO44" i="13"/>
  <c r="BG180" i="8"/>
  <c r="BE47" i="13"/>
  <c r="BT180" i="8"/>
  <c r="BR47" i="13"/>
  <c r="AV178" i="8"/>
  <c r="AT45" i="13"/>
  <c r="BP44" i="13"/>
  <c r="BR177" i="8"/>
  <c r="BO177" i="8"/>
  <c r="BM44" i="13"/>
  <c r="AI47" i="13"/>
  <c r="AK180" i="8"/>
  <c r="AA180" i="8"/>
  <c r="Y47" i="13"/>
  <c r="BG29" i="10"/>
  <c r="BG40" i="10" s="1"/>
  <c r="BG47" i="10" s="1"/>
  <c r="BG68" i="10" s="1"/>
  <c r="BG75" i="10" s="1"/>
  <c r="BG203" i="10" s="1"/>
  <c r="BG87" i="8"/>
  <c r="BG94" i="8" s="1"/>
  <c r="BG101" i="8" s="1"/>
  <c r="BG129" i="8" s="1"/>
  <c r="BG136" i="8" s="1"/>
  <c r="BE40" i="13" s="1"/>
  <c r="AH87" i="8"/>
  <c r="AH94" i="8" s="1"/>
  <c r="AH101" i="8" s="1"/>
  <c r="AH129" i="8" s="1"/>
  <c r="AH136" i="8" s="1"/>
  <c r="AF40" i="13" s="1"/>
  <c r="AH29" i="10"/>
  <c r="AH40" i="10" s="1"/>
  <c r="AH47" i="10" s="1"/>
  <c r="AH68" i="10" s="1"/>
  <c r="AH75" i="10" s="1"/>
  <c r="AH203" i="10" s="1"/>
  <c r="BN29" i="10"/>
  <c r="BN40" i="10" s="1"/>
  <c r="BN47" i="10" s="1"/>
  <c r="BN68" i="10" s="1"/>
  <c r="BN75" i="10" s="1"/>
  <c r="BN203" i="10" s="1"/>
  <c r="BN87" i="8"/>
  <c r="BN94" i="8" s="1"/>
  <c r="BN101" i="8" s="1"/>
  <c r="BN129" i="8" s="1"/>
  <c r="BN136" i="8" s="1"/>
  <c r="BL40" i="13" s="1"/>
  <c r="AC28" i="10"/>
  <c r="BE29" i="10"/>
  <c r="BE40" i="10" s="1"/>
  <c r="BE47" i="10" s="1"/>
  <c r="BE68" i="10" s="1"/>
  <c r="BE75" i="10" s="1"/>
  <c r="BE203" i="10" s="1"/>
  <c r="BE87" i="8"/>
  <c r="BE94" i="8" s="1"/>
  <c r="BE101" i="8" s="1"/>
  <c r="BE129" i="8" s="1"/>
  <c r="BE136" i="8" s="1"/>
  <c r="BC40" i="13" s="1"/>
  <c r="BY30" i="10"/>
  <c r="BY41" i="10" s="1"/>
  <c r="BY48" i="10" s="1"/>
  <c r="BY69" i="10" s="1"/>
  <c r="BY76" i="10" s="1"/>
  <c r="BY88" i="8"/>
  <c r="BY95" i="8" s="1"/>
  <c r="BY102" i="8" s="1"/>
  <c r="BY130" i="8" s="1"/>
  <c r="BY137" i="8" s="1"/>
  <c r="BW41" i="13" s="1"/>
  <c r="CC27" i="10"/>
  <c r="AD88" i="8"/>
  <c r="AD95" i="8" s="1"/>
  <c r="AD102" i="8" s="1"/>
  <c r="AD130" i="8" s="1"/>
  <c r="AD137" i="8" s="1"/>
  <c r="AB41" i="13" s="1"/>
  <c r="AD30" i="10"/>
  <c r="AD41" i="10" s="1"/>
  <c r="AD48" i="10" s="1"/>
  <c r="AD69" i="10" s="1"/>
  <c r="AD76" i="10" s="1"/>
  <c r="AD204" i="10" s="1"/>
  <c r="N28" i="10"/>
  <c r="BD29" i="10"/>
  <c r="BD40" i="10" s="1"/>
  <c r="BD47" i="10" s="1"/>
  <c r="BD68" i="10" s="1"/>
  <c r="BD75" i="10" s="1"/>
  <c r="BD203" i="10" s="1"/>
  <c r="BD87" i="8"/>
  <c r="BD94" i="8" s="1"/>
  <c r="BD101" i="8" s="1"/>
  <c r="BD129" i="8" s="1"/>
  <c r="BD136" i="8" s="1"/>
  <c r="BB40" i="13" s="1"/>
  <c r="AC30" i="10"/>
  <c r="AC41" i="10" s="1"/>
  <c r="AC48" i="10" s="1"/>
  <c r="AC69" i="10" s="1"/>
  <c r="AC76" i="10" s="1"/>
  <c r="AC204" i="10" s="1"/>
  <c r="AC88" i="8"/>
  <c r="AC95" i="8" s="1"/>
  <c r="AC102" i="8" s="1"/>
  <c r="AC130" i="8" s="1"/>
  <c r="AC137" i="8" s="1"/>
  <c r="AA41" i="13" s="1"/>
  <c r="BV27" i="10"/>
  <c r="AR88" i="8"/>
  <c r="AR95" i="8" s="1"/>
  <c r="AR102" i="8" s="1"/>
  <c r="AR130" i="8" s="1"/>
  <c r="AR137" i="8" s="1"/>
  <c r="AP41" i="13" s="1"/>
  <c r="AR30" i="10"/>
  <c r="AR41" i="10" s="1"/>
  <c r="AR48" i="10" s="1"/>
  <c r="AR69" i="10" s="1"/>
  <c r="AR76" i="10" s="1"/>
  <c r="AR204" i="10" s="1"/>
  <c r="P29" i="10"/>
  <c r="P40" i="10" s="1"/>
  <c r="P47" i="10" s="1"/>
  <c r="P68" i="10" s="1"/>
  <c r="P75" i="10" s="1"/>
  <c r="P203" i="10" s="1"/>
  <c r="P87" i="8"/>
  <c r="P94" i="8" s="1"/>
  <c r="P101" i="8" s="1"/>
  <c r="P129" i="8" s="1"/>
  <c r="P136" i="8" s="1"/>
  <c r="N40" i="13" s="1"/>
  <c r="BY28" i="10"/>
  <c r="AG29" i="10"/>
  <c r="AG40" i="10" s="1"/>
  <c r="AG47" i="10" s="1"/>
  <c r="AG68" i="10" s="1"/>
  <c r="AG75" i="10" s="1"/>
  <c r="AG203" i="10" s="1"/>
  <c r="AG87" i="8"/>
  <c r="AG94" i="8" s="1"/>
  <c r="AG101" i="8" s="1"/>
  <c r="AG129" i="8" s="1"/>
  <c r="AG136" i="8" s="1"/>
  <c r="AE40" i="13" s="1"/>
  <c r="BS29" i="10"/>
  <c r="BS40" i="10" s="1"/>
  <c r="BS47" i="10" s="1"/>
  <c r="BS68" i="10" s="1"/>
  <c r="BS75" i="10" s="1"/>
  <c r="BS203" i="10" s="1"/>
  <c r="BS87" i="8"/>
  <c r="BS94" i="8" s="1"/>
  <c r="BS101" i="8" s="1"/>
  <c r="BS129" i="8" s="1"/>
  <c r="BS136" i="8" s="1"/>
  <c r="BQ40" i="13" s="1"/>
  <c r="S30" i="10"/>
  <c r="S41" i="10" s="1"/>
  <c r="S48" i="10" s="1"/>
  <c r="S69" i="10" s="1"/>
  <c r="S76" i="10" s="1"/>
  <c r="S204" i="10" s="1"/>
  <c r="S88" i="8"/>
  <c r="S95" i="8" s="1"/>
  <c r="S102" i="8" s="1"/>
  <c r="S130" i="8" s="1"/>
  <c r="S137" i="8" s="1"/>
  <c r="Q41" i="13" s="1"/>
  <c r="BO27" i="10"/>
  <c r="J30" i="10"/>
  <c r="J41" i="10" s="1"/>
  <c r="J48" i="10" s="1"/>
  <c r="J69" i="10" s="1"/>
  <c r="J76" i="10" s="1"/>
  <c r="J204" i="10" s="1"/>
  <c r="J88" i="8"/>
  <c r="J95" i="8" s="1"/>
  <c r="J102" i="8" s="1"/>
  <c r="J130" i="8" s="1"/>
  <c r="J137" i="8" s="1"/>
  <c r="H41" i="13" s="1"/>
  <c r="AJ177" i="8"/>
  <c r="AH44" i="13"/>
  <c r="AG178" i="8"/>
  <c r="AE45" i="13"/>
  <c r="BC177" i="8"/>
  <c r="BA44" i="13"/>
  <c r="AB177" i="8"/>
  <c r="Z44" i="13"/>
  <c r="W47" i="13"/>
  <c r="Y180" i="8"/>
  <c r="AO47" i="13"/>
  <c r="AQ180" i="8"/>
  <c r="P178" i="8"/>
  <c r="N45" i="13"/>
  <c r="AB44" i="13"/>
  <c r="AD177" i="8"/>
  <c r="BV163" i="8"/>
  <c r="BV170" i="8" s="1"/>
  <c r="BV82" i="10"/>
  <c r="BV89" i="10" s="1"/>
  <c r="BV96" i="10" s="1"/>
  <c r="AS177" i="8"/>
  <c r="AQ44" i="13"/>
  <c r="AI180" i="8"/>
  <c r="AG47" i="13"/>
  <c r="AU180" i="8"/>
  <c r="AS47" i="13"/>
  <c r="BI177" i="8"/>
  <c r="BG44" i="13"/>
  <c r="AO177" i="8"/>
  <c r="AM44" i="13"/>
  <c r="AW88" i="8"/>
  <c r="AW95" i="8" s="1"/>
  <c r="AW102" i="8" s="1"/>
  <c r="AW130" i="8" s="1"/>
  <c r="AW137" i="8" s="1"/>
  <c r="AU41" i="13" s="1"/>
  <c r="AW30" i="10"/>
  <c r="AW41" i="10" s="1"/>
  <c r="AW48" i="10" s="1"/>
  <c r="AW69" i="10" s="1"/>
  <c r="AW76" i="10" s="1"/>
  <c r="AW204" i="10" s="1"/>
  <c r="M28" i="10"/>
  <c r="R27" i="10"/>
  <c r="BG30" i="10"/>
  <c r="BG41" i="10" s="1"/>
  <c r="BG48" i="10" s="1"/>
  <c r="BG69" i="10" s="1"/>
  <c r="BG76" i="10" s="1"/>
  <c r="BG204" i="10" s="1"/>
  <c r="BG88" i="8"/>
  <c r="BG95" i="8" s="1"/>
  <c r="BG102" i="8" s="1"/>
  <c r="BG130" i="8" s="1"/>
  <c r="BG137" i="8" s="1"/>
  <c r="BE41" i="13" s="1"/>
  <c r="BT29" i="10"/>
  <c r="BT40" i="10" s="1"/>
  <c r="BT47" i="10" s="1"/>
  <c r="BT68" i="10" s="1"/>
  <c r="BT75" i="10" s="1"/>
  <c r="BT203" i="10" s="1"/>
  <c r="BT87" i="8"/>
  <c r="BT94" i="8" s="1"/>
  <c r="BT101" i="8" s="1"/>
  <c r="BT129" i="8" s="1"/>
  <c r="BT136" i="8" s="1"/>
  <c r="BR40" i="13" s="1"/>
  <c r="X87" i="8"/>
  <c r="X94" i="8" s="1"/>
  <c r="X101" i="8" s="1"/>
  <c r="X129" i="8" s="1"/>
  <c r="X136" i="8" s="1"/>
  <c r="V40" i="13" s="1"/>
  <c r="X29" i="10"/>
  <c r="X40" i="10" s="1"/>
  <c r="X47" i="10" s="1"/>
  <c r="X68" i="10" s="1"/>
  <c r="X75" i="10" s="1"/>
  <c r="X203" i="10" s="1"/>
  <c r="BN30" i="10"/>
  <c r="BN41" i="10" s="1"/>
  <c r="BN48" i="10" s="1"/>
  <c r="BN69" i="10" s="1"/>
  <c r="BN76" i="10" s="1"/>
  <c r="BN204" i="10" s="1"/>
  <c r="BN88" i="8"/>
  <c r="BN95" i="8" s="1"/>
  <c r="BN102" i="8" s="1"/>
  <c r="BN130" i="8" s="1"/>
  <c r="BN137" i="8" s="1"/>
  <c r="BL41" i="13" s="1"/>
  <c r="CD30" i="10"/>
  <c r="CD41" i="10" s="1"/>
  <c r="CD48" i="10" s="1"/>
  <c r="CD69" i="10" s="1"/>
  <c r="CD76" i="10" s="1"/>
  <c r="CD88" i="8"/>
  <c r="CD95" i="8" s="1"/>
  <c r="CD102" i="8" s="1"/>
  <c r="CD130" i="8" s="1"/>
  <c r="CD137" i="8" s="1"/>
  <c r="CB41" i="13" s="1"/>
  <c r="O29" i="10"/>
  <c r="O40" i="10" s="1"/>
  <c r="O47" i="10" s="1"/>
  <c r="O68" i="10" s="1"/>
  <c r="O75" i="10" s="1"/>
  <c r="O203" i="10" s="1"/>
  <c r="O87" i="8"/>
  <c r="O94" i="8" s="1"/>
  <c r="O101" i="8" s="1"/>
  <c r="O129" i="8" s="1"/>
  <c r="O136" i="8" s="1"/>
  <c r="M40" i="13" s="1"/>
  <c r="AX27" i="10"/>
  <c r="BP29" i="10"/>
  <c r="BP40" i="10" s="1"/>
  <c r="BP47" i="10" s="1"/>
  <c r="BP68" i="10" s="1"/>
  <c r="BP75" i="10" s="1"/>
  <c r="BP203" i="10" s="1"/>
  <c r="BP87" i="8"/>
  <c r="BP94" i="8" s="1"/>
  <c r="BP101" i="8" s="1"/>
  <c r="BP129" i="8" s="1"/>
  <c r="BP136" i="8" s="1"/>
  <c r="BN40" i="13" s="1"/>
  <c r="AA29" i="10"/>
  <c r="AA40" i="10" s="1"/>
  <c r="AA47" i="10" s="1"/>
  <c r="AA68" i="10" s="1"/>
  <c r="AA75" i="10" s="1"/>
  <c r="AA203" i="10" s="1"/>
  <c r="AA87" i="8"/>
  <c r="AA94" i="8" s="1"/>
  <c r="AA101" i="8" s="1"/>
  <c r="AA129" i="8" s="1"/>
  <c r="AA136" i="8" s="1"/>
  <c r="Y40" i="13" s="1"/>
  <c r="AJ87" i="8"/>
  <c r="AJ94" i="8" s="1"/>
  <c r="AJ101" i="8" s="1"/>
  <c r="AJ129" i="8" s="1"/>
  <c r="AJ136" i="8" s="1"/>
  <c r="AH40" i="13" s="1"/>
  <c r="AJ29" i="10"/>
  <c r="AJ40" i="10" s="1"/>
  <c r="AJ47" i="10" s="1"/>
  <c r="AJ68" i="10" s="1"/>
  <c r="AJ75" i="10" s="1"/>
  <c r="AJ203" i="10" s="1"/>
  <c r="AX28" i="10"/>
  <c r="BH88" i="8"/>
  <c r="BH95" i="8" s="1"/>
  <c r="BH102" i="8" s="1"/>
  <c r="BH130" i="8" s="1"/>
  <c r="BH137" i="8" s="1"/>
  <c r="BF41" i="13" s="1"/>
  <c r="BH30" i="10"/>
  <c r="BH41" i="10" s="1"/>
  <c r="BH48" i="10" s="1"/>
  <c r="BH69" i="10" s="1"/>
  <c r="BH76" i="10" s="1"/>
  <c r="BH204" i="10" s="1"/>
  <c r="M29" i="10"/>
  <c r="M40" i="10" s="1"/>
  <c r="M47" i="10" s="1"/>
  <c r="M68" i="10" s="1"/>
  <c r="M75" i="10" s="1"/>
  <c r="M87" i="8"/>
  <c r="M94" i="8" s="1"/>
  <c r="M101" i="8" s="1"/>
  <c r="M129" i="8" s="1"/>
  <c r="M136" i="8" s="1"/>
  <c r="K40" i="13" s="1"/>
  <c r="AF178" i="8"/>
  <c r="AD45" i="13"/>
  <c r="AG177" i="8"/>
  <c r="AE44" i="13"/>
  <c r="P180" i="8"/>
  <c r="N47" i="13"/>
  <c r="AO178" i="8"/>
  <c r="AM45" i="13"/>
  <c r="AN177" i="8"/>
  <c r="AL44" i="13"/>
  <c r="AQ45" i="13"/>
  <c r="AS178" i="8"/>
  <c r="BF47" i="13"/>
  <c r="BH180" i="8"/>
  <c r="Y177" i="8"/>
  <c r="W44" i="13"/>
  <c r="AX180" i="8"/>
  <c r="AV47" i="13"/>
  <c r="BF178" i="8"/>
  <c r="BD45" i="13"/>
  <c r="T180" i="8"/>
  <c r="R47" i="13"/>
  <c r="AG180" i="8"/>
  <c r="AE47" i="13"/>
  <c r="AU204" i="10"/>
  <c r="X178" i="8"/>
  <c r="V45" i="13"/>
  <c r="Q178" i="8"/>
  <c r="O45" i="13"/>
  <c r="BA180" i="8"/>
  <c r="AY47" i="13"/>
  <c r="BT177" i="8"/>
  <c r="BR44" i="13"/>
  <c r="CA29" i="10"/>
  <c r="CA40" i="10" s="1"/>
  <c r="CA47" i="10" s="1"/>
  <c r="CA68" i="10" s="1"/>
  <c r="CA75" i="10" s="1"/>
  <c r="CA87" i="8"/>
  <c r="CA94" i="8" s="1"/>
  <c r="CA101" i="8" s="1"/>
  <c r="CA129" i="8" s="1"/>
  <c r="CA136" i="8" s="1"/>
  <c r="BY40" i="13" s="1"/>
  <c r="BB88" i="8"/>
  <c r="BB95" i="8" s="1"/>
  <c r="BB102" i="8" s="1"/>
  <c r="BB130" i="8" s="1"/>
  <c r="BB137" i="8" s="1"/>
  <c r="AZ41" i="13" s="1"/>
  <c r="BB30" i="10"/>
  <c r="BB41" i="10" s="1"/>
  <c r="BB48" i="10" s="1"/>
  <c r="BB69" i="10" s="1"/>
  <c r="BB76" i="10" s="1"/>
  <c r="BB204" i="10" s="1"/>
  <c r="AY30" i="10"/>
  <c r="AY41" i="10" s="1"/>
  <c r="AY48" i="10" s="1"/>
  <c r="AY69" i="10" s="1"/>
  <c r="AY76" i="10" s="1"/>
  <c r="AY204" i="10" s="1"/>
  <c r="AY88" i="8"/>
  <c r="AY95" i="8" s="1"/>
  <c r="AY102" i="8" s="1"/>
  <c r="AY130" i="8" s="1"/>
  <c r="AY137" i="8" s="1"/>
  <c r="AW41" i="13" s="1"/>
  <c r="BJ88" i="8"/>
  <c r="BJ95" i="8" s="1"/>
  <c r="BJ102" i="8" s="1"/>
  <c r="BJ130" i="8" s="1"/>
  <c r="BJ137" i="8" s="1"/>
  <c r="BH41" i="13" s="1"/>
  <c r="BJ30" i="10"/>
  <c r="BJ41" i="10" s="1"/>
  <c r="BJ48" i="10" s="1"/>
  <c r="BJ69" i="10" s="1"/>
  <c r="BJ76" i="10" s="1"/>
  <c r="BJ204" i="10" s="1"/>
  <c r="AZ30" i="10"/>
  <c r="AZ41" i="10" s="1"/>
  <c r="AZ48" i="10" s="1"/>
  <c r="AZ69" i="10" s="1"/>
  <c r="AZ76" i="10" s="1"/>
  <c r="AZ204" i="10" s="1"/>
  <c r="AZ88" i="8"/>
  <c r="AZ95" i="8" s="1"/>
  <c r="AZ102" i="8" s="1"/>
  <c r="AZ130" i="8" s="1"/>
  <c r="AZ137" i="8" s="1"/>
  <c r="AX41" i="13" s="1"/>
  <c r="Q29" i="10"/>
  <c r="Q40" i="10" s="1"/>
  <c r="Q47" i="10" s="1"/>
  <c r="Q68" i="10" s="1"/>
  <c r="Q75" i="10" s="1"/>
  <c r="Q203" i="10" s="1"/>
  <c r="Q87" i="8"/>
  <c r="Q94" i="8" s="1"/>
  <c r="Q101" i="8" s="1"/>
  <c r="Q129" i="8" s="1"/>
  <c r="Q136" i="8" s="1"/>
  <c r="O40" i="13" s="1"/>
  <c r="AO30" i="10"/>
  <c r="AO41" i="10" s="1"/>
  <c r="AO48" i="10" s="1"/>
  <c r="AO69" i="10" s="1"/>
  <c r="AO76" i="10" s="1"/>
  <c r="AO204" i="10" s="1"/>
  <c r="AO88" i="8"/>
  <c r="AO95" i="8" s="1"/>
  <c r="AO102" i="8" s="1"/>
  <c r="AO130" i="8" s="1"/>
  <c r="AO137" i="8" s="1"/>
  <c r="AM41" i="13" s="1"/>
  <c r="BR87" i="8"/>
  <c r="BR94" i="8" s="1"/>
  <c r="BR101" i="8" s="1"/>
  <c r="BR129" i="8" s="1"/>
  <c r="BR136" i="8" s="1"/>
  <c r="BP40" i="13" s="1"/>
  <c r="BR29" i="10"/>
  <c r="BR40" i="10" s="1"/>
  <c r="BR47" i="10" s="1"/>
  <c r="BR68" i="10" s="1"/>
  <c r="BR75" i="10" s="1"/>
  <c r="BR203" i="10" s="1"/>
  <c r="V30" i="10"/>
  <c r="V41" i="10" s="1"/>
  <c r="V48" i="10" s="1"/>
  <c r="V69" i="10" s="1"/>
  <c r="V76" i="10" s="1"/>
  <c r="V204" i="10" s="1"/>
  <c r="V88" i="8"/>
  <c r="V95" i="8" s="1"/>
  <c r="V102" i="8" s="1"/>
  <c r="V130" i="8" s="1"/>
  <c r="V137" i="8" s="1"/>
  <c r="T41" i="13" s="1"/>
  <c r="BF29" i="10"/>
  <c r="BF40" i="10" s="1"/>
  <c r="BF47" i="10" s="1"/>
  <c r="BF68" i="10" s="1"/>
  <c r="BF75" i="10" s="1"/>
  <c r="BF203" i="10" s="1"/>
  <c r="BF87" i="8"/>
  <c r="BF94" i="8" s="1"/>
  <c r="BF101" i="8" s="1"/>
  <c r="BF129" i="8" s="1"/>
  <c r="BF136" i="8" s="1"/>
  <c r="BD40" i="13" s="1"/>
  <c r="BV29" i="10"/>
  <c r="BV40" i="10" s="1"/>
  <c r="BV47" i="10" s="1"/>
  <c r="BV68" i="10" s="1"/>
  <c r="BV75" i="10" s="1"/>
  <c r="BV87" i="8"/>
  <c r="BV94" i="8" s="1"/>
  <c r="BV101" i="8" s="1"/>
  <c r="BV129" i="8" s="1"/>
  <c r="BV136" i="8" s="1"/>
  <c r="BT40" i="13" s="1"/>
  <c r="BS27" i="10"/>
  <c r="AI30" i="10"/>
  <c r="AI41" i="10" s="1"/>
  <c r="AI48" i="10" s="1"/>
  <c r="AI69" i="10" s="1"/>
  <c r="AI76" i="10" s="1"/>
  <c r="AI204" i="10" s="1"/>
  <c r="AI88" i="8"/>
  <c r="AI95" i="8" s="1"/>
  <c r="AI102" i="8" s="1"/>
  <c r="AI130" i="8" s="1"/>
  <c r="AI137" i="8" s="1"/>
  <c r="AG41" i="13" s="1"/>
  <c r="AU29" i="10"/>
  <c r="AU40" i="10" s="1"/>
  <c r="AU47" i="10" s="1"/>
  <c r="AU68" i="10" s="1"/>
  <c r="AU75" i="10" s="1"/>
  <c r="AU203" i="10" s="1"/>
  <c r="AU87" i="8"/>
  <c r="AU94" i="8" s="1"/>
  <c r="AU101" i="8" s="1"/>
  <c r="AU129" i="8" s="1"/>
  <c r="AU136" i="8" s="1"/>
  <c r="AS40" i="13" s="1"/>
  <c r="AM29" i="10"/>
  <c r="AM40" i="10" s="1"/>
  <c r="AM47" i="10" s="1"/>
  <c r="AM68" i="10" s="1"/>
  <c r="AM75" i="10" s="1"/>
  <c r="AM203" i="10" s="1"/>
  <c r="AM87" i="8"/>
  <c r="AM94" i="8" s="1"/>
  <c r="AM101" i="8" s="1"/>
  <c r="AM129" i="8" s="1"/>
  <c r="AM136" i="8" s="1"/>
  <c r="AK40" i="13" s="1"/>
  <c r="BX27" i="10"/>
  <c r="BK29" i="10"/>
  <c r="BK40" i="10" s="1"/>
  <c r="BK47" i="10" s="1"/>
  <c r="BK68" i="10" s="1"/>
  <c r="BK75" i="10" s="1"/>
  <c r="BK203" i="10" s="1"/>
  <c r="BK87" i="8"/>
  <c r="BK94" i="8" s="1"/>
  <c r="BK101" i="8" s="1"/>
  <c r="BK129" i="8" s="1"/>
  <c r="BK136" i="8" s="1"/>
  <c r="BI40" i="13" s="1"/>
  <c r="BM30" i="10"/>
  <c r="BM41" i="10" s="1"/>
  <c r="BM48" i="10" s="1"/>
  <c r="BM69" i="10" s="1"/>
  <c r="BM76" i="10" s="1"/>
  <c r="BM204" i="10" s="1"/>
  <c r="BM88" i="8"/>
  <c r="BM95" i="8" s="1"/>
  <c r="BM102" i="8" s="1"/>
  <c r="BM130" i="8" s="1"/>
  <c r="BM137" i="8" s="1"/>
  <c r="BK41" i="13" s="1"/>
  <c r="AY29" i="10"/>
  <c r="AY40" i="10" s="1"/>
  <c r="AY47" i="10" s="1"/>
  <c r="AY68" i="10" s="1"/>
  <c r="AY75" i="10" s="1"/>
  <c r="AY203" i="10" s="1"/>
  <c r="AY87" i="8"/>
  <c r="AY94" i="8" s="1"/>
  <c r="AY101" i="8" s="1"/>
  <c r="AY129" i="8" s="1"/>
  <c r="AY136" i="8" s="1"/>
  <c r="AW40" i="13" s="1"/>
  <c r="BF30" i="10"/>
  <c r="BF41" i="10" s="1"/>
  <c r="BF48" i="10" s="1"/>
  <c r="BF69" i="10" s="1"/>
  <c r="BF76" i="10" s="1"/>
  <c r="BF204" i="10" s="1"/>
  <c r="BF88" i="8"/>
  <c r="BF95" i="8" s="1"/>
  <c r="BF102" i="8" s="1"/>
  <c r="BF130" i="8" s="1"/>
  <c r="BF137" i="8" s="1"/>
  <c r="BD41" i="13" s="1"/>
  <c r="BL28" i="10"/>
  <c r="AP87" i="8"/>
  <c r="AP94" i="8" s="1"/>
  <c r="AP101" i="8" s="1"/>
  <c r="AP129" i="8" s="1"/>
  <c r="AP136" i="8" s="1"/>
  <c r="AN40" i="13" s="1"/>
  <c r="AP29" i="10"/>
  <c r="AP40" i="10" s="1"/>
  <c r="AP47" i="10" s="1"/>
  <c r="AP68" i="10" s="1"/>
  <c r="AP75" i="10" s="1"/>
  <c r="AP203" i="10" s="1"/>
  <c r="P27" i="10"/>
  <c r="AO29" i="10"/>
  <c r="AO40" i="10" s="1"/>
  <c r="AO47" i="10" s="1"/>
  <c r="AO68" i="10" s="1"/>
  <c r="AO75" i="10" s="1"/>
  <c r="AO203" i="10" s="1"/>
  <c r="AO87" i="8"/>
  <c r="AO94" i="8" s="1"/>
  <c r="AO101" i="8" s="1"/>
  <c r="AO129" i="8" s="1"/>
  <c r="AO136" i="8" s="1"/>
  <c r="AM40" i="13" s="1"/>
  <c r="AQ88" i="8"/>
  <c r="AQ95" i="8" s="1"/>
  <c r="AQ102" i="8" s="1"/>
  <c r="AQ130" i="8" s="1"/>
  <c r="AQ137" i="8" s="1"/>
  <c r="AO41" i="13" s="1"/>
  <c r="AQ30" i="10"/>
  <c r="AQ41" i="10" s="1"/>
  <c r="AQ48" i="10" s="1"/>
  <c r="AQ69" i="10" s="1"/>
  <c r="AQ76" i="10" s="1"/>
  <c r="AQ204" i="10" s="1"/>
  <c r="AR47" i="13"/>
  <c r="AT180" i="8"/>
  <c r="BP45" i="13"/>
  <c r="BR178" i="8"/>
  <c r="AL177" i="8"/>
  <c r="AJ44" i="13"/>
  <c r="W180" i="8"/>
  <c r="U47" i="13"/>
  <c r="BD177" i="8"/>
  <c r="BB44" i="13"/>
  <c r="BU27" i="10" l="1"/>
  <c r="U28" i="10"/>
  <c r="S27" i="10"/>
  <c r="AB28" i="10"/>
  <c r="BW27" i="10"/>
  <c r="BB27" i="10"/>
  <c r="AG27" i="10"/>
  <c r="P34" i="10"/>
  <c r="S28" i="10"/>
  <c r="AT28" i="10"/>
  <c r="Z28" i="10"/>
  <c r="BF28" i="10"/>
  <c r="BG27" i="10"/>
  <c r="CC28" i="10"/>
  <c r="BB28" i="10"/>
  <c r="BP27" i="10"/>
  <c r="AW27" i="10"/>
  <c r="BK27" i="10"/>
  <c r="AB27" i="10"/>
  <c r="BH27" i="10"/>
  <c r="Y27" i="10"/>
  <c r="AY28" i="10"/>
  <c r="AJ28" i="10"/>
  <c r="AZ27" i="10"/>
  <c r="CD28" i="10"/>
  <c r="AW81" i="8"/>
  <c r="AD28" i="10"/>
  <c r="AJ33" i="10"/>
  <c r="CF28" i="10"/>
  <c r="BJ27" i="10"/>
  <c r="AV20" i="11"/>
  <c r="AV27" i="11" s="1"/>
  <c r="AV34" i="11" s="1"/>
  <c r="AU60" i="13" s="1"/>
  <c r="AV18" i="12"/>
  <c r="AV25" i="12" s="1"/>
  <c r="AU67" i="13" s="1"/>
  <c r="BF20" i="11"/>
  <c r="BF27" i="11" s="1"/>
  <c r="BF34" i="11" s="1"/>
  <c r="BE60" i="13" s="1"/>
  <c r="BF18" i="12"/>
  <c r="BF25" i="12" s="1"/>
  <c r="BE67" i="13" s="1"/>
  <c r="BO18" i="12"/>
  <c r="BO25" i="12" s="1"/>
  <c r="BN67" i="13" s="1"/>
  <c r="BO20" i="11"/>
  <c r="BO27" i="11" s="1"/>
  <c r="BO34" i="11" s="1"/>
  <c r="BN60" i="13" s="1"/>
  <c r="AY18" i="12"/>
  <c r="AY25" i="12" s="1"/>
  <c r="AX67" i="13" s="1"/>
  <c r="AY20" i="11"/>
  <c r="AY27" i="11" s="1"/>
  <c r="AY34" i="11" s="1"/>
  <c r="AX60" i="13" s="1"/>
  <c r="BC20" i="11"/>
  <c r="BC27" i="11" s="1"/>
  <c r="BC34" i="11" s="1"/>
  <c r="BB60" i="13" s="1"/>
  <c r="BC18" i="12"/>
  <c r="BC25" i="12" s="1"/>
  <c r="BB67" i="13" s="1"/>
  <c r="AB20" i="11"/>
  <c r="AB27" i="11" s="1"/>
  <c r="AB34" i="11" s="1"/>
  <c r="AA60" i="13" s="1"/>
  <c r="AB18" i="12"/>
  <c r="AB25" i="12" s="1"/>
  <c r="AA67" i="13" s="1"/>
  <c r="AR18" i="12"/>
  <c r="AR25" i="12" s="1"/>
  <c r="AQ67" i="13" s="1"/>
  <c r="AR20" i="11"/>
  <c r="AR27" i="11" s="1"/>
  <c r="AR34" i="11" s="1"/>
  <c r="AQ60" i="13" s="1"/>
  <c r="V18" i="12"/>
  <c r="V25" i="12" s="1"/>
  <c r="U67" i="13" s="1"/>
  <c r="V20" i="11"/>
  <c r="V27" i="11" s="1"/>
  <c r="V34" i="11" s="1"/>
  <c r="U60" i="13" s="1"/>
  <c r="AH20" i="11"/>
  <c r="AH27" i="11" s="1"/>
  <c r="AH34" i="11" s="1"/>
  <c r="AG60" i="13" s="1"/>
  <c r="AH18" i="12"/>
  <c r="AH25" i="12" s="1"/>
  <c r="AG67" i="13" s="1"/>
  <c r="AP20" i="11"/>
  <c r="AP27" i="11" s="1"/>
  <c r="AP34" i="11" s="1"/>
  <c r="AO60" i="13" s="1"/>
  <c r="AP18" i="12"/>
  <c r="AP25" i="12" s="1"/>
  <c r="AO67" i="13" s="1"/>
  <c r="BG20" i="11"/>
  <c r="BG27" i="11" s="1"/>
  <c r="BG34" i="11" s="1"/>
  <c r="BF60" i="13" s="1"/>
  <c r="BG18" i="12"/>
  <c r="BG25" i="12" s="1"/>
  <c r="BF67" i="13" s="1"/>
  <c r="AK18" i="12"/>
  <c r="AK25" i="12" s="1"/>
  <c r="AJ67" i="13" s="1"/>
  <c r="AK20" i="11"/>
  <c r="AK27" i="11" s="1"/>
  <c r="AK34" i="11" s="1"/>
  <c r="AJ60" i="13" s="1"/>
  <c r="AS18" i="12"/>
  <c r="AS25" i="12" s="1"/>
  <c r="AR67" i="13" s="1"/>
  <c r="AS20" i="11"/>
  <c r="AS27" i="11" s="1"/>
  <c r="AS34" i="11" s="1"/>
  <c r="AR60" i="13" s="1"/>
  <c r="Z27" i="10"/>
  <c r="AL28" i="10"/>
  <c r="M27" i="10"/>
  <c r="N17" i="12"/>
  <c r="N24" i="12" s="1"/>
  <c r="M66" i="13" s="1"/>
  <c r="N19" i="11"/>
  <c r="N26" i="11" s="1"/>
  <c r="N33" i="11" s="1"/>
  <c r="M59" i="13" s="1"/>
  <c r="AU28" i="10"/>
  <c r="BS17" i="12"/>
  <c r="BS24" i="12" s="1"/>
  <c r="BR66" i="13" s="1"/>
  <c r="BS19" i="11"/>
  <c r="BS26" i="11" s="1"/>
  <c r="BS33" i="11" s="1"/>
  <c r="BR59" i="13" s="1"/>
  <c r="AP27" i="10"/>
  <c r="I18" i="12"/>
  <c r="I25" i="12" s="1"/>
  <c r="H67" i="13" s="1"/>
  <c r="I20" i="11"/>
  <c r="I27" i="11" s="1"/>
  <c r="I34" i="11" s="1"/>
  <c r="H60" i="13" s="1"/>
  <c r="U27" i="10"/>
  <c r="BM19" i="11"/>
  <c r="BM26" i="11" s="1"/>
  <c r="BM33" i="11" s="1"/>
  <c r="BL59" i="13" s="1"/>
  <c r="BM17" i="12"/>
  <c r="BM24" i="12" s="1"/>
  <c r="BL66" i="13" s="1"/>
  <c r="AV17" i="12"/>
  <c r="AV24" i="12" s="1"/>
  <c r="AU66" i="13" s="1"/>
  <c r="AV19" i="11"/>
  <c r="AV26" i="11" s="1"/>
  <c r="AV33" i="11" s="1"/>
  <c r="AU59" i="13" s="1"/>
  <c r="BG28" i="10"/>
  <c r="AJ27" i="10"/>
  <c r="Z18" i="12"/>
  <c r="Z25" i="12" s="1"/>
  <c r="Y67" i="13" s="1"/>
  <c r="Z20" i="11"/>
  <c r="Z27" i="11" s="1"/>
  <c r="Z34" i="11" s="1"/>
  <c r="Y60" i="13" s="1"/>
  <c r="BY27" i="10"/>
  <c r="AQ19" i="11"/>
  <c r="AQ26" i="11" s="1"/>
  <c r="AQ33" i="11" s="1"/>
  <c r="AP59" i="13" s="1"/>
  <c r="AQ17" i="12"/>
  <c r="AQ24" i="12" s="1"/>
  <c r="AP66" i="13" s="1"/>
  <c r="AW17" i="12"/>
  <c r="AW24" i="12" s="1"/>
  <c r="AV66" i="13" s="1"/>
  <c r="AW19" i="11"/>
  <c r="AW26" i="11" s="1"/>
  <c r="AW33" i="11" s="1"/>
  <c r="AV59" i="13" s="1"/>
  <c r="AA18" i="12"/>
  <c r="AA25" i="12" s="1"/>
  <c r="Z67" i="13" s="1"/>
  <c r="AA20" i="11"/>
  <c r="AA27" i="11" s="1"/>
  <c r="AA34" i="11" s="1"/>
  <c r="Z60" i="13" s="1"/>
  <c r="BB19" i="11"/>
  <c r="BB26" i="11" s="1"/>
  <c r="BB33" i="11" s="1"/>
  <c r="BA59" i="13" s="1"/>
  <c r="BB17" i="12"/>
  <c r="BB24" i="12" s="1"/>
  <c r="BA66" i="13" s="1"/>
  <c r="I17" i="12"/>
  <c r="I24" i="12" s="1"/>
  <c r="H66" i="13" s="1"/>
  <c r="I19" i="11"/>
  <c r="I26" i="11" s="1"/>
  <c r="I33" i="11" s="1"/>
  <c r="H59" i="13" s="1"/>
  <c r="AR19" i="11"/>
  <c r="AR26" i="11" s="1"/>
  <c r="AR33" i="11" s="1"/>
  <c r="AQ59" i="13" s="1"/>
  <c r="AR17" i="12"/>
  <c r="AR24" i="12" s="1"/>
  <c r="AQ66" i="13" s="1"/>
  <c r="BH18" i="12"/>
  <c r="BH25" i="12" s="1"/>
  <c r="BG67" i="13" s="1"/>
  <c r="BH20" i="11"/>
  <c r="BH27" i="11" s="1"/>
  <c r="BH34" i="11" s="1"/>
  <c r="BG60" i="13" s="1"/>
  <c r="N27" i="10"/>
  <c r="CE28" i="10"/>
  <c r="K19" i="11"/>
  <c r="K26" i="11" s="1"/>
  <c r="K33" i="11" s="1"/>
  <c r="J59" i="13" s="1"/>
  <c r="K17" i="12"/>
  <c r="K24" i="12" s="1"/>
  <c r="J66" i="13" s="1"/>
  <c r="CA27" i="10"/>
  <c r="BB20" i="11"/>
  <c r="BB27" i="11" s="1"/>
  <c r="BB34" i="11" s="1"/>
  <c r="BA60" i="13" s="1"/>
  <c r="BB18" i="12"/>
  <c r="BB25" i="12" s="1"/>
  <c r="BA67" i="13" s="1"/>
  <c r="BP18" i="12"/>
  <c r="BP25" i="12" s="1"/>
  <c r="BO67" i="13" s="1"/>
  <c r="BP20" i="11"/>
  <c r="BP27" i="11" s="1"/>
  <c r="BP34" i="11" s="1"/>
  <c r="BO60" i="13" s="1"/>
  <c r="W27" i="10"/>
  <c r="BX28" i="10"/>
  <c r="BE80" i="8"/>
  <c r="AM20" i="11"/>
  <c r="AM27" i="11" s="1"/>
  <c r="AM34" i="11" s="1"/>
  <c r="AL60" i="13" s="1"/>
  <c r="AM18" i="12"/>
  <c r="AM25" i="12" s="1"/>
  <c r="AL67" i="13" s="1"/>
  <c r="AT17" i="12"/>
  <c r="AT24" i="12" s="1"/>
  <c r="AS66" i="13" s="1"/>
  <c r="AT19" i="11"/>
  <c r="AT26" i="11" s="1"/>
  <c r="AT33" i="11" s="1"/>
  <c r="AS59" i="13" s="1"/>
  <c r="U18" i="12"/>
  <c r="U25" i="12" s="1"/>
  <c r="T67" i="13" s="1"/>
  <c r="U20" i="11"/>
  <c r="U27" i="11" s="1"/>
  <c r="U34" i="11" s="1"/>
  <c r="T60" i="13" s="1"/>
  <c r="P17" i="12"/>
  <c r="P24" i="12" s="1"/>
  <c r="O66" i="13" s="1"/>
  <c r="P19" i="11"/>
  <c r="P26" i="11" s="1"/>
  <c r="P33" i="11" s="1"/>
  <c r="O59" i="13" s="1"/>
  <c r="AS27" i="10"/>
  <c r="AQ27" i="10"/>
  <c r="AZ18" i="12"/>
  <c r="AZ25" i="12" s="1"/>
  <c r="AY67" i="13" s="1"/>
  <c r="AZ20" i="11"/>
  <c r="AZ27" i="11" s="1"/>
  <c r="AZ34" i="11" s="1"/>
  <c r="AY60" i="13" s="1"/>
  <c r="BW28" i="10"/>
  <c r="AF17" i="12"/>
  <c r="AF24" i="12" s="1"/>
  <c r="AE66" i="13" s="1"/>
  <c r="AF19" i="11"/>
  <c r="AF26" i="11" s="1"/>
  <c r="AF33" i="11" s="1"/>
  <c r="AE59" i="13" s="1"/>
  <c r="AQ18" i="12"/>
  <c r="AQ25" i="12" s="1"/>
  <c r="AP67" i="13" s="1"/>
  <c r="AQ20" i="11"/>
  <c r="AQ27" i="11" s="1"/>
  <c r="AQ34" i="11" s="1"/>
  <c r="AP60" i="13" s="1"/>
  <c r="BD17" i="12"/>
  <c r="BD24" i="12" s="1"/>
  <c r="BC66" i="13" s="1"/>
  <c r="BD19" i="11"/>
  <c r="BD26" i="11" s="1"/>
  <c r="BD33" i="11" s="1"/>
  <c r="BC59" i="13" s="1"/>
  <c r="BT28" i="10"/>
  <c r="AG17" i="12"/>
  <c r="AG24" i="12" s="1"/>
  <c r="AF66" i="13" s="1"/>
  <c r="AG19" i="11"/>
  <c r="AG26" i="11" s="1"/>
  <c r="AG33" i="11" s="1"/>
  <c r="AF59" i="13" s="1"/>
  <c r="AY19" i="11"/>
  <c r="AY26" i="11" s="1"/>
  <c r="AY33" i="11" s="1"/>
  <c r="AX59" i="13" s="1"/>
  <c r="AY17" i="12"/>
  <c r="AY24" i="12" s="1"/>
  <c r="AX66" i="13" s="1"/>
  <c r="AX34" i="10"/>
  <c r="AX39" i="10" s="1"/>
  <c r="AX46" i="10" s="1"/>
  <c r="AX67" i="10" s="1"/>
  <c r="AX74" i="10" s="1"/>
  <c r="AX202" i="10" s="1"/>
  <c r="BZ27" i="10"/>
  <c r="AZ19" i="11"/>
  <c r="AZ26" i="11" s="1"/>
  <c r="AZ33" i="11" s="1"/>
  <c r="AY59" i="13" s="1"/>
  <c r="AZ17" i="12"/>
  <c r="AZ24" i="12" s="1"/>
  <c r="AY66" i="13" s="1"/>
  <c r="AA27" i="10"/>
  <c r="AO20" i="11"/>
  <c r="AO27" i="11" s="1"/>
  <c r="AO34" i="11" s="1"/>
  <c r="AN60" i="13" s="1"/>
  <c r="AO18" i="12"/>
  <c r="AO25" i="12" s="1"/>
  <c r="AN67" i="13" s="1"/>
  <c r="BC28" i="10"/>
  <c r="BQ20" i="11"/>
  <c r="BQ27" i="11" s="1"/>
  <c r="BQ34" i="11" s="1"/>
  <c r="BP60" i="13" s="1"/>
  <c r="BQ18" i="12"/>
  <c r="BQ25" i="12" s="1"/>
  <c r="BP67" i="13" s="1"/>
  <c r="P28" i="10"/>
  <c r="AE28" i="10"/>
  <c r="AK27" i="10"/>
  <c r="AE18" i="12"/>
  <c r="AE25" i="12" s="1"/>
  <c r="AD67" i="13" s="1"/>
  <c r="AE20" i="11"/>
  <c r="AE27" i="11" s="1"/>
  <c r="AE34" i="11" s="1"/>
  <c r="AD60" i="13" s="1"/>
  <c r="AU34" i="10"/>
  <c r="K33" i="10"/>
  <c r="K38" i="10" s="1"/>
  <c r="K45" i="10" s="1"/>
  <c r="K66" i="10" s="1"/>
  <c r="K73" i="10" s="1"/>
  <c r="K201" i="10" s="1"/>
  <c r="K80" i="8"/>
  <c r="K85" i="8" s="1"/>
  <c r="K92" i="8" s="1"/>
  <c r="K99" i="8" s="1"/>
  <c r="K127" i="8" s="1"/>
  <c r="K134" i="8" s="1"/>
  <c r="I38" i="13" s="1"/>
  <c r="BR80" i="8"/>
  <c r="BN28" i="10"/>
  <c r="AB19" i="11"/>
  <c r="AB26" i="11" s="1"/>
  <c r="AB33" i="11" s="1"/>
  <c r="AA59" i="13" s="1"/>
  <c r="AB17" i="12"/>
  <c r="AB24" i="12" s="1"/>
  <c r="AA66" i="13" s="1"/>
  <c r="CB28" i="10"/>
  <c r="BE20" i="11"/>
  <c r="BE27" i="11" s="1"/>
  <c r="BE34" i="11" s="1"/>
  <c r="BD60" i="13" s="1"/>
  <c r="BE18" i="12"/>
  <c r="BE25" i="12" s="1"/>
  <c r="BD67" i="13" s="1"/>
  <c r="AN19" i="11"/>
  <c r="AN26" i="11" s="1"/>
  <c r="AN33" i="11" s="1"/>
  <c r="AM59" i="13" s="1"/>
  <c r="AN17" i="12"/>
  <c r="AN24" i="12" s="1"/>
  <c r="AM66" i="13" s="1"/>
  <c r="AC27" i="10"/>
  <c r="AO19" i="11"/>
  <c r="AO26" i="11" s="1"/>
  <c r="AO33" i="11" s="1"/>
  <c r="AN59" i="13" s="1"/>
  <c r="AO17" i="12"/>
  <c r="AO24" i="12" s="1"/>
  <c r="AN66" i="13" s="1"/>
  <c r="AL19" i="11"/>
  <c r="AL26" i="11" s="1"/>
  <c r="AL33" i="11" s="1"/>
  <c r="AK59" i="13" s="1"/>
  <c r="AL17" i="12"/>
  <c r="AL24" i="12" s="1"/>
  <c r="AK66" i="13" s="1"/>
  <c r="BQ28" i="10"/>
  <c r="BA18" i="12"/>
  <c r="BA25" i="12" s="1"/>
  <c r="AZ67" i="13" s="1"/>
  <c r="BA20" i="11"/>
  <c r="BA27" i="11" s="1"/>
  <c r="BA34" i="11" s="1"/>
  <c r="AZ60" i="13" s="1"/>
  <c r="BW34" i="10"/>
  <c r="BW81" i="8"/>
  <c r="AN27" i="10"/>
  <c r="BT19" i="11"/>
  <c r="BT26" i="11" s="1"/>
  <c r="BT33" i="11" s="1"/>
  <c r="BS59" i="13" s="1"/>
  <c r="BT17" i="12"/>
  <c r="BT24" i="12" s="1"/>
  <c r="BS66" i="13" s="1"/>
  <c r="BQ27" i="10"/>
  <c r="Q27" i="10"/>
  <c r="W28" i="10"/>
  <c r="BK18" i="12"/>
  <c r="BK25" i="12" s="1"/>
  <c r="BJ67" i="13" s="1"/>
  <c r="BK20" i="11"/>
  <c r="BK27" i="11" s="1"/>
  <c r="BK34" i="11" s="1"/>
  <c r="BJ60" i="13" s="1"/>
  <c r="BD18" i="12"/>
  <c r="BD25" i="12" s="1"/>
  <c r="BC67" i="13" s="1"/>
  <c r="BD20" i="11"/>
  <c r="BD27" i="11" s="1"/>
  <c r="BD34" i="11" s="1"/>
  <c r="BC60" i="13" s="1"/>
  <c r="BI19" i="11"/>
  <c r="BI26" i="11" s="1"/>
  <c r="BI33" i="11" s="1"/>
  <c r="BH59" i="13" s="1"/>
  <c r="BI17" i="12"/>
  <c r="BI24" i="12" s="1"/>
  <c r="BH66" i="13" s="1"/>
  <c r="BV179" i="8"/>
  <c r="BT46" i="13"/>
  <c r="AM19" i="11"/>
  <c r="AM26" i="11" s="1"/>
  <c r="AM33" i="11" s="1"/>
  <c r="AL59" i="13" s="1"/>
  <c r="AM17" i="12"/>
  <c r="AM24" i="12" s="1"/>
  <c r="AL66" i="13" s="1"/>
  <c r="S19" i="11"/>
  <c r="S26" i="11" s="1"/>
  <c r="S33" i="11" s="1"/>
  <c r="R59" i="13" s="1"/>
  <c r="S17" i="12"/>
  <c r="S24" i="12" s="1"/>
  <c r="R66" i="13" s="1"/>
  <c r="X27" i="10"/>
  <c r="CA28" i="10"/>
  <c r="AC19" i="11"/>
  <c r="AC26" i="11" s="1"/>
  <c r="AC33" i="11" s="1"/>
  <c r="AB59" i="13" s="1"/>
  <c r="AC17" i="12"/>
  <c r="AC24" i="12" s="1"/>
  <c r="AB66" i="13" s="1"/>
  <c r="AH27" i="10"/>
  <c r="CF81" i="8"/>
  <c r="BT27" i="10"/>
  <c r="AM28" i="10"/>
  <c r="M34" i="10"/>
  <c r="M39" i="10" s="1"/>
  <c r="M46" i="10" s="1"/>
  <c r="M67" i="10" s="1"/>
  <c r="M74" i="10" s="1"/>
  <c r="M202" i="10" s="1"/>
  <c r="AA34" i="10"/>
  <c r="AA28" i="10"/>
  <c r="O27" i="10"/>
  <c r="BR34" i="10"/>
  <c r="K18" i="12"/>
  <c r="K25" i="12" s="1"/>
  <c r="J67" i="13" s="1"/>
  <c r="K20" i="11"/>
  <c r="K27" i="11" s="1"/>
  <c r="K34" i="11" s="1"/>
  <c r="J60" i="13" s="1"/>
  <c r="O28" i="10"/>
  <c r="BR28" i="10"/>
  <c r="CE27" i="10"/>
  <c r="BJ19" i="11"/>
  <c r="BJ26" i="11" s="1"/>
  <c r="BJ33" i="11" s="1"/>
  <c r="BI59" i="13" s="1"/>
  <c r="BJ17" i="12"/>
  <c r="BJ24" i="12" s="1"/>
  <c r="BI66" i="13" s="1"/>
  <c r="AR28" i="10"/>
  <c r="BI20" i="11"/>
  <c r="BI27" i="11" s="1"/>
  <c r="BI34" i="11" s="1"/>
  <c r="BH60" i="13" s="1"/>
  <c r="BI18" i="12"/>
  <c r="BI25" i="12" s="1"/>
  <c r="BH67" i="13" s="1"/>
  <c r="BL27" i="10"/>
  <c r="Z19" i="11"/>
  <c r="Z26" i="11" s="1"/>
  <c r="Z33" i="11" s="1"/>
  <c r="Y59" i="13" s="1"/>
  <c r="Z17" i="12"/>
  <c r="Z24" i="12" s="1"/>
  <c r="Y66" i="13" s="1"/>
  <c r="BI27" i="10"/>
  <c r="BM18" i="12"/>
  <c r="BM25" i="12" s="1"/>
  <c r="BL67" i="13" s="1"/>
  <c r="BM20" i="11"/>
  <c r="BM27" i="11" s="1"/>
  <c r="BM34" i="11" s="1"/>
  <c r="BL60" i="13" s="1"/>
  <c r="BS18" i="12"/>
  <c r="BS25" i="12" s="1"/>
  <c r="BR67" i="13" s="1"/>
  <c r="BS20" i="11"/>
  <c r="BS27" i="11" s="1"/>
  <c r="BS34" i="11" s="1"/>
  <c r="BR60" i="13" s="1"/>
  <c r="AC20" i="11"/>
  <c r="AC27" i="11" s="1"/>
  <c r="AC34" i="11" s="1"/>
  <c r="AB60" i="13" s="1"/>
  <c r="AC18" i="12"/>
  <c r="AC25" i="12" s="1"/>
  <c r="AB67" i="13" s="1"/>
  <c r="AO28" i="10"/>
  <c r="AJ20" i="11"/>
  <c r="AJ27" i="11" s="1"/>
  <c r="AJ34" i="11" s="1"/>
  <c r="AI60" i="13" s="1"/>
  <c r="AJ18" i="12"/>
  <c r="AJ25" i="12" s="1"/>
  <c r="AI67" i="13" s="1"/>
  <c r="BV203" i="10"/>
  <c r="BP28" i="10"/>
  <c r="AS28" i="10"/>
  <c r="BL19" i="11"/>
  <c r="BL26" i="11" s="1"/>
  <c r="BL33" i="11" s="1"/>
  <c r="BK59" i="13" s="1"/>
  <c r="BL17" i="12"/>
  <c r="BL24" i="12" s="1"/>
  <c r="BK66" i="13" s="1"/>
  <c r="BO28" i="10"/>
  <c r="Y19" i="11"/>
  <c r="Y26" i="11" s="1"/>
  <c r="Y33" i="11" s="1"/>
  <c r="X59" i="13" s="1"/>
  <c r="Y17" i="12"/>
  <c r="Y24" i="12" s="1"/>
  <c r="X66" i="13" s="1"/>
  <c r="BF27" i="10"/>
  <c r="CF27" i="10"/>
  <c r="T20" i="11"/>
  <c r="T27" i="11" s="1"/>
  <c r="T34" i="11" s="1"/>
  <c r="S60" i="13" s="1"/>
  <c r="T18" i="12"/>
  <c r="T25" i="12" s="1"/>
  <c r="S67" i="13" s="1"/>
  <c r="CD27" i="10"/>
  <c r="O80" i="8"/>
  <c r="BA17" i="12"/>
  <c r="BA24" i="12" s="1"/>
  <c r="AZ66" i="13" s="1"/>
  <c r="BA19" i="11"/>
  <c r="BA26" i="11" s="1"/>
  <c r="BA33" i="11" s="1"/>
  <c r="AZ59" i="13" s="1"/>
  <c r="O20" i="11"/>
  <c r="O27" i="11" s="1"/>
  <c r="O34" i="11" s="1"/>
  <c r="N60" i="13" s="1"/>
  <c r="O18" i="12"/>
  <c r="O25" i="12" s="1"/>
  <c r="N67" i="13" s="1"/>
  <c r="AG18" i="12"/>
  <c r="AG25" i="12" s="1"/>
  <c r="AF67" i="13" s="1"/>
  <c r="AG20" i="11"/>
  <c r="AG27" i="11" s="1"/>
  <c r="AG34" i="11" s="1"/>
  <c r="AF60" i="13" s="1"/>
  <c r="AC34" i="10"/>
  <c r="AC39" i="10" s="1"/>
  <c r="AC46" i="10" s="1"/>
  <c r="AC67" i="10" s="1"/>
  <c r="AC74" i="10" s="1"/>
  <c r="AC202" i="10" s="1"/>
  <c r="L27" i="10"/>
  <c r="AQ28" i="10"/>
  <c r="AD20" i="11"/>
  <c r="AD27" i="11" s="1"/>
  <c r="AD34" i="11" s="1"/>
  <c r="AC60" i="13" s="1"/>
  <c r="AD18" i="12"/>
  <c r="AD25" i="12" s="1"/>
  <c r="AC67" i="13" s="1"/>
  <c r="Y28" i="10"/>
  <c r="M80" i="8"/>
  <c r="X19" i="11"/>
  <c r="X26" i="11" s="1"/>
  <c r="X33" i="11" s="1"/>
  <c r="W59" i="13" s="1"/>
  <c r="X17" i="12"/>
  <c r="X24" i="12" s="1"/>
  <c r="W66" i="13" s="1"/>
  <c r="BE27" i="10"/>
  <c r="BT47" i="13"/>
  <c r="BV180" i="8"/>
  <c r="BM28" i="10"/>
  <c r="BD28" i="10"/>
  <c r="BA27" i="10"/>
  <c r="W17" i="12"/>
  <c r="W24" i="12" s="1"/>
  <c r="V66" i="13" s="1"/>
  <c r="W19" i="11"/>
  <c r="W26" i="11" s="1"/>
  <c r="W33" i="11" s="1"/>
  <c r="V59" i="13" s="1"/>
  <c r="BV28" i="10"/>
  <c r="AF18" i="12"/>
  <c r="AF25" i="12" s="1"/>
  <c r="AE67" i="13" s="1"/>
  <c r="AF20" i="11"/>
  <c r="AF27" i="11" s="1"/>
  <c r="AF34" i="11" s="1"/>
  <c r="AE60" i="13" s="1"/>
  <c r="BW83" i="10"/>
  <c r="BW90" i="10" s="1"/>
  <c r="BW97" i="10" s="1"/>
  <c r="BW164" i="8"/>
  <c r="BW171" i="8" s="1"/>
  <c r="AY80" i="8"/>
  <c r="AI27" i="10"/>
  <c r="AN33" i="10"/>
  <c r="AN80" i="8"/>
  <c r="T27" i="10"/>
  <c r="AZ28" i="10"/>
  <c r="R28" i="10"/>
  <c r="BR20" i="11"/>
  <c r="BR27" i="11" s="1"/>
  <c r="BR34" i="11" s="1"/>
  <c r="BQ60" i="13" s="1"/>
  <c r="BR18" i="12"/>
  <c r="BR25" i="12" s="1"/>
  <c r="BQ67" i="13" s="1"/>
  <c r="BA28" i="10"/>
  <c r="U33" i="10"/>
  <c r="U38" i="10" s="1"/>
  <c r="U45" i="10" s="1"/>
  <c r="U66" i="10" s="1"/>
  <c r="U73" i="10" s="1"/>
  <c r="U201" i="10" s="1"/>
  <c r="AW28" i="10"/>
  <c r="Q28" i="10"/>
  <c r="Q17" i="12"/>
  <c r="Q24" i="12" s="1"/>
  <c r="P66" i="13" s="1"/>
  <c r="Q19" i="11"/>
  <c r="Q26" i="11" s="1"/>
  <c r="Q33" i="11" s="1"/>
  <c r="P59" i="13" s="1"/>
  <c r="BP19" i="11"/>
  <c r="BP26" i="11" s="1"/>
  <c r="BP33" i="11" s="1"/>
  <c r="BO59" i="13" s="1"/>
  <c r="BP17" i="12"/>
  <c r="BP24" i="12" s="1"/>
  <c r="BO66" i="13" s="1"/>
  <c r="AE17" i="12"/>
  <c r="AE24" i="12" s="1"/>
  <c r="AD66" i="13" s="1"/>
  <c r="AE19" i="11"/>
  <c r="AE26" i="11" s="1"/>
  <c r="AE33" i="11" s="1"/>
  <c r="AD59" i="13" s="1"/>
  <c r="P18" i="12"/>
  <c r="P25" i="12" s="1"/>
  <c r="O67" i="13" s="1"/>
  <c r="P20" i="11"/>
  <c r="P27" i="11" s="1"/>
  <c r="P34" i="11" s="1"/>
  <c r="O60" i="13" s="1"/>
  <c r="AR27" i="10"/>
  <c r="V17" i="12"/>
  <c r="V24" i="12" s="1"/>
  <c r="U66" i="13" s="1"/>
  <c r="V19" i="11"/>
  <c r="V26" i="11" s="1"/>
  <c r="V33" i="11" s="1"/>
  <c r="U59" i="13" s="1"/>
  <c r="M17" i="12"/>
  <c r="M24" i="12" s="1"/>
  <c r="L66" i="13" s="1"/>
  <c r="M19" i="11"/>
  <c r="M26" i="11" s="1"/>
  <c r="M33" i="11" s="1"/>
  <c r="L59" i="13" s="1"/>
  <c r="AF27" i="10"/>
  <c r="AU19" i="11"/>
  <c r="AU26" i="11" s="1"/>
  <c r="AU33" i="11" s="1"/>
  <c r="AT59" i="13" s="1"/>
  <c r="AU17" i="12"/>
  <c r="AU24" i="12" s="1"/>
  <c r="AT66" i="13" s="1"/>
  <c r="AN28" i="10"/>
  <c r="AH17" i="12"/>
  <c r="AH24" i="12" s="1"/>
  <c r="AG66" i="13" s="1"/>
  <c r="AH19" i="11"/>
  <c r="AH26" i="11" s="1"/>
  <c r="AH33" i="11" s="1"/>
  <c r="AG59" i="13" s="1"/>
  <c r="BV204" i="10"/>
  <c r="AT27" i="10"/>
  <c r="AN18" i="12"/>
  <c r="AN25" i="12" s="1"/>
  <c r="AM67" i="13" s="1"/>
  <c r="AN20" i="11"/>
  <c r="AN27" i="11" s="1"/>
  <c r="AN34" i="11" s="1"/>
  <c r="AM60" i="13" s="1"/>
  <c r="AT18" i="12"/>
  <c r="AT25" i="12" s="1"/>
  <c r="AS67" i="13" s="1"/>
  <c r="AT20" i="11"/>
  <c r="AT27" i="11" s="1"/>
  <c r="AT34" i="11" s="1"/>
  <c r="AS60" i="13" s="1"/>
  <c r="X18" i="12"/>
  <c r="X25" i="12" s="1"/>
  <c r="W67" i="13" s="1"/>
  <c r="X20" i="11"/>
  <c r="X27" i="11" s="1"/>
  <c r="X34" i="11" s="1"/>
  <c r="W60" i="13" s="1"/>
  <c r="AY27" i="10"/>
  <c r="AE33" i="10"/>
  <c r="AE38" i="10" s="1"/>
  <c r="AE45" i="10" s="1"/>
  <c r="AE66" i="10" s="1"/>
  <c r="AE73" i="10" s="1"/>
  <c r="AE201" i="10" s="1"/>
  <c r="X28" i="10"/>
  <c r="V28" i="10"/>
  <c r="BN27" i="10"/>
  <c r="S20" i="11"/>
  <c r="S27" i="11" s="1"/>
  <c r="S34" i="11" s="1"/>
  <c r="R60" i="13" s="1"/>
  <c r="S18" i="12"/>
  <c r="S25" i="12" s="1"/>
  <c r="R67" i="13" s="1"/>
  <c r="BV177" i="8"/>
  <c r="BT44" i="13"/>
  <c r="AE81" i="8"/>
  <c r="AE86" i="8" s="1"/>
  <c r="AE93" i="8" s="1"/>
  <c r="AE100" i="8" s="1"/>
  <c r="AE128" i="8" s="1"/>
  <c r="AE135" i="8" s="1"/>
  <c r="AC39" i="13" s="1"/>
  <c r="AE34" i="10"/>
  <c r="BR17" i="12"/>
  <c r="BR24" i="12" s="1"/>
  <c r="BQ66" i="13" s="1"/>
  <c r="BR19" i="11"/>
  <c r="BR26" i="11" s="1"/>
  <c r="BR33" i="11" s="1"/>
  <c r="BQ59" i="13" s="1"/>
  <c r="O17" i="12"/>
  <c r="O24" i="12" s="1"/>
  <c r="N66" i="13" s="1"/>
  <c r="O19" i="11"/>
  <c r="O26" i="11" s="1"/>
  <c r="O33" i="11" s="1"/>
  <c r="N59" i="13" s="1"/>
  <c r="AR81" i="8"/>
  <c r="AP28" i="10"/>
  <c r="BU28" i="10"/>
  <c r="BN18" i="12"/>
  <c r="BN25" i="12" s="1"/>
  <c r="BM67" i="13" s="1"/>
  <c r="BN20" i="11"/>
  <c r="BN27" i="11" s="1"/>
  <c r="BN34" i="11" s="1"/>
  <c r="BM60" i="13" s="1"/>
  <c r="V27" i="10"/>
  <c r="AI28" i="10"/>
  <c r="CB27" i="10"/>
  <c r="R80" i="8"/>
  <c r="R85" i="8" s="1"/>
  <c r="R92" i="8" s="1"/>
  <c r="R99" i="8" s="1"/>
  <c r="R127" i="8" s="1"/>
  <c r="R134" i="8" s="1"/>
  <c r="P38" i="13" s="1"/>
  <c r="N18" i="12"/>
  <c r="N25" i="12" s="1"/>
  <c r="M67" i="13" s="1"/>
  <c r="N20" i="11"/>
  <c r="N27" i="11" s="1"/>
  <c r="N34" i="11" s="1"/>
  <c r="M60" i="13" s="1"/>
  <c r="BJ20" i="11"/>
  <c r="BJ27" i="11" s="1"/>
  <c r="BJ34" i="11" s="1"/>
  <c r="BI60" i="13" s="1"/>
  <c r="BJ18" i="12"/>
  <c r="BJ25" i="12" s="1"/>
  <c r="BI67" i="13" s="1"/>
  <c r="R19" i="11"/>
  <c r="R26" i="11" s="1"/>
  <c r="R33" i="11" s="1"/>
  <c r="Q59" i="13" s="1"/>
  <c r="R17" i="12"/>
  <c r="R24" i="12" s="1"/>
  <c r="Q66" i="13" s="1"/>
  <c r="U34" i="10"/>
  <c r="U39" i="10" s="1"/>
  <c r="U46" i="10" s="1"/>
  <c r="U67" i="10" s="1"/>
  <c r="U74" i="10" s="1"/>
  <c r="U202" i="10" s="1"/>
  <c r="AI18" i="12"/>
  <c r="AI25" i="12" s="1"/>
  <c r="AH67" i="13" s="1"/>
  <c r="AI20" i="11"/>
  <c r="AI27" i="11" s="1"/>
  <c r="AI34" i="11" s="1"/>
  <c r="AH60" i="13" s="1"/>
  <c r="BH28" i="10"/>
  <c r="BG17" i="12"/>
  <c r="BG24" i="12" s="1"/>
  <c r="BF66" i="13" s="1"/>
  <c r="BG19" i="11"/>
  <c r="BG26" i="11" s="1"/>
  <c r="BG33" i="11" s="1"/>
  <c r="BF59" i="13" s="1"/>
  <c r="BX34" i="10"/>
  <c r="BX80" i="8"/>
  <c r="AX17" i="12"/>
  <c r="AX24" i="12" s="1"/>
  <c r="AW66" i="13" s="1"/>
  <c r="AX19" i="11"/>
  <c r="AX26" i="11" s="1"/>
  <c r="AX33" i="11" s="1"/>
  <c r="AW59" i="13" s="1"/>
  <c r="BL20" i="11"/>
  <c r="BL27" i="11" s="1"/>
  <c r="BL34" i="11" s="1"/>
  <c r="BK60" i="13" s="1"/>
  <c r="BL18" i="12"/>
  <c r="BL25" i="12" s="1"/>
  <c r="BK67" i="13" s="1"/>
  <c r="AW33" i="10"/>
  <c r="BE19" i="11"/>
  <c r="BE26" i="11" s="1"/>
  <c r="BE33" i="11" s="1"/>
  <c r="BD59" i="13" s="1"/>
  <c r="BE17" i="12"/>
  <c r="BE24" i="12" s="1"/>
  <c r="BD66" i="13" s="1"/>
  <c r="BQ19" i="11"/>
  <c r="BQ26" i="11" s="1"/>
  <c r="BQ33" i="11" s="1"/>
  <c r="BP59" i="13" s="1"/>
  <c r="BQ17" i="12"/>
  <c r="BQ24" i="12" s="1"/>
  <c r="BP66" i="13" s="1"/>
  <c r="AX18" i="12"/>
  <c r="AX25" i="12" s="1"/>
  <c r="AW67" i="13" s="1"/>
  <c r="AX20" i="11"/>
  <c r="AX27" i="11" s="1"/>
  <c r="AX34" i="11" s="1"/>
  <c r="AW60" i="13" s="1"/>
  <c r="BW82" i="10"/>
  <c r="BW89" i="10" s="1"/>
  <c r="BW96" i="10" s="1"/>
  <c r="BW163" i="8"/>
  <c r="BW170" i="8" s="1"/>
  <c r="AF28" i="10"/>
  <c r="BO17" i="12"/>
  <c r="BO24" i="12" s="1"/>
  <c r="BN66" i="13" s="1"/>
  <c r="BO19" i="11"/>
  <c r="BO26" i="11" s="1"/>
  <c r="BO33" i="11" s="1"/>
  <c r="BN59" i="13" s="1"/>
  <c r="AH28" i="10"/>
  <c r="AW20" i="11"/>
  <c r="AW27" i="11" s="1"/>
  <c r="AW34" i="11" s="1"/>
  <c r="AV60" i="13" s="1"/>
  <c r="AW18" i="12"/>
  <c r="AW25" i="12" s="1"/>
  <c r="AV67" i="13" s="1"/>
  <c r="AB34" i="10"/>
  <c r="AB39" i="10" s="1"/>
  <c r="AB46" i="10" s="1"/>
  <c r="AB67" i="10" s="1"/>
  <c r="AB74" i="10" s="1"/>
  <c r="AB202" i="10" s="1"/>
  <c r="BC19" i="11"/>
  <c r="BC26" i="11" s="1"/>
  <c r="BC33" i="11" s="1"/>
  <c r="BB59" i="13" s="1"/>
  <c r="BC17" i="12"/>
  <c r="BC24" i="12" s="1"/>
  <c r="BB66" i="13" s="1"/>
  <c r="M33" i="10"/>
  <c r="BF19" i="11"/>
  <c r="BF26" i="11" s="1"/>
  <c r="BF33" i="11" s="1"/>
  <c r="BE59" i="13" s="1"/>
  <c r="BF17" i="12"/>
  <c r="BF24" i="12" s="1"/>
  <c r="BE66" i="13" s="1"/>
  <c r="BK17" i="12"/>
  <c r="BK24" i="12" s="1"/>
  <c r="BJ66" i="13" s="1"/>
  <c r="BK19" i="11"/>
  <c r="BK26" i="11" s="1"/>
  <c r="BK33" i="11" s="1"/>
  <c r="BJ59" i="13" s="1"/>
  <c r="AD17" i="12"/>
  <c r="AD24" i="12" s="1"/>
  <c r="AC66" i="13" s="1"/>
  <c r="AD19" i="11"/>
  <c r="AD26" i="11" s="1"/>
  <c r="AD33" i="11" s="1"/>
  <c r="AC59" i="13" s="1"/>
  <c r="T17" i="12"/>
  <c r="T24" i="12" s="1"/>
  <c r="S66" i="13" s="1"/>
  <c r="T19" i="11"/>
  <c r="T26" i="11" s="1"/>
  <c r="T33" i="11" s="1"/>
  <c r="S59" i="13" s="1"/>
  <c r="AL27" i="10"/>
  <c r="Y18" i="12"/>
  <c r="Y25" i="12" s="1"/>
  <c r="X67" i="13" s="1"/>
  <c r="Y20" i="11"/>
  <c r="Y27" i="11" s="1"/>
  <c r="Y34" i="11" s="1"/>
  <c r="X60" i="13" s="1"/>
  <c r="BS28" i="10"/>
  <c r="AZ81" i="8"/>
  <c r="AK28" i="10"/>
  <c r="AL20" i="11"/>
  <c r="AL27" i="11" s="1"/>
  <c r="AL34" i="11" s="1"/>
  <c r="AK60" i="13" s="1"/>
  <c r="AL18" i="12"/>
  <c r="AL25" i="12" s="1"/>
  <c r="AK67" i="13" s="1"/>
  <c r="AS17" i="12"/>
  <c r="AS24" i="12" s="1"/>
  <c r="AR66" i="13" s="1"/>
  <c r="AS19" i="11"/>
  <c r="AS26" i="11" s="1"/>
  <c r="AS33" i="11" s="1"/>
  <c r="AR59" i="13" s="1"/>
  <c r="AL34" i="10"/>
  <c r="BW166" i="8"/>
  <c r="BW173" i="8" s="1"/>
  <c r="BW85" i="10"/>
  <c r="BW92" i="10" s="1"/>
  <c r="BW99" i="10" s="1"/>
  <c r="BW204" i="10" s="1"/>
  <c r="BV178" i="8"/>
  <c r="BT45" i="13"/>
  <c r="AG28" i="10"/>
  <c r="AA17" i="12"/>
  <c r="AA24" i="12" s="1"/>
  <c r="Z66" i="13" s="1"/>
  <c r="AA19" i="11"/>
  <c r="AA26" i="11" s="1"/>
  <c r="AA33" i="11" s="1"/>
  <c r="Z59" i="13" s="1"/>
  <c r="AP17" i="12"/>
  <c r="AP24" i="12" s="1"/>
  <c r="AO66" i="13" s="1"/>
  <c r="AP19" i="11"/>
  <c r="AP26" i="11" s="1"/>
  <c r="AP33" i="11" s="1"/>
  <c r="AO59" i="13" s="1"/>
  <c r="L28" i="10"/>
  <c r="AI34" i="10"/>
  <c r="AI39" i="10" s="1"/>
  <c r="AI46" i="10" s="1"/>
  <c r="AI67" i="10" s="1"/>
  <c r="AI74" i="10" s="1"/>
  <c r="AI202" i="10" s="1"/>
  <c r="AI81" i="8"/>
  <c r="BD80" i="8"/>
  <c r="BD27" i="10"/>
  <c r="AF81" i="8"/>
  <c r="AF34" i="10"/>
  <c r="BW84" i="10"/>
  <c r="BW91" i="10" s="1"/>
  <c r="BW98" i="10" s="1"/>
  <c r="BW203" i="10" s="1"/>
  <c r="BW165" i="8"/>
  <c r="BW172" i="8" s="1"/>
  <c r="AI19" i="11"/>
  <c r="AI26" i="11" s="1"/>
  <c r="AI33" i="11" s="1"/>
  <c r="AH59" i="13" s="1"/>
  <c r="AI17" i="12"/>
  <c r="AI24" i="12" s="1"/>
  <c r="AH66" i="13" s="1"/>
  <c r="Y33" i="10"/>
  <c r="Y80" i="8"/>
  <c r="Y85" i="8" s="1"/>
  <c r="Y92" i="8" s="1"/>
  <c r="Y99" i="8" s="1"/>
  <c r="Y127" i="8" s="1"/>
  <c r="Y134" i="8" s="1"/>
  <c r="W38" i="13" s="1"/>
  <c r="R18" i="12"/>
  <c r="R25" i="12" s="1"/>
  <c r="Q67" i="13" s="1"/>
  <c r="R20" i="11"/>
  <c r="R27" i="11" s="1"/>
  <c r="R34" i="11" s="1"/>
  <c r="Q60" i="13" s="1"/>
  <c r="BZ28" i="10"/>
  <c r="BC27" i="10"/>
  <c r="CC80" i="8"/>
  <c r="CC85" i="8" s="1"/>
  <c r="CC92" i="8" s="1"/>
  <c r="CC99" i="8" s="1"/>
  <c r="CC127" i="8" s="1"/>
  <c r="CC134" i="8" s="1"/>
  <c r="CA38" i="13" s="1"/>
  <c r="BI28" i="10"/>
  <c r="BH17" i="12"/>
  <c r="BH24" i="12" s="1"/>
  <c r="BG66" i="13" s="1"/>
  <c r="BH19" i="11"/>
  <c r="BH26" i="11" s="1"/>
  <c r="BH33" i="11" s="1"/>
  <c r="BG59" i="13" s="1"/>
  <c r="BT18" i="12"/>
  <c r="BT25" i="12" s="1"/>
  <c r="BS67" i="13" s="1"/>
  <c r="BT20" i="11"/>
  <c r="BT27" i="11" s="1"/>
  <c r="BT34" i="11" s="1"/>
  <c r="BS60" i="13" s="1"/>
  <c r="AK19" i="11"/>
  <c r="AK26" i="11" s="1"/>
  <c r="AK33" i="11" s="1"/>
  <c r="AJ59" i="13" s="1"/>
  <c r="AK17" i="12"/>
  <c r="AK24" i="12" s="1"/>
  <c r="AJ66" i="13" s="1"/>
  <c r="X81" i="8"/>
  <c r="AU18" i="12"/>
  <c r="AU25" i="12" s="1"/>
  <c r="AT67" i="13" s="1"/>
  <c r="AU20" i="11"/>
  <c r="AU27" i="11" s="1"/>
  <c r="AU34" i="11" s="1"/>
  <c r="AT60" i="13" s="1"/>
  <c r="U19" i="11"/>
  <c r="U26" i="11" s="1"/>
  <c r="U33" i="11" s="1"/>
  <c r="T59" i="13" s="1"/>
  <c r="U17" i="12"/>
  <c r="U24" i="12" s="1"/>
  <c r="T66" i="13" s="1"/>
  <c r="Q20" i="11"/>
  <c r="Q27" i="11" s="1"/>
  <c r="Q34" i="11" s="1"/>
  <c r="P60" i="13" s="1"/>
  <c r="Q18" i="12"/>
  <c r="Q25" i="12" s="1"/>
  <c r="P67" i="13" s="1"/>
  <c r="AO27" i="10"/>
  <c r="W20" i="11"/>
  <c r="W27" i="11" s="1"/>
  <c r="W34" i="11" s="1"/>
  <c r="V60" i="13" s="1"/>
  <c r="W18" i="12"/>
  <c r="W25" i="12" s="1"/>
  <c r="V67" i="13" s="1"/>
  <c r="AJ17" i="12"/>
  <c r="AJ24" i="12" s="1"/>
  <c r="AI66" i="13" s="1"/>
  <c r="AJ19" i="11"/>
  <c r="AJ26" i="11" s="1"/>
  <c r="AJ33" i="11" s="1"/>
  <c r="AI59" i="13" s="1"/>
  <c r="BJ28" i="10"/>
  <c r="AF80" i="8"/>
  <c r="Z80" i="8"/>
  <c r="Z85" i="8" s="1"/>
  <c r="Z92" i="8" s="1"/>
  <c r="Z99" i="8" s="1"/>
  <c r="Z127" i="8" s="1"/>
  <c r="Z134" i="8" s="1"/>
  <c r="X38" i="13" s="1"/>
  <c r="BN17" i="12"/>
  <c r="BN24" i="12" s="1"/>
  <c r="BM66" i="13" s="1"/>
  <c r="BN19" i="11"/>
  <c r="BN26" i="11" s="1"/>
  <c r="BN33" i="11" s="1"/>
  <c r="BM59" i="13" s="1"/>
  <c r="BZ33" i="10"/>
  <c r="BZ38" i="10" s="1"/>
  <c r="BZ45" i="10" s="1"/>
  <c r="BZ66" i="10" s="1"/>
  <c r="BZ73" i="10" s="1"/>
  <c r="BR27" i="10"/>
  <c r="BP33" i="10"/>
  <c r="M18" i="12"/>
  <c r="M25" i="12" s="1"/>
  <c r="L67" i="13" s="1"/>
  <c r="M20" i="11"/>
  <c r="M27" i="11" s="1"/>
  <c r="M34" i="11" s="1"/>
  <c r="L60" i="13" s="1"/>
  <c r="BK28" i="10"/>
  <c r="AU39" i="10" l="1"/>
  <c r="AU46" i="10" s="1"/>
  <c r="AU67" i="10" s="1"/>
  <c r="AU74" i="10" s="1"/>
  <c r="AU202" i="10" s="1"/>
  <c r="Y38" i="10"/>
  <c r="Y45" i="10" s="1"/>
  <c r="Y66" i="10" s="1"/>
  <c r="Y73" i="10" s="1"/>
  <c r="Y201" i="10" s="1"/>
  <c r="X17" i="11" s="1"/>
  <c r="X24" i="11" s="1"/>
  <c r="X31" i="11" s="1"/>
  <c r="W57" i="13" s="1"/>
  <c r="BX39" i="10"/>
  <c r="BX46" i="10" s="1"/>
  <c r="BX67" i="10" s="1"/>
  <c r="BX74" i="10" s="1"/>
  <c r="BP38" i="10"/>
  <c r="BP45" i="10" s="1"/>
  <c r="BP66" i="10" s="1"/>
  <c r="BP73" i="10" s="1"/>
  <c r="BP201" i="10" s="1"/>
  <c r="BO17" i="11" s="1"/>
  <c r="BO24" i="11" s="1"/>
  <c r="BO31" i="11" s="1"/>
  <c r="BN57" i="13" s="1"/>
  <c r="AL39" i="10"/>
  <c r="AL46" i="10" s="1"/>
  <c r="AL67" i="10" s="1"/>
  <c r="AL74" i="10" s="1"/>
  <c r="AL202" i="10" s="1"/>
  <c r="BE85" i="8"/>
  <c r="BE92" i="8" s="1"/>
  <c r="BE99" i="8" s="1"/>
  <c r="BE127" i="8" s="1"/>
  <c r="BE134" i="8" s="1"/>
  <c r="BC38" i="13" s="1"/>
  <c r="O85" i="8"/>
  <c r="O92" i="8" s="1"/>
  <c r="O99" i="8" s="1"/>
  <c r="O127" i="8" s="1"/>
  <c r="O134" i="8" s="1"/>
  <c r="M38" i="13" s="1"/>
  <c r="M85" i="8"/>
  <c r="M92" i="8" s="1"/>
  <c r="M99" i="8" s="1"/>
  <c r="M127" i="8" s="1"/>
  <c r="M134" i="8" s="1"/>
  <c r="K38" i="13" s="1"/>
  <c r="O34" i="10"/>
  <c r="O39" i="10" s="1"/>
  <c r="O46" i="10" s="1"/>
  <c r="O67" i="10" s="1"/>
  <c r="O74" i="10" s="1"/>
  <c r="O202" i="10" s="1"/>
  <c r="BD33" i="10"/>
  <c r="AF39" i="10"/>
  <c r="AF46" i="10" s="1"/>
  <c r="AF67" i="10" s="1"/>
  <c r="AF74" i="10" s="1"/>
  <c r="AF202" i="10" s="1"/>
  <c r="AE18" i="11" s="1"/>
  <c r="AE25" i="11" s="1"/>
  <c r="AE32" i="11" s="1"/>
  <c r="AD58" i="13" s="1"/>
  <c r="BR81" i="8"/>
  <c r="BR86" i="8" s="1"/>
  <c r="BR93" i="8" s="1"/>
  <c r="BR100" i="8" s="1"/>
  <c r="BR128" i="8" s="1"/>
  <c r="BR135" i="8" s="1"/>
  <c r="BP39" i="13" s="1"/>
  <c r="O81" i="8"/>
  <c r="O86" i="8" s="1"/>
  <c r="O93" i="8" s="1"/>
  <c r="O100" i="8" s="1"/>
  <c r="O128" i="8" s="1"/>
  <c r="O135" i="8" s="1"/>
  <c r="M39" i="13" s="1"/>
  <c r="BW39" i="10"/>
  <c r="BW46" i="10" s="1"/>
  <c r="BW67" i="10" s="1"/>
  <c r="BW74" i="10" s="1"/>
  <c r="M38" i="10"/>
  <c r="M45" i="10" s="1"/>
  <c r="M66" i="10" s="1"/>
  <c r="M73" i="10" s="1"/>
  <c r="M201" i="10" s="1"/>
  <c r="L17" i="11" s="1"/>
  <c r="L24" i="11" s="1"/>
  <c r="L31" i="11" s="1"/>
  <c r="K57" i="13" s="1"/>
  <c r="AW38" i="10"/>
  <c r="AW45" i="10" s="1"/>
  <c r="AW66" i="10" s="1"/>
  <c r="AW73" i="10" s="1"/>
  <c r="AW201" i="10" s="1"/>
  <c r="AV17" i="11" s="1"/>
  <c r="AV24" i="11" s="1"/>
  <c r="AV31" i="11" s="1"/>
  <c r="AU57" i="13" s="1"/>
  <c r="AE39" i="10"/>
  <c r="AE46" i="10" s="1"/>
  <c r="AE67" i="10" s="1"/>
  <c r="AE74" i="10" s="1"/>
  <c r="AE202" i="10" s="1"/>
  <c r="AN38" i="10"/>
  <c r="AN45" i="10" s="1"/>
  <c r="AN66" i="10" s="1"/>
  <c r="AN73" i="10" s="1"/>
  <c r="AN201" i="10" s="1"/>
  <c r="AM17" i="11" s="1"/>
  <c r="AM24" i="11" s="1"/>
  <c r="AM31" i="11" s="1"/>
  <c r="AL57" i="13" s="1"/>
  <c r="M73" i="13"/>
  <c r="AX80" i="8"/>
  <c r="AX85" i="8" s="1"/>
  <c r="AX92" i="8" s="1"/>
  <c r="AX99" i="8" s="1"/>
  <c r="AX127" i="8" s="1"/>
  <c r="AX134" i="8" s="1"/>
  <c r="AV38" i="13" s="1"/>
  <c r="AH33" i="10"/>
  <c r="AH38" i="10" s="1"/>
  <c r="AH45" i="10" s="1"/>
  <c r="AH66" i="10" s="1"/>
  <c r="AH73" i="10" s="1"/>
  <c r="AH201" i="10" s="1"/>
  <c r="AG17" i="11" s="1"/>
  <c r="AG24" i="11" s="1"/>
  <c r="AG31" i="11" s="1"/>
  <c r="AF57" i="13" s="1"/>
  <c r="Q81" i="8"/>
  <c r="Q86" i="8" s="1"/>
  <c r="Q93" i="8" s="1"/>
  <c r="Q100" i="8" s="1"/>
  <c r="Q128" i="8" s="1"/>
  <c r="Q135" i="8" s="1"/>
  <c r="O39" i="13" s="1"/>
  <c r="BF80" i="8"/>
  <c r="BF85" i="8" s="1"/>
  <c r="BF92" i="8" s="1"/>
  <c r="BF99" i="8" s="1"/>
  <c r="BF127" i="8" s="1"/>
  <c r="BF134" i="8" s="1"/>
  <c r="BD38" i="13" s="1"/>
  <c r="AX81" i="8"/>
  <c r="AX86" i="8" s="1"/>
  <c r="AX93" i="8" s="1"/>
  <c r="AX100" i="8" s="1"/>
  <c r="AX128" i="8" s="1"/>
  <c r="AX135" i="8" s="1"/>
  <c r="AV39" i="13" s="1"/>
  <c r="AS81" i="8"/>
  <c r="AS86" i="8" s="1"/>
  <c r="AS93" i="8" s="1"/>
  <c r="AS100" i="8" s="1"/>
  <c r="AS128" i="8" s="1"/>
  <c r="AS135" i="8" s="1"/>
  <c r="AQ39" i="13" s="1"/>
  <c r="AP34" i="10"/>
  <c r="AP39" i="10" s="1"/>
  <c r="AP46" i="10" s="1"/>
  <c r="AP67" i="10" s="1"/>
  <c r="AP74" i="10" s="1"/>
  <c r="AP202" i="10" s="1"/>
  <c r="R74" i="13"/>
  <c r="BR39" i="10"/>
  <c r="BR46" i="10" s="1"/>
  <c r="BR67" i="10" s="1"/>
  <c r="BR74" i="10" s="1"/>
  <c r="BR202" i="10" s="1"/>
  <c r="BQ16" i="12" s="1"/>
  <c r="BQ23" i="12" s="1"/>
  <c r="BP65" i="13" s="1"/>
  <c r="AH80" i="8"/>
  <c r="AH85" i="8" s="1"/>
  <c r="AH92" i="8" s="1"/>
  <c r="AH99" i="8" s="1"/>
  <c r="AH127" i="8" s="1"/>
  <c r="AH134" i="8" s="1"/>
  <c r="AF38" i="13" s="1"/>
  <c r="BY34" i="10"/>
  <c r="BY39" i="10" s="1"/>
  <c r="BY46" i="10" s="1"/>
  <c r="BY67" i="10" s="1"/>
  <c r="BY74" i="10" s="1"/>
  <c r="P81" i="8"/>
  <c r="P86" i="8" s="1"/>
  <c r="P93" i="8" s="1"/>
  <c r="P100" i="8" s="1"/>
  <c r="P128" i="8" s="1"/>
  <c r="P135" i="8" s="1"/>
  <c r="N39" i="13" s="1"/>
  <c r="AJ38" i="10"/>
  <c r="AJ45" i="10" s="1"/>
  <c r="AJ66" i="10" s="1"/>
  <c r="AJ73" i="10" s="1"/>
  <c r="AJ201" i="10" s="1"/>
  <c r="AI15" i="12" s="1"/>
  <c r="AI22" i="12" s="1"/>
  <c r="AH64" i="13" s="1"/>
  <c r="AD34" i="10"/>
  <c r="AD39" i="10" s="1"/>
  <c r="AD46" i="10" s="1"/>
  <c r="AD67" i="10" s="1"/>
  <c r="AD74" i="10" s="1"/>
  <c r="AD202" i="10" s="1"/>
  <c r="AC16" i="12" s="1"/>
  <c r="AC23" i="12" s="1"/>
  <c r="AB65" i="13" s="1"/>
  <c r="AZ33" i="10"/>
  <c r="AZ38" i="10" s="1"/>
  <c r="AZ45" i="10" s="1"/>
  <c r="AZ66" i="10" s="1"/>
  <c r="AZ73" i="10" s="1"/>
  <c r="AZ201" i="10" s="1"/>
  <c r="AY17" i="11" s="1"/>
  <c r="AY24" i="11" s="1"/>
  <c r="AY31" i="11" s="1"/>
  <c r="AX57" i="13" s="1"/>
  <c r="CD34" i="10"/>
  <c r="CD39" i="10" s="1"/>
  <c r="CD46" i="10" s="1"/>
  <c r="CD67" i="10" s="1"/>
  <c r="CD74" i="10" s="1"/>
  <c r="AK33" i="10"/>
  <c r="AK38" i="10" s="1"/>
  <c r="AK45" i="10" s="1"/>
  <c r="AK66" i="10" s="1"/>
  <c r="AK73" i="10" s="1"/>
  <c r="AK201" i="10" s="1"/>
  <c r="AJ15" i="12" s="1"/>
  <c r="AJ22" i="12" s="1"/>
  <c r="AI64" i="13" s="1"/>
  <c r="AW80" i="8"/>
  <c r="AW85" i="8" s="1"/>
  <c r="AW92" i="8" s="1"/>
  <c r="AW99" i="8" s="1"/>
  <c r="AW127" i="8" s="1"/>
  <c r="AW134" i="8" s="1"/>
  <c r="AU38" i="13" s="1"/>
  <c r="S34" i="10"/>
  <c r="S39" i="10" s="1"/>
  <c r="S46" i="10" s="1"/>
  <c r="S67" i="10" s="1"/>
  <c r="S74" i="10" s="1"/>
  <c r="S202" i="10" s="1"/>
  <c r="R16" i="12" s="1"/>
  <c r="R23" i="12" s="1"/>
  <c r="Q65" i="13" s="1"/>
  <c r="AQ74" i="13"/>
  <c r="AE73" i="13"/>
  <c r="BS74" i="13"/>
  <c r="Q34" i="10"/>
  <c r="Q39" i="10" s="1"/>
  <c r="Q46" i="10" s="1"/>
  <c r="Q67" i="10" s="1"/>
  <c r="Q74" i="10" s="1"/>
  <c r="Q202" i="10" s="1"/>
  <c r="P16" i="12" s="1"/>
  <c r="P23" i="12" s="1"/>
  <c r="O65" i="13" s="1"/>
  <c r="T74" i="13"/>
  <c r="S81" i="8"/>
  <c r="S86" i="8" s="1"/>
  <c r="S93" i="8" s="1"/>
  <c r="S100" i="8" s="1"/>
  <c r="S128" i="8" s="1"/>
  <c r="S135" i="8" s="1"/>
  <c r="Q39" i="13" s="1"/>
  <c r="AN85" i="8"/>
  <c r="AN92" i="8" s="1"/>
  <c r="AN99" i="8" s="1"/>
  <c r="AN127" i="8" s="1"/>
  <c r="AN134" i="8" s="1"/>
  <c r="AL38" i="13" s="1"/>
  <c r="BR33" i="10"/>
  <c r="BR38" i="10" s="1"/>
  <c r="BR45" i="10" s="1"/>
  <c r="BR66" i="10" s="1"/>
  <c r="BR73" i="10" s="1"/>
  <c r="BR201" i="10" s="1"/>
  <c r="AZ80" i="8"/>
  <c r="AZ85" i="8" s="1"/>
  <c r="AZ92" i="8" s="1"/>
  <c r="AZ99" i="8" s="1"/>
  <c r="AZ127" i="8" s="1"/>
  <c r="AZ134" i="8" s="1"/>
  <c r="AX38" i="13" s="1"/>
  <c r="AW34" i="10"/>
  <c r="AW39" i="10" s="1"/>
  <c r="AW46" i="10" s="1"/>
  <c r="AW67" i="10" s="1"/>
  <c r="AW74" i="10" s="1"/>
  <c r="AW202" i="10" s="1"/>
  <c r="BT33" i="10"/>
  <c r="BT38" i="10" s="1"/>
  <c r="BT45" i="10" s="1"/>
  <c r="BT66" i="10" s="1"/>
  <c r="BT73" i="10" s="1"/>
  <c r="BT201" i="10" s="1"/>
  <c r="BS17" i="11" s="1"/>
  <c r="BS24" i="11" s="1"/>
  <c r="BS31" i="11" s="1"/>
  <c r="BR57" i="13" s="1"/>
  <c r="AW86" i="8"/>
  <c r="AW93" i="8" s="1"/>
  <c r="AW100" i="8" s="1"/>
  <c r="AW128" i="8" s="1"/>
  <c r="AW135" i="8" s="1"/>
  <c r="AU39" i="13" s="1"/>
  <c r="AO81" i="8"/>
  <c r="AO86" i="8" s="1"/>
  <c r="AO93" i="8" s="1"/>
  <c r="AO100" i="8" s="1"/>
  <c r="AO128" i="8" s="1"/>
  <c r="AO135" i="8" s="1"/>
  <c r="AM39" i="13" s="1"/>
  <c r="M81" i="8"/>
  <c r="M86" i="8" s="1"/>
  <c r="M93" i="8" s="1"/>
  <c r="M100" i="8" s="1"/>
  <c r="M128" i="8" s="1"/>
  <c r="M135" i="8" s="1"/>
  <c r="K39" i="13" s="1"/>
  <c r="P39" i="10"/>
  <c r="P46" i="10" s="1"/>
  <c r="P67" i="10" s="1"/>
  <c r="P74" i="10" s="1"/>
  <c r="P202" i="10" s="1"/>
  <c r="O16" i="12" s="1"/>
  <c r="O23" i="12" s="1"/>
  <c r="N65" i="13" s="1"/>
  <c r="AD81" i="8"/>
  <c r="AD86" i="8" s="1"/>
  <c r="AD93" i="8" s="1"/>
  <c r="AD100" i="8" s="1"/>
  <c r="AD128" i="8" s="1"/>
  <c r="AD135" i="8" s="1"/>
  <c r="AB39" i="13" s="1"/>
  <c r="BI33" i="10"/>
  <c r="BI38" i="10" s="1"/>
  <c r="BI45" i="10" s="1"/>
  <c r="BI66" i="10" s="1"/>
  <c r="BI73" i="10" s="1"/>
  <c r="BI201" i="10" s="1"/>
  <c r="BH17" i="11" s="1"/>
  <c r="BH24" i="11" s="1"/>
  <c r="BH31" i="11" s="1"/>
  <c r="BG57" i="13" s="1"/>
  <c r="AG34" i="10"/>
  <c r="AG39" i="10" s="1"/>
  <c r="AG46" i="10" s="1"/>
  <c r="AG67" i="10" s="1"/>
  <c r="AG74" i="10" s="1"/>
  <c r="AG202" i="10" s="1"/>
  <c r="AF16" i="12" s="1"/>
  <c r="AF23" i="12" s="1"/>
  <c r="AE65" i="13" s="1"/>
  <c r="AR33" i="10"/>
  <c r="AR38" i="10" s="1"/>
  <c r="AR45" i="10" s="1"/>
  <c r="AR66" i="10" s="1"/>
  <c r="AR73" i="10" s="1"/>
  <c r="AR201" i="10" s="1"/>
  <c r="AQ15" i="12" s="1"/>
  <c r="AQ22" i="12" s="1"/>
  <c r="AP64" i="13" s="1"/>
  <c r="AE80" i="8"/>
  <c r="AE85" i="8" s="1"/>
  <c r="AE92" i="8" s="1"/>
  <c r="AE99" i="8" s="1"/>
  <c r="AE127" i="8" s="1"/>
  <c r="AE134" i="8" s="1"/>
  <c r="AC38" i="13" s="1"/>
  <c r="AJ80" i="8"/>
  <c r="AJ85" i="8" s="1"/>
  <c r="AJ92" i="8" s="1"/>
  <c r="AJ99" i="8" s="1"/>
  <c r="AJ127" i="8" s="1"/>
  <c r="AJ134" i="8" s="1"/>
  <c r="AH38" i="13" s="1"/>
  <c r="AJ81" i="8"/>
  <c r="AJ86" i="8" s="1"/>
  <c r="AJ93" i="8" s="1"/>
  <c r="AJ100" i="8" s="1"/>
  <c r="AJ128" i="8" s="1"/>
  <c r="AJ135" i="8" s="1"/>
  <c r="AH39" i="13" s="1"/>
  <c r="CE80" i="8"/>
  <c r="CE85" i="8" s="1"/>
  <c r="CE92" i="8" s="1"/>
  <c r="CE99" i="8" s="1"/>
  <c r="CE127" i="8" s="1"/>
  <c r="CE134" i="8" s="1"/>
  <c r="CC38" i="13" s="1"/>
  <c r="BX85" i="8"/>
  <c r="BX92" i="8" s="1"/>
  <c r="BX99" i="8" s="1"/>
  <c r="BX127" i="8" s="1"/>
  <c r="BX134" i="8" s="1"/>
  <c r="BV38" i="13" s="1"/>
  <c r="L81" i="8"/>
  <c r="L86" i="8" s="1"/>
  <c r="L93" i="8" s="1"/>
  <c r="L100" i="8" s="1"/>
  <c r="L128" i="8" s="1"/>
  <c r="L135" i="8" s="1"/>
  <c r="J39" i="13" s="1"/>
  <c r="AA39" i="10"/>
  <c r="AA46" i="10" s="1"/>
  <c r="AA67" i="10" s="1"/>
  <c r="AA74" i="10" s="1"/>
  <c r="AA202" i="10" s="1"/>
  <c r="Z16" i="12" s="1"/>
  <c r="Z23" i="12" s="1"/>
  <c r="Y65" i="13" s="1"/>
  <c r="AD74" i="13"/>
  <c r="AR74" i="13"/>
  <c r="L34" i="10"/>
  <c r="L39" i="10" s="1"/>
  <c r="L46" i="10" s="1"/>
  <c r="L67" i="10" s="1"/>
  <c r="L74" i="10" s="1"/>
  <c r="L202" i="10" s="1"/>
  <c r="AC73" i="13"/>
  <c r="BD34" i="10"/>
  <c r="BD39" i="10" s="1"/>
  <c r="BD46" i="10" s="1"/>
  <c r="BD67" i="10" s="1"/>
  <c r="BD74" i="10" s="1"/>
  <c r="BD202" i="10" s="1"/>
  <c r="BC18" i="11" s="1"/>
  <c r="BC25" i="11" s="1"/>
  <c r="BC32" i="11" s="1"/>
  <c r="BB58" i="13" s="1"/>
  <c r="AV74" i="13"/>
  <c r="Q73" i="13"/>
  <c r="BQ74" i="13"/>
  <c r="AA74" i="13"/>
  <c r="X73" i="13"/>
  <c r="J74" i="13"/>
  <c r="AC81" i="8"/>
  <c r="AC86" i="8" s="1"/>
  <c r="AC93" i="8" s="1"/>
  <c r="AC100" i="8" s="1"/>
  <c r="AC128" i="8" s="1"/>
  <c r="AC135" i="8" s="1"/>
  <c r="AA39" i="13" s="1"/>
  <c r="AP81" i="8"/>
  <c r="AP86" i="8" s="1"/>
  <c r="AP93" i="8" s="1"/>
  <c r="AP100" i="8" s="1"/>
  <c r="AP128" i="8" s="1"/>
  <c r="AP135" i="8" s="1"/>
  <c r="AN39" i="13" s="1"/>
  <c r="BX81" i="8"/>
  <c r="BX86" i="8" s="1"/>
  <c r="BX93" i="8" s="1"/>
  <c r="BX100" i="8" s="1"/>
  <c r="BX128" i="8" s="1"/>
  <c r="BX135" i="8" s="1"/>
  <c r="BV39" i="13" s="1"/>
  <c r="AC74" i="13"/>
  <c r="BR73" i="13"/>
  <c r="BE74" i="13"/>
  <c r="BX33" i="10"/>
  <c r="BX38" i="10" s="1"/>
  <c r="BX45" i="10" s="1"/>
  <c r="BX66" i="10" s="1"/>
  <c r="BX73" i="10" s="1"/>
  <c r="N81" i="8"/>
  <c r="N86" i="8" s="1"/>
  <c r="N93" i="8" s="1"/>
  <c r="N100" i="8" s="1"/>
  <c r="N128" i="8" s="1"/>
  <c r="N135" i="8" s="1"/>
  <c r="L39" i="13" s="1"/>
  <c r="AI80" i="8"/>
  <c r="AI85" i="8" s="1"/>
  <c r="AI92" i="8" s="1"/>
  <c r="AI99" i="8" s="1"/>
  <c r="AI127" i="8" s="1"/>
  <c r="AI134" i="8" s="1"/>
  <c r="AG38" i="13" s="1"/>
  <c r="AC80" i="8"/>
  <c r="AC85" i="8" s="1"/>
  <c r="AC92" i="8" s="1"/>
  <c r="AC99" i="8" s="1"/>
  <c r="AC127" i="8" s="1"/>
  <c r="AC134" i="8" s="1"/>
  <c r="AA38" i="13" s="1"/>
  <c r="AF86" i="8"/>
  <c r="AF93" i="8" s="1"/>
  <c r="AF100" i="8" s="1"/>
  <c r="AF128" i="8" s="1"/>
  <c r="AF135" i="8" s="1"/>
  <c r="AD39" i="13" s="1"/>
  <c r="O74" i="13"/>
  <c r="AE74" i="13"/>
  <c r="AB73" i="13"/>
  <c r="AX73" i="13"/>
  <c r="AO34" i="10"/>
  <c r="AO39" i="10" s="1"/>
  <c r="AO46" i="10" s="1"/>
  <c r="AO67" i="10" s="1"/>
  <c r="AO74" i="10" s="1"/>
  <c r="AO202" i="10" s="1"/>
  <c r="AN16" i="12" s="1"/>
  <c r="AN23" i="12" s="1"/>
  <c r="AM65" i="13" s="1"/>
  <c r="BG73" i="13"/>
  <c r="X34" i="10"/>
  <c r="X39" i="10" s="1"/>
  <c r="X46" i="10" s="1"/>
  <c r="X67" i="10" s="1"/>
  <c r="X74" i="10" s="1"/>
  <c r="X202" i="10" s="1"/>
  <c r="W16" i="12" s="1"/>
  <c r="W23" i="12" s="1"/>
  <c r="V65" i="13" s="1"/>
  <c r="Z73" i="13"/>
  <c r="N80" i="8"/>
  <c r="N85" i="8" s="1"/>
  <c r="N92" i="8" s="1"/>
  <c r="N99" i="8" s="1"/>
  <c r="N127" i="8" s="1"/>
  <c r="N134" i="8" s="1"/>
  <c r="L38" i="13" s="1"/>
  <c r="AS73" i="13"/>
  <c r="BC34" i="10"/>
  <c r="BC39" i="10" s="1"/>
  <c r="BC46" i="10" s="1"/>
  <c r="BC67" i="10" s="1"/>
  <c r="BC74" i="10" s="1"/>
  <c r="BC202" i="10" s="1"/>
  <c r="BB18" i="11" s="1"/>
  <c r="BB25" i="11" s="1"/>
  <c r="BB32" i="11" s="1"/>
  <c r="BA58" i="13" s="1"/>
  <c r="AT74" i="13"/>
  <c r="AK74" i="13"/>
  <c r="X74" i="13"/>
  <c r="BH33" i="10"/>
  <c r="BH38" i="10" s="1"/>
  <c r="BH45" i="10" s="1"/>
  <c r="BH66" i="10" s="1"/>
  <c r="BH73" i="10" s="1"/>
  <c r="BH201" i="10" s="1"/>
  <c r="BG15" i="12" s="1"/>
  <c r="BG22" i="12" s="1"/>
  <c r="BF64" i="13" s="1"/>
  <c r="BU33" i="10"/>
  <c r="BU38" i="10" s="1"/>
  <c r="BU45" i="10" s="1"/>
  <c r="BU66" i="10" s="1"/>
  <c r="BU73" i="10" s="1"/>
  <c r="BU201" i="10" s="1"/>
  <c r="BT17" i="11" s="1"/>
  <c r="BT24" i="11" s="1"/>
  <c r="BT31" i="11" s="1"/>
  <c r="BS57" i="13" s="1"/>
  <c r="BJ34" i="10"/>
  <c r="BJ39" i="10" s="1"/>
  <c r="BJ46" i="10" s="1"/>
  <c r="BJ67" i="10" s="1"/>
  <c r="BJ74" i="10" s="1"/>
  <c r="BJ202" i="10" s="1"/>
  <c r="BI18" i="11" s="1"/>
  <c r="BI25" i="11" s="1"/>
  <c r="BI32" i="11" s="1"/>
  <c r="BH58" i="13" s="1"/>
  <c r="BO33" i="10"/>
  <c r="BO38" i="10" s="1"/>
  <c r="BO45" i="10" s="1"/>
  <c r="BO66" i="10" s="1"/>
  <c r="BO73" i="10" s="1"/>
  <c r="BO201" i="10" s="1"/>
  <c r="BN17" i="11" s="1"/>
  <c r="BN24" i="11" s="1"/>
  <c r="BN31" i="11" s="1"/>
  <c r="BM57" i="13" s="1"/>
  <c r="BD85" i="8"/>
  <c r="BD92" i="8" s="1"/>
  <c r="BD99" i="8" s="1"/>
  <c r="BD127" i="8" s="1"/>
  <c r="BD134" i="8" s="1"/>
  <c r="BB38" i="13" s="1"/>
  <c r="O33" i="10"/>
  <c r="O38" i="10" s="1"/>
  <c r="O45" i="10" s="1"/>
  <c r="O66" i="10" s="1"/>
  <c r="O73" i="10" s="1"/>
  <c r="O201" i="10" s="1"/>
  <c r="N17" i="11" s="1"/>
  <c r="N24" i="11" s="1"/>
  <c r="N31" i="11" s="1"/>
  <c r="M57" i="13" s="1"/>
  <c r="BM73" i="13"/>
  <c r="CA80" i="8"/>
  <c r="CA85" i="8" s="1"/>
  <c r="CA92" i="8" s="1"/>
  <c r="CA99" i="8" s="1"/>
  <c r="CA127" i="8" s="1"/>
  <c r="CA134" i="8" s="1"/>
  <c r="BY38" i="13" s="1"/>
  <c r="AX33" i="10"/>
  <c r="AX38" i="10" s="1"/>
  <c r="AX45" i="10" s="1"/>
  <c r="AX66" i="10" s="1"/>
  <c r="AX73" i="10" s="1"/>
  <c r="AX201" i="10" s="1"/>
  <c r="AW17" i="11" s="1"/>
  <c r="AW24" i="11" s="1"/>
  <c r="AW31" i="11" s="1"/>
  <c r="AV57" i="13" s="1"/>
  <c r="AY85" i="8"/>
  <c r="AY92" i="8" s="1"/>
  <c r="AY99" i="8" s="1"/>
  <c r="AY127" i="8" s="1"/>
  <c r="AY134" i="8" s="1"/>
  <c r="AW38" i="13" s="1"/>
  <c r="BC74" i="13"/>
  <c r="AY74" i="13"/>
  <c r="O73" i="13"/>
  <c r="BF34" i="10"/>
  <c r="BF39" i="10" s="1"/>
  <c r="BF46" i="10" s="1"/>
  <c r="BF67" i="10" s="1"/>
  <c r="BF74" i="10" s="1"/>
  <c r="BF202" i="10" s="1"/>
  <c r="BE16" i="12" s="1"/>
  <c r="BE23" i="12" s="1"/>
  <c r="BD65" i="13" s="1"/>
  <c r="BF33" i="10"/>
  <c r="BF38" i="10" s="1"/>
  <c r="BF45" i="10" s="1"/>
  <c r="BF66" i="10" s="1"/>
  <c r="BF73" i="10" s="1"/>
  <c r="BF201" i="10" s="1"/>
  <c r="BE17" i="11" s="1"/>
  <c r="BE24" i="11" s="1"/>
  <c r="BE31" i="11" s="1"/>
  <c r="BD57" i="13" s="1"/>
  <c r="CE34" i="10"/>
  <c r="CE39" i="10" s="1"/>
  <c r="CE46" i="10" s="1"/>
  <c r="CE67" i="10" s="1"/>
  <c r="CE74" i="10" s="1"/>
  <c r="AL81" i="8"/>
  <c r="AL86" i="8" s="1"/>
  <c r="AL93" i="8" s="1"/>
  <c r="AL100" i="8" s="1"/>
  <c r="AL128" i="8" s="1"/>
  <c r="AL135" i="8" s="1"/>
  <c r="AJ39" i="13" s="1"/>
  <c r="AS80" i="8"/>
  <c r="AS85" i="8" s="1"/>
  <c r="AS92" i="8" s="1"/>
  <c r="AS99" i="8" s="1"/>
  <c r="AS127" i="8" s="1"/>
  <c r="AS134" i="8" s="1"/>
  <c r="AQ38" i="13" s="1"/>
  <c r="BK74" i="13"/>
  <c r="AT73" i="13"/>
  <c r="AZ73" i="13"/>
  <c r="R73" i="13"/>
  <c r="AJ74" i="13"/>
  <c r="U74" i="13"/>
  <c r="AG73" i="13"/>
  <c r="L73" i="13"/>
  <c r="BJ74" i="13"/>
  <c r="Q74" i="13"/>
  <c r="AH73" i="13"/>
  <c r="BE73" i="13"/>
  <c r="BP73" i="13"/>
  <c r="AI74" i="13"/>
  <c r="AI73" i="13"/>
  <c r="BN73" i="13"/>
  <c r="BD73" i="13"/>
  <c r="BF73" i="13"/>
  <c r="AL73" i="13"/>
  <c r="BS73" i="13"/>
  <c r="BC73" i="13"/>
  <c r="AH74" i="13"/>
  <c r="BQ73" i="13"/>
  <c r="AQ73" i="13"/>
  <c r="BH74" i="13"/>
  <c r="AM73" i="13"/>
  <c r="AA73" i="13"/>
  <c r="AY73" i="13"/>
  <c r="BO74" i="13"/>
  <c r="J73" i="13"/>
  <c r="AU74" i="13"/>
  <c r="AT18" i="11"/>
  <c r="AT25" i="11" s="1"/>
  <c r="AT32" i="11" s="1"/>
  <c r="AS58" i="13" s="1"/>
  <c r="AT16" i="12"/>
  <c r="AT23" i="12" s="1"/>
  <c r="AS65" i="13" s="1"/>
  <c r="BX166" i="8"/>
  <c r="BX173" i="8" s="1"/>
  <c r="BX85" i="10"/>
  <c r="BX92" i="10" s="1"/>
  <c r="BX99" i="10" s="1"/>
  <c r="BX204" i="10" s="1"/>
  <c r="T15" i="12"/>
  <c r="T22" i="12" s="1"/>
  <c r="S64" i="13" s="1"/>
  <c r="T17" i="11"/>
  <c r="T24" i="11" s="1"/>
  <c r="T31" i="11" s="1"/>
  <c r="S57" i="13" s="1"/>
  <c r="AK16" i="12"/>
  <c r="AK23" i="12" s="1"/>
  <c r="AJ65" i="13" s="1"/>
  <c r="AK18" i="11"/>
  <c r="AK25" i="11" s="1"/>
  <c r="AK32" i="11" s="1"/>
  <c r="AJ58" i="13" s="1"/>
  <c r="AB16" i="12"/>
  <c r="AB23" i="12" s="1"/>
  <c r="AA65" i="13" s="1"/>
  <c r="AB18" i="11"/>
  <c r="AB25" i="11" s="1"/>
  <c r="AB32" i="11" s="1"/>
  <c r="AA58" i="13" s="1"/>
  <c r="AA18" i="11"/>
  <c r="AA25" i="11" s="1"/>
  <c r="AA32" i="11" s="1"/>
  <c r="Z58" i="13" s="1"/>
  <c r="AA16" i="12"/>
  <c r="AA23" i="12" s="1"/>
  <c r="Z65" i="13" s="1"/>
  <c r="T18" i="11"/>
  <c r="T25" i="11" s="1"/>
  <c r="T32" i="11" s="1"/>
  <c r="S58" i="13" s="1"/>
  <c r="T16" i="12"/>
  <c r="T23" i="12" s="1"/>
  <c r="S65" i="13" s="1"/>
  <c r="AJ73" i="13"/>
  <c r="BZ81" i="8"/>
  <c r="BZ86" i="8" s="1"/>
  <c r="BZ93" i="8" s="1"/>
  <c r="BZ100" i="8" s="1"/>
  <c r="BZ128" i="8" s="1"/>
  <c r="BZ135" i="8" s="1"/>
  <c r="BX39" i="13" s="1"/>
  <c r="BZ34" i="10"/>
  <c r="BZ39" i="10" s="1"/>
  <c r="BZ46" i="10" s="1"/>
  <c r="BZ67" i="10" s="1"/>
  <c r="BZ74" i="10" s="1"/>
  <c r="BV18" i="12"/>
  <c r="BV25" i="12" s="1"/>
  <c r="BU67" i="13" s="1"/>
  <c r="BV20" i="11"/>
  <c r="BV27" i="11" s="1"/>
  <c r="BV34" i="11" s="1"/>
  <c r="BU60" i="13" s="1"/>
  <c r="AR73" i="13"/>
  <c r="AW18" i="11"/>
  <c r="AW25" i="11" s="1"/>
  <c r="AW32" i="11" s="1"/>
  <c r="AV58" i="13" s="1"/>
  <c r="AW16" i="12"/>
  <c r="AW23" i="12" s="1"/>
  <c r="AV65" i="13" s="1"/>
  <c r="BB73" i="13"/>
  <c r="AW73" i="13"/>
  <c r="CF80" i="8"/>
  <c r="CF85" i="8" s="1"/>
  <c r="CF92" i="8" s="1"/>
  <c r="CF99" i="8" s="1"/>
  <c r="CF127" i="8" s="1"/>
  <c r="CF134" i="8" s="1"/>
  <c r="CD38" i="13" s="1"/>
  <c r="CF33" i="10"/>
  <c r="CF38" i="10" s="1"/>
  <c r="CF45" i="10" s="1"/>
  <c r="CF66" i="10" s="1"/>
  <c r="CF73" i="10" s="1"/>
  <c r="BI74" i="13"/>
  <c r="CA34" i="10"/>
  <c r="CA39" i="10" s="1"/>
  <c r="CA46" i="10" s="1"/>
  <c r="CA67" i="10" s="1"/>
  <c r="CA74" i="10" s="1"/>
  <c r="CA81" i="8"/>
  <c r="CA86" i="8" s="1"/>
  <c r="CA93" i="8" s="1"/>
  <c r="CA100" i="8" s="1"/>
  <c r="CA128" i="8" s="1"/>
  <c r="CA135" i="8" s="1"/>
  <c r="BY39" i="13" s="1"/>
  <c r="W74" i="13"/>
  <c r="AS74" i="13"/>
  <c r="AM74" i="13"/>
  <c r="AF85" i="8"/>
  <c r="AF92" i="8" s="1"/>
  <c r="AF99" i="8" s="1"/>
  <c r="AF127" i="8" s="1"/>
  <c r="AF134" i="8" s="1"/>
  <c r="AD38" i="13" s="1"/>
  <c r="CF86" i="8"/>
  <c r="CF93" i="8" s="1"/>
  <c r="CF100" i="8" s="1"/>
  <c r="CF128" i="8" s="1"/>
  <c r="CF135" i="8" s="1"/>
  <c r="CD39" i="13" s="1"/>
  <c r="AR34" i="10"/>
  <c r="AR39" i="10" s="1"/>
  <c r="AR46" i="10" s="1"/>
  <c r="AR67" i="10" s="1"/>
  <c r="AR74" i="10" s="1"/>
  <c r="AR202" i="10" s="1"/>
  <c r="N74" i="13"/>
  <c r="CD80" i="8"/>
  <c r="CD85" i="8" s="1"/>
  <c r="CD92" i="8" s="1"/>
  <c r="CD99" i="8" s="1"/>
  <c r="CD127" i="8" s="1"/>
  <c r="CD134" i="8" s="1"/>
  <c r="CB38" i="13" s="1"/>
  <c r="CD33" i="10"/>
  <c r="CD38" i="10" s="1"/>
  <c r="CD45" i="10" s="1"/>
  <c r="CD66" i="10" s="1"/>
  <c r="CD73" i="10" s="1"/>
  <c r="BK73" i="13"/>
  <c r="N34" i="10"/>
  <c r="N39" i="10" s="1"/>
  <c r="N46" i="10" s="1"/>
  <c r="N67" i="10" s="1"/>
  <c r="N74" i="10" s="1"/>
  <c r="N202" i="10" s="1"/>
  <c r="AI33" i="10"/>
  <c r="AI38" i="10" s="1"/>
  <c r="AI45" i="10" s="1"/>
  <c r="AI66" i="10" s="1"/>
  <c r="AI73" i="10" s="1"/>
  <c r="AI201" i="10" s="1"/>
  <c r="AZ34" i="10"/>
  <c r="AZ39" i="10" s="1"/>
  <c r="AZ46" i="10" s="1"/>
  <c r="AZ67" i="10" s="1"/>
  <c r="AZ74" i="10" s="1"/>
  <c r="AZ202" i="10" s="1"/>
  <c r="Y73" i="13"/>
  <c r="AR86" i="8"/>
  <c r="AR93" i="8" s="1"/>
  <c r="AR100" i="8" s="1"/>
  <c r="AR128" i="8" s="1"/>
  <c r="AR135" i="8" s="1"/>
  <c r="AP39" i="13" s="1"/>
  <c r="AZ74" i="13"/>
  <c r="AN73" i="13"/>
  <c r="AB80" i="8"/>
  <c r="AB85" i="8" s="1"/>
  <c r="AB92" i="8" s="1"/>
  <c r="AB99" i="8" s="1"/>
  <c r="AB127" i="8" s="1"/>
  <c r="AB134" i="8" s="1"/>
  <c r="Z38" i="13" s="1"/>
  <c r="AB33" i="10"/>
  <c r="AB38" i="10" s="1"/>
  <c r="AB45" i="10" s="1"/>
  <c r="AB66" i="10" s="1"/>
  <c r="AB73" i="10" s="1"/>
  <c r="AB201" i="10" s="1"/>
  <c r="J15" i="12"/>
  <c r="J22" i="12" s="1"/>
  <c r="I64" i="13" s="1"/>
  <c r="J17" i="11"/>
  <c r="J24" i="11" s="1"/>
  <c r="J31" i="11" s="1"/>
  <c r="I57" i="13" s="1"/>
  <c r="CC81" i="8"/>
  <c r="CC86" i="8" s="1"/>
  <c r="CC93" i="8" s="1"/>
  <c r="CC100" i="8" s="1"/>
  <c r="CC128" i="8" s="1"/>
  <c r="CC135" i="8" s="1"/>
  <c r="CA39" i="13" s="1"/>
  <c r="CC34" i="10"/>
  <c r="CC39" i="10" s="1"/>
  <c r="CC46" i="10" s="1"/>
  <c r="CC67" i="10" s="1"/>
  <c r="CC74" i="10" s="1"/>
  <c r="Z81" i="8"/>
  <c r="Z86" i="8" s="1"/>
  <c r="Z93" i="8" s="1"/>
  <c r="Z100" i="8" s="1"/>
  <c r="Z128" i="8" s="1"/>
  <c r="Z135" i="8" s="1"/>
  <c r="X39" i="13" s="1"/>
  <c r="Z34" i="10"/>
  <c r="Z39" i="10" s="1"/>
  <c r="Z46" i="10" s="1"/>
  <c r="Z67" i="10" s="1"/>
  <c r="Z74" i="10" s="1"/>
  <c r="Z202" i="10" s="1"/>
  <c r="AG81" i="8"/>
  <c r="AG86" i="8" s="1"/>
  <c r="AG93" i="8" s="1"/>
  <c r="AG100" i="8" s="1"/>
  <c r="AG128" i="8" s="1"/>
  <c r="AG135" i="8" s="1"/>
  <c r="AE39" i="13" s="1"/>
  <c r="BA73" i="13"/>
  <c r="AR80" i="8"/>
  <c r="AR85" i="8" s="1"/>
  <c r="AR92" i="8" s="1"/>
  <c r="AR99" i="8" s="1"/>
  <c r="AR127" i="8" s="1"/>
  <c r="AR134" i="8" s="1"/>
  <c r="AP38" i="13" s="1"/>
  <c r="AU73" i="13"/>
  <c r="U81" i="8"/>
  <c r="U86" i="8" s="1"/>
  <c r="U93" i="8" s="1"/>
  <c r="U100" i="8" s="1"/>
  <c r="U128" i="8" s="1"/>
  <c r="U135" i="8" s="1"/>
  <c r="S39" i="13" s="1"/>
  <c r="AG74" i="13"/>
  <c r="L80" i="8"/>
  <c r="L85" i="8" s="1"/>
  <c r="L92" i="8" s="1"/>
  <c r="L99" i="8" s="1"/>
  <c r="L127" i="8" s="1"/>
  <c r="L134" i="8" s="1"/>
  <c r="J38" i="13" s="1"/>
  <c r="L33" i="10"/>
  <c r="L38" i="10" s="1"/>
  <c r="L45" i="10" s="1"/>
  <c r="L66" i="10" s="1"/>
  <c r="L73" i="10" s="1"/>
  <c r="L201" i="10" s="1"/>
  <c r="AT80" i="8"/>
  <c r="AT85" i="8" s="1"/>
  <c r="AT92" i="8" s="1"/>
  <c r="AT99" i="8" s="1"/>
  <c r="AT127" i="8" s="1"/>
  <c r="AT134" i="8" s="1"/>
  <c r="AR38" i="13" s="1"/>
  <c r="AT33" i="10"/>
  <c r="AT38" i="10" s="1"/>
  <c r="AT45" i="10" s="1"/>
  <c r="AT66" i="10" s="1"/>
  <c r="AT73" i="10" s="1"/>
  <c r="AT201" i="10" s="1"/>
  <c r="BK33" i="10"/>
  <c r="BK38" i="10" s="1"/>
  <c r="BK45" i="10" s="1"/>
  <c r="BK66" i="10" s="1"/>
  <c r="BK73" i="10" s="1"/>
  <c r="BK201" i="10" s="1"/>
  <c r="BK80" i="8"/>
  <c r="BK85" i="8" s="1"/>
  <c r="BK92" i="8" s="1"/>
  <c r="BK99" i="8" s="1"/>
  <c r="BK127" i="8" s="1"/>
  <c r="BK134" i="8" s="1"/>
  <c r="BI38" i="13" s="1"/>
  <c r="BU46" i="13"/>
  <c r="BW179" i="8"/>
  <c r="BW180" i="8"/>
  <c r="BU47" i="13"/>
  <c r="AP33" i="10"/>
  <c r="AP38" i="10" s="1"/>
  <c r="AP45" i="10" s="1"/>
  <c r="AP66" i="10" s="1"/>
  <c r="AP73" i="10" s="1"/>
  <c r="AP201" i="10" s="1"/>
  <c r="AP80" i="8"/>
  <c r="AP85" i="8" s="1"/>
  <c r="AP92" i="8" s="1"/>
  <c r="AP99" i="8" s="1"/>
  <c r="AP127" i="8" s="1"/>
  <c r="AP134" i="8" s="1"/>
  <c r="AN38" i="13" s="1"/>
  <c r="S73" i="13"/>
  <c r="CB34" i="10"/>
  <c r="CB39" i="10" s="1"/>
  <c r="CB46" i="10" s="1"/>
  <c r="CB67" i="10" s="1"/>
  <c r="CB74" i="10" s="1"/>
  <c r="CB81" i="8"/>
  <c r="CB86" i="8" s="1"/>
  <c r="CB93" i="8" s="1"/>
  <c r="CB100" i="8" s="1"/>
  <c r="CB128" i="8" s="1"/>
  <c r="CB135" i="8" s="1"/>
  <c r="BZ39" i="13" s="1"/>
  <c r="BH81" i="8"/>
  <c r="BH86" i="8" s="1"/>
  <c r="BH93" i="8" s="1"/>
  <c r="BH100" i="8" s="1"/>
  <c r="BH128" i="8" s="1"/>
  <c r="BH135" i="8" s="1"/>
  <c r="BF39" i="13" s="1"/>
  <c r="BH34" i="10"/>
  <c r="BH39" i="10" s="1"/>
  <c r="BH46" i="10" s="1"/>
  <c r="BH67" i="10" s="1"/>
  <c r="BH74" i="10" s="1"/>
  <c r="BH202" i="10" s="1"/>
  <c r="BV33" i="10"/>
  <c r="BV38" i="10" s="1"/>
  <c r="BV45" i="10" s="1"/>
  <c r="BV66" i="10" s="1"/>
  <c r="BV73" i="10" s="1"/>
  <c r="BV201" i="10" s="1"/>
  <c r="BV80" i="8"/>
  <c r="BV85" i="8" s="1"/>
  <c r="BV92" i="8" s="1"/>
  <c r="BV99" i="8" s="1"/>
  <c r="BV127" i="8" s="1"/>
  <c r="BV134" i="8" s="1"/>
  <c r="BT38" i="13" s="1"/>
  <c r="N73" i="13"/>
  <c r="AD16" i="12"/>
  <c r="AD23" i="12" s="1"/>
  <c r="AC65" i="13" s="1"/>
  <c r="AD18" i="11"/>
  <c r="AD25" i="11" s="1"/>
  <c r="AD32" i="11" s="1"/>
  <c r="AC58" i="13" s="1"/>
  <c r="BW178" i="8"/>
  <c r="BU45" i="13"/>
  <c r="BU19" i="11"/>
  <c r="BU26" i="11" s="1"/>
  <c r="BU33" i="11" s="1"/>
  <c r="BT59" i="13" s="1"/>
  <c r="BU17" i="12"/>
  <c r="BU24" i="12" s="1"/>
  <c r="BT66" i="13" s="1"/>
  <c r="BL81" i="8"/>
  <c r="BL86" i="8" s="1"/>
  <c r="BL93" i="8" s="1"/>
  <c r="BL100" i="8" s="1"/>
  <c r="BL128" i="8" s="1"/>
  <c r="BL135" i="8" s="1"/>
  <c r="BJ39" i="13" s="1"/>
  <c r="BL34" i="10"/>
  <c r="BL39" i="10" s="1"/>
  <c r="BL46" i="10" s="1"/>
  <c r="BL67" i="10" s="1"/>
  <c r="BL74" i="10" s="1"/>
  <c r="BL202" i="10" s="1"/>
  <c r="AG33" i="10"/>
  <c r="AG38" i="10" s="1"/>
  <c r="AG45" i="10" s="1"/>
  <c r="AG66" i="10" s="1"/>
  <c r="AG73" i="10" s="1"/>
  <c r="AG201" i="10" s="1"/>
  <c r="AG80" i="8"/>
  <c r="AG85" i="8" s="1"/>
  <c r="AG92" i="8" s="1"/>
  <c r="AG99" i="8" s="1"/>
  <c r="AG127" i="8" s="1"/>
  <c r="AG134" i="8" s="1"/>
  <c r="AE38" i="13" s="1"/>
  <c r="AK80" i="8"/>
  <c r="AK85" i="8" s="1"/>
  <c r="AK92" i="8" s="1"/>
  <c r="AK99" i="8" s="1"/>
  <c r="AK127" i="8" s="1"/>
  <c r="AK134" i="8" s="1"/>
  <c r="AI38" i="13" s="1"/>
  <c r="AA81" i="8"/>
  <c r="AA86" i="8" s="1"/>
  <c r="AA93" i="8" s="1"/>
  <c r="AA100" i="8" s="1"/>
  <c r="AA128" i="8" s="1"/>
  <c r="AA135" i="8" s="1"/>
  <c r="Y39" i="13" s="1"/>
  <c r="BU80" i="8"/>
  <c r="BU85" i="8" s="1"/>
  <c r="BU92" i="8" s="1"/>
  <c r="BU99" i="8" s="1"/>
  <c r="BU127" i="8" s="1"/>
  <c r="BU134" i="8" s="1"/>
  <c r="BS38" i="13" s="1"/>
  <c r="T80" i="8"/>
  <c r="T85" i="8" s="1"/>
  <c r="T92" i="8" s="1"/>
  <c r="T99" i="8" s="1"/>
  <c r="T127" i="8" s="1"/>
  <c r="T134" i="8" s="1"/>
  <c r="R38" i="13" s="1"/>
  <c r="T33" i="10"/>
  <c r="T38" i="10" s="1"/>
  <c r="T45" i="10" s="1"/>
  <c r="T66" i="10" s="1"/>
  <c r="T73" i="10" s="1"/>
  <c r="T201" i="10" s="1"/>
  <c r="BM33" i="10"/>
  <c r="BM38" i="10" s="1"/>
  <c r="BM45" i="10" s="1"/>
  <c r="BM66" i="10" s="1"/>
  <c r="BM73" i="10" s="1"/>
  <c r="BM201" i="10" s="1"/>
  <c r="BM80" i="8"/>
  <c r="BM85" i="8" s="1"/>
  <c r="BM92" i="8" s="1"/>
  <c r="BM99" i="8" s="1"/>
  <c r="BM127" i="8" s="1"/>
  <c r="BM134" i="8" s="1"/>
  <c r="BK38" i="13" s="1"/>
  <c r="BV17" i="12"/>
  <c r="BV24" i="12" s="1"/>
  <c r="BU66" i="13" s="1"/>
  <c r="BV19" i="11"/>
  <c r="BV26" i="11" s="1"/>
  <c r="BV33" i="11" s="1"/>
  <c r="BU59" i="13" s="1"/>
  <c r="AO73" i="13"/>
  <c r="BJ73" i="13"/>
  <c r="BT81" i="8"/>
  <c r="BT86" i="8" s="1"/>
  <c r="BT93" i="8" s="1"/>
  <c r="BT100" i="8" s="1"/>
  <c r="BT128" i="8" s="1"/>
  <c r="BT135" i="8" s="1"/>
  <c r="BR39" i="13" s="1"/>
  <c r="BT34" i="10"/>
  <c r="BT39" i="10" s="1"/>
  <c r="BT46" i="10" s="1"/>
  <c r="BT67" i="10" s="1"/>
  <c r="BT74" i="10" s="1"/>
  <c r="BT202" i="10" s="1"/>
  <c r="BE81" i="8"/>
  <c r="BE86" i="8" s="1"/>
  <c r="BE93" i="8" s="1"/>
  <c r="BE100" i="8" s="1"/>
  <c r="BE128" i="8" s="1"/>
  <c r="BE135" i="8" s="1"/>
  <c r="BC39" i="13" s="1"/>
  <c r="BE34" i="10"/>
  <c r="BE39" i="10" s="1"/>
  <c r="BE46" i="10" s="1"/>
  <c r="BE67" i="10" s="1"/>
  <c r="BE74" i="10" s="1"/>
  <c r="BE202" i="10" s="1"/>
  <c r="BA81" i="8"/>
  <c r="BA86" i="8" s="1"/>
  <c r="BA93" i="8" s="1"/>
  <c r="BA100" i="8" s="1"/>
  <c r="BA128" i="8" s="1"/>
  <c r="BA135" i="8" s="1"/>
  <c r="AY39" i="13" s="1"/>
  <c r="BA34" i="10"/>
  <c r="BA39" i="10" s="1"/>
  <c r="BA46" i="10" s="1"/>
  <c r="BA67" i="10" s="1"/>
  <c r="BA74" i="10" s="1"/>
  <c r="BA202" i="10" s="1"/>
  <c r="X86" i="8"/>
  <c r="X93" i="8" s="1"/>
  <c r="X100" i="8" s="1"/>
  <c r="X128" i="8" s="1"/>
  <c r="X135" i="8" s="1"/>
  <c r="V39" i="13" s="1"/>
  <c r="AJ34" i="10"/>
  <c r="AJ39" i="10" s="1"/>
  <c r="AJ46" i="10" s="1"/>
  <c r="AJ67" i="10" s="1"/>
  <c r="AJ74" i="10" s="1"/>
  <c r="AJ202" i="10" s="1"/>
  <c r="BU18" i="12"/>
  <c r="BU25" i="12" s="1"/>
  <c r="BT67" i="13" s="1"/>
  <c r="BU20" i="11"/>
  <c r="BU27" i="11" s="1"/>
  <c r="BU34" i="11" s="1"/>
  <c r="BT60" i="13" s="1"/>
  <c r="BN34" i="10"/>
  <c r="BN39" i="10" s="1"/>
  <c r="BN46" i="10" s="1"/>
  <c r="BN67" i="10" s="1"/>
  <c r="BN74" i="10" s="1"/>
  <c r="BN202" i="10" s="1"/>
  <c r="BN81" i="8"/>
  <c r="BN86" i="8" s="1"/>
  <c r="BN93" i="8" s="1"/>
  <c r="BN100" i="8" s="1"/>
  <c r="BN128" i="8" s="1"/>
  <c r="BN135" i="8" s="1"/>
  <c r="BL39" i="13" s="1"/>
  <c r="T81" i="8"/>
  <c r="T86" i="8" s="1"/>
  <c r="T93" i="8" s="1"/>
  <c r="T100" i="8" s="1"/>
  <c r="T128" i="8" s="1"/>
  <c r="T135" i="8" s="1"/>
  <c r="R39" i="13" s="1"/>
  <c r="T34" i="10"/>
  <c r="T39" i="10" s="1"/>
  <c r="T46" i="10" s="1"/>
  <c r="T67" i="10" s="1"/>
  <c r="T74" i="10" s="1"/>
  <c r="T202" i="10" s="1"/>
  <c r="W73" i="13"/>
  <c r="AD80" i="8"/>
  <c r="AD85" i="8" s="1"/>
  <c r="AD92" i="8" s="1"/>
  <c r="AD99" i="8" s="1"/>
  <c r="AD127" i="8" s="1"/>
  <c r="AD134" i="8" s="1"/>
  <c r="AB38" i="13" s="1"/>
  <c r="AD33" i="10"/>
  <c r="AD38" i="10" s="1"/>
  <c r="AD45" i="10" s="1"/>
  <c r="AD66" i="10" s="1"/>
  <c r="AD73" i="10" s="1"/>
  <c r="AD201" i="10" s="1"/>
  <c r="U80" i="8"/>
  <c r="U85" i="8" s="1"/>
  <c r="U92" i="8" s="1"/>
  <c r="U99" i="8" s="1"/>
  <c r="U127" i="8" s="1"/>
  <c r="U134" i="8" s="1"/>
  <c r="S38" i="13" s="1"/>
  <c r="AK81" i="8"/>
  <c r="AK86" i="8" s="1"/>
  <c r="AK93" i="8" s="1"/>
  <c r="AK100" i="8" s="1"/>
  <c r="AK128" i="8" s="1"/>
  <c r="AK135" i="8" s="1"/>
  <c r="AI39" i="13" s="1"/>
  <c r="AK34" i="10"/>
  <c r="AK39" i="10" s="1"/>
  <c r="AK46" i="10" s="1"/>
  <c r="AK67" i="10" s="1"/>
  <c r="AK74" i="10" s="1"/>
  <c r="AK202" i="10" s="1"/>
  <c r="BK81" i="8"/>
  <c r="BK86" i="8" s="1"/>
  <c r="BK93" i="8" s="1"/>
  <c r="BK100" i="8" s="1"/>
  <c r="BK128" i="8" s="1"/>
  <c r="BK135" i="8" s="1"/>
  <c r="BI39" i="13" s="1"/>
  <c r="BK34" i="10"/>
  <c r="BK39" i="10" s="1"/>
  <c r="BK46" i="10" s="1"/>
  <c r="BK67" i="10" s="1"/>
  <c r="BK74" i="10" s="1"/>
  <c r="BK202" i="10" s="1"/>
  <c r="AK73" i="13"/>
  <c r="BD74" i="13"/>
  <c r="V33" i="10"/>
  <c r="V38" i="10" s="1"/>
  <c r="V45" i="10" s="1"/>
  <c r="V66" i="10" s="1"/>
  <c r="V73" i="10" s="1"/>
  <c r="V201" i="10" s="1"/>
  <c r="V80" i="8"/>
  <c r="V85" i="8" s="1"/>
  <c r="V92" i="8" s="1"/>
  <c r="V99" i="8" s="1"/>
  <c r="V127" i="8" s="1"/>
  <c r="V134" i="8" s="1"/>
  <c r="T38" i="13" s="1"/>
  <c r="BU34" i="10"/>
  <c r="BU39" i="10" s="1"/>
  <c r="BU46" i="10" s="1"/>
  <c r="BU67" i="10" s="1"/>
  <c r="BU74" i="10" s="1"/>
  <c r="BU202" i="10" s="1"/>
  <c r="BU81" i="8"/>
  <c r="BU86" i="8" s="1"/>
  <c r="BU93" i="8" s="1"/>
  <c r="BU100" i="8" s="1"/>
  <c r="BU128" i="8" s="1"/>
  <c r="BU135" i="8" s="1"/>
  <c r="BS39" i="13" s="1"/>
  <c r="AL74" i="13"/>
  <c r="BA74" i="13"/>
  <c r="H73" i="13"/>
  <c r="AM33" i="10"/>
  <c r="AM38" i="10" s="1"/>
  <c r="AM45" i="10" s="1"/>
  <c r="AM66" i="10" s="1"/>
  <c r="AM73" i="10" s="1"/>
  <c r="AM201" i="10" s="1"/>
  <c r="AM80" i="8"/>
  <c r="AM85" i="8" s="1"/>
  <c r="AM92" i="8" s="1"/>
  <c r="AM99" i="8" s="1"/>
  <c r="AM127" i="8" s="1"/>
  <c r="AM134" i="8" s="1"/>
  <c r="AK38" i="13" s="1"/>
  <c r="BQ34" i="10"/>
  <c r="BQ39" i="10" s="1"/>
  <c r="BQ46" i="10" s="1"/>
  <c r="BQ67" i="10" s="1"/>
  <c r="BQ74" i="10" s="1"/>
  <c r="BQ202" i="10" s="1"/>
  <c r="BQ81" i="8"/>
  <c r="BQ86" i="8" s="1"/>
  <c r="BQ93" i="8" s="1"/>
  <c r="BQ100" i="8" s="1"/>
  <c r="BQ128" i="8" s="1"/>
  <c r="BQ135" i="8" s="1"/>
  <c r="BO39" i="13" s="1"/>
  <c r="AS33" i="10"/>
  <c r="AS38" i="10" s="1"/>
  <c r="AS45" i="10" s="1"/>
  <c r="AS66" i="10" s="1"/>
  <c r="AS73" i="10" s="1"/>
  <c r="AS201" i="10" s="1"/>
  <c r="BO80" i="8"/>
  <c r="BO85" i="8" s="1"/>
  <c r="BO92" i="8" s="1"/>
  <c r="BO99" i="8" s="1"/>
  <c r="BO127" i="8" s="1"/>
  <c r="BO134" i="8" s="1"/>
  <c r="BM38" i="13" s="1"/>
  <c r="BB74" i="13"/>
  <c r="BN74" i="13"/>
  <c r="AQ34" i="10"/>
  <c r="AQ39" i="10" s="1"/>
  <c r="AQ46" i="10" s="1"/>
  <c r="AQ67" i="10" s="1"/>
  <c r="AQ74" i="10" s="1"/>
  <c r="AQ202" i="10" s="1"/>
  <c r="AQ81" i="8"/>
  <c r="AQ86" i="8" s="1"/>
  <c r="AQ93" i="8" s="1"/>
  <c r="AQ100" i="8" s="1"/>
  <c r="AQ128" i="8" s="1"/>
  <c r="AQ135" i="8" s="1"/>
  <c r="AO39" i="13" s="1"/>
  <c r="P74" i="13"/>
  <c r="BP80" i="8"/>
  <c r="BP85" i="8" s="1"/>
  <c r="BP92" i="8" s="1"/>
  <c r="BP99" i="8" s="1"/>
  <c r="BP127" i="8" s="1"/>
  <c r="BP134" i="8" s="1"/>
  <c r="BN38" i="13" s="1"/>
  <c r="BO34" i="10"/>
  <c r="BO39" i="10" s="1"/>
  <c r="BO46" i="10" s="1"/>
  <c r="BO67" i="10" s="1"/>
  <c r="BO74" i="10" s="1"/>
  <c r="BO202" i="10" s="1"/>
  <c r="BO81" i="8"/>
  <c r="BO86" i="8" s="1"/>
  <c r="BO93" i="8" s="1"/>
  <c r="BO100" i="8" s="1"/>
  <c r="BO128" i="8" s="1"/>
  <c r="BO135" i="8" s="1"/>
  <c r="BM39" i="13" s="1"/>
  <c r="Z33" i="10"/>
  <c r="Z38" i="10" s="1"/>
  <c r="Z45" i="10" s="1"/>
  <c r="Z66" i="10" s="1"/>
  <c r="Z73" i="10" s="1"/>
  <c r="Z201" i="10" s="1"/>
  <c r="AO33" i="10"/>
  <c r="AO38" i="10" s="1"/>
  <c r="AO45" i="10" s="1"/>
  <c r="AO66" i="10" s="1"/>
  <c r="AO73" i="10" s="1"/>
  <c r="AO201" i="10" s="1"/>
  <c r="AO80" i="8"/>
  <c r="AO85" i="8" s="1"/>
  <c r="AO92" i="8" s="1"/>
  <c r="AO99" i="8" s="1"/>
  <c r="AO127" i="8" s="1"/>
  <c r="AO134" i="8" s="1"/>
  <c r="AM38" i="13" s="1"/>
  <c r="AB81" i="8"/>
  <c r="AB86" i="8" s="1"/>
  <c r="AB93" i="8" s="1"/>
  <c r="AB100" i="8" s="1"/>
  <c r="AB128" i="8" s="1"/>
  <c r="AB135" i="8" s="1"/>
  <c r="Z39" i="13" s="1"/>
  <c r="CD81" i="8"/>
  <c r="CD86" i="8" s="1"/>
  <c r="CD93" i="8" s="1"/>
  <c r="CD100" i="8" s="1"/>
  <c r="CD128" i="8" s="1"/>
  <c r="CD135" i="8" s="1"/>
  <c r="CB39" i="13" s="1"/>
  <c r="BI80" i="8"/>
  <c r="BI85" i="8" s="1"/>
  <c r="BI92" i="8" s="1"/>
  <c r="BI99" i="8" s="1"/>
  <c r="BI127" i="8" s="1"/>
  <c r="BI134" i="8" s="1"/>
  <c r="BG38" i="13" s="1"/>
  <c r="BR85" i="8"/>
  <c r="BR92" i="8" s="1"/>
  <c r="BR99" i="8" s="1"/>
  <c r="BR127" i="8" s="1"/>
  <c r="BR134" i="8" s="1"/>
  <c r="BP38" i="13" s="1"/>
  <c r="AS34" i="10"/>
  <c r="AS39" i="10" s="1"/>
  <c r="AS46" i="10" s="1"/>
  <c r="AS67" i="10" s="1"/>
  <c r="AS74" i="10" s="1"/>
  <c r="AS202" i="10" s="1"/>
  <c r="AM34" i="10"/>
  <c r="AM39" i="10" s="1"/>
  <c r="AM46" i="10" s="1"/>
  <c r="AM67" i="10" s="1"/>
  <c r="AM74" i="10" s="1"/>
  <c r="AM202" i="10" s="1"/>
  <c r="AM81" i="8"/>
  <c r="AM86" i="8" s="1"/>
  <c r="AM93" i="8" s="1"/>
  <c r="AM100" i="8" s="1"/>
  <c r="AM128" i="8" s="1"/>
  <c r="AM135" i="8" s="1"/>
  <c r="AK39" i="13" s="1"/>
  <c r="CF34" i="10"/>
  <c r="CF39" i="10" s="1"/>
  <c r="CF46" i="10" s="1"/>
  <c r="CF67" i="10" s="1"/>
  <c r="CF74" i="10" s="1"/>
  <c r="BY81" i="8"/>
  <c r="BY86" i="8" s="1"/>
  <c r="BY93" i="8" s="1"/>
  <c r="BY100" i="8" s="1"/>
  <c r="BY128" i="8" s="1"/>
  <c r="BY135" i="8" s="1"/>
  <c r="BW39" i="13" s="1"/>
  <c r="R34" i="10"/>
  <c r="R39" i="10" s="1"/>
  <c r="R46" i="10" s="1"/>
  <c r="R67" i="10" s="1"/>
  <c r="R74" i="10" s="1"/>
  <c r="R202" i="10" s="1"/>
  <c r="R81" i="8"/>
  <c r="R86" i="8" s="1"/>
  <c r="R93" i="8" s="1"/>
  <c r="R100" i="8" s="1"/>
  <c r="R128" i="8" s="1"/>
  <c r="R135" i="8" s="1"/>
  <c r="P39" i="13" s="1"/>
  <c r="BE33" i="10"/>
  <c r="BE38" i="10" s="1"/>
  <c r="BE45" i="10" s="1"/>
  <c r="BE66" i="10" s="1"/>
  <c r="BE73" i="10" s="1"/>
  <c r="BE201" i="10" s="1"/>
  <c r="V74" i="13"/>
  <c r="BX82" i="10"/>
  <c r="BX89" i="10" s="1"/>
  <c r="BX96" i="10" s="1"/>
  <c r="BX163" i="8"/>
  <c r="BX170" i="8" s="1"/>
  <c r="AV80" i="8"/>
  <c r="AV85" i="8" s="1"/>
  <c r="AV92" i="8" s="1"/>
  <c r="AV99" i="8" s="1"/>
  <c r="AV127" i="8" s="1"/>
  <c r="AV134" i="8" s="1"/>
  <c r="AT38" i="13" s="1"/>
  <c r="AV33" i="10"/>
  <c r="AV38" i="10" s="1"/>
  <c r="AV45" i="10" s="1"/>
  <c r="AV66" i="10" s="1"/>
  <c r="AV73" i="10" s="1"/>
  <c r="AV201" i="10" s="1"/>
  <c r="L74" i="13"/>
  <c r="T73" i="13"/>
  <c r="BD38" i="10"/>
  <c r="BD45" i="10" s="1"/>
  <c r="BD66" i="10" s="1"/>
  <c r="BD73" i="10" s="1"/>
  <c r="BD201" i="10" s="1"/>
  <c r="BG81" i="8"/>
  <c r="BG86" i="8" s="1"/>
  <c r="BG93" i="8" s="1"/>
  <c r="BG100" i="8" s="1"/>
  <c r="BG128" i="8" s="1"/>
  <c r="BG135" i="8" s="1"/>
  <c r="BE39" i="13" s="1"/>
  <c r="BG34" i="10"/>
  <c r="BG39" i="10" s="1"/>
  <c r="BG46" i="10" s="1"/>
  <c r="BG67" i="10" s="1"/>
  <c r="BG74" i="10" s="1"/>
  <c r="BG202" i="10" s="1"/>
  <c r="BQ33" i="10"/>
  <c r="BQ38" i="10" s="1"/>
  <c r="BQ45" i="10" s="1"/>
  <c r="BQ66" i="10" s="1"/>
  <c r="BQ73" i="10" s="1"/>
  <c r="BQ201" i="10" s="1"/>
  <c r="BQ80" i="8"/>
  <c r="BQ85" i="8" s="1"/>
  <c r="BQ92" i="8" s="1"/>
  <c r="BQ99" i="8" s="1"/>
  <c r="BQ127" i="8" s="1"/>
  <c r="BQ134" i="8" s="1"/>
  <c r="BO38" i="13" s="1"/>
  <c r="Y34" i="10"/>
  <c r="Y39" i="10" s="1"/>
  <c r="Y46" i="10" s="1"/>
  <c r="Y67" i="10" s="1"/>
  <c r="Y74" i="10" s="1"/>
  <c r="Y202" i="10" s="1"/>
  <c r="Y81" i="8"/>
  <c r="Y86" i="8" s="1"/>
  <c r="Y93" i="8" s="1"/>
  <c r="Y100" i="8" s="1"/>
  <c r="Y128" i="8" s="1"/>
  <c r="Y135" i="8" s="1"/>
  <c r="W39" i="13" s="1"/>
  <c r="L16" i="12"/>
  <c r="L23" i="12" s="1"/>
  <c r="K65" i="13" s="1"/>
  <c r="L18" i="11"/>
  <c r="L25" i="11" s="1"/>
  <c r="L32" i="11" s="1"/>
  <c r="K58" i="13" s="1"/>
  <c r="N16" i="12"/>
  <c r="N23" i="12" s="1"/>
  <c r="M65" i="13" s="1"/>
  <c r="N18" i="11"/>
  <c r="N25" i="11" s="1"/>
  <c r="N32" i="11" s="1"/>
  <c r="M58" i="13" s="1"/>
  <c r="AW74" i="13"/>
  <c r="AU33" i="10"/>
  <c r="AU38" i="10" s="1"/>
  <c r="AU45" i="10" s="1"/>
  <c r="AU66" i="10" s="1"/>
  <c r="AU73" i="10" s="1"/>
  <c r="AU201" i="10" s="1"/>
  <c r="AU80" i="8"/>
  <c r="AU85" i="8" s="1"/>
  <c r="AU92" i="8" s="1"/>
  <c r="AU99" i="8" s="1"/>
  <c r="AU127" i="8" s="1"/>
  <c r="AU134" i="8" s="1"/>
  <c r="AS38" i="13" s="1"/>
  <c r="M74" i="13"/>
  <c r="BD81" i="8"/>
  <c r="BD86" i="8" s="1"/>
  <c r="BD93" i="8" s="1"/>
  <c r="BD100" i="8" s="1"/>
  <c r="BD128" i="8" s="1"/>
  <c r="BD135" i="8" s="1"/>
  <c r="BB39" i="13" s="1"/>
  <c r="BP81" i="8"/>
  <c r="BP86" i="8" s="1"/>
  <c r="BP93" i="8" s="1"/>
  <c r="BP100" i="8" s="1"/>
  <c r="BP128" i="8" s="1"/>
  <c r="BP135" i="8" s="1"/>
  <c r="BN39" i="13" s="1"/>
  <c r="BP34" i="10"/>
  <c r="BP39" i="10" s="1"/>
  <c r="BP46" i="10" s="1"/>
  <c r="BP67" i="10" s="1"/>
  <c r="BP74" i="10" s="1"/>
  <c r="BP202" i="10" s="1"/>
  <c r="BZ80" i="8"/>
  <c r="BZ85" i="8" s="1"/>
  <c r="BZ92" i="8" s="1"/>
  <c r="BZ99" i="8" s="1"/>
  <c r="BZ127" i="8" s="1"/>
  <c r="BZ134" i="8" s="1"/>
  <c r="BX38" i="13" s="1"/>
  <c r="BO73" i="13"/>
  <c r="P73" i="13"/>
  <c r="BX84" i="10"/>
  <c r="BX91" i="10" s="1"/>
  <c r="BX98" i="10" s="1"/>
  <c r="BX203" i="10" s="1"/>
  <c r="BX165" i="8"/>
  <c r="BX172" i="8" s="1"/>
  <c r="N33" i="10"/>
  <c r="N38" i="10" s="1"/>
  <c r="N45" i="10" s="1"/>
  <c r="N66" i="10" s="1"/>
  <c r="N73" i="10" s="1"/>
  <c r="N201" i="10" s="1"/>
  <c r="S74" i="13"/>
  <c r="AC33" i="10"/>
  <c r="AC38" i="10" s="1"/>
  <c r="AC45" i="10" s="1"/>
  <c r="AC66" i="10" s="1"/>
  <c r="AC73" i="10" s="1"/>
  <c r="AC201" i="10" s="1"/>
  <c r="BR74" i="13"/>
  <c r="BI73" i="13"/>
  <c r="AF33" i="10"/>
  <c r="AF38" i="10" s="1"/>
  <c r="AF45" i="10" s="1"/>
  <c r="AF66" i="10" s="1"/>
  <c r="AF73" i="10" s="1"/>
  <c r="AF201" i="10" s="1"/>
  <c r="AT34" i="10"/>
  <c r="AT39" i="10" s="1"/>
  <c r="AT46" i="10" s="1"/>
  <c r="AT67" i="10" s="1"/>
  <c r="AT74" i="10" s="1"/>
  <c r="AT202" i="10" s="1"/>
  <c r="AT81" i="8"/>
  <c r="AT86" i="8" s="1"/>
  <c r="AT93" i="8" s="1"/>
  <c r="AT100" i="8" s="1"/>
  <c r="AT128" i="8" s="1"/>
  <c r="AT135" i="8" s="1"/>
  <c r="AR39" i="13" s="1"/>
  <c r="BB34" i="10"/>
  <c r="BB39" i="10" s="1"/>
  <c r="BB46" i="10" s="1"/>
  <c r="BB67" i="10" s="1"/>
  <c r="BB74" i="10" s="1"/>
  <c r="BB202" i="10" s="1"/>
  <c r="BB81" i="8"/>
  <c r="BB86" i="8" s="1"/>
  <c r="BB93" i="8" s="1"/>
  <c r="BB100" i="8" s="1"/>
  <c r="BB128" i="8" s="1"/>
  <c r="BB135" i="8" s="1"/>
  <c r="AZ39" i="13" s="1"/>
  <c r="BP74" i="13"/>
  <c r="BT80" i="8"/>
  <c r="BT85" i="8" s="1"/>
  <c r="BT92" i="8" s="1"/>
  <c r="BT99" i="8" s="1"/>
  <c r="BT127" i="8" s="1"/>
  <c r="BT134" i="8" s="1"/>
  <c r="BR38" i="13" s="1"/>
  <c r="AP74" i="13"/>
  <c r="BJ80" i="8"/>
  <c r="BJ85" i="8" s="1"/>
  <c r="BJ92" i="8" s="1"/>
  <c r="BJ99" i="8" s="1"/>
  <c r="BJ127" i="8" s="1"/>
  <c r="BJ134" i="8" s="1"/>
  <c r="BH38" i="13" s="1"/>
  <c r="BJ33" i="10"/>
  <c r="BJ38" i="10" s="1"/>
  <c r="BJ45" i="10" s="1"/>
  <c r="BJ66" i="10" s="1"/>
  <c r="BJ73" i="10" s="1"/>
  <c r="BJ201" i="10" s="1"/>
  <c r="BG74" i="13"/>
  <c r="AV73" i="13"/>
  <c r="AP73" i="13"/>
  <c r="Y74" i="13"/>
  <c r="BJ81" i="8"/>
  <c r="BJ86" i="8" s="1"/>
  <c r="BJ93" i="8" s="1"/>
  <c r="BJ100" i="8" s="1"/>
  <c r="BJ128" i="8" s="1"/>
  <c r="BJ135" i="8" s="1"/>
  <c r="BH39" i="13" s="1"/>
  <c r="R33" i="10"/>
  <c r="R38" i="10" s="1"/>
  <c r="R45" i="10" s="1"/>
  <c r="R66" i="10" s="1"/>
  <c r="R73" i="10" s="1"/>
  <c r="R201" i="10" s="1"/>
  <c r="AY33" i="10"/>
  <c r="AY38" i="10" s="1"/>
  <c r="AY45" i="10" s="1"/>
  <c r="AY66" i="10" s="1"/>
  <c r="AY73" i="10" s="1"/>
  <c r="AY201" i="10" s="1"/>
  <c r="BF74" i="13"/>
  <c r="BM81" i="8"/>
  <c r="BM86" i="8" s="1"/>
  <c r="BM93" i="8" s="1"/>
  <c r="BM100" i="8" s="1"/>
  <c r="BM128" i="8" s="1"/>
  <c r="BM135" i="8" s="1"/>
  <c r="BK39" i="13" s="1"/>
  <c r="BM34" i="10"/>
  <c r="BM39" i="10" s="1"/>
  <c r="BM46" i="10" s="1"/>
  <c r="BM67" i="10" s="1"/>
  <c r="BM74" i="10" s="1"/>
  <c r="BM202" i="10" s="1"/>
  <c r="BA33" i="10"/>
  <c r="BA38" i="10" s="1"/>
  <c r="BA45" i="10" s="1"/>
  <c r="BA66" i="10" s="1"/>
  <c r="BA73" i="10" s="1"/>
  <c r="BA201" i="10" s="1"/>
  <c r="BA80" i="8"/>
  <c r="BA85" i="8" s="1"/>
  <c r="BA92" i="8" s="1"/>
  <c r="BA99" i="8" s="1"/>
  <c r="BA127" i="8" s="1"/>
  <c r="BA134" i="8" s="1"/>
  <c r="AY38" i="13" s="1"/>
  <c r="AL33" i="10"/>
  <c r="AL38" i="10" s="1"/>
  <c r="AL45" i="10" s="1"/>
  <c r="AL66" i="10" s="1"/>
  <c r="AL73" i="10" s="1"/>
  <c r="AL201" i="10" s="1"/>
  <c r="AL80" i="8"/>
  <c r="AL85" i="8" s="1"/>
  <c r="AL92" i="8" s="1"/>
  <c r="AL99" i="8" s="1"/>
  <c r="AL127" i="8" s="1"/>
  <c r="AL134" i="8" s="1"/>
  <c r="AJ38" i="13" s="1"/>
  <c r="AI86" i="8"/>
  <c r="AI93" i="8" s="1"/>
  <c r="AI100" i="8" s="1"/>
  <c r="AI128" i="8" s="1"/>
  <c r="AI135" i="8" s="1"/>
  <c r="AG39" i="13" s="1"/>
  <c r="BM74" i="13"/>
  <c r="U73" i="13"/>
  <c r="AD73" i="13"/>
  <c r="BL33" i="10"/>
  <c r="BL38" i="10" s="1"/>
  <c r="BL45" i="10" s="1"/>
  <c r="BL66" i="10" s="1"/>
  <c r="BL73" i="10" s="1"/>
  <c r="BL201" i="10" s="1"/>
  <c r="BL80" i="8"/>
  <c r="BL85" i="8" s="1"/>
  <c r="BL92" i="8" s="1"/>
  <c r="BL99" i="8" s="1"/>
  <c r="BL127" i="8" s="1"/>
  <c r="BL134" i="8" s="1"/>
  <c r="BJ38" i="13" s="1"/>
  <c r="V73" i="13"/>
  <c r="AF74" i="13"/>
  <c r="BL74" i="13"/>
  <c r="CA33" i="10"/>
  <c r="CA38" i="10" s="1"/>
  <c r="CA45" i="10" s="1"/>
  <c r="CA66" i="10" s="1"/>
  <c r="CA73" i="10" s="1"/>
  <c r="CB33" i="10"/>
  <c r="CB38" i="10" s="1"/>
  <c r="CB45" i="10" s="1"/>
  <c r="CB66" i="10" s="1"/>
  <c r="CB73" i="10" s="1"/>
  <c r="CB80" i="8"/>
  <c r="CB85" i="8" s="1"/>
  <c r="CB92" i="8" s="1"/>
  <c r="CB99" i="8" s="1"/>
  <c r="CB127" i="8" s="1"/>
  <c r="CB134" i="8" s="1"/>
  <c r="BZ38" i="13" s="1"/>
  <c r="BV34" i="10"/>
  <c r="BV39" i="10" s="1"/>
  <c r="BV46" i="10" s="1"/>
  <c r="BV67" i="10" s="1"/>
  <c r="BV74" i="10" s="1"/>
  <c r="BV202" i="10" s="1"/>
  <c r="BV81" i="8"/>
  <c r="BV86" i="8" s="1"/>
  <c r="BV93" i="8" s="1"/>
  <c r="BV100" i="8" s="1"/>
  <c r="BV128" i="8" s="1"/>
  <c r="BV135" i="8" s="1"/>
  <c r="BT39" i="13" s="1"/>
  <c r="BC33" i="10"/>
  <c r="BC38" i="10" s="1"/>
  <c r="BC45" i="10" s="1"/>
  <c r="BC66" i="10" s="1"/>
  <c r="BC73" i="10" s="1"/>
  <c r="BC201" i="10" s="1"/>
  <c r="BC80" i="8"/>
  <c r="BC85" i="8" s="1"/>
  <c r="BC92" i="8" s="1"/>
  <c r="BC99" i="8" s="1"/>
  <c r="BC127" i="8" s="1"/>
  <c r="BC134" i="8" s="1"/>
  <c r="BA38" i="13" s="1"/>
  <c r="AF73" i="13"/>
  <c r="BW86" i="8"/>
  <c r="BW93" i="8" s="1"/>
  <c r="BW100" i="8" s="1"/>
  <c r="BW128" i="8" s="1"/>
  <c r="BW135" i="8" s="1"/>
  <c r="BU39" i="13" s="1"/>
  <c r="AY81" i="8"/>
  <c r="AY86" i="8" s="1"/>
  <c r="AY93" i="8" s="1"/>
  <c r="AY100" i="8" s="1"/>
  <c r="AY128" i="8" s="1"/>
  <c r="AY135" i="8" s="1"/>
  <c r="AW39" i="13" s="1"/>
  <c r="AY34" i="10"/>
  <c r="AY39" i="10" s="1"/>
  <c r="AY46" i="10" s="1"/>
  <c r="AY67" i="10" s="1"/>
  <c r="AY74" i="10" s="1"/>
  <c r="AY202" i="10" s="1"/>
  <c r="BC81" i="8"/>
  <c r="BC86" i="8" s="1"/>
  <c r="BC93" i="8" s="1"/>
  <c r="BC100" i="8" s="1"/>
  <c r="BC128" i="8" s="1"/>
  <c r="BC135" i="8" s="1"/>
  <c r="BA39" i="13" s="1"/>
  <c r="BH80" i="8"/>
  <c r="BH85" i="8" s="1"/>
  <c r="BH92" i="8" s="1"/>
  <c r="BH99" i="8" s="1"/>
  <c r="BH127" i="8" s="1"/>
  <c r="BH134" i="8" s="1"/>
  <c r="BF38" i="13" s="1"/>
  <c r="W33" i="10"/>
  <c r="W38" i="10" s="1"/>
  <c r="W45" i="10" s="1"/>
  <c r="W66" i="10" s="1"/>
  <c r="W73" i="10" s="1"/>
  <c r="W201" i="10" s="1"/>
  <c r="W80" i="8"/>
  <c r="W85" i="8" s="1"/>
  <c r="W92" i="8" s="1"/>
  <c r="W99" i="8" s="1"/>
  <c r="W127" i="8" s="1"/>
  <c r="W134" i="8" s="1"/>
  <c r="U38" i="13" s="1"/>
  <c r="AH16" i="12"/>
  <c r="AH23" i="12" s="1"/>
  <c r="AG65" i="13" s="1"/>
  <c r="AH18" i="11"/>
  <c r="AH25" i="11" s="1"/>
  <c r="AH32" i="11" s="1"/>
  <c r="AG58" i="13" s="1"/>
  <c r="Q33" i="10"/>
  <c r="Q38" i="10" s="1"/>
  <c r="Q45" i="10" s="1"/>
  <c r="Q66" i="10" s="1"/>
  <c r="Q73" i="10" s="1"/>
  <c r="Q201" i="10" s="1"/>
  <c r="Q80" i="8"/>
  <c r="Q85" i="8" s="1"/>
  <c r="Q92" i="8" s="1"/>
  <c r="Q99" i="8" s="1"/>
  <c r="Q127" i="8" s="1"/>
  <c r="Q134" i="8" s="1"/>
  <c r="O38" i="13" s="1"/>
  <c r="BY80" i="8"/>
  <c r="BY85" i="8" s="1"/>
  <c r="BY92" i="8" s="1"/>
  <c r="BY99" i="8" s="1"/>
  <c r="BY127" i="8" s="1"/>
  <c r="BY134" i="8" s="1"/>
  <c r="BW38" i="13" s="1"/>
  <c r="BY33" i="10"/>
  <c r="BY38" i="10" s="1"/>
  <c r="BY45" i="10" s="1"/>
  <c r="BY66" i="10" s="1"/>
  <c r="BY73" i="10" s="1"/>
  <c r="AZ86" i="8"/>
  <c r="AZ93" i="8" s="1"/>
  <c r="AZ100" i="8" s="1"/>
  <c r="AZ128" i="8" s="1"/>
  <c r="AZ135" i="8" s="1"/>
  <c r="AX39" i="13" s="1"/>
  <c r="CE33" i="10"/>
  <c r="CE38" i="10" s="1"/>
  <c r="CE45" i="10" s="1"/>
  <c r="CE66" i="10" s="1"/>
  <c r="CE73" i="10" s="1"/>
  <c r="BF81" i="8"/>
  <c r="BF86" i="8" s="1"/>
  <c r="BF93" i="8" s="1"/>
  <c r="BF100" i="8" s="1"/>
  <c r="BF128" i="8" s="1"/>
  <c r="BF135" i="8" s="1"/>
  <c r="BD39" i="13" s="1"/>
  <c r="BI34" i="10"/>
  <c r="BI39" i="10" s="1"/>
  <c r="BI46" i="10" s="1"/>
  <c r="BI67" i="10" s="1"/>
  <c r="BI74" i="10" s="1"/>
  <c r="BI202" i="10" s="1"/>
  <c r="BI81" i="8"/>
  <c r="BI86" i="8" s="1"/>
  <c r="BI93" i="8" s="1"/>
  <c r="BI100" i="8" s="1"/>
  <c r="BI128" i="8" s="1"/>
  <c r="BI135" i="8" s="1"/>
  <c r="BG39" i="13" s="1"/>
  <c r="X80" i="8"/>
  <c r="X85" i="8" s="1"/>
  <c r="X92" i="8" s="1"/>
  <c r="X99" i="8" s="1"/>
  <c r="X127" i="8" s="1"/>
  <c r="X134" i="8" s="1"/>
  <c r="V38" i="13" s="1"/>
  <c r="X33" i="10"/>
  <c r="X38" i="10" s="1"/>
  <c r="X45" i="10" s="1"/>
  <c r="X66" i="10" s="1"/>
  <c r="X73" i="10" s="1"/>
  <c r="X201" i="10" s="1"/>
  <c r="BW202" i="10"/>
  <c r="AV34" i="10"/>
  <c r="AV39" i="10" s="1"/>
  <c r="AV46" i="10" s="1"/>
  <c r="AV67" i="10" s="1"/>
  <c r="AV74" i="10" s="1"/>
  <c r="AV202" i="10" s="1"/>
  <c r="AV81" i="8"/>
  <c r="AV86" i="8" s="1"/>
  <c r="AV93" i="8" s="1"/>
  <c r="AV100" i="8" s="1"/>
  <c r="AV128" i="8" s="1"/>
  <c r="AV135" i="8" s="1"/>
  <c r="AT39" i="13" s="1"/>
  <c r="CE81" i="8"/>
  <c r="CE86" i="8" s="1"/>
  <c r="CE93" i="8" s="1"/>
  <c r="CE100" i="8" s="1"/>
  <c r="CE128" i="8" s="1"/>
  <c r="CE135" i="8" s="1"/>
  <c r="CC39" i="13" s="1"/>
  <c r="AU81" i="8"/>
  <c r="AU86" i="8" s="1"/>
  <c r="AU93" i="8" s="1"/>
  <c r="AU100" i="8" s="1"/>
  <c r="AU128" i="8" s="1"/>
  <c r="AU135" i="8" s="1"/>
  <c r="AS39" i="13" s="1"/>
  <c r="Z74" i="13"/>
  <c r="BN33" i="10"/>
  <c r="BN38" i="10" s="1"/>
  <c r="BN45" i="10" s="1"/>
  <c r="BN66" i="10" s="1"/>
  <c r="BN73" i="10" s="1"/>
  <c r="BN201" i="10" s="1"/>
  <c r="BN80" i="8"/>
  <c r="BN85" i="8" s="1"/>
  <c r="BN92" i="8" s="1"/>
  <c r="BN99" i="8" s="1"/>
  <c r="BN127" i="8" s="1"/>
  <c r="BN134" i="8" s="1"/>
  <c r="BL38" i="13" s="1"/>
  <c r="AA33" i="10"/>
  <c r="AA38" i="10" s="1"/>
  <c r="AA45" i="10" s="1"/>
  <c r="AA66" i="10" s="1"/>
  <c r="AA73" i="10" s="1"/>
  <c r="AA201" i="10" s="1"/>
  <c r="AA80" i="8"/>
  <c r="AA85" i="8" s="1"/>
  <c r="AA92" i="8" s="1"/>
  <c r="AA99" i="8" s="1"/>
  <c r="AA127" i="8" s="1"/>
  <c r="AA134" i="8" s="1"/>
  <c r="Y38" i="13" s="1"/>
  <c r="AQ80" i="8"/>
  <c r="AQ85" i="8" s="1"/>
  <c r="AQ92" i="8" s="1"/>
  <c r="AQ99" i="8" s="1"/>
  <c r="AQ127" i="8" s="1"/>
  <c r="AQ134" i="8" s="1"/>
  <c r="AO38" i="13" s="1"/>
  <c r="AQ33" i="10"/>
  <c r="AQ38" i="10" s="1"/>
  <c r="AQ45" i="10" s="1"/>
  <c r="AQ66" i="10" s="1"/>
  <c r="AQ73" i="10" s="1"/>
  <c r="AQ201" i="10" s="1"/>
  <c r="BL73" i="13"/>
  <c r="CC33" i="10"/>
  <c r="CC38" i="10" s="1"/>
  <c r="CC45" i="10" s="1"/>
  <c r="CC66" i="10" s="1"/>
  <c r="CC73" i="10" s="1"/>
  <c r="H74" i="13"/>
  <c r="AO74" i="13"/>
  <c r="AX74" i="13"/>
  <c r="BS33" i="10"/>
  <c r="BS38" i="10" s="1"/>
  <c r="BS45" i="10" s="1"/>
  <c r="BS66" i="10" s="1"/>
  <c r="BS73" i="10" s="1"/>
  <c r="BS201" i="10" s="1"/>
  <c r="BS80" i="8"/>
  <c r="BS85" i="8" s="1"/>
  <c r="BS92" i="8" s="1"/>
  <c r="BS99" i="8" s="1"/>
  <c r="BS127" i="8" s="1"/>
  <c r="BS134" i="8" s="1"/>
  <c r="BQ38" i="13" s="1"/>
  <c r="W34" i="10"/>
  <c r="W39" i="10" s="1"/>
  <c r="W46" i="10" s="1"/>
  <c r="W67" i="10" s="1"/>
  <c r="W74" i="10" s="1"/>
  <c r="W202" i="10" s="1"/>
  <c r="W81" i="8"/>
  <c r="W86" i="8" s="1"/>
  <c r="W93" i="8" s="1"/>
  <c r="W100" i="8" s="1"/>
  <c r="W128" i="8" s="1"/>
  <c r="W135" i="8" s="1"/>
  <c r="U39" i="13" s="1"/>
  <c r="BG80" i="8"/>
  <c r="BG85" i="8" s="1"/>
  <c r="BG92" i="8" s="1"/>
  <c r="BG99" i="8" s="1"/>
  <c r="BG127" i="8" s="1"/>
  <c r="BG134" i="8" s="1"/>
  <c r="BE38" i="13" s="1"/>
  <c r="BG33" i="10"/>
  <c r="BG38" i="10" s="1"/>
  <c r="BG45" i="10" s="1"/>
  <c r="BG66" i="10" s="1"/>
  <c r="BG73" i="10" s="1"/>
  <c r="BG201" i="10" s="1"/>
  <c r="BU44" i="13"/>
  <c r="BW177" i="8"/>
  <c r="AD15" i="12"/>
  <c r="AD22" i="12" s="1"/>
  <c r="AC64" i="13" s="1"/>
  <c r="AD17" i="11"/>
  <c r="AD24" i="11" s="1"/>
  <c r="AD31" i="11" s="1"/>
  <c r="AC57" i="13" s="1"/>
  <c r="BW80" i="8"/>
  <c r="BW85" i="8" s="1"/>
  <c r="BW92" i="8" s="1"/>
  <c r="BW99" i="8" s="1"/>
  <c r="BW127" i="8" s="1"/>
  <c r="BW134" i="8" s="1"/>
  <c r="BU38" i="13" s="1"/>
  <c r="BW33" i="10"/>
  <c r="BW38" i="10" s="1"/>
  <c r="BW45" i="10" s="1"/>
  <c r="BW66" i="10" s="1"/>
  <c r="BW73" i="10" s="1"/>
  <c r="BW201" i="10" s="1"/>
  <c r="BB33" i="10"/>
  <c r="BB38" i="10" s="1"/>
  <c r="BB45" i="10" s="1"/>
  <c r="BB66" i="10" s="1"/>
  <c r="BB73" i="10" s="1"/>
  <c r="BB201" i="10" s="1"/>
  <c r="BB80" i="8"/>
  <c r="BB85" i="8" s="1"/>
  <c r="BB92" i="8" s="1"/>
  <c r="BB99" i="8" s="1"/>
  <c r="BB127" i="8" s="1"/>
  <c r="BB134" i="8" s="1"/>
  <c r="AZ38" i="13" s="1"/>
  <c r="V81" i="8"/>
  <c r="V86" i="8" s="1"/>
  <c r="V93" i="8" s="1"/>
  <c r="V100" i="8" s="1"/>
  <c r="V128" i="8" s="1"/>
  <c r="V135" i="8" s="1"/>
  <c r="T39" i="13" s="1"/>
  <c r="V34" i="10"/>
  <c r="V39" i="10" s="1"/>
  <c r="V46" i="10" s="1"/>
  <c r="V67" i="10" s="1"/>
  <c r="V74" i="10" s="1"/>
  <c r="V202" i="10" s="1"/>
  <c r="S80" i="8"/>
  <c r="S85" i="8" s="1"/>
  <c r="S92" i="8" s="1"/>
  <c r="S99" i="8" s="1"/>
  <c r="S127" i="8" s="1"/>
  <c r="S134" i="8" s="1"/>
  <c r="Q38" i="13" s="1"/>
  <c r="S33" i="10"/>
  <c r="S38" i="10" s="1"/>
  <c r="S45" i="10" s="1"/>
  <c r="S66" i="10" s="1"/>
  <c r="S73" i="10" s="1"/>
  <c r="S201" i="10" s="1"/>
  <c r="AH81" i="8"/>
  <c r="AH86" i="8" s="1"/>
  <c r="AH93" i="8" s="1"/>
  <c r="AH100" i="8" s="1"/>
  <c r="AH128" i="8" s="1"/>
  <c r="AH135" i="8" s="1"/>
  <c r="AF39" i="13" s="1"/>
  <c r="AH34" i="10"/>
  <c r="AH39" i="10" s="1"/>
  <c r="AH46" i="10" s="1"/>
  <c r="AH67" i="10" s="1"/>
  <c r="AH74" i="10" s="1"/>
  <c r="AH202" i="10" s="1"/>
  <c r="AB74" i="13"/>
  <c r="BH73" i="13"/>
  <c r="AN34" i="10"/>
  <c r="AN39" i="10" s="1"/>
  <c r="AN46" i="10" s="1"/>
  <c r="AN67" i="10" s="1"/>
  <c r="AN74" i="10" s="1"/>
  <c r="AN202" i="10" s="1"/>
  <c r="AN81" i="8"/>
  <c r="AN86" i="8" s="1"/>
  <c r="AN93" i="8" s="1"/>
  <c r="AN100" i="8" s="1"/>
  <c r="AN128" i="8" s="1"/>
  <c r="AN135" i="8" s="1"/>
  <c r="AL39" i="13" s="1"/>
  <c r="AN74" i="13"/>
  <c r="BS34" i="10"/>
  <c r="BS39" i="10" s="1"/>
  <c r="BS46" i="10" s="1"/>
  <c r="BS67" i="10" s="1"/>
  <c r="BS74" i="10" s="1"/>
  <c r="BS202" i="10" s="1"/>
  <c r="BS81" i="8"/>
  <c r="BS86" i="8" s="1"/>
  <c r="BS93" i="8" s="1"/>
  <c r="BS100" i="8" s="1"/>
  <c r="BS128" i="8" s="1"/>
  <c r="BS135" i="8" s="1"/>
  <c r="BQ39" i="13" s="1"/>
  <c r="P33" i="10"/>
  <c r="P38" i="10" s="1"/>
  <c r="P45" i="10" s="1"/>
  <c r="P66" i="10" s="1"/>
  <c r="P73" i="10" s="1"/>
  <c r="P201" i="10" s="1"/>
  <c r="P80" i="8"/>
  <c r="P85" i="8" s="1"/>
  <c r="P92" i="8" s="1"/>
  <c r="P99" i="8" s="1"/>
  <c r="P127" i="8" s="1"/>
  <c r="P134" i="8" s="1"/>
  <c r="N38" i="13" s="1"/>
  <c r="BX83" i="10"/>
  <c r="BX90" i="10" s="1"/>
  <c r="BX97" i="10" s="1"/>
  <c r="BX202" i="10" s="1"/>
  <c r="BX164" i="8"/>
  <c r="BX171" i="8" s="1"/>
  <c r="BO15" i="12" l="1"/>
  <c r="BO22" i="12" s="1"/>
  <c r="BN64" i="13" s="1"/>
  <c r="X15" i="12"/>
  <c r="X22" i="12" s="1"/>
  <c r="W64" i="13" s="1"/>
  <c r="Z18" i="11"/>
  <c r="Z25" i="11" s="1"/>
  <c r="Z32" i="11" s="1"/>
  <c r="Y58" i="13" s="1"/>
  <c r="Y72" i="13" s="1"/>
  <c r="AV15" i="12"/>
  <c r="AV22" i="12" s="1"/>
  <c r="AU64" i="13" s="1"/>
  <c r="AI17" i="11"/>
  <c r="AI24" i="11" s="1"/>
  <c r="AI31" i="11" s="1"/>
  <c r="AH57" i="13" s="1"/>
  <c r="AH71" i="13" s="1"/>
  <c r="BN15" i="12"/>
  <c r="BN22" i="12" s="1"/>
  <c r="BM64" i="13" s="1"/>
  <c r="BH15" i="12"/>
  <c r="BH22" i="12" s="1"/>
  <c r="BG64" i="13" s="1"/>
  <c r="BG71" i="13" s="1"/>
  <c r="L15" i="12"/>
  <c r="L22" i="12" s="1"/>
  <c r="K64" i="13" s="1"/>
  <c r="K71" i="13" s="1"/>
  <c r="P18" i="11"/>
  <c r="P25" i="11" s="1"/>
  <c r="P32" i="11" s="1"/>
  <c r="O58" i="13" s="1"/>
  <c r="O72" i="13" s="1"/>
  <c r="N15" i="12"/>
  <c r="N22" i="12" s="1"/>
  <c r="M64" i="13" s="1"/>
  <c r="M71" i="13" s="1"/>
  <c r="AM15" i="12"/>
  <c r="AM22" i="12" s="1"/>
  <c r="AL64" i="13" s="1"/>
  <c r="AL71" i="13" s="1"/>
  <c r="BQ18" i="11"/>
  <c r="BQ25" i="11" s="1"/>
  <c r="BQ32" i="11" s="1"/>
  <c r="BP58" i="13" s="1"/>
  <c r="BP72" i="13" s="1"/>
  <c r="AJ17" i="11"/>
  <c r="AJ24" i="11" s="1"/>
  <c r="AJ31" i="11" s="1"/>
  <c r="AI57" i="13" s="1"/>
  <c r="AI71" i="13" s="1"/>
  <c r="AY15" i="12"/>
  <c r="AY22" i="12" s="1"/>
  <c r="AX64" i="13" s="1"/>
  <c r="AX71" i="13" s="1"/>
  <c r="AE16" i="12"/>
  <c r="AE23" i="12" s="1"/>
  <c r="AD65" i="13" s="1"/>
  <c r="AD72" i="13" s="1"/>
  <c r="BN71" i="13"/>
  <c r="AQ17" i="11"/>
  <c r="AQ24" i="11" s="1"/>
  <c r="AQ31" i="11" s="1"/>
  <c r="AP57" i="13" s="1"/>
  <c r="AP71" i="13" s="1"/>
  <c r="AG15" i="12"/>
  <c r="AG22" i="12" s="1"/>
  <c r="AF64" i="13" s="1"/>
  <c r="AF71" i="13" s="1"/>
  <c r="BT15" i="12"/>
  <c r="BT22" i="12" s="1"/>
  <c r="BS64" i="13" s="1"/>
  <c r="BS71" i="13" s="1"/>
  <c r="BI16" i="12"/>
  <c r="BI23" i="12" s="1"/>
  <c r="BH65" i="13" s="1"/>
  <c r="BH72" i="13" s="1"/>
  <c r="AC18" i="11"/>
  <c r="AC25" i="11" s="1"/>
  <c r="AC32" i="11" s="1"/>
  <c r="AB58" i="13" s="1"/>
  <c r="AB72" i="13" s="1"/>
  <c r="BT73" i="13"/>
  <c r="BB16" i="12"/>
  <c r="BB23" i="12" s="1"/>
  <c r="BA65" i="13" s="1"/>
  <c r="BA72" i="13" s="1"/>
  <c r="BS15" i="12"/>
  <c r="BS22" i="12" s="1"/>
  <c r="BR64" i="13" s="1"/>
  <c r="BR71" i="13" s="1"/>
  <c r="AO16" i="12"/>
  <c r="AO23" i="12" s="1"/>
  <c r="AN65" i="13" s="1"/>
  <c r="AO18" i="11"/>
  <c r="AO25" i="11" s="1"/>
  <c r="AO32" i="11" s="1"/>
  <c r="AN58" i="13" s="1"/>
  <c r="R18" i="11"/>
  <c r="R25" i="11" s="1"/>
  <c r="R32" i="11" s="1"/>
  <c r="Q58" i="13" s="1"/>
  <c r="Q72" i="13" s="1"/>
  <c r="W18" i="11"/>
  <c r="W25" i="11" s="1"/>
  <c r="W32" i="11" s="1"/>
  <c r="V58" i="13" s="1"/>
  <c r="V72" i="13" s="1"/>
  <c r="BC16" i="12"/>
  <c r="BC23" i="12" s="1"/>
  <c r="BB65" i="13" s="1"/>
  <c r="BB72" i="13" s="1"/>
  <c r="AS72" i="13"/>
  <c r="O18" i="11"/>
  <c r="O25" i="11" s="1"/>
  <c r="O32" i="11" s="1"/>
  <c r="N58" i="13" s="1"/>
  <c r="N72" i="13" s="1"/>
  <c r="AN18" i="11"/>
  <c r="AN25" i="11" s="1"/>
  <c r="AN32" i="11" s="1"/>
  <c r="AM58" i="13" s="1"/>
  <c r="AM72" i="13" s="1"/>
  <c r="AV72" i="13"/>
  <c r="BE18" i="11"/>
  <c r="BE25" i="11" s="1"/>
  <c r="BE32" i="11" s="1"/>
  <c r="BD58" i="13" s="1"/>
  <c r="BD72" i="13" s="1"/>
  <c r="AG72" i="13"/>
  <c r="AU71" i="13"/>
  <c r="BX201" i="10"/>
  <c r="BW17" i="11" s="1"/>
  <c r="BW24" i="11" s="1"/>
  <c r="BW31" i="11" s="1"/>
  <c r="BV57" i="13" s="1"/>
  <c r="AW15" i="12"/>
  <c r="AW22" i="12" s="1"/>
  <c r="AV64" i="13" s="1"/>
  <c r="AV71" i="13" s="1"/>
  <c r="AF18" i="11"/>
  <c r="AF25" i="11" s="1"/>
  <c r="AF32" i="11" s="1"/>
  <c r="AE58" i="13" s="1"/>
  <c r="AE72" i="13" s="1"/>
  <c r="BG17" i="11"/>
  <c r="BG24" i="11" s="1"/>
  <c r="BG31" i="11" s="1"/>
  <c r="BF57" i="13" s="1"/>
  <c r="BF71" i="13" s="1"/>
  <c r="BE15" i="12"/>
  <c r="BE22" i="12" s="1"/>
  <c r="BD64" i="13" s="1"/>
  <c r="BD71" i="13" s="1"/>
  <c r="W71" i="13"/>
  <c r="Z72" i="13"/>
  <c r="S72" i="13"/>
  <c r="AA72" i="13"/>
  <c r="BW18" i="11"/>
  <c r="BW25" i="11" s="1"/>
  <c r="BW32" i="11" s="1"/>
  <c r="BV58" i="13" s="1"/>
  <c r="BW16" i="12"/>
  <c r="BW23" i="12" s="1"/>
  <c r="BV65" i="13" s="1"/>
  <c r="BR15" i="12"/>
  <c r="BR22" i="12" s="1"/>
  <c r="BQ64" i="13" s="1"/>
  <c r="BR17" i="11"/>
  <c r="BR24" i="11" s="1"/>
  <c r="BR31" i="11" s="1"/>
  <c r="BQ57" i="13" s="1"/>
  <c r="AG18" i="11"/>
  <c r="AG25" i="11" s="1"/>
  <c r="AG32" i="11" s="1"/>
  <c r="AF58" i="13" s="1"/>
  <c r="AG16" i="12"/>
  <c r="AG23" i="12" s="1"/>
  <c r="AF65" i="13" s="1"/>
  <c r="BV17" i="11"/>
  <c r="BV24" i="11" s="1"/>
  <c r="BV31" i="11" s="1"/>
  <c r="BU57" i="13" s="1"/>
  <c r="BV15" i="12"/>
  <c r="BV22" i="12" s="1"/>
  <c r="BU64" i="13" s="1"/>
  <c r="AP15" i="12"/>
  <c r="AP22" i="12" s="1"/>
  <c r="AO64" i="13" s="1"/>
  <c r="AP17" i="11"/>
  <c r="AP24" i="11" s="1"/>
  <c r="AP31" i="11" s="1"/>
  <c r="AO57" i="13" s="1"/>
  <c r="BV16" i="12"/>
  <c r="BV23" i="12" s="1"/>
  <c r="BU65" i="13" s="1"/>
  <c r="BV18" i="11"/>
  <c r="BV25" i="11" s="1"/>
  <c r="BV32" i="11" s="1"/>
  <c r="BU58" i="13" s="1"/>
  <c r="BH18" i="11"/>
  <c r="BH25" i="11" s="1"/>
  <c r="BH32" i="11" s="1"/>
  <c r="BG58" i="13" s="1"/>
  <c r="BH16" i="12"/>
  <c r="BH23" i="12" s="1"/>
  <c r="BG65" i="13" s="1"/>
  <c r="M72" i="13"/>
  <c r="X16" i="12"/>
  <c r="X23" i="12" s="1"/>
  <c r="W65" i="13" s="1"/>
  <c r="X18" i="11"/>
  <c r="X25" i="11" s="1"/>
  <c r="X32" i="11" s="1"/>
  <c r="W58" i="13" s="1"/>
  <c r="BC17" i="11"/>
  <c r="BC24" i="11" s="1"/>
  <c r="BC31" i="11" s="1"/>
  <c r="BB57" i="13" s="1"/>
  <c r="BC15" i="12"/>
  <c r="BC22" i="12" s="1"/>
  <c r="BB64" i="13" s="1"/>
  <c r="AL16" i="12"/>
  <c r="AL23" i="12" s="1"/>
  <c r="AK65" i="13" s="1"/>
  <c r="AL18" i="11"/>
  <c r="AL25" i="11" s="1"/>
  <c r="AL32" i="11" s="1"/>
  <c r="AK58" i="13" s="1"/>
  <c r="BN18" i="11"/>
  <c r="BN25" i="11" s="1"/>
  <c r="BN32" i="11" s="1"/>
  <c r="BM58" i="13" s="1"/>
  <c r="BN16" i="12"/>
  <c r="BN23" i="12" s="1"/>
  <c r="BM65" i="13" s="1"/>
  <c r="AL15" i="12"/>
  <c r="AL22" i="12" s="1"/>
  <c r="AK64" i="13" s="1"/>
  <c r="AL17" i="11"/>
  <c r="AL24" i="11" s="1"/>
  <c r="AL31" i="11" s="1"/>
  <c r="AK57" i="13" s="1"/>
  <c r="AZ18" i="11"/>
  <c r="AZ25" i="11" s="1"/>
  <c r="AZ32" i="11" s="1"/>
  <c r="AY58" i="13" s="1"/>
  <c r="AZ16" i="12"/>
  <c r="AZ23" i="12" s="1"/>
  <c r="AY65" i="13" s="1"/>
  <c r="BS18" i="11"/>
  <c r="BS25" i="11" s="1"/>
  <c r="BS32" i="11" s="1"/>
  <c r="BR58" i="13" s="1"/>
  <c r="BS16" i="12"/>
  <c r="BS23" i="12" s="1"/>
  <c r="BR65" i="13" s="1"/>
  <c r="S15" i="12"/>
  <c r="S22" i="12" s="1"/>
  <c r="R64" i="13" s="1"/>
  <c r="S17" i="11"/>
  <c r="S24" i="11" s="1"/>
  <c r="S31" i="11" s="1"/>
  <c r="R57" i="13" s="1"/>
  <c r="BU17" i="11"/>
  <c r="BU24" i="11" s="1"/>
  <c r="BU31" i="11" s="1"/>
  <c r="BT57" i="13" s="1"/>
  <c r="BU15" i="12"/>
  <c r="BU22" i="12" s="1"/>
  <c r="BT64" i="13" s="1"/>
  <c r="AY18" i="11"/>
  <c r="AY25" i="11" s="1"/>
  <c r="AY32" i="11" s="1"/>
  <c r="AX58" i="13" s="1"/>
  <c r="AY16" i="12"/>
  <c r="AY23" i="12" s="1"/>
  <c r="AX65" i="13" s="1"/>
  <c r="BV45" i="13"/>
  <c r="BX178" i="8"/>
  <c r="AX16" i="12"/>
  <c r="AX23" i="12" s="1"/>
  <c r="AW65" i="13" s="1"/>
  <c r="AX18" i="11"/>
  <c r="AX25" i="11" s="1"/>
  <c r="AX32" i="11" s="1"/>
  <c r="AW58" i="13" s="1"/>
  <c r="AX17" i="11"/>
  <c r="AX24" i="11" s="1"/>
  <c r="AX31" i="11" s="1"/>
  <c r="AW57" i="13" s="1"/>
  <c r="AX15" i="12"/>
  <c r="AX22" i="12" s="1"/>
  <c r="AW64" i="13" s="1"/>
  <c r="BA16" i="12"/>
  <c r="BA23" i="12" s="1"/>
  <c r="AZ65" i="13" s="1"/>
  <c r="BA18" i="11"/>
  <c r="BA25" i="11" s="1"/>
  <c r="BA32" i="11" s="1"/>
  <c r="AZ58" i="13" s="1"/>
  <c r="AB17" i="11"/>
  <c r="AB24" i="11" s="1"/>
  <c r="AB31" i="11" s="1"/>
  <c r="AA57" i="13" s="1"/>
  <c r="AB15" i="12"/>
  <c r="AB22" i="12" s="1"/>
  <c r="AA64" i="13" s="1"/>
  <c r="BY83" i="10"/>
  <c r="BY90" i="10" s="1"/>
  <c r="BY97" i="10" s="1"/>
  <c r="BY202" i="10" s="1"/>
  <c r="BY164" i="8"/>
  <c r="BY171" i="8" s="1"/>
  <c r="BT16" i="12"/>
  <c r="BT23" i="12" s="1"/>
  <c r="BS65" i="13" s="1"/>
  <c r="BT18" i="11"/>
  <c r="BT25" i="11" s="1"/>
  <c r="BT32" i="11" s="1"/>
  <c r="BS58" i="13" s="1"/>
  <c r="BG16" i="12"/>
  <c r="BG23" i="12" s="1"/>
  <c r="BF65" i="13" s="1"/>
  <c r="BG18" i="11"/>
  <c r="BG25" i="11" s="1"/>
  <c r="BG32" i="11" s="1"/>
  <c r="BF58" i="13" s="1"/>
  <c r="AO15" i="12"/>
  <c r="AO22" i="12" s="1"/>
  <c r="AN64" i="13" s="1"/>
  <c r="AO17" i="11"/>
  <c r="AO24" i="11" s="1"/>
  <c r="AO31" i="11" s="1"/>
  <c r="AN57" i="13" s="1"/>
  <c r="K15" i="12"/>
  <c r="K22" i="12" s="1"/>
  <c r="J64" i="13" s="1"/>
  <c r="K17" i="11"/>
  <c r="K24" i="11" s="1"/>
  <c r="K31" i="11" s="1"/>
  <c r="J57" i="13" s="1"/>
  <c r="BU74" i="13"/>
  <c r="R17" i="11"/>
  <c r="R24" i="11" s="1"/>
  <c r="R31" i="11" s="1"/>
  <c r="Q57" i="13" s="1"/>
  <c r="R15" i="12"/>
  <c r="R22" i="12" s="1"/>
  <c r="Q64" i="13" s="1"/>
  <c r="AC71" i="13"/>
  <c r="V15" i="12"/>
  <c r="V22" i="12" s="1"/>
  <c r="U64" i="13" s="1"/>
  <c r="V17" i="11"/>
  <c r="V24" i="11" s="1"/>
  <c r="V31" i="11" s="1"/>
  <c r="U57" i="13" s="1"/>
  <c r="BY84" i="10"/>
  <c r="BY91" i="10" s="1"/>
  <c r="BY98" i="10" s="1"/>
  <c r="BY203" i="10" s="1"/>
  <c r="BY165" i="8"/>
  <c r="BY172" i="8" s="1"/>
  <c r="Q15" i="12"/>
  <c r="Q22" i="12" s="1"/>
  <c r="P64" i="13" s="1"/>
  <c r="Q17" i="11"/>
  <c r="Q24" i="11" s="1"/>
  <c r="Q31" i="11" s="1"/>
  <c r="P57" i="13" s="1"/>
  <c r="BI17" i="11"/>
  <c r="BI24" i="11" s="1"/>
  <c r="BI31" i="11" s="1"/>
  <c r="BH57" i="13" s="1"/>
  <c r="BI15" i="12"/>
  <c r="BI22" i="12" s="1"/>
  <c r="BH64" i="13" s="1"/>
  <c r="AS16" i="12"/>
  <c r="AS23" i="12" s="1"/>
  <c r="AR65" i="13" s="1"/>
  <c r="AS18" i="11"/>
  <c r="AS25" i="11" s="1"/>
  <c r="AS32" i="11" s="1"/>
  <c r="AR58" i="13" s="1"/>
  <c r="AE15" i="12"/>
  <c r="AE22" i="12" s="1"/>
  <c r="AD64" i="13" s="1"/>
  <c r="AE17" i="11"/>
  <c r="AE24" i="11" s="1"/>
  <c r="AE31" i="11" s="1"/>
  <c r="AD57" i="13" s="1"/>
  <c r="M15" i="12"/>
  <c r="M22" i="12" s="1"/>
  <c r="L64" i="13" s="1"/>
  <c r="M17" i="11"/>
  <c r="M24" i="11" s="1"/>
  <c r="M31" i="11" s="1"/>
  <c r="L57" i="13" s="1"/>
  <c r="K72" i="13"/>
  <c r="BP15" i="12"/>
  <c r="BP22" i="12" s="1"/>
  <c r="BO64" i="13" s="1"/>
  <c r="BP17" i="11"/>
  <c r="BP24" i="11" s="1"/>
  <c r="BP31" i="11" s="1"/>
  <c r="BO57" i="13" s="1"/>
  <c r="AU15" i="12"/>
  <c r="AU22" i="12" s="1"/>
  <c r="AT64" i="13" s="1"/>
  <c r="AU17" i="11"/>
  <c r="AU24" i="11" s="1"/>
  <c r="AU31" i="11" s="1"/>
  <c r="AT57" i="13" s="1"/>
  <c r="BJ18" i="11"/>
  <c r="BJ25" i="11" s="1"/>
  <c r="BJ32" i="11" s="1"/>
  <c r="BI58" i="13" s="1"/>
  <c r="BJ16" i="12"/>
  <c r="BJ23" i="12" s="1"/>
  <c r="BI65" i="13" s="1"/>
  <c r="BT74" i="13"/>
  <c r="AF15" i="12"/>
  <c r="AF22" i="12" s="1"/>
  <c r="AE64" i="13" s="1"/>
  <c r="AF17" i="11"/>
  <c r="AF24" i="11" s="1"/>
  <c r="AF31" i="11" s="1"/>
  <c r="AE57" i="13" s="1"/>
  <c r="AH15" i="12"/>
  <c r="AH22" i="12" s="1"/>
  <c r="AG64" i="13" s="1"/>
  <c r="AH17" i="11"/>
  <c r="AH24" i="11" s="1"/>
  <c r="AH31" i="11" s="1"/>
  <c r="AG57" i="13" s="1"/>
  <c r="AJ72" i="13"/>
  <c r="K18" i="11"/>
  <c r="K25" i="11" s="1"/>
  <c r="K32" i="11" s="1"/>
  <c r="J58" i="13" s="1"/>
  <c r="K16" i="12"/>
  <c r="K23" i="12" s="1"/>
  <c r="J65" i="13" s="1"/>
  <c r="AZ15" i="12"/>
  <c r="AZ22" i="12" s="1"/>
  <c r="AY64" i="13" s="1"/>
  <c r="AZ17" i="11"/>
  <c r="AZ24" i="11" s="1"/>
  <c r="AZ31" i="11" s="1"/>
  <c r="AY57" i="13" s="1"/>
  <c r="BX179" i="8"/>
  <c r="BV46" i="13"/>
  <c r="BO16" i="12"/>
  <c r="BO23" i="12" s="1"/>
  <c r="BN65" i="13" s="1"/>
  <c r="BO18" i="11"/>
  <c r="BO25" i="11" s="1"/>
  <c r="BO32" i="11" s="1"/>
  <c r="BN58" i="13" s="1"/>
  <c r="AP18" i="11"/>
  <c r="AP25" i="11" s="1"/>
  <c r="AP32" i="11" s="1"/>
  <c r="AO58" i="13" s="1"/>
  <c r="AP16" i="12"/>
  <c r="AP23" i="12" s="1"/>
  <c r="AO65" i="13" s="1"/>
  <c r="AR17" i="11"/>
  <c r="AR24" i="11" s="1"/>
  <c r="AR31" i="11" s="1"/>
  <c r="AQ57" i="13" s="1"/>
  <c r="AR15" i="12"/>
  <c r="AR22" i="12" s="1"/>
  <c r="AQ64" i="13" s="1"/>
  <c r="BK18" i="11"/>
  <c r="BK25" i="11" s="1"/>
  <c r="BK32" i="11" s="1"/>
  <c r="BJ58" i="13" s="1"/>
  <c r="BK16" i="12"/>
  <c r="BK23" i="12" s="1"/>
  <c r="BJ65" i="13" s="1"/>
  <c r="BJ15" i="12"/>
  <c r="BJ22" i="12" s="1"/>
  <c r="BI64" i="13" s="1"/>
  <c r="BJ17" i="11"/>
  <c r="BJ24" i="11" s="1"/>
  <c r="BJ31" i="11" s="1"/>
  <c r="BI57" i="13" s="1"/>
  <c r="M16" i="12"/>
  <c r="M23" i="12" s="1"/>
  <c r="L65" i="13" s="1"/>
  <c r="M18" i="11"/>
  <c r="M25" i="11" s="1"/>
  <c r="M32" i="11" s="1"/>
  <c r="L58" i="13" s="1"/>
  <c r="BW18" i="12"/>
  <c r="BW25" i="12" s="1"/>
  <c r="BV67" i="13" s="1"/>
  <c r="BW20" i="11"/>
  <c r="BW27" i="11" s="1"/>
  <c r="BW34" i="11" s="1"/>
  <c r="BV60" i="13" s="1"/>
  <c r="BR18" i="11"/>
  <c r="BR25" i="11" s="1"/>
  <c r="BR32" i="11" s="1"/>
  <c r="BQ58" i="13" s="1"/>
  <c r="BR16" i="12"/>
  <c r="BR23" i="12" s="1"/>
  <c r="BQ65" i="13" s="1"/>
  <c r="U16" i="12"/>
  <c r="U23" i="12" s="1"/>
  <c r="T65" i="13" s="1"/>
  <c r="U18" i="11"/>
  <c r="U25" i="11" s="1"/>
  <c r="U32" i="11" s="1"/>
  <c r="T58" i="13" s="1"/>
  <c r="BA17" i="11"/>
  <c r="BA24" i="11" s="1"/>
  <c r="BA31" i="11" s="1"/>
  <c r="AZ57" i="13" s="1"/>
  <c r="BA15" i="12"/>
  <c r="BA22" i="12" s="1"/>
  <c r="AZ64" i="13" s="1"/>
  <c r="BF17" i="11"/>
  <c r="BF24" i="11" s="1"/>
  <c r="BF31" i="11" s="1"/>
  <c r="BE57" i="13" s="1"/>
  <c r="BF15" i="12"/>
  <c r="BF22" i="12" s="1"/>
  <c r="BE64" i="13" s="1"/>
  <c r="BM16" i="12"/>
  <c r="BM23" i="12" s="1"/>
  <c r="BL65" i="13" s="1"/>
  <c r="BM18" i="11"/>
  <c r="BM25" i="11" s="1"/>
  <c r="BM32" i="11" s="1"/>
  <c r="BL58" i="13" s="1"/>
  <c r="BY85" i="10"/>
  <c r="BY92" i="10" s="1"/>
  <c r="BY99" i="10" s="1"/>
  <c r="BY204" i="10" s="1"/>
  <c r="BY166" i="8"/>
  <c r="BY173" i="8" s="1"/>
  <c r="BL18" i="11"/>
  <c r="BL25" i="11" s="1"/>
  <c r="BL32" i="11" s="1"/>
  <c r="BK58" i="13" s="1"/>
  <c r="BL16" i="12"/>
  <c r="BL23" i="12" s="1"/>
  <c r="BK65" i="13" s="1"/>
  <c r="BW17" i="12"/>
  <c r="BW24" i="12" s="1"/>
  <c r="BV66" i="13" s="1"/>
  <c r="BW19" i="11"/>
  <c r="BW26" i="11" s="1"/>
  <c r="BW33" i="11" s="1"/>
  <c r="BV59" i="13" s="1"/>
  <c r="BF16" i="12"/>
  <c r="BF23" i="12" s="1"/>
  <c r="BE65" i="13" s="1"/>
  <c r="BF18" i="11"/>
  <c r="BF25" i="11" s="1"/>
  <c r="BF32" i="11" s="1"/>
  <c r="BE58" i="13" s="1"/>
  <c r="BX177" i="8"/>
  <c r="BV44" i="13"/>
  <c r="Q18" i="11"/>
  <c r="Q25" i="11" s="1"/>
  <c r="Q32" i="11" s="1"/>
  <c r="P58" i="13" s="1"/>
  <c r="Q16" i="12"/>
  <c r="Q23" i="12" s="1"/>
  <c r="P65" i="13" s="1"/>
  <c r="AJ16" i="12"/>
  <c r="AJ23" i="12" s="1"/>
  <c r="AI65" i="13" s="1"/>
  <c r="AJ18" i="11"/>
  <c r="AJ25" i="11" s="1"/>
  <c r="AJ32" i="11" s="1"/>
  <c r="AI58" i="13" s="1"/>
  <c r="AI16" i="12"/>
  <c r="AI23" i="12" s="1"/>
  <c r="AH65" i="13" s="1"/>
  <c r="AI18" i="11"/>
  <c r="AI25" i="11" s="1"/>
  <c r="AI32" i="11" s="1"/>
  <c r="AH58" i="13" s="1"/>
  <c r="BU73" i="13"/>
  <c r="BL15" i="12"/>
  <c r="BL22" i="12" s="1"/>
  <c r="BK64" i="13" s="1"/>
  <c r="BL17" i="11"/>
  <c r="BL24" i="11" s="1"/>
  <c r="BL31" i="11" s="1"/>
  <c r="BK57" i="13" s="1"/>
  <c r="AC72" i="13"/>
  <c r="AS15" i="12"/>
  <c r="AS22" i="12" s="1"/>
  <c r="AR64" i="13" s="1"/>
  <c r="AS17" i="11"/>
  <c r="AS24" i="11" s="1"/>
  <c r="AS31" i="11" s="1"/>
  <c r="AR57" i="13" s="1"/>
  <c r="I71" i="13"/>
  <c r="S71" i="13"/>
  <c r="BX180" i="8"/>
  <c r="BV47" i="13"/>
  <c r="V18" i="11"/>
  <c r="V25" i="11" s="1"/>
  <c r="V32" i="11" s="1"/>
  <c r="U58" i="13" s="1"/>
  <c r="V16" i="12"/>
  <c r="V23" i="12" s="1"/>
  <c r="U65" i="13" s="1"/>
  <c r="Z15" i="12"/>
  <c r="Z22" i="12" s="1"/>
  <c r="Y64" i="13" s="1"/>
  <c r="Z17" i="11"/>
  <c r="Z24" i="11" s="1"/>
  <c r="Z31" i="11" s="1"/>
  <c r="Y57" i="13" s="1"/>
  <c r="P15" i="12"/>
  <c r="P22" i="12" s="1"/>
  <c r="O64" i="13" s="1"/>
  <c r="P17" i="11"/>
  <c r="P24" i="11" s="1"/>
  <c r="P31" i="11" s="1"/>
  <c r="O57" i="13" s="1"/>
  <c r="BB17" i="11"/>
  <c r="BB24" i="11" s="1"/>
  <c r="BB31" i="11" s="1"/>
  <c r="BA57" i="13" s="1"/>
  <c r="BB15" i="12"/>
  <c r="BB22" i="12" s="1"/>
  <c r="BA64" i="13" s="1"/>
  <c r="AK15" i="12"/>
  <c r="AK22" i="12" s="1"/>
  <c r="AJ64" i="13" s="1"/>
  <c r="AK17" i="11"/>
  <c r="AK24" i="11" s="1"/>
  <c r="AK31" i="11" s="1"/>
  <c r="AJ57" i="13" s="1"/>
  <c r="AT15" i="12"/>
  <c r="AT22" i="12" s="1"/>
  <c r="AS64" i="13" s="1"/>
  <c r="AT17" i="11"/>
  <c r="AT24" i="11" s="1"/>
  <c r="AT31" i="11" s="1"/>
  <c r="AS57" i="13" s="1"/>
  <c r="AR16" i="12"/>
  <c r="AR23" i="12" s="1"/>
  <c r="AQ65" i="13" s="1"/>
  <c r="AR18" i="11"/>
  <c r="AR25" i="11" s="1"/>
  <c r="AR32" i="11" s="1"/>
  <c r="AQ58" i="13" s="1"/>
  <c r="AN17" i="11"/>
  <c r="AN24" i="11" s="1"/>
  <c r="AN31" i="11" s="1"/>
  <c r="AM57" i="13" s="1"/>
  <c r="AN15" i="12"/>
  <c r="AN22" i="12" s="1"/>
  <c r="AM64" i="13" s="1"/>
  <c r="BP18" i="11"/>
  <c r="BP25" i="11" s="1"/>
  <c r="BP32" i="11" s="1"/>
  <c r="BO58" i="13" s="1"/>
  <c r="BP16" i="12"/>
  <c r="BP23" i="12" s="1"/>
  <c r="BO65" i="13" s="1"/>
  <c r="U15" i="12"/>
  <c r="U22" i="12" s="1"/>
  <c r="T64" i="13" s="1"/>
  <c r="U17" i="11"/>
  <c r="U24" i="11" s="1"/>
  <c r="U31" i="11" s="1"/>
  <c r="T57" i="13" s="1"/>
  <c r="S16" i="12"/>
  <c r="S23" i="12" s="1"/>
  <c r="R65" i="13" s="1"/>
  <c r="S18" i="11"/>
  <c r="S25" i="11" s="1"/>
  <c r="S32" i="11" s="1"/>
  <c r="R58" i="13" s="1"/>
  <c r="AQ16" i="12"/>
  <c r="AQ23" i="12" s="1"/>
  <c r="AP65" i="13" s="1"/>
  <c r="AQ18" i="11"/>
  <c r="AQ25" i="11" s="1"/>
  <c r="AQ32" i="11" s="1"/>
  <c r="AP58" i="13" s="1"/>
  <c r="AM16" i="12"/>
  <c r="AM23" i="12" s="1"/>
  <c r="AL65" i="13" s="1"/>
  <c r="AM18" i="11"/>
  <c r="AM25" i="11" s="1"/>
  <c r="AM32" i="11" s="1"/>
  <c r="AL58" i="13" s="1"/>
  <c r="BU16" i="12"/>
  <c r="BU23" i="12" s="1"/>
  <c r="BT65" i="13" s="1"/>
  <c r="BU18" i="11"/>
  <c r="BU25" i="11" s="1"/>
  <c r="BU32" i="11" s="1"/>
  <c r="BT58" i="13" s="1"/>
  <c r="AV18" i="11"/>
  <c r="AV25" i="11" s="1"/>
  <c r="AV32" i="11" s="1"/>
  <c r="AU58" i="13" s="1"/>
  <c r="AV16" i="12"/>
  <c r="AV23" i="12" s="1"/>
  <c r="AU65" i="13" s="1"/>
  <c r="Y15" i="12"/>
  <c r="Y22" i="12" s="1"/>
  <c r="X64" i="13" s="1"/>
  <c r="Y17" i="11"/>
  <c r="Y24" i="11" s="1"/>
  <c r="Y31" i="11" s="1"/>
  <c r="X57" i="13" s="1"/>
  <c r="AC17" i="11"/>
  <c r="AC24" i="11" s="1"/>
  <c r="AC31" i="11" s="1"/>
  <c r="AB57" i="13" s="1"/>
  <c r="AC15" i="12"/>
  <c r="AC22" i="12" s="1"/>
  <c r="AB64" i="13" s="1"/>
  <c r="BD18" i="11"/>
  <c r="BD25" i="11" s="1"/>
  <c r="BD32" i="11" s="1"/>
  <c r="BC58" i="13" s="1"/>
  <c r="BD16" i="12"/>
  <c r="BD23" i="12" s="1"/>
  <c r="BC65" i="13" s="1"/>
  <c r="BM71" i="13"/>
  <c r="O15" i="12"/>
  <c r="O22" i="12" s="1"/>
  <c r="N64" i="13" s="1"/>
  <c r="O17" i="11"/>
  <c r="O24" i="11" s="1"/>
  <c r="O31" i="11" s="1"/>
  <c r="N57" i="13" s="1"/>
  <c r="BM17" i="11"/>
  <c r="BM24" i="11" s="1"/>
  <c r="BM31" i="11" s="1"/>
  <c r="BL57" i="13" s="1"/>
  <c r="BM15" i="12"/>
  <c r="BM22" i="12" s="1"/>
  <c r="BL64" i="13" s="1"/>
  <c r="AU18" i="11"/>
  <c r="AU25" i="11" s="1"/>
  <c r="AU32" i="11" s="1"/>
  <c r="AT58" i="13" s="1"/>
  <c r="AU16" i="12"/>
  <c r="AU23" i="12" s="1"/>
  <c r="AT65" i="13" s="1"/>
  <c r="W15" i="12"/>
  <c r="W22" i="12" s="1"/>
  <c r="V64" i="13" s="1"/>
  <c r="W17" i="11"/>
  <c r="W24" i="11" s="1"/>
  <c r="W31" i="11" s="1"/>
  <c r="V57" i="13" s="1"/>
  <c r="BK15" i="12"/>
  <c r="BK22" i="12" s="1"/>
  <c r="BJ64" i="13" s="1"/>
  <c r="BK17" i="11"/>
  <c r="BK24" i="11" s="1"/>
  <c r="BK31" i="11" s="1"/>
  <c r="BJ57" i="13" s="1"/>
  <c r="BD17" i="11"/>
  <c r="BD24" i="11" s="1"/>
  <c r="BD31" i="11" s="1"/>
  <c r="BC57" i="13" s="1"/>
  <c r="BD15" i="12"/>
  <c r="BD22" i="12" s="1"/>
  <c r="BC64" i="13" s="1"/>
  <c r="BQ17" i="11"/>
  <c r="BQ24" i="11" s="1"/>
  <c r="BQ31" i="11" s="1"/>
  <c r="BP57" i="13" s="1"/>
  <c r="BQ15" i="12"/>
  <c r="BQ22" i="12" s="1"/>
  <c r="BP64" i="13" s="1"/>
  <c r="BY163" i="8"/>
  <c r="BY170" i="8" s="1"/>
  <c r="BY82" i="10"/>
  <c r="BY89" i="10" s="1"/>
  <c r="BY96" i="10" s="1"/>
  <c r="BY201" i="10" s="1"/>
  <c r="Y16" i="12"/>
  <c r="Y23" i="12" s="1"/>
  <c r="X65" i="13" s="1"/>
  <c r="Y18" i="11"/>
  <c r="Y25" i="11" s="1"/>
  <c r="Y32" i="11" s="1"/>
  <c r="X58" i="13" s="1"/>
  <c r="AA17" i="11"/>
  <c r="AA24" i="11" s="1"/>
  <c r="AA31" i="11" s="1"/>
  <c r="Z57" i="13" s="1"/>
  <c r="AA15" i="12"/>
  <c r="AA22" i="12" s="1"/>
  <c r="Z64" i="13" s="1"/>
  <c r="BT71" i="13" l="1"/>
  <c r="BR72" i="13"/>
  <c r="AN72" i="13"/>
  <c r="BI72" i="13"/>
  <c r="BW15" i="12"/>
  <c r="BW22" i="12" s="1"/>
  <c r="BV64" i="13" s="1"/>
  <c r="BV71" i="13" s="1"/>
  <c r="AO72" i="13"/>
  <c r="Q71" i="13"/>
  <c r="BV72" i="13"/>
  <c r="AX72" i="13"/>
  <c r="BH71" i="13"/>
  <c r="V71" i="13"/>
  <c r="X72" i="13"/>
  <c r="AY72" i="13"/>
  <c r="AB71" i="13"/>
  <c r="T71" i="13"/>
  <c r="BO72" i="13"/>
  <c r="N71" i="13"/>
  <c r="BE71" i="13"/>
  <c r="AW71" i="13"/>
  <c r="AO71" i="13"/>
  <c r="BM72" i="13"/>
  <c r="P71" i="13"/>
  <c r="AZ72" i="13"/>
  <c r="Z71" i="13"/>
  <c r="BP71" i="13"/>
  <c r="BJ72" i="13"/>
  <c r="AT71" i="13"/>
  <c r="AD71" i="13"/>
  <c r="BS72" i="13"/>
  <c r="BU72" i="13"/>
  <c r="AU72" i="13"/>
  <c r="U72" i="13"/>
  <c r="AQ71" i="13"/>
  <c r="BC72" i="13"/>
  <c r="BA71" i="13"/>
  <c r="P72" i="13"/>
  <c r="BK72" i="13"/>
  <c r="AZ71" i="13"/>
  <c r="AT72" i="13"/>
  <c r="AQ72" i="13"/>
  <c r="O71" i="13"/>
  <c r="T72" i="13"/>
  <c r="R71" i="13"/>
  <c r="BU71" i="13"/>
  <c r="BL71" i="13"/>
  <c r="BG72" i="13"/>
  <c r="AF72" i="13"/>
  <c r="BZ85" i="10"/>
  <c r="BZ92" i="10" s="1"/>
  <c r="BZ99" i="10" s="1"/>
  <c r="BZ204" i="10" s="1"/>
  <c r="BZ166" i="8"/>
  <c r="BZ173" i="8" s="1"/>
  <c r="BX15" i="12"/>
  <c r="BX22" i="12" s="1"/>
  <c r="BW64" i="13" s="1"/>
  <c r="BX17" i="11"/>
  <c r="BX24" i="11" s="1"/>
  <c r="BX31" i="11" s="1"/>
  <c r="BW57" i="13" s="1"/>
  <c r="BJ71" i="13"/>
  <c r="AR71" i="13"/>
  <c r="BK71" i="13"/>
  <c r="BY180" i="8"/>
  <c r="BW47" i="13"/>
  <c r="BQ72" i="13"/>
  <c r="BN72" i="13"/>
  <c r="AR72" i="13"/>
  <c r="BF72" i="13"/>
  <c r="BX16" i="12"/>
  <c r="BX23" i="12" s="1"/>
  <c r="BW65" i="13" s="1"/>
  <c r="BX18" i="11"/>
  <c r="BX25" i="11" s="1"/>
  <c r="BX32" i="11" s="1"/>
  <c r="BW58" i="13" s="1"/>
  <c r="W72" i="13"/>
  <c r="BX20" i="11"/>
  <c r="BX27" i="11" s="1"/>
  <c r="BX34" i="11" s="1"/>
  <c r="BW60" i="13" s="1"/>
  <c r="BX18" i="12"/>
  <c r="BX25" i="12" s="1"/>
  <c r="BW67" i="13" s="1"/>
  <c r="BC71" i="13"/>
  <c r="X71" i="13"/>
  <c r="BT72" i="13"/>
  <c r="R72" i="13"/>
  <c r="AM71" i="13"/>
  <c r="AS71" i="13"/>
  <c r="Y71" i="13"/>
  <c r="AH72" i="13"/>
  <c r="AI72" i="13"/>
  <c r="BV74" i="13"/>
  <c r="BO71" i="13"/>
  <c r="AK72" i="13"/>
  <c r="BE72" i="13"/>
  <c r="AG71" i="13"/>
  <c r="AE71" i="13"/>
  <c r="L71" i="13"/>
  <c r="BW44" i="13"/>
  <c r="BY177" i="8"/>
  <c r="BV73" i="13"/>
  <c r="BL72" i="13"/>
  <c r="L72" i="13"/>
  <c r="BI71" i="13"/>
  <c r="AY71" i="13"/>
  <c r="U71" i="13"/>
  <c r="BZ164" i="8"/>
  <c r="BZ171" i="8" s="1"/>
  <c r="BZ83" i="10"/>
  <c r="BZ90" i="10" s="1"/>
  <c r="BZ97" i="10" s="1"/>
  <c r="BZ202" i="10" s="1"/>
  <c r="AN71" i="13"/>
  <c r="AA71" i="13"/>
  <c r="AK71" i="13"/>
  <c r="BZ82" i="10"/>
  <c r="BZ89" i="10" s="1"/>
  <c r="BZ96" i="10" s="1"/>
  <c r="BZ201" i="10" s="1"/>
  <c r="BZ163" i="8"/>
  <c r="BZ170" i="8" s="1"/>
  <c r="BY179" i="8"/>
  <c r="BW46" i="13"/>
  <c r="BX17" i="12"/>
  <c r="BX24" i="12" s="1"/>
  <c r="BW66" i="13" s="1"/>
  <c r="BX19" i="11"/>
  <c r="BX26" i="11" s="1"/>
  <c r="BX33" i="11" s="1"/>
  <c r="BW59" i="13" s="1"/>
  <c r="J71" i="13"/>
  <c r="BB71" i="13"/>
  <c r="AL72" i="13"/>
  <c r="AP72" i="13"/>
  <c r="AJ71" i="13"/>
  <c r="J72" i="13"/>
  <c r="BZ165" i="8"/>
  <c r="BZ172" i="8" s="1"/>
  <c r="BZ84" i="10"/>
  <c r="BZ91" i="10" s="1"/>
  <c r="BZ98" i="10" s="1"/>
  <c r="BZ203" i="10" s="1"/>
  <c r="BY178" i="8"/>
  <c r="BW45" i="13"/>
  <c r="AW72" i="13"/>
  <c r="BQ71" i="13"/>
  <c r="BW74" i="13" l="1"/>
  <c r="BW73" i="13"/>
  <c r="BW72" i="13"/>
  <c r="BW71" i="13"/>
  <c r="BY18" i="12"/>
  <c r="BY25" i="12" s="1"/>
  <c r="BX67" i="13" s="1"/>
  <c r="BY20" i="11"/>
  <c r="BY27" i="11" s="1"/>
  <c r="BY34" i="11" s="1"/>
  <c r="BX60" i="13" s="1"/>
  <c r="BY18" i="11"/>
  <c r="BY25" i="11" s="1"/>
  <c r="BY32" i="11" s="1"/>
  <c r="BX58" i="13" s="1"/>
  <c r="BY16" i="12"/>
  <c r="BY23" i="12" s="1"/>
  <c r="BX65" i="13" s="1"/>
  <c r="BX45" i="13"/>
  <c r="BZ178" i="8"/>
  <c r="CA84" i="10"/>
  <c r="CA91" i="10" s="1"/>
  <c r="CA98" i="10" s="1"/>
  <c r="CA203" i="10" s="1"/>
  <c r="CA165" i="8"/>
  <c r="CA172" i="8" s="1"/>
  <c r="CA85" i="10"/>
  <c r="CA92" i="10" s="1"/>
  <c r="CA99" i="10" s="1"/>
  <c r="CA204" i="10" s="1"/>
  <c r="CA166" i="8"/>
  <c r="CA173" i="8" s="1"/>
  <c r="CA83" i="10"/>
  <c r="CA90" i="10" s="1"/>
  <c r="CA97" i="10" s="1"/>
  <c r="CA202" i="10" s="1"/>
  <c r="CA164" i="8"/>
  <c r="CA171" i="8" s="1"/>
  <c r="BZ177" i="8"/>
  <c r="BX44" i="13"/>
  <c r="BY17" i="11"/>
  <c r="BY24" i="11" s="1"/>
  <c r="BY31" i="11" s="1"/>
  <c r="BX57" i="13" s="1"/>
  <c r="BY15" i="12"/>
  <c r="BY22" i="12" s="1"/>
  <c r="BX64" i="13" s="1"/>
  <c r="BY17" i="12"/>
  <c r="BY24" i="12" s="1"/>
  <c r="BX66" i="13" s="1"/>
  <c r="BY19" i="11"/>
  <c r="BY26" i="11" s="1"/>
  <c r="BY33" i="11" s="1"/>
  <c r="BX59" i="13" s="1"/>
  <c r="BZ179" i="8"/>
  <c r="BX46" i="13"/>
  <c r="CA82" i="10"/>
  <c r="CA89" i="10" s="1"/>
  <c r="CA96" i="10" s="1"/>
  <c r="CA201" i="10" s="1"/>
  <c r="CA163" i="8"/>
  <c r="CA170" i="8" s="1"/>
  <c r="BZ180" i="8"/>
  <c r="BX47" i="13"/>
  <c r="BX72" i="13" l="1"/>
  <c r="BX71" i="13"/>
  <c r="BX73" i="13"/>
  <c r="CA178" i="8"/>
  <c r="BY45" i="13"/>
  <c r="CB84" i="10"/>
  <c r="CB91" i="10" s="1"/>
  <c r="CB98" i="10" s="1"/>
  <c r="CB203" i="10" s="1"/>
  <c r="CB165" i="8"/>
  <c r="CB172" i="8" s="1"/>
  <c r="BZ19" i="11"/>
  <c r="BZ26" i="11" s="1"/>
  <c r="BZ33" i="11" s="1"/>
  <c r="BY59" i="13" s="1"/>
  <c r="BZ17" i="12"/>
  <c r="BZ24" i="12" s="1"/>
  <c r="BY66" i="13" s="1"/>
  <c r="BX74" i="13"/>
  <c r="BZ16" i="12"/>
  <c r="BZ23" i="12" s="1"/>
  <c r="BY65" i="13" s="1"/>
  <c r="BZ18" i="11"/>
  <c r="BZ25" i="11" s="1"/>
  <c r="BZ32" i="11" s="1"/>
  <c r="BY58" i="13" s="1"/>
  <c r="CB163" i="8"/>
  <c r="CB170" i="8" s="1"/>
  <c r="CB82" i="10"/>
  <c r="CB89" i="10" s="1"/>
  <c r="CB96" i="10" s="1"/>
  <c r="CB201" i="10" s="1"/>
  <c r="CA180" i="8"/>
  <c r="BY47" i="13"/>
  <c r="CA177" i="8"/>
  <c r="BY44" i="13"/>
  <c r="BZ18" i="12"/>
  <c r="BZ25" i="12" s="1"/>
  <c r="BY67" i="13" s="1"/>
  <c r="BZ20" i="11"/>
  <c r="BZ27" i="11" s="1"/>
  <c r="BZ34" i="11" s="1"/>
  <c r="BY60" i="13" s="1"/>
  <c r="BZ15" i="12"/>
  <c r="BZ22" i="12" s="1"/>
  <c r="BY64" i="13" s="1"/>
  <c r="BZ17" i="11"/>
  <c r="BZ24" i="11" s="1"/>
  <c r="BZ31" i="11" s="1"/>
  <c r="BY57" i="13" s="1"/>
  <c r="CB85" i="10"/>
  <c r="CB92" i="10" s="1"/>
  <c r="CB99" i="10" s="1"/>
  <c r="CB204" i="10" s="1"/>
  <c r="CB166" i="8"/>
  <c r="CB173" i="8" s="1"/>
  <c r="CA179" i="8"/>
  <c r="BY46" i="13"/>
  <c r="CB83" i="10"/>
  <c r="CB90" i="10" s="1"/>
  <c r="CB97" i="10" s="1"/>
  <c r="CB202" i="10" s="1"/>
  <c r="CB164" i="8"/>
  <c r="CB171" i="8" s="1"/>
  <c r="BY74" i="13" l="1"/>
  <c r="CA17" i="12"/>
  <c r="CA24" i="12" s="1"/>
  <c r="BZ66" i="13" s="1"/>
  <c r="CA19" i="11"/>
  <c r="CA26" i="11" s="1"/>
  <c r="CA33" i="11" s="1"/>
  <c r="BZ59" i="13" s="1"/>
  <c r="BZ45" i="13"/>
  <c r="CB178" i="8"/>
  <c r="CC85" i="10"/>
  <c r="CC92" i="10" s="1"/>
  <c r="CC99" i="10" s="1"/>
  <c r="CC204" i="10" s="1"/>
  <c r="CC166" i="8"/>
  <c r="CC173" i="8" s="1"/>
  <c r="CA16" i="12"/>
  <c r="CA23" i="12" s="1"/>
  <c r="BZ65" i="13" s="1"/>
  <c r="CA18" i="11"/>
  <c r="CA25" i="11" s="1"/>
  <c r="CA32" i="11" s="1"/>
  <c r="BZ58" i="13" s="1"/>
  <c r="CC165" i="8"/>
  <c r="CC172" i="8" s="1"/>
  <c r="CC84" i="10"/>
  <c r="CC91" i="10" s="1"/>
  <c r="CC98" i="10" s="1"/>
  <c r="CC203" i="10" s="1"/>
  <c r="CB180" i="8"/>
  <c r="BZ47" i="13"/>
  <c r="CA20" i="11"/>
  <c r="CA27" i="11" s="1"/>
  <c r="CA34" i="11" s="1"/>
  <c r="BZ60" i="13" s="1"/>
  <c r="CA18" i="12"/>
  <c r="CA25" i="12" s="1"/>
  <c r="BZ67" i="13" s="1"/>
  <c r="BY71" i="13"/>
  <c r="CA17" i="11"/>
  <c r="CA24" i="11" s="1"/>
  <c r="CA31" i="11" s="1"/>
  <c r="BZ57" i="13" s="1"/>
  <c r="CA15" i="12"/>
  <c r="CA22" i="12" s="1"/>
  <c r="BZ64" i="13" s="1"/>
  <c r="BY73" i="13"/>
  <c r="CC163" i="8"/>
  <c r="CC170" i="8" s="1"/>
  <c r="CC82" i="10"/>
  <c r="CC89" i="10" s="1"/>
  <c r="CC96" i="10" s="1"/>
  <c r="CC201" i="10" s="1"/>
  <c r="CC83" i="10"/>
  <c r="CC90" i="10" s="1"/>
  <c r="CC97" i="10" s="1"/>
  <c r="CC202" i="10" s="1"/>
  <c r="CC164" i="8"/>
  <c r="CC171" i="8" s="1"/>
  <c r="CB177" i="8"/>
  <c r="BZ44" i="13"/>
  <c r="BY72" i="13"/>
  <c r="CB179" i="8"/>
  <c r="BZ46" i="13"/>
  <c r="BZ71" i="13" l="1"/>
  <c r="BZ72" i="13"/>
  <c r="CB17" i="11"/>
  <c r="CB24" i="11" s="1"/>
  <c r="CB31" i="11" s="1"/>
  <c r="CA57" i="13" s="1"/>
  <c r="CB15" i="12"/>
  <c r="CB22" i="12" s="1"/>
  <c r="CA64" i="13" s="1"/>
  <c r="CC177" i="8"/>
  <c r="CA44" i="13"/>
  <c r="CC178" i="8"/>
  <c r="CA45" i="13"/>
  <c r="CD85" i="10"/>
  <c r="CD92" i="10" s="1"/>
  <c r="CD99" i="10" s="1"/>
  <c r="CD204" i="10" s="1"/>
  <c r="CD166" i="8"/>
  <c r="CD173" i="8" s="1"/>
  <c r="CB18" i="11"/>
  <c r="CB25" i="11" s="1"/>
  <c r="CB32" i="11" s="1"/>
  <c r="CA58" i="13" s="1"/>
  <c r="CB16" i="12"/>
  <c r="CB23" i="12" s="1"/>
  <c r="CA65" i="13" s="1"/>
  <c r="CD165" i="8"/>
  <c r="CD172" i="8" s="1"/>
  <c r="CD84" i="10"/>
  <c r="CD91" i="10" s="1"/>
  <c r="CD98" i="10" s="1"/>
  <c r="CD203" i="10" s="1"/>
  <c r="CD83" i="10"/>
  <c r="CD90" i="10" s="1"/>
  <c r="CD97" i="10" s="1"/>
  <c r="CD202" i="10" s="1"/>
  <c r="CD164" i="8"/>
  <c r="CD171" i="8" s="1"/>
  <c r="CC180" i="8"/>
  <c r="CA47" i="13"/>
  <c r="CB19" i="11"/>
  <c r="CB26" i="11" s="1"/>
  <c r="CB33" i="11" s="1"/>
  <c r="CA59" i="13" s="1"/>
  <c r="CB17" i="12"/>
  <c r="CB24" i="12" s="1"/>
  <c r="CA66" i="13" s="1"/>
  <c r="CB20" i="11"/>
  <c r="CB27" i="11" s="1"/>
  <c r="CB34" i="11" s="1"/>
  <c r="CA60" i="13" s="1"/>
  <c r="CB18" i="12"/>
  <c r="CB25" i="12" s="1"/>
  <c r="CA67" i="13" s="1"/>
  <c r="CC179" i="8"/>
  <c r="CA46" i="13"/>
  <c r="CD82" i="10"/>
  <c r="CD89" i="10" s="1"/>
  <c r="CD96" i="10" s="1"/>
  <c r="CD201" i="10" s="1"/>
  <c r="CD163" i="8"/>
  <c r="CD170" i="8" s="1"/>
  <c r="BZ74" i="13"/>
  <c r="BZ73" i="13"/>
  <c r="M165" i="8" l="1"/>
  <c r="M172" i="8" s="1"/>
  <c r="M84" i="10"/>
  <c r="M91" i="10" s="1"/>
  <c r="M98" i="10" s="1"/>
  <c r="M203" i="10" s="1"/>
  <c r="CA74" i="13"/>
  <c r="CE163" i="8"/>
  <c r="CE170" i="8" s="1"/>
  <c r="CE82" i="10"/>
  <c r="CE89" i="10" s="1"/>
  <c r="CE96" i="10" s="1"/>
  <c r="CE201" i="10" s="1"/>
  <c r="CC18" i="12"/>
  <c r="CC25" i="12" s="1"/>
  <c r="CB67" i="13" s="1"/>
  <c r="CC20" i="11"/>
  <c r="CC27" i="11" s="1"/>
  <c r="CC34" i="11" s="1"/>
  <c r="CB60" i="13" s="1"/>
  <c r="CD177" i="8"/>
  <c r="CB44" i="13"/>
  <c r="CE83" i="10"/>
  <c r="CE90" i="10" s="1"/>
  <c r="CE97" i="10" s="1"/>
  <c r="CE202" i="10" s="1"/>
  <c r="CE164" i="8"/>
  <c r="CE171" i="8" s="1"/>
  <c r="CE84" i="10"/>
  <c r="CE91" i="10" s="1"/>
  <c r="CE98" i="10" s="1"/>
  <c r="CE203" i="10" s="1"/>
  <c r="CE165" i="8"/>
  <c r="CE172" i="8" s="1"/>
  <c r="CC17" i="11"/>
  <c r="CC24" i="11" s="1"/>
  <c r="CC31" i="11" s="1"/>
  <c r="CB57" i="13" s="1"/>
  <c r="CC15" i="12"/>
  <c r="CC22" i="12" s="1"/>
  <c r="CB64" i="13" s="1"/>
  <c r="CA73" i="13"/>
  <c r="CA72" i="13"/>
  <c r="CD178" i="8"/>
  <c r="CB45" i="13"/>
  <c r="CE166" i="8"/>
  <c r="CE173" i="8" s="1"/>
  <c r="CE85" i="10"/>
  <c r="CE92" i="10" s="1"/>
  <c r="CE99" i="10" s="1"/>
  <c r="CE204" i="10" s="1"/>
  <c r="CA71" i="13"/>
  <c r="M166" i="8"/>
  <c r="M173" i="8" s="1"/>
  <c r="M85" i="10"/>
  <c r="M92" i="10" s="1"/>
  <c r="M99" i="10" s="1"/>
  <c r="M204" i="10" s="1"/>
  <c r="CC18" i="11"/>
  <c r="CC25" i="11" s="1"/>
  <c r="CC32" i="11" s="1"/>
  <c r="CB58" i="13" s="1"/>
  <c r="CC16" i="12"/>
  <c r="CC23" i="12" s="1"/>
  <c r="CB65" i="13" s="1"/>
  <c r="CC19" i="11"/>
  <c r="CC26" i="11" s="1"/>
  <c r="CC33" i="11" s="1"/>
  <c r="CB59" i="13" s="1"/>
  <c r="CC17" i="12"/>
  <c r="CC24" i="12" s="1"/>
  <c r="CB66" i="13" s="1"/>
  <c r="CD179" i="8"/>
  <c r="CB46" i="13"/>
  <c r="CD180" i="8"/>
  <c r="CB47" i="13"/>
  <c r="CB73" i="13" l="1"/>
  <c r="CF85" i="10"/>
  <c r="CF92" i="10" s="1"/>
  <c r="CF99" i="10" s="1"/>
  <c r="CF204" i="10" s="1"/>
  <c r="CF166" i="8"/>
  <c r="CF173" i="8" s="1"/>
  <c r="CB72" i="13"/>
  <c r="CF83" i="10"/>
  <c r="CF90" i="10" s="1"/>
  <c r="CF97" i="10" s="1"/>
  <c r="CF202" i="10" s="1"/>
  <c r="CF164" i="8"/>
  <c r="CF171" i="8" s="1"/>
  <c r="CB71" i="13"/>
  <c r="CF84" i="10"/>
  <c r="CF91" i="10" s="1"/>
  <c r="CF98" i="10" s="1"/>
  <c r="CF203" i="10" s="1"/>
  <c r="CF165" i="8"/>
  <c r="CF172" i="8" s="1"/>
  <c r="CE179" i="8"/>
  <c r="CC46" i="13"/>
  <c r="CB74" i="13"/>
  <c r="CF82" i="10"/>
  <c r="CF89" i="10" s="1"/>
  <c r="CF96" i="10" s="1"/>
  <c r="CF201" i="10" s="1"/>
  <c r="CF163" i="8"/>
  <c r="CF170" i="8" s="1"/>
  <c r="L20" i="11"/>
  <c r="L27" i="11" s="1"/>
  <c r="L34" i="11" s="1"/>
  <c r="K60" i="13" s="1"/>
  <c r="L18" i="12"/>
  <c r="L25" i="12" s="1"/>
  <c r="K67" i="13" s="1"/>
  <c r="M180" i="8"/>
  <c r="K47" i="13"/>
  <c r="CD18" i="12"/>
  <c r="CD25" i="12" s="1"/>
  <c r="CC67" i="13" s="1"/>
  <c r="CD20" i="11"/>
  <c r="CD27" i="11" s="1"/>
  <c r="CD34" i="11" s="1"/>
  <c r="CC60" i="13" s="1"/>
  <c r="CD19" i="11"/>
  <c r="CD26" i="11" s="1"/>
  <c r="CD33" i="11" s="1"/>
  <c r="CC59" i="13" s="1"/>
  <c r="CD17" i="12"/>
  <c r="CD24" i="12" s="1"/>
  <c r="CC66" i="13" s="1"/>
  <c r="CE178" i="8"/>
  <c r="CC45" i="13"/>
  <c r="CD17" i="11"/>
  <c r="CD24" i="11" s="1"/>
  <c r="CD31" i="11" s="1"/>
  <c r="CC57" i="13" s="1"/>
  <c r="CD15" i="12"/>
  <c r="CD22" i="12" s="1"/>
  <c r="CC64" i="13" s="1"/>
  <c r="CD16" i="12"/>
  <c r="CD23" i="12" s="1"/>
  <c r="CC65" i="13" s="1"/>
  <c r="CD18" i="11"/>
  <c r="CD25" i="11" s="1"/>
  <c r="CD32" i="11" s="1"/>
  <c r="CC58" i="13" s="1"/>
  <c r="CE177" i="8"/>
  <c r="CC44" i="13"/>
  <c r="L17" i="12"/>
  <c r="L24" i="12" s="1"/>
  <c r="K66" i="13" s="1"/>
  <c r="L19" i="11"/>
  <c r="L26" i="11" s="1"/>
  <c r="L33" i="11" s="1"/>
  <c r="K59" i="13" s="1"/>
  <c r="CE180" i="8"/>
  <c r="CC47" i="13"/>
  <c r="M179" i="8"/>
  <c r="K46" i="13"/>
  <c r="K73" i="13" l="1"/>
  <c r="Q31" i="28" s="1"/>
  <c r="CC72" i="13"/>
  <c r="CE15" i="12"/>
  <c r="CE22" i="12" s="1"/>
  <c r="CD64" i="13" s="1"/>
  <c r="CE17" i="11"/>
  <c r="CE24" i="11" s="1"/>
  <c r="CE31" i="11" s="1"/>
  <c r="CD57" i="13" s="1"/>
  <c r="CC74" i="13"/>
  <c r="CF178" i="8"/>
  <c r="CD45" i="13"/>
  <c r="CE18" i="12"/>
  <c r="CE25" i="12" s="1"/>
  <c r="CD67" i="13" s="1"/>
  <c r="D26" i="28" s="1"/>
  <c r="CE20" i="11"/>
  <c r="CE27" i="11" s="1"/>
  <c r="CE34" i="11" s="1"/>
  <c r="CD60" i="13" s="1"/>
  <c r="CE18" i="11"/>
  <c r="CE25" i="11" s="1"/>
  <c r="CE32" i="11" s="1"/>
  <c r="CD58" i="13" s="1"/>
  <c r="CE16" i="12"/>
  <c r="CE23" i="12" s="1"/>
  <c r="CD65" i="13" s="1"/>
  <c r="CF177" i="8"/>
  <c r="CD44" i="13"/>
  <c r="CC73" i="13"/>
  <c r="CC71" i="13"/>
  <c r="CD46" i="13"/>
  <c r="CF179" i="8"/>
  <c r="CE19" i="11"/>
  <c r="CE26" i="11" s="1"/>
  <c r="CE33" i="11" s="1"/>
  <c r="CD59" i="13" s="1"/>
  <c r="CE17" i="12"/>
  <c r="CE24" i="12" s="1"/>
  <c r="CD66" i="13" s="1"/>
  <c r="K74" i="13"/>
  <c r="CD47" i="13"/>
  <c r="D24" i="28" s="1"/>
  <c r="CF180" i="8"/>
  <c r="D29" i="28" l="1"/>
  <c r="S14" i="6"/>
  <c r="CD74" i="13"/>
  <c r="CD71" i="13"/>
  <c r="CD73" i="13"/>
  <c r="CD72" i="13"/>
  <c r="R31" i="28" l="1"/>
  <c r="C9" i="40"/>
  <c r="R29" i="28"/>
  <c r="Q38" i="28"/>
  <c r="R38" i="28" s="1"/>
  <c r="R32" i="28"/>
  <c r="Q39" i="28"/>
  <c r="R39" i="28" s="1"/>
  <c r="Q43" i="28"/>
  <c r="R43" i="28" s="1"/>
  <c r="Q42" i="28"/>
  <c r="R42" i="28" s="1"/>
  <c r="Q37" i="28"/>
  <c r="R37" i="28" s="1"/>
  <c r="Q41" i="28"/>
  <c r="R41" i="28" s="1"/>
  <c r="R30" i="28"/>
  <c r="D33" i="28"/>
  <c r="Q24" i="28"/>
  <c r="D35" i="28"/>
  <c r="C11" i="40" s="1"/>
  <c r="S20" i="6"/>
  <c r="Y9" i="6"/>
  <c r="C19" i="2" l="1"/>
  <c r="C12" i="40"/>
</calcChain>
</file>

<file path=xl/sharedStrings.xml><?xml version="1.0" encoding="utf-8"?>
<sst xmlns="http://schemas.openxmlformats.org/spreadsheetml/2006/main" count="4026" uniqueCount="834">
  <si>
    <t>Version</t>
  </si>
  <si>
    <t>Description</t>
  </si>
  <si>
    <t>Date</t>
  </si>
  <si>
    <t>2021 TAG Workbook (July 2020 v1.13.1) Update/NTM Model Update</t>
  </si>
  <si>
    <t>2022 TAG Workbook (May 2022 v1.18) Update/NTM Model Update</t>
  </si>
  <si>
    <t>Data collected</t>
  </si>
  <si>
    <t>All</t>
  </si>
  <si>
    <t>Scheme Opening Year*</t>
  </si>
  <si>
    <t>* indicates necessary</t>
  </si>
  <si>
    <t>Scheme costs*</t>
  </si>
  <si>
    <t>Length of Scheme*</t>
  </si>
  <si>
    <t>Number of vehicles on affected section (split by vehicle type if possible)*</t>
  </si>
  <si>
    <t>Average Speed on Route</t>
  </si>
  <si>
    <t>Type of Road*</t>
  </si>
  <si>
    <t>Other salient information for the VfM Case</t>
  </si>
  <si>
    <t>Carriageways</t>
  </si>
  <si>
    <t>SCANNER data (proportion of Red, Amber and Green)</t>
  </si>
  <si>
    <t>Average RCI in each condition band</t>
  </si>
  <si>
    <t>Cycleways</t>
  </si>
  <si>
    <t>Number of Cyclists</t>
  </si>
  <si>
    <t>Information about the diversion Route</t>
  </si>
  <si>
    <t>Diversions (Bridges/Drainage)</t>
  </si>
  <si>
    <t>Length of any diversion route, if closure is required (over and above existing route)</t>
  </si>
  <si>
    <t>Average extra time per vehicle on diversion route (over and above existing route)</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</si>
  <si>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</si>
  <si>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</si>
  <si>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</si>
  <si>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</si>
  <si>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</si>
  <si>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Drainage</t>
  </si>
  <si>
    <t>Number of closures due to flooding per year</t>
  </si>
  <si>
    <t>(Average) Duration of closure due to flooding</t>
  </si>
  <si>
    <t xml:space="preserve">TAG Data </t>
  </si>
  <si>
    <t>Source</t>
  </si>
  <si>
    <t>Annual Parameters</t>
  </si>
  <si>
    <t>TAG Databook May 2022 v1.18</t>
  </si>
  <si>
    <t>National Traffic Model</t>
  </si>
  <si>
    <t>Road Traffic Forecasts 2018</t>
  </si>
  <si>
    <t>Discount rates</t>
  </si>
  <si>
    <t>Table A1.1.1</t>
  </si>
  <si>
    <t>Proportion of travel and trips in work and non-work time</t>
  </si>
  <si>
    <t>Table A.1.3.4</t>
  </si>
  <si>
    <t>Forecast market price values of time per vehicle based on distance travelled</t>
  </si>
  <si>
    <t>Table A1.3.6</t>
  </si>
  <si>
    <t>Fuel and electricity price components</t>
  </si>
  <si>
    <t>Table A1.3.7</t>
  </si>
  <si>
    <t>Proportion of vehicle kilometres by fuel type</t>
  </si>
  <si>
    <t>Table A1.3.9</t>
  </si>
  <si>
    <t>Forecast fuel consumption parameters</t>
  </si>
  <si>
    <t>Table A1.3.11</t>
  </si>
  <si>
    <t>Forecast vehicle fuel/energy cost formulae parameters (work and non-work)</t>
  </si>
  <si>
    <t>Table A.1.3.12 and A.1.3.13</t>
  </si>
  <si>
    <t>Table A.1.3.14</t>
  </si>
  <si>
    <t>Forecast Non-Fuel resource Car operating costs to 2035</t>
  </si>
  <si>
    <t>Table A.3.15</t>
  </si>
  <si>
    <t>Value of journey ambience benefit of cycle facilities</t>
  </si>
  <si>
    <t>Table A.4.1.6</t>
  </si>
  <si>
    <t xml:space="preserve">Carbon dioxide emissions per litre of fuel burnt </t>
  </si>
  <si>
    <t>Table A3.3</t>
  </si>
  <si>
    <t>Forecast non-traded, £ per tonne of Co2</t>
  </si>
  <si>
    <t>Table A3.4</t>
  </si>
  <si>
    <t>Cycling Schemes</t>
  </si>
  <si>
    <t>Table A5.4.2</t>
  </si>
  <si>
    <t>Local Highways Maintenance Small Scheme Appraisal Toolkit</t>
  </si>
  <si>
    <t>Scheme Name</t>
  </si>
  <si>
    <t>Scheme Promoter</t>
  </si>
  <si>
    <t>Scheme Details</t>
  </si>
  <si>
    <t>Scheme Opening Year</t>
  </si>
  <si>
    <t>Appraisal period: 30 years</t>
  </si>
  <si>
    <t>Scheme Description</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</si>
  <si>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</si>
  <si>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</si>
  <si>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</si>
  <si>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</si>
  <si>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</si>
  <si>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</si>
  <si>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</si>
  <si>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</si>
  <si>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</si>
  <si>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</si>
  <si>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</si>
  <si>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</si>
  <si>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</si>
  <si>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</si>
  <si>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</si>
  <si>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</si>
  <si>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</si>
  <si>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</si>
  <si>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</si>
  <si>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</si>
  <si>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</si>
  <si>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</si>
  <si>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</si>
  <si>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</si>
  <si>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</si>
  <si>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 xml:space="preserve">(Km/h) </t>
  </si>
  <si>
    <t>Type of Road</t>
  </si>
  <si>
    <t>(Motorway, Trunk, Principal or Minor)</t>
  </si>
  <si>
    <t>SCANNER CATEGORY</t>
  </si>
  <si>
    <t>Proportion of the road</t>
  </si>
  <si>
    <t>Average RCI Number</t>
  </si>
  <si>
    <t>Red</t>
  </si>
  <si>
    <t>Amber</t>
  </si>
  <si>
    <t>Green</t>
  </si>
  <si>
    <t>Cyclists/day</t>
  </si>
  <si>
    <t>Diversion</t>
  </si>
  <si>
    <t>Data</t>
  </si>
  <si>
    <t>Please give information about the diversion Route</t>
  </si>
  <si>
    <t>Note: there is no need to conduct any additional new modelling. Please use whatever existing route mapping tools currently available.</t>
  </si>
  <si>
    <t>km</t>
  </si>
  <si>
    <t>mins</t>
  </si>
  <si>
    <t xml:space="preserve">What vehicle class does the restriction apply to? </t>
  </si>
  <si>
    <t>Flooding</t>
  </si>
  <si>
    <t>(number of closures/year)</t>
  </si>
  <si>
    <t xml:space="preserve">(duration of closure - hrs) </t>
  </si>
  <si>
    <t>OUTPUTS - Local Highways Maintenance Small Scheme</t>
  </si>
  <si>
    <t>Local (Highway) Authority Name(s)</t>
  </si>
  <si>
    <t>Project Name</t>
  </si>
  <si>
    <t>PVB Calculation</t>
  </si>
  <si>
    <t>PVC Calculation</t>
  </si>
  <si>
    <t>NPV Calculation</t>
  </si>
  <si>
    <t>Final BCR</t>
  </si>
  <si>
    <t>VfM Category</t>
  </si>
  <si>
    <t>RAG confidence rating</t>
  </si>
  <si>
    <t>INPUT - Highways Maintenance Challenge Fund - Scheme Info</t>
  </si>
  <si>
    <t xml:space="preserve"> VfM Assessor</t>
  </si>
  <si>
    <t>&lt;Please Enter your Name&gt;</t>
  </si>
  <si>
    <t>Date last reviewed</t>
  </si>
  <si>
    <t>Bid Number /Scheme ID</t>
  </si>
  <si>
    <t>Project Description</t>
  </si>
  <si>
    <t>Project Size</t>
  </si>
  <si>
    <t>Project Type</t>
  </si>
  <si>
    <t>&lt;Please enter Scheme Type&gt;</t>
  </si>
  <si>
    <t>Carriageway</t>
  </si>
  <si>
    <t>Cycleway</t>
  </si>
  <si>
    <t>Bridge Scheme</t>
  </si>
  <si>
    <t>Drainage Scheme</t>
  </si>
  <si>
    <t>Has pro-forma been submitted?</t>
  </si>
  <si>
    <t xml:space="preserve">Please scrutinise the data provided in the economic case. Each type of input should be given a RAG rating. This will feed into the overall confidence of the scheme. Please note the following guidelines: 
- If an assumption is used downgrade the RAG rating. For example, assuming proportions of Cars, LGVs, HGVs and PSV. 
- The "average value" is provided in some cases, if the scheme promoters value is outside the range you may wish to downgrade the RAG rating. 
- The scheme promoters values can be overridden at your discretion. 
- please check maps and the strategic case to "sense check" the data provided. </t>
  </si>
  <si>
    <t>Input</t>
  </si>
  <si>
    <t>RAG</t>
  </si>
  <si>
    <t>Supporting information</t>
  </si>
  <si>
    <t>Notes</t>
  </si>
  <si>
    <t>Distance</t>
  </si>
  <si>
    <t>Please Enter</t>
  </si>
  <si>
    <t>Please check maps provided to "sense check" this figure</t>
  </si>
  <si>
    <t>Match</t>
  </si>
  <si>
    <t>AADT</t>
  </si>
  <si>
    <t>Number of vehicles - Total</t>
  </si>
  <si>
    <t xml:space="preserve">If this data is only provided as total AADT data, the default mode splits should be applied.  </t>
  </si>
  <si>
    <t xml:space="preserve">Car </t>
  </si>
  <si>
    <t>PVB</t>
  </si>
  <si>
    <t>PVC</t>
  </si>
  <si>
    <t>Default Mode splits</t>
  </si>
  <si>
    <t>BCR</t>
  </si>
  <si>
    <t>Road Quality</t>
  </si>
  <si>
    <t>SCANNER data</t>
  </si>
  <si>
    <t>SCANNER data is the name given to road condition data, and is measured using RCI (Road condition Index) for 10m of road. There are three categories of road condition, which correspond to the need for maintenance. 
RCI bands are given below, in brackets is the default point estimate proxy for average RCI in each condition band: 
Red - 100+  (110)
Amber - 60-100  (70)
Green - 0-60  (20)</t>
  </si>
  <si>
    <t xml:space="preserve">Is RED within 33% of average? </t>
  </si>
  <si>
    <t xml:space="preserve">Is AMBER within 33% of average? </t>
  </si>
  <si>
    <t xml:space="preserve">Is GREEN within 33% of average? </t>
  </si>
  <si>
    <t>Average RCI for bands</t>
  </si>
  <si>
    <t>Speed</t>
  </si>
  <si>
    <t>Road Type</t>
  </si>
  <si>
    <t>Expected Speed</t>
  </si>
  <si>
    <t xml:space="preserve">Is it +/- 33%? </t>
  </si>
  <si>
    <t>Cyclists</t>
  </si>
  <si>
    <t>Number of cyclists</t>
  </si>
  <si>
    <t>Journey Ambience</t>
  </si>
  <si>
    <t>p</t>
  </si>
  <si>
    <t xml:space="preserve">This has been set at 1p per min. </t>
  </si>
  <si>
    <t>Average cycle journey length</t>
  </si>
  <si>
    <t xml:space="preserve">Assumption in AMAT can be used. </t>
  </si>
  <si>
    <t>Average cycle speed</t>
  </si>
  <si>
    <t>Diversions</t>
  </si>
  <si>
    <t>Length of diversion</t>
  </si>
  <si>
    <t>Please check any maps to sense check this figure</t>
  </si>
  <si>
    <t xml:space="preserve">Extra time per vehicle on diversion route </t>
  </si>
  <si>
    <t>Expected extra time</t>
  </si>
  <si>
    <t>Is it within 20% of expected time?</t>
  </si>
  <si>
    <t xml:space="preserve">If the time given in the proforma is not within 20% of the expected time you may want to adjust the value, or give a lower RAG rating. </t>
  </si>
  <si>
    <t>Is there a restriction on Cars?</t>
  </si>
  <si>
    <t>Is there a restriction on LGVs?</t>
  </si>
  <si>
    <t>Is there a restriction on HGVs?</t>
  </si>
  <si>
    <t>Is there a restriction on PSVs?</t>
  </si>
  <si>
    <t>Restriction year</t>
  </si>
  <si>
    <t>Days per year</t>
  </si>
  <si>
    <t>Number of closures per year</t>
  </si>
  <si>
    <t>times</t>
  </si>
  <si>
    <t>(Average) Duration of closure</t>
  </si>
  <si>
    <t>hours</t>
  </si>
  <si>
    <t xml:space="preserve">Assumption of 24 hours. If an assumption is used there will be a downgrade in the RAG rating. </t>
  </si>
  <si>
    <t xml:space="preserve">Data </t>
  </si>
  <si>
    <t>Proportions of vehicle kilometres by fuel type</t>
  </si>
  <si>
    <t>Non-fuel resource vehicle operating costs</t>
  </si>
  <si>
    <t>Table A.3.14</t>
  </si>
  <si>
    <t>Forecast Non-Fuel resource Car operating cost</t>
  </si>
  <si>
    <t xml:space="preserve">PVB (Present Value Benefits) </t>
  </si>
  <si>
    <t>Submitted by Scheme Promoter</t>
  </si>
  <si>
    <t>Did the Scheme promoter submit a PVB figure?</t>
  </si>
  <si>
    <t>PVB submitted in bid</t>
  </si>
  <si>
    <t>RAG Rating</t>
  </si>
  <si>
    <t>Assessors comments</t>
  </si>
  <si>
    <t>PVB Comparison</t>
  </si>
  <si>
    <t xml:space="preserve">Are these figures within 20%? </t>
  </si>
  <si>
    <t xml:space="preserve">Which PVB value to be used in VfM scrutiny? </t>
  </si>
  <si>
    <t>Toolkit VfM Assessment</t>
  </si>
  <si>
    <t>Relevant VfM Figures</t>
  </si>
  <si>
    <t>Total (£1000's)</t>
  </si>
  <si>
    <t>PVC per scheme kilometer [£/km]</t>
  </si>
  <si>
    <t>PVB  per vehicle kilometer [£/#vehicle km]</t>
  </si>
  <si>
    <t>AADT  [#vehicles]</t>
  </si>
  <si>
    <t>Appraisal period (bid) [yrs]</t>
  </si>
  <si>
    <t>Cycling</t>
  </si>
  <si>
    <t>Optimism Bias [%]</t>
  </si>
  <si>
    <t>Tookit PVB Calculation</t>
  </si>
  <si>
    <t>Benefits to Cars</t>
  </si>
  <si>
    <t>Benefits to LGVs</t>
  </si>
  <si>
    <t>Toolkit PVC Calculation</t>
  </si>
  <si>
    <t>Benefits to HGVs</t>
  </si>
  <si>
    <t>Benefits to PSVs</t>
  </si>
  <si>
    <t>Toolkit BCR</t>
  </si>
  <si>
    <t>Toolkit NPV</t>
  </si>
  <si>
    <t>Switching Values</t>
  </si>
  <si>
    <t>Change in benefits required for BCR of 4</t>
  </si>
  <si>
    <t>Change in benefits required for BCR of 2</t>
  </si>
  <si>
    <t>Change in benefits required for BCR of 1.5</t>
  </si>
  <si>
    <t xml:space="preserve">Assessors comments </t>
  </si>
  <si>
    <t>Change in costs for BCR 4</t>
  </si>
  <si>
    <t>Change in costs for BCR 2</t>
  </si>
  <si>
    <t>Change in costs for BCR 1.5</t>
  </si>
  <si>
    <t>Toolkit RAG Assessment</t>
  </si>
  <si>
    <t>Overall Uncertainty Rating</t>
  </si>
  <si>
    <r>
      <t xml:space="preserve">
</t>
    </r>
    <r>
      <rPr>
        <b/>
        <sz val="12"/>
        <rFont val="Arial"/>
        <family val="2"/>
      </rPr>
      <t>G</t>
    </r>
    <r>
      <rPr>
        <sz val="12"/>
        <rFont val="Arial"/>
        <family val="2"/>
      </rPr>
      <t xml:space="preserve"> – Most or all data/assumptions/analysis provided and verifiable – generally WebTAG assumptions used – all/most analysis/results acceptable;
</t>
    </r>
    <r>
      <rPr>
        <b/>
        <sz val="12"/>
        <rFont val="Arial"/>
        <family val="2"/>
      </rPr>
      <t>AG</t>
    </r>
    <r>
      <rPr>
        <sz val="12"/>
        <rFont val="Arial"/>
        <family val="2"/>
      </rPr>
      <t xml:space="preserve"> – Some data/assumptions/analysis verifiable – results appear plausible;
</t>
    </r>
    <r>
      <rPr>
        <b/>
        <sz val="12"/>
        <rFont val="Arial"/>
        <family val="2"/>
      </rPr>
      <t xml:space="preserve">A </t>
    </r>
    <r>
      <rPr>
        <sz val="12"/>
        <rFont val="Arial"/>
        <family val="2"/>
      </rPr>
      <t xml:space="preserve">– Data/assumptions/analysis only partially verifiable and/or some adjustment made where results considered outside expectation – final result within range of expectation
</t>
    </r>
    <r>
      <rPr>
        <b/>
        <sz val="12"/>
        <rFont val="Arial"/>
        <family val="2"/>
      </rPr>
      <t>AR –</t>
    </r>
    <r>
      <rPr>
        <sz val="12"/>
        <rFont val="Arial"/>
        <family val="2"/>
      </rPr>
      <t xml:space="preserve"> Data/assumption/analysis not available – evidence limited but overall results within range of expectation – and/or used default DfT assumptions.
</t>
    </r>
    <r>
      <rPr>
        <b/>
        <sz val="12"/>
        <rFont val="Arial"/>
        <family val="2"/>
      </rPr>
      <t>R</t>
    </r>
    <r>
      <rPr>
        <sz val="12"/>
        <rFont val="Arial"/>
        <family val="2"/>
      </rPr>
      <t xml:space="preserve"> – Unable to assess VfM from data available.  </t>
    </r>
  </si>
  <si>
    <t>RAG Ratings</t>
  </si>
  <si>
    <t>Overall Confidence Rating</t>
  </si>
  <si>
    <t xml:space="preserve">Inputs </t>
  </si>
  <si>
    <t>Key:</t>
  </si>
  <si>
    <t>Proforma Inputs</t>
  </si>
  <si>
    <t>From Proforma Inputs</t>
  </si>
  <si>
    <t>Car Speed</t>
  </si>
  <si>
    <t>LGV Speed</t>
  </si>
  <si>
    <t>HGV Speed</t>
  </si>
  <si>
    <t>PSV Speed</t>
  </si>
  <si>
    <t xml:space="preserve">Scanner Proportions </t>
  </si>
  <si>
    <t>AADT Data</t>
  </si>
  <si>
    <t>HDM-4 Inputs</t>
  </si>
  <si>
    <t>HDM-4 VOC</t>
  </si>
  <si>
    <t>SCANNER category</t>
  </si>
  <si>
    <t>Car</t>
  </si>
  <si>
    <t>HDM-4 Speed Adjustments</t>
  </si>
  <si>
    <t>HDM-4 Greenhouse Gases</t>
  </si>
  <si>
    <t>Calculations by Year</t>
  </si>
  <si>
    <t>Vehicle Operating Costs</t>
  </si>
  <si>
    <t>Fuel Based VOC</t>
  </si>
  <si>
    <t>Work</t>
  </si>
  <si>
    <t>works out based on data</t>
  </si>
  <si>
    <t>Non-Work</t>
  </si>
  <si>
    <t>Fuel Costs per KM (p)</t>
  </si>
  <si>
    <t>Averages work and non work</t>
  </si>
  <si>
    <t xml:space="preserve">Fuel Cost by Distance (p) </t>
  </si>
  <si>
    <t>Multiplies by distance</t>
  </si>
  <si>
    <t>Additional Fuel Cost (pence) compared to IRI=1</t>
  </si>
  <si>
    <t>Something with RAG?</t>
  </si>
  <si>
    <t>Non-Fuel Based VOC</t>
  </si>
  <si>
    <t>Using TAG to get VOC</t>
  </si>
  <si>
    <t>Non-Fuel Based costs by Distance (p)</t>
  </si>
  <si>
    <t>Times above by distance for full costs</t>
  </si>
  <si>
    <t>Additional Non-Fuel Costs compared to IRI=1</t>
  </si>
  <si>
    <t>Additional VOC per Car (p)</t>
  </si>
  <si>
    <t>VOC Fuel cost+Non fuel cost</t>
  </si>
  <si>
    <t>Total Additional VOC (£)</t>
  </si>
  <si>
    <t>Journey Times Savings</t>
  </si>
  <si>
    <t>New Speed</t>
  </si>
  <si>
    <t>Km/h</t>
  </si>
  <si>
    <t xml:space="preserve">Savings per KM </t>
  </si>
  <si>
    <t>min per Km</t>
  </si>
  <si>
    <t>Time Savings over Given Distance</t>
  </si>
  <si>
    <t>Over Distance</t>
  </si>
  <si>
    <t>Value of Time (£)</t>
  </si>
  <si>
    <t>JTS per Vehicle (£)</t>
  </si>
  <si>
    <t>Total JTS (£s)</t>
  </si>
  <si>
    <t xml:space="preserve">Greenhouse Gases: </t>
  </si>
  <si>
    <t xml:space="preserve">Diesel per KM </t>
  </si>
  <si>
    <t xml:space="preserve">Carbon per Km - Diesel </t>
  </si>
  <si>
    <t xml:space="preserve">Petrol per KM </t>
  </si>
  <si>
    <t>Carbon per Km - Petrol</t>
  </si>
  <si>
    <t xml:space="preserve">Proportion Diesel </t>
  </si>
  <si>
    <t>Proportion Petrol</t>
  </si>
  <si>
    <t xml:space="preserve">Carbon per KM </t>
  </si>
  <si>
    <t>Carbon over distance</t>
  </si>
  <si>
    <t>Additional Fuel Burnt</t>
  </si>
  <si>
    <t>Price of Additional Carbon per Vehicle (£)</t>
  </si>
  <si>
    <t>Total Additional Carbon</t>
  </si>
  <si>
    <t>RCI Figure</t>
  </si>
  <si>
    <t>SCANNER RCI categories</t>
  </si>
  <si>
    <t>100+</t>
  </si>
  <si>
    <t>40-100</t>
  </si>
  <si>
    <t>0-40</t>
  </si>
  <si>
    <t>HDM-4 Assumptions</t>
  </si>
  <si>
    <t>Constant A</t>
  </si>
  <si>
    <t xml:space="preserve">Constant B </t>
  </si>
  <si>
    <t xml:space="preserve">Calculations </t>
  </si>
  <si>
    <t>Conversion from RCI to IRI</t>
  </si>
  <si>
    <t>RCI</t>
  </si>
  <si>
    <t>LVP3m</t>
  </si>
  <si>
    <t>IRI</t>
  </si>
  <si>
    <t>Network Road User Costs</t>
  </si>
  <si>
    <t>VOC</t>
  </si>
  <si>
    <t>Speeds</t>
  </si>
  <si>
    <t>CO2 emissions</t>
  </si>
  <si>
    <t>Bus</t>
  </si>
  <si>
    <t>Road 1</t>
  </si>
  <si>
    <t>Road 2</t>
  </si>
  <si>
    <t>Road 3</t>
  </si>
  <si>
    <t>Road 4</t>
  </si>
  <si>
    <t>Road 5</t>
  </si>
  <si>
    <t>Road 6</t>
  </si>
  <si>
    <t>Road 7</t>
  </si>
  <si>
    <t>Road 8</t>
  </si>
  <si>
    <t>Road 9</t>
  </si>
  <si>
    <t>Road 10</t>
  </si>
  <si>
    <t>Road 11</t>
  </si>
  <si>
    <t>Road 12</t>
  </si>
  <si>
    <t>Road 13</t>
  </si>
  <si>
    <t>Road 14</t>
  </si>
  <si>
    <t>Geometric interpolation</t>
  </si>
  <si>
    <t>Proforma Imputs</t>
  </si>
  <si>
    <t>Scheme Length</t>
  </si>
  <si>
    <t>KM</t>
  </si>
  <si>
    <t>Number of Users per day</t>
  </si>
  <si>
    <t>Scheme Distance Assumptions</t>
  </si>
  <si>
    <t>Journey Ambience Benefit Assumption</t>
  </si>
  <si>
    <t>Average Journey Length on a Scheme</t>
  </si>
  <si>
    <t>Speed Assumption</t>
  </si>
  <si>
    <t>Number of Days</t>
  </si>
  <si>
    <t>Journey Length</t>
  </si>
  <si>
    <t>Identify Length Figure</t>
  </si>
  <si>
    <t>Time Calculations</t>
  </si>
  <si>
    <t>Time taken on route</t>
  </si>
  <si>
    <t>Over a year</t>
  </si>
  <si>
    <t>Total Benefit</t>
  </si>
  <si>
    <t>Ambience Benefit</t>
  </si>
  <si>
    <t>KEY</t>
  </si>
  <si>
    <t>Time Taken on Route</t>
  </si>
  <si>
    <t>WORK</t>
  </si>
  <si>
    <t>VOC per car (p)</t>
  </si>
  <si>
    <t>Total Additional VOC (£) per year</t>
  </si>
  <si>
    <t>Total JTS (£)</t>
  </si>
  <si>
    <t xml:space="preserve">Carbon per Km - Desiel </t>
  </si>
  <si>
    <t xml:space="preserve">Proportion Desiel </t>
  </si>
  <si>
    <t>Carbon per KM (£)</t>
  </si>
  <si>
    <t>Price of Additional Carbon per Vehicle (p)</t>
  </si>
  <si>
    <t>Total Additional Carbon (£)</t>
  </si>
  <si>
    <t>Marginal External Costs</t>
  </si>
  <si>
    <t>Congestion*</t>
  </si>
  <si>
    <t>Infrastructure</t>
  </si>
  <si>
    <t>Accident</t>
  </si>
  <si>
    <t>Local Air Quality</t>
  </si>
  <si>
    <t>Noise</t>
  </si>
  <si>
    <t>Greenhouse Gases</t>
  </si>
  <si>
    <t>Indirect Taxation</t>
  </si>
  <si>
    <t>GHC MEC for:</t>
  </si>
  <si>
    <t>Total MEC (£)</t>
  </si>
  <si>
    <t xml:space="preserve">Overall </t>
  </si>
  <si>
    <t>Total Diversion Costs (£s) per day</t>
  </si>
  <si>
    <t>Note: Real World Uplift has been applied to the MECs</t>
  </si>
  <si>
    <t>Opening Year</t>
  </si>
  <si>
    <t>Days</t>
  </si>
  <si>
    <t>Diversion Costs per day (£)</t>
  </si>
  <si>
    <t>Diversion costs per year (£)</t>
  </si>
  <si>
    <t>Diversion applied (£)</t>
  </si>
  <si>
    <t>Yes</t>
  </si>
  <si>
    <t>Assumptions</t>
  </si>
  <si>
    <t>Appraisal Year Start</t>
  </si>
  <si>
    <t>Appraisal Period</t>
  </si>
  <si>
    <t>Base Year</t>
  </si>
  <si>
    <t>Discount Rate (1)</t>
  </si>
  <si>
    <t>Discount Rate (2)</t>
  </si>
  <si>
    <t>Growth Forecasts</t>
  </si>
  <si>
    <t xml:space="preserve">Data Exists? </t>
  </si>
  <si>
    <t>Extrapolate</t>
  </si>
  <si>
    <t>Previous</t>
  </si>
  <si>
    <t>Next</t>
  </si>
  <si>
    <t>Previous Index</t>
  </si>
  <si>
    <t>Next Index</t>
  </si>
  <si>
    <t>Car Growth</t>
  </si>
  <si>
    <t>LGV Growth</t>
  </si>
  <si>
    <t>HGV Growth</t>
  </si>
  <si>
    <t>PSV Growth</t>
  </si>
  <si>
    <t>Cyclist Growth</t>
  </si>
  <si>
    <t xml:space="preserve">Appraisal period? </t>
  </si>
  <si>
    <t xml:space="preserve">Discounting </t>
  </si>
  <si>
    <t>2010 Prices</t>
  </si>
  <si>
    <t>JTS</t>
  </si>
  <si>
    <t>Carbon</t>
  </si>
  <si>
    <t>Total Benefits</t>
  </si>
  <si>
    <t>Inputs</t>
  </si>
  <si>
    <t>Financial Data (1000s)</t>
  </si>
  <si>
    <t xml:space="preserve">Assumptions </t>
  </si>
  <si>
    <t>Optimism Bias</t>
  </si>
  <si>
    <t>Discount rate (1)</t>
  </si>
  <si>
    <t>Market Price Factor (Indirect Tax Correction Factor)</t>
  </si>
  <si>
    <t>Appraisal Year</t>
  </si>
  <si>
    <t>Discount Rates</t>
  </si>
  <si>
    <t>Calculations</t>
  </si>
  <si>
    <t>Cost</t>
  </si>
  <si>
    <t>Discounting</t>
  </si>
  <si>
    <t>Market Prices</t>
  </si>
  <si>
    <t>No</t>
  </si>
  <si>
    <t>Scheme Promoter value</t>
  </si>
  <si>
    <t>Toolkit Calculation</t>
  </si>
  <si>
    <t>R</t>
  </si>
  <si>
    <t>A</t>
  </si>
  <si>
    <t>R/A</t>
  </si>
  <si>
    <t>G</t>
  </si>
  <si>
    <t>A/G</t>
  </si>
  <si>
    <t>Poor</t>
  </si>
  <si>
    <t xml:space="preserve"> </t>
  </si>
  <si>
    <t>VfM</t>
  </si>
  <si>
    <t>Low</t>
  </si>
  <si>
    <t>Medium</t>
  </si>
  <si>
    <t>High</t>
  </si>
  <si>
    <t>Very High</t>
  </si>
  <si>
    <t>Motorway</t>
  </si>
  <si>
    <t>Trunk</t>
  </si>
  <si>
    <t>Principle</t>
  </si>
  <si>
    <t>Minor</t>
  </si>
  <si>
    <t>WebTAG Databook</t>
  </si>
  <si>
    <t>Sources</t>
  </si>
  <si>
    <t>This version:</t>
  </si>
  <si>
    <t>1. GDP Deflator</t>
  </si>
  <si>
    <t>May 2022 v1.18</t>
  </si>
  <si>
    <t>2022-2026 from OBR EFO Mar 22 supplementary economy table 1.7, published 23/03/2022</t>
  </si>
  <si>
    <t>2027 onwards: from OBR Mar 21 Long-term Economic Determinants published 06/05/2021</t>
  </si>
  <si>
    <t>Links:</t>
  </si>
  <si>
    <t xml:space="preserve">2. Real GDP </t>
  </si>
  <si>
    <t>1990-2021 from ONS ABMI series, published 11/02/2022 (£m, chained volume measure with a 2016 base)</t>
  </si>
  <si>
    <t>Contents</t>
  </si>
  <si>
    <t>2022-2026 from OBR EFO Mar 22 Table T1.1, published 23/03/2022</t>
  </si>
  <si>
    <t>WebTAG Unit 3.5.6</t>
  </si>
  <si>
    <t>WebTAG Unit A 1.3</t>
  </si>
  <si>
    <t>3. Population</t>
  </si>
  <si>
    <t>1990-2020 from mid-year population estimates - UKPOP series (all ages, '000s), published 25/06/2021</t>
  </si>
  <si>
    <t>Parameters:</t>
  </si>
  <si>
    <t>2021-2026 - based on population implied by GDP and GDP per capita growth from OBR Mar 2022 EFO Table T1.1, published 23/03/2022. From 2021 Q3 onwards, according to OBR, this should be in line with the 0% future EU migration ONS population projection variant.</t>
  </si>
  <si>
    <t>Price year:</t>
  </si>
  <si>
    <t>Projections from 2027 onwards: taken directly from ONS 2018 based 0% future EU migration variant population projection, published 21/10/2019</t>
  </si>
  <si>
    <t>High and low population growth projections are taken from ONS 2018 based population projections published 21/10/2019</t>
  </si>
  <si>
    <t>4. Households</t>
  </si>
  <si>
    <t>1996-2021 from Labour Force Survey (UK households, '000s) published 09/03/22</t>
  </si>
  <si>
    <t>Sheet Navigation:</t>
  </si>
  <si>
    <t>2022-2039 uses ONS projections of UK households last updated 29/06/2020</t>
  </si>
  <si>
    <t>Post-2039, household growth is assumed to equal population growth</t>
  </si>
  <si>
    <t>For 2020 and beyond, the series has been constructed to be consistent with the 0% future EU migration population growth scenario, by constraining the average household size in each forecast year to that implied by the ONS principal projections</t>
  </si>
  <si>
    <t>This is necessary because the reduced population must entail weaker household growth, all else equal, but ONS have not produced a household forecast to accompany the zero net EU migration pop forecast.</t>
  </si>
  <si>
    <t xml:space="preserve">VoT elasticities are set in Default Pars. The VoT index and growth p.a have been interpolated from 2019-2022 to account for short-term fluctuations due to Covid-19. </t>
  </si>
  <si>
    <r>
      <t>GDP deflator</t>
    </r>
    <r>
      <rPr>
        <b/>
        <vertAlign val="superscript"/>
        <sz val="10"/>
        <rFont val="Arial"/>
        <family val="2"/>
      </rPr>
      <t>1</t>
    </r>
  </si>
  <si>
    <r>
      <t>Real GDP</t>
    </r>
    <r>
      <rPr>
        <b/>
        <vertAlign val="superscript"/>
        <sz val="10"/>
        <rFont val="Arial"/>
        <family val="2"/>
      </rPr>
      <t>2</t>
    </r>
  </si>
  <si>
    <r>
      <t>Population</t>
    </r>
    <r>
      <rPr>
        <b/>
        <vertAlign val="superscript"/>
        <sz val="10"/>
        <rFont val="Arial"/>
        <family val="2"/>
      </rPr>
      <t>3</t>
    </r>
  </si>
  <si>
    <r>
      <t>Households</t>
    </r>
    <r>
      <rPr>
        <b/>
        <vertAlign val="superscript"/>
        <sz val="10"/>
        <rFont val="Arial"/>
        <family val="2"/>
      </rPr>
      <t>4</t>
    </r>
  </si>
  <si>
    <t>Average GDP per person</t>
  </si>
  <si>
    <t>Average GDP per household</t>
  </si>
  <si>
    <t>Work &amp; Non-Work VoT</t>
  </si>
  <si>
    <t>Historic</t>
  </si>
  <si>
    <t>Annual</t>
  </si>
  <si>
    <t>Index</t>
  </si>
  <si>
    <t>VoT</t>
  </si>
  <si>
    <t>Non-work</t>
  </si>
  <si>
    <t>(2010 = 100)</t>
  </si>
  <si>
    <t>Value</t>
  </si>
  <si>
    <t>Growth</t>
  </si>
  <si>
    <t>1990 = 100</t>
  </si>
  <si>
    <t>1996 = 100</t>
  </si>
  <si>
    <t>Year</t>
  </si>
  <si>
    <t>(%pa)</t>
  </si>
  <si>
    <t>(% pa)</t>
  </si>
  <si>
    <t>2002 = 100</t>
  </si>
  <si>
    <t>-</t>
  </si>
  <si>
    <t>Top</t>
  </si>
  <si>
    <t>National Traffic, Congestion and Emissions by Road Type &amp; Vehicle Type</t>
  </si>
  <si>
    <t>Scenario1 - Traffic in Billion Miles, Emissions in Kilo Tonnes</t>
  </si>
  <si>
    <t>Ver 1.0 September 2018</t>
  </si>
  <si>
    <t>Scenario1 - Percentage Increases from 2015</t>
  </si>
  <si>
    <t>Area Type</t>
  </si>
  <si>
    <t>(All)</t>
  </si>
  <si>
    <t>Row Labels</t>
  </si>
  <si>
    <t>Rd Type2</t>
  </si>
  <si>
    <t>England and Wales</t>
  </si>
  <si>
    <t>Car miles</t>
  </si>
  <si>
    <t xml:space="preserve">LGV Miles </t>
  </si>
  <si>
    <t xml:space="preserve">Rigid miles </t>
  </si>
  <si>
    <t xml:space="preserve">Artic Miles </t>
  </si>
  <si>
    <t xml:space="preserve">PSV Miles </t>
  </si>
  <si>
    <t xml:space="preserve">Total miles </t>
  </si>
  <si>
    <t>Total CO2 KT</t>
  </si>
  <si>
    <t>Total Nox KT</t>
  </si>
  <si>
    <t>Total PM10 KT</t>
  </si>
  <si>
    <t xml:space="preserve">Ave Delay sec/mile </t>
  </si>
  <si>
    <t>Ave Speed mph</t>
  </si>
  <si>
    <t>Combined HGV Miles</t>
  </si>
  <si>
    <t>Principal</t>
  </si>
  <si>
    <t xml:space="preserve"> Car miles</t>
  </si>
  <si>
    <t>x</t>
  </si>
  <si>
    <t>England Car miles</t>
  </si>
  <si>
    <t xml:space="preserve"> LGV Miles </t>
  </si>
  <si>
    <t xml:space="preserve">England LGV Miles </t>
  </si>
  <si>
    <t xml:space="preserve"> Rigid miles </t>
  </si>
  <si>
    <t xml:space="preserve">England Rigid miles </t>
  </si>
  <si>
    <t xml:space="preserve"> Artic Miles </t>
  </si>
  <si>
    <t xml:space="preserve">England Artic Miles </t>
  </si>
  <si>
    <t xml:space="preserve"> PSV Miles </t>
  </si>
  <si>
    <t xml:space="preserve">England PSV Miles </t>
  </si>
  <si>
    <t>Combined HGV</t>
  </si>
  <si>
    <t xml:space="preserve"> Total miles </t>
  </si>
  <si>
    <t xml:space="preserve">England Total miles </t>
  </si>
  <si>
    <t xml:space="preserve"> Total CO2 KT</t>
  </si>
  <si>
    <t>England Total CO2 KT</t>
  </si>
  <si>
    <t xml:space="preserve"> Total Nox KT</t>
  </si>
  <si>
    <t>England Total Nox KT</t>
  </si>
  <si>
    <t xml:space="preserve"> Total PM10 KT</t>
  </si>
  <si>
    <t>England Total PM10 KT</t>
  </si>
  <si>
    <t xml:space="preserve"> Ave Delay sec/mile </t>
  </si>
  <si>
    <t xml:space="preserve">England Ave Delay sec/mile </t>
  </si>
  <si>
    <t xml:space="preserve"> Ave Speed mph</t>
  </si>
  <si>
    <t>England Ave Speed mph</t>
  </si>
  <si>
    <t>WebTAG Table A 1.1.1</t>
  </si>
  <si>
    <t>Green Book Discount Rates</t>
  </si>
  <si>
    <t>July 2020 v1.13.1</t>
  </si>
  <si>
    <t xml:space="preserve">Sources: </t>
  </si>
  <si>
    <t>Green Book, HMT</t>
  </si>
  <si>
    <t>WebTAG Unit 3.5.4</t>
  </si>
  <si>
    <t>WebTAG Unit A 1.1</t>
  </si>
  <si>
    <t>Databook source tab: Discount %</t>
  </si>
  <si>
    <t>WebTAG1: Unit 3.5.4 (Table 1)</t>
  </si>
  <si>
    <t>Table A 1.1.1:  Green Book Discount Rates</t>
  </si>
  <si>
    <t>Years from current year</t>
  </si>
  <si>
    <t>Discount rate</t>
  </si>
  <si>
    <t>0-30</t>
  </si>
  <si>
    <t>31-75</t>
  </si>
  <si>
    <t>76-125</t>
  </si>
  <si>
    <t>126-200</t>
  </si>
  <si>
    <t>201-300</t>
  </si>
  <si>
    <t>301 and over</t>
  </si>
  <si>
    <t>WebTAG Table A 1.3.4</t>
  </si>
  <si>
    <t>Proportions of Travel and Trips</t>
  </si>
  <si>
    <t>Data from the National Travel Survey (1999 – 2001) has been used to produce journey purpose splits for work and non-work travel (commuting and other), based on distance travelled and trips made.</t>
  </si>
  <si>
    <t>The shaded figures in the table indicate a small sample, hence these figures should be treated with caution.</t>
  </si>
  <si>
    <t>Source year:</t>
  </si>
  <si>
    <t>This feeds into Table M 4.2.2, and hidden tab 'Car speeds'.</t>
  </si>
  <si>
    <t>Data Book source worksheets: VoT5 and VoT6</t>
  </si>
  <si>
    <t>TAG 1: Unit 3.5.6 (Tables 7 and 8)</t>
  </si>
  <si>
    <t>Table A 1.3.4:</t>
  </si>
  <si>
    <t xml:space="preserve"> Proportion of travel in work and non-work time</t>
  </si>
  <si>
    <t>Proportion of trips made in work and non-work time</t>
  </si>
  <si>
    <t>Weekday</t>
  </si>
  <si>
    <t>Weekend</t>
  </si>
  <si>
    <t>All Week</t>
  </si>
  <si>
    <t xml:space="preserve">Mode / Vehicle Type </t>
  </si>
  <si>
    <t>7am – 10am</t>
  </si>
  <si>
    <t>10am – 4pm</t>
  </si>
  <si>
    <t>4pm – 7pm</t>
  </si>
  <si>
    <t>7pm – 7am</t>
  </si>
  <si>
    <t>Average</t>
  </si>
  <si>
    <t>&amp; Journey Purpose</t>
  </si>
  <si>
    <r>
      <t>Percentage of Distance Travelled</t>
    </r>
    <r>
      <rPr>
        <b/>
        <sz val="10"/>
        <color indexed="10"/>
        <rFont val="Arial"/>
        <family val="2"/>
      </rPr>
      <t xml:space="preserve"> </t>
    </r>
    <r>
      <rPr>
        <b/>
        <sz val="10"/>
        <rFont val="Arial"/>
        <family val="2"/>
      </rPr>
      <t xml:space="preserve">by </t>
    </r>
    <r>
      <rPr>
        <b/>
        <sz val="10"/>
        <color indexed="10"/>
        <rFont val="Arial"/>
        <family val="2"/>
      </rPr>
      <t>Vehicles</t>
    </r>
  </si>
  <si>
    <r>
      <t xml:space="preserve">Percentage of </t>
    </r>
    <r>
      <rPr>
        <b/>
        <sz val="10"/>
        <color indexed="10"/>
        <rFont val="Arial"/>
        <family val="2"/>
      </rPr>
      <t>Vehicle Trips</t>
    </r>
  </si>
  <si>
    <t xml:space="preserve">Work </t>
  </si>
  <si>
    <t xml:space="preserve">Commuting </t>
  </si>
  <si>
    <t xml:space="preserve">Other </t>
  </si>
  <si>
    <t>Work (freight)</t>
  </si>
  <si>
    <t>Non – Work</t>
  </si>
  <si>
    <t>OGV1</t>
  </si>
  <si>
    <t>OGV2</t>
  </si>
  <si>
    <t>Percentage of Distance Travelled  by Occupants</t>
  </si>
  <si>
    <t>Percentage of Person Trips</t>
  </si>
  <si>
    <t>Other</t>
  </si>
  <si>
    <t>Heavy Rail</t>
  </si>
  <si>
    <t>Commuting</t>
  </si>
  <si>
    <t>Light Rail</t>
  </si>
  <si>
    <t>£ per hour</t>
  </si>
  <si>
    <t>WebTAG Table A 1.3.6</t>
  </si>
  <si>
    <t>p per min</t>
  </si>
  <si>
    <t>Forecast values of time per vehicle</t>
  </si>
  <si>
    <t>May 2022 v.1.18</t>
  </si>
  <si>
    <t xml:space="preserve">These values were calculated by multiplication of the appropriate figures from A 1.3.2 and A 1.3.3. Average car, average LGV and average PSV values also use the journey purpose split data from A 1.3.4 as weights. </t>
  </si>
  <si>
    <t>The values are based on distance travelled.</t>
  </si>
  <si>
    <t>Beyond 2036, car passenger occupancies are assumed to remain constant.</t>
  </si>
  <si>
    <t>Non-work (commuting and other) LGV values of time are based on non-work (commuting and other) all-week average values for cars, as insufficient data exists for LGVs by time of day.</t>
  </si>
  <si>
    <t>Initial fc year:</t>
  </si>
  <si>
    <t>7am-10am</t>
  </si>
  <si>
    <t>10am-4pm</t>
  </si>
  <si>
    <t>4-7pm</t>
  </si>
  <si>
    <t>7pm-7am</t>
  </si>
  <si>
    <t>Data Book source worksheets: A 1.3.2, Forecast occupancies, VoT5.</t>
  </si>
  <si>
    <t>Weekday average</t>
  </si>
  <si>
    <t>TAG 1: Unit 3.5.6 (Table 9)</t>
  </si>
  <si>
    <t>Weekend average</t>
  </si>
  <si>
    <t>All week average</t>
  </si>
  <si>
    <t xml:space="preserve">   ←</t>
  </si>
  <si>
    <t>Use drop-down menu to select £ per hour or p per min</t>
  </si>
  <si>
    <t>Weekdays</t>
  </si>
  <si>
    <t>AM peak 7am - 10am</t>
  </si>
  <si>
    <t>IP 10am - 4pm</t>
  </si>
  <si>
    <t>PM peak 4pm - 7pm</t>
  </si>
  <si>
    <t>Night 7pm - 7am</t>
  </si>
  <si>
    <t>Average Weekday</t>
  </si>
  <si>
    <t>PSV (occupants)</t>
  </si>
  <si>
    <t>WebTAG Table A 1.3.7</t>
  </si>
  <si>
    <t>Fuel &amp; electricity price forecasts</t>
  </si>
  <si>
    <t>Sources:</t>
  </si>
  <si>
    <t>Gas Oil</t>
  </si>
  <si>
    <t>BEIS, 2018 (publication TBC)</t>
  </si>
  <si>
    <t>Table 7 (central scenario, Industrial series)</t>
  </si>
  <si>
    <t>Petrol / Diesel</t>
  </si>
  <si>
    <t>Table 8 (central scenario)</t>
  </si>
  <si>
    <t>Electricity</t>
  </si>
  <si>
    <t>Table 4 (road values are from the 'Domestic' central series whereas rail values are from the 'Industrial' central series)</t>
  </si>
  <si>
    <t>Notes:</t>
  </si>
  <si>
    <t>1) All values represent annual averages</t>
  </si>
  <si>
    <t>2) Values up to 2016 are observed, whereas values from 2017 onwards are forecasts based on Department for Business, Energy and Industrial Strategy (BEIS) energy modelling</t>
  </si>
  <si>
    <t>3) Values for fuel duty and VAT take account of all changes announced as of the November 2017 budget</t>
  </si>
  <si>
    <t>4) An adjustment has been made to the BEIS data to ensure the figures presented in this table are consistent with the latest GDP deflator data (as per 'Annual Parameters' tab) and RPI data (as per table A5.3.1)</t>
  </si>
  <si>
    <t>5) Resource costs for petrol and diesel are assumed by BEIS to flat-line from 2030 onwards</t>
  </si>
  <si>
    <t>This feeds into Table A 1.3.7</t>
  </si>
  <si>
    <t>WebTAG1: Unit 3.5.6 (Tables 11a and 11b)</t>
  </si>
  <si>
    <t>Table A 1.3.7:</t>
  </si>
  <si>
    <t>Resource Cost</t>
  </si>
  <si>
    <t>Duty</t>
  </si>
  <si>
    <t>VAT rate</t>
  </si>
  <si>
    <t>Petrol</t>
  </si>
  <si>
    <t>Diesel</t>
  </si>
  <si>
    <t>Rail Diesel</t>
  </si>
  <si>
    <t>Road</t>
  </si>
  <si>
    <t>Rail</t>
  </si>
  <si>
    <t>(p/litre)</t>
  </si>
  <si>
    <t>(p/kWh)</t>
  </si>
  <si>
    <t>(%)</t>
  </si>
  <si>
    <t>WebTAG Table A 1.3.9</t>
  </si>
  <si>
    <t>Source:</t>
  </si>
  <si>
    <t>DfT,Environmental Analysis</t>
  </si>
  <si>
    <t>(1) Values are assumed to be constant post 2050</t>
  </si>
  <si>
    <t>(2) These data are in line with the assumptions made for the road emissions component of BEIS's Energy and Emissions Projections, last updated 02/01/2018.</t>
  </si>
  <si>
    <t>Link to EEP publication</t>
  </si>
  <si>
    <t>(3) They represent the current Government policy reference scenario, meaning that they reflect all agreed policies where decisions on policy design are sufficiently advanced to allow robust estimates of impact</t>
  </si>
  <si>
    <t xml:space="preserve">      (i.e. including "planned" policies)</t>
  </si>
  <si>
    <t>(4) Forecasts of vehicle-kilometre proportions for diesel and petrol vehicles based on DfT 2019 fleet models for both cars. For other vehicles, these are unchanged form previous forecasts.</t>
  </si>
  <si>
    <t>(5) At present, it is assumed there are no OGVs or PSVs using electricity. These columns are for possible future use.</t>
  </si>
  <si>
    <t>(6) OGV 1 comprises rigids up to 26 tonnes, whereas OGV 2 comprises rigids over 26 tonnes, and artics. Rigids and artics are as defined in the DfT Traffic Statistics.</t>
  </si>
  <si>
    <t>Link to traffic stats definitions</t>
  </si>
  <si>
    <t>Data Book Source worksheets: VoC Mileage %. This table feeds into Tables A 1.3.12, A 1.3.13 and A 1.3.15.</t>
  </si>
  <si>
    <t>TAG 1: Unit 3.5.6 (Table 12)</t>
  </si>
  <si>
    <t xml:space="preserve">Table A 1.3.9: </t>
  </si>
  <si>
    <t>Proportion of cars, LGV &amp; other vehicle kilometres using petrol, diesel or electricity</t>
  </si>
  <si>
    <t>Electric</t>
  </si>
  <si>
    <t>WebTAG Table A 1.3.11</t>
  </si>
  <si>
    <t xml:space="preserve">1 Electric cars are treated as not existing before 2011. </t>
  </si>
  <si>
    <t>Fuel consumption is estimated using a function of the form:</t>
  </si>
  <si>
    <t>L = a/v + b + c.v + d.v2</t>
  </si>
  <si>
    <t>Where:</t>
  </si>
  <si>
    <t>L = consumption, expressed in litres per kilometre;</t>
  </si>
  <si>
    <t>v = average speed in kilometres per hour; and</t>
  </si>
  <si>
    <t>a, b, c, d are parameters defined for each vehicle category.</t>
  </si>
  <si>
    <t>Forecast fuel consumption parameters are calculated from the source year parameters and the cumulative fuel efficiency factors for each year.</t>
  </si>
  <si>
    <t>LGVs</t>
  </si>
  <si>
    <t>This feeds into Table A 1.3.12</t>
  </si>
  <si>
    <t>OGVs</t>
  </si>
  <si>
    <t>PSVs</t>
  </si>
  <si>
    <t>Data Book source worksheets: Fuel consumption and A 1.3.10</t>
  </si>
  <si>
    <t>TAG 1: Unit 3.5.6 (Table 10)</t>
  </si>
  <si>
    <t>Table A 1.3.11:</t>
  </si>
  <si>
    <t>Vehicle Category</t>
  </si>
  <si>
    <t>Petrol Car</t>
  </si>
  <si>
    <t>Diesel Car</t>
  </si>
  <si>
    <r>
      <t>Electric Car</t>
    </r>
    <r>
      <rPr>
        <b/>
        <vertAlign val="superscript"/>
        <sz val="10"/>
        <color indexed="8"/>
        <rFont val="Arial"/>
        <family val="2"/>
      </rPr>
      <t>1</t>
    </r>
  </si>
  <si>
    <t>Petrol LGV</t>
  </si>
  <si>
    <t>Diesel LGV</t>
  </si>
  <si>
    <t>Electric LGV</t>
  </si>
  <si>
    <t>OGV1 (Diesel)</t>
  </si>
  <si>
    <t>OGV2 (Diesel)</t>
  </si>
  <si>
    <t>PSV (Diesel)</t>
  </si>
  <si>
    <t>a</t>
  </si>
  <si>
    <t>b</t>
  </si>
  <si>
    <t>c</t>
  </si>
  <si>
    <t>d</t>
  </si>
  <si>
    <t/>
  </si>
  <si>
    <t>WebTAG Table A 1.3.12</t>
  </si>
  <si>
    <t>Forecast fuel cost parameters - Work</t>
  </si>
  <si>
    <t>Fuel costs are estimated using a function of the form:</t>
  </si>
  <si>
    <t>L = costs, expressed in pence per kilometre;</t>
  </si>
  <si>
    <t>Other types of electric vehicle are included for future use, but no data exist at present.</t>
  </si>
  <si>
    <t>This table adds the fuel cost and duty in Table A 1.3.7, multiplies by the parameters in Table A 1.3.8, and adjusts for forecast fuel efficiency from Table A 1.3.10.</t>
  </si>
  <si>
    <t>Table A 1.3.7 has already adjusted for deflators, so these are automatically included here.</t>
  </si>
  <si>
    <t>Values for average vehicles are calculated using the proportions of vehicle kilometres in Table A 1.3.9.</t>
  </si>
  <si>
    <t>This feeds into Table A 1.3.13, and hidden tab 'Car speeds'.</t>
  </si>
  <si>
    <t>OGV</t>
  </si>
  <si>
    <t>Data Book source worksheets: Fuel consumption, A 1.3.7, A 1.3.8, A 1.3.9 and A 1.3.11.</t>
  </si>
  <si>
    <t>TAG 1: Unit 3.5.6 (Tables 10a, 10b and 14)</t>
  </si>
  <si>
    <t>Table A 1.3.12:</t>
  </si>
  <si>
    <t>Average Car</t>
  </si>
  <si>
    <t>Average LGV</t>
  </si>
  <si>
    <t>OGV1 Diesel</t>
  </si>
  <si>
    <t>OGV1 Electric</t>
  </si>
  <si>
    <t>Average OGV1</t>
  </si>
  <si>
    <t>OGV2 Diesel</t>
  </si>
  <si>
    <t>OGV2 Electric</t>
  </si>
  <si>
    <t>Average OGV2</t>
  </si>
  <si>
    <t>PSV Diesel</t>
  </si>
  <si>
    <t>PSV Electric</t>
  </si>
  <si>
    <t>Average PSV</t>
  </si>
  <si>
    <t>WebTAG Table A 1.3.13</t>
  </si>
  <si>
    <t>Fuel cost parameters - Non-Work</t>
  </si>
  <si>
    <t>This table adds the fuel cost and duty in Table A 1.3.7, multiplies by the parameters in Table A 1.3.8, adjusts for forecast fuel efficiency from Table A 1.3.10, then adds VAT.</t>
  </si>
  <si>
    <t>Multiplies forecast work parameters in A 1.3.12 by forecast duty rates in Table A 1.3.7 for years where this exists.</t>
  </si>
  <si>
    <t>This feeds into hidden tab 'Car speeds'.</t>
  </si>
  <si>
    <t>Data Book source worksheets: Fuel consumption, A 1.3.7, A 1.3.9 and A 1.3.12.</t>
  </si>
  <si>
    <t>Table A 1.3.13:</t>
  </si>
  <si>
    <t>WebTAG Table A 1.3.14</t>
  </si>
  <si>
    <t xml:space="preserve">The elements making up non-fuel vehicle operating costs include oil, tyres, maintenance, depreciation and vehicle capital saving (only for vehicles in working time). </t>
  </si>
  <si>
    <t>The non-fuel elements of VOC are combined in a formula of the form:</t>
  </si>
  <si>
    <t>C = a1 + b1/V</t>
  </si>
  <si>
    <t>where:</t>
  </si>
  <si>
    <t>C = cost in pence per kilometre travelled,</t>
  </si>
  <si>
    <t>V = average link speed in kilometres per hour,</t>
  </si>
  <si>
    <t>a1 is a parameter for distance related costs defined for each vehicle category,</t>
  </si>
  <si>
    <t>b1 is a parameter for vehicle capital saving defined for each vehicle category (this parameter is only relevant to working vehicles).</t>
  </si>
  <si>
    <t>Value year:</t>
  </si>
  <si>
    <t>These parameters exclude indirect taxation.</t>
  </si>
  <si>
    <t>The parameters by fuel type are assumed to be constant through time; however, parameters for an average car vary through time (owing to changes in the proportion of electric vehicles).</t>
  </si>
  <si>
    <t>This feeds into A 1.3.15</t>
  </si>
  <si>
    <t>Data Book source worksheet: User Parameters, Default Para, Annual Parameters, VoC Non-Fuel</t>
  </si>
  <si>
    <t>TAG 1: Unit 3.5.6 (Table 15)</t>
  </si>
  <si>
    <t>Table A 1.3.14:  Non-Fuel Resource Vehicle Operating Costs</t>
  </si>
  <si>
    <t>Parameter Values</t>
  </si>
  <si>
    <t>a1 p / km</t>
  </si>
  <si>
    <t>b1 p / hr</t>
  </si>
  <si>
    <t>Work Petrol</t>
  </si>
  <si>
    <t>Work Diesel</t>
  </si>
  <si>
    <t>Work Electric</t>
  </si>
  <si>
    <t>Non-Work Petrol</t>
  </si>
  <si>
    <t>Non-Work Diesel</t>
  </si>
  <si>
    <t>Non-Work Electric</t>
  </si>
  <si>
    <t>Non-Work Electic</t>
  </si>
  <si>
    <t>WebTAG Table A 1.3.15</t>
  </si>
  <si>
    <t>Forecast non-fuel resource vehicle operating costs</t>
  </si>
  <si>
    <t>Values are calculated from source year values and the forecast proportion of travel by fuel type for the value year.</t>
  </si>
  <si>
    <t>This feeds into hidden tab ' Car speeds'.</t>
  </si>
  <si>
    <t>Data Book Source Worksheets: A 1.3.9, A 1.3.14.</t>
  </si>
  <si>
    <t>TAG 1: Unit 3.5.6 (Table 16)</t>
  </si>
  <si>
    <t xml:space="preserve">Table A 1.3.15: </t>
  </si>
  <si>
    <t>Work Car</t>
  </si>
  <si>
    <t>Non-work Car</t>
  </si>
  <si>
    <t>a1 p/km</t>
  </si>
  <si>
    <t>b1 p/hr</t>
  </si>
  <si>
    <t>WebTAG Table A 3.3</t>
  </si>
  <si>
    <t>Carbon Emissions</t>
  </si>
  <si>
    <t>BEIS, 2019</t>
  </si>
  <si>
    <t>Tables 1 (electricity emission factors) and 2b (converting road and rail fuels to CO2e emission factors)</t>
  </si>
  <si>
    <t xml:space="preserve">(1) Roads emissions factors are taken from the long-run marginal 'Domestic' series. </t>
  </si>
  <si>
    <t>(2) Rail emissions factors are based on long-run marginal 'Generation-based' series, plus a mark-up of 1.5% to acccount for transmission losses.</t>
  </si>
  <si>
    <t>WebTAG Unit 3.3.5</t>
  </si>
  <si>
    <t>(3) Liquid fuel emissions factors include non-carbon GHG and account for forecast biofuel blending rates.</t>
  </si>
  <si>
    <t>WebTAG Unit A 3</t>
  </si>
  <si>
    <t>(4) Rail emission factors are from the long-run marginal 'Generation-based' series, plus a mark-up of 1.5% for transmission</t>
  </si>
  <si>
    <t>This feeds Table A 3.3, Electricity and VoC Fuel</t>
  </si>
  <si>
    <t>TAG 1: Unit 3.3.5 (Table 1)</t>
  </si>
  <si>
    <t>Table A 3.3:  Carbon dioxide emissions per litre of fuel burnt / kWh used</t>
  </si>
  <si>
    <t>Roads</t>
  </si>
  <si>
    <t>Kg CO2e/l</t>
  </si>
  <si>
    <t>Kg CO2e/kWh</t>
  </si>
  <si>
    <t>WebTAG Table A 3.4</t>
  </si>
  <si>
    <t>Table 3 - carbon prices and sensitivities</t>
  </si>
  <si>
    <t>Data Book source worksheets: User Parameters, Default Para, Annual Parameters, GHG</t>
  </si>
  <si>
    <t>TAG 1: Unit 3.3.5 (Tables 2a &amp; 2b)</t>
  </si>
  <si>
    <t>Central</t>
  </si>
  <si>
    <t>High </t>
  </si>
  <si>
    <t>WebTAG Table A 4.1.6</t>
  </si>
  <si>
    <t>November 2018 v1.11</t>
  </si>
  <si>
    <t>Nov-18</t>
  </si>
  <si>
    <r>
      <t xml:space="preserve">Hopkinson P &amp; Wardman M (1996), "Evaluating demand for new cycle facilities", </t>
    </r>
    <r>
      <rPr>
        <i/>
        <sz val="10"/>
        <rFont val="Arial"/>
        <family val="2"/>
      </rPr>
      <t>Transport Policy</t>
    </r>
    <r>
      <rPr>
        <sz val="10"/>
        <rFont val="Arial"/>
        <family val="2"/>
      </rPr>
      <t xml:space="preserve"> </t>
    </r>
    <r>
      <rPr>
        <b/>
        <sz val="10"/>
        <rFont val="Arial"/>
        <family val="2"/>
      </rPr>
      <t>3</t>
    </r>
    <r>
      <rPr>
        <sz val="10"/>
        <rFont val="Arial"/>
        <family val="2"/>
      </rPr>
      <t>(4), 241-249.</t>
    </r>
  </si>
  <si>
    <r>
      <t xml:space="preserve">Wardman M, Hatfield R &amp; Page M (1997), "UK national cycling strategy: Can improved facilities meet the targets?", </t>
    </r>
    <r>
      <rPr>
        <i/>
        <sz val="10"/>
        <rFont val="Arial"/>
        <family val="2"/>
      </rPr>
      <t>Transport Policy</t>
    </r>
    <r>
      <rPr>
        <sz val="10"/>
        <rFont val="Arial"/>
        <family val="2"/>
      </rPr>
      <t xml:space="preserve"> </t>
    </r>
    <r>
      <rPr>
        <b/>
        <sz val="10"/>
        <rFont val="Arial"/>
        <family val="2"/>
      </rPr>
      <t>4</t>
    </r>
    <r>
      <rPr>
        <sz val="10"/>
        <rFont val="Arial"/>
        <family val="2"/>
      </rPr>
      <t>(2), 123-133.</t>
    </r>
  </si>
  <si>
    <r>
      <t>Wardman M, Tight M &amp; Page M (2007), "</t>
    </r>
    <r>
      <rPr>
        <i/>
        <sz val="10"/>
        <rFont val="Arial"/>
        <family val="2"/>
      </rPr>
      <t>Factors influencing the propensity to cycle to work</t>
    </r>
    <r>
      <rPr>
        <sz val="10"/>
        <rFont val="Arial"/>
        <family val="2"/>
      </rPr>
      <t>", Leeds: Institute of Transport Studies (ITS), University of Leeds.</t>
    </r>
  </si>
  <si>
    <t>WebTAG Unit 3.14.1</t>
  </si>
  <si>
    <t>WebTAG Unit A 4.1</t>
  </si>
  <si>
    <t>Databook source worksheets: User Parameters, Default Para, Annual Parameters, Cycling</t>
  </si>
  <si>
    <t>WebTAG 1: Unit 3.14.1 (Table 4)</t>
  </si>
  <si>
    <t>Table 4.1.6: Value of journey ambience benefit of cycle facilities</t>
  </si>
  <si>
    <t>Scheme type</t>
  </si>
  <si>
    <t>p/min</t>
  </si>
  <si>
    <t>Off-road segregated cycle track</t>
  </si>
  <si>
    <t>Hopkinson &amp; Wardman (1996)</t>
  </si>
  <si>
    <t>On-road segregated cycle lane</t>
  </si>
  <si>
    <t>On-road non-segregated cycle lane</t>
  </si>
  <si>
    <r>
      <t xml:space="preserve">Wardman </t>
    </r>
    <r>
      <rPr>
        <i/>
        <sz val="10"/>
        <rFont val="Arial"/>
        <family val="2"/>
      </rPr>
      <t>et al</t>
    </r>
    <r>
      <rPr>
        <sz val="10"/>
        <rFont val="Arial"/>
        <family val="2"/>
      </rPr>
      <t>. (1997)</t>
    </r>
  </si>
  <si>
    <t>Wider lane</t>
  </si>
  <si>
    <t>Shared bus lane</t>
  </si>
  <si>
    <t>pence</t>
  </si>
  <si>
    <t>Secure cycle parking facilities</t>
  </si>
  <si>
    <r>
      <t xml:space="preserve">Wardman </t>
    </r>
    <r>
      <rPr>
        <i/>
        <sz val="10"/>
        <rFont val="Arial"/>
        <family val="2"/>
      </rPr>
      <t>et al.</t>
    </r>
    <r>
      <rPr>
        <sz val="10"/>
        <rFont val="Arial"/>
        <family val="2"/>
      </rPr>
      <t xml:space="preserve"> (2007)</t>
    </r>
  </si>
  <si>
    <t>Changing and shower facilities</t>
  </si>
  <si>
    <t>WebTAG Table A 5.4.2</t>
  </si>
  <si>
    <t>Marginal External Costs by road type and congestion band</t>
  </si>
  <si>
    <t>All Costs are in Market Prices.</t>
  </si>
  <si>
    <t>Costs are converted to the specified price base by multiplying by the GDP deflator value in the price year and dividing by the GDP deflator value for the source year.</t>
  </si>
  <si>
    <t>WebTAG Unit 3.13.2</t>
  </si>
  <si>
    <t>WebTAG Unit A 5.4</t>
  </si>
  <si>
    <t>Databook source tabs: Car - MECs, Annual Parameters</t>
  </si>
  <si>
    <t>WebTAG 1: Unit 3.13.2 (Spreadsheet 2)</t>
  </si>
  <si>
    <t>Table A 5.4.2a:</t>
  </si>
  <si>
    <t>Marginal External Costs &amp; Indirect Tax - Cars (pence per vehicle km, 2010 prices, 1 d.p.)</t>
  </si>
  <si>
    <t>Congestion band</t>
  </si>
  <si>
    <t>London</t>
  </si>
  <si>
    <t>Inner and Outer Conurbations</t>
  </si>
  <si>
    <t>Other Urban</t>
  </si>
  <si>
    <t>Rural</t>
  </si>
  <si>
    <t>Weighted Average</t>
  </si>
  <si>
    <t>Cost type</t>
  </si>
  <si>
    <t>Motorways</t>
  </si>
  <si>
    <t>A roads</t>
  </si>
  <si>
    <t>Other Rds</t>
  </si>
  <si>
    <t>Marginal External Costs &amp; Indirect Tax - LGVs (pence per vehicle km, 2010 prices, 1 d.p.)</t>
  </si>
  <si>
    <t>Table A 5.4.2b:</t>
  </si>
  <si>
    <t>Marginal External Costs &amp; Indirect Tax - Rigids (pence per vehicle km, 2010 prices, 1 d.p.)</t>
  </si>
  <si>
    <t>Table A 5.4.2c:</t>
  </si>
  <si>
    <t>Marginal External Costs &amp; Indirect Tax - Artics (pence per vehicle km, 2010 prices, 1 d.p.)</t>
  </si>
  <si>
    <t>Table A 5.4.2d:</t>
  </si>
  <si>
    <t>Marginal External Costs &amp; Indirect Tax - PSVs (pence per vehicle km, 2010 prices, 1 d.p.)</t>
  </si>
  <si>
    <t>Congestion</t>
  </si>
  <si>
    <t>Rigid</t>
  </si>
  <si>
    <t>Artic</t>
  </si>
  <si>
    <t>Fleet proportion</t>
  </si>
  <si>
    <t>Average speed in 2010</t>
  </si>
  <si>
    <t>Length of Diversion</t>
  </si>
  <si>
    <t>Insert data on Proforma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</si>
</sst>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0000"/>
    <numFmt numFmtId="168" formatCode="0.000000"/>
    <numFmt numFmtId="169" formatCode="0.0000%"/>
    <numFmt numFmtId="170" formatCode="_-* #,##0_-;\-* #,##0_-;_-* &quot;-&quot;??_-;_-@_-"/>
    <numFmt numFmtId="171" formatCode="0.0%"/>
    <numFmt numFmtId="172" formatCode="#,##0.0_);\(#,##0.0\)"/>
    <numFmt numFmtId="173" formatCode="&quot;£&quot;#,##0.00"/>
    <numFmt numFmtId="174" formatCode="&quot;£&quot;#,##0.0"/>
    <numFmt numFmtId="175" formatCode="&quot;£&quot;#,##0"/>
    <numFmt numFmtId="176" formatCode="#,##0.000"/>
    <numFmt numFmtId="177" formatCode="#,##0.0"/>
    <numFmt numFmtId="178" formatCode="#,##0_);\(#,##0\);&quot;-&quot;_)"/>
    <numFmt numFmtId="179" formatCode="_-[$€-2]* #,##0.000_-;\-[$€-2]* #,##0.000_-;_-[$€-2]* &quot;-&quot;??_-"/>
    <numFmt numFmtId="180" formatCode="General_)"/>
    <numFmt numFmtId="181" formatCode="_(* #,##0_);_(* \(#,##0\);_(* &quot; - &quot;_);_(@_)"/>
    <numFmt numFmtId="182" formatCode="_-[$€-2]* #,##0.00_-;\-[$€-2]* #,##0.00_-;_-[$€-2]* &quot;-&quot;??_-"/>
    <numFmt numFmtId="183" formatCode="&quot;$&quot;#,##0.0;[Red]\-&quot;$&quot;#,##0.0"/>
    <numFmt numFmtId="184" formatCode="#,##0;\-#,##0;\-"/>
    <numFmt numFmtId="185" formatCode="_-[$€-2]* #,##0.0_-;\-[$€-2]* #,##0.0_-;_-[$€-2]* &quot;-&quot;??_-"/>
    <numFmt numFmtId="186" formatCode="#,##0.0_-;\(#,##0.0\);_-* &quot;-&quot;??_-"/>
    <numFmt numFmtId="187" formatCode="&quot;$&quot;#,##0_);\(&quot;$&quot;#,##0\)"/>
    <numFmt numFmtId="188" formatCode="#,##0_);[Red]\(#,##0\);&quot;-&quot;_);[Blue]&quot;Error-&quot;@"/>
    <numFmt numFmtId="189" formatCode="#,##0.0_);[Red]\(#,##0.0\);&quot;-&quot;_);[Blue]&quot;Error-&quot;@"/>
    <numFmt numFmtId="190" formatCode="#,##0.00_);[Red]\(#,##0.00\);&quot;-&quot;_);[Blue]&quot;Error-&quot;@"/>
    <numFmt numFmtId="191" formatCode="&quot;£&quot;* #,##0_);[Red]&quot;£&quot;* \(#,##0\);&quot;£&quot;* &quot;-&quot;_);[Blue]&quot;Error-&quot;@"/>
    <numFmt numFmtId="192" formatCode="&quot;£&quot;* #,##0.0_);[Red]&quot;£&quot;* \(#,##0.0\);&quot;£&quot;* &quot;-&quot;_);[Blue]&quot;Error-&quot;@"/>
    <numFmt numFmtId="193" formatCode="&quot;£&quot;* #,##0.00_);[Red]&quot;£&quot;* \(#,##0.00\);&quot;£&quot;* &quot;-&quot;_);[Blue]&quot;Error-&quot;@"/>
    <numFmt numFmtId="194" formatCode="dd\ mmm\ yyyy_)"/>
    <numFmt numFmtId="195" formatCode="dd/mm/yy_)"/>
    <numFmt numFmtId="196" formatCode="0%_);[Red]\-0%_);0%_);[Blue]&quot;Error-&quot;@"/>
    <numFmt numFmtId="197" formatCode="0.0%_);[Red]\-0.0%_);0.0%_);[Blue]&quot;Error-&quot;@"/>
    <numFmt numFmtId="198" formatCode="0.00%_);[Red]\-0.00%_);0.00%_);[Blue]&quot;Error-&quot;@"/>
    <numFmt numFmtId="199" formatCode="0;0;\-"/>
    <numFmt numFmtId="200" formatCode="[Red]&quot;Err&quot;;[Red]&quot;Err&quot;;&quot;OK&quot;"/>
    <numFmt numFmtId="201" formatCode="&quot;to &quot;0.0000;&quot;to &quot;\-0.0000;&quot;to 0&quot;"/>
    <numFmt numFmtId="202" formatCode="#,##0;\(#,##0\)"/>
    <numFmt numFmtId="203" formatCode="#,##0.0;\(#,##0.0\)"/>
    <numFmt numFmtId="204" formatCode="#,##0.00;\(#,##0.00\)"/>
    <numFmt numFmtId="205" formatCode="#,##0.000;[Red]\(#,##0.000\)"/>
    <numFmt numFmtId="206" formatCode="#,##0_%_);\(#,##0\)_%;**;@_%_)"/>
    <numFmt numFmtId="207" formatCode="#,##0_%_);\(#,##0\)_%;#,##0_%_);@_%_)"/>
    <numFmt numFmtId="208" formatCode="#,##0.00_%_);\(#,##0.00\)_%;**;@_%_)"/>
    <numFmt numFmtId="209" formatCode="#,##0.00_%_);\(#,##0.00\)_%;#,##0.00_%_);@_%_)"/>
    <numFmt numFmtId="210" formatCode="#,##0.000_%_);\(#,##0.000\)_%;**;@_%_)"/>
    <numFmt numFmtId="211" formatCode="#,##0.0_%_);\(#,##0.0\)_%;**;@_%_)"/>
    <numFmt numFmtId="212" formatCode="&quot;$&quot;#,##0_);[Red]\(&quot;$&quot;#,##0\)"/>
    <numFmt numFmtId="213" formatCode="[$¥-411]#,##0"/>
    <numFmt numFmtId="214" formatCode="_(&quot;$&quot;* #,##0.00_);_(&quot;$&quot;* \(#,##0.00\);_(&quot;$&quot;* &quot;-&quot;??_);_(@_)"/>
    <numFmt numFmtId="215" formatCode="&quot;$&quot;#,##0.00_%_);\(&quot;$&quot;#,##0.00\)_%;**;@_%_)"/>
    <numFmt numFmtId="216" formatCode="&quot;$&quot;#,##0.000_%_);\(&quot;$&quot;#,##0.000\)_%;**;@_%_)"/>
    <numFmt numFmtId="217" formatCode="&quot;$&quot;#,##0.0_%_);\(&quot;$&quot;#,##0.0\)_%;**;@_%_)"/>
    <numFmt numFmtId="218" formatCode="#,##0_);\(#,##0.0\)"/>
    <numFmt numFmtId="219" formatCode="0_ ;\-0\ "/>
    <numFmt numFmtId="220" formatCode="###0.00_)"/>
    <numFmt numFmtId="221" formatCode="000"/>
    <numFmt numFmtId="222" formatCode="m/d/yy_%_);;**"/>
    <numFmt numFmtId="223" formatCode="m/d/yy_%_)"/>
    <numFmt numFmtId="224" formatCode="m/d/yy\ h:mm"/>
    <numFmt numFmtId="225" formatCode="#,###.00;\-#,##0.00;\-"/>
    <numFmt numFmtId="226" formatCode="000.00"/>
    <numFmt numFmtId="227" formatCode="_(* #,##0_);_(* \(#,##0\);_(* &quot;&quot;\ \-\ &quot;&quot;_);_(@_)"/>
    <numFmt numFmtId="228" formatCode="_-* #,##0\ _D_M_-;\-* #,##0\ _D_M_-;_-* &quot;-&quot;\ _D_M_-;_-@_-"/>
    <numFmt numFmtId="229" formatCode="_-* #,##0.00\ _D_M_-;\-* #,##0.00\ _D_M_-;_-* &quot;-&quot;??\ _D_M_-;_-@_-"/>
    <numFmt numFmtId="230" formatCode="_([$€]* #,##0.00_);_([$€]* \(#,##0.00\);_([$€]* &quot;-&quot;??_);_(@_)"/>
    <numFmt numFmtId="231" formatCode="[Magenta]&quot;Err&quot;;[Magenta]&quot;Err&quot;;[Blue]&quot;OK&quot;"/>
    <numFmt numFmtId="232" formatCode="[Blue]&quot;P&quot;;;[Red]&quot;O&quot;"/>
    <numFmt numFmtId="233" formatCode="General\ &quot;.&quot;"/>
    <numFmt numFmtId="234" formatCode="#,##0_);[Red]\(#,##0\);\-_)"/>
    <numFmt numFmtId="235" formatCode="0.0_)%;[Red]\(0.0%\);0.0_)%"/>
    <numFmt numFmtId="236" formatCode="[Red][&gt;1]&quot;&gt;100 %&quot;;[Red]\(0.0%\);0.0_)%"/>
    <numFmt numFmtId="237" formatCode="[&gt;0.5]#,##0;[&lt;-0.5]\-#,##0;\-"/>
    <numFmt numFmtId="238" formatCode="_-[$$-409]* #,##0.0_ ;_-[$$-409]* \-#,##0.0\ ;_-[$$-409]* &quot;-&quot;??_ ;_-@_ "/>
    <numFmt numFmtId="239" formatCode="0.0;\(0.0\)"/>
    <numFmt numFmtId="240" formatCode="0.0;;&quot;TBD&quot;"/>
    <numFmt numFmtId="241" formatCode="_-* #,##0\ _F_-;\-* #,##0\ _F_-;_-* &quot;-&quot;\ _F_-;_-@_-"/>
    <numFmt numFmtId="242" formatCode="_-* #,##0.00\ _F_-;\-* #,##0.00\ _F_-;_-* &quot;-&quot;??\ _F_-;_-@_-"/>
    <numFmt numFmtId="243" formatCode="_(&quot;$&quot;* #,##0_);_(&quot;$&quot;* \(#,##0\);_(&quot;$&quot;* &quot;-&quot;_);_(@_)"/>
    <numFmt numFmtId="244" formatCode="_-* #,##0\ &quot;F&quot;_-;\-* #,##0\ &quot;F&quot;_-;_-* &quot;-&quot;\ &quot;F&quot;_-;_-@_-"/>
    <numFmt numFmtId="245" formatCode="_-* #,##0.00\ &quot;F&quot;_-;\-* #,##0.00\ &quot;F&quot;_-;_-* &quot;-&quot;??\ &quot;F&quot;_-;_-@_-"/>
    <numFmt numFmtId="246" formatCode="#,##0.0_x_)_);&quot;NM&quot;_x_)_);#,##0.0_x_)_);@_x_)_)"/>
    <numFmt numFmtId="247" formatCode="#,##0.0000\ ;[Red]\(#,##0.0000\)"/>
    <numFmt numFmtId="248" formatCode="[$$-C09]#,##0.0"/>
    <numFmt numFmtId="249" formatCode="#,##0.0_ ;\-#,##0.0\ "/>
    <numFmt numFmtId="250" formatCode="#,##0.0,,_);\(#,##0.0,,\);\-_)"/>
    <numFmt numFmtId="251" formatCode="#,##0_);\(#,##0\);\-_)"/>
    <numFmt numFmtId="252" formatCode="#,##0.0,_);\(#,##0.0,\);\-_)"/>
    <numFmt numFmtId="253" formatCode="#,##0.00_);\(#,##0.00\);\-_)"/>
    <numFmt numFmtId="254" formatCode="_(#,##0.0_);\(#,##0.0\);_(&quot;-&quot;_)"/>
    <numFmt numFmtId="255" formatCode="#,##0.0_);\(#,##0.0\);&quot;-&quot;;@"/>
    <numFmt numFmtId="256" formatCode="[&lt;0.0001]&quot;&lt;0.0001&quot;;0.0000"/>
    <numFmt numFmtId="257" formatCode="#,##0.0000"/>
    <numFmt numFmtId="258" formatCode="0.0%_);\(0.0%\);**;@_%_)"/>
    <numFmt numFmtId="259" formatCode="%#."/>
    <numFmt numFmtId="260" formatCode="##0.0"/>
    <numFmt numFmtId="261" formatCode="##0.0\ \e"/>
    <numFmt numFmtId="262" formatCode="###.0"/>
    <numFmt numFmtId="263" formatCode="##.0"/>
    <numFmt numFmtId="264" formatCode="mmm\ dd\,\ yyyy"/>
    <numFmt numFmtId="265" formatCode="mmm\-yyyy"/>
    <numFmt numFmtId="266" formatCode="yyyy"/>
    <numFmt numFmtId="267" formatCode="&quot;$&quot;#,##0.00_);[Red]\(&quot;$&quot;#,##0.00\)"/>
    <numFmt numFmtId="268" formatCode="\+#,##0.00;[Red]\-#,##0.00"/>
    <numFmt numFmtId="269" formatCode="_-* #,##0.000_-;\-* #,##0.000_-;_-* &quot;-&quot;???_-;_-@_-"/>
    <numFmt numFmtId="270" formatCode="_-* #,##0.00000_-;\-* #,##0.00000_-;_-* &quot;-&quot;?????_-;_-@_-"/>
    <numFmt numFmtId="271" formatCode="00000"/>
    <numFmt numFmtId="272" formatCode="#,##0.0,,;\-#,##0.0,,;\-"/>
    <numFmt numFmtId="273" formatCode="#,##0,;\-#,##0,;\-"/>
    <numFmt numFmtId="274" formatCode="0.0%;\-0.0%;\-"/>
    <numFmt numFmtId="275" formatCode="#,##0.0,,;\-#,##0.0,,"/>
    <numFmt numFmtId="276" formatCode="#,##0,;\-#,##0,"/>
    <numFmt numFmtId="277" formatCode="0.0%;\-0.0%"/>
    <numFmt numFmtId="278" formatCode="&quot;$&quot;#,##0.0_);\(&quot;$&quot;#,##0.00\)"/>
    <numFmt numFmtId="279" formatCode="dd\ mmm\ yy"/>
    <numFmt numFmtId="280" formatCode="#,###,##0"/>
    <numFmt numFmtId="281" formatCode="_-&quot;€&quot;\ * #,##0.00_-;\-&quot;€&quot;\ * #,##0.00_-;_-&quot;€&quot;\ * &quot;-&quot;??_-;_-@_-"/>
    <numFmt numFmtId="282" formatCode="_-* #,##0\ &quot;DM&quot;_-;\-* #,##0\ &quot;DM&quot;_-;_-* &quot;-&quot;\ &quot;DM&quot;_-;_-@_-"/>
    <numFmt numFmtId="283" formatCode="_-* #,##0.00\ &quot;DM&quot;_-;\-* #,##0.00\ &quot;DM&quot;_-;_-* &quot;-&quot;??\ &quot;DM&quot;_-;_-@_-"/>
    <numFmt numFmtId="284" formatCode="####_)"/>
  </numFmts>
  <fonts count="350">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b/>
      <sz val="14"/>
      <name val="Arial"/>
      <family val="2"/>
    </font>
    <font>
      <b/>
      <sz val="10"/>
      <name val="Arial"/>
      <family val="2"/>
    </font>
    <font>
      <b/>
      <sz val="14"/>
      <color theme="1"/>
      <name val="Calibri"/>
      <family val="2"/>
      <scheme val="minor"/>
    </font>
    <font>
      <sz val="10"/>
      <color theme="1"/>
      <name val="Calibri"/>
      <family val="2"/>
      <scheme val="minor"/>
    </font>
    <font>
      <b/>
      <sz val="11"/>
      <color rgb="FF000000"/>
      <name val="Arial"/>
      <family val="2"/>
    </font>
    <font>
      <sz val="11"/>
      <color rgb="FF000000"/>
      <name val="Arial"/>
      <family val="2"/>
    </font>
    <font>
      <sz val="10"/>
      <name val="Arial"/>
      <family val="2"/>
    </font>
    <font>
      <u/>
      <sz val="10"/>
      <color indexed="12"/>
      <name val="Arial"/>
      <family val="2"/>
    </font>
    <font>
      <sz val="10"/>
      <color indexed="10"/>
      <name val="Arial"/>
      <family val="2"/>
    </font>
    <font>
      <b/>
      <sz val="10"/>
      <color indexed="9"/>
      <name val="Arial"/>
      <family val="2"/>
    </font>
    <font>
      <sz val="10"/>
      <color indexed="9"/>
      <name val="Arial"/>
      <family val="2"/>
    </font>
    <font>
      <sz val="10"/>
      <color indexed="12"/>
      <name val="Arial"/>
      <family val="2"/>
    </font>
    <font>
      <b/>
      <sz val="10"/>
      <color indexed="10"/>
      <name val="Arial"/>
      <family val="2"/>
    </font>
    <font>
      <b/>
      <sz val="10"/>
      <color indexed="12"/>
      <name val="Arial"/>
      <family val="2"/>
    </font>
    <font>
      <b/>
      <sz val="10"/>
      <color indexed="8"/>
      <name val="Arial"/>
      <family val="2"/>
    </font>
    <font>
      <sz val="10"/>
      <color indexed="8"/>
      <name val="Arial"/>
      <family val="2"/>
    </font>
    <font>
      <sz val="10"/>
      <name val="Symbol"/>
      <family val="1"/>
      <charset val="2"/>
    </font>
    <font>
      <vertAlign val="superscript"/>
      <sz val="10"/>
      <name val="Arial"/>
      <family val="2"/>
    </font>
    <font>
      <sz val="10"/>
      <color theme="0"/>
      <name val="Arial"/>
      <family val="2"/>
    </font>
    <font>
      <b/>
      <vertAlign val="superscript"/>
      <sz val="10"/>
      <color indexed="8"/>
      <name val="Arial"/>
      <family val="2"/>
    </font>
    <font>
      <b/>
      <sz val="11"/>
      <color theme="1"/>
      <name val="Arial"/>
      <family val="2"/>
    </font>
    <font>
      <sz val="11"/>
      <color theme="1"/>
      <name val="Arial"/>
      <family val="2"/>
    </font>
    <font>
      <b/>
      <sz val="12"/>
      <color theme="1"/>
      <name val="Arial"/>
      <family val="2"/>
    </font>
    <font>
      <sz val="12"/>
      <name val="Arial"/>
      <family val="2"/>
    </font>
    <font>
      <b/>
      <sz val="11"/>
      <color indexed="8"/>
      <name val="Arial"/>
      <family val="2"/>
    </font>
    <font>
      <b/>
      <sz val="11"/>
      <name val="Arial"/>
      <family val="2"/>
    </font>
    <font>
      <sz val="12"/>
      <color theme="1"/>
      <name val="Arial"/>
      <family val="2"/>
    </font>
    <font>
      <sz val="11"/>
      <name val="Arial"/>
      <family val="2"/>
    </font>
    <font>
      <b/>
      <sz val="9"/>
      <name val="Arial"/>
      <family val="2"/>
    </font>
    <font>
      <sz val="9"/>
      <name val="Arial"/>
      <family val="2"/>
    </font>
    <font>
      <b/>
      <sz val="10"/>
      <color indexed="57"/>
      <name val="Arial"/>
      <family val="2"/>
    </font>
    <font>
      <sz val="10"/>
      <color indexed="57"/>
      <name val="Arial"/>
      <family val="2"/>
    </font>
    <font>
      <b/>
      <vertAlign val="superscript"/>
      <sz val="10"/>
      <name val="Arial"/>
      <family val="2"/>
    </font>
    <font>
      <b/>
      <sz val="15"/>
      <color theme="1"/>
      <name val="Calibri"/>
      <family val="2"/>
      <scheme val="minor"/>
    </font>
    <font>
      <u/>
      <sz val="11"/>
      <color indexed="12"/>
      <name val="Arial"/>
      <family val="2"/>
    </font>
    <font>
      <sz val="11"/>
      <color indexed="8"/>
      <name val="Arial"/>
      <family val="2"/>
    </font>
    <font>
      <b/>
      <u/>
      <sz val="11"/>
      <name val="Arial"/>
      <family val="2"/>
    </font>
    <font>
      <sz val="12"/>
      <color rgb="FF000000"/>
      <name val="Arial"/>
      <family val="2"/>
    </font>
    <font>
      <b/>
      <sz val="12"/>
      <color indexed="8"/>
      <name val="Arial"/>
      <family val="2"/>
    </font>
    <font>
      <sz val="12"/>
      <color theme="0" tint="-0.34998626667073579"/>
      <name val="Arial"/>
      <family val="2"/>
    </font>
    <font>
      <sz val="10"/>
      <color theme="1"/>
      <name val="Arial"/>
      <family val="2"/>
    </font>
    <font>
      <sz val="12"/>
      <color theme="1"/>
      <name val="Calibri"/>
      <family val="2"/>
      <scheme val="minor"/>
    </font>
    <font>
      <u/>
      <sz val="12"/>
      <color theme="1"/>
      <name val="Arial"/>
      <family val="2"/>
    </font>
    <font>
      <b/>
      <sz val="12"/>
      <color rgb="FF000000"/>
      <name val="Arial"/>
      <family val="2"/>
    </font>
    <font>
      <b/>
      <sz val="14"/>
      <color theme="1"/>
      <name val="Arial"/>
      <family val="2"/>
    </font>
    <font>
      <i/>
      <sz val="11"/>
      <color rgb="FF000000"/>
      <name val="Arial"/>
      <family val="2"/>
    </font>
    <font>
      <sz val="10"/>
      <name val="Arial"/>
      <family val="2"/>
    </font>
    <font>
      <u/>
      <sz val="10"/>
      <color rgb="FF0000FF"/>
      <name val="Arial"/>
      <family val="2"/>
    </font>
    <font>
      <sz val="10"/>
      <color rgb="FF000000"/>
      <name val="Arial"/>
      <family val="2"/>
    </font>
    <font>
      <i/>
      <sz val="10"/>
      <name val="Arial"/>
      <family val="2"/>
    </font>
    <font>
      <sz val="11"/>
      <color rgb="FFFF0000"/>
      <name val="Calibri"/>
      <family val="2"/>
      <scheme val="minor"/>
    </font>
    <font>
      <sz val="11"/>
      <name val="Calibri"/>
      <family val="2"/>
      <scheme val="minor"/>
    </font>
    <font>
      <i/>
      <sz val="12"/>
      <color theme="1"/>
      <name val="Arial"/>
      <family val="2"/>
    </font>
    <font>
      <b/>
      <sz val="12"/>
      <color rgb="FFFF0000"/>
      <name val="Arial"/>
      <family val="2"/>
    </font>
    <font>
      <u/>
      <sz val="11"/>
      <color theme="10"/>
      <name val="Calibri"/>
      <family val="2"/>
      <scheme val="minor"/>
    </font>
    <font>
      <sz val="11"/>
      <color rgb="FFFF000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name val="Arial"/>
      <family val="2"/>
    </font>
    <font>
      <sz val="8"/>
      <name val="Arial"/>
      <family val="2"/>
    </font>
    <font>
      <sz val="14"/>
      <name val="Arial"/>
      <family val="2"/>
    </font>
    <font>
      <sz val="9"/>
      <color indexed="8"/>
      <name val="Arial"/>
      <family val="2"/>
    </font>
    <font>
      <b/>
      <sz val="9"/>
      <color indexed="9"/>
      <name val="Arial"/>
      <family val="2"/>
    </font>
    <font>
      <b/>
      <sz val="8"/>
      <name val="Arial"/>
      <family val="2"/>
    </font>
    <font>
      <sz val="10"/>
      <color indexed="8"/>
      <name val="Calibri"/>
      <family val="2"/>
    </font>
    <font>
      <sz val="11"/>
      <color indexed="8"/>
      <name val="Calibri"/>
      <family val="2"/>
    </font>
    <font>
      <sz val="8"/>
      <color indexed="8"/>
      <name val="Arial"/>
      <family val="2"/>
    </font>
    <font>
      <b/>
      <sz val="10"/>
      <color theme="0"/>
      <name val="Arial"/>
      <family val="2"/>
    </font>
    <font>
      <sz val="11"/>
      <color rgb="FF9C6500"/>
      <name val="Calibri"/>
      <family val="2"/>
      <scheme val="minor"/>
    </font>
    <font>
      <u/>
      <sz val="10"/>
      <color theme="10"/>
      <name val="Arial"/>
      <family val="2"/>
    </font>
    <font>
      <i/>
      <sz val="10"/>
      <color indexed="8"/>
      <name val="Arial"/>
      <family val="2"/>
    </font>
    <font>
      <b/>
      <sz val="10"/>
      <color theme="1"/>
      <name val="Arial"/>
      <family val="2"/>
    </font>
    <font>
      <sz val="10"/>
      <name val="Times New Roman"/>
      <family val="1"/>
    </font>
    <font>
      <sz val="10"/>
      <color rgb="FFFF0000"/>
      <name val="Arial"/>
      <family val="2"/>
    </font>
    <font>
      <b/>
      <i/>
      <sz val="10"/>
      <name val="Arial"/>
      <family val="2"/>
    </font>
    <font>
      <sz val="8"/>
      <color indexed="12"/>
      <name val="Arial"/>
      <family val="2"/>
    </font>
    <font>
      <sz val="10"/>
      <color indexed="8"/>
      <name val="MS Sans Serif"/>
      <family val="2"/>
    </font>
    <font>
      <sz val="10"/>
      <name val="Helv"/>
      <charset val="204"/>
    </font>
    <font>
      <b/>
      <sz val="10"/>
      <color indexed="18"/>
      <name val="Arial"/>
      <family val="2"/>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10"/>
      <color indexed="62"/>
      <name val="Arial"/>
      <family val="2"/>
    </font>
    <font>
      <sz val="10"/>
      <color indexed="39"/>
      <name val="Arial"/>
      <family val="2"/>
    </font>
    <font>
      <b/>
      <sz val="16"/>
      <color indexed="23"/>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
      <sz val="11"/>
      <color rgb="FF000000"/>
      <name val="Calibri"/>
      <family val="2"/>
    </font>
    <font>
      <u/>
      <sz val="10"/>
      <color indexed="12"/>
      <name val="Arial"/>
      <family val="2"/>
    </font>
    <font>
      <b/>
      <sz val="10"/>
      <name val="Arial"/>
      <family val="2"/>
    </font>
    <font>
      <b/>
      <sz val="14"/>
      <name val="Arial"/>
      <family val="2"/>
    </font>
    <font>
      <b/>
      <sz val="10"/>
      <color indexed="10"/>
      <name val="Arial"/>
      <family val="2"/>
    </font>
    <font>
      <sz val="10"/>
      <color indexed="12"/>
      <name val="Arial"/>
      <family val="2"/>
    </font>
  </fonts>
  <fills count="178">
    <fill>
      <patternFill patternType="none"/>
    </fill>
    <fill>
      <patternFill patternType="gray125"/>
    </fill>
    <fill>
      <patternFill patternType="solid">
        <fgColor indexed="42"/>
        <bgColor indexed="64"/>
      </patternFill>
    </fill>
    <fill>
      <patternFill patternType="solid">
        <fgColor indexed="17"/>
        <bgColor indexed="64"/>
      </patternFill>
    </fill>
    <fill>
      <patternFill patternType="solid">
        <fgColor indexed="22"/>
        <bgColor indexed="64"/>
      </patternFill>
    </fill>
    <fill>
      <patternFill patternType="solid">
        <fgColor theme="2" tint="-9.9978637043366805E-2"/>
        <bgColor indexed="64"/>
      </patternFill>
    </fill>
    <fill>
      <patternFill patternType="gray0625"/>
    </fill>
    <fill>
      <patternFill patternType="solid">
        <fgColor indexed="65"/>
        <bgColor indexed="64"/>
      </patternFill>
    </fill>
    <fill>
      <patternFill patternType="solid">
        <fgColor theme="0"/>
        <bgColor indexed="64"/>
      </patternFill>
    </fill>
    <fill>
      <patternFill patternType="solid">
        <fgColor theme="2" tint="0.39997558519241921"/>
        <bgColor indexed="64"/>
      </patternFill>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7"/>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6" tint="0.79998168889431442"/>
        <bgColor indexed="64"/>
      </patternFill>
    </fill>
    <fill>
      <patternFill patternType="solid">
        <fgColor rgb="FFD1EAFC"/>
        <bgColor indexed="64"/>
      </patternFill>
    </fill>
    <fill>
      <patternFill patternType="solid">
        <fgColor rgb="FFFFFFFF"/>
        <bgColor rgb="FFFFFFFF"/>
      </patternFill>
    </fill>
    <fill>
      <patternFill patternType="solid">
        <fgColor rgb="FFFFFFFF"/>
        <bgColor rgb="FF000000"/>
      </patternFill>
    </fill>
    <fill>
      <patternFill patternType="solid">
        <fgColor rgb="FFFFFF00"/>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7CE"/>
        <bgColor indexed="64"/>
      </patternFill>
    </fill>
    <fill>
      <patternFill patternType="solid">
        <fgColor indexed="10"/>
        <bgColor indexed="64"/>
      </patternFill>
    </fill>
    <fill>
      <patternFill patternType="solid">
        <fgColor indexed="45"/>
        <bgColor indexed="64"/>
      </patternFill>
    </fill>
    <fill>
      <patternFill patternType="solid">
        <fgColor indexed="55"/>
        <bgColor indexed="64"/>
      </patternFill>
    </fill>
    <fill>
      <patternFill patternType="solid">
        <fgColor theme="4" tint="0.79998168889431442"/>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theme="9" tint="0.59996337778862885"/>
        <bgColor indexed="64"/>
      </patternFill>
    </fill>
    <fill>
      <patternFill patternType="solid">
        <fgColor indexed="18"/>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s>
  <borders count="24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ck">
        <color indexed="17"/>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top/>
      <bottom style="medium">
        <color indexed="64"/>
      </bottom>
      <diagonal/>
    </border>
    <border>
      <left/>
      <right style="double">
        <color indexed="64"/>
      </right>
      <top/>
      <bottom style="medium">
        <color indexed="64"/>
      </bottom>
      <diagonal/>
    </border>
    <border>
      <left/>
      <right style="mediumDashed">
        <color indexed="64"/>
      </right>
      <top style="thin">
        <color indexed="64"/>
      </top>
      <bottom style="thin">
        <color indexed="64"/>
      </bottom>
      <diagonal/>
    </border>
    <border>
      <left/>
      <right style="mediumDashed">
        <color indexed="64"/>
      </right>
      <top/>
      <bottom style="thin">
        <color indexed="64"/>
      </bottom>
      <diagonal/>
    </border>
    <border>
      <left style="mediumDashed">
        <color indexed="64"/>
      </left>
      <right style="mediumDashed">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mediumDashed">
        <color indexed="64"/>
      </right>
      <top style="thin">
        <color indexed="64"/>
      </top>
      <bottom/>
      <diagonal/>
    </border>
    <border>
      <left/>
      <right style="double">
        <color indexed="64"/>
      </right>
      <top style="thin">
        <color indexed="64"/>
      </top>
      <bottom/>
      <diagonal/>
    </border>
    <border>
      <left style="mediumDashed">
        <color indexed="64"/>
      </left>
      <right/>
      <top/>
      <bottom style="thin">
        <color indexed="64"/>
      </bottom>
      <diagonal/>
    </border>
    <border>
      <left style="thin">
        <color indexed="64"/>
      </left>
      <right style="mediumDashed">
        <color indexed="64"/>
      </right>
      <top/>
      <bottom style="double">
        <color indexed="64"/>
      </bottom>
      <diagonal/>
    </border>
    <border>
      <left style="mediumDashed">
        <color indexed="64"/>
      </left>
      <right style="thin">
        <color indexed="64"/>
      </right>
      <top/>
      <bottom style="double">
        <color indexed="64"/>
      </bottom>
      <diagonal/>
    </border>
    <border>
      <left style="thin">
        <color indexed="64"/>
      </left>
      <right style="mediumDashed">
        <color indexed="64"/>
      </right>
      <top style="thin">
        <color indexed="64"/>
      </top>
      <bottom style="double">
        <color indexed="64"/>
      </bottom>
      <diagonal/>
    </border>
    <border>
      <left style="mediumDashed">
        <color indexed="64"/>
      </left>
      <right style="mediumDashed">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Dashed">
        <color indexed="64"/>
      </right>
      <top/>
      <bottom/>
      <diagonal/>
    </border>
    <border>
      <left/>
      <right style="mediumDashed">
        <color indexed="64"/>
      </right>
      <top/>
      <bottom style="double">
        <color indexed="64"/>
      </bottom>
      <diagonal/>
    </border>
    <border>
      <left/>
      <right/>
      <top style="thick">
        <color indexed="17"/>
      </top>
      <bottom style="double">
        <color indexed="64"/>
      </bottom>
      <diagonal/>
    </border>
    <border>
      <left/>
      <right/>
      <top style="thick">
        <color indexed="17"/>
      </top>
      <bottom/>
      <diagonal/>
    </border>
    <border>
      <left/>
      <right/>
      <top/>
      <bottom style="thin">
        <color indexed="8"/>
      </bottom>
      <diagonal/>
    </border>
    <border>
      <left/>
      <right style="double">
        <color indexed="64"/>
      </right>
      <top/>
      <bottom style="thin">
        <color indexed="8"/>
      </bottom>
      <diagonal/>
    </border>
    <border>
      <left style="thin">
        <color indexed="8"/>
      </left>
      <right style="double">
        <color indexed="64"/>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64"/>
      </right>
      <top/>
      <bottom style="thin">
        <color indexed="8"/>
      </bottom>
      <diagonal/>
    </border>
    <border>
      <left/>
      <right style="thin">
        <color indexed="8"/>
      </right>
      <top style="thin">
        <color indexed="8"/>
      </top>
      <bottom style="thin">
        <color indexed="8"/>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double">
        <color indexed="64"/>
      </right>
      <top style="thin">
        <color indexed="8"/>
      </top>
      <bottom style="double">
        <color indexed="64"/>
      </bottom>
      <diagonal/>
    </border>
    <border>
      <left style="thin">
        <color indexed="8"/>
      </left>
      <right/>
      <top/>
      <bottom style="double">
        <color indexed="64"/>
      </bottom>
      <diagonal/>
    </border>
    <border>
      <left/>
      <right style="double">
        <color indexed="64"/>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top style="double">
        <color indexed="64"/>
      </top>
      <bottom/>
      <diagonal/>
    </border>
    <border>
      <left style="double">
        <color indexed="64"/>
      </left>
      <right/>
      <top/>
      <bottom style="thin">
        <color indexed="8"/>
      </bottom>
      <diagonal/>
    </border>
    <border>
      <left style="double">
        <color indexed="64"/>
      </left>
      <right style="thin">
        <color indexed="8"/>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diagonal/>
    </border>
    <border>
      <left/>
      <right style="medium">
        <color indexed="64"/>
      </right>
      <top style="medium">
        <color indexed="64"/>
      </top>
      <bottom/>
      <diagonal/>
    </border>
    <border>
      <left/>
      <right style="thin">
        <color indexed="8"/>
      </right>
      <top style="double">
        <color indexed="64"/>
      </top>
      <bottom style="double">
        <color indexed="64"/>
      </bottom>
      <diagonal/>
    </border>
    <border>
      <left style="thin">
        <color indexed="8"/>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style="thick">
        <color indexed="64"/>
      </bottom>
      <diagonal/>
    </border>
    <border>
      <left/>
      <right/>
      <top/>
      <bottom style="thick">
        <color indexed="64"/>
      </bottom>
      <diagonal/>
    </border>
    <border>
      <left style="double">
        <color indexed="64"/>
      </left>
      <right style="double">
        <color indexed="64"/>
      </right>
      <top/>
      <bottom style="thick">
        <color indexed="64"/>
      </bottom>
      <diagonal/>
    </border>
    <border>
      <left style="double">
        <color indexed="64"/>
      </left>
      <right/>
      <top/>
      <bottom style="medium">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diagonal/>
    </border>
    <border>
      <left style="medium">
        <color indexed="64"/>
      </left>
      <right style="medium">
        <color indexed="64"/>
      </right>
      <top style="thin">
        <color indexed="64"/>
      </top>
      <bottom/>
      <diagonal/>
    </border>
    <border>
      <left/>
      <right style="thin">
        <color rgb="FF000000"/>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s>
  <cellStyleXfs count="37923">
    <xf numFmtId="0" fontId="0" fillId="0" borderId="0"/>
    <xf numFmtId="9" fontId="1" fillId="0" borderId="0" applyFont="0" applyFill="0" applyBorder="0" applyAlignment="0" applyProtection="0"/>
    <xf numFmtId="0" fontId="11" fillId="0" borderId="0" applyNumberFormat="0" applyFill="0" applyBorder="0" applyAlignment="0" applyProtection="0">
      <alignment vertical="top"/>
      <protection locked="0"/>
    </xf>
    <xf numFmtId="0" fontId="10" fillId="0" borderId="0"/>
    <xf numFmtId="43" fontId="1" fillId="0" borderId="0" applyFont="0" applyFill="0" applyBorder="0" applyAlignment="0" applyProtection="0"/>
    <xf numFmtId="0" fontId="10" fillId="0" borderId="0"/>
    <xf numFmtId="0" fontId="10" fillId="0" borderId="0"/>
    <xf numFmtId="0" fontId="50" fillId="0" borderId="0"/>
    <xf numFmtId="43" fontId="10" fillId="0" borderId="0" applyFont="0" applyFill="0" applyBorder="0" applyAlignment="0" applyProtection="0"/>
    <xf numFmtId="0" fontId="51" fillId="0" borderId="0" applyNumberFormat="0" applyFill="0" applyBorder="0" applyAlignment="0" applyProtection="0"/>
    <xf numFmtId="0" fontId="1" fillId="0" borderId="0"/>
    <xf numFmtId="0" fontId="10" fillId="0" borderId="0"/>
    <xf numFmtId="0" fontId="52" fillId="0" borderId="0"/>
    <xf numFmtId="9" fontId="10" fillId="0" borderId="0" applyFont="0" applyFill="0" applyBorder="0" applyAlignment="0" applyProtection="0"/>
    <xf numFmtId="0" fontId="10" fillId="0" borderId="0"/>
    <xf numFmtId="0" fontId="58" fillId="0" borderId="0" applyNumberFormat="0" applyFill="0" applyBorder="0" applyAlignment="0" applyProtection="0"/>
    <xf numFmtId="0" fontId="68" fillId="0" borderId="0"/>
    <xf numFmtId="0" fontId="44" fillId="0" borderId="0"/>
    <xf numFmtId="9" fontId="44" fillId="0" borderId="0" applyFont="0" applyFill="0" applyBorder="0" applyAlignment="0" applyProtection="0"/>
    <xf numFmtId="0" fontId="79" fillId="0" borderId="0" applyNumberFormat="0" applyFill="0" applyBorder="0" applyAlignment="0" applyProtection="0">
      <alignment vertical="top"/>
      <protection locked="0"/>
    </xf>
    <xf numFmtId="0" fontId="1" fillId="0" borderId="0"/>
    <xf numFmtId="0" fontId="10" fillId="0" borderId="0"/>
    <xf numFmtId="9" fontId="85" fillId="0" borderId="0">
      <alignment horizontal="right"/>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8" fontId="10"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179" fontId="10" fillId="0" borderId="0"/>
    <xf numFmtId="0" fontId="10" fillId="0" borderId="0"/>
    <xf numFmtId="179" fontId="10" fillId="0" borderId="0"/>
    <xf numFmtId="0" fontId="10" fillId="0" borderId="0"/>
    <xf numFmtId="179" fontId="10" fillId="0" borderId="0"/>
    <xf numFmtId="0" fontId="10" fillId="0" borderId="0"/>
    <xf numFmtId="179" fontId="10" fillId="0" borderId="0"/>
    <xf numFmtId="17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86" fillId="0" borderId="0"/>
    <xf numFmtId="0" fontId="87" fillId="0" borderId="0"/>
    <xf numFmtId="0" fontId="8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87" fillId="0" borderId="0"/>
    <xf numFmtId="0" fontId="10" fillId="0" borderId="0"/>
    <xf numFmtId="0" fontId="10" fillId="0" borderId="0"/>
    <xf numFmtId="0" fontId="10" fillId="0" borderId="0"/>
    <xf numFmtId="0" fontId="87" fillId="0" borderId="0"/>
    <xf numFmtId="0" fontId="10" fillId="0" borderId="0"/>
    <xf numFmtId="0" fontId="10" fillId="0" borderId="0"/>
    <xf numFmtId="0" fontId="10" fillId="0" borderId="0"/>
    <xf numFmtId="0" fontId="10" fillId="0" borderId="0"/>
    <xf numFmtId="0" fontId="10" fillId="0" borderId="0"/>
    <xf numFmtId="0" fontId="86" fillId="0" borderId="0"/>
    <xf numFmtId="0" fontId="86" fillId="0" borderId="0"/>
    <xf numFmtId="0" fontId="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88" fillId="0" borderId="179" applyNumberFormat="0" applyFill="0" applyProtection="0">
      <alignment horizontal="center"/>
    </xf>
    <xf numFmtId="0" fontId="10" fillId="0" borderId="0"/>
    <xf numFmtId="0" fontId="86" fillId="0" borderId="0"/>
    <xf numFmtId="0" fontId="10" fillId="0" borderId="0"/>
    <xf numFmtId="0" fontId="10" fillId="0" borderId="0"/>
    <xf numFmtId="180" fontId="89" fillId="0" borderId="0"/>
    <xf numFmtId="17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10" fillId="0" borderId="0"/>
    <xf numFmtId="0" fontId="10" fillId="0" borderId="0"/>
    <xf numFmtId="0" fontId="10" fillId="0" borderId="0"/>
    <xf numFmtId="179" fontId="10" fillId="0" borderId="0"/>
    <xf numFmtId="0" fontId="10" fillId="0" borderId="0"/>
    <xf numFmtId="179" fontId="10" fillId="0" borderId="0"/>
    <xf numFmtId="0" fontId="10" fillId="0" borderId="0"/>
    <xf numFmtId="179" fontId="10" fillId="0" borderId="0"/>
    <xf numFmtId="0" fontId="10" fillId="0" borderId="0"/>
    <xf numFmtId="179" fontId="10" fillId="0" borderId="0"/>
    <xf numFmtId="179" fontId="10" fillId="0" borderId="0"/>
    <xf numFmtId="0" fontId="10" fillId="0" borderId="0"/>
    <xf numFmtId="0" fontId="10" fillId="0" borderId="0"/>
    <xf numFmtId="181" fontId="71" fillId="0" borderId="0">
      <alignment horizontal="right" vertical="top"/>
    </xf>
    <xf numFmtId="164" fontId="10" fillId="0" borderId="0" applyFont="0" applyFill="0" applyBorder="0" applyProtection="0">
      <alignment horizontal="right"/>
    </xf>
    <xf numFmtId="164" fontId="10" fillId="0" borderId="0" applyFont="0" applyFill="0" applyBorder="0" applyProtection="0">
      <alignment horizontal="right"/>
    </xf>
    <xf numFmtId="164" fontId="10" fillId="0" borderId="0" applyFont="0" applyFill="0" applyBorder="0" applyProtection="0">
      <alignment horizontal="right"/>
    </xf>
    <xf numFmtId="164" fontId="10" fillId="0" borderId="0" applyFont="0" applyFill="0" applyBorder="0" applyProtection="0">
      <alignment horizontal="right"/>
    </xf>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90" fillId="60" borderId="0" applyNumberFormat="0" applyBorder="0" applyAlignment="0" applyProtection="0"/>
    <xf numFmtId="0" fontId="75" fillId="6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 fillId="61" borderId="0"/>
    <xf numFmtId="0" fontId="1" fillId="61" borderId="0"/>
    <xf numFmtId="0" fontId="1" fillId="61" borderId="0"/>
    <xf numFmtId="0" fontId="1" fillId="61" borderId="0"/>
    <xf numFmtId="0" fontId="1" fillId="61" borderId="0"/>
    <xf numFmtId="0" fontId="75" fillId="59" borderId="0"/>
    <xf numFmtId="0" fontId="75" fillId="60" borderId="0" applyNumberFormat="0" applyBorder="0" applyAlignment="0" applyProtection="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60" borderId="0" applyNumberFormat="0" applyBorder="0" applyAlignment="0" applyProtection="0"/>
    <xf numFmtId="0" fontId="91" fillId="62" borderId="0" applyNumberFormat="0" applyBorder="0" applyAlignment="0" applyProtection="0"/>
    <xf numFmtId="0" fontId="75" fillId="63" borderId="0" applyNumberFormat="0" applyBorder="0" applyAlignment="0" applyProtection="0"/>
    <xf numFmtId="0" fontId="75" fillId="59" borderId="0"/>
    <xf numFmtId="0" fontId="75" fillId="59" borderId="0"/>
    <xf numFmtId="0" fontId="75" fillId="59" borderId="0"/>
    <xf numFmtId="0" fontId="75" fillId="59" borderId="0"/>
    <xf numFmtId="0" fontId="75" fillId="59" borderId="0"/>
    <xf numFmtId="0" fontId="92" fillId="10" borderId="0"/>
    <xf numFmtId="0" fontId="75" fillId="59" borderId="0"/>
    <xf numFmtId="0" fontId="92" fillId="10" borderId="0"/>
    <xf numFmtId="0" fontId="75" fillId="59" borderId="0"/>
    <xf numFmtId="0" fontId="92" fillId="10" borderId="0"/>
    <xf numFmtId="0" fontId="75" fillId="59" borderId="0"/>
    <xf numFmtId="0" fontId="92" fillId="10" borderId="0"/>
    <xf numFmtId="0" fontId="92" fillId="10" borderId="0"/>
    <xf numFmtId="0" fontId="75" fillId="59" borderId="0"/>
    <xf numFmtId="0" fontId="75" fillId="59" borderId="0"/>
    <xf numFmtId="0" fontId="75" fillId="59" borderId="0"/>
    <xf numFmtId="0" fontId="75" fillId="59" borderId="0"/>
    <xf numFmtId="0" fontId="75" fillId="59" borderId="0"/>
    <xf numFmtId="0" fontId="75" fillId="60" borderId="0" applyNumberFormat="0" applyBorder="0" applyAlignment="0" applyProtection="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75" fillId="59" borderId="0"/>
    <xf numFmtId="0" fontId="92" fillId="10" borderId="0"/>
    <xf numFmtId="0" fontId="75" fillId="59" borderId="0"/>
    <xf numFmtId="0" fontId="92" fillId="10" borderId="0"/>
    <xf numFmtId="0" fontId="75" fillId="59" borderId="0"/>
    <xf numFmtId="0" fontId="92" fillId="10" borderId="0"/>
    <xf numFmtId="0" fontId="92" fillId="10" borderId="0"/>
    <xf numFmtId="0" fontId="75" fillId="59" borderId="0"/>
    <xf numFmtId="0" fontId="75" fillId="59" borderId="0"/>
    <xf numFmtId="0" fontId="44" fillId="61" borderId="0"/>
    <xf numFmtId="0" fontId="75" fillId="59" borderId="0"/>
    <xf numFmtId="0" fontId="93" fillId="31" borderId="0" applyNumberFormat="0" applyBorder="0" applyAlignment="0" applyProtection="0"/>
    <xf numFmtId="0" fontId="75" fillId="59" borderId="0"/>
    <xf numFmtId="0" fontId="75" fillId="59" borderId="0"/>
    <xf numFmtId="0" fontId="75" fillId="59"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90" fillId="64" borderId="0" applyNumberFormat="0" applyBorder="0" applyAlignment="0" applyProtection="0"/>
    <xf numFmtId="0" fontId="75" fillId="64"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1" fillId="65" borderId="0"/>
    <xf numFmtId="0" fontId="1" fillId="65" borderId="0"/>
    <xf numFmtId="0" fontId="1" fillId="65" borderId="0"/>
    <xf numFmtId="0" fontId="1" fillId="65" borderId="0"/>
    <xf numFmtId="0" fontId="1" fillId="65" borderId="0"/>
    <xf numFmtId="0" fontId="75" fillId="56" borderId="0"/>
    <xf numFmtId="0" fontId="75" fillId="64" borderId="0" applyNumberFormat="0" applyBorder="0" applyAlignment="0" applyProtection="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64" borderId="0" applyNumberFormat="0" applyBorder="0" applyAlignment="0" applyProtection="0"/>
    <xf numFmtId="0" fontId="91" fillId="66" borderId="0" applyNumberFormat="0" applyBorder="0" applyAlignment="0" applyProtection="0"/>
    <xf numFmtId="0" fontId="75" fillId="67" borderId="0" applyNumberFormat="0" applyBorder="0" applyAlignment="0" applyProtection="0"/>
    <xf numFmtId="0" fontId="75" fillId="56" borderId="0"/>
    <xf numFmtId="0" fontId="75" fillId="56" borderId="0"/>
    <xf numFmtId="0" fontId="75" fillId="56" borderId="0"/>
    <xf numFmtId="0" fontId="75" fillId="56" borderId="0"/>
    <xf numFmtId="0" fontId="75" fillId="56" borderId="0"/>
    <xf numFmtId="0" fontId="92" fillId="68" borderId="0"/>
    <xf numFmtId="0" fontId="75" fillId="56" borderId="0"/>
    <xf numFmtId="0" fontId="92" fillId="68" borderId="0"/>
    <xf numFmtId="0" fontId="75" fillId="56" borderId="0"/>
    <xf numFmtId="0" fontId="92" fillId="68" borderId="0"/>
    <xf numFmtId="0" fontId="75" fillId="56" borderId="0"/>
    <xf numFmtId="0" fontId="92" fillId="68" borderId="0"/>
    <xf numFmtId="0" fontId="92" fillId="68" borderId="0"/>
    <xf numFmtId="0" fontId="75" fillId="56" borderId="0"/>
    <xf numFmtId="0" fontId="75" fillId="56" borderId="0"/>
    <xf numFmtId="0" fontId="75" fillId="56" borderId="0"/>
    <xf numFmtId="0" fontId="75" fillId="56" borderId="0"/>
    <xf numFmtId="0" fontId="75" fillId="56" borderId="0"/>
    <xf numFmtId="0" fontId="75" fillId="64" borderId="0" applyNumberFormat="0" applyBorder="0" applyAlignment="0" applyProtection="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75" fillId="56" borderId="0"/>
    <xf numFmtId="0" fontId="92" fillId="68" borderId="0"/>
    <xf numFmtId="0" fontId="75" fillId="56" borderId="0"/>
    <xf numFmtId="0" fontId="92" fillId="68" borderId="0"/>
    <xf numFmtId="0" fontId="75" fillId="56" borderId="0"/>
    <xf numFmtId="0" fontId="92" fillId="68" borderId="0"/>
    <xf numFmtId="0" fontId="92" fillId="68" borderId="0"/>
    <xf numFmtId="0" fontId="75" fillId="56" borderId="0"/>
    <xf numFmtId="0" fontId="75" fillId="56" borderId="0"/>
    <xf numFmtId="0" fontId="44" fillId="65" borderId="0"/>
    <xf numFmtId="0" fontId="75" fillId="56" borderId="0"/>
    <xf numFmtId="0" fontId="93" fillId="35" borderId="0" applyNumberFormat="0" applyBorder="0" applyAlignment="0" applyProtection="0"/>
    <xf numFmtId="0" fontId="75" fillId="56" borderId="0"/>
    <xf numFmtId="0" fontId="75" fillId="56" borderId="0"/>
    <xf numFmtId="0" fontId="75" fillId="56"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90" fillId="69" borderId="0" applyNumberFormat="0" applyBorder="0" applyAlignment="0" applyProtection="0"/>
    <xf numFmtId="0" fontId="75" fillId="69"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1" fillId="70" borderId="0"/>
    <xf numFmtId="0" fontId="1" fillId="70" borderId="0"/>
    <xf numFmtId="0" fontId="1" fillId="70" borderId="0"/>
    <xf numFmtId="0" fontId="1" fillId="70" borderId="0"/>
    <xf numFmtId="0" fontId="1" fillId="70" borderId="0"/>
    <xf numFmtId="0" fontId="75" fillId="2" borderId="0"/>
    <xf numFmtId="0" fontId="75" fillId="69" borderId="0" applyNumberFormat="0" applyBorder="0" applyAlignment="0" applyProtection="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69" borderId="0" applyNumberFormat="0" applyBorder="0" applyAlignment="0" applyProtection="0"/>
    <xf numFmtId="0" fontId="91" fillId="71" borderId="0" applyNumberFormat="0" applyBorder="0" applyAlignment="0" applyProtection="0"/>
    <xf numFmtId="0" fontId="75" fillId="62" borderId="0" applyNumberFormat="0" applyBorder="0" applyAlignment="0" applyProtection="0"/>
    <xf numFmtId="0" fontId="75" fillId="2" borderId="0"/>
    <xf numFmtId="0" fontId="75" fillId="2" borderId="0"/>
    <xf numFmtId="0" fontId="75" fillId="2" borderId="0"/>
    <xf numFmtId="0" fontId="75" fillId="2" borderId="0"/>
    <xf numFmtId="0" fontId="75" fillId="2" borderId="0"/>
    <xf numFmtId="0" fontId="92" fillId="72" borderId="0"/>
    <xf numFmtId="0" fontId="75" fillId="2" borderId="0"/>
    <xf numFmtId="0" fontId="92" fillId="72" borderId="0"/>
    <xf numFmtId="0" fontId="75" fillId="2" borderId="0"/>
    <xf numFmtId="0" fontId="92" fillId="72" borderId="0"/>
    <xf numFmtId="0" fontId="75" fillId="2" borderId="0"/>
    <xf numFmtId="0" fontId="92" fillId="72" borderId="0"/>
    <xf numFmtId="0" fontId="92" fillId="72" borderId="0"/>
    <xf numFmtId="0" fontId="75" fillId="2" borderId="0"/>
    <xf numFmtId="0" fontId="75" fillId="2" borderId="0"/>
    <xf numFmtId="0" fontId="75" fillId="2" borderId="0"/>
    <xf numFmtId="0" fontId="75" fillId="2" borderId="0"/>
    <xf numFmtId="0" fontId="75" fillId="2" borderId="0"/>
    <xf numFmtId="0" fontId="75" fillId="69" borderId="0" applyNumberFormat="0" applyBorder="0" applyAlignment="0" applyProtection="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75" fillId="2" borderId="0"/>
    <xf numFmtId="0" fontId="92" fillId="72" borderId="0"/>
    <xf numFmtId="0" fontId="75" fillId="2" borderId="0"/>
    <xf numFmtId="0" fontId="92" fillId="72" borderId="0"/>
    <xf numFmtId="0" fontId="75" fillId="2" borderId="0"/>
    <xf numFmtId="0" fontId="92" fillId="72" borderId="0"/>
    <xf numFmtId="0" fontId="92" fillId="72" borderId="0"/>
    <xf numFmtId="0" fontId="75" fillId="2" borderId="0"/>
    <xf numFmtId="0" fontId="75" fillId="2" borderId="0"/>
    <xf numFmtId="0" fontId="44" fillId="70" borderId="0"/>
    <xf numFmtId="0" fontId="75" fillId="2" borderId="0"/>
    <xf numFmtId="0" fontId="93" fillId="39" borderId="0" applyNumberFormat="0" applyBorder="0" applyAlignment="0" applyProtection="0"/>
    <xf numFmtId="0" fontId="75" fillId="2" borderId="0"/>
    <xf numFmtId="0" fontId="75" fillId="2" borderId="0"/>
    <xf numFmtId="0" fontId="75" fillId="2"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90" fillId="74" borderId="0" applyNumberFormat="0" applyBorder="0" applyAlignment="0" applyProtection="0"/>
    <xf numFmtId="0" fontId="75" fillId="74" borderId="0" applyNumberFormat="0" applyBorder="0" applyAlignment="0" applyProtection="0"/>
    <xf numFmtId="0" fontId="90" fillId="73" borderId="0" applyNumberFormat="0" applyBorder="0" applyAlignment="0" applyProtection="0"/>
    <xf numFmtId="0" fontId="90" fillId="73" borderId="0" applyNumberFormat="0" applyBorder="0" applyAlignment="0" applyProtection="0"/>
    <xf numFmtId="0" fontId="1" fillId="75" borderId="0"/>
    <xf numFmtId="0" fontId="1" fillId="75" borderId="0"/>
    <xf numFmtId="0" fontId="1" fillId="75" borderId="0"/>
    <xf numFmtId="0" fontId="1" fillId="75" borderId="0"/>
    <xf numFmtId="0" fontId="1" fillId="75" borderId="0"/>
    <xf numFmtId="0" fontId="75" fillId="73" borderId="0"/>
    <xf numFmtId="0" fontId="75" fillId="74" borderId="0" applyNumberFormat="0" applyBorder="0" applyAlignment="0" applyProtection="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4" borderId="0" applyNumberFormat="0" applyBorder="0" applyAlignment="0" applyProtection="0"/>
    <xf numFmtId="0" fontId="91" fillId="76" borderId="0" applyNumberFormat="0" applyBorder="0" applyAlignment="0" applyProtection="0"/>
    <xf numFmtId="0" fontId="75" fillId="77" borderId="0" applyNumberFormat="0" applyBorder="0" applyAlignment="0" applyProtection="0"/>
    <xf numFmtId="0" fontId="75" fillId="73" borderId="0"/>
    <xf numFmtId="0" fontId="75" fillId="73" borderId="0"/>
    <xf numFmtId="0" fontId="75" fillId="73" borderId="0"/>
    <xf numFmtId="0" fontId="75" fillId="73" borderId="0"/>
    <xf numFmtId="0" fontId="75" fillId="73" borderId="0"/>
    <xf numFmtId="0" fontId="92" fillId="10" borderId="0"/>
    <xf numFmtId="0" fontId="75" fillId="73" borderId="0"/>
    <xf numFmtId="0" fontId="92" fillId="10" borderId="0"/>
    <xf numFmtId="0" fontId="75" fillId="73" borderId="0"/>
    <xf numFmtId="0" fontId="92" fillId="10" borderId="0"/>
    <xf numFmtId="0" fontId="75" fillId="73" borderId="0"/>
    <xf numFmtId="0" fontId="92" fillId="10" borderId="0"/>
    <xf numFmtId="0" fontId="92" fillId="10" borderId="0"/>
    <xf numFmtId="0" fontId="75" fillId="73" borderId="0"/>
    <xf numFmtId="0" fontId="75" fillId="73" borderId="0"/>
    <xf numFmtId="0" fontId="75" fillId="73" borderId="0"/>
    <xf numFmtId="0" fontId="75" fillId="73" borderId="0"/>
    <xf numFmtId="0" fontId="75" fillId="73" borderId="0"/>
    <xf numFmtId="0" fontId="75" fillId="74" borderId="0" applyNumberFormat="0" applyBorder="0" applyAlignment="0" applyProtection="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92" fillId="10" borderId="0"/>
    <xf numFmtId="0" fontId="75" fillId="73" borderId="0"/>
    <xf numFmtId="0" fontId="92" fillId="10" borderId="0"/>
    <xf numFmtId="0" fontId="75" fillId="73" borderId="0"/>
    <xf numFmtId="0" fontId="92" fillId="10" borderId="0"/>
    <xf numFmtId="0" fontId="92" fillId="10" borderId="0"/>
    <xf numFmtId="0" fontId="75" fillId="73" borderId="0"/>
    <xf numFmtId="0" fontId="75" fillId="73" borderId="0"/>
    <xf numFmtId="0" fontId="44" fillId="75" borderId="0"/>
    <xf numFmtId="0" fontId="75" fillId="73" borderId="0"/>
    <xf numFmtId="0" fontId="93" fillId="43" borderId="0" applyNumberFormat="0" applyBorder="0" applyAlignment="0" applyProtection="0"/>
    <xf numFmtId="0" fontId="75" fillId="73" borderId="0"/>
    <xf numFmtId="0" fontId="75" fillId="73" borderId="0"/>
    <xf numFmtId="0" fontId="75" fillId="73"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90" fillId="79" borderId="0" applyNumberFormat="0" applyBorder="0" applyAlignment="0" applyProtection="0"/>
    <xf numFmtId="0" fontId="75" fillId="79" borderId="0" applyNumberFormat="0" applyBorder="0" applyAlignment="0" applyProtection="0"/>
    <xf numFmtId="0" fontId="90" fillId="78" borderId="0" applyNumberFormat="0" applyBorder="0" applyAlignment="0" applyProtection="0"/>
    <xf numFmtId="0" fontId="90" fillId="78" borderId="0" applyNumberFormat="0" applyBorder="0" applyAlignment="0" applyProtection="0"/>
    <xf numFmtId="0" fontId="1" fillId="80" borderId="0"/>
    <xf numFmtId="0" fontId="1" fillId="80" borderId="0"/>
    <xf numFmtId="0" fontId="1" fillId="80" borderId="0"/>
    <xf numFmtId="0" fontId="1" fillId="80" borderId="0"/>
    <xf numFmtId="0" fontId="1" fillId="80" borderId="0"/>
    <xf numFmtId="0" fontId="75" fillId="78" borderId="0"/>
    <xf numFmtId="0" fontId="75" fillId="79" borderId="0" applyNumberFormat="0" applyBorder="0" applyAlignment="0" applyProtection="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9" borderId="0" applyNumberFormat="0" applyBorder="0" applyAlignment="0" applyProtection="0"/>
    <xf numFmtId="0" fontId="91" fillId="81" borderId="0" applyNumberFormat="0" applyBorder="0" applyAlignment="0" applyProtection="0"/>
    <xf numFmtId="0" fontId="75" fillId="78" borderId="0"/>
    <xf numFmtId="0" fontId="75" fillId="78" borderId="0"/>
    <xf numFmtId="0" fontId="75" fillId="78" borderId="0"/>
    <xf numFmtId="0" fontId="75" fillId="78" borderId="0"/>
    <xf numFmtId="0" fontId="75" fillId="78" borderId="0"/>
    <xf numFmtId="0" fontId="92" fillId="80" borderId="0"/>
    <xf numFmtId="0" fontId="75" fillId="78" borderId="0"/>
    <xf numFmtId="0" fontId="92" fillId="80" borderId="0"/>
    <xf numFmtId="0" fontId="75" fillId="78" borderId="0"/>
    <xf numFmtId="0" fontId="92" fillId="80" borderId="0"/>
    <xf numFmtId="0" fontId="75" fillId="78" borderId="0"/>
    <xf numFmtId="0" fontId="92" fillId="80" borderId="0"/>
    <xf numFmtId="0" fontId="92" fillId="80" borderId="0"/>
    <xf numFmtId="0" fontId="75" fillId="78" borderId="0"/>
    <xf numFmtId="0" fontId="75" fillId="78" borderId="0"/>
    <xf numFmtId="0" fontId="75" fillId="78" borderId="0"/>
    <xf numFmtId="0" fontId="75" fillId="78" borderId="0"/>
    <xf numFmtId="0" fontId="75" fillId="78" borderId="0"/>
    <xf numFmtId="0" fontId="75" fillId="79" borderId="0" applyNumberFormat="0" applyBorder="0" applyAlignment="0" applyProtection="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75" fillId="78" borderId="0"/>
    <xf numFmtId="0" fontId="92" fillId="80" borderId="0"/>
    <xf numFmtId="0" fontId="75" fillId="78" borderId="0"/>
    <xf numFmtId="0" fontId="75" fillId="78" borderId="0"/>
    <xf numFmtId="0" fontId="92" fillId="80" borderId="0"/>
    <xf numFmtId="0" fontId="92" fillId="80" borderId="0"/>
    <xf numFmtId="0" fontId="75" fillId="78" borderId="0"/>
    <xf numFmtId="0" fontId="75" fillId="78" borderId="0"/>
    <xf numFmtId="0" fontId="44" fillId="80" borderId="0"/>
    <xf numFmtId="0" fontId="75" fillId="78" borderId="0"/>
    <xf numFmtId="0" fontId="93" fillId="47" borderId="0" applyNumberFormat="0" applyBorder="0" applyAlignment="0" applyProtection="0"/>
    <xf numFmtId="0" fontId="75" fillId="78" borderId="0"/>
    <xf numFmtId="0" fontId="75" fillId="78" borderId="0"/>
    <xf numFmtId="0" fontId="75" fillId="7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90" fillId="77" borderId="0" applyNumberFormat="0" applyBorder="0" applyAlignment="0" applyProtection="0"/>
    <xf numFmtId="0" fontId="75" fillId="77"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1" fillId="82" borderId="0"/>
    <xf numFmtId="0" fontId="1" fillId="82" borderId="0"/>
    <xf numFmtId="0" fontId="1" fillId="82" borderId="0"/>
    <xf numFmtId="0" fontId="1" fillId="82" borderId="0"/>
    <xf numFmtId="0" fontId="1" fillId="82" borderId="0"/>
    <xf numFmtId="0" fontId="75" fillId="68" borderId="0"/>
    <xf numFmtId="0" fontId="75" fillId="77" borderId="0" applyNumberFormat="0" applyBorder="0" applyAlignment="0" applyProtection="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77" borderId="0" applyNumberFormat="0" applyBorder="0" applyAlignment="0" applyProtection="0"/>
    <xf numFmtId="0" fontId="91" fillId="83" borderId="0" applyNumberFormat="0" applyBorder="0" applyAlignment="0" applyProtection="0"/>
    <xf numFmtId="0" fontId="75" fillId="62" borderId="0" applyNumberFormat="0" applyBorder="0" applyAlignment="0" applyProtection="0"/>
    <xf numFmtId="0" fontId="75" fillId="68" borderId="0"/>
    <xf numFmtId="0" fontId="75" fillId="68" borderId="0"/>
    <xf numFmtId="0" fontId="75" fillId="68" borderId="0"/>
    <xf numFmtId="0" fontId="75" fillId="68" borderId="0"/>
    <xf numFmtId="0" fontId="75" fillId="68" borderId="0"/>
    <xf numFmtId="0" fontId="92" fillId="82" borderId="0"/>
    <xf numFmtId="0" fontId="75" fillId="68" borderId="0"/>
    <xf numFmtId="0" fontId="92" fillId="82" borderId="0"/>
    <xf numFmtId="0" fontId="75" fillId="68" borderId="0"/>
    <xf numFmtId="0" fontId="92" fillId="82" borderId="0"/>
    <xf numFmtId="0" fontId="75" fillId="68" borderId="0"/>
    <xf numFmtId="0" fontId="92" fillId="82" borderId="0"/>
    <xf numFmtId="0" fontId="92" fillId="82" borderId="0"/>
    <xf numFmtId="0" fontId="75" fillId="68" borderId="0"/>
    <xf numFmtId="0" fontId="75" fillId="68" borderId="0"/>
    <xf numFmtId="0" fontId="75" fillId="68" borderId="0"/>
    <xf numFmtId="0" fontId="75" fillId="68" borderId="0"/>
    <xf numFmtId="0" fontId="75" fillId="68" borderId="0"/>
    <xf numFmtId="0" fontId="75" fillId="77" borderId="0" applyNumberFormat="0" applyBorder="0" applyAlignment="0" applyProtection="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75" fillId="68" borderId="0"/>
    <xf numFmtId="0" fontId="92" fillId="82" borderId="0"/>
    <xf numFmtId="0" fontId="75" fillId="68" borderId="0"/>
    <xf numFmtId="0" fontId="75" fillId="68" borderId="0"/>
    <xf numFmtId="0" fontId="92" fillId="82" borderId="0"/>
    <xf numFmtId="0" fontId="92" fillId="82" borderId="0"/>
    <xf numFmtId="0" fontId="75" fillId="68" borderId="0"/>
    <xf numFmtId="0" fontId="75" fillId="68" borderId="0"/>
    <xf numFmtId="0" fontId="44" fillId="82" borderId="0"/>
    <xf numFmtId="0" fontId="75" fillId="68" borderId="0"/>
    <xf numFmtId="0" fontId="93" fillId="51" borderId="0" applyNumberFormat="0" applyBorder="0" applyAlignment="0" applyProtection="0"/>
    <xf numFmtId="0" fontId="75" fillId="68" borderId="0"/>
    <xf numFmtId="0" fontId="75" fillId="68" borderId="0"/>
    <xf numFmtId="0" fontId="75" fillId="68" borderId="0"/>
    <xf numFmtId="0" fontId="75" fillId="84" borderId="0" applyNumberFormat="0" applyBorder="0" applyAlignment="0" applyProtection="0"/>
    <xf numFmtId="0" fontId="75" fillId="85" borderId="0"/>
    <xf numFmtId="0" fontId="75" fillId="77" borderId="0" applyNumberFormat="0" applyBorder="0" applyAlignment="0" applyProtection="0"/>
    <xf numFmtId="0" fontId="75" fillId="68" borderId="0"/>
    <xf numFmtId="0" fontId="75" fillId="69" borderId="0" applyNumberFormat="0" applyBorder="0" applyAlignment="0" applyProtection="0"/>
    <xf numFmtId="0" fontId="75" fillId="2" borderId="0"/>
    <xf numFmtId="0" fontId="75" fillId="71" borderId="0" applyNumberFormat="0" applyBorder="0" applyAlignment="0" applyProtection="0"/>
    <xf numFmtId="0" fontId="75" fillId="4" borderId="0"/>
    <xf numFmtId="0" fontId="75" fillId="84" borderId="0" applyNumberFormat="0" applyBorder="0" applyAlignment="0" applyProtection="0"/>
    <xf numFmtId="0" fontId="75" fillId="85" borderId="0"/>
    <xf numFmtId="0" fontId="75" fillId="77" borderId="0" applyNumberFormat="0" applyBorder="0" applyAlignment="0" applyProtection="0"/>
    <xf numFmtId="0" fontId="75" fillId="68" borderId="0"/>
    <xf numFmtId="165" fontId="10" fillId="0" borderId="0" applyFont="0" applyFill="0" applyBorder="0" applyProtection="0">
      <alignment horizontal="right"/>
    </xf>
    <xf numFmtId="165" fontId="10" fillId="0" borderId="0" applyFont="0" applyFill="0" applyBorder="0" applyProtection="0">
      <alignment horizontal="right"/>
    </xf>
    <xf numFmtId="165" fontId="10" fillId="0" borderId="0" applyFont="0" applyFill="0" applyBorder="0" applyProtection="0">
      <alignment horizontal="right"/>
    </xf>
    <xf numFmtId="165" fontId="10" fillId="0" borderId="0" applyFont="0" applyFill="0" applyBorder="0" applyProtection="0">
      <alignment horizontal="right"/>
    </xf>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90" fillId="63" borderId="0" applyNumberFormat="0" applyBorder="0" applyAlignment="0" applyProtection="0"/>
    <xf numFmtId="0" fontId="75" fillId="63" borderId="0" applyNumberFormat="0" applyBorder="0" applyAlignment="0" applyProtection="0"/>
    <xf numFmtId="0" fontId="90" fillId="86" borderId="0" applyNumberFormat="0" applyBorder="0" applyAlignment="0" applyProtection="0"/>
    <xf numFmtId="0" fontId="90" fillId="86" borderId="0" applyNumberFormat="0" applyBorder="0" applyAlignment="0" applyProtection="0"/>
    <xf numFmtId="0" fontId="1" fillId="87" borderId="0"/>
    <xf numFmtId="0" fontId="1" fillId="87" borderId="0"/>
    <xf numFmtId="0" fontId="1" fillId="87" borderId="0"/>
    <xf numFmtId="0" fontId="1" fillId="87" borderId="0"/>
    <xf numFmtId="0" fontId="1" fillId="87" borderId="0"/>
    <xf numFmtId="0" fontId="75" fillId="86" borderId="0"/>
    <xf numFmtId="0" fontId="75" fillId="63" borderId="0" applyNumberFormat="0" applyBorder="0" applyAlignment="0" applyProtection="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63" borderId="0" applyNumberFormat="0" applyBorder="0" applyAlignment="0" applyProtection="0"/>
    <xf numFmtId="0" fontId="91" fillId="62" borderId="0" applyNumberFormat="0" applyBorder="0" applyAlignment="0" applyProtection="0"/>
    <xf numFmtId="0" fontId="75" fillId="79" borderId="0" applyNumberFormat="0" applyBorder="0" applyAlignment="0" applyProtection="0"/>
    <xf numFmtId="0" fontId="75" fillId="86" borderId="0"/>
    <xf numFmtId="0" fontId="75" fillId="86" borderId="0"/>
    <xf numFmtId="0" fontId="75" fillId="86" borderId="0"/>
    <xf numFmtId="0" fontId="75" fillId="86" borderId="0"/>
    <xf numFmtId="0" fontId="75" fillId="86" borderId="0"/>
    <xf numFmtId="0" fontId="92" fillId="4" borderId="0"/>
    <xf numFmtId="0" fontId="75" fillId="86" borderId="0"/>
    <xf numFmtId="0" fontId="92" fillId="4" borderId="0"/>
    <xf numFmtId="0" fontId="75" fillId="86" borderId="0"/>
    <xf numFmtId="0" fontId="92" fillId="4" borderId="0"/>
    <xf numFmtId="0" fontId="75" fillId="86" borderId="0"/>
    <xf numFmtId="0" fontId="92" fillId="4" borderId="0"/>
    <xf numFmtId="0" fontId="92" fillId="4" borderId="0"/>
    <xf numFmtId="0" fontId="75" fillId="86" borderId="0"/>
    <xf numFmtId="0" fontId="75" fillId="86" borderId="0"/>
    <xf numFmtId="0" fontId="75" fillId="86" borderId="0"/>
    <xf numFmtId="0" fontId="75" fillId="86" borderId="0"/>
    <xf numFmtId="0" fontId="75" fillId="86" borderId="0"/>
    <xf numFmtId="0" fontId="75" fillId="63" borderId="0" applyNumberFormat="0" applyBorder="0" applyAlignment="0" applyProtection="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92" fillId="4" borderId="0"/>
    <xf numFmtId="0" fontId="75" fillId="86" borderId="0"/>
    <xf numFmtId="0" fontId="92" fillId="4" borderId="0"/>
    <xf numFmtId="0" fontId="75" fillId="86" borderId="0"/>
    <xf numFmtId="0" fontId="92" fillId="4" borderId="0"/>
    <xf numFmtId="0" fontId="92" fillId="4" borderId="0"/>
    <xf numFmtId="0" fontId="75" fillId="86" borderId="0"/>
    <xf numFmtId="0" fontId="75" fillId="86" borderId="0"/>
    <xf numFmtId="0" fontId="44" fillId="87" borderId="0"/>
    <xf numFmtId="0" fontId="75" fillId="86" borderId="0"/>
    <xf numFmtId="0" fontId="93" fillId="32" borderId="0" applyNumberFormat="0" applyBorder="0" applyAlignment="0" applyProtection="0"/>
    <xf numFmtId="0" fontId="75" fillId="86" borderId="0"/>
    <xf numFmtId="0" fontId="75" fillId="86" borderId="0"/>
    <xf numFmtId="0" fontId="75" fillId="86"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90" fillId="67" borderId="0" applyNumberFormat="0" applyBorder="0" applyAlignment="0" applyProtection="0"/>
    <xf numFmtId="0" fontId="75" fillId="67" borderId="0" applyNumberFormat="0" applyBorder="0" applyAlignment="0" applyProtection="0"/>
    <xf numFmtId="0" fontId="90" fillId="88" borderId="0" applyNumberFormat="0" applyBorder="0" applyAlignment="0" applyProtection="0"/>
    <xf numFmtId="0" fontId="90" fillId="88" borderId="0" applyNumberFormat="0" applyBorder="0" applyAlignment="0" applyProtection="0"/>
    <xf numFmtId="0" fontId="1" fillId="89" borderId="0"/>
    <xf numFmtId="0" fontId="1" fillId="89" borderId="0"/>
    <xf numFmtId="0" fontId="1" fillId="89" borderId="0"/>
    <xf numFmtId="0" fontId="1" fillId="89" borderId="0"/>
    <xf numFmtId="0" fontId="1" fillId="89" borderId="0"/>
    <xf numFmtId="0" fontId="75" fillId="88" borderId="0"/>
    <xf numFmtId="0" fontId="75" fillId="67" borderId="0" applyNumberFormat="0" applyBorder="0" applyAlignment="0" applyProtection="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67" borderId="0" applyNumberFormat="0" applyBorder="0" applyAlignment="0" applyProtection="0"/>
    <xf numFmtId="0" fontId="91" fillId="66" borderId="0" applyNumberFormat="0" applyBorder="0" applyAlignment="0" applyProtection="0"/>
    <xf numFmtId="0" fontId="75" fillId="88" borderId="0"/>
    <xf numFmtId="0" fontId="75" fillId="88" borderId="0"/>
    <xf numFmtId="0" fontId="75" fillId="88" borderId="0"/>
    <xf numFmtId="0" fontId="75" fillId="88" borderId="0"/>
    <xf numFmtId="0" fontId="75" fillId="88" borderId="0"/>
    <xf numFmtId="0" fontId="92" fillId="89" borderId="0"/>
    <xf numFmtId="0" fontId="75" fillId="88" borderId="0"/>
    <xf numFmtId="0" fontId="92" fillId="89" borderId="0"/>
    <xf numFmtId="0" fontId="75" fillId="88" borderId="0"/>
    <xf numFmtId="0" fontId="92" fillId="89" borderId="0"/>
    <xf numFmtId="0" fontId="75" fillId="88" borderId="0"/>
    <xf numFmtId="0" fontId="92" fillId="89" borderId="0"/>
    <xf numFmtId="0" fontId="92" fillId="89" borderId="0"/>
    <xf numFmtId="0" fontId="75" fillId="88" borderId="0"/>
    <xf numFmtId="0" fontId="75" fillId="88" borderId="0"/>
    <xf numFmtId="0" fontId="75" fillId="88" borderId="0"/>
    <xf numFmtId="0" fontId="75" fillId="88" borderId="0"/>
    <xf numFmtId="0" fontId="75" fillId="88" borderId="0"/>
    <xf numFmtId="0" fontId="75" fillId="67" borderId="0" applyNumberFormat="0" applyBorder="0" applyAlignment="0" applyProtection="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75" fillId="88" borderId="0"/>
    <xf numFmtId="0" fontId="92" fillId="89" borderId="0"/>
    <xf numFmtId="0" fontId="75" fillId="88" borderId="0"/>
    <xf numFmtId="0" fontId="75" fillId="88" borderId="0"/>
    <xf numFmtId="0" fontId="92" fillId="89" borderId="0"/>
    <xf numFmtId="0" fontId="92" fillId="89" borderId="0"/>
    <xf numFmtId="0" fontId="75" fillId="88" borderId="0"/>
    <xf numFmtId="0" fontId="75" fillId="88" borderId="0"/>
    <xf numFmtId="0" fontId="44" fillId="89" borderId="0"/>
    <xf numFmtId="0" fontId="75" fillId="88" borderId="0"/>
    <xf numFmtId="0" fontId="93" fillId="36" borderId="0" applyNumberFormat="0" applyBorder="0" applyAlignment="0" applyProtection="0"/>
    <xf numFmtId="0" fontId="75" fillId="88" borderId="0"/>
    <xf numFmtId="0" fontId="75" fillId="88" borderId="0"/>
    <xf numFmtId="0" fontId="75" fillId="88"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90" fillId="91" borderId="0" applyNumberFormat="0" applyBorder="0" applyAlignment="0" applyProtection="0"/>
    <xf numFmtId="0" fontId="75" fillId="91" borderId="0" applyNumberFormat="0" applyBorder="0" applyAlignment="0" applyProtection="0"/>
    <xf numFmtId="0" fontId="90" fillId="90" borderId="0" applyNumberFormat="0" applyBorder="0" applyAlignment="0" applyProtection="0"/>
    <xf numFmtId="0" fontId="90" fillId="90" borderId="0" applyNumberFormat="0" applyBorder="0" applyAlignment="0" applyProtection="0"/>
    <xf numFmtId="0" fontId="1" fillId="92" borderId="0"/>
    <xf numFmtId="0" fontId="1" fillId="92" borderId="0"/>
    <xf numFmtId="0" fontId="1" fillId="92" borderId="0"/>
    <xf numFmtId="0" fontId="1" fillId="92" borderId="0"/>
    <xf numFmtId="0" fontId="1" fillId="92" borderId="0"/>
    <xf numFmtId="0" fontId="75" fillId="90" borderId="0"/>
    <xf numFmtId="0" fontId="75" fillId="91" borderId="0" applyNumberFormat="0" applyBorder="0" applyAlignment="0" applyProtection="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1" borderId="0" applyNumberFormat="0" applyBorder="0" applyAlignment="0" applyProtection="0"/>
    <xf numFmtId="0" fontId="91" fillId="71" borderId="0" applyNumberFormat="0" applyBorder="0" applyAlignment="0" applyProtection="0"/>
    <xf numFmtId="0" fontId="75" fillId="83" borderId="0" applyNumberFormat="0" applyBorder="0" applyAlignment="0" applyProtection="0"/>
    <xf numFmtId="0" fontId="75" fillId="90" borderId="0"/>
    <xf numFmtId="0" fontId="75" fillId="90" borderId="0"/>
    <xf numFmtId="0" fontId="75" fillId="90" borderId="0"/>
    <xf numFmtId="0" fontId="75" fillId="90" borderId="0"/>
    <xf numFmtId="0" fontId="75" fillId="90" borderId="0"/>
    <xf numFmtId="0" fontId="92" fillId="93" borderId="0"/>
    <xf numFmtId="0" fontId="75" fillId="90" borderId="0"/>
    <xf numFmtId="0" fontId="92" fillId="93" borderId="0"/>
    <xf numFmtId="0" fontId="75" fillId="90" borderId="0"/>
    <xf numFmtId="0" fontId="92" fillId="93" borderId="0"/>
    <xf numFmtId="0" fontId="75" fillId="90" borderId="0"/>
    <xf numFmtId="0" fontId="92" fillId="93" borderId="0"/>
    <xf numFmtId="0" fontId="92" fillId="93" borderId="0"/>
    <xf numFmtId="0" fontId="75" fillId="90" borderId="0"/>
    <xf numFmtId="0" fontId="75" fillId="90" borderId="0"/>
    <xf numFmtId="0" fontId="75" fillId="90" borderId="0"/>
    <xf numFmtId="0" fontId="75" fillId="90" borderId="0"/>
    <xf numFmtId="0" fontId="75" fillId="90" borderId="0"/>
    <xf numFmtId="0" fontId="75" fillId="91" borderId="0" applyNumberFormat="0" applyBorder="0" applyAlignment="0" applyProtection="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75" fillId="90" borderId="0"/>
    <xf numFmtId="0" fontId="92" fillId="93" borderId="0"/>
    <xf numFmtId="0" fontId="75" fillId="90" borderId="0"/>
    <xf numFmtId="0" fontId="92" fillId="93" borderId="0"/>
    <xf numFmtId="0" fontId="75" fillId="90" borderId="0"/>
    <xf numFmtId="0" fontId="92" fillId="93" borderId="0"/>
    <xf numFmtId="0" fontId="92" fillId="93" borderId="0"/>
    <xf numFmtId="0" fontId="75" fillId="90" borderId="0"/>
    <xf numFmtId="0" fontId="75" fillId="90" borderId="0"/>
    <xf numFmtId="0" fontId="44" fillId="92" borderId="0"/>
    <xf numFmtId="0" fontId="75" fillId="90" borderId="0"/>
    <xf numFmtId="0" fontId="93" fillId="40" borderId="0" applyNumberFormat="0" applyBorder="0" applyAlignment="0" applyProtection="0"/>
    <xf numFmtId="0" fontId="75" fillId="90" borderId="0"/>
    <xf numFmtId="0" fontId="75" fillId="90" borderId="0"/>
    <xf numFmtId="0" fontId="75" fillId="90"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90" fillId="74" borderId="0" applyNumberFormat="0" applyBorder="0" applyAlignment="0" applyProtection="0"/>
    <xf numFmtId="0" fontId="75" fillId="74" borderId="0" applyNumberFormat="0" applyBorder="0" applyAlignment="0" applyProtection="0"/>
    <xf numFmtId="0" fontId="90" fillId="73" borderId="0" applyNumberFormat="0" applyBorder="0" applyAlignment="0" applyProtection="0"/>
    <xf numFmtId="0" fontId="90" fillId="73" borderId="0" applyNumberFormat="0" applyBorder="0" applyAlignment="0" applyProtection="0"/>
    <xf numFmtId="0" fontId="1" fillId="94" borderId="0"/>
    <xf numFmtId="0" fontId="1" fillId="94" borderId="0"/>
    <xf numFmtId="0" fontId="1" fillId="94" borderId="0"/>
    <xf numFmtId="0" fontId="1" fillId="94" borderId="0"/>
    <xf numFmtId="0" fontId="1" fillId="94" borderId="0"/>
    <xf numFmtId="0" fontId="75" fillId="73" borderId="0"/>
    <xf numFmtId="0" fontId="75" fillId="74" borderId="0" applyNumberFormat="0" applyBorder="0" applyAlignment="0" applyProtection="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4" borderId="0" applyNumberFormat="0" applyBorder="0" applyAlignment="0" applyProtection="0"/>
    <xf numFmtId="0" fontId="91" fillId="76" borderId="0" applyNumberFormat="0" applyBorder="0" applyAlignment="0" applyProtection="0"/>
    <xf numFmtId="0" fontId="75" fillId="64" borderId="0" applyNumberFormat="0" applyBorder="0" applyAlignment="0" applyProtection="0"/>
    <xf numFmtId="0" fontId="75" fillId="73" borderId="0"/>
    <xf numFmtId="0" fontId="75" fillId="73" borderId="0"/>
    <xf numFmtId="0" fontId="75" fillId="73" borderId="0"/>
    <xf numFmtId="0" fontId="75" fillId="73" borderId="0"/>
    <xf numFmtId="0" fontId="75" fillId="73" borderId="0"/>
    <xf numFmtId="0" fontId="92" fillId="4" borderId="0"/>
    <xf numFmtId="0" fontId="75" fillId="73" borderId="0"/>
    <xf numFmtId="0" fontId="92" fillId="4" borderId="0"/>
    <xf numFmtId="0" fontId="75" fillId="73" borderId="0"/>
    <xf numFmtId="0" fontId="92" fillId="4" borderId="0"/>
    <xf numFmtId="0" fontId="75" fillId="73" borderId="0"/>
    <xf numFmtId="0" fontId="92" fillId="4" borderId="0"/>
    <xf numFmtId="0" fontId="92" fillId="4" borderId="0"/>
    <xf numFmtId="0" fontId="75" fillId="73" borderId="0"/>
    <xf numFmtId="0" fontId="75" fillId="73" borderId="0"/>
    <xf numFmtId="0" fontId="75" fillId="73" borderId="0"/>
    <xf numFmtId="0" fontId="75" fillId="73" borderId="0"/>
    <xf numFmtId="0" fontId="75" fillId="73" borderId="0"/>
    <xf numFmtId="0" fontId="75" fillId="74" borderId="0" applyNumberFormat="0" applyBorder="0" applyAlignment="0" applyProtection="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75" fillId="73" borderId="0"/>
    <xf numFmtId="0" fontId="92" fillId="4" borderId="0"/>
    <xf numFmtId="0" fontId="75" fillId="73" borderId="0"/>
    <xf numFmtId="0" fontId="92" fillId="4" borderId="0"/>
    <xf numFmtId="0" fontId="75" fillId="73" borderId="0"/>
    <xf numFmtId="0" fontId="92" fillId="4" borderId="0"/>
    <xf numFmtId="0" fontId="92" fillId="4" borderId="0"/>
    <xf numFmtId="0" fontId="75" fillId="73" borderId="0"/>
    <xf numFmtId="0" fontId="75" fillId="73" borderId="0"/>
    <xf numFmtId="0" fontId="44" fillId="94" borderId="0"/>
    <xf numFmtId="0" fontId="75" fillId="73" borderId="0"/>
    <xf numFmtId="0" fontId="93" fillId="44" borderId="0" applyNumberFormat="0" applyBorder="0" applyAlignment="0" applyProtection="0"/>
    <xf numFmtId="0" fontId="75" fillId="73" borderId="0"/>
    <xf numFmtId="0" fontId="75" fillId="73" borderId="0"/>
    <xf numFmtId="0" fontId="75" fillId="73"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90" fillId="63" borderId="0" applyNumberFormat="0" applyBorder="0" applyAlignment="0" applyProtection="0"/>
    <xf numFmtId="0" fontId="75" fillId="63" borderId="0" applyNumberFormat="0" applyBorder="0" applyAlignment="0" applyProtection="0"/>
    <xf numFmtId="0" fontId="90" fillId="86" borderId="0" applyNumberFormat="0" applyBorder="0" applyAlignment="0" applyProtection="0"/>
    <xf numFmtId="0" fontId="90" fillId="86" borderId="0" applyNumberFormat="0" applyBorder="0" applyAlignment="0" applyProtection="0"/>
    <xf numFmtId="0" fontId="1" fillId="95" borderId="0"/>
    <xf numFmtId="0" fontId="1" fillId="95" borderId="0"/>
    <xf numFmtId="0" fontId="1" fillId="95" borderId="0"/>
    <xf numFmtId="0" fontId="1" fillId="95" borderId="0"/>
    <xf numFmtId="0" fontId="1" fillId="95" borderId="0"/>
    <xf numFmtId="0" fontId="75" fillId="86" borderId="0"/>
    <xf numFmtId="0" fontId="75" fillId="63" borderId="0" applyNumberFormat="0" applyBorder="0" applyAlignment="0" applyProtection="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63" borderId="0" applyNumberFormat="0" applyBorder="0" applyAlignment="0" applyProtection="0"/>
    <xf numFmtId="0" fontId="91" fillId="81" borderId="0" applyNumberFormat="0" applyBorder="0" applyAlignment="0" applyProtection="0"/>
    <xf numFmtId="0" fontId="75" fillId="79" borderId="0" applyNumberFormat="0" applyBorder="0" applyAlignment="0" applyProtection="0"/>
    <xf numFmtId="0" fontId="75" fillId="86" borderId="0"/>
    <xf numFmtId="0" fontId="75" fillId="86" borderId="0"/>
    <xf numFmtId="0" fontId="75" fillId="86" borderId="0"/>
    <xf numFmtId="0" fontId="75" fillId="86" borderId="0"/>
    <xf numFmtId="0" fontId="75" fillId="86" borderId="0"/>
    <xf numFmtId="0" fontId="92" fillId="95" borderId="0"/>
    <xf numFmtId="0" fontId="75" fillId="86" borderId="0"/>
    <xf numFmtId="0" fontId="92" fillId="95" borderId="0"/>
    <xf numFmtId="0" fontId="75" fillId="86" borderId="0"/>
    <xf numFmtId="0" fontId="92" fillId="95" borderId="0"/>
    <xf numFmtId="0" fontId="75" fillId="86" borderId="0"/>
    <xf numFmtId="0" fontId="92" fillId="95" borderId="0"/>
    <xf numFmtId="0" fontId="92" fillId="95" borderId="0"/>
    <xf numFmtId="0" fontId="75" fillId="86" borderId="0"/>
    <xf numFmtId="0" fontId="75" fillId="86" borderId="0"/>
    <xf numFmtId="0" fontId="75" fillId="86" borderId="0"/>
    <xf numFmtId="0" fontId="75" fillId="86" borderId="0"/>
    <xf numFmtId="0" fontId="75" fillId="86" borderId="0"/>
    <xf numFmtId="0" fontId="75" fillId="63" borderId="0" applyNumberFormat="0" applyBorder="0" applyAlignment="0" applyProtection="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75" fillId="86" borderId="0"/>
    <xf numFmtId="0" fontId="92" fillId="95" borderId="0"/>
    <xf numFmtId="0" fontId="75" fillId="86" borderId="0"/>
    <xf numFmtId="0" fontId="75" fillId="86" borderId="0"/>
    <xf numFmtId="0" fontId="92" fillId="95" borderId="0"/>
    <xf numFmtId="0" fontId="92" fillId="95" borderId="0"/>
    <xf numFmtId="0" fontId="75" fillId="86" borderId="0"/>
    <xf numFmtId="0" fontId="75" fillId="86" borderId="0"/>
    <xf numFmtId="0" fontId="44" fillId="95" borderId="0"/>
    <xf numFmtId="0" fontId="75" fillId="86" borderId="0"/>
    <xf numFmtId="0" fontId="93" fillId="48" borderId="0" applyNumberFormat="0" applyBorder="0" applyAlignment="0" applyProtection="0"/>
    <xf numFmtId="0" fontId="75" fillId="86" borderId="0"/>
    <xf numFmtId="0" fontId="75" fillId="86" borderId="0"/>
    <xf numFmtId="0" fontId="75" fillId="8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90" fillId="97" borderId="0" applyNumberFormat="0" applyBorder="0" applyAlignment="0" applyProtection="0"/>
    <xf numFmtId="0" fontId="75" fillId="97"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1" fillId="98" borderId="0"/>
    <xf numFmtId="0" fontId="1" fillId="98" borderId="0"/>
    <xf numFmtId="0" fontId="1" fillId="98" borderId="0"/>
    <xf numFmtId="0" fontId="1" fillId="98" borderId="0"/>
    <xf numFmtId="0" fontId="1" fillId="98" borderId="0"/>
    <xf numFmtId="0" fontId="75" fillId="96" borderId="0"/>
    <xf numFmtId="0" fontId="75" fillId="97" borderId="0" applyNumberFormat="0" applyBorder="0" applyAlignment="0" applyProtection="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7" borderId="0" applyNumberFormat="0" applyBorder="0" applyAlignment="0" applyProtection="0"/>
    <xf numFmtId="0" fontId="91" fillId="83" borderId="0" applyNumberFormat="0" applyBorder="0" applyAlignment="0" applyProtection="0"/>
    <xf numFmtId="0" fontId="75" fillId="62" borderId="0" applyNumberFormat="0" applyBorder="0" applyAlignment="0" applyProtection="0"/>
    <xf numFmtId="0" fontId="75" fillId="96" borderId="0"/>
    <xf numFmtId="0" fontId="75" fillId="96" borderId="0"/>
    <xf numFmtId="0" fontId="75" fillId="96" borderId="0"/>
    <xf numFmtId="0" fontId="75" fillId="96" borderId="0"/>
    <xf numFmtId="0" fontId="75" fillId="96" borderId="0"/>
    <xf numFmtId="0" fontId="92" fillId="68" borderId="0"/>
    <xf numFmtId="0" fontId="75" fillId="96" borderId="0"/>
    <xf numFmtId="0" fontId="92" fillId="68" borderId="0"/>
    <xf numFmtId="0" fontId="75" fillId="96" borderId="0"/>
    <xf numFmtId="0" fontId="92" fillId="68" borderId="0"/>
    <xf numFmtId="0" fontId="75" fillId="96" borderId="0"/>
    <xf numFmtId="0" fontId="92" fillId="68" borderId="0"/>
    <xf numFmtId="0" fontId="92" fillId="68" borderId="0"/>
    <xf numFmtId="0" fontId="75" fillId="96" borderId="0"/>
    <xf numFmtId="0" fontId="75" fillId="96" borderId="0"/>
    <xf numFmtId="0" fontId="75" fillId="96" borderId="0"/>
    <xf numFmtId="0" fontId="75" fillId="96" borderId="0"/>
    <xf numFmtId="0" fontId="75" fillId="96" borderId="0"/>
    <xf numFmtId="0" fontId="75" fillId="97" borderId="0" applyNumberFormat="0" applyBorder="0" applyAlignment="0" applyProtection="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75" fillId="96" borderId="0"/>
    <xf numFmtId="0" fontId="92" fillId="68" borderId="0"/>
    <xf numFmtId="0" fontId="75" fillId="96" borderId="0"/>
    <xf numFmtId="0" fontId="92" fillId="68" borderId="0"/>
    <xf numFmtId="0" fontId="75" fillId="96" borderId="0"/>
    <xf numFmtId="0" fontId="92" fillId="68" borderId="0"/>
    <xf numFmtId="0" fontId="92" fillId="68" borderId="0"/>
    <xf numFmtId="0" fontId="75" fillId="96" borderId="0"/>
    <xf numFmtId="0" fontId="75" fillId="96" borderId="0"/>
    <xf numFmtId="0" fontId="44" fillId="98" borderId="0"/>
    <xf numFmtId="0" fontId="75" fillId="96" borderId="0"/>
    <xf numFmtId="0" fontId="93" fillId="52" borderId="0" applyNumberFormat="0" applyBorder="0" applyAlignment="0" applyProtection="0"/>
    <xf numFmtId="0" fontId="75" fillId="96" borderId="0"/>
    <xf numFmtId="0" fontId="75" fillId="96" borderId="0"/>
    <xf numFmtId="0" fontId="75" fillId="96" borderId="0"/>
    <xf numFmtId="0" fontId="75" fillId="81" borderId="0" applyNumberFormat="0" applyBorder="0" applyAlignment="0" applyProtection="0"/>
    <xf numFmtId="0" fontId="75" fillId="99" borderId="0"/>
    <xf numFmtId="0" fontId="75" fillId="77" borderId="0" applyNumberFormat="0" applyBorder="0" applyAlignment="0" applyProtection="0"/>
    <xf numFmtId="0" fontId="75" fillId="68" borderId="0"/>
    <xf numFmtId="0" fontId="75" fillId="69" borderId="0" applyNumberFormat="0" applyBorder="0" applyAlignment="0" applyProtection="0"/>
    <xf numFmtId="0" fontId="75" fillId="2" borderId="0"/>
    <xf numFmtId="0" fontId="75" fillId="71" borderId="0" applyNumberFormat="0" applyBorder="0" applyAlignment="0" applyProtection="0"/>
    <xf numFmtId="0" fontId="75" fillId="4" borderId="0"/>
    <xf numFmtId="0" fontId="75" fillId="81" borderId="0" applyNumberFormat="0" applyBorder="0" applyAlignment="0" applyProtection="0"/>
    <xf numFmtId="0" fontId="75" fillId="99" borderId="0"/>
    <xf numFmtId="0" fontId="75" fillId="77" borderId="0" applyNumberFormat="0" applyBorder="0" applyAlignment="0" applyProtection="0"/>
    <xf numFmtId="0" fontId="75" fillId="68" borderId="0"/>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166" fontId="10" fillId="0" borderId="0" applyFont="0" applyFill="0" applyBorder="0" applyProtection="0">
      <alignment horizontal="right"/>
    </xf>
    <xf numFmtId="0" fontId="94" fillId="0" borderId="0" applyNumberFormat="0" applyFont="0" applyFill="0" applyBorder="0" applyProtection="0">
      <alignment horizontal="left" vertical="center" indent="5"/>
    </xf>
    <xf numFmtId="0" fontId="94" fillId="0" borderId="0" applyNumberFormat="0" applyFont="0" applyFill="0" applyBorder="0" applyProtection="0">
      <alignment horizontal="left" vertical="center" indent="5"/>
    </xf>
    <xf numFmtId="49" fontId="95" fillId="0" borderId="150">
      <alignment horizontal="left" vertical="center" indent="5"/>
    </xf>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7" fillId="101" borderId="0" applyNumberFormat="0" applyBorder="0" applyAlignment="0" applyProtection="0"/>
    <xf numFmtId="0" fontId="96" fillId="101" borderId="0" applyNumberFormat="0" applyBorder="0" applyAlignment="0" applyProtection="0"/>
    <xf numFmtId="0" fontId="97" fillId="100" borderId="0" applyNumberFormat="0" applyBorder="0" applyAlignment="0" applyProtection="0"/>
    <xf numFmtId="0" fontId="97" fillId="100" borderId="0" applyNumberFormat="0" applyBorder="0" applyAlignment="0" applyProtection="0"/>
    <xf numFmtId="0" fontId="67" fillId="102" borderId="0"/>
    <xf numFmtId="0" fontId="96" fillId="100" borderId="0"/>
    <xf numFmtId="0" fontId="96" fillId="101" borderId="0" applyNumberFormat="0" applyBorder="0" applyAlignment="0" applyProtection="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1" borderId="0" applyNumberFormat="0" applyBorder="0" applyAlignment="0" applyProtection="0"/>
    <xf numFmtId="0" fontId="96" fillId="62" borderId="0" applyNumberFormat="0" applyBorder="0" applyAlignment="0" applyProtection="0"/>
    <xf numFmtId="0" fontId="96" fillId="79" borderId="0" applyNumberFormat="0" applyBorder="0" applyAlignment="0" applyProtection="0"/>
    <xf numFmtId="0" fontId="96" fillId="100" borderId="0"/>
    <xf numFmtId="0" fontId="96" fillId="100" borderId="0"/>
    <xf numFmtId="0" fontId="96" fillId="100" borderId="0"/>
    <xf numFmtId="0" fontId="96" fillId="100" borderId="0"/>
    <xf numFmtId="0" fontId="96" fillId="100" borderId="0"/>
    <xf numFmtId="0" fontId="98" fillId="103" borderId="0"/>
    <xf numFmtId="0" fontId="96" fillId="100" borderId="0"/>
    <xf numFmtId="0" fontId="98" fillId="103" borderId="0"/>
    <xf numFmtId="0" fontId="96" fillId="100" borderId="0"/>
    <xf numFmtId="0" fontId="96" fillId="100" borderId="0"/>
    <xf numFmtId="0" fontId="98" fillId="103" borderId="0"/>
    <xf numFmtId="0" fontId="96" fillId="100" borderId="0"/>
    <xf numFmtId="0" fontId="96" fillId="100" borderId="0"/>
    <xf numFmtId="0" fontId="96" fillId="100" borderId="0"/>
    <xf numFmtId="0" fontId="96" fillId="100" borderId="0"/>
    <xf numFmtId="0" fontId="96" fillId="100" borderId="0"/>
    <xf numFmtId="0" fontId="96" fillId="101" borderId="0" applyNumberFormat="0" applyBorder="0" applyAlignment="0" applyProtection="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6" fillId="100" borderId="0"/>
    <xf numFmtId="0" fontId="98" fillId="103" borderId="0"/>
    <xf numFmtId="0" fontId="96" fillId="100" borderId="0"/>
    <xf numFmtId="0" fontId="98" fillId="103" borderId="0"/>
    <xf numFmtId="0" fontId="96" fillId="100" borderId="0"/>
    <xf numFmtId="0" fontId="98" fillId="103" borderId="0"/>
    <xf numFmtId="0" fontId="96" fillId="100" borderId="0"/>
    <xf numFmtId="0" fontId="96" fillId="100" borderId="0"/>
    <xf numFmtId="0" fontId="22" fillId="102" borderId="0"/>
    <xf numFmtId="0" fontId="96" fillId="100" borderId="0"/>
    <xf numFmtId="0" fontId="99" fillId="33" borderId="0" applyNumberFormat="0" applyBorder="0" applyAlignment="0" applyProtection="0"/>
    <xf numFmtId="0" fontId="96" fillId="100" borderId="0"/>
    <xf numFmtId="0" fontId="96" fillId="100" borderId="0"/>
    <xf numFmtId="0" fontId="96" fillId="100"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7" fillId="67" borderId="0" applyNumberFormat="0" applyBorder="0" applyAlignment="0" applyProtection="0"/>
    <xf numFmtId="0" fontId="96" fillId="67" borderId="0" applyNumberFormat="0" applyBorder="0" applyAlignment="0" applyProtection="0"/>
    <xf numFmtId="0" fontId="97" fillId="88" borderId="0" applyNumberFormat="0" applyBorder="0" applyAlignment="0" applyProtection="0"/>
    <xf numFmtId="0" fontId="97" fillId="88" borderId="0" applyNumberFormat="0" applyBorder="0" applyAlignment="0" applyProtection="0"/>
    <xf numFmtId="0" fontId="67" fillId="104" borderId="0"/>
    <xf numFmtId="0" fontId="96" fillId="88" borderId="0"/>
    <xf numFmtId="0" fontId="96" fillId="67" borderId="0" applyNumberFormat="0" applyBorder="0" applyAlignment="0" applyProtection="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67" borderId="0" applyNumberFormat="0" applyBorder="0" applyAlignment="0" applyProtection="0"/>
    <xf numFmtId="0" fontId="96" fillId="66" borderId="0" applyNumberFormat="0" applyBorder="0" applyAlignment="0" applyProtection="0"/>
    <xf numFmtId="0" fontId="96" fillId="88" borderId="0"/>
    <xf numFmtId="0" fontId="96" fillId="88" borderId="0"/>
    <xf numFmtId="0" fontId="96" fillId="88" borderId="0"/>
    <xf numFmtId="0" fontId="96" fillId="88" borderId="0"/>
    <xf numFmtId="0" fontId="96" fillId="88" borderId="0"/>
    <xf numFmtId="0" fontId="98" fillId="104" borderId="0"/>
    <xf numFmtId="0" fontId="96" fillId="88" borderId="0"/>
    <xf numFmtId="0" fontId="98" fillId="104" borderId="0"/>
    <xf numFmtId="0" fontId="96" fillId="88" borderId="0"/>
    <xf numFmtId="0" fontId="96" fillId="88" borderId="0"/>
    <xf numFmtId="0" fontId="98" fillId="104" borderId="0"/>
    <xf numFmtId="0" fontId="96" fillId="88" borderId="0"/>
    <xf numFmtId="0" fontId="96" fillId="88" borderId="0"/>
    <xf numFmtId="0" fontId="96" fillId="88" borderId="0"/>
    <xf numFmtId="0" fontId="96" fillId="88" borderId="0"/>
    <xf numFmtId="0" fontId="96" fillId="88" borderId="0"/>
    <xf numFmtId="0" fontId="96" fillId="67" borderId="0" applyNumberFormat="0" applyBorder="0" applyAlignment="0" applyProtection="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8" fillId="104" borderId="0"/>
    <xf numFmtId="0" fontId="96" fillId="88" borderId="0"/>
    <xf numFmtId="0" fontId="96" fillId="88" borderId="0"/>
    <xf numFmtId="0" fontId="98" fillId="104" borderId="0"/>
    <xf numFmtId="0" fontId="96" fillId="88" borderId="0"/>
    <xf numFmtId="0" fontId="96" fillId="88" borderId="0"/>
    <xf numFmtId="0" fontId="22" fillId="104" borderId="0"/>
    <xf numFmtId="0" fontId="96" fillId="88" borderId="0"/>
    <xf numFmtId="0" fontId="99" fillId="37" borderId="0" applyNumberFormat="0" applyBorder="0" applyAlignment="0" applyProtection="0"/>
    <xf numFmtId="0" fontId="96" fillId="88" borderId="0"/>
    <xf numFmtId="0" fontId="96" fillId="88" borderId="0"/>
    <xf numFmtId="0" fontId="96" fillId="88"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7" fillId="91" borderId="0" applyNumberFormat="0" applyBorder="0" applyAlignment="0" applyProtection="0"/>
    <xf numFmtId="0" fontId="96" fillId="91" borderId="0" applyNumberFormat="0" applyBorder="0" applyAlignment="0" applyProtection="0"/>
    <xf numFmtId="0" fontId="97" fillId="90" borderId="0" applyNumberFormat="0" applyBorder="0" applyAlignment="0" applyProtection="0"/>
    <xf numFmtId="0" fontId="97" fillId="90" borderId="0" applyNumberFormat="0" applyBorder="0" applyAlignment="0" applyProtection="0"/>
    <xf numFmtId="0" fontId="67" fillId="105" borderId="0"/>
    <xf numFmtId="0" fontId="96" fillId="90" borderId="0"/>
    <xf numFmtId="0" fontId="96" fillId="91" borderId="0" applyNumberFormat="0" applyBorder="0" applyAlignment="0" applyProtection="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1" borderId="0" applyNumberFormat="0" applyBorder="0" applyAlignment="0" applyProtection="0"/>
    <xf numFmtId="0" fontId="96" fillId="91" borderId="0" applyNumberFormat="0" applyBorder="0" applyAlignment="0" applyProtection="0"/>
    <xf numFmtId="0" fontId="96" fillId="97" borderId="0" applyNumberFormat="0" applyBorder="0" applyAlignment="0" applyProtection="0"/>
    <xf numFmtId="0" fontId="96" fillId="90" borderId="0"/>
    <xf numFmtId="0" fontId="96" fillId="90" borderId="0"/>
    <xf numFmtId="0" fontId="96" fillId="90" borderId="0"/>
    <xf numFmtId="0" fontId="96" fillId="90" borderId="0"/>
    <xf numFmtId="0" fontId="96" fillId="90" borderId="0"/>
    <xf numFmtId="0" fontId="98" fillId="93" borderId="0"/>
    <xf numFmtId="0" fontId="96" fillId="90" borderId="0"/>
    <xf numFmtId="0" fontId="98" fillId="93" borderId="0"/>
    <xf numFmtId="0" fontId="96" fillId="90" borderId="0"/>
    <xf numFmtId="0" fontId="96" fillId="90" borderId="0"/>
    <xf numFmtId="0" fontId="98" fillId="93"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8" fillId="93" borderId="0"/>
    <xf numFmtId="0" fontId="96" fillId="90" borderId="0"/>
    <xf numFmtId="0" fontId="98" fillId="93" borderId="0"/>
    <xf numFmtId="0" fontId="96" fillId="90" borderId="0"/>
    <xf numFmtId="0" fontId="98" fillId="93" borderId="0"/>
    <xf numFmtId="0" fontId="96" fillId="90" borderId="0"/>
    <xf numFmtId="0" fontId="96" fillId="90" borderId="0"/>
    <xf numFmtId="0" fontId="22" fillId="105" borderId="0"/>
    <xf numFmtId="0" fontId="96" fillId="90" borderId="0"/>
    <xf numFmtId="0" fontId="99" fillId="41" borderId="0" applyNumberFormat="0" applyBorder="0" applyAlignment="0" applyProtection="0"/>
    <xf numFmtId="0" fontId="96" fillId="90" borderId="0"/>
    <xf numFmtId="0" fontId="96" fillId="90" borderId="0"/>
    <xf numFmtId="0" fontId="96" fillId="90"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7" fillId="107" borderId="0" applyNumberFormat="0" applyBorder="0" applyAlignment="0" applyProtection="0"/>
    <xf numFmtId="0" fontId="96" fillId="107"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67" fillId="108" borderId="0"/>
    <xf numFmtId="0" fontId="96" fillId="109" borderId="0"/>
    <xf numFmtId="0" fontId="96" fillId="107" borderId="0" applyNumberFormat="0" applyBorder="0" applyAlignment="0" applyProtection="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7" borderId="0" applyNumberFormat="0" applyBorder="0" applyAlignment="0" applyProtection="0"/>
    <xf numFmtId="0" fontId="96" fillId="101" borderId="0" applyNumberFormat="0" applyBorder="0" applyAlignment="0" applyProtection="0"/>
    <xf numFmtId="0" fontId="96" fillId="64" borderId="0" applyNumberFormat="0" applyBorder="0" applyAlignment="0" applyProtection="0"/>
    <xf numFmtId="0" fontId="96" fillId="106" borderId="0"/>
    <xf numFmtId="0" fontId="96" fillId="106" borderId="0"/>
    <xf numFmtId="0" fontId="96" fillId="106" borderId="0"/>
    <xf numFmtId="0" fontId="96" fillId="106" borderId="0"/>
    <xf numFmtId="0" fontId="96" fillId="106" borderId="0"/>
    <xf numFmtId="0" fontId="98" fillId="4" borderId="0"/>
    <xf numFmtId="0" fontId="96" fillId="106" borderId="0"/>
    <xf numFmtId="0" fontId="98" fillId="4" borderId="0"/>
    <xf numFmtId="0" fontId="96" fillId="106" borderId="0"/>
    <xf numFmtId="0" fontId="96" fillId="106" borderId="0"/>
    <xf numFmtId="0" fontId="98" fillId="4" borderId="0"/>
    <xf numFmtId="0" fontId="96" fillId="106" borderId="0"/>
    <xf numFmtId="0" fontId="96" fillId="106" borderId="0"/>
    <xf numFmtId="0" fontId="96" fillId="106" borderId="0"/>
    <xf numFmtId="0" fontId="96" fillId="106" borderId="0"/>
    <xf numFmtId="0" fontId="96" fillId="106" borderId="0"/>
    <xf numFmtId="0" fontId="96" fillId="107" borderId="0" applyNumberFormat="0" applyBorder="0" applyAlignment="0" applyProtection="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8" fillId="4" borderId="0"/>
    <xf numFmtId="0" fontId="96" fillId="106" borderId="0"/>
    <xf numFmtId="0" fontId="98" fillId="4" borderId="0"/>
    <xf numFmtId="0" fontId="96" fillId="106" borderId="0"/>
    <xf numFmtId="0" fontId="98" fillId="4" borderId="0"/>
    <xf numFmtId="0" fontId="96" fillId="106" borderId="0"/>
    <xf numFmtId="0" fontId="96" fillId="106" borderId="0"/>
    <xf numFmtId="0" fontId="22" fillId="108" borderId="0"/>
    <xf numFmtId="0" fontId="96" fillId="106" borderId="0"/>
    <xf numFmtId="0" fontId="99" fillId="45" borderId="0" applyNumberFormat="0" applyBorder="0" applyAlignment="0" applyProtection="0"/>
    <xf numFmtId="0" fontId="96" fillId="106" borderId="0"/>
    <xf numFmtId="0" fontId="96" fillId="106" borderId="0"/>
    <xf numFmtId="0" fontId="96" fillId="106"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7" fillId="110" borderId="0" applyNumberFormat="0" applyBorder="0" applyAlignment="0" applyProtection="0"/>
    <xf numFmtId="0" fontId="96" fillId="110" borderId="0" applyNumberFormat="0" applyBorder="0" applyAlignment="0" applyProtection="0"/>
    <xf numFmtId="0" fontId="97" fillId="103" borderId="0" applyNumberFormat="0" applyBorder="0" applyAlignment="0" applyProtection="0"/>
    <xf numFmtId="0" fontId="97" fillId="103" borderId="0" applyNumberFormat="0" applyBorder="0" applyAlignment="0" applyProtection="0"/>
    <xf numFmtId="0" fontId="67" fillId="111" borderId="0"/>
    <xf numFmtId="0" fontId="96" fillId="103" borderId="0"/>
    <xf numFmtId="0" fontId="96" fillId="110" borderId="0" applyNumberFormat="0" applyBorder="0" applyAlignment="0" applyProtection="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10" borderId="0" applyNumberFormat="0" applyBorder="0" applyAlignment="0" applyProtection="0"/>
    <xf numFmtId="0" fontId="96" fillId="81" borderId="0" applyNumberFormat="0" applyBorder="0" applyAlignment="0" applyProtection="0"/>
    <xf numFmtId="0" fontId="96" fillId="79" borderId="0" applyNumberFormat="0" applyBorder="0" applyAlignment="0" applyProtection="0"/>
    <xf numFmtId="0" fontId="96" fillId="103" borderId="0"/>
    <xf numFmtId="0" fontId="96" fillId="103" borderId="0"/>
    <xf numFmtId="0" fontId="96" fillId="103" borderId="0"/>
    <xf numFmtId="0" fontId="96" fillId="103" borderId="0"/>
    <xf numFmtId="0" fontId="96" fillId="103" borderId="0"/>
    <xf numFmtId="0" fontId="98" fillId="111" borderId="0"/>
    <xf numFmtId="0" fontId="96" fillId="103" borderId="0"/>
    <xf numFmtId="0" fontId="98" fillId="111" borderId="0"/>
    <xf numFmtId="0" fontId="96" fillId="103" borderId="0"/>
    <xf numFmtId="0" fontId="96" fillId="103" borderId="0"/>
    <xf numFmtId="0" fontId="98" fillId="111" borderId="0"/>
    <xf numFmtId="0" fontId="96" fillId="103" borderId="0"/>
    <xf numFmtId="0" fontId="96" fillId="103" borderId="0"/>
    <xf numFmtId="0" fontId="96" fillId="103" borderId="0"/>
    <xf numFmtId="0" fontId="96" fillId="103" borderId="0"/>
    <xf numFmtId="0" fontId="96" fillId="103" borderId="0"/>
    <xf numFmtId="0" fontId="96" fillId="110" borderId="0" applyNumberFormat="0" applyBorder="0" applyAlignment="0" applyProtection="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8" fillId="111" borderId="0"/>
    <xf numFmtId="0" fontId="96" fillId="103" borderId="0"/>
    <xf numFmtId="0" fontId="96" fillId="103" borderId="0"/>
    <xf numFmtId="0" fontId="98" fillId="111" borderId="0"/>
    <xf numFmtId="0" fontId="96" fillId="103" borderId="0"/>
    <xf numFmtId="0" fontId="96" fillId="103" borderId="0"/>
    <xf numFmtId="0" fontId="22" fillId="111" borderId="0"/>
    <xf numFmtId="0" fontId="96" fillId="103" borderId="0"/>
    <xf numFmtId="0" fontId="99" fillId="49" borderId="0" applyNumberFormat="0" applyBorder="0" applyAlignment="0" applyProtection="0"/>
    <xf numFmtId="0" fontId="96" fillId="103" borderId="0"/>
    <xf numFmtId="0" fontId="96" fillId="103" borderId="0"/>
    <xf numFmtId="0" fontId="96" fillId="103"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7" fillId="113" borderId="0" applyNumberFormat="0" applyBorder="0" applyAlignment="0" applyProtection="0"/>
    <xf numFmtId="0" fontId="96" fillId="113" borderId="0" applyNumberFormat="0" applyBorder="0" applyAlignment="0" applyProtection="0"/>
    <xf numFmtId="0" fontId="97" fillId="112" borderId="0" applyNumberFormat="0" applyBorder="0" applyAlignment="0" applyProtection="0"/>
    <xf numFmtId="0" fontId="97" fillId="112" borderId="0" applyNumberFormat="0" applyBorder="0" applyAlignment="0" applyProtection="0"/>
    <xf numFmtId="0" fontId="67" fillId="114" borderId="0"/>
    <xf numFmtId="0" fontId="96" fillId="112" borderId="0"/>
    <xf numFmtId="0" fontId="96" fillId="113" borderId="0" applyNumberFormat="0" applyBorder="0" applyAlignment="0" applyProtection="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3" borderId="0" applyNumberFormat="0" applyBorder="0" applyAlignment="0" applyProtection="0"/>
    <xf numFmtId="0" fontId="96" fillId="69" borderId="0" applyNumberFormat="0" applyBorder="0" applyAlignment="0" applyProtection="0"/>
    <xf numFmtId="0" fontId="96" fillId="67" borderId="0" applyNumberFormat="0" applyBorder="0" applyAlignment="0" applyProtection="0"/>
    <xf numFmtId="0" fontId="96" fillId="112" borderId="0"/>
    <xf numFmtId="0" fontId="96" fillId="112" borderId="0"/>
    <xf numFmtId="0" fontId="96" fillId="112" borderId="0"/>
    <xf numFmtId="0" fontId="96" fillId="112" borderId="0"/>
    <xf numFmtId="0" fontId="96" fillId="112" borderId="0"/>
    <xf numFmtId="0" fontId="98" fillId="68" borderId="0"/>
    <xf numFmtId="0" fontId="96" fillId="112" borderId="0"/>
    <xf numFmtId="0" fontId="98" fillId="68" borderId="0"/>
    <xf numFmtId="0" fontId="96" fillId="112" borderId="0"/>
    <xf numFmtId="0" fontId="96" fillId="112" borderId="0"/>
    <xf numFmtId="0" fontId="98" fillId="68" borderId="0"/>
    <xf numFmtId="0" fontId="96" fillId="112" borderId="0"/>
    <xf numFmtId="0" fontId="96" fillId="112" borderId="0"/>
    <xf numFmtId="0" fontId="96" fillId="112" borderId="0"/>
    <xf numFmtId="0" fontId="96" fillId="112" borderId="0"/>
    <xf numFmtId="0" fontId="96" fillId="112" borderId="0"/>
    <xf numFmtId="0" fontId="96" fillId="113" borderId="0" applyNumberFormat="0" applyBorder="0" applyAlignment="0" applyProtection="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6" fillId="112" borderId="0"/>
    <xf numFmtId="0" fontId="98" fillId="68" borderId="0"/>
    <xf numFmtId="0" fontId="96" fillId="112" borderId="0"/>
    <xf numFmtId="0" fontId="98" fillId="68" borderId="0"/>
    <xf numFmtId="0" fontId="96" fillId="112" borderId="0"/>
    <xf numFmtId="0" fontId="98" fillId="68" borderId="0"/>
    <xf numFmtId="0" fontId="96" fillId="112" borderId="0"/>
    <xf numFmtId="0" fontId="96" fillId="112" borderId="0"/>
    <xf numFmtId="0" fontId="22" fillId="114" borderId="0"/>
    <xf numFmtId="0" fontId="96" fillId="112" borderId="0"/>
    <xf numFmtId="0" fontId="99" fillId="53" borderId="0" applyNumberFormat="0" applyBorder="0" applyAlignment="0" applyProtection="0"/>
    <xf numFmtId="0" fontId="96" fillId="112" borderId="0"/>
    <xf numFmtId="0" fontId="96" fillId="112" borderId="0"/>
    <xf numFmtId="0" fontId="96" fillId="112" borderId="0"/>
    <xf numFmtId="0" fontId="96" fillId="115" borderId="0" applyNumberFormat="0" applyBorder="0" applyAlignment="0" applyProtection="0"/>
    <xf numFmtId="0" fontId="96" fillId="116" borderId="0"/>
    <xf numFmtId="0" fontId="96" fillId="117" borderId="0" applyNumberFormat="0" applyBorder="0" applyAlignment="0" applyProtection="0"/>
    <xf numFmtId="0" fontId="96" fillId="55" borderId="0"/>
    <xf numFmtId="0" fontId="96" fillId="64" borderId="0" applyNumberFormat="0" applyBorder="0" applyAlignment="0" applyProtection="0"/>
    <xf numFmtId="0" fontId="96" fillId="56" borderId="0"/>
    <xf numFmtId="0" fontId="96" fillId="60" borderId="0" applyNumberFormat="0" applyBorder="0" applyAlignment="0" applyProtection="0"/>
    <xf numFmtId="0" fontId="96" fillId="59" borderId="0"/>
    <xf numFmtId="0" fontId="96" fillId="115" borderId="0" applyNumberFormat="0" applyBorder="0" applyAlignment="0" applyProtection="0"/>
    <xf numFmtId="0" fontId="96" fillId="116" borderId="0"/>
    <xf numFmtId="0" fontId="96" fillId="77" borderId="0" applyNumberFormat="0" applyBorder="0" applyAlignment="0" applyProtection="0"/>
    <xf numFmtId="0" fontId="96" fillId="68"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82" fontId="33" fillId="0"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7" fillId="119" borderId="0" applyNumberFormat="0" applyBorder="0" applyAlignment="0" applyProtection="0"/>
    <xf numFmtId="0" fontId="96" fillId="119" borderId="0" applyNumberFormat="0" applyBorder="0" applyAlignment="0" applyProtection="0"/>
    <xf numFmtId="0" fontId="97" fillId="118" borderId="0" applyNumberFormat="0" applyBorder="0" applyAlignment="0" applyProtection="0"/>
    <xf numFmtId="0" fontId="97" fillId="118" borderId="0" applyNumberFormat="0" applyBorder="0" applyAlignment="0" applyProtection="0"/>
    <xf numFmtId="0" fontId="67" fillId="120" borderId="0"/>
    <xf numFmtId="0" fontId="96" fillId="118" borderId="0"/>
    <xf numFmtId="0" fontId="96" fillId="119" borderId="0" applyNumberFormat="0" applyBorder="0" applyAlignment="0" applyProtection="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9" borderId="0" applyNumberFormat="0" applyBorder="0" applyAlignment="0" applyProtection="0"/>
    <xf numFmtId="0" fontId="96" fillId="121" borderId="0" applyNumberFormat="0" applyBorder="0" applyAlignment="0" applyProtection="0"/>
    <xf numFmtId="0" fontId="96" fillId="122" borderId="0" applyNumberFormat="0" applyBorder="0" applyAlignment="0" applyProtection="0"/>
    <xf numFmtId="0" fontId="96" fillId="118" borderId="0"/>
    <xf numFmtId="0" fontId="96" fillId="118" borderId="0"/>
    <xf numFmtId="0" fontId="96" fillId="118" borderId="0"/>
    <xf numFmtId="0" fontId="96" fillId="118" borderId="0"/>
    <xf numFmtId="0" fontId="96" fillId="118" borderId="0"/>
    <xf numFmtId="0" fontId="98" fillId="103" borderId="0"/>
    <xf numFmtId="0" fontId="96" fillId="118" borderId="0"/>
    <xf numFmtId="0" fontId="98" fillId="103" borderId="0"/>
    <xf numFmtId="0" fontId="96" fillId="118" borderId="0"/>
    <xf numFmtId="0" fontId="96" fillId="118" borderId="0"/>
    <xf numFmtId="0" fontId="98" fillId="103" borderId="0"/>
    <xf numFmtId="0" fontId="96" fillId="118" borderId="0"/>
    <xf numFmtId="0" fontId="96" fillId="118" borderId="0"/>
    <xf numFmtId="0" fontId="96" fillId="118" borderId="0"/>
    <xf numFmtId="0" fontId="96" fillId="118" borderId="0"/>
    <xf numFmtId="0" fontId="96" fillId="118" borderId="0"/>
    <xf numFmtId="0" fontId="96" fillId="119" borderId="0" applyNumberFormat="0" applyBorder="0" applyAlignment="0" applyProtection="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6" fillId="118" borderId="0"/>
    <xf numFmtId="0" fontId="98" fillId="103" borderId="0"/>
    <xf numFmtId="0" fontId="96" fillId="118" borderId="0"/>
    <xf numFmtId="0" fontId="98" fillId="103" borderId="0"/>
    <xf numFmtId="0" fontId="96" fillId="118" borderId="0"/>
    <xf numFmtId="0" fontId="98" fillId="103" borderId="0"/>
    <xf numFmtId="0" fontId="96" fillId="118" borderId="0"/>
    <xf numFmtId="0" fontId="96" fillId="118" borderId="0"/>
    <xf numFmtId="0" fontId="22" fillId="120" borderId="0"/>
    <xf numFmtId="0" fontId="96" fillId="118" borderId="0"/>
    <xf numFmtId="0" fontId="99" fillId="30" borderId="0" applyNumberFormat="0" applyBorder="0" applyAlignment="0" applyProtection="0"/>
    <xf numFmtId="0" fontId="96" fillId="118" borderId="0"/>
    <xf numFmtId="0" fontId="96" fillId="118" borderId="0"/>
    <xf numFmtId="0" fontId="96" fillId="118"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7" fillId="117" borderId="0" applyNumberFormat="0" applyBorder="0" applyAlignment="0" applyProtection="0"/>
    <xf numFmtId="0" fontId="96" fillId="117"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67" fillId="123" borderId="0"/>
    <xf numFmtId="0" fontId="96" fillId="55" borderId="0"/>
    <xf numFmtId="0" fontId="96" fillId="117" borderId="0" applyNumberFormat="0" applyBorder="0" applyAlignment="0" applyProtection="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117" borderId="0" applyNumberFormat="0" applyBorder="0" applyAlignment="0" applyProtection="0"/>
    <xf numFmtId="0" fontId="96" fillId="79" borderId="0" applyNumberFormat="0" applyBorder="0" applyAlignment="0" applyProtection="0"/>
    <xf numFmtId="0" fontId="96" fillId="66" borderId="0" applyNumberFormat="0" applyBorder="0" applyAlignment="0" applyProtection="0"/>
    <xf numFmtId="0" fontId="96" fillId="55" borderId="0"/>
    <xf numFmtId="0" fontId="96" fillId="55" borderId="0"/>
    <xf numFmtId="0" fontId="96" fillId="55" borderId="0"/>
    <xf numFmtId="0" fontId="96" fillId="55" borderId="0"/>
    <xf numFmtId="0" fontId="96" fillId="55" borderId="0"/>
    <xf numFmtId="0" fontId="98" fillId="123" borderId="0"/>
    <xf numFmtId="0" fontId="96" fillId="55" borderId="0"/>
    <xf numFmtId="0" fontId="98" fillId="123" borderId="0"/>
    <xf numFmtId="0" fontId="96" fillId="55" borderId="0"/>
    <xf numFmtId="0" fontId="96" fillId="55" borderId="0"/>
    <xf numFmtId="0" fontId="98" fillId="123" borderId="0"/>
    <xf numFmtId="0" fontId="96" fillId="55" borderId="0"/>
    <xf numFmtId="0" fontId="96" fillId="55" borderId="0"/>
    <xf numFmtId="0" fontId="96" fillId="55" borderId="0"/>
    <xf numFmtId="0" fontId="96" fillId="55" borderId="0"/>
    <xf numFmtId="0" fontId="96" fillId="55" borderId="0"/>
    <xf numFmtId="0" fontId="96" fillId="117" borderId="0" applyNumberFormat="0" applyBorder="0" applyAlignment="0" applyProtection="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6" fillId="55" borderId="0"/>
    <xf numFmtId="0" fontId="98" fillId="123" borderId="0"/>
    <xf numFmtId="0" fontId="96" fillId="55" borderId="0"/>
    <xf numFmtId="0" fontId="96" fillId="55" borderId="0"/>
    <xf numFmtId="0" fontId="98" fillId="123" borderId="0"/>
    <xf numFmtId="0" fontId="96" fillId="55" borderId="0"/>
    <xf numFmtId="0" fontId="96" fillId="55" borderId="0"/>
    <xf numFmtId="0" fontId="22" fillId="123" borderId="0"/>
    <xf numFmtId="0" fontId="96" fillId="55" borderId="0"/>
    <xf numFmtId="0" fontId="99" fillId="34" borderId="0" applyNumberFormat="0" applyBorder="0" applyAlignment="0" applyProtection="0"/>
    <xf numFmtId="0" fontId="96" fillId="55" borderId="0"/>
    <xf numFmtId="0" fontId="96" fillId="55" borderId="0"/>
    <xf numFmtId="0" fontId="96" fillId="55"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7" fillId="125" borderId="0" applyNumberFormat="0" applyBorder="0" applyAlignment="0" applyProtection="0"/>
    <xf numFmtId="0" fontId="96" fillId="125" borderId="0" applyNumberFormat="0" applyBorder="0" applyAlignment="0" applyProtection="0"/>
    <xf numFmtId="0" fontId="97" fillId="124" borderId="0" applyNumberFormat="0" applyBorder="0" applyAlignment="0" applyProtection="0"/>
    <xf numFmtId="0" fontId="97" fillId="124" borderId="0" applyNumberFormat="0" applyBorder="0" applyAlignment="0" applyProtection="0"/>
    <xf numFmtId="0" fontId="67" fillId="126" borderId="0"/>
    <xf numFmtId="0" fontId="96" fillId="124" borderId="0"/>
    <xf numFmtId="0" fontId="96" fillId="125" borderId="0" applyNumberFormat="0" applyBorder="0" applyAlignment="0" applyProtection="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5" borderId="0" applyNumberFormat="0" applyBorder="0" applyAlignment="0" applyProtection="0"/>
    <xf numFmtId="0" fontId="96" fillId="91" borderId="0" applyNumberFormat="0" applyBorder="0" applyAlignment="0" applyProtection="0"/>
    <xf numFmtId="0" fontId="96" fillId="97" borderId="0" applyNumberFormat="0" applyBorder="0" applyAlignment="0" applyProtection="0"/>
    <xf numFmtId="0" fontId="96" fillId="124" borderId="0"/>
    <xf numFmtId="0" fontId="96" fillId="124" borderId="0"/>
    <xf numFmtId="0" fontId="96" fillId="124" borderId="0"/>
    <xf numFmtId="0" fontId="96" fillId="124" borderId="0"/>
    <xf numFmtId="0" fontId="96" fillId="124" borderId="0"/>
    <xf numFmtId="0" fontId="98" fillId="126" borderId="0"/>
    <xf numFmtId="0" fontId="96" fillId="124" borderId="0"/>
    <xf numFmtId="0" fontId="98" fillId="126" borderId="0"/>
    <xf numFmtId="0" fontId="96" fillId="124" borderId="0"/>
    <xf numFmtId="0" fontId="96" fillId="124" borderId="0"/>
    <xf numFmtId="0" fontId="98" fillId="126" borderId="0"/>
    <xf numFmtId="0" fontId="96" fillId="124" borderId="0"/>
    <xf numFmtId="0" fontId="96" fillId="124" borderId="0"/>
    <xf numFmtId="0" fontId="96" fillId="124" borderId="0"/>
    <xf numFmtId="0" fontId="96" fillId="124" borderId="0"/>
    <xf numFmtId="0" fontId="96" fillId="124" borderId="0"/>
    <xf numFmtId="0" fontId="96" fillId="125" borderId="0" applyNumberFormat="0" applyBorder="0" applyAlignment="0" applyProtection="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6" fillId="124" borderId="0"/>
    <xf numFmtId="0" fontId="98" fillId="126" borderId="0"/>
    <xf numFmtId="0" fontId="96" fillId="124" borderId="0"/>
    <xf numFmtId="0" fontId="96" fillId="124" borderId="0"/>
    <xf numFmtId="0" fontId="98" fillId="126" borderId="0"/>
    <xf numFmtId="0" fontId="96" fillId="124" borderId="0"/>
    <xf numFmtId="0" fontId="96" fillId="124" borderId="0"/>
    <xf numFmtId="0" fontId="22" fillId="126" borderId="0"/>
    <xf numFmtId="0" fontId="96" fillId="124" borderId="0"/>
    <xf numFmtId="0" fontId="99" fillId="38" borderId="0" applyNumberFormat="0" applyBorder="0" applyAlignment="0" applyProtection="0"/>
    <xf numFmtId="0" fontId="96" fillId="124" borderId="0"/>
    <xf numFmtId="0" fontId="96" fillId="124" borderId="0"/>
    <xf numFmtId="0" fontId="96" fillId="124"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7" fillId="107" borderId="0" applyNumberFormat="0" applyBorder="0" applyAlignment="0" applyProtection="0"/>
    <xf numFmtId="0" fontId="96" fillId="107" borderId="0" applyNumberFormat="0" applyBorder="0" applyAlignment="0" applyProtection="0"/>
    <xf numFmtId="0" fontId="97" fillId="106" borderId="0" applyNumberFormat="0" applyBorder="0" applyAlignment="0" applyProtection="0"/>
    <xf numFmtId="0" fontId="97" fillId="106" borderId="0" applyNumberFormat="0" applyBorder="0" applyAlignment="0" applyProtection="0"/>
    <xf numFmtId="0" fontId="67" fillId="14" borderId="0"/>
    <xf numFmtId="0" fontId="96" fillId="109" borderId="0"/>
    <xf numFmtId="0" fontId="96" fillId="107" borderId="0" applyNumberFormat="0" applyBorder="0" applyAlignment="0" applyProtection="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7" borderId="0" applyNumberFormat="0" applyBorder="0" applyAlignment="0" applyProtection="0"/>
    <xf numFmtId="0" fontId="96" fillId="101" borderId="0" applyNumberFormat="0" applyBorder="0" applyAlignment="0" applyProtection="0"/>
    <xf numFmtId="0" fontId="96" fillId="127" borderId="0" applyNumberFormat="0" applyBorder="0" applyAlignment="0" applyProtection="0"/>
    <xf numFmtId="0" fontId="96" fillId="106" borderId="0"/>
    <xf numFmtId="0" fontId="96" fillId="106" borderId="0"/>
    <xf numFmtId="0" fontId="96" fillId="106" borderId="0"/>
    <xf numFmtId="0" fontId="96" fillId="106" borderId="0"/>
    <xf numFmtId="0" fontId="96" fillId="106" borderId="0"/>
    <xf numFmtId="0" fontId="98" fillId="128" borderId="0"/>
    <xf numFmtId="0" fontId="96" fillId="106" borderId="0"/>
    <xf numFmtId="0" fontId="98" fillId="128" borderId="0"/>
    <xf numFmtId="0" fontId="96" fillId="106" borderId="0"/>
    <xf numFmtId="0" fontId="96" fillId="106" borderId="0"/>
    <xf numFmtId="0" fontId="98" fillId="128" borderId="0"/>
    <xf numFmtId="0" fontId="96" fillId="106" borderId="0"/>
    <xf numFmtId="0" fontId="96" fillId="106" borderId="0"/>
    <xf numFmtId="0" fontId="96" fillId="106" borderId="0"/>
    <xf numFmtId="0" fontId="96" fillId="106" borderId="0"/>
    <xf numFmtId="0" fontId="96" fillId="106" borderId="0"/>
    <xf numFmtId="0" fontId="96" fillId="107" borderId="0" applyNumberFormat="0" applyBorder="0" applyAlignment="0" applyProtection="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6" fillId="106" borderId="0"/>
    <xf numFmtId="0" fontId="98" fillId="128" borderId="0"/>
    <xf numFmtId="0" fontId="96" fillId="106" borderId="0"/>
    <xf numFmtId="0" fontId="98" fillId="128" borderId="0"/>
    <xf numFmtId="0" fontId="96" fillId="106" borderId="0"/>
    <xf numFmtId="0" fontId="98" fillId="128" borderId="0"/>
    <xf numFmtId="0" fontId="96" fillId="106" borderId="0"/>
    <xf numFmtId="0" fontId="96" fillId="106" borderId="0"/>
    <xf numFmtId="0" fontId="22" fillId="14" borderId="0"/>
    <xf numFmtId="0" fontId="96" fillId="106" borderId="0"/>
    <xf numFmtId="0" fontId="99" fillId="42" borderId="0" applyNumberFormat="0" applyBorder="0" applyAlignment="0" applyProtection="0"/>
    <xf numFmtId="0" fontId="96" fillId="106" borderId="0"/>
    <xf numFmtId="0" fontId="96" fillId="106" borderId="0"/>
    <xf numFmtId="0" fontId="96" fillId="106"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7" fillId="110" borderId="0" applyNumberFormat="0" applyBorder="0" applyAlignment="0" applyProtection="0"/>
    <xf numFmtId="0" fontId="96" fillId="110" borderId="0" applyNumberFormat="0" applyBorder="0" applyAlignment="0" applyProtection="0"/>
    <xf numFmtId="0" fontId="97" fillId="103" borderId="0" applyNumberFormat="0" applyBorder="0" applyAlignment="0" applyProtection="0"/>
    <xf numFmtId="0" fontId="97" fillId="103" borderId="0" applyNumberFormat="0" applyBorder="0" applyAlignment="0" applyProtection="0"/>
    <xf numFmtId="0" fontId="67" fillId="129" borderId="0"/>
    <xf numFmtId="0" fontId="96" fillId="103" borderId="0"/>
    <xf numFmtId="0" fontId="96" fillId="110" borderId="0" applyNumberFormat="0" applyBorder="0" applyAlignment="0" applyProtection="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10" borderId="0" applyNumberFormat="0" applyBorder="0" applyAlignment="0" applyProtection="0"/>
    <xf numFmtId="0" fontId="96" fillId="130" borderId="0" applyNumberFormat="0" applyBorder="0" applyAlignment="0" applyProtection="0"/>
    <xf numFmtId="0" fontId="96" fillId="103" borderId="0"/>
    <xf numFmtId="0" fontId="96" fillId="103" borderId="0"/>
    <xf numFmtId="0" fontId="96" fillId="103" borderId="0"/>
    <xf numFmtId="0" fontId="96" fillId="103" borderId="0"/>
    <xf numFmtId="0" fontId="96" fillId="103" borderId="0"/>
    <xf numFmtId="0" fontId="98" fillId="129" borderId="0"/>
    <xf numFmtId="0" fontId="96" fillId="103" borderId="0"/>
    <xf numFmtId="0" fontId="98" fillId="129" borderId="0"/>
    <xf numFmtId="0" fontId="96" fillId="103" borderId="0"/>
    <xf numFmtId="0" fontId="96" fillId="103" borderId="0"/>
    <xf numFmtId="0" fontId="98" fillId="129" borderId="0"/>
    <xf numFmtId="0" fontId="96" fillId="103" borderId="0"/>
    <xf numFmtId="0" fontId="96" fillId="103" borderId="0"/>
    <xf numFmtId="0" fontId="96" fillId="103" borderId="0"/>
    <xf numFmtId="0" fontId="96" fillId="103" borderId="0"/>
    <xf numFmtId="0" fontId="96" fillId="103" borderId="0"/>
    <xf numFmtId="0" fontId="96" fillId="110" borderId="0" applyNumberFormat="0" applyBorder="0" applyAlignment="0" applyProtection="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6" fillId="103" borderId="0"/>
    <xf numFmtId="0" fontId="98" fillId="129" borderId="0"/>
    <xf numFmtId="0" fontId="96" fillId="103" borderId="0"/>
    <xf numFmtId="0" fontId="96" fillId="103" borderId="0"/>
    <xf numFmtId="0" fontId="98" fillId="129" borderId="0"/>
    <xf numFmtId="0" fontId="96" fillId="103" borderId="0"/>
    <xf numFmtId="0" fontId="96" fillId="103" borderId="0"/>
    <xf numFmtId="0" fontId="22" fillId="129" borderId="0"/>
    <xf numFmtId="0" fontId="96" fillId="103" borderId="0"/>
    <xf numFmtId="0" fontId="99" fillId="46" borderId="0" applyNumberFormat="0" applyBorder="0" applyAlignment="0" applyProtection="0"/>
    <xf numFmtId="0" fontId="96" fillId="103" borderId="0"/>
    <xf numFmtId="0" fontId="96" fillId="103" borderId="0"/>
    <xf numFmtId="0" fontId="96" fillId="103"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7" fillId="66" borderId="0" applyNumberFormat="0" applyBorder="0" applyAlignment="0" applyProtection="0"/>
    <xf numFmtId="0" fontId="96" fillId="66" borderId="0" applyNumberFormat="0" applyBorder="0" applyAlignment="0" applyProtection="0"/>
    <xf numFmtId="0" fontId="97" fillId="131" borderId="0" applyNumberFormat="0" applyBorder="0" applyAlignment="0" applyProtection="0"/>
    <xf numFmtId="0" fontId="97" fillId="131" borderId="0" applyNumberFormat="0" applyBorder="0" applyAlignment="0" applyProtection="0"/>
    <xf numFmtId="0" fontId="67" fillId="132" borderId="0"/>
    <xf numFmtId="0" fontId="96" fillId="131" borderId="0"/>
    <xf numFmtId="0" fontId="96" fillId="66" borderId="0" applyNumberFormat="0" applyBorder="0" applyAlignment="0" applyProtection="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66" borderId="0" applyNumberFormat="0" applyBorder="0" applyAlignment="0" applyProtection="0"/>
    <xf numFmtId="0" fontId="96" fillId="67" borderId="0" applyNumberFormat="0" applyBorder="0" applyAlignment="0" applyProtection="0"/>
    <xf numFmtId="0" fontId="96" fillId="117" borderId="0" applyNumberFormat="0" applyBorder="0" applyAlignment="0" applyProtection="0"/>
    <xf numFmtId="0" fontId="96" fillId="131" borderId="0"/>
    <xf numFmtId="0" fontId="96" fillId="131" borderId="0"/>
    <xf numFmtId="0" fontId="96" fillId="131" borderId="0"/>
    <xf numFmtId="0" fontId="96" fillId="131" borderId="0"/>
    <xf numFmtId="0" fontId="96" fillId="131" borderId="0"/>
    <xf numFmtId="0" fontId="98" fillId="132" borderId="0"/>
    <xf numFmtId="0" fontId="96" fillId="131" borderId="0"/>
    <xf numFmtId="0" fontId="98" fillId="132" borderId="0"/>
    <xf numFmtId="0" fontId="96" fillId="131" borderId="0"/>
    <xf numFmtId="0" fontId="96" fillId="131" borderId="0"/>
    <xf numFmtId="0" fontId="98" fillId="132" borderId="0"/>
    <xf numFmtId="0" fontId="96" fillId="131" borderId="0"/>
    <xf numFmtId="0" fontId="96" fillId="131" borderId="0"/>
    <xf numFmtId="0" fontId="96" fillId="131" borderId="0"/>
    <xf numFmtId="0" fontId="96" fillId="131" borderId="0"/>
    <xf numFmtId="0" fontId="96" fillId="131" borderId="0"/>
    <xf numFmtId="0" fontId="96" fillId="66" borderId="0" applyNumberFormat="0" applyBorder="0" applyAlignment="0" applyProtection="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6" fillId="131" borderId="0"/>
    <xf numFmtId="0" fontId="98" fillId="132" borderId="0"/>
    <xf numFmtId="0" fontId="96" fillId="131" borderId="0"/>
    <xf numFmtId="0" fontId="96" fillId="131" borderId="0"/>
    <xf numFmtId="0" fontId="98" fillId="132" borderId="0"/>
    <xf numFmtId="0" fontId="96" fillId="131" borderId="0"/>
    <xf numFmtId="0" fontId="96" fillId="131" borderId="0"/>
    <xf numFmtId="0" fontId="22" fillId="132" borderId="0"/>
    <xf numFmtId="0" fontId="96" fillId="131" borderId="0"/>
    <xf numFmtId="0" fontId="99" fillId="50" borderId="0" applyNumberFormat="0" applyBorder="0" applyAlignment="0" applyProtection="0"/>
    <xf numFmtId="0" fontId="96" fillId="131" borderId="0"/>
    <xf numFmtId="0" fontId="96" fillId="131" borderId="0"/>
    <xf numFmtId="0" fontId="96" fillId="131" borderId="0"/>
    <xf numFmtId="183" fontId="82" fillId="86" borderId="180">
      <alignment horizontal="center" vertical="center"/>
    </xf>
    <xf numFmtId="0" fontId="100" fillId="0" borderId="0" applyNumberFormat="0" applyFill="0" applyBorder="0" applyAlignment="0">
      <protection locked="0"/>
    </xf>
    <xf numFmtId="0" fontId="101" fillId="0" borderId="0"/>
    <xf numFmtId="4" fontId="95" fillId="78" borderId="22">
      <alignment horizontal="right" vertical="center"/>
    </xf>
    <xf numFmtId="0" fontId="5" fillId="93" borderId="0" applyNumberFormat="0" applyFont="0" applyAlignment="0">
      <alignment vertical="top"/>
    </xf>
    <xf numFmtId="0" fontId="10" fillId="93" borderId="0" applyNumberFormat="0" applyFont="0" applyAlignment="0">
      <alignment vertical="top" wrapText="1"/>
    </xf>
    <xf numFmtId="0" fontId="10" fillId="93" borderId="0" applyNumberFormat="0" applyFont="0" applyAlignment="0">
      <alignment vertical="top" wrapText="1"/>
    </xf>
    <xf numFmtId="0" fontId="10" fillId="93" borderId="0" applyNumberFormat="0" applyFont="0" applyAlignment="0">
      <alignment vertical="top" wrapText="1"/>
    </xf>
    <xf numFmtId="0" fontId="10" fillId="93" borderId="0" applyNumberFormat="0" applyFont="0" applyAlignment="0">
      <alignment vertical="top" wrapText="1"/>
    </xf>
    <xf numFmtId="0" fontId="10" fillId="93" borderId="0" applyNumberFormat="0" applyFont="0" applyAlignment="0">
      <alignment vertical="top"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2" fillId="0" borderId="0" applyNumberFormat="0" applyFill="0" applyBorder="0" applyAlignment="0" applyProtection="0"/>
    <xf numFmtId="0" fontId="82" fillId="0" borderId="56">
      <alignment horizontal="center" vertical="center"/>
    </xf>
    <xf numFmtId="164" fontId="27" fillId="3" borderId="0"/>
    <xf numFmtId="184" fontId="103" fillId="133" borderId="181" applyNumberFormat="0" applyFont="0" applyAlignment="0" applyProtection="0">
      <protection locked="0"/>
    </xf>
    <xf numFmtId="0" fontId="104" fillId="0" borderId="182">
      <alignment vertical="center"/>
      <protection locked="0"/>
    </xf>
    <xf numFmtId="179" fontId="33" fillId="0" borderId="0"/>
    <xf numFmtId="0" fontId="33" fillId="0" borderId="0"/>
    <xf numFmtId="179" fontId="33" fillId="0" borderId="0"/>
    <xf numFmtId="179" fontId="33" fillId="0" borderId="0"/>
    <xf numFmtId="182"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 fontId="10" fillId="134"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6" fillId="64" borderId="0" applyNumberFormat="0" applyBorder="0" applyAlignment="0" applyProtection="0"/>
    <xf numFmtId="0" fontId="105" fillId="64"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63" fillId="54" borderId="0"/>
    <xf numFmtId="0" fontId="105" fillId="56" borderId="0"/>
    <xf numFmtId="0" fontId="105" fillId="64" borderId="0" applyNumberFormat="0" applyBorder="0" applyAlignment="0" applyProtection="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64" borderId="0" applyNumberFormat="0" applyBorder="0" applyAlignment="0" applyProtection="0"/>
    <xf numFmtId="0" fontId="105" fillId="64" borderId="0" applyNumberFormat="0" applyBorder="0" applyAlignment="0" applyProtection="0"/>
    <xf numFmtId="0" fontId="105" fillId="74" borderId="0" applyNumberFormat="0" applyBorder="0" applyAlignment="0" applyProtection="0"/>
    <xf numFmtId="0" fontId="105" fillId="56" borderId="0"/>
    <xf numFmtId="0" fontId="105" fillId="56" borderId="0"/>
    <xf numFmtId="0" fontId="105" fillId="56" borderId="0"/>
    <xf numFmtId="0" fontId="105" fillId="56" borderId="0"/>
    <xf numFmtId="0" fontId="105" fillId="56" borderId="0"/>
    <xf numFmtId="0" fontId="107" fillId="54" borderId="0"/>
    <xf numFmtId="0" fontId="105" fillId="56" borderId="0"/>
    <xf numFmtId="0" fontId="107" fillId="54" borderId="0"/>
    <xf numFmtId="0" fontId="105" fillId="56" borderId="0"/>
    <xf numFmtId="0" fontId="105" fillId="56" borderId="0"/>
    <xf numFmtId="0" fontId="107" fillId="54"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5" fillId="56" borderId="0"/>
    <xf numFmtId="0" fontId="107" fillId="54" borderId="0"/>
    <xf numFmtId="0" fontId="105" fillId="56" borderId="0"/>
    <xf numFmtId="0" fontId="107" fillId="54" borderId="0"/>
    <xf numFmtId="0" fontId="105" fillId="56" borderId="0"/>
    <xf numFmtId="0" fontId="107" fillId="54" borderId="0"/>
    <xf numFmtId="0" fontId="105" fillId="56" borderId="0"/>
    <xf numFmtId="0" fontId="105" fillId="56" borderId="0"/>
    <xf numFmtId="0" fontId="108" fillId="54" borderId="0"/>
    <xf numFmtId="0" fontId="105" fillId="56" borderId="0"/>
    <xf numFmtId="0" fontId="109" fillId="24" borderId="0" applyNumberFormat="0" applyBorder="0" applyAlignment="0" applyProtection="0"/>
    <xf numFmtId="0" fontId="105" fillId="56" borderId="0"/>
    <xf numFmtId="0" fontId="105" fillId="56" borderId="0"/>
    <xf numFmtId="0" fontId="105" fillId="56" borderId="0"/>
    <xf numFmtId="185" fontId="110" fillId="63" borderId="0" applyNumberFormat="0" applyBorder="0" applyAlignment="0">
      <protection locked="0"/>
    </xf>
    <xf numFmtId="0" fontId="111" fillId="0" borderId="0">
      <alignment vertical="top"/>
      <protection locked="0"/>
    </xf>
    <xf numFmtId="186" fontId="10" fillId="0" borderId="0" applyBorder="0"/>
    <xf numFmtId="186" fontId="10" fillId="0" borderId="0" applyBorder="0"/>
    <xf numFmtId="0" fontId="69" fillId="103" borderId="0">
      <alignment vertical="top"/>
    </xf>
    <xf numFmtId="0" fontId="112" fillId="0" borderId="0" applyNumberFormat="0" applyAlignment="0">
      <alignment horizontal="left"/>
    </xf>
    <xf numFmtId="4" fontId="113" fillId="0" borderId="120" applyFill="0" applyBorder="0" applyProtection="0">
      <alignment horizontal="right" vertical="center"/>
    </xf>
    <xf numFmtId="4" fontId="113" fillId="0" borderId="120">
      <alignment horizontal="right" vertical="center"/>
    </xf>
    <xf numFmtId="187" fontId="114" fillId="0" borderId="123" applyAlignment="0" applyProtection="0"/>
    <xf numFmtId="49" fontId="115" fillId="0" borderId="0" applyFont="0" applyFill="0" applyBorder="0" applyAlignment="0" applyProtection="0">
      <alignment horizontal="left"/>
    </xf>
    <xf numFmtId="3" fontId="33" fillId="0" borderId="0" applyAlignment="0" applyProtection="0"/>
    <xf numFmtId="171" fontId="69" fillId="0" borderId="0" applyFill="0" applyBorder="0" applyAlignment="0" applyProtection="0"/>
    <xf numFmtId="49" fontId="69" fillId="0" borderId="0" applyNumberFormat="0" applyAlignment="0" applyProtection="0">
      <alignment horizontal="left"/>
    </xf>
    <xf numFmtId="49" fontId="116" fillId="0" borderId="183" applyNumberFormat="0" applyAlignment="0" applyProtection="0">
      <alignment horizontal="left" wrapText="1"/>
    </xf>
    <xf numFmtId="49" fontId="116" fillId="0" borderId="0" applyNumberFormat="0" applyAlignment="0" applyProtection="0">
      <alignment horizontal="left" wrapText="1"/>
    </xf>
    <xf numFmtId="49" fontId="117" fillId="0" borderId="0" applyAlignment="0" applyProtection="0">
      <alignment horizontal="left"/>
    </xf>
    <xf numFmtId="188" fontId="33" fillId="0" borderId="0"/>
    <xf numFmtId="189" fontId="33" fillId="0" borderId="0"/>
    <xf numFmtId="189" fontId="33" fillId="0" borderId="0"/>
    <xf numFmtId="189" fontId="33" fillId="0" borderId="0"/>
    <xf numFmtId="189" fontId="33" fillId="0" borderId="0"/>
    <xf numFmtId="189" fontId="33" fillId="0" borderId="0"/>
    <xf numFmtId="189" fontId="33" fillId="0" borderId="0"/>
    <xf numFmtId="189" fontId="33" fillId="0" borderId="0"/>
    <xf numFmtId="189" fontId="33" fillId="0" borderId="0"/>
    <xf numFmtId="190" fontId="33" fillId="0" borderId="0"/>
    <xf numFmtId="190" fontId="33" fillId="0" borderId="0"/>
    <xf numFmtId="190" fontId="33" fillId="0" borderId="0"/>
    <xf numFmtId="190" fontId="33" fillId="0" borderId="0"/>
    <xf numFmtId="190" fontId="33" fillId="0" borderId="0"/>
    <xf numFmtId="190" fontId="33" fillId="0" borderId="0"/>
    <xf numFmtId="190" fontId="33" fillId="0" borderId="0"/>
    <xf numFmtId="190" fontId="33" fillId="0" borderId="0"/>
    <xf numFmtId="188" fontId="33" fillId="0" borderId="0"/>
    <xf numFmtId="188" fontId="33" fillId="0" borderId="0"/>
    <xf numFmtId="188" fontId="33" fillId="0" borderId="0"/>
    <xf numFmtId="188" fontId="33" fillId="0" borderId="0"/>
    <xf numFmtId="188" fontId="33" fillId="0" borderId="0"/>
    <xf numFmtId="188" fontId="33" fillId="0" borderId="0"/>
    <xf numFmtId="188" fontId="33" fillId="0" borderId="0"/>
    <xf numFmtId="188" fontId="33" fillId="0" borderId="123"/>
    <xf numFmtId="189" fontId="33" fillId="0" borderId="123"/>
    <xf numFmtId="189" fontId="33" fillId="0" borderId="123"/>
    <xf numFmtId="189" fontId="33" fillId="0" borderId="123"/>
    <xf numFmtId="189" fontId="33" fillId="0" borderId="123"/>
    <xf numFmtId="189" fontId="33" fillId="0" borderId="123"/>
    <xf numFmtId="189" fontId="33" fillId="0" borderId="123"/>
    <xf numFmtId="189" fontId="33" fillId="0" borderId="123"/>
    <xf numFmtId="189" fontId="33" fillId="0" borderId="123"/>
    <xf numFmtId="189" fontId="33" fillId="0" borderId="123"/>
    <xf numFmtId="189" fontId="33" fillId="0" borderId="123"/>
    <xf numFmtId="189" fontId="33" fillId="0" borderId="123"/>
    <xf numFmtId="190" fontId="33" fillId="0" borderId="123"/>
    <xf numFmtId="190" fontId="33" fillId="0" borderId="123"/>
    <xf numFmtId="190" fontId="33" fillId="0" borderId="123"/>
    <xf numFmtId="190" fontId="33" fillId="0" borderId="123"/>
    <xf numFmtId="190" fontId="33" fillId="0" borderId="123"/>
    <xf numFmtId="190" fontId="33" fillId="0" borderId="123"/>
    <xf numFmtId="190" fontId="33" fillId="0" borderId="123"/>
    <xf numFmtId="190" fontId="33" fillId="0" borderId="123"/>
    <xf numFmtId="190" fontId="33" fillId="0" borderId="123"/>
    <xf numFmtId="190" fontId="33" fillId="0" borderId="123"/>
    <xf numFmtId="190"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88" fontId="33" fillId="0" borderId="123"/>
    <xf numFmtId="191" fontId="33" fillId="0" borderId="0"/>
    <xf numFmtId="192" fontId="33" fillId="0" borderId="0"/>
    <xf numFmtId="192" fontId="33" fillId="0" borderId="0"/>
    <xf numFmtId="192" fontId="33" fillId="0" borderId="0"/>
    <xf numFmtId="192" fontId="33" fillId="0" borderId="0"/>
    <xf numFmtId="192" fontId="33" fillId="0" borderId="0"/>
    <xf numFmtId="192" fontId="33" fillId="0" borderId="0"/>
    <xf numFmtId="192" fontId="33" fillId="0" borderId="0"/>
    <xf numFmtId="192" fontId="33" fillId="0" borderId="0"/>
    <xf numFmtId="193" fontId="33" fillId="0" borderId="0"/>
    <xf numFmtId="193" fontId="33" fillId="0" borderId="0"/>
    <xf numFmtId="193" fontId="33" fillId="0" borderId="0"/>
    <xf numFmtId="193" fontId="33" fillId="0" borderId="0"/>
    <xf numFmtId="193" fontId="33" fillId="0" borderId="0"/>
    <xf numFmtId="193" fontId="33" fillId="0" borderId="0"/>
    <xf numFmtId="193" fontId="33" fillId="0" borderId="0"/>
    <xf numFmtId="193" fontId="33" fillId="0" borderId="0"/>
    <xf numFmtId="191" fontId="33" fillId="0" borderId="0"/>
    <xf numFmtId="191" fontId="33" fillId="0" borderId="0"/>
    <xf numFmtId="191" fontId="33" fillId="0" borderId="0"/>
    <xf numFmtId="191" fontId="33" fillId="0" borderId="0"/>
    <xf numFmtId="191" fontId="33" fillId="0" borderId="0"/>
    <xf numFmtId="191" fontId="33" fillId="0" borderId="0"/>
    <xf numFmtId="191" fontId="33" fillId="0" borderId="0"/>
    <xf numFmtId="191" fontId="33" fillId="0" borderId="123"/>
    <xf numFmtId="192" fontId="33" fillId="0" borderId="123"/>
    <xf numFmtId="192" fontId="33" fillId="0" borderId="123"/>
    <xf numFmtId="192" fontId="33" fillId="0" borderId="123"/>
    <xf numFmtId="192" fontId="33" fillId="0" borderId="123"/>
    <xf numFmtId="192" fontId="33" fillId="0" borderId="123"/>
    <xf numFmtId="192" fontId="33" fillId="0" borderId="123"/>
    <xf numFmtId="192" fontId="33" fillId="0" borderId="123"/>
    <xf numFmtId="192" fontId="33" fillId="0" borderId="123"/>
    <xf numFmtId="192" fontId="33" fillId="0" borderId="123"/>
    <xf numFmtId="192" fontId="33" fillId="0" borderId="123"/>
    <xf numFmtId="192" fontId="33" fillId="0" borderId="123"/>
    <xf numFmtId="193" fontId="33" fillId="0" borderId="123"/>
    <xf numFmtId="193" fontId="33" fillId="0" borderId="123"/>
    <xf numFmtId="193" fontId="33" fillId="0" borderId="123"/>
    <xf numFmtId="193" fontId="33" fillId="0" borderId="123"/>
    <xf numFmtId="193" fontId="33" fillId="0" borderId="123"/>
    <xf numFmtId="193" fontId="33" fillId="0" borderId="123"/>
    <xf numFmtId="193" fontId="33" fillId="0" borderId="123"/>
    <xf numFmtId="193" fontId="33" fillId="0" borderId="123"/>
    <xf numFmtId="193" fontId="33" fillId="0" borderId="123"/>
    <xf numFmtId="193" fontId="33" fillId="0" borderId="123"/>
    <xf numFmtId="193"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1" fontId="33" fillId="0" borderId="123"/>
    <xf numFmtId="194" fontId="33" fillId="0" borderId="0">
      <alignment horizontal="right"/>
      <protection locked="0"/>
    </xf>
    <xf numFmtId="194" fontId="33" fillId="0" borderId="0">
      <alignment horizontal="right"/>
      <protection locked="0"/>
    </xf>
    <xf numFmtId="194" fontId="33" fillId="0" borderId="0">
      <alignment horizontal="right"/>
      <protection locked="0"/>
    </xf>
    <xf numFmtId="194" fontId="33" fillId="0" borderId="0">
      <alignment horizontal="right"/>
      <protection locked="0"/>
    </xf>
    <xf numFmtId="194" fontId="33" fillId="0" borderId="0">
      <alignment horizontal="right"/>
      <protection locked="0"/>
    </xf>
    <xf numFmtId="194" fontId="33" fillId="0" borderId="0">
      <alignment horizontal="right"/>
      <protection locked="0"/>
    </xf>
    <xf numFmtId="194" fontId="33" fillId="0" borderId="0">
      <alignment horizontal="right"/>
      <protection locked="0"/>
    </xf>
    <xf numFmtId="194" fontId="33" fillId="0" borderId="0">
      <alignment horizontal="right"/>
      <protection locked="0"/>
    </xf>
    <xf numFmtId="195" fontId="33" fillId="0" borderId="0">
      <alignment horizontal="right"/>
      <protection locked="0"/>
    </xf>
    <xf numFmtId="195" fontId="33" fillId="0" borderId="0">
      <alignment horizontal="right"/>
      <protection locked="0"/>
    </xf>
    <xf numFmtId="195" fontId="33" fillId="0" borderId="0">
      <alignment horizontal="right"/>
      <protection locked="0"/>
    </xf>
    <xf numFmtId="195" fontId="33" fillId="0" borderId="0">
      <alignment horizontal="right"/>
      <protection locked="0"/>
    </xf>
    <xf numFmtId="195" fontId="33" fillId="0" borderId="0">
      <alignment horizontal="right"/>
      <protection locked="0"/>
    </xf>
    <xf numFmtId="195" fontId="33" fillId="0" borderId="0">
      <alignment horizontal="right"/>
      <protection locked="0"/>
    </xf>
    <xf numFmtId="195" fontId="33" fillId="0" borderId="0">
      <alignment horizontal="right"/>
      <protection locked="0"/>
    </xf>
    <xf numFmtId="195" fontId="33" fillId="0" borderId="0">
      <alignment horizontal="right"/>
      <protection locked="0"/>
    </xf>
    <xf numFmtId="196" fontId="33" fillId="0" borderId="0"/>
    <xf numFmtId="197" fontId="33" fillId="0" borderId="0"/>
    <xf numFmtId="197" fontId="33" fillId="0" borderId="0"/>
    <xf numFmtId="197" fontId="33" fillId="0" borderId="0"/>
    <xf numFmtId="197" fontId="33" fillId="0" borderId="0"/>
    <xf numFmtId="197" fontId="33" fillId="0" borderId="0"/>
    <xf numFmtId="197" fontId="33" fillId="0" borderId="0"/>
    <xf numFmtId="197" fontId="33" fillId="0" borderId="0"/>
    <xf numFmtId="197" fontId="33" fillId="0" borderId="0"/>
    <xf numFmtId="198" fontId="33" fillId="0" borderId="0"/>
    <xf numFmtId="198" fontId="33" fillId="0" borderId="0"/>
    <xf numFmtId="198" fontId="33" fillId="0" borderId="0"/>
    <xf numFmtId="198" fontId="33" fillId="0" borderId="0"/>
    <xf numFmtId="198" fontId="33" fillId="0" borderId="0"/>
    <xf numFmtId="198" fontId="33" fillId="0" borderId="0"/>
    <xf numFmtId="198" fontId="33" fillId="0" borderId="0"/>
    <xf numFmtId="198" fontId="33" fillId="0" borderId="0"/>
    <xf numFmtId="196" fontId="33" fillId="0" borderId="0"/>
    <xf numFmtId="196" fontId="33" fillId="0" borderId="0"/>
    <xf numFmtId="196" fontId="33" fillId="0" borderId="0"/>
    <xf numFmtId="196" fontId="33" fillId="0" borderId="0"/>
    <xf numFmtId="196" fontId="33" fillId="0" borderId="0"/>
    <xf numFmtId="196" fontId="33" fillId="0" borderId="0"/>
    <xf numFmtId="196" fontId="33" fillId="0" borderId="0"/>
    <xf numFmtId="196" fontId="33" fillId="0" borderId="123"/>
    <xf numFmtId="197" fontId="33" fillId="0" borderId="123"/>
    <xf numFmtId="197" fontId="33" fillId="0" borderId="123"/>
    <xf numFmtId="197" fontId="33" fillId="0" borderId="123"/>
    <xf numFmtId="197" fontId="33" fillId="0" borderId="123"/>
    <xf numFmtId="197" fontId="33" fillId="0" borderId="123"/>
    <xf numFmtId="197" fontId="33" fillId="0" borderId="123"/>
    <xf numFmtId="197" fontId="33" fillId="0" borderId="123"/>
    <xf numFmtId="197" fontId="33" fillId="0" borderId="123"/>
    <xf numFmtId="197" fontId="33" fillId="0" borderId="123"/>
    <xf numFmtId="197" fontId="33" fillId="0" borderId="123"/>
    <xf numFmtId="197" fontId="33" fillId="0" borderId="123"/>
    <xf numFmtId="198" fontId="33" fillId="0" borderId="123"/>
    <xf numFmtId="198" fontId="33" fillId="0" borderId="123"/>
    <xf numFmtId="198" fontId="33" fillId="0" borderId="123"/>
    <xf numFmtId="198" fontId="33" fillId="0" borderId="123"/>
    <xf numFmtId="198" fontId="33" fillId="0" borderId="123"/>
    <xf numFmtId="198" fontId="33" fillId="0" borderId="123"/>
    <xf numFmtId="198" fontId="33" fillId="0" borderId="123"/>
    <xf numFmtId="198" fontId="33" fillId="0" borderId="123"/>
    <xf numFmtId="198" fontId="33" fillId="0" borderId="123"/>
    <xf numFmtId="198" fontId="33" fillId="0" borderId="123"/>
    <xf numFmtId="198"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196" fontId="33" fillId="0" borderId="123"/>
    <xf numFmtId="0" fontId="118" fillId="135" borderId="184" applyNumberFormat="0" applyAlignment="0" applyProtection="0"/>
    <xf numFmtId="0" fontId="118" fillId="135" borderId="184" applyNumberFormat="0" applyAlignment="0" applyProtection="0"/>
    <xf numFmtId="0" fontId="118" fillId="135" borderId="184" applyNumberFormat="0" applyAlignment="0" applyProtection="0"/>
    <xf numFmtId="0" fontId="118" fillId="135" borderId="184" applyNumberFormat="0" applyAlignment="0" applyProtection="0"/>
    <xf numFmtId="184" fontId="103" fillId="58" borderId="181" applyNumberFormat="0" applyFont="0" applyAlignment="0" applyProtection="0">
      <protection locked="0"/>
    </xf>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20" fillId="71" borderId="185" applyNumberFormat="0" applyAlignment="0" applyProtection="0"/>
    <xf numFmtId="0" fontId="119" fillId="4" borderId="185"/>
    <xf numFmtId="0" fontId="119" fillId="71" borderId="185" applyNumberFormat="0" applyAlignment="0" applyProtection="0"/>
    <xf numFmtId="0" fontId="119" fillId="71" borderId="185" applyNumberFormat="0" applyAlignment="0" applyProtection="0"/>
    <xf numFmtId="0" fontId="120" fillId="4" borderId="185" applyNumberFormat="0" applyAlignment="0" applyProtection="0"/>
    <xf numFmtId="179" fontId="119" fillId="76" borderId="185" applyNumberFormat="0" applyAlignment="0" applyProtection="0"/>
    <xf numFmtId="0" fontId="119" fillId="4" borderId="185"/>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19" fillId="71" borderId="185" applyNumberFormat="0" applyAlignment="0" applyProtection="0"/>
    <xf numFmtId="0" fontId="119" fillId="71" borderId="185" applyNumberFormat="0" applyAlignment="0" applyProtection="0"/>
    <xf numFmtId="0" fontId="119" fillId="71" borderId="185" applyNumberFormat="0" applyAlignment="0" applyProtection="0"/>
    <xf numFmtId="0" fontId="120" fillId="4" borderId="185" applyNumberFormat="0" applyAlignment="0" applyProtection="0"/>
    <xf numFmtId="0" fontId="120" fillId="4" borderId="185" applyNumberFormat="0" applyAlignment="0" applyProtection="0"/>
    <xf numFmtId="179" fontId="119" fillId="76"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179" fontId="119" fillId="76"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0" fontId="120" fillId="4" borderId="185" applyNumberFormat="0" applyAlignment="0" applyProtection="0"/>
    <xf numFmtId="179" fontId="119" fillId="76" borderId="185" applyNumberFormat="0" applyAlignment="0" applyProtection="0"/>
    <xf numFmtId="179" fontId="119" fillId="76" borderId="185" applyNumberFormat="0" applyAlignment="0" applyProtection="0"/>
    <xf numFmtId="179" fontId="119" fillId="76" borderId="185" applyNumberFormat="0" applyAlignment="0" applyProtection="0"/>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71" borderId="185" applyNumberFormat="0" applyAlignment="0" applyProtection="0"/>
    <xf numFmtId="0" fontId="119" fillId="76" borderId="185" applyNumberFormat="0" applyAlignment="0" applyProtection="0"/>
    <xf numFmtId="0" fontId="119" fillId="71" borderId="185" applyNumberFormat="0" applyAlignment="0" applyProtection="0"/>
    <xf numFmtId="179" fontId="121" fillId="135" borderId="185" applyNumberFormat="0" applyAlignment="0" applyProtection="0"/>
    <xf numFmtId="179" fontId="121" fillId="135" borderId="185" applyNumberFormat="0" applyAlignment="0" applyProtection="0"/>
    <xf numFmtId="179" fontId="121" fillId="135" borderId="185" applyNumberFormat="0" applyAlignment="0" applyProtection="0"/>
    <xf numFmtId="179" fontId="121" fillId="135" borderId="185" applyNumberFormat="0" applyAlignment="0" applyProtection="0"/>
    <xf numFmtId="179" fontId="121" fillId="135" borderId="185" applyNumberFormat="0" applyAlignment="0" applyProtection="0"/>
    <xf numFmtId="179" fontId="121" fillId="135" borderId="185" applyNumberFormat="0" applyAlignment="0" applyProtection="0"/>
    <xf numFmtId="0" fontId="119" fillId="76" borderId="185" applyNumberFormat="0" applyAlignment="0" applyProtection="0"/>
    <xf numFmtId="0" fontId="119" fillId="76" borderId="185" applyNumberFormat="0" applyAlignment="0" applyProtection="0"/>
    <xf numFmtId="0" fontId="119" fillId="4" borderId="185"/>
    <xf numFmtId="0" fontId="119" fillId="4" borderId="185"/>
    <xf numFmtId="0" fontId="119" fillId="4" borderId="185"/>
    <xf numFmtId="0" fontId="119" fillId="4" borderId="185"/>
    <xf numFmtId="0" fontId="119" fillId="4" borderId="185"/>
    <xf numFmtId="0" fontId="122" fillId="10" borderId="165"/>
    <xf numFmtId="0" fontId="119" fillId="4" borderId="185"/>
    <xf numFmtId="0" fontId="122" fillId="10" borderId="165"/>
    <xf numFmtId="0" fontId="119" fillId="4" borderId="185"/>
    <xf numFmtId="0" fontId="119" fillId="4" borderId="185"/>
    <xf numFmtId="0" fontId="122" fillId="10" borderId="165"/>
    <xf numFmtId="0" fontId="119" fillId="4" borderId="185"/>
    <xf numFmtId="0" fontId="119" fillId="4" borderId="185"/>
    <xf numFmtId="0" fontId="119" fillId="4" borderId="185"/>
    <xf numFmtId="0" fontId="119" fillId="4" borderId="185"/>
    <xf numFmtId="0" fontId="119" fillId="71" borderId="185" applyNumberFormat="0" applyAlignment="0" applyProtection="0"/>
    <xf numFmtId="0" fontId="119" fillId="71" borderId="185" applyNumberFormat="0" applyAlignment="0" applyProtection="0"/>
    <xf numFmtId="0" fontId="119" fillId="71" borderId="185" applyNumberFormat="0" applyAlignment="0" applyProtection="0"/>
    <xf numFmtId="0" fontId="119" fillId="71" borderId="185" applyNumberFormat="0" applyAlignment="0" applyProtection="0"/>
    <xf numFmtId="0" fontId="123" fillId="135" borderId="185" applyNumberFormat="0" applyAlignment="0" applyProtection="0"/>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24" fillId="136" borderId="165"/>
    <xf numFmtId="0" fontId="124" fillId="27" borderId="165" applyNumberFormat="0" applyAlignment="0" applyProtection="0"/>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19" fillId="4" borderId="185"/>
    <xf numFmtId="0" fontId="122" fillId="10" borderId="165"/>
    <xf numFmtId="0" fontId="119" fillId="4" borderId="185"/>
    <xf numFmtId="0" fontId="122" fillId="10" borderId="165"/>
    <xf numFmtId="0" fontId="119" fillId="4" borderId="185"/>
    <xf numFmtId="0" fontId="122" fillId="10" borderId="165"/>
    <xf numFmtId="0" fontId="119" fillId="4" borderId="185"/>
    <xf numFmtId="0" fontId="119" fillId="4" borderId="185"/>
    <xf numFmtId="0" fontId="124" fillId="136" borderId="165"/>
    <xf numFmtId="0" fontId="119" fillId="4" borderId="185"/>
    <xf numFmtId="0" fontId="119" fillId="4" borderId="185"/>
    <xf numFmtId="0" fontId="119" fillId="4" borderId="185" applyNumberFormat="0" applyAlignment="0" applyProtection="0"/>
    <xf numFmtId="0" fontId="64" fillId="136" borderId="165" applyNumberFormat="0" applyAlignment="0" applyProtection="0"/>
    <xf numFmtId="0" fontId="64" fillId="136" borderId="165" applyNumberFormat="0" applyAlignment="0" applyProtection="0"/>
    <xf numFmtId="0" fontId="119" fillId="71" borderId="185" applyNumberFormat="0" applyAlignment="0" applyProtection="0"/>
    <xf numFmtId="0" fontId="64" fillId="27" borderId="165" applyNumberFormat="0" applyAlignment="0" applyProtection="0"/>
    <xf numFmtId="0" fontId="119" fillId="4" borderId="185"/>
    <xf numFmtId="0" fontId="125" fillId="27" borderId="165" applyNumberFormat="0" applyAlignment="0" applyProtection="0"/>
    <xf numFmtId="0" fontId="119" fillId="4" borderId="185"/>
    <xf numFmtId="0" fontId="119" fillId="4" borderId="185"/>
    <xf numFmtId="0" fontId="126" fillId="0" borderId="0" applyNumberFormat="0" applyFont="0" applyFill="0" applyBorder="0">
      <alignment horizontal="center" vertical="center"/>
      <protection locked="0"/>
    </xf>
    <xf numFmtId="0" fontId="127" fillId="0" borderId="186" applyNumberFormat="0" applyFill="0" applyAlignment="0" applyProtection="0"/>
    <xf numFmtId="0" fontId="127" fillId="0" borderId="186"/>
    <xf numFmtId="0" fontId="128" fillId="60" borderId="187" applyNumberFormat="0" applyAlignment="0" applyProtection="0"/>
    <xf numFmtId="0" fontId="128" fillId="59" borderId="187"/>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9" fillId="137" borderId="187" applyNumberFormat="0" applyAlignment="0" applyProtection="0"/>
    <xf numFmtId="0" fontId="128" fillId="137" borderId="187" applyNumberFormat="0" applyAlignment="0" applyProtection="0"/>
    <xf numFmtId="0" fontId="129" fillId="57" borderId="187" applyNumberFormat="0" applyAlignment="0" applyProtection="0"/>
    <xf numFmtId="0" fontId="129" fillId="57" borderId="187" applyNumberFormat="0" applyAlignment="0" applyProtection="0"/>
    <xf numFmtId="0" fontId="130" fillId="138" borderId="168"/>
    <xf numFmtId="0" fontId="128" fillId="57" borderId="187"/>
    <xf numFmtId="0" fontId="128" fillId="137" borderId="187" applyNumberFormat="0" applyAlignment="0" applyProtection="0"/>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137" borderId="187" applyNumberFormat="0" applyAlignment="0" applyProtection="0"/>
    <xf numFmtId="0" fontId="128" fillId="76" borderId="187" applyNumberFormat="0" applyAlignment="0" applyProtection="0"/>
    <xf numFmtId="0" fontId="128" fillId="57" borderId="187"/>
    <xf numFmtId="0" fontId="128" fillId="57" borderId="187"/>
    <xf numFmtId="0" fontId="128" fillId="57" borderId="187"/>
    <xf numFmtId="0" fontId="128" fillId="57" borderId="187"/>
    <xf numFmtId="0" fontId="128" fillId="57" borderId="187"/>
    <xf numFmtId="0" fontId="131" fillId="138" borderId="188"/>
    <xf numFmtId="0" fontId="128" fillId="57" borderId="187"/>
    <xf numFmtId="0" fontId="131" fillId="138" borderId="188"/>
    <xf numFmtId="0" fontId="128" fillId="57" borderId="187"/>
    <xf numFmtId="0" fontId="128" fillId="57" borderId="187"/>
    <xf numFmtId="0" fontId="131" fillId="138" borderId="188"/>
    <xf numFmtId="0" fontId="128" fillId="57" borderId="187"/>
    <xf numFmtId="0" fontId="128" fillId="57" borderId="187"/>
    <xf numFmtId="0" fontId="128" fillId="57" borderId="187"/>
    <xf numFmtId="0" fontId="128" fillId="57" borderId="187"/>
    <xf numFmtId="0" fontId="128" fillId="57" borderId="187"/>
    <xf numFmtId="0" fontId="128" fillId="137" borderId="187" applyNumberFormat="0" applyAlignment="0" applyProtection="0"/>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28" fillId="57" borderId="187"/>
    <xf numFmtId="0" fontId="131" fillId="138" borderId="188"/>
    <xf numFmtId="0" fontId="128" fillId="57" borderId="187"/>
    <xf numFmtId="0" fontId="131" fillId="138" borderId="188"/>
    <xf numFmtId="0" fontId="128" fillId="57" borderId="187"/>
    <xf numFmtId="0" fontId="131" fillId="138" borderId="188"/>
    <xf numFmtId="0" fontId="128" fillId="57" borderId="187"/>
    <xf numFmtId="0" fontId="128" fillId="57" borderId="187"/>
    <xf numFmtId="0" fontId="77" fillId="138" borderId="168"/>
    <xf numFmtId="0" fontId="128" fillId="57" borderId="187"/>
    <xf numFmtId="0" fontId="132" fillId="28" borderId="168" applyNumberFormat="0" applyAlignment="0" applyProtection="0"/>
    <xf numFmtId="0" fontId="128" fillId="57" borderId="187"/>
    <xf numFmtId="0" fontId="128" fillId="57" borderId="187"/>
    <xf numFmtId="0" fontId="128" fillId="57" borderId="187"/>
    <xf numFmtId="199" fontId="19" fillId="90" borderId="185">
      <alignment horizontal="center" vertical="center" shrinkToFit="1"/>
    </xf>
    <xf numFmtId="199" fontId="19" fillId="112" borderId="185">
      <alignment horizontal="center" vertical="center" shrinkToFit="1"/>
    </xf>
    <xf numFmtId="199" fontId="19" fillId="55" borderId="185">
      <alignment horizontal="center" vertical="center" shrinkToFit="1"/>
    </xf>
    <xf numFmtId="200" fontId="133" fillId="0" borderId="181"/>
    <xf numFmtId="0" fontId="98" fillId="139" borderId="189"/>
    <xf numFmtId="0" fontId="134" fillId="139" borderId="189"/>
    <xf numFmtId="166" fontId="33" fillId="0" borderId="0" applyFont="0" applyFill="0" applyBorder="0" applyProtection="0">
      <alignment horizontal="right"/>
    </xf>
    <xf numFmtId="201" fontId="33" fillId="0" borderId="0" applyFont="0" applyFill="0" applyBorder="0" applyProtection="0">
      <alignment horizontal="left"/>
    </xf>
    <xf numFmtId="0" fontId="135" fillId="93" borderId="189"/>
    <xf numFmtId="0" fontId="96" fillId="115" borderId="0" applyNumberFormat="0" applyBorder="0" applyAlignment="0" applyProtection="0"/>
    <xf numFmtId="0" fontId="96" fillId="116" borderId="0"/>
    <xf numFmtId="0" fontId="96" fillId="67" borderId="0" applyNumberFormat="0" applyBorder="0" applyAlignment="0" applyProtection="0"/>
    <xf numFmtId="0" fontId="96" fillId="88" borderId="0"/>
    <xf numFmtId="0" fontId="96" fillId="140" borderId="0" applyNumberFormat="0" applyBorder="0" applyAlignment="0" applyProtection="0"/>
    <xf numFmtId="0" fontId="96" fillId="141" borderId="0"/>
    <xf numFmtId="0" fontId="96" fillId="142" borderId="0" applyNumberFormat="0" applyBorder="0" applyAlignment="0" applyProtection="0"/>
    <xf numFmtId="0" fontId="96" fillId="143" borderId="0"/>
    <xf numFmtId="0" fontId="96" fillId="125" borderId="0" applyNumberFormat="0" applyBorder="0" applyAlignment="0" applyProtection="0"/>
    <xf numFmtId="0" fontId="96" fillId="124" borderId="0"/>
    <xf numFmtId="0" fontId="96" fillId="67" borderId="0" applyNumberFormat="0" applyBorder="0" applyAlignment="0" applyProtection="0"/>
    <xf numFmtId="0" fontId="96" fillId="88" borderId="0"/>
    <xf numFmtId="0" fontId="134" fillId="144" borderId="190">
      <alignment horizontal="center" vertical="center"/>
    </xf>
    <xf numFmtId="202" fontId="18" fillId="86" borderId="172"/>
    <xf numFmtId="3" fontId="136" fillId="0" borderId="0"/>
    <xf numFmtId="3" fontId="136" fillId="0" borderId="0"/>
    <xf numFmtId="3" fontId="136" fillId="0" borderId="0"/>
    <xf numFmtId="3" fontId="136" fillId="0" borderId="0"/>
    <xf numFmtId="3" fontId="136" fillId="0" borderId="0"/>
    <xf numFmtId="3" fontId="136" fillId="0" borderId="0"/>
    <xf numFmtId="3" fontId="136" fillId="0" borderId="0"/>
    <xf numFmtId="3" fontId="136" fillId="0" borderId="0"/>
    <xf numFmtId="41" fontId="10" fillId="0" borderId="0"/>
    <xf numFmtId="41" fontId="19" fillId="0" borderId="0" applyFont="0" applyFill="0" applyBorder="0" applyAlignment="0" applyProtection="0"/>
    <xf numFmtId="203" fontId="137" fillId="0" borderId="0" applyFont="0" applyFill="0" applyBorder="0" applyAlignment="0" applyProtection="0"/>
    <xf numFmtId="203" fontId="138" fillId="0" borderId="0"/>
    <xf numFmtId="204" fontId="137" fillId="0" borderId="0" applyFont="0" applyFill="0" applyBorder="0" applyAlignment="0" applyProtection="0"/>
    <xf numFmtId="4" fontId="139" fillId="0" borderId="123" applyFont="0" applyFill="0" applyBorder="0" applyAlignment="0">
      <alignment horizontal="center" vertical="center"/>
    </xf>
    <xf numFmtId="205" fontId="140" fillId="0" borderId="0" applyFont="0" applyFill="0" applyBorder="0" applyAlignment="0" applyProtection="0"/>
    <xf numFmtId="205" fontId="141" fillId="0" borderId="0"/>
    <xf numFmtId="0" fontId="142" fillId="0" borderId="0" applyFont="0" applyFill="0" applyBorder="0" applyAlignment="0" applyProtection="0">
      <alignment horizontal="right"/>
    </xf>
    <xf numFmtId="206" fontId="142" fillId="0" borderId="0" applyFont="0" applyFill="0" applyBorder="0" applyAlignment="0" applyProtection="0"/>
    <xf numFmtId="207" fontId="142" fillId="0" borderId="0" applyFont="0" applyFill="0" applyBorder="0" applyAlignment="0" applyProtection="0">
      <alignment horizontal="right"/>
    </xf>
    <xf numFmtId="43" fontId="92" fillId="0" borderId="0"/>
    <xf numFmtId="43" fontId="10" fillId="0" borderId="0"/>
    <xf numFmtId="43" fontId="10"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1" fillId="0" borderId="0"/>
    <xf numFmtId="43" fontId="75" fillId="0" borderId="0"/>
    <xf numFmtId="43" fontId="101" fillId="0" borderId="0"/>
    <xf numFmtId="43" fontId="75" fillId="0" borderId="0"/>
    <xf numFmtId="43" fontId="101" fillId="0" borderId="0"/>
    <xf numFmtId="43" fontId="75" fillId="0" borderId="0"/>
    <xf numFmtId="43" fontId="101" fillId="0" borderId="0"/>
    <xf numFmtId="43" fontId="75" fillId="0" borderId="0"/>
    <xf numFmtId="43" fontId="75" fillId="0" borderId="0"/>
    <xf numFmtId="43" fontId="75" fillId="0" borderId="0"/>
    <xf numFmtId="43" fontId="10"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applyFont="0" applyFill="0" applyBorder="0" applyAlignment="0" applyProtection="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75" fillId="0" borderId="0"/>
    <xf numFmtId="43" fontId="10" fillId="0" borderId="0"/>
    <xf numFmtId="43" fontId="75"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75"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 fillId="0" borderId="0"/>
    <xf numFmtId="43" fontId="75" fillId="0" borderId="0"/>
    <xf numFmtId="43" fontId="10" fillId="0" borderId="0"/>
    <xf numFmtId="43" fontId="75" fillId="0" borderId="0"/>
    <xf numFmtId="43" fontId="75" fillId="0" borderId="0"/>
    <xf numFmtId="43" fontId="75" fillId="0" borderId="0"/>
    <xf numFmtId="43" fontId="10" fillId="0" borderId="0"/>
    <xf numFmtId="43" fontId="10" fillId="0" borderId="0" applyFont="0" applyFill="0" applyBorder="0" applyAlignment="0" applyProtection="0"/>
    <xf numFmtId="43" fontId="1" fillId="0" borderId="0" applyFont="0" applyFill="0" applyBorder="0" applyAlignment="0" applyProtection="0"/>
    <xf numFmtId="43" fontId="10" fillId="0" borderId="0"/>
    <xf numFmtId="43" fontId="75" fillId="0" borderId="0"/>
    <xf numFmtId="43" fontId="10"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75" fillId="0" borderId="0"/>
    <xf numFmtId="43" fontId="75" fillId="0" borderId="0"/>
    <xf numFmtId="43" fontId="10" fillId="0" borderId="0"/>
    <xf numFmtId="43" fontId="75" fillId="0" borderId="0"/>
    <xf numFmtId="43" fontId="10" fillId="0" borderId="0"/>
    <xf numFmtId="43" fontId="10" fillId="0" borderId="0"/>
    <xf numFmtId="43" fontId="10" fillId="0" borderId="0"/>
    <xf numFmtId="43" fontId="10" fillId="0" borderId="0"/>
    <xf numFmtId="43" fontId="1"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applyFont="0" applyFill="0" applyBorder="0" applyAlignment="0" applyProtection="0"/>
    <xf numFmtId="43" fontId="10" fillId="0" borderId="0"/>
    <xf numFmtId="43" fontId="10" fillId="0" borderId="0"/>
    <xf numFmtId="43" fontId="75" fillId="0" borderId="0"/>
    <xf numFmtId="43" fontId="10" fillId="0" borderId="0"/>
    <xf numFmtId="43" fontId="10" fillId="0" borderId="0"/>
    <xf numFmtId="43" fontId="10" fillId="0" borderId="0"/>
    <xf numFmtId="43" fontId="10" fillId="0" borderId="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 fillId="0" borderId="0" applyFont="0" applyFill="0" applyBorder="0" applyAlignment="0" applyProtection="0"/>
    <xf numFmtId="43" fontId="44"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 fillId="0" borderId="0" applyFont="0" applyFill="0" applyBorder="0" applyAlignment="0" applyProtection="0"/>
    <xf numFmtId="43" fontId="10" fillId="0" borderId="0"/>
    <xf numFmtId="43" fontId="10" fillId="0" borderId="0"/>
    <xf numFmtId="43" fontId="10" fillId="0" borderId="0" applyFont="0" applyFill="0" applyBorder="0" applyAlignment="0" applyProtection="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0" fillId="0" borderId="0" applyFont="0" applyFill="0" applyBorder="0" applyAlignment="0" applyProtection="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 fillId="0" borderId="0" applyFont="0" applyFill="0" applyBorder="0" applyAlignment="0" applyProtection="0"/>
    <xf numFmtId="43" fontId="75" fillId="0" borderId="0"/>
    <xf numFmtId="43" fontId="75" fillId="0" borderId="0"/>
    <xf numFmtId="43" fontId="75" fillId="0" borderId="0"/>
    <xf numFmtId="43" fontId="75" fillId="0" borderId="0"/>
    <xf numFmtId="43" fontId="75" fillId="0" borderId="0"/>
    <xf numFmtId="43" fontId="75" fillId="0" borderId="0"/>
    <xf numFmtId="43" fontId="75" fillId="0" borderId="0"/>
    <xf numFmtId="43" fontId="1" fillId="0" borderId="0"/>
    <xf numFmtId="43" fontId="1" fillId="0" borderId="0"/>
    <xf numFmtId="43" fontId="1" fillId="0" borderId="0"/>
    <xf numFmtId="43" fontId="1" fillId="0" borderId="0"/>
    <xf numFmtId="43" fontId="1" fillId="0" borderId="0"/>
    <xf numFmtId="43" fontId="75" fillId="0" borderId="0"/>
    <xf numFmtId="43" fontId="10" fillId="0" borderId="0">
      <alignment vertical="center"/>
    </xf>
    <xf numFmtId="43" fontId="1" fillId="0" borderId="0" applyFont="0" applyFill="0" applyBorder="0" applyAlignment="0" applyProtection="0"/>
    <xf numFmtId="43" fontId="75" fillId="0" borderId="0"/>
    <xf numFmtId="43" fontId="1" fillId="0" borderId="0" applyFont="0" applyFill="0" applyBorder="0" applyAlignment="0" applyProtection="0"/>
    <xf numFmtId="43" fontId="75" fillId="0" borderId="0"/>
    <xf numFmtId="43" fontId="1" fillId="0" borderId="0" applyFont="0" applyFill="0" applyBorder="0" applyAlignment="0" applyProtection="0"/>
    <xf numFmtId="43" fontId="75" fillId="0" borderId="0"/>
    <xf numFmtId="208" fontId="142" fillId="0" borderId="0" applyFont="0" applyFill="0" applyBorder="0" applyAlignment="0" applyProtection="0"/>
    <xf numFmtId="209" fontId="142" fillId="0" borderId="0" applyFont="0" applyFill="0" applyBorder="0" applyAlignment="0" applyProtection="0">
      <alignment horizontal="right"/>
    </xf>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7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210" fontId="142"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9" fillId="0" borderId="0" applyFont="0" applyFill="0" applyBorder="0" applyAlignment="0" applyProtection="0"/>
    <xf numFmtId="43" fontId="101" fillId="0" borderId="0"/>
    <xf numFmtId="43" fontId="101" fillId="0" borderId="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xf numFmtId="43" fontId="1" fillId="0" borderId="0"/>
    <xf numFmtId="43" fontId="1" fillId="0" borderId="0"/>
    <xf numFmtId="43" fontId="1"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xf numFmtId="211" fontId="142" fillId="0" borderId="0" applyFont="0" applyFill="0" applyBorder="0" applyAlignment="0" applyProtection="0"/>
    <xf numFmtId="3" fontId="144" fillId="0" borderId="0" applyFont="0" applyFill="0" applyBorder="0" applyAlignment="0" applyProtection="0"/>
    <xf numFmtId="0" fontId="145" fillId="0" borderId="0"/>
    <xf numFmtId="0" fontId="146" fillId="0" borderId="0"/>
    <xf numFmtId="0" fontId="147" fillId="0" borderId="0"/>
    <xf numFmtId="3" fontId="10" fillId="0" borderId="0" applyFont="0" applyFill="0" applyBorder="0" applyAlignment="0" applyProtection="0"/>
    <xf numFmtId="177" fontId="82" fillId="0" borderId="0" applyFont="0" applyFill="0" applyBorder="0" applyAlignment="0" applyProtection="0"/>
    <xf numFmtId="0" fontId="145" fillId="0" borderId="0"/>
    <xf numFmtId="0" fontId="146" fillId="0" borderId="0"/>
    <xf numFmtId="177" fontId="82" fillId="0" borderId="0" applyFont="0" applyFill="0" applyBorder="0" applyAlignment="0" applyProtection="0"/>
    <xf numFmtId="177" fontId="82" fillId="0" borderId="0" applyFont="0" applyFill="0" applyBorder="0" applyAlignment="0" applyProtection="0"/>
    <xf numFmtId="177"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0" fontId="10" fillId="0" borderId="0"/>
    <xf numFmtId="0" fontId="10" fillId="0" borderId="0"/>
    <xf numFmtId="164" fontId="148" fillId="0" borderId="0"/>
    <xf numFmtId="0" fontId="135" fillId="4" borderId="189"/>
    <xf numFmtId="0" fontId="10" fillId="0" borderId="0"/>
    <xf numFmtId="0" fontId="5" fillId="0" borderId="0">
      <alignment horizontal="left" indent="3"/>
    </xf>
    <xf numFmtId="0" fontId="5" fillId="0" borderId="0">
      <alignment horizontal="left" indent="5"/>
    </xf>
    <xf numFmtId="0" fontId="10" fillId="93" borderId="0" applyNumberFormat="0" applyFont="0" applyBorder="0" applyAlignment="0"/>
    <xf numFmtId="0" fontId="10" fillId="93" borderId="0" applyNumberFormat="0" applyFont="0" applyBorder="0" applyAlignment="0"/>
    <xf numFmtId="0" fontId="10" fillId="0" borderId="0">
      <alignment horizontal="left"/>
    </xf>
    <xf numFmtId="0" fontId="10" fillId="0" borderId="0"/>
    <xf numFmtId="0" fontId="10" fillId="0" borderId="0">
      <alignment horizontal="left"/>
    </xf>
    <xf numFmtId="212" fontId="149" fillId="0" borderId="0" applyFont="0" applyFill="0" applyBorder="0" applyAlignment="0" applyProtection="0"/>
    <xf numFmtId="212" fontId="149" fillId="0" borderId="0"/>
    <xf numFmtId="42" fontId="10" fillId="0" borderId="0"/>
    <xf numFmtId="0" fontId="142" fillId="0" borderId="0" applyFont="0" applyFill="0" applyBorder="0" applyAlignment="0" applyProtection="0">
      <alignment horizontal="right"/>
    </xf>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applyFont="0" applyFill="0" applyBorder="0" applyAlignment="0" applyProtection="0"/>
    <xf numFmtId="44" fontId="1" fillId="0" borderId="0" applyFont="0" applyFill="0" applyBorder="0" applyAlignment="0" applyProtection="0"/>
    <xf numFmtId="213" fontId="10" fillId="0" borderId="0" applyFont="0" applyFill="0" applyBorder="0" applyAlignment="0" applyProtection="0"/>
    <xf numFmtId="44" fontId="1" fillId="0" borderId="0" applyFont="0" applyFill="0" applyBorder="0" applyAlignment="0" applyProtection="0"/>
    <xf numFmtId="21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xf numFmtId="215" fontId="150" fillId="0" borderId="0" applyFont="0" applyFill="0" applyBorder="0" applyAlignment="0" applyProtection="0"/>
    <xf numFmtId="0" fontId="142" fillId="0" borderId="0" applyFill="0" applyBorder="0" applyProtection="0"/>
    <xf numFmtId="44" fontId="1" fillId="0" borderId="0" applyFont="0" applyFill="0" applyBorder="0" applyAlignment="0" applyProtection="0"/>
    <xf numFmtId="44" fontId="10" fillId="0" borderId="0"/>
    <xf numFmtId="214" fontId="10" fillId="0" borderId="0" applyFont="0" applyFill="0" applyBorder="0" applyAlignment="0" applyProtection="0"/>
    <xf numFmtId="216" fontId="150" fillId="0" borderId="0" applyFont="0" applyFill="0" applyBorder="0" applyAlignment="0" applyProtection="0"/>
    <xf numFmtId="44" fontId="44" fillId="0" borderId="0" applyFont="0" applyFill="0" applyBorder="0" applyAlignment="0" applyProtection="0"/>
    <xf numFmtId="214" fontId="10" fillId="0" borderId="0" applyFont="0" applyFill="0" applyBorder="0" applyAlignment="0" applyProtection="0"/>
    <xf numFmtId="7" fontId="27" fillId="0" borderId="0" applyFont="0" applyFill="0" applyBorder="0" applyAlignment="0" applyProtection="0"/>
    <xf numFmtId="217" fontId="142" fillId="0" borderId="0" applyFont="0" applyFill="0" applyBorder="0" applyAlignment="0" applyProtection="0"/>
    <xf numFmtId="218" fontId="142" fillId="0" borderId="0" applyFont="0" applyFill="0" applyBorder="0" applyAlignment="0" applyProtection="0"/>
    <xf numFmtId="49" fontId="72" fillId="121" borderId="0">
      <alignment vertical="center"/>
    </xf>
    <xf numFmtId="219" fontId="151" fillId="0" borderId="50" applyFill="0" applyProtection="0">
      <alignment horizontal="left"/>
    </xf>
    <xf numFmtId="1" fontId="152" fillId="0" borderId="191" applyProtection="0">
      <alignment horizontal="left"/>
    </xf>
    <xf numFmtId="1" fontId="151" fillId="0" borderId="0" applyFill="0" applyBorder="0" applyProtection="0">
      <alignment horizontal="left"/>
    </xf>
    <xf numFmtId="220" fontId="146" fillId="0" borderId="192" applyNumberFormat="0" applyFill="0">
      <alignment horizontal="right"/>
    </xf>
    <xf numFmtId="188"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89"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90"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81">
      <protection locked="0"/>
    </xf>
    <xf numFmtId="188" fontId="33" fillId="93" borderId="193">
      <protection locked="0"/>
    </xf>
    <xf numFmtId="191"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2"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3"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81">
      <protection locked="0"/>
    </xf>
    <xf numFmtId="191" fontId="33" fillId="93" borderId="193">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4"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95" fontId="33" fillId="93" borderId="181">
      <alignment horizontal="right"/>
      <protection locked="0"/>
    </xf>
    <xf numFmtId="179" fontId="33" fillId="93" borderId="181">
      <alignment horizontal="left"/>
      <protection locked="0"/>
    </xf>
    <xf numFmtId="0" fontId="33" fillId="93" borderId="181">
      <alignment horizontal="left"/>
      <protection locked="0"/>
    </xf>
    <xf numFmtId="0" fontId="33" fillId="93" borderId="181">
      <alignment horizontal="left"/>
      <protection locked="0"/>
    </xf>
    <xf numFmtId="0" fontId="33" fillId="93" borderId="181">
      <alignment horizontal="left"/>
      <protection locked="0"/>
    </xf>
    <xf numFmtId="0"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82" fontId="33" fillId="93" borderId="181">
      <alignment horizontal="left"/>
      <protection locked="0"/>
    </xf>
    <xf numFmtId="179" fontId="33" fillId="93" borderId="181">
      <alignment horizontal="left"/>
      <protection locked="0"/>
    </xf>
    <xf numFmtId="0"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179" fontId="33" fillId="93" borderId="181">
      <alignment horizontal="left"/>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49" fontId="33" fillId="2" borderId="193">
      <alignment horizontal="left" vertical="top" wrapText="1"/>
      <protection locked="0"/>
    </xf>
    <xf numFmtId="196"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7"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8"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81">
      <protection locked="0"/>
    </xf>
    <xf numFmtId="196" fontId="33" fillId="93" borderId="193">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49" fontId="33" fillId="93" borderId="181">
      <alignment horizontal="left"/>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21" fontId="33" fillId="93" borderId="193">
      <alignment horizontal="left" indent="1"/>
      <protection locked="0"/>
    </xf>
    <xf numFmtId="2" fontId="153" fillId="93" borderId="194">
      <protection locked="0"/>
    </xf>
    <xf numFmtId="14" fontId="154" fillId="0" borderId="0">
      <alignment horizontal="right"/>
    </xf>
    <xf numFmtId="0" fontId="144" fillId="0" borderId="0" applyFont="0" applyFill="0" applyBorder="0" applyAlignment="0" applyProtection="0"/>
    <xf numFmtId="0" fontId="142" fillId="0" borderId="0" applyFont="0" applyFill="0" applyBorder="0" applyAlignment="0" applyProtection="0"/>
    <xf numFmtId="222" fontId="142" fillId="0" borderId="0" applyFont="0" applyFill="0" applyBorder="0" applyAlignment="0" applyProtection="0"/>
    <xf numFmtId="223" fontId="142" fillId="0" borderId="0" applyFont="0" applyFill="0" applyBorder="0" applyAlignment="0" applyProtection="0"/>
    <xf numFmtId="16" fontId="19" fillId="0" borderId="0" applyFont="0" applyFill="0" applyBorder="0" applyAlignment="0" applyProtection="0"/>
    <xf numFmtId="15" fontId="19" fillId="0" borderId="0" applyFont="0" applyFill="0" applyBorder="0" applyAlignment="0" applyProtection="0"/>
    <xf numFmtId="17" fontId="19" fillId="0" borderId="0" applyFont="0" applyFill="0" applyBorder="0" applyAlignment="0" applyProtection="0"/>
    <xf numFmtId="212" fontId="155" fillId="0" borderId="0">
      <protection locked="0"/>
    </xf>
    <xf numFmtId="15" fontId="10" fillId="0" borderId="0"/>
    <xf numFmtId="15" fontId="10" fillId="0" borderId="0"/>
    <xf numFmtId="15" fontId="10" fillId="0" borderId="0"/>
    <xf numFmtId="15" fontId="10" fillId="0" borderId="0"/>
    <xf numFmtId="15" fontId="10" fillId="0" borderId="0"/>
    <xf numFmtId="15" fontId="10" fillId="0" borderId="0"/>
    <xf numFmtId="15" fontId="10" fillId="0" borderId="0"/>
    <xf numFmtId="15" fontId="10" fillId="0" borderId="0"/>
    <xf numFmtId="15" fontId="10" fillId="0" borderId="0"/>
    <xf numFmtId="15" fontId="10" fillId="0" borderId="0"/>
    <xf numFmtId="15" fontId="10" fillId="0" borderId="0"/>
    <xf numFmtId="15" fontId="10" fillId="0" borderId="0"/>
    <xf numFmtId="224" fontId="10" fillId="0" borderId="0" applyFont="0" applyFill="0" applyBorder="0" applyAlignment="0" applyProtection="0">
      <alignment wrapText="1"/>
    </xf>
    <xf numFmtId="225" fontId="156" fillId="0" borderId="0"/>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226"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43" fontId="10" fillId="0" borderId="0">
      <alignment horizontal="center"/>
    </xf>
    <xf numFmtId="227" fontId="69" fillId="76" borderId="0">
      <alignment horizontal="right"/>
    </xf>
    <xf numFmtId="0" fontId="157" fillId="0" borderId="39" applyNumberFormat="0" applyBorder="0" applyAlignment="0" applyProtection="0">
      <alignment horizontal="right" vertical="center"/>
    </xf>
    <xf numFmtId="15" fontId="158" fillId="141" borderId="0" applyNumberFormat="0" applyFont="0" applyBorder="0" applyAlignment="0" applyProtection="0"/>
    <xf numFmtId="228" fontId="31" fillId="0" borderId="0" applyFont="0" applyFill="0" applyBorder="0" applyAlignment="0" applyProtection="0"/>
    <xf numFmtId="229" fontId="31" fillId="0" borderId="0" applyFont="0" applyFill="0" applyBorder="0" applyAlignment="0" applyProtection="0"/>
    <xf numFmtId="0" fontId="10" fillId="0" borderId="0">
      <protection locked="0"/>
    </xf>
    <xf numFmtId="0" fontId="10" fillId="0" borderId="0"/>
    <xf numFmtId="164" fontId="82" fillId="0" borderId="0" applyBorder="0"/>
    <xf numFmtId="164" fontId="82" fillId="0" borderId="93"/>
    <xf numFmtId="0" fontId="142" fillId="0" borderId="195" applyNumberFormat="0" applyFont="0" applyFill="0" applyAlignment="0" applyProtection="0"/>
    <xf numFmtId="181" fontId="159" fillId="145" borderId="0">
      <alignment horizontal="right"/>
    </xf>
    <xf numFmtId="0" fontId="10" fillId="0" borderId="0">
      <protection locked="0"/>
    </xf>
    <xf numFmtId="0" fontId="10" fillId="0" borderId="0">
      <protection locked="0"/>
    </xf>
    <xf numFmtId="0" fontId="160" fillId="146" borderId="196"/>
    <xf numFmtId="0" fontId="160" fillId="146" borderId="196"/>
    <xf numFmtId="0" fontId="161" fillId="147" borderId="196">
      <alignment horizontal="center" vertical="center"/>
    </xf>
    <xf numFmtId="0" fontId="161" fillId="147" borderId="196">
      <alignment horizontal="center" vertical="center"/>
    </xf>
    <xf numFmtId="0" fontId="162" fillId="0" borderId="0">
      <alignment horizontal="left" vertical="center"/>
    </xf>
    <xf numFmtId="0" fontId="163" fillId="0" borderId="0"/>
    <xf numFmtId="0" fontId="161" fillId="147" borderId="185" applyFont="0" applyFill="0" applyAlignment="0">
      <alignment horizontal="center" vertical="center"/>
    </xf>
    <xf numFmtId="0" fontId="161" fillId="147" borderId="185" applyFont="0" applyFill="0" applyAlignment="0">
      <alignment horizontal="center" vertical="center"/>
    </xf>
    <xf numFmtId="0" fontId="161" fillId="147" borderId="185" applyFont="0" applyFill="0" applyAlignment="0">
      <alignment horizontal="center" vertical="center"/>
    </xf>
    <xf numFmtId="0" fontId="161" fillId="147" borderId="185" applyFont="0" applyFill="0" applyAlignment="0">
      <alignment horizontal="center" vertical="center"/>
    </xf>
    <xf numFmtId="9" fontId="160" fillId="146" borderId="185" applyNumberFormat="0" applyAlignment="0" applyProtection="0"/>
    <xf numFmtId="9" fontId="160" fillId="146" borderId="185"/>
    <xf numFmtId="9" fontId="160" fillId="146" borderId="185"/>
    <xf numFmtId="0" fontId="160" fillId="146" borderId="185" applyNumberFormat="0" applyAlignment="0" applyProtection="0"/>
    <xf numFmtId="9" fontId="160" fillId="146" borderId="185" applyNumberFormat="0" applyAlignment="0" applyProtection="0"/>
    <xf numFmtId="9" fontId="160" fillId="146" borderId="185" applyNumberFormat="0" applyAlignment="0" applyProtection="0"/>
    <xf numFmtId="9" fontId="160" fillId="146" borderId="185" applyNumberFormat="0" applyAlignment="0" applyProtection="0"/>
    <xf numFmtId="9" fontId="160" fillId="146" borderId="185"/>
    <xf numFmtId="0" fontId="161" fillId="147" borderId="185" applyNumberFormat="0" applyProtection="0">
      <alignment horizontal="center" vertical="center" wrapText="1"/>
    </xf>
    <xf numFmtId="0" fontId="161" fillId="147" borderId="185">
      <alignment horizontal="center" vertical="center" wrapText="1"/>
    </xf>
    <xf numFmtId="0" fontId="161" fillId="147" borderId="185" applyNumberFormat="0" applyProtection="0">
      <alignment horizontal="center" vertical="center" wrapText="1"/>
    </xf>
    <xf numFmtId="0" fontId="161" fillId="147" borderId="185" applyNumberFormat="0" applyProtection="0">
      <alignment horizontal="center" vertical="center" wrapText="1"/>
    </xf>
    <xf numFmtId="0" fontId="161" fillId="147" borderId="185" applyNumberFormat="0" applyProtection="0">
      <alignment horizontal="center" vertical="center" wrapText="1"/>
    </xf>
    <xf numFmtId="0" fontId="161" fillId="147" borderId="185" applyNumberFormat="0" applyProtection="0">
      <alignment horizontal="center" vertical="center" wrapText="1"/>
    </xf>
    <xf numFmtId="0" fontId="161" fillId="147" borderId="185" applyNumberFormat="0" applyProtection="0">
      <alignment horizontal="center" vertical="center" wrapText="1"/>
    </xf>
    <xf numFmtId="0" fontId="164" fillId="0" borderId="0" applyNumberFormat="0" applyFill="0" applyBorder="0" applyProtection="0"/>
    <xf numFmtId="0" fontId="164" fillId="0" borderId="0"/>
    <xf numFmtId="0" fontId="164" fillId="0" borderId="0" applyNumberFormat="0" applyFill="0" applyBorder="0" applyProtection="0"/>
    <xf numFmtId="0" fontId="164" fillId="0" borderId="0"/>
    <xf numFmtId="182"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230" fontId="10" fillId="0" borderId="0" applyFont="0" applyFill="0" applyBorder="0" applyAlignment="0" applyProtection="0"/>
    <xf numFmtId="182"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6" fillId="0" borderId="0" applyNumberFormat="0" applyFill="0" applyBorder="0" applyAlignment="0" applyProtection="0"/>
    <xf numFmtId="0" fontId="165" fillId="0" borderId="0" applyNumberFormat="0" applyFill="0" applyBorder="0" applyAlignment="0" applyProtection="0"/>
    <xf numFmtId="0" fontId="165" fillId="0" borderId="0"/>
    <xf numFmtId="0" fontId="66" fillId="0" borderId="0"/>
    <xf numFmtId="0" fontId="165" fillId="0" borderId="0"/>
    <xf numFmtId="0" fontId="165" fillId="0" borderId="0" applyNumberForma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applyNumberFormat="0" applyFill="0" applyBorder="0" applyAlignment="0" applyProtection="0"/>
    <xf numFmtId="0" fontId="165" fillId="0" borderId="0" applyNumberForma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7" fillId="0" borderId="0"/>
    <xf numFmtId="0" fontId="165" fillId="0" borderId="0"/>
    <xf numFmtId="0" fontId="167" fillId="0" borderId="0"/>
    <xf numFmtId="0" fontId="165" fillId="0" borderId="0"/>
    <xf numFmtId="0" fontId="165" fillId="0" borderId="0"/>
    <xf numFmtId="0" fontId="167"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7" fillId="0" borderId="0"/>
    <xf numFmtId="0" fontId="165" fillId="0" borderId="0"/>
    <xf numFmtId="0" fontId="165" fillId="0" borderId="0"/>
    <xf numFmtId="0" fontId="167" fillId="0" borderId="0"/>
    <xf numFmtId="0" fontId="165" fillId="0" borderId="0"/>
    <xf numFmtId="0" fontId="165" fillId="0" borderId="0"/>
    <xf numFmtId="0" fontId="168" fillId="0" borderId="0"/>
    <xf numFmtId="0" fontId="165" fillId="0" borderId="0"/>
    <xf numFmtId="0" fontId="169" fillId="0" borderId="0" applyNumberFormat="0" applyFill="0" applyBorder="0" applyAlignment="0" applyProtection="0"/>
    <xf numFmtId="0" fontId="165" fillId="0" borderId="0"/>
    <xf numFmtId="0" fontId="165" fillId="0" borderId="0"/>
    <xf numFmtId="0" fontId="165" fillId="0" borderId="0"/>
    <xf numFmtId="0" fontId="170" fillId="57" borderId="0"/>
    <xf numFmtId="0" fontId="171" fillId="0" borderId="0"/>
    <xf numFmtId="231" fontId="172" fillId="0" borderId="0"/>
    <xf numFmtId="15" fontId="19" fillId="0" borderId="0" applyFill="0" applyBorder="0" applyProtection="0">
      <alignment horizontal="center"/>
    </xf>
    <xf numFmtId="0" fontId="170" fillId="56" borderId="0"/>
    <xf numFmtId="232" fontId="173" fillId="0" borderId="0"/>
    <xf numFmtId="233" fontId="42" fillId="4" borderId="197"/>
    <xf numFmtId="234" fontId="18" fillId="0" borderId="0"/>
    <xf numFmtId="234" fontId="80" fillId="0" borderId="0"/>
    <xf numFmtId="15" fontId="15" fillId="93" borderId="193">
      <alignment horizontal="center"/>
      <protection locked="0"/>
    </xf>
    <xf numFmtId="235" fontId="15" fillId="93" borderId="193">
      <protection locked="0"/>
    </xf>
    <xf numFmtId="234" fontId="15" fillId="93" borderId="193">
      <protection locked="0"/>
    </xf>
    <xf numFmtId="234" fontId="19" fillId="0" borderId="0"/>
    <xf numFmtId="235" fontId="19" fillId="0" borderId="0"/>
    <xf numFmtId="236" fontId="19" fillId="0" borderId="0"/>
    <xf numFmtId="0" fontId="170" fillId="0" borderId="176"/>
    <xf numFmtId="0" fontId="170" fillId="0" borderId="198"/>
    <xf numFmtId="0" fontId="170" fillId="90" borderId="0"/>
    <xf numFmtId="0" fontId="10" fillId="0" borderId="0">
      <protection locked="0"/>
    </xf>
    <xf numFmtId="0" fontId="10" fillId="0" borderId="0">
      <protection locked="0"/>
    </xf>
    <xf numFmtId="0" fontId="10" fillId="0" borderId="0">
      <protection locked="0"/>
    </xf>
    <xf numFmtId="0" fontId="10" fillId="0" borderId="0">
      <protection locked="0"/>
    </xf>
    <xf numFmtId="0" fontId="10" fillId="0" borderId="0">
      <protection locked="0"/>
    </xf>
    <xf numFmtId="0" fontId="10" fillId="0" borderId="0">
      <protection locked="0"/>
    </xf>
    <xf numFmtId="0" fontId="10" fillId="0" borderId="0">
      <protection locked="0"/>
    </xf>
    <xf numFmtId="0" fontId="10" fillId="0" borderId="0">
      <protection locked="0"/>
    </xf>
    <xf numFmtId="0" fontId="27" fillId="4" borderId="0"/>
    <xf numFmtId="0" fontId="27" fillId="4" borderId="0"/>
    <xf numFmtId="0" fontId="27" fillId="4" borderId="0"/>
    <xf numFmtId="0" fontId="27" fillId="4" borderId="0"/>
    <xf numFmtId="0" fontId="27" fillId="4" borderId="0"/>
    <xf numFmtId="0" fontId="27" fillId="4" borderId="0"/>
    <xf numFmtId="0" fontId="10" fillId="0" borderId="0">
      <protection locked="0"/>
    </xf>
    <xf numFmtId="2" fontId="27" fillId="0" borderId="0" applyFill="0" applyBorder="0" applyAlignment="0" applyProtection="0"/>
    <xf numFmtId="2" fontId="144" fillId="0" borderId="0" applyFont="0" applyFill="0" applyBorder="0" applyAlignment="0" applyProtection="0"/>
    <xf numFmtId="0" fontId="146" fillId="0" borderId="0"/>
    <xf numFmtId="0" fontId="174" fillId="0" borderId="0"/>
    <xf numFmtId="0" fontId="175" fillId="0" borderId="0">
      <alignment horizontal="right"/>
      <protection locked="0"/>
    </xf>
    <xf numFmtId="0" fontId="10" fillId="0" borderId="42"/>
    <xf numFmtId="0" fontId="10" fillId="0" borderId="0">
      <alignment horizontal="left"/>
    </xf>
    <xf numFmtId="0" fontId="176" fillId="0" borderId="0">
      <alignment horizontal="left"/>
    </xf>
    <xf numFmtId="0" fontId="177" fillId="0" borderId="0" applyFill="0" applyBorder="0" applyProtection="0">
      <alignment horizontal="left"/>
    </xf>
    <xf numFmtId="0" fontId="177" fillId="0" borderId="0">
      <alignment horizontal="left"/>
    </xf>
    <xf numFmtId="0" fontId="178" fillId="0" borderId="0" applyNumberFormat="0" applyFill="0" applyBorder="0" applyProtection="0">
      <alignment horizontal="left"/>
    </xf>
    <xf numFmtId="0" fontId="179" fillId="0" borderId="0">
      <alignment horizontal="left"/>
    </xf>
    <xf numFmtId="0" fontId="178" fillId="0" borderId="0">
      <alignment horizontal="left"/>
    </xf>
    <xf numFmtId="179" fontId="72" fillId="148" borderId="0">
      <alignment horizontal="right" vertical="center"/>
    </xf>
    <xf numFmtId="179" fontId="72" fillId="148" borderId="0">
      <alignment horizontal="right" vertical="center"/>
    </xf>
    <xf numFmtId="179" fontId="72" fillId="148" borderId="0">
      <alignment horizontal="right" vertical="center"/>
    </xf>
    <xf numFmtId="179" fontId="72" fillId="148" borderId="0">
      <alignment horizontal="right" vertical="center"/>
    </xf>
    <xf numFmtId="179" fontId="72" fillId="148" borderId="0">
      <alignment horizontal="right" vertical="center"/>
    </xf>
    <xf numFmtId="179" fontId="72" fillId="148" borderId="0">
      <alignment horizontal="right" vertical="center"/>
    </xf>
    <xf numFmtId="179" fontId="72" fillId="148" borderId="0">
      <alignment horizontal="right" vertical="center"/>
    </xf>
    <xf numFmtId="179" fontId="72" fillId="148" borderId="0">
      <alignment horizontal="right" vertical="center"/>
    </xf>
    <xf numFmtId="182" fontId="72" fillId="148" borderId="0">
      <alignment horizontal="right" vertical="center"/>
    </xf>
    <xf numFmtId="0" fontId="92" fillId="149" borderId="189"/>
    <xf numFmtId="0" fontId="135" fillId="149" borderId="189"/>
    <xf numFmtId="0" fontId="10" fillId="0" borderId="0" applyFont="0" applyFill="0" applyBorder="0" applyProtection="0">
      <alignment horizontal="right"/>
    </xf>
    <xf numFmtId="0" fontId="10" fillId="0" borderId="0" applyFont="0" applyFill="0" applyBorder="0" applyProtection="0">
      <alignment horizontal="right"/>
    </xf>
    <xf numFmtId="0" fontId="10" fillId="0" borderId="0" applyFont="0" applyFill="0" applyBorder="0" applyProtection="0">
      <alignment horizontal="right"/>
    </xf>
    <xf numFmtId="0" fontId="10" fillId="0" borderId="0" applyFont="0" applyFill="0" applyBorder="0" applyProtection="0">
      <alignment horizontal="right"/>
    </xf>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1" fillId="69" borderId="0" applyNumberFormat="0" applyBorder="0" applyAlignment="0" applyProtection="0"/>
    <xf numFmtId="0" fontId="180" fillId="69"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62" fillId="150" borderId="0"/>
    <xf numFmtId="0" fontId="180" fillId="2" borderId="0"/>
    <xf numFmtId="0" fontId="180" fillId="69" borderId="0" applyNumberFormat="0" applyBorder="0" applyAlignment="0" applyProtection="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69" borderId="0" applyNumberFormat="0" applyBorder="0" applyAlignment="0" applyProtection="0"/>
    <xf numFmtId="0" fontId="180" fillId="81" borderId="0" applyNumberFormat="0" applyBorder="0" applyAlignment="0" applyProtection="0"/>
    <xf numFmtId="0" fontId="180" fillId="79" borderId="0" applyNumberFormat="0" applyBorder="0" applyAlignment="0" applyProtection="0"/>
    <xf numFmtId="0" fontId="180" fillId="2" borderId="0"/>
    <xf numFmtId="0" fontId="180" fillId="2" borderId="0"/>
    <xf numFmtId="0" fontId="180" fillId="2" borderId="0"/>
    <xf numFmtId="0" fontId="180" fillId="2" borderId="0"/>
    <xf numFmtId="0" fontId="180" fillId="2" borderId="0"/>
    <xf numFmtId="0" fontId="182" fillId="150" borderId="0"/>
    <xf numFmtId="0" fontId="180" fillId="2" borderId="0"/>
    <xf numFmtId="0" fontId="182" fillId="150" borderId="0"/>
    <xf numFmtId="0" fontId="180" fillId="2" borderId="0"/>
    <xf numFmtId="0" fontId="180" fillId="2" borderId="0"/>
    <xf numFmtId="0" fontId="182" fillId="150" borderId="0"/>
    <xf numFmtId="0" fontId="180" fillId="2" borderId="0"/>
    <xf numFmtId="0" fontId="180" fillId="2" borderId="0"/>
    <xf numFmtId="0" fontId="180" fillId="2" borderId="0"/>
    <xf numFmtId="0" fontId="180" fillId="2" borderId="0"/>
    <xf numFmtId="0" fontId="180" fillId="2" borderId="0"/>
    <xf numFmtId="0" fontId="180" fillId="69" borderId="0" applyNumberFormat="0" applyBorder="0" applyAlignment="0" applyProtection="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0" fillId="2" borderId="0"/>
    <xf numFmtId="0" fontId="182" fillId="150" borderId="0"/>
    <xf numFmtId="0" fontId="180" fillId="2" borderId="0"/>
    <xf numFmtId="0" fontId="180" fillId="2" borderId="0"/>
    <xf numFmtId="0" fontId="182" fillId="150" borderId="0"/>
    <xf numFmtId="0" fontId="180" fillId="2" borderId="0"/>
    <xf numFmtId="0" fontId="180" fillId="2" borderId="0"/>
    <xf numFmtId="0" fontId="183" fillId="150" borderId="0"/>
    <xf numFmtId="0" fontId="180" fillId="2" borderId="0"/>
    <xf numFmtId="0" fontId="184" fillId="23" borderId="0" applyNumberFormat="0" applyBorder="0" applyAlignment="0" applyProtection="0"/>
    <xf numFmtId="0" fontId="180" fillId="2" borderId="0"/>
    <xf numFmtId="0" fontId="180" fillId="2" borderId="0"/>
    <xf numFmtId="0" fontId="180" fillId="2" borderId="0"/>
    <xf numFmtId="38" fontId="69" fillId="4" borderId="0" applyNumberFormat="0" applyBorder="0" applyAlignment="0" applyProtection="0"/>
    <xf numFmtId="38" fontId="69" fillId="4" borderId="0" applyNumberFormat="0" applyBorder="0" applyAlignment="0" applyProtection="0"/>
    <xf numFmtId="0" fontId="10" fillId="0" borderId="0"/>
    <xf numFmtId="0" fontId="10" fillId="0" borderId="0"/>
    <xf numFmtId="0" fontId="142" fillId="0" borderId="0" applyFont="0" applyFill="0" applyBorder="0" applyAlignment="0" applyProtection="0">
      <alignment horizontal="right"/>
    </xf>
    <xf numFmtId="0" fontId="19" fillId="117" borderId="199"/>
    <xf numFmtId="0" fontId="185" fillId="0" borderId="37">
      <alignment horizontal="left"/>
    </xf>
    <xf numFmtId="0" fontId="186" fillId="0" borderId="0">
      <alignment horizontal="right"/>
    </xf>
    <xf numFmtId="37" fontId="187" fillId="0" borderId="0">
      <alignment horizontal="right"/>
    </xf>
    <xf numFmtId="0" fontId="188" fillId="0" borderId="0">
      <alignment horizontal="left"/>
    </xf>
    <xf numFmtId="37" fontId="189" fillId="0" borderId="0">
      <alignment horizontal="right"/>
    </xf>
    <xf numFmtId="184" fontId="5" fillId="151" borderId="181" applyNumberFormat="0" applyAlignment="0" applyProtection="0">
      <protection locked="0"/>
    </xf>
    <xf numFmtId="0" fontId="190" fillId="0" borderId="0" applyProtection="0">
      <alignment horizontal="right"/>
    </xf>
    <xf numFmtId="0" fontId="191" fillId="0" borderId="0">
      <alignment horizontal="left"/>
    </xf>
    <xf numFmtId="0" fontId="191" fillId="0" borderId="0">
      <alignment horizontal="left"/>
    </xf>
    <xf numFmtId="0" fontId="3" fillId="0" borderId="173" applyNumberFormat="0" applyAlignment="0" applyProtection="0">
      <alignment horizontal="left" vertical="center"/>
    </xf>
    <xf numFmtId="0" fontId="3" fillId="0" borderId="197">
      <alignment horizontal="left" vertical="center"/>
    </xf>
    <xf numFmtId="0" fontId="192" fillId="3" borderId="200" applyProtection="0">
      <alignment horizontal="right"/>
    </xf>
    <xf numFmtId="0" fontId="193" fillId="3" borderId="0" applyProtection="0">
      <alignment horizontal="left"/>
    </xf>
    <xf numFmtId="237" fontId="70" fillId="0" borderId="0">
      <alignment horizontal="left" vertical="center"/>
    </xf>
    <xf numFmtId="0" fontId="194" fillId="0" borderId="201"/>
    <xf numFmtId="0" fontId="195" fillId="0" borderId="162" applyNumberFormat="0" applyFill="0" applyAlignment="0" applyProtection="0"/>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6" fillId="0" borderId="201" applyNumberFormat="0" applyFill="0" applyAlignment="0" applyProtection="0"/>
    <xf numFmtId="238" fontId="97" fillId="122" borderId="0">
      <alignment vertical="center"/>
    </xf>
    <xf numFmtId="0" fontId="194" fillId="0" borderId="201"/>
    <xf numFmtId="0" fontId="194" fillId="0" borderId="201"/>
    <xf numFmtId="0" fontId="194" fillId="0" borderId="201"/>
    <xf numFmtId="0" fontId="194" fillId="0" borderId="201"/>
    <xf numFmtId="0" fontId="194" fillId="0" borderId="201"/>
    <xf numFmtId="0" fontId="197" fillId="0" borderId="162" applyNumberFormat="0" applyFill="0" applyAlignment="0" applyProtection="0"/>
    <xf numFmtId="0" fontId="196" fillId="0" borderId="201" applyNumberFormat="0" applyFill="0" applyAlignment="0" applyProtection="0"/>
    <xf numFmtId="0" fontId="196" fillId="0" borderId="201" applyNumberFormat="0" applyFill="0" applyAlignment="0" applyProtection="0"/>
    <xf numFmtId="0" fontId="194" fillId="0" borderId="201" applyNumberFormat="0" applyFill="0" applyAlignment="0" applyProtection="0"/>
    <xf numFmtId="0" fontId="198" fillId="0" borderId="0">
      <alignment vertical="top" wrapText="1"/>
    </xf>
    <xf numFmtId="0" fontId="194" fillId="0" borderId="201"/>
    <xf numFmtId="0" fontId="194" fillId="0" borderId="201" applyNumberFormat="0" applyFill="0" applyAlignment="0" applyProtection="0"/>
    <xf numFmtId="0" fontId="194" fillId="0" borderId="201"/>
    <xf numFmtId="0" fontId="194" fillId="0" borderId="201" applyNumberFormat="0" applyFill="0" applyAlignment="0" applyProtection="0"/>
    <xf numFmtId="0" fontId="194" fillId="0" borderId="201"/>
    <xf numFmtId="0" fontId="194" fillId="0" borderId="201" applyNumberFormat="0" applyFill="0" applyAlignment="0" applyProtection="0"/>
    <xf numFmtId="0" fontId="194" fillId="0" borderId="201"/>
    <xf numFmtId="0" fontId="194" fillId="0" borderId="201" applyNumberFormat="0" applyFill="0" applyAlignment="0" applyProtection="0"/>
    <xf numFmtId="0" fontId="194" fillId="0" borderId="201"/>
    <xf numFmtId="238" fontId="97" fillId="122" borderId="0">
      <alignment vertical="center"/>
    </xf>
    <xf numFmtId="238" fontId="97" fillId="122" borderId="0">
      <alignment vertical="center"/>
    </xf>
    <xf numFmtId="238" fontId="97" fillId="122" borderId="0">
      <alignment vertical="center"/>
    </xf>
    <xf numFmtId="0" fontId="198" fillId="0" borderId="0">
      <alignment vertical="top" wrapText="1"/>
    </xf>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8" fillId="0" borderId="0">
      <alignment vertical="top" wrapText="1"/>
    </xf>
    <xf numFmtId="0" fontId="97" fillId="122" borderId="0">
      <alignment vertical="center"/>
    </xf>
    <xf numFmtId="0" fontId="194" fillId="0" borderId="201"/>
    <xf numFmtId="0" fontId="194" fillId="0" borderId="201"/>
    <xf numFmtId="0" fontId="194" fillId="0" borderId="201"/>
    <xf numFmtId="0" fontId="194" fillId="0" borderId="201"/>
    <xf numFmtId="0" fontId="194" fillId="0" borderId="201"/>
    <xf numFmtId="0" fontId="199" fillId="0" borderId="202"/>
    <xf numFmtId="0" fontId="194" fillId="0" borderId="201"/>
    <xf numFmtId="0" fontId="199" fillId="0" borderId="202"/>
    <xf numFmtId="0" fontId="194" fillId="0" borderId="201"/>
    <xf numFmtId="0" fontId="194" fillId="0" borderId="201"/>
    <xf numFmtId="0" fontId="199" fillId="0" borderId="202"/>
    <xf numFmtId="0" fontId="194" fillId="0" borderId="201"/>
    <xf numFmtId="0" fontId="194" fillId="0" borderId="201"/>
    <xf numFmtId="0" fontId="194" fillId="0" borderId="201"/>
    <xf numFmtId="0" fontId="194" fillId="0" borderId="201"/>
    <xf numFmtId="0" fontId="198" fillId="0" borderId="0">
      <alignment vertical="top" wrapText="1"/>
    </xf>
    <xf numFmtId="182" fontId="97" fillId="122" borderId="0">
      <alignment vertical="center"/>
    </xf>
    <xf numFmtId="0" fontId="97" fillId="122" borderId="0">
      <alignment vertical="center"/>
    </xf>
    <xf numFmtId="0" fontId="97" fillId="122" borderId="0">
      <alignment vertical="center"/>
    </xf>
    <xf numFmtId="0" fontId="97" fillId="122" borderId="0">
      <alignment vertical="center"/>
    </xf>
    <xf numFmtId="0" fontId="97" fillId="122" borderId="0">
      <alignment vertical="center"/>
    </xf>
    <xf numFmtId="0" fontId="97" fillId="122" borderId="0">
      <alignment vertical="center"/>
    </xf>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applyNumberFormat="0" applyFill="0" applyAlignment="0" applyProtection="0"/>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4" fillId="0" borderId="201"/>
    <xf numFmtId="0" fontId="199" fillId="0" borderId="202"/>
    <xf numFmtId="0" fontId="194" fillId="0" borderId="201"/>
    <xf numFmtId="0" fontId="199" fillId="0" borderId="202"/>
    <xf numFmtId="0" fontId="194" fillId="0" borderId="201"/>
    <xf numFmtId="0" fontId="199" fillId="0" borderId="202"/>
    <xf numFmtId="0" fontId="194" fillId="0" borderId="201"/>
    <xf numFmtId="0" fontId="194" fillId="0" borderId="201"/>
    <xf numFmtId="0" fontId="195" fillId="0" borderId="162"/>
    <xf numFmtId="0" fontId="194" fillId="0" borderId="201"/>
    <xf numFmtId="0" fontId="97" fillId="122" borderId="0">
      <alignment vertical="center"/>
    </xf>
    <xf numFmtId="0" fontId="194" fillId="0" borderId="201"/>
    <xf numFmtId="0" fontId="194" fillId="0" borderId="201"/>
    <xf numFmtId="0" fontId="194" fillId="0" borderId="201"/>
    <xf numFmtId="0" fontId="200" fillId="0" borderId="0">
      <alignment horizontal="left"/>
    </xf>
    <xf numFmtId="0" fontId="201" fillId="0" borderId="0" applyFill="0" applyBorder="0">
      <alignment vertical="center"/>
    </xf>
    <xf numFmtId="0" fontId="10" fillId="0" borderId="93">
      <alignment horizontal="left" vertical="top"/>
    </xf>
    <xf numFmtId="0" fontId="202" fillId="152" borderId="0"/>
    <xf numFmtId="0" fontId="203" fillId="0" borderId="203"/>
    <xf numFmtId="0" fontId="204" fillId="0" borderId="163" applyNumberFormat="0" applyFill="0" applyAlignment="0" applyProtection="0"/>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5" fillId="0" borderId="203" applyNumberFormat="0" applyFill="0" applyAlignment="0" applyProtection="0"/>
    <xf numFmtId="238" fontId="39" fillId="4" borderId="0">
      <alignment vertical="center"/>
    </xf>
    <xf numFmtId="0" fontId="203" fillId="0" borderId="203"/>
    <xf numFmtId="0" fontId="203" fillId="0" borderId="203"/>
    <xf numFmtId="0" fontId="203" fillId="0" borderId="203"/>
    <xf numFmtId="0" fontId="203" fillId="0" borderId="203"/>
    <xf numFmtId="0" fontId="203" fillId="0" borderId="203"/>
    <xf numFmtId="0" fontId="205" fillId="0" borderId="203" applyNumberFormat="0" applyFill="0" applyAlignment="0" applyProtection="0"/>
    <xf numFmtId="0" fontId="205" fillId="0" borderId="203" applyNumberFormat="0" applyFill="0" applyAlignment="0" applyProtection="0"/>
    <xf numFmtId="0" fontId="203" fillId="0" borderId="203" applyNumberFormat="0" applyFill="0" applyAlignment="0" applyProtection="0"/>
    <xf numFmtId="0" fontId="203" fillId="0" borderId="203" applyNumberFormat="0" applyFill="0" applyAlignment="0" applyProtection="0"/>
    <xf numFmtId="0" fontId="203" fillId="0" borderId="203"/>
    <xf numFmtId="0" fontId="60" fillId="0" borderId="204"/>
    <xf numFmtId="238" fontId="39" fillId="4" borderId="0">
      <alignment vertical="center"/>
    </xf>
    <xf numFmtId="238" fontId="39" fillId="4" borderId="0">
      <alignment vertical="center"/>
    </xf>
    <xf numFmtId="238" fontId="39" fillId="4" borderId="0">
      <alignment vertical="center"/>
    </xf>
    <xf numFmtId="238" fontId="39" fillId="4" borderId="0">
      <alignment vertical="center"/>
    </xf>
    <xf numFmtId="238" fontId="39" fillId="4" borderId="0">
      <alignment vertical="center"/>
    </xf>
    <xf numFmtId="238" fontId="39" fillId="4" borderId="0">
      <alignment vertical="center"/>
    </xf>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184" fontId="3" fillId="0" borderId="0" applyNumberFormat="0" applyFill="0" applyAlignment="0" applyProtection="0"/>
    <xf numFmtId="0" fontId="39" fillId="4" borderId="0">
      <alignment vertical="center"/>
    </xf>
    <xf numFmtId="0" fontId="203" fillId="0" borderId="203"/>
    <xf numFmtId="0" fontId="203" fillId="0" borderId="203"/>
    <xf numFmtId="0" fontId="203" fillId="0" borderId="203"/>
    <xf numFmtId="0" fontId="203" fillId="0" borderId="203"/>
    <xf numFmtId="0" fontId="203" fillId="0" borderId="203"/>
    <xf numFmtId="0" fontId="206" fillId="0" borderId="204"/>
    <xf numFmtId="0" fontId="203" fillId="0" borderId="203"/>
    <xf numFmtId="0" fontId="206" fillId="0" borderId="204"/>
    <xf numFmtId="0" fontId="203" fillId="0" borderId="203"/>
    <xf numFmtId="0" fontId="203" fillId="0" borderId="203"/>
    <xf numFmtId="0" fontId="206" fillId="0" borderId="204"/>
    <xf numFmtId="0" fontId="203" fillId="0" borderId="203"/>
    <xf numFmtId="0" fontId="203" fillId="0" borderId="203"/>
    <xf numFmtId="0" fontId="203" fillId="0" borderId="203"/>
    <xf numFmtId="0" fontId="203" fillId="0" borderId="203"/>
    <xf numFmtId="0" fontId="203" fillId="0" borderId="203" applyNumberFormat="0" applyFill="0" applyAlignment="0" applyProtection="0"/>
    <xf numFmtId="182" fontId="39" fillId="4" borderId="0">
      <alignment vertical="center"/>
    </xf>
    <xf numFmtId="0" fontId="39" fillId="4" borderId="0">
      <alignment vertical="center"/>
    </xf>
    <xf numFmtId="0" fontId="39" fillId="4" borderId="0">
      <alignment vertical="center"/>
    </xf>
    <xf numFmtId="0" fontId="39" fillId="4" borderId="0">
      <alignment vertical="center"/>
    </xf>
    <xf numFmtId="0" fontId="39" fillId="4" borderId="0">
      <alignment vertical="center"/>
    </xf>
    <xf numFmtId="0" fontId="39" fillId="4" borderId="0">
      <alignment vertical="center"/>
    </xf>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39" fillId="4" borderId="0">
      <alignment vertical="center"/>
    </xf>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3" fillId="0" borderId="203"/>
    <xf numFmtId="0" fontId="206" fillId="0" borderId="204"/>
    <xf numFmtId="0" fontId="203" fillId="0" borderId="203"/>
    <xf numFmtId="0" fontId="206" fillId="0" borderId="204"/>
    <xf numFmtId="0" fontId="203" fillId="0" borderId="203"/>
    <xf numFmtId="0" fontId="206" fillId="0" borderId="204"/>
    <xf numFmtId="0" fontId="203" fillId="0" borderId="203"/>
    <xf numFmtId="0" fontId="203" fillId="0" borderId="203"/>
    <xf numFmtId="0" fontId="204" fillId="0" borderId="204"/>
    <xf numFmtId="0" fontId="203" fillId="0" borderId="203"/>
    <xf numFmtId="0" fontId="39" fillId="4" borderId="0">
      <alignment vertical="center"/>
    </xf>
    <xf numFmtId="0" fontId="203" fillId="0" borderId="203"/>
    <xf numFmtId="0" fontId="203" fillId="0" borderId="203"/>
    <xf numFmtId="0" fontId="203" fillId="0" borderId="203"/>
    <xf numFmtId="0" fontId="207" fillId="0" borderId="0">
      <alignment horizontal="left"/>
    </xf>
    <xf numFmtId="0" fontId="208" fillId="0" borderId="0" applyFill="0" applyBorder="0">
      <alignment vertical="center"/>
    </xf>
    <xf numFmtId="0" fontId="10" fillId="0" borderId="93">
      <alignment horizontal="left" vertical="top"/>
    </xf>
    <xf numFmtId="0" fontId="209" fillId="0" borderId="205"/>
    <xf numFmtId="0" fontId="210" fillId="0" borderId="164" applyNumberFormat="0" applyFill="0" applyAlignment="0" applyProtection="0"/>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11" fillId="0" borderId="205" applyNumberFormat="0" applyFill="0" applyAlignment="0" applyProtection="0"/>
    <xf numFmtId="238" fontId="32" fillId="0" borderId="0"/>
    <xf numFmtId="0" fontId="209" fillId="0" borderId="205"/>
    <xf numFmtId="0" fontId="209" fillId="0" borderId="205"/>
    <xf numFmtId="0" fontId="209" fillId="0" borderId="205"/>
    <xf numFmtId="0" fontId="209" fillId="0" borderId="205"/>
    <xf numFmtId="0" fontId="209" fillId="0" borderId="205"/>
    <xf numFmtId="0" fontId="211" fillId="0" borderId="205" applyNumberFormat="0" applyFill="0" applyAlignment="0" applyProtection="0"/>
    <xf numFmtId="0" fontId="211" fillId="0" borderId="205" applyNumberFormat="0" applyFill="0" applyAlignment="0" applyProtection="0"/>
    <xf numFmtId="0" fontId="209" fillId="0" borderId="205" applyNumberFormat="0" applyFill="0" applyAlignment="0" applyProtection="0"/>
    <xf numFmtId="179" fontId="32" fillId="0" borderId="0"/>
    <xf numFmtId="0" fontId="209" fillId="0" borderId="205" applyNumberFormat="0" applyFill="0" applyAlignment="0" applyProtection="0"/>
    <xf numFmtId="0" fontId="209" fillId="0" borderId="205" applyNumberFormat="0" applyFill="0" applyAlignment="0" applyProtection="0"/>
    <xf numFmtId="0" fontId="209" fillId="0" borderId="205"/>
    <xf numFmtId="0" fontId="209" fillId="0" borderId="205" applyNumberFormat="0" applyFill="0" applyAlignment="0" applyProtection="0"/>
    <xf numFmtId="0" fontId="209" fillId="0" borderId="205"/>
    <xf numFmtId="0" fontId="209" fillId="0" borderId="205" applyNumberFormat="0" applyFill="0" applyAlignment="0" applyProtection="0"/>
    <xf numFmtId="0" fontId="209" fillId="0" borderId="205"/>
    <xf numFmtId="0" fontId="209" fillId="0" borderId="205" applyNumberFormat="0" applyFill="0" applyAlignment="0" applyProtection="0"/>
    <xf numFmtId="0" fontId="209" fillId="0" borderId="205"/>
    <xf numFmtId="238" fontId="32" fillId="0" borderId="0"/>
    <xf numFmtId="238" fontId="32" fillId="0" borderId="0"/>
    <xf numFmtId="238" fontId="32" fillId="0" borderId="0"/>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184" fontId="212" fillId="0" borderId="0" applyNumberFormat="0" applyFill="0" applyAlignment="0" applyProtection="0"/>
    <xf numFmtId="179" fontId="32" fillId="0" borderId="0"/>
    <xf numFmtId="0" fontId="32" fillId="0" borderId="0"/>
    <xf numFmtId="0" fontId="32" fillId="0" borderId="0"/>
    <xf numFmtId="0" fontId="32" fillId="0" borderId="0"/>
    <xf numFmtId="0" fontId="32" fillId="0" borderId="0"/>
    <xf numFmtId="0" fontId="32" fillId="0" borderId="0"/>
    <xf numFmtId="0" fontId="209" fillId="0" borderId="205"/>
    <xf numFmtId="0" fontId="209" fillId="0" borderId="205"/>
    <xf numFmtId="0" fontId="209" fillId="0" borderId="205"/>
    <xf numFmtId="0" fontId="209" fillId="0" borderId="205"/>
    <xf numFmtId="0" fontId="209" fillId="0" borderId="205"/>
    <xf numFmtId="0" fontId="213" fillId="0" borderId="206"/>
    <xf numFmtId="0" fontId="209" fillId="0" borderId="205"/>
    <xf numFmtId="0" fontId="213" fillId="0" borderId="206"/>
    <xf numFmtId="0" fontId="209" fillId="0" borderId="205"/>
    <xf numFmtId="0" fontId="209" fillId="0" borderId="205"/>
    <xf numFmtId="0" fontId="213" fillId="0" borderId="206"/>
    <xf numFmtId="0" fontId="209" fillId="0" borderId="205"/>
    <xf numFmtId="0" fontId="209" fillId="0" borderId="205"/>
    <xf numFmtId="0" fontId="209" fillId="0" borderId="205"/>
    <xf numFmtId="0" fontId="209" fillId="0" borderId="205"/>
    <xf numFmtId="0" fontId="209" fillId="0" borderId="205" applyNumberFormat="0" applyFill="0" applyAlignment="0" applyProtection="0"/>
    <xf numFmtId="182" fontId="32" fillId="0" borderId="0"/>
    <xf numFmtId="0" fontId="32" fillId="0" borderId="0"/>
    <xf numFmtId="0" fontId="32" fillId="0" borderId="0"/>
    <xf numFmtId="0" fontId="32" fillId="0" borderId="0"/>
    <xf numFmtId="0" fontId="32" fillId="0" borderId="0"/>
    <xf numFmtId="0" fontId="32" fillId="0" borderId="0"/>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32" fillId="0" borderId="0"/>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09" fillId="0" borderId="205"/>
    <xf numFmtId="0" fontId="213" fillId="0" borderId="206"/>
    <xf numFmtId="0" fontId="209" fillId="0" borderId="205"/>
    <xf numFmtId="0" fontId="213" fillId="0" borderId="206"/>
    <xf numFmtId="0" fontId="209" fillId="0" borderId="205"/>
    <xf numFmtId="0" fontId="213" fillId="0" borderId="206"/>
    <xf numFmtId="0" fontId="209" fillId="0" borderId="205"/>
    <xf numFmtId="0" fontId="209" fillId="0" borderId="205"/>
    <xf numFmtId="0" fontId="210" fillId="0" borderId="164"/>
    <xf numFmtId="0" fontId="209" fillId="0" borderId="205"/>
    <xf numFmtId="0" fontId="32" fillId="0" borderId="0"/>
    <xf numFmtId="0" fontId="209" fillId="0" borderId="205"/>
    <xf numFmtId="0" fontId="209" fillId="0" borderId="205"/>
    <xf numFmtId="0" fontId="209" fillId="0" borderId="205"/>
    <xf numFmtId="0" fontId="214" fillId="0" borderId="0" applyFill="0" applyBorder="0">
      <alignment vertical="center"/>
    </xf>
    <xf numFmtId="0" fontId="215" fillId="0" borderId="0">
      <alignment horizontal="left"/>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11" fillId="0" borderId="0" applyNumberFormat="0" applyFill="0" applyBorder="0" applyAlignment="0" applyProtection="0"/>
    <xf numFmtId="0" fontId="209" fillId="0" borderId="0" applyNumberFormat="0" applyFill="0" applyBorder="0" applyAlignment="0" applyProtection="0"/>
    <xf numFmtId="0" fontId="209" fillId="0" borderId="0"/>
    <xf numFmtId="0" fontId="61" fillId="0" borderId="0"/>
    <xf numFmtId="0" fontId="209" fillId="0" borderId="0"/>
    <xf numFmtId="0" fontId="209" fillId="0" borderId="0" applyNumberForma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184" fontId="5" fillId="0" borderId="0" applyNumberFormat="0" applyFill="0" applyAlignment="0" applyProtection="0"/>
    <xf numFmtId="0" fontId="216" fillId="0" borderId="0" applyNumberForma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213" fillId="0" borderId="0"/>
    <xf numFmtId="0" fontId="209" fillId="0" borderId="0"/>
    <xf numFmtId="0" fontId="213" fillId="0" borderId="0"/>
    <xf numFmtId="0" fontId="209" fillId="0" borderId="0"/>
    <xf numFmtId="0" fontId="209" fillId="0" borderId="0"/>
    <xf numFmtId="0" fontId="213" fillId="0" borderId="0"/>
    <xf numFmtId="0" fontId="209" fillId="0" borderId="0"/>
    <xf numFmtId="0" fontId="209" fillId="0" borderId="0"/>
    <xf numFmtId="0" fontId="209" fillId="0" borderId="0"/>
    <xf numFmtId="0" fontId="209" fillId="0" borderId="0"/>
    <xf numFmtId="0" fontId="209" fillId="0" borderId="0" applyNumberFormat="0" applyFill="0" applyBorder="0" applyAlignment="0" applyProtection="0"/>
    <xf numFmtId="0" fontId="209" fillId="0" borderId="0" applyNumberFormat="0" applyFill="0" applyBorder="0" applyAlignment="0" applyProtection="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13" fillId="0" borderId="0"/>
    <xf numFmtId="0" fontId="209" fillId="0" borderId="0"/>
    <xf numFmtId="0" fontId="213" fillId="0" borderId="0"/>
    <xf numFmtId="0" fontId="209" fillId="0" borderId="0"/>
    <xf numFmtId="0" fontId="213" fillId="0" borderId="0"/>
    <xf numFmtId="0" fontId="209" fillId="0" borderId="0"/>
    <xf numFmtId="0" fontId="209" fillId="0" borderId="0"/>
    <xf numFmtId="0" fontId="210" fillId="0" borderId="0"/>
    <xf numFmtId="0" fontId="209" fillId="0" borderId="0"/>
    <xf numFmtId="0" fontId="210" fillId="0" borderId="0" applyNumberFormat="0" applyFill="0" applyBorder="0" applyAlignment="0" applyProtection="0"/>
    <xf numFmtId="0" fontId="209" fillId="0" borderId="0"/>
    <xf numFmtId="0" fontId="209" fillId="0" borderId="0"/>
    <xf numFmtId="0" fontId="209" fillId="0" borderId="0"/>
    <xf numFmtId="0" fontId="217" fillId="0" borderId="0" applyFill="0" applyBorder="0">
      <alignment vertical="center"/>
    </xf>
    <xf numFmtId="184" fontId="84" fillId="0" borderId="0" applyNumberFormat="0" applyFill="0" applyAlignment="0" applyProtection="0"/>
    <xf numFmtId="184" fontId="53" fillId="0" borderId="0" applyNumberFormat="0" applyFill="0" applyAlignment="0" applyProtection="0"/>
    <xf numFmtId="184" fontId="53" fillId="0" borderId="0" applyNumberFormat="0" applyFont="0" applyFill="0" applyBorder="0" applyAlignment="0" applyProtection="0"/>
    <xf numFmtId="184" fontId="53" fillId="0" borderId="0" applyNumberFormat="0" applyFont="0" applyFill="0" applyBorder="0" applyAlignment="0" applyProtection="0"/>
    <xf numFmtId="0" fontId="4" fillId="0" borderId="0" applyNumberFormat="0" applyFill="0" applyBorder="0" applyAlignment="0" applyProtection="0"/>
    <xf numFmtId="172" fontId="69" fillId="0" borderId="37">
      <alignment horizontal="right" vertical="center"/>
    </xf>
    <xf numFmtId="0" fontId="3" fillId="0" borderId="0"/>
    <xf numFmtId="0" fontId="218" fillId="0" borderId="0" applyNumberFormat="0" applyFill="0" applyBorder="0" applyAlignment="0" applyProtection="0"/>
    <xf numFmtId="0" fontId="174" fillId="0" borderId="0"/>
    <xf numFmtId="0" fontId="3" fillId="0" borderId="0" applyNumberFormat="0" applyFill="0" applyBorder="0" applyAlignment="0" applyProtection="0"/>
    <xf numFmtId="0" fontId="174" fillId="0" borderId="0"/>
    <xf numFmtId="0" fontId="174" fillId="0" borderId="0"/>
    <xf numFmtId="0" fontId="174" fillId="0" borderId="0"/>
    <xf numFmtId="0" fontId="174" fillId="0" borderId="0"/>
    <xf numFmtId="0" fontId="5" fillId="0" borderId="0"/>
    <xf numFmtId="0" fontId="5" fillId="0" borderId="0"/>
    <xf numFmtId="0" fontId="219" fillId="0" borderId="0"/>
    <xf numFmtId="0" fontId="15" fillId="0" borderId="110" applyNumberFormat="0" applyFill="0" applyAlignment="0" applyProtection="0"/>
    <xf numFmtId="0" fontId="10" fillId="0" borderId="0">
      <alignment horizontal="center"/>
    </xf>
    <xf numFmtId="182" fontId="220"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2"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179" fontId="224" fillId="0" borderId="0" applyNumberFormat="0" applyFill="0" applyBorder="0" applyAlignment="0" applyProtection="0">
      <alignment vertical="top"/>
      <protection locked="0"/>
    </xf>
    <xf numFmtId="179" fontId="224" fillId="0" borderId="0" applyNumberFormat="0" applyFill="0" applyBorder="0" applyAlignment="0" applyProtection="0">
      <alignment vertical="top"/>
      <protection locked="0"/>
    </xf>
    <xf numFmtId="182" fontId="22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58" fillId="0" borderId="0" applyNumberFormat="0" applyFill="0" applyBorder="0" applyAlignment="0" applyProtection="0"/>
    <xf numFmtId="0" fontId="11"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11"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79" fillId="0" borderId="0" applyNumberFormat="0" applyFill="0" applyBorder="0" applyAlignment="0" applyProtection="0"/>
    <xf numFmtId="0" fontId="227" fillId="0" borderId="0" applyNumberFormat="0" applyFill="0" applyBorder="0" applyAlignment="0" applyProtection="0">
      <alignment vertical="top"/>
      <protection locked="0"/>
    </xf>
    <xf numFmtId="0" fontId="58" fillId="0" borderId="0" applyNumberFormat="0" applyFill="0" applyBorder="0" applyAlignment="0" applyProtection="0"/>
    <xf numFmtId="0" fontId="79" fillId="0" borderId="0" applyNumberFormat="0" applyFill="0" applyBorder="0" applyProtection="0"/>
    <xf numFmtId="0" fontId="228" fillId="0" borderId="0" applyNumberFormat="0" applyFill="0" applyBorder="0" applyAlignment="0" applyProtection="0">
      <alignment vertical="top"/>
      <protection locked="0"/>
    </xf>
    <xf numFmtId="0" fontId="79" fillId="0" borderId="0" applyNumberFormat="0" applyFill="0" applyBorder="0" applyProtection="0"/>
    <xf numFmtId="0" fontId="11" fillId="0" borderId="0" applyNumberFormat="0" applyFill="0" applyBorder="0">
      <protection locked="0"/>
    </xf>
    <xf numFmtId="0" fontId="11" fillId="0" borderId="0" applyNumberFormat="0" applyFill="0" applyBorder="0">
      <protection locked="0"/>
    </xf>
    <xf numFmtId="238" fontId="220" fillId="0" borderId="0" applyNumberFormat="0" applyFill="0" applyBorder="0" applyAlignment="0" applyProtection="0">
      <alignment vertical="top"/>
      <protection locked="0"/>
    </xf>
    <xf numFmtId="0" fontId="229" fillId="0" borderId="0" applyFill="0" applyBorder="0">
      <alignment horizontal="center" vertical="center"/>
    </xf>
    <xf numFmtId="0" fontId="229" fillId="0" borderId="0" applyFill="0" applyBorder="0">
      <alignment horizontal="center" vertical="center"/>
    </xf>
    <xf numFmtId="0" fontId="230" fillId="0" borderId="0" applyFill="0" applyBorder="0">
      <alignment vertical="center"/>
    </xf>
    <xf numFmtId="0" fontId="102" fillId="0" borderId="0" applyFill="0" applyBorder="0" applyProtection="0">
      <alignment horizontal="left"/>
    </xf>
    <xf numFmtId="10" fontId="69" fillId="72" borderId="22" applyNumberFormat="0" applyBorder="0" applyAlignment="0" applyProtection="0"/>
    <xf numFmtId="10" fontId="69" fillId="72" borderId="22" applyNumberFormat="0" applyBorder="0" applyAlignment="0" applyProtection="0"/>
    <xf numFmtId="10" fontId="69" fillId="72" borderId="22" applyNumberFormat="0" applyBorder="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2" fillId="77" borderId="185" applyNumberFormat="0" applyAlignment="0" applyProtection="0"/>
    <xf numFmtId="0" fontId="231" fillId="68" borderId="185"/>
    <xf numFmtId="0" fontId="231" fillId="77" borderId="185" applyNumberFormat="0" applyAlignment="0" applyProtection="0"/>
    <xf numFmtId="0" fontId="231" fillId="77" borderId="185" applyNumberFormat="0" applyAlignment="0" applyProtection="0"/>
    <xf numFmtId="0" fontId="232" fillId="68" borderId="185" applyNumberFormat="0" applyAlignment="0" applyProtection="0"/>
    <xf numFmtId="179" fontId="233" fillId="69" borderId="185" applyNumberFormat="0" applyAlignment="0" applyProtection="0"/>
    <xf numFmtId="0" fontId="231" fillId="77"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1" fillId="77" borderId="185" applyNumberFormat="0" applyAlignment="0" applyProtection="0"/>
    <xf numFmtId="0" fontId="231" fillId="77" borderId="185" applyNumberFormat="0" applyAlignment="0" applyProtection="0"/>
    <xf numFmtId="0" fontId="232" fillId="68" borderId="185" applyNumberFormat="0" applyAlignment="0" applyProtection="0"/>
    <xf numFmtId="0" fontId="232" fillId="68" borderId="185" applyNumberFormat="0" applyAlignment="0" applyProtection="0"/>
    <xf numFmtId="179" fontId="233" fillId="69"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179" fontId="233" fillId="69"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0" fontId="232" fillId="68" borderId="185" applyNumberFormat="0" applyAlignment="0" applyProtection="0"/>
    <xf numFmtId="179" fontId="233" fillId="69" borderId="185" applyNumberFormat="0" applyAlignment="0" applyProtection="0"/>
    <xf numFmtId="179" fontId="233" fillId="69" borderId="185" applyNumberFormat="0" applyAlignment="0" applyProtection="0"/>
    <xf numFmtId="179" fontId="233" fillId="69" borderId="185" applyNumberFormat="0" applyAlignment="0" applyProtection="0"/>
    <xf numFmtId="0" fontId="231" fillId="68" borderId="185"/>
    <xf numFmtId="0" fontId="231" fillId="68" borderId="185"/>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68" borderId="185"/>
    <xf numFmtId="0" fontId="231" fillId="68" borderId="185"/>
    <xf numFmtId="0" fontId="231" fillId="77" borderId="185" applyNumberFormat="0" applyAlignment="0" applyProtection="0"/>
    <xf numFmtId="0" fontId="233" fillId="69" borderId="185" applyNumberFormat="0" applyAlignment="0" applyProtection="0"/>
    <xf numFmtId="0" fontId="233" fillId="69" borderId="185" applyNumberFormat="0" applyAlignment="0" applyProtection="0"/>
    <xf numFmtId="0" fontId="233" fillId="69" borderId="185" applyNumberFormat="0" applyAlignment="0" applyProtection="0"/>
    <xf numFmtId="0" fontId="231" fillId="77" borderId="185" applyNumberFormat="0" applyAlignment="0" applyProtection="0"/>
    <xf numFmtId="0" fontId="231" fillId="68" borderId="185"/>
    <xf numFmtId="0" fontId="231" fillId="68" borderId="185"/>
    <xf numFmtId="0" fontId="231" fillId="68" borderId="185"/>
    <xf numFmtId="0" fontId="231" fillId="68" borderId="185"/>
    <xf numFmtId="0" fontId="231" fillId="68" borderId="185"/>
    <xf numFmtId="0" fontId="234" fillId="153" borderId="165"/>
    <xf numFmtId="0" fontId="231" fillId="68" borderId="185"/>
    <xf numFmtId="0" fontId="234" fillId="153" borderId="165"/>
    <xf numFmtId="0" fontId="231" fillId="68" borderId="185"/>
    <xf numFmtId="0" fontId="231" fillId="68" borderId="185"/>
    <xf numFmtId="0" fontId="234" fillId="153" borderId="165"/>
    <xf numFmtId="0" fontId="231" fillId="68" borderId="185"/>
    <xf numFmtId="0" fontId="231" fillId="68" borderId="185"/>
    <xf numFmtId="0" fontId="231" fillId="68" borderId="185"/>
    <xf numFmtId="0" fontId="231" fillId="68" borderId="185"/>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77" borderId="185" applyNumberFormat="0" applyAlignment="0" applyProtection="0"/>
    <xf numFmtId="0" fontId="231" fillId="77" borderId="185" applyNumberFormat="0" applyAlignment="0" applyProtection="0"/>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68" borderId="185"/>
    <xf numFmtId="0" fontId="231" fillId="77" borderId="185" applyNumberFormat="0" applyAlignment="0" applyProtection="0"/>
    <xf numFmtId="0" fontId="231" fillId="77" borderId="185" applyNumberFormat="0" applyAlignment="0" applyProtection="0"/>
    <xf numFmtId="0" fontId="234" fillId="153" borderId="165"/>
    <xf numFmtId="0" fontId="231" fillId="68" borderId="185"/>
    <xf numFmtId="0" fontId="231" fillId="68" borderId="185"/>
    <xf numFmtId="0" fontId="234" fillId="153" borderId="165"/>
    <xf numFmtId="0" fontId="231" fillId="68" borderId="185"/>
    <xf numFmtId="0" fontId="231" fillId="68" borderId="185"/>
    <xf numFmtId="0" fontId="235" fillId="153" borderId="165"/>
    <xf numFmtId="0" fontId="231" fillId="68" borderId="185"/>
    <xf numFmtId="0" fontId="231" fillId="77" borderId="185" applyNumberFormat="0" applyAlignment="0" applyProtection="0"/>
    <xf numFmtId="0" fontId="236" fillId="26" borderId="165" applyNumberFormat="0" applyAlignment="0" applyProtection="0"/>
    <xf numFmtId="0" fontId="236" fillId="26" borderId="16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231" fillId="77" borderId="185" applyNumberFormat="0" applyAlignment="0" applyProtection="0"/>
    <xf numFmtId="0" fontId="150" fillId="0" borderId="0" applyFill="0" applyBorder="0" applyProtection="0"/>
    <xf numFmtId="0" fontId="150" fillId="0" borderId="0" applyFill="0" applyBorder="0" applyProtection="0"/>
    <xf numFmtId="184" fontId="19" fillId="2" borderId="181" applyNumberFormat="0" applyAlignment="0" applyProtection="0"/>
    <xf numFmtId="0" fontId="150" fillId="0" borderId="0" applyFill="0" applyBorder="0" applyProtection="0"/>
    <xf numFmtId="0" fontId="150" fillId="0" borderId="0" applyFill="0" applyBorder="0" applyProtection="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01" fillId="93" borderId="0"/>
    <xf numFmtId="0" fontId="17" fillId="0" borderId="0" applyNumberFormat="0" applyFill="0" applyBorder="0" applyAlignment="0" applyProtection="0"/>
    <xf numFmtId="0" fontId="17" fillId="0" borderId="0"/>
    <xf numFmtId="4" fontId="95" fillId="0" borderId="171">
      <alignment horizontal="right" vertical="center"/>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5" fontId="10" fillId="93" borderId="193">
      <protection locked="0"/>
    </xf>
    <xf numFmtId="184" fontId="156" fillId="0" borderId="0"/>
    <xf numFmtId="0" fontId="92" fillId="154" borderId="0"/>
    <xf numFmtId="0" fontId="10" fillId="0" borderId="0" applyNumberFormat="0" applyFont="0" applyFill="0" applyBorder="0" applyAlignment="0"/>
    <xf numFmtId="179" fontId="237" fillId="0" borderId="0">
      <alignment horizontal="left" indent="1"/>
    </xf>
    <xf numFmtId="179" fontId="237" fillId="0" borderId="0">
      <alignment horizontal="left" indent="1"/>
    </xf>
    <xf numFmtId="182" fontId="237" fillId="0" borderId="0">
      <alignment horizontal="left" indent="1"/>
    </xf>
    <xf numFmtId="0" fontId="237" fillId="0" borderId="0">
      <alignment horizontal="left" indent="1"/>
    </xf>
    <xf numFmtId="179" fontId="238" fillId="0" borderId="0"/>
    <xf numFmtId="0" fontId="238" fillId="0" borderId="0"/>
    <xf numFmtId="179" fontId="239" fillId="0" borderId="0">
      <alignment horizontal="center"/>
    </xf>
    <xf numFmtId="179" fontId="239" fillId="0" borderId="0">
      <alignment horizontal="center"/>
    </xf>
    <xf numFmtId="182" fontId="239" fillId="0" borderId="0">
      <alignment horizontal="center"/>
    </xf>
    <xf numFmtId="0" fontId="239" fillId="0" borderId="0">
      <alignment horizontal="center"/>
    </xf>
    <xf numFmtId="0" fontId="240" fillId="0" borderId="0">
      <alignment horizontal="center"/>
    </xf>
    <xf numFmtId="0" fontId="240" fillId="0" borderId="0">
      <alignment horizontal="center"/>
    </xf>
    <xf numFmtId="0" fontId="101" fillId="155" borderId="0"/>
    <xf numFmtId="0" fontId="192" fillId="0" borderId="207" applyProtection="0">
      <alignment horizontal="right"/>
    </xf>
    <xf numFmtId="0" fontId="192" fillId="0" borderId="200" applyProtection="0">
      <alignment horizontal="right"/>
    </xf>
    <xf numFmtId="0" fontId="192" fillId="0" borderId="208" applyProtection="0">
      <alignment horizontal="center"/>
      <protection locked="0"/>
    </xf>
    <xf numFmtId="0" fontId="10" fillId="0" borderId="0"/>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2" fillId="0" borderId="209" applyNumberFormat="0" applyFill="0" applyAlignment="0" applyProtection="0"/>
    <xf numFmtId="0" fontId="241" fillId="0" borderId="209" applyNumberFormat="0" applyFill="0" applyAlignment="0" applyProtection="0"/>
    <xf numFmtId="0" fontId="241" fillId="0" borderId="209"/>
    <xf numFmtId="0" fontId="65" fillId="0" borderId="167"/>
    <xf numFmtId="0" fontId="241" fillId="0" borderId="209"/>
    <xf numFmtId="0" fontId="241" fillId="0" borderId="209" applyNumberFormat="0" applyFill="0" applyAlignment="0" applyProtection="0"/>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applyNumberFormat="0" applyFill="0" applyAlignment="0" applyProtection="0"/>
    <xf numFmtId="0" fontId="241" fillId="0" borderId="209" applyNumberFormat="0" applyFill="0" applyAlignment="0" applyProtection="0"/>
    <xf numFmtId="0" fontId="243" fillId="0" borderId="210" applyNumberFormat="0" applyFill="0" applyAlignment="0" applyProtection="0"/>
    <xf numFmtId="0" fontId="241" fillId="0" borderId="209"/>
    <xf numFmtId="0" fontId="241" fillId="0" borderId="209"/>
    <xf numFmtId="0" fontId="241" fillId="0" borderId="209"/>
    <xf numFmtId="0" fontId="241" fillId="0" borderId="209"/>
    <xf numFmtId="0" fontId="241" fillId="0" borderId="209"/>
    <xf numFmtId="0" fontId="244" fillId="0" borderId="167"/>
    <xf numFmtId="0" fontId="241" fillId="0" borderId="209"/>
    <xf numFmtId="0" fontId="244" fillId="0" borderId="167"/>
    <xf numFmtId="0" fontId="241" fillId="0" borderId="209"/>
    <xf numFmtId="0" fontId="241" fillId="0" borderId="209"/>
    <xf numFmtId="0" fontId="244" fillId="0" borderId="167"/>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1" fillId="0" borderId="209"/>
    <xf numFmtId="0" fontId="244" fillId="0" borderId="167"/>
    <xf numFmtId="0" fontId="241" fillId="0" borderId="209"/>
    <xf numFmtId="0" fontId="241" fillId="0" borderId="209"/>
    <xf numFmtId="0" fontId="244" fillId="0" borderId="167"/>
    <xf numFmtId="0" fontId="241" fillId="0" borderId="209"/>
    <xf numFmtId="0" fontId="241" fillId="0" borderId="209"/>
    <xf numFmtId="0" fontId="245" fillId="0" borderId="167"/>
    <xf numFmtId="0" fontId="241" fillId="0" borderId="209"/>
    <xf numFmtId="0" fontId="246" fillId="0" borderId="167" applyNumberFormat="0" applyFill="0" applyAlignment="0" applyProtection="0"/>
    <xf numFmtId="0" fontId="241" fillId="0" borderId="209"/>
    <xf numFmtId="0" fontId="241" fillId="0" borderId="209"/>
    <xf numFmtId="0" fontId="241" fillId="0" borderId="209"/>
    <xf numFmtId="0" fontId="92" fillId="156" borderId="0"/>
    <xf numFmtId="0" fontId="247" fillId="55" borderId="0"/>
    <xf numFmtId="179" fontId="72" fillId="157" borderId="0">
      <alignment horizontal="right" vertical="center"/>
    </xf>
    <xf numFmtId="179" fontId="72" fillId="157" borderId="0">
      <alignment horizontal="right" vertical="center"/>
    </xf>
    <xf numFmtId="179" fontId="72" fillId="157" borderId="0">
      <alignment horizontal="right" vertical="center"/>
    </xf>
    <xf numFmtId="179" fontId="72" fillId="157" borderId="0">
      <alignment horizontal="right" vertical="center"/>
    </xf>
    <xf numFmtId="179" fontId="72" fillId="157" borderId="0">
      <alignment horizontal="right" vertical="center"/>
    </xf>
    <xf numFmtId="179" fontId="72" fillId="157" borderId="0">
      <alignment horizontal="right" vertical="center"/>
    </xf>
    <xf numFmtId="179" fontId="72" fillId="157" borderId="0">
      <alignment horizontal="right" vertical="center"/>
    </xf>
    <xf numFmtId="179" fontId="72" fillId="157" borderId="0">
      <alignment horizontal="right" vertical="center"/>
    </xf>
    <xf numFmtId="182" fontId="72" fillId="157" borderId="0">
      <alignment horizontal="right" vertical="center"/>
    </xf>
    <xf numFmtId="0" fontId="10" fillId="68" borderId="0" applyNumberFormat="0" applyFont="0" applyBorder="0" applyAlignment="0"/>
    <xf numFmtId="0" fontId="10" fillId="68" borderId="0" applyNumberFormat="0" applyFont="0" applyBorder="0" applyAlignment="0"/>
    <xf numFmtId="167" fontId="248" fillId="0" borderId="0" applyNumberFormat="0" applyBorder="0" applyAlignment="0" applyProtection="0"/>
    <xf numFmtId="43" fontId="10" fillId="0" borderId="0" applyFont="0" applyFill="0" applyBorder="0" applyAlignment="0" applyProtection="0"/>
    <xf numFmtId="43" fontId="10" fillId="0" borderId="0"/>
    <xf numFmtId="0" fontId="10" fillId="0" borderId="0"/>
    <xf numFmtId="0" fontId="10" fillId="0" borderId="0"/>
    <xf numFmtId="0" fontId="10" fillId="0" borderId="0"/>
    <xf numFmtId="0" fontId="10" fillId="0" borderId="0"/>
    <xf numFmtId="0" fontId="10" fillId="0" borderId="0"/>
    <xf numFmtId="239" fontId="142" fillId="0" borderId="0" applyFont="0" applyFill="0" applyBorder="0" applyAlignment="0" applyProtection="0"/>
    <xf numFmtId="240" fontId="142" fillId="0" borderId="0" applyFont="0" applyFill="0" applyBorder="0" applyAlignment="0" applyProtection="0"/>
    <xf numFmtId="241" fontId="10" fillId="0" borderId="0" applyFont="0" applyFill="0" applyBorder="0" applyAlignment="0" applyProtection="0"/>
    <xf numFmtId="242" fontId="10" fillId="0" borderId="0" applyFont="0" applyFill="0" applyBorder="0" applyAlignment="0" applyProtection="0"/>
    <xf numFmtId="0" fontId="249" fillId="0" borderId="0" applyFill="0" applyBorder="0">
      <alignment vertical="center"/>
    </xf>
    <xf numFmtId="243" fontId="19" fillId="0" borderId="0" applyFont="0" applyFill="0" applyBorder="0" applyAlignment="0" applyProtection="0"/>
    <xf numFmtId="214" fontId="19" fillId="0" borderId="0" applyFont="0" applyFill="0" applyBorder="0" applyAlignment="0" applyProtection="0"/>
    <xf numFmtId="244" fontId="10" fillId="0" borderId="0" applyFont="0" applyFill="0" applyBorder="0" applyAlignment="0" applyProtection="0"/>
    <xf numFmtId="245" fontId="10" fillId="0" borderId="0" applyFont="0" applyFill="0" applyBorder="0" applyAlignment="0" applyProtection="0"/>
    <xf numFmtId="0" fontId="149" fillId="0" borderId="0" applyNumberFormat="0">
      <alignment horizontal="left"/>
    </xf>
    <xf numFmtId="0" fontId="142" fillId="0" borderId="0" applyFont="0" applyFill="0" applyBorder="0" applyAlignment="0" applyProtection="0">
      <alignment horizontal="right"/>
    </xf>
    <xf numFmtId="49" fontId="250" fillId="121" borderId="0">
      <alignment horizontal="centerContinuous" vertical="center"/>
    </xf>
    <xf numFmtId="246" fontId="142" fillId="0" borderId="0" applyFont="0" applyFill="0" applyBorder="0" applyAlignment="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1" fontId="10" fillId="0" borderId="0" applyFont="0" applyFill="0" applyBorder="0" applyProtection="0">
      <alignment horizontal="right"/>
    </xf>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2" fillId="83" borderId="0" applyNumberFormat="0" applyBorder="0" applyAlignment="0" applyProtection="0"/>
    <xf numFmtId="0" fontId="251" fillId="83" borderId="0" applyNumberFormat="0" applyBorder="0" applyAlignment="0" applyProtection="0"/>
    <xf numFmtId="0" fontId="252" fillId="93" borderId="0" applyNumberFormat="0" applyBorder="0" applyAlignment="0" applyProtection="0"/>
    <xf numFmtId="0" fontId="252" fillId="93" borderId="0" applyNumberFormat="0" applyBorder="0" applyAlignment="0" applyProtection="0"/>
    <xf numFmtId="0" fontId="78" fillId="158" borderId="0"/>
    <xf numFmtId="0" fontId="251" fillId="93" borderId="0"/>
    <xf numFmtId="0" fontId="251" fillId="83" borderId="0" applyNumberFormat="0" applyBorder="0" applyAlignment="0" applyProtection="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83" borderId="0" applyNumberFormat="0" applyBorder="0" applyAlignment="0" applyProtection="0"/>
    <xf numFmtId="0" fontId="243" fillId="83" borderId="0" applyNumberFormat="0" applyBorder="0" applyAlignment="0" applyProtection="0"/>
    <xf numFmtId="0" fontId="253" fillId="83" borderId="0" applyNumberFormat="0" applyBorder="0" applyAlignment="0" applyProtection="0"/>
    <xf numFmtId="0" fontId="251" fillId="93" borderId="0"/>
    <xf numFmtId="0" fontId="251" fillId="93" borderId="0"/>
    <xf numFmtId="0" fontId="251" fillId="93" borderId="0"/>
    <xf numFmtId="0" fontId="251" fillId="93" borderId="0"/>
    <xf numFmtId="0" fontId="251" fillId="93" borderId="0"/>
    <xf numFmtId="0" fontId="254" fillId="158" borderId="0"/>
    <xf numFmtId="0" fontId="251" fillId="93" borderId="0"/>
    <xf numFmtId="0" fontId="254" fillId="158" borderId="0"/>
    <xf numFmtId="0" fontId="251" fillId="93" borderId="0"/>
    <xf numFmtId="0" fontId="251" fillId="93" borderId="0"/>
    <xf numFmtId="0" fontId="254" fillId="158" borderId="0"/>
    <xf numFmtId="0" fontId="251" fillId="93" borderId="0"/>
    <xf numFmtId="0" fontId="251" fillId="93" borderId="0"/>
    <xf numFmtId="0" fontId="251" fillId="93" borderId="0"/>
    <xf numFmtId="0" fontId="251" fillId="93" borderId="0"/>
    <xf numFmtId="0" fontId="251" fillId="93" borderId="0"/>
    <xf numFmtId="0" fontId="251" fillId="83" borderId="0" applyNumberFormat="0" applyBorder="0" applyAlignment="0" applyProtection="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1" fillId="93" borderId="0"/>
    <xf numFmtId="0" fontId="254" fillId="158" borderId="0"/>
    <xf numFmtId="0" fontId="251" fillId="93" borderId="0"/>
    <xf numFmtId="0" fontId="251" fillId="93" borderId="0"/>
    <xf numFmtId="0" fontId="254" fillId="158" borderId="0"/>
    <xf numFmtId="0" fontId="251" fillId="93" borderId="0"/>
    <xf numFmtId="0" fontId="251" fillId="93" borderId="0"/>
    <xf numFmtId="0" fontId="255" fillId="158" borderId="0"/>
    <xf numFmtId="0" fontId="251" fillId="93" borderId="0"/>
    <xf numFmtId="0" fontId="256" fillId="25" borderId="0" applyNumberFormat="0" applyBorder="0" applyAlignment="0" applyProtection="0"/>
    <xf numFmtId="0" fontId="251" fillId="93" borderId="0"/>
    <xf numFmtId="0" fontId="251" fillId="93" borderId="0"/>
    <xf numFmtId="0" fontId="251" fillId="93" borderId="0"/>
    <xf numFmtId="0" fontId="251" fillId="79" borderId="0" applyNumberFormat="0" applyBorder="0" applyAlignment="0" applyProtection="0"/>
    <xf numFmtId="0" fontId="251" fillId="78" borderId="0"/>
    <xf numFmtId="37" fontId="257" fillId="0" borderId="0"/>
    <xf numFmtId="164" fontId="258" fillId="0" borderId="0"/>
    <xf numFmtId="164" fontId="3" fillId="159" borderId="0"/>
    <xf numFmtId="3" fontId="154" fillId="0" borderId="0" applyFont="0" applyFill="0" applyBorder="0" applyAlignment="0" applyProtection="0"/>
    <xf numFmtId="3" fontId="259" fillId="0" borderId="0"/>
    <xf numFmtId="0" fontId="260" fillId="0" borderId="0"/>
    <xf numFmtId="3" fontId="261" fillId="0" borderId="0"/>
    <xf numFmtId="247" fontId="82" fillId="0" borderId="0"/>
    <xf numFmtId="0" fontId="260" fillId="0" borderId="0"/>
    <xf numFmtId="0" fontId="260" fillId="0" borderId="0"/>
    <xf numFmtId="0" fontId="260" fillId="0" borderId="0"/>
    <xf numFmtId="0" fontId="260" fillId="0" borderId="0"/>
    <xf numFmtId="0" fontId="142"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33" fillId="0" borderId="0" applyFont="0" applyFill="0" applyBorder="0" applyAlignment="0" applyProtection="0"/>
    <xf numFmtId="0" fontId="44"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75" fillId="0" borderId="0"/>
    <xf numFmtId="0" fontId="10" fillId="0" borderId="0">
      <alignment vertical="top"/>
    </xf>
    <xf numFmtId="0" fontId="10" fillId="0" borderId="0">
      <alignment vertical="top"/>
    </xf>
    <xf numFmtId="0" fontId="1" fillId="0" borderId="0"/>
    <xf numFmtId="0" fontId="1" fillId="0" borderId="0"/>
    <xf numFmtId="0" fontId="33" fillId="0" borderId="0" applyFont="0" applyFill="0" applyBorder="0" applyAlignment="0" applyProtection="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4" fillId="0" borderId="0"/>
    <xf numFmtId="0" fontId="1" fillId="0" borderId="0"/>
    <xf numFmtId="0" fontId="1" fillId="0" borderId="0"/>
    <xf numFmtId="0" fontId="1" fillId="0" borderId="0"/>
    <xf numFmtId="0" fontId="75" fillId="0" borderId="0"/>
    <xf numFmtId="182" fontId="33" fillId="0" borderId="0" applyFont="0" applyFill="0" applyBorder="0" applyAlignment="0" applyProtection="0"/>
    <xf numFmtId="238" fontId="44" fillId="0" borderId="0"/>
    <xf numFmtId="0" fontId="10" fillId="0" borderId="0">
      <alignment vertical="top"/>
    </xf>
    <xf numFmtId="0" fontId="10" fillId="0" borderId="0">
      <alignment vertical="top"/>
    </xf>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75" fillId="0" borderId="0"/>
    <xf numFmtId="0" fontId="10" fillId="0" borderId="0">
      <alignment vertical="top"/>
    </xf>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44"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75" fillId="0" borderId="0"/>
    <xf numFmtId="0" fontId="10" fillId="0" borderId="0">
      <alignment vertical="top"/>
    </xf>
    <xf numFmtId="0" fontId="10" fillId="0" borderId="0">
      <alignment vertical="top"/>
    </xf>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alignment vertical="top"/>
    </xf>
    <xf numFmtId="0" fontId="10" fillId="0" borderId="0">
      <alignment vertical="top"/>
    </xf>
    <xf numFmtId="0" fontId="1" fillId="0" borderId="0"/>
    <xf numFmtId="0" fontId="1" fillId="0" borderId="0"/>
    <xf numFmtId="0" fontId="1" fillId="0" borderId="0"/>
    <xf numFmtId="0" fontId="10" fillId="0" borderId="0"/>
    <xf numFmtId="0" fontId="1" fillId="0" borderId="0"/>
    <xf numFmtId="0" fontId="92" fillId="0" borderId="0"/>
    <xf numFmtId="0" fontId="92" fillId="0" borderId="0"/>
    <xf numFmtId="0" fontId="1"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1" fillId="0" borderId="0"/>
    <xf numFmtId="0" fontId="1"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4" fillId="0" borderId="0"/>
    <xf numFmtId="0" fontId="1" fillId="0" borderId="0"/>
    <xf numFmtId="0" fontId="1" fillId="0" borderId="0"/>
    <xf numFmtId="0" fontId="1" fillId="0" borderId="0"/>
    <xf numFmtId="0" fontId="1" fillId="0" borderId="0"/>
    <xf numFmtId="0" fontId="10" fillId="0" borderId="0"/>
    <xf numFmtId="0" fontId="10" fillId="0" borderId="0">
      <alignment vertical="top"/>
    </xf>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0"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44" fillId="0" borderId="0"/>
    <xf numFmtId="0" fontId="1" fillId="0" borderId="0"/>
    <xf numFmtId="0" fontId="1" fillId="0" borderId="0"/>
    <xf numFmtId="0" fontId="1" fillId="0" borderId="0"/>
    <xf numFmtId="0" fontId="10"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top"/>
    </xf>
    <xf numFmtId="0" fontId="44" fillId="0" borderId="0"/>
    <xf numFmtId="0" fontId="1" fillId="0" borderId="0"/>
    <xf numFmtId="0" fontId="10"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0" fillId="0" borderId="0"/>
    <xf numFmtId="0" fontId="10" fillId="0" borderId="0">
      <alignment vertical="top"/>
    </xf>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0" fillId="0" borderId="0"/>
    <xf numFmtId="0" fontId="10" fillId="0" borderId="0"/>
    <xf numFmtId="0" fontId="92" fillId="0" borderId="0"/>
    <xf numFmtId="179" fontId="10" fillId="0" borderId="0">
      <alignment vertical="center"/>
    </xf>
    <xf numFmtId="0" fontId="10" fillId="0" borderId="0">
      <alignment vertical="center"/>
    </xf>
    <xf numFmtId="182" fontId="10" fillId="0" borderId="0">
      <alignment vertical="center"/>
    </xf>
    <xf numFmtId="0" fontId="10" fillId="0" borderId="0"/>
    <xf numFmtId="249" fontId="27" fillId="0" borderId="0" applyProtection="0"/>
    <xf numFmtId="0" fontId="1" fillId="0" borderId="0"/>
    <xf numFmtId="0" fontId="1" fillId="0" borderId="0"/>
    <xf numFmtId="0" fontId="10" fillId="0" borderId="0"/>
    <xf numFmtId="0" fontId="75"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75"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10"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0" fontId="1"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10"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75"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10"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0" fontId="10"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182" fontId="27" fillId="0" borderId="0"/>
    <xf numFmtId="0" fontId="27" fillId="0" borderId="0"/>
    <xf numFmtId="182" fontId="27" fillId="0" borderId="0"/>
    <xf numFmtId="0" fontId="10" fillId="0" borderId="0"/>
    <xf numFmtId="182" fontId="27" fillId="0" borderId="0"/>
    <xf numFmtId="182" fontId="27" fillId="0" borderId="0"/>
    <xf numFmtId="182" fontId="27" fillId="0" borderId="0"/>
    <xf numFmtId="182" fontId="27" fillId="0" borderId="0"/>
    <xf numFmtId="0" fontId="75" fillId="0" borderId="0"/>
    <xf numFmtId="0" fontId="27" fillId="0" borderId="0"/>
    <xf numFmtId="182" fontId="27"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75" fillId="0" borderId="0"/>
    <xf numFmtId="182" fontId="27" fillId="0" borderId="0"/>
    <xf numFmtId="0" fontId="27" fillId="0" borderId="0"/>
    <xf numFmtId="182" fontId="27" fillId="0" borderId="0"/>
    <xf numFmtId="0" fontId="75" fillId="0" borderId="0"/>
    <xf numFmtId="0" fontId="10"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75" fillId="0" borderId="0"/>
    <xf numFmtId="182" fontId="27" fillId="0" borderId="0"/>
    <xf numFmtId="0" fontId="75"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0" fontId="75" fillId="0" borderId="0"/>
    <xf numFmtId="0" fontId="10" fillId="0" borderId="0"/>
    <xf numFmtId="0" fontId="75" fillId="0" borderId="0"/>
    <xf numFmtId="0" fontId="75" fillId="0" borderId="0"/>
    <xf numFmtId="0" fontId="10"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75"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75"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75"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 fillId="0" borderId="0"/>
    <xf numFmtId="0" fontId="1" fillId="0" borderId="0"/>
    <xf numFmtId="0" fontId="1" fillId="0" borderId="0"/>
    <xf numFmtId="0" fontId="1" fillId="0" borderId="0"/>
    <xf numFmtId="0" fontId="10" fillId="0" borderId="0"/>
    <xf numFmtId="0" fontId="75"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179" fontId="1" fillId="0" borderId="0"/>
    <xf numFmtId="0" fontId="27" fillId="0" borderId="0"/>
    <xf numFmtId="0" fontId="10" fillId="0" borderId="0"/>
    <xf numFmtId="0" fontId="262" fillId="0" borderId="0">
      <alignment vertical="center"/>
    </xf>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75" fillId="0" borderId="0"/>
    <xf numFmtId="0" fontId="27" fillId="0" borderId="0"/>
    <xf numFmtId="0" fontId="10" fillId="0" borderId="0"/>
    <xf numFmtId="0" fontId="75" fillId="0" borderId="0"/>
    <xf numFmtId="0" fontId="10" fillId="0" borderId="0"/>
    <xf numFmtId="0" fontId="10" fillId="0" borderId="0"/>
    <xf numFmtId="0" fontId="75" fillId="0" borderId="0"/>
    <xf numFmtId="0" fontId="27" fillId="0" borderId="0"/>
    <xf numFmtId="0" fontId="10"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10"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79" fontId="1"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79" fontId="1"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179" fontId="1" fillId="0" borderId="0"/>
    <xf numFmtId="0" fontId="10" fillId="0" borderId="0"/>
    <xf numFmtId="0" fontId="27" fillId="0" borderId="0"/>
    <xf numFmtId="0" fontId="10" fillId="0" borderId="0"/>
    <xf numFmtId="0" fontId="27" fillId="0" borderId="0"/>
    <xf numFmtId="0" fontId="10" fillId="0" borderId="0"/>
    <xf numFmtId="0" fontId="27" fillId="0" borderId="0"/>
    <xf numFmtId="0" fontId="10" fillId="0" borderId="0"/>
    <xf numFmtId="0" fontId="75" fillId="0" borderId="0"/>
    <xf numFmtId="0" fontId="27" fillId="0" borderId="0"/>
    <xf numFmtId="0" fontId="10" fillId="0" borderId="0"/>
    <xf numFmtId="0" fontId="27" fillId="0" borderId="0"/>
    <xf numFmtId="0" fontId="10"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179" fontId="1"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0" fontId="27" fillId="0" borderId="0"/>
    <xf numFmtId="179" fontId="1"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10" fillId="0" borderId="0"/>
    <xf numFmtId="0" fontId="27" fillId="0" borderId="0"/>
    <xf numFmtId="0" fontId="1"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1" fillId="0" borderId="0"/>
    <xf numFmtId="0" fontId="101" fillId="0" borderId="0"/>
    <xf numFmtId="0" fontId="101" fillId="0" borderId="0"/>
    <xf numFmtId="0" fontId="27" fillId="0" borderId="0"/>
    <xf numFmtId="0" fontId="1" fillId="0" borderId="0"/>
    <xf numFmtId="0" fontId="75" fillId="0" borderId="0"/>
    <xf numFmtId="0" fontId="262" fillId="0" borderId="0">
      <alignment vertical="center"/>
    </xf>
    <xf numFmtId="0" fontId="10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75" fillId="0" borderId="0"/>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0" fontId="10" fillId="0" borderId="0">
      <alignment vertical="center"/>
    </xf>
    <xf numFmtId="0" fontId="1" fillId="0" borderId="0"/>
    <xf numFmtId="0" fontId="27" fillId="0" borderId="0"/>
    <xf numFmtId="0" fontId="75" fillId="0" borderId="0"/>
    <xf numFmtId="0" fontId="262" fillId="0" borderId="0">
      <alignment vertical="center"/>
    </xf>
    <xf numFmtId="0" fontId="1" fillId="0" borderId="0"/>
    <xf numFmtId="0" fontId="1" fillId="0" borderId="0"/>
    <xf numFmtId="0" fontId="52" fillId="0" borderId="0" applyNumberFormat="0" applyFont="0" applyBorder="0" applyProtection="0"/>
    <xf numFmtId="0" fontId="1" fillId="0" borderId="0"/>
    <xf numFmtId="0" fontId="1" fillId="0" borderId="0"/>
    <xf numFmtId="0" fontId="27" fillId="0" borderId="0"/>
    <xf numFmtId="0" fontId="27" fillId="0" borderId="0"/>
    <xf numFmtId="0" fontId="75" fillId="0" borderId="0"/>
    <xf numFmtId="0" fontId="262" fillId="0" borderId="0">
      <alignment vertical="center"/>
    </xf>
    <xf numFmtId="0" fontId="27" fillId="0" borderId="0"/>
    <xf numFmtId="0" fontId="75" fillId="0" borderId="0"/>
    <xf numFmtId="0" fontId="262" fillId="0" borderId="0">
      <alignment vertical="center"/>
    </xf>
    <xf numFmtId="0" fontId="101" fillId="0" borderId="0"/>
    <xf numFmtId="0" fontId="27" fillId="0" borderId="0"/>
    <xf numFmtId="0" fontId="75" fillId="0" borderId="0"/>
    <xf numFmtId="0" fontId="262" fillId="0" borderId="0">
      <alignment vertical="center"/>
    </xf>
    <xf numFmtId="182" fontId="1" fillId="0" borderId="0"/>
    <xf numFmtId="0" fontId="27" fillId="0" borderId="0"/>
    <xf numFmtId="0" fontId="75" fillId="0" borderId="0"/>
    <xf numFmtId="0" fontId="262" fillId="0" borderId="0">
      <alignment vertical="center"/>
    </xf>
    <xf numFmtId="0" fontId="27" fillId="0" borderId="0"/>
    <xf numFmtId="0" fontId="1" fillId="0" borderId="0"/>
    <xf numFmtId="0" fontId="75" fillId="0" borderId="0"/>
    <xf numFmtId="0" fontId="10" fillId="0" borderId="0"/>
    <xf numFmtId="0" fontId="10" fillId="0" borderId="0"/>
    <xf numFmtId="179" fontId="44" fillId="0" borderId="0"/>
    <xf numFmtId="179" fontId="44" fillId="0" borderId="0"/>
    <xf numFmtId="179" fontId="44" fillId="0" borderId="0"/>
    <xf numFmtId="179" fontId="44" fillId="0" borderId="0"/>
    <xf numFmtId="0" fontId="44" fillId="0" borderId="0"/>
    <xf numFmtId="0" fontId="1" fillId="0" borderId="0"/>
    <xf numFmtId="0" fontId="1" fillId="0" borderId="0"/>
    <xf numFmtId="179" fontId="44"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179" fontId="44"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0"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79" fontId="33"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182" fontId="1" fillId="0" borderId="0"/>
    <xf numFmtId="182" fontId="1" fillId="0" borderId="0"/>
    <xf numFmtId="0" fontId="27" fillId="0" borderId="0"/>
    <xf numFmtId="182"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182" fontId="1"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0" fontId="27" fillId="0" borderId="0"/>
    <xf numFmtId="182" fontId="1"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27" fillId="0" borderId="0"/>
    <xf numFmtId="182"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1" fillId="0" borderId="0"/>
    <xf numFmtId="0" fontId="1" fillId="0" borderId="0"/>
    <xf numFmtId="0" fontId="1" fillId="0" borderId="0"/>
    <xf numFmtId="0"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182"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182"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0" fontId="27" fillId="0" borderId="0"/>
    <xf numFmtId="182"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0" fontId="27" fillId="0" borderId="0"/>
    <xf numFmtId="0"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0" fontId="27" fillId="0" borderId="0"/>
    <xf numFmtId="182" fontId="1" fillId="0" borderId="0"/>
    <xf numFmtId="0" fontId="27" fillId="0" borderId="0"/>
    <xf numFmtId="182"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182"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182" fontId="1"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182" fontId="1" fillId="0" borderId="0"/>
    <xf numFmtId="179"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79"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179" fontId="33"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0" fillId="0" borderId="0"/>
    <xf numFmtId="182" fontId="33" fillId="0" borderId="0"/>
    <xf numFmtId="0" fontId="262" fillId="0" borderId="0">
      <alignment vertical="center"/>
    </xf>
    <xf numFmtId="179" fontId="33" fillId="0" borderId="0"/>
    <xf numFmtId="0" fontId="27" fillId="0" borderId="0"/>
    <xf numFmtId="0" fontId="27" fillId="0" borderId="0"/>
    <xf numFmtId="0" fontId="27" fillId="0" borderId="0"/>
    <xf numFmtId="0" fontId="27" fillId="0" borderId="0"/>
    <xf numFmtId="0" fontId="27" fillId="0" borderId="0"/>
    <xf numFmtId="179" fontId="33"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179"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44"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179" fontId="44"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0" fillId="0" borderId="0"/>
    <xf numFmtId="179"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179" fontId="44" fillId="0" borderId="0"/>
    <xf numFmtId="0" fontId="44"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179" fontId="44" fillId="0" borderId="0"/>
    <xf numFmtId="179" fontId="44"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179" fontId="44"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179"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44" fillId="0" borderId="0"/>
    <xf numFmtId="179" fontId="44"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79" fontId="44" fillId="0" borderId="0"/>
    <xf numFmtId="179" fontId="44" fillId="0" borderId="0"/>
    <xf numFmtId="0" fontId="1" fillId="0" borderId="0"/>
    <xf numFmtId="0" fontId="1" fillId="0" borderId="0"/>
    <xf numFmtId="0" fontId="1" fillId="0" borderId="0"/>
    <xf numFmtId="0" fontId="1" fillId="0" borderId="0"/>
    <xf numFmtId="182" fontId="27" fillId="0" borderId="0"/>
    <xf numFmtId="182"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79" fontId="44"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179" fontId="44"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44" fillId="0" borderId="0"/>
    <xf numFmtId="179" fontId="44"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75" fillId="0" borderId="0"/>
    <xf numFmtId="0" fontId="27" fillId="0" borderId="0"/>
    <xf numFmtId="0" fontId="75" fillId="0" borderId="0"/>
    <xf numFmtId="0" fontId="27" fillId="0" borderId="0"/>
    <xf numFmtId="0" fontId="75" fillId="0" borderId="0"/>
    <xf numFmtId="0" fontId="27" fillId="0" borderId="0"/>
    <xf numFmtId="0" fontId="1" fillId="0" borderId="0"/>
    <xf numFmtId="0" fontId="75"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75" fillId="0" borderId="0"/>
    <xf numFmtId="0" fontId="27" fillId="0" borderId="0"/>
    <xf numFmtId="0" fontId="75" fillId="0" borderId="0"/>
    <xf numFmtId="0" fontId="27" fillId="0" borderId="0"/>
    <xf numFmtId="0" fontId="1" fillId="0" borderId="0"/>
    <xf numFmtId="0" fontId="1" fillId="0" borderId="0"/>
    <xf numFmtId="0" fontId="1" fillId="0" borderId="0"/>
    <xf numFmtId="0" fontId="75"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75" fillId="0" borderId="0"/>
    <xf numFmtId="0" fontId="27" fillId="0" borderId="0"/>
    <xf numFmtId="0" fontId="10" fillId="0" borderId="0"/>
    <xf numFmtId="0" fontId="27" fillId="0" borderId="0"/>
    <xf numFmtId="0" fontId="10" fillId="0" borderId="0"/>
    <xf numFmtId="0" fontId="1" fillId="0" borderId="0"/>
    <xf numFmtId="0" fontId="75"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75" fillId="0" borderId="0"/>
    <xf numFmtId="0" fontId="1" fillId="0" borderId="0"/>
    <xf numFmtId="0" fontId="1" fillId="0" borderId="0"/>
    <xf numFmtId="0" fontId="1" fillId="0" borderId="0"/>
    <xf numFmtId="0" fontId="1"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0" fontId="10" fillId="0" borderId="0"/>
    <xf numFmtId="0" fontId="75" fillId="0" borderId="0"/>
    <xf numFmtId="0" fontId="262" fillId="0" borderId="0">
      <alignment vertical="center"/>
    </xf>
    <xf numFmtId="0" fontId="82"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75"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75"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1" fillId="0" borderId="0"/>
    <xf numFmtId="0" fontId="75" fillId="0" borderId="0"/>
    <xf numFmtId="0" fontId="1"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75" fillId="0" borderId="0"/>
    <xf numFmtId="0" fontId="27" fillId="0" borderId="0"/>
    <xf numFmtId="0" fontId="1" fillId="0" borderId="0"/>
    <xf numFmtId="0" fontId="75" fillId="0" borderId="0"/>
    <xf numFmtId="0" fontId="27" fillId="0" borderId="0"/>
    <xf numFmtId="0" fontId="1" fillId="0" borderId="0"/>
    <xf numFmtId="0" fontId="75" fillId="0" borderId="0"/>
    <xf numFmtId="0" fontId="27" fillId="0" borderId="0"/>
    <xf numFmtId="0" fontId="1" fillId="0" borderId="0"/>
    <xf numFmtId="0" fontId="75" fillId="0" borderId="0"/>
    <xf numFmtId="0" fontId="27" fillId="0" borderId="0"/>
    <xf numFmtId="0" fontId="75" fillId="0" borderId="0"/>
    <xf numFmtId="0" fontId="27" fillId="0" borderId="0"/>
    <xf numFmtId="0" fontId="75" fillId="0" borderId="0"/>
    <xf numFmtId="0" fontId="10" fillId="0" borderId="0"/>
    <xf numFmtId="0" fontId="27" fillId="0" borderId="0"/>
    <xf numFmtId="0" fontId="75" fillId="0" borderId="0"/>
    <xf numFmtId="0" fontId="75" fillId="0" borderId="0"/>
    <xf numFmtId="0" fontId="10" fillId="0" borderId="0"/>
    <xf numFmtId="0" fontId="262" fillId="0" borderId="0">
      <alignment vertical="center"/>
    </xf>
    <xf numFmtId="0" fontId="27" fillId="0" borderId="0"/>
    <xf numFmtId="0" fontId="75" fillId="0" borderId="0"/>
    <xf numFmtId="0" fontId="27" fillId="0" borderId="0"/>
    <xf numFmtId="0" fontId="75" fillId="0" borderId="0"/>
    <xf numFmtId="18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182" fontId="27" fillId="0" borderId="0"/>
    <xf numFmtId="0" fontId="27" fillId="0" borderId="0"/>
    <xf numFmtId="0" fontId="1"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44" fillId="0" borderId="0"/>
    <xf numFmtId="0" fontId="75" fillId="0" borderId="0"/>
    <xf numFmtId="0" fontId="262" fillId="0" borderId="0">
      <alignment vertical="center"/>
    </xf>
    <xf numFmtId="0" fontId="30" fillId="0" borderId="0"/>
    <xf numFmtId="0" fontId="27"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27" fillId="0" borderId="0"/>
    <xf numFmtId="0" fontId="75" fillId="0" borderId="0"/>
    <xf numFmtId="0" fontId="10" fillId="0" borderId="0"/>
    <xf numFmtId="0" fontId="27" fillId="0" borderId="0"/>
    <xf numFmtId="0" fontId="75" fillId="0" borderId="0"/>
    <xf numFmtId="0" fontId="27" fillId="0" borderId="0"/>
    <xf numFmtId="0" fontId="75" fillId="0" borderId="0"/>
    <xf numFmtId="0" fontId="27" fillId="0" borderId="0"/>
    <xf numFmtId="182" fontId="27" fillId="0" borderId="0"/>
    <xf numFmtId="0" fontId="27" fillId="0" borderId="0"/>
    <xf numFmtId="182" fontId="27" fillId="0" borderId="0"/>
    <xf numFmtId="0" fontId="1" fillId="0" borderId="0"/>
    <xf numFmtId="182" fontId="27" fillId="0" borderId="0"/>
    <xf numFmtId="0" fontId="1" fillId="0" borderId="0"/>
    <xf numFmtId="182" fontId="27" fillId="0" borderId="0"/>
    <xf numFmtId="0" fontId="1" fillId="0" borderId="0"/>
    <xf numFmtId="182" fontId="27" fillId="0" borderId="0"/>
    <xf numFmtId="182" fontId="27" fillId="0" borderId="0"/>
    <xf numFmtId="0" fontId="1" fillId="0" borderId="0"/>
    <xf numFmtId="0" fontId="1" fillId="0" borderId="0"/>
    <xf numFmtId="0" fontId="1" fillId="0" borderId="0"/>
    <xf numFmtId="0" fontId="27" fillId="0" borderId="0"/>
    <xf numFmtId="182" fontId="27" fillId="0" borderId="0"/>
    <xf numFmtId="0" fontId="27" fillId="0" borderId="0"/>
    <xf numFmtId="0" fontId="27" fillId="0" borderId="0"/>
    <xf numFmtId="179" fontId="1" fillId="0" borderId="0"/>
    <xf numFmtId="0" fontId="75" fillId="0" borderId="0"/>
    <xf numFmtId="182" fontId="10" fillId="0" borderId="0">
      <alignment vertical="center"/>
    </xf>
    <xf numFmtId="0" fontId="262"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79" fontId="1" fillId="0" borderId="0"/>
    <xf numFmtId="0" fontId="10" fillId="0" borderId="0">
      <alignment vertical="center"/>
    </xf>
    <xf numFmtId="0" fontId="10" fillId="0" borderId="0"/>
    <xf numFmtId="0" fontId="262" fillId="0" borderId="0">
      <alignment vertical="center"/>
    </xf>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179" fontId="1" fillId="0" borderId="0"/>
    <xf numFmtId="0" fontId="75" fillId="0" borderId="0"/>
    <xf numFmtId="0" fontId="262" fillId="0" borderId="0">
      <alignment vertical="center"/>
    </xf>
    <xf numFmtId="0" fontId="27" fillId="0" borderId="0"/>
    <xf numFmtId="182" fontId="1" fillId="0" borderId="0"/>
    <xf numFmtId="182" fontId="1" fillId="0" borderId="0"/>
    <xf numFmtId="182" fontId="1"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182" fontId="1" fillId="0" borderId="0"/>
    <xf numFmtId="182" fontId="1" fillId="0" borderId="0"/>
    <xf numFmtId="182" fontId="1"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0" fontId="27" fillId="0" borderId="0"/>
    <xf numFmtId="0" fontId="27" fillId="0" borderId="0"/>
    <xf numFmtId="0" fontId="27" fillId="0" borderId="0"/>
    <xf numFmtId="0" fontId="27" fillId="0" borderId="0"/>
    <xf numFmtId="0" fontId="27" fillId="0" borderId="0"/>
    <xf numFmtId="0" fontId="27" fillId="0" borderId="0"/>
    <xf numFmtId="182" fontId="1" fillId="0" borderId="0"/>
    <xf numFmtId="182" fontId="1" fillId="0" borderId="0"/>
    <xf numFmtId="182" fontId="1" fillId="0" borderId="0"/>
    <xf numFmtId="182" fontId="1" fillId="0" borderId="0"/>
    <xf numFmtId="0" fontId="75"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0" fillId="0" borderId="0"/>
    <xf numFmtId="0" fontId="10" fillId="0" borderId="0">
      <alignment vertical="top"/>
    </xf>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27" fillId="0" borderId="0"/>
    <xf numFmtId="0" fontId="52" fillId="0" borderId="0"/>
    <xf numFmtId="0" fontId="75" fillId="0" borderId="0"/>
    <xf numFmtId="0" fontId="75" fillId="0" borderId="0"/>
    <xf numFmtId="0" fontId="10" fillId="0" borderId="0"/>
    <xf numFmtId="0" fontId="10" fillId="0" borderId="0"/>
    <xf numFmtId="0" fontId="1" fillId="0" borderId="0"/>
    <xf numFmtId="0" fontId="1" fillId="0" borderId="0"/>
    <xf numFmtId="0" fontId="3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92" fillId="0" borderId="0"/>
    <xf numFmtId="0" fontId="1" fillId="0" borderId="0"/>
    <xf numFmtId="0" fontId="1" fillId="0" borderId="0"/>
    <xf numFmtId="0" fontId="44" fillId="0" borderId="0"/>
    <xf numFmtId="0" fontId="1" fillId="0" borderId="0"/>
    <xf numFmtId="0" fontId="1" fillId="0" borderId="0"/>
    <xf numFmtId="0" fontId="10" fillId="0" borderId="0"/>
    <xf numFmtId="0" fontId="1" fillId="0" borderId="0"/>
    <xf numFmtId="0" fontId="92"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8" fontId="1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0" fillId="0" borderId="0"/>
    <xf numFmtId="178" fontId="10" fillId="0" borderId="0" applyFill="0" applyBorder="0" applyAlignment="0" applyProtection="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8" fontId="1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179" fontId="44" fillId="0" borderId="0"/>
    <xf numFmtId="179" fontId="44" fillId="0" borderId="0"/>
    <xf numFmtId="0" fontId="75" fillId="0" borderId="0"/>
    <xf numFmtId="0" fontId="262" fillId="0" borderId="0">
      <alignment vertical="center"/>
    </xf>
    <xf numFmtId="179" fontId="44" fillId="0" borderId="0"/>
    <xf numFmtId="0" fontId="1" fillId="0" borderId="0"/>
    <xf numFmtId="0" fontId="75" fillId="0" borderId="0"/>
    <xf numFmtId="0" fontId="10" fillId="0" borderId="0"/>
    <xf numFmtId="179" fontId="44" fillId="0" borderId="0"/>
    <xf numFmtId="0" fontId="1" fillId="0" borderId="0"/>
    <xf numFmtId="0" fontId="75"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44" fillId="0" borderId="0"/>
    <xf numFmtId="0" fontId="1" fillId="0" borderId="0"/>
    <xf numFmtId="0" fontId="75" fillId="0" borderId="0"/>
    <xf numFmtId="182" fontId="1" fillId="0" borderId="0"/>
    <xf numFmtId="0" fontId="1" fillId="0" borderId="0"/>
    <xf numFmtId="0" fontId="75" fillId="0" borderId="0"/>
    <xf numFmtId="182" fontId="1" fillId="0" borderId="0"/>
    <xf numFmtId="0" fontId="1" fillId="0" borderId="0"/>
    <xf numFmtId="0" fontId="75" fillId="0" borderId="0"/>
    <xf numFmtId="182" fontId="1" fillId="0" borderId="0"/>
    <xf numFmtId="0" fontId="1" fillId="0" borderId="0"/>
    <xf numFmtId="0" fontId="75" fillId="0" borderId="0"/>
    <xf numFmtId="182" fontId="1" fillId="0" borderId="0"/>
    <xf numFmtId="0" fontId="75" fillId="0" borderId="0"/>
    <xf numFmtId="182" fontId="1" fillId="0" borderId="0"/>
    <xf numFmtId="0" fontId="75" fillId="0" borderId="0"/>
    <xf numFmtId="182" fontId="1" fillId="0" borderId="0"/>
    <xf numFmtId="0" fontId="75" fillId="0" borderId="0"/>
    <xf numFmtId="0" fontId="25" fillId="0" borderId="0"/>
    <xf numFmtId="179" fontId="33" fillId="0" borderId="0" applyFont="0" applyFill="0" applyBorder="0" applyAlignment="0" applyProtection="0"/>
    <xf numFmtId="182" fontId="44" fillId="0" borderId="0"/>
    <xf numFmtId="182" fontId="44" fillId="0" borderId="0"/>
    <xf numFmtId="182" fontId="33" fillId="0" borderId="0" applyFont="0" applyFill="0" applyBorder="0" applyAlignment="0" applyProtection="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0" fontId="10" fillId="0" borderId="0"/>
    <xf numFmtId="0" fontId="10"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0" fontId="75"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0" fontId="10"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0" fontId="75" fillId="0" borderId="0"/>
    <xf numFmtId="0" fontId="262" fillId="0" borderId="0">
      <alignment vertical="center"/>
    </xf>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79" fontId="44" fillId="0" borderId="0"/>
    <xf numFmtId="182" fontId="44" fillId="0" borderId="0"/>
    <xf numFmtId="182" fontId="44" fillId="0" borderId="0"/>
    <xf numFmtId="0" fontId="75"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79"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79"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44" fillId="0" borderId="0"/>
    <xf numFmtId="179"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79"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79"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79"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1" fillId="0" borderId="0"/>
    <xf numFmtId="0" fontId="1" fillId="0" borderId="0"/>
    <xf numFmtId="0" fontId="1" fillId="0" borderId="0"/>
    <xf numFmtId="0" fontId="1" fillId="0" borderId="0"/>
    <xf numFmtId="0" fontId="1" fillId="0" borderId="0"/>
    <xf numFmtId="0" fontId="1" fillId="0" borderId="0"/>
    <xf numFmtId="182"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182" fontId="44" fillId="0" borderId="0"/>
    <xf numFmtId="182" fontId="44" fillId="0" borderId="0"/>
    <xf numFmtId="182" fontId="44" fillId="0" borderId="0"/>
    <xf numFmtId="182" fontId="44" fillId="0" borderId="0"/>
    <xf numFmtId="182" fontId="44" fillId="0" borderId="0"/>
    <xf numFmtId="182" fontId="44" fillId="0" borderId="0"/>
    <xf numFmtId="0" fontId="75"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75" fillId="0" borderId="0"/>
    <xf numFmtId="182" fontId="1" fillId="0" borderId="0"/>
    <xf numFmtId="0" fontId="75" fillId="0" borderId="0"/>
    <xf numFmtId="182" fontId="1" fillId="0" borderId="0"/>
    <xf numFmtId="0" fontId="75" fillId="0" borderId="0"/>
    <xf numFmtId="182" fontId="1" fillId="0" borderId="0"/>
    <xf numFmtId="0" fontId="75" fillId="0" borderId="0"/>
    <xf numFmtId="182" fontId="1" fillId="0" borderId="0"/>
    <xf numFmtId="0" fontId="75" fillId="0" borderId="0"/>
    <xf numFmtId="182" fontId="1" fillId="0" borderId="0"/>
    <xf numFmtId="0" fontId="75" fillId="0" borderId="0"/>
    <xf numFmtId="182" fontId="44" fillId="0" borderId="0"/>
    <xf numFmtId="0" fontId="75" fillId="0" borderId="0"/>
    <xf numFmtId="182" fontId="44" fillId="0" borderId="0"/>
    <xf numFmtId="0" fontId="75" fillId="0" borderId="0"/>
    <xf numFmtId="0" fontId="10" fillId="0" borderId="0"/>
    <xf numFmtId="182" fontId="44" fillId="0" borderId="0"/>
    <xf numFmtId="0" fontId="75" fillId="0" borderId="0"/>
    <xf numFmtId="0" fontId="25"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1" fillId="0" borderId="0"/>
    <xf numFmtId="0" fontId="1" fillId="0" borderId="0"/>
    <xf numFmtId="179" fontId="33" fillId="0" borderId="0" applyFont="0" applyFill="0" applyBorder="0" applyAlignment="0" applyProtection="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 fillId="0" borderId="0"/>
    <xf numFmtId="0" fontId="1" fillId="0" borderId="0"/>
    <xf numFmtId="0" fontId="75" fillId="0" borderId="0"/>
    <xf numFmtId="0" fontId="262" fillId="0" borderId="0">
      <alignment vertical="center"/>
    </xf>
    <xf numFmtId="0" fontId="19" fillId="0" borderId="0"/>
    <xf numFmtId="179" fontId="33" fillId="0" borderId="0" applyFont="0" applyFill="0" applyBorder="0" applyAlignment="0" applyProtection="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79" fontId="33" fillId="0" borderId="0" applyFont="0" applyFill="0" applyBorder="0" applyAlignment="0" applyProtection="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182" fontId="44" fillId="0" borderId="0"/>
    <xf numFmtId="0" fontId="75" fillId="0" borderId="0"/>
    <xf numFmtId="182" fontId="44" fillId="0" borderId="0"/>
    <xf numFmtId="0" fontId="44" fillId="0" borderId="0"/>
    <xf numFmtId="182" fontId="44" fillId="0" borderId="0"/>
    <xf numFmtId="182" fontId="44" fillId="0" borderId="0"/>
    <xf numFmtId="182" fontId="44" fillId="0" borderId="0"/>
    <xf numFmtId="182" fontId="44" fillId="0" borderId="0"/>
    <xf numFmtId="0" fontId="1" fillId="0" borderId="0"/>
    <xf numFmtId="0" fontId="1" fillId="0" borderId="0"/>
    <xf numFmtId="0" fontId="1"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75" fillId="0" borderId="0"/>
    <xf numFmtId="0" fontId="262" fillId="0" borderId="0">
      <alignment vertical="center"/>
    </xf>
    <xf numFmtId="0" fontId="10" fillId="0" borderId="0"/>
    <xf numFmtId="0" fontId="1" fillId="0" borderId="0"/>
    <xf numFmtId="182" fontId="44" fillId="0" borderId="0"/>
    <xf numFmtId="0" fontId="75" fillId="0" borderId="0"/>
    <xf numFmtId="0" fontId="1" fillId="0" borderId="0"/>
    <xf numFmtId="0" fontId="1" fillId="0" borderId="0"/>
    <xf numFmtId="0" fontId="149" fillId="0" borderId="0"/>
    <xf numFmtId="0" fontId="27" fillId="0" borderId="0"/>
    <xf numFmtId="179" fontId="10" fillId="0" borderId="0"/>
    <xf numFmtId="0" fontId="1" fillId="0" borderId="0"/>
    <xf numFmtId="0" fontId="1" fillId="0" borderId="0"/>
    <xf numFmtId="0" fontId="1" fillId="0" borderId="0"/>
    <xf numFmtId="0" fontId="1" fillId="0" borderId="0"/>
    <xf numFmtId="0" fontId="1" fillId="0" borderId="0"/>
    <xf numFmtId="0" fontId="75" fillId="0" borderId="0"/>
    <xf numFmtId="0" fontId="262" fillId="0" borderId="0">
      <alignment vertical="center"/>
    </xf>
    <xf numFmtId="179"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262" fillId="0" borderId="0">
      <alignment vertical="center"/>
    </xf>
    <xf numFmtId="179"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75" fillId="0" borderId="0"/>
    <xf numFmtId="0" fontId="262" fillId="0" borderId="0">
      <alignment vertical="center"/>
    </xf>
    <xf numFmtId="179" fontId="1" fillId="0" borderId="0"/>
    <xf numFmtId="0" fontId="44" fillId="0" borderId="0"/>
    <xf numFmtId="0" fontId="1" fillId="0" borderId="0"/>
    <xf numFmtId="0" fontId="75" fillId="0" borderId="0"/>
    <xf numFmtId="0" fontId="262" fillId="0" borderId="0">
      <alignment vertical="center"/>
    </xf>
    <xf numFmtId="179" fontId="1" fillId="0" borderId="0"/>
    <xf numFmtId="0" fontId="1" fillId="0" borderId="0"/>
    <xf numFmtId="0" fontId="75" fillId="0" borderId="0"/>
    <xf numFmtId="0" fontId="44" fillId="0" borderId="0"/>
    <xf numFmtId="0" fontId="262" fillId="0" borderId="0">
      <alignment vertical="center"/>
    </xf>
    <xf numFmtId="0" fontId="262" fillId="0" borderId="0">
      <alignment vertical="center"/>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75" fillId="0" borderId="0"/>
    <xf numFmtId="0" fontId="10" fillId="0" borderId="0"/>
    <xf numFmtId="0" fontId="10" fillId="0" borderId="0"/>
    <xf numFmtId="0" fontId="10" fillId="0" borderId="0"/>
    <xf numFmtId="0" fontId="101" fillId="0" borderId="0"/>
    <xf numFmtId="0" fontId="101" fillId="0" borderId="0"/>
    <xf numFmtId="0" fontId="1" fillId="0" borderId="0"/>
    <xf numFmtId="0" fontId="44" fillId="0" borderId="0"/>
    <xf numFmtId="0" fontId="44" fillId="0" borderId="0"/>
    <xf numFmtId="0" fontId="44" fillId="0" borderId="0"/>
    <xf numFmtId="0" fontId="44" fillId="0" borderId="0"/>
    <xf numFmtId="0" fontId="44"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0" fontId="1" fillId="0" borderId="0"/>
    <xf numFmtId="0" fontId="1" fillId="0" borderId="0"/>
    <xf numFmtId="18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 fillId="0" borderId="0"/>
    <xf numFmtId="0" fontId="1" fillId="0" borderId="0"/>
    <xf numFmtId="0" fontId="10"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27" fillId="0" borderId="0"/>
    <xf numFmtId="0" fontId="1" fillId="0" borderId="0"/>
    <xf numFmtId="0" fontId="1" fillId="0" borderId="0"/>
    <xf numFmtId="0" fontId="89"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0" fontId="1" fillId="0" borderId="0"/>
    <xf numFmtId="0" fontId="1" fillId="0" borderId="0"/>
    <xf numFmtId="182"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182"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182" fontId="1" fillId="0" borderId="0"/>
    <xf numFmtId="0" fontId="1" fillId="0" borderId="0"/>
    <xf numFmtId="0" fontId="1" fillId="0" borderId="0"/>
    <xf numFmtId="0" fontId="1" fillId="0" borderId="0"/>
    <xf numFmtId="0" fontId="1" fillId="0" borderId="0"/>
    <xf numFmtId="0" fontId="1" fillId="0" borderId="0"/>
    <xf numFmtId="0" fontId="10" fillId="0" borderId="0"/>
    <xf numFmtId="182" fontId="1" fillId="0" borderId="0"/>
    <xf numFmtId="0" fontId="1" fillId="0" borderId="0"/>
    <xf numFmtId="0" fontId="1" fillId="0" borderId="0"/>
    <xf numFmtId="0" fontId="1" fillId="0" borderId="0"/>
    <xf numFmtId="0" fontId="1" fillId="0" borderId="0"/>
    <xf numFmtId="0" fontId="1" fillId="0" borderId="0"/>
    <xf numFmtId="0" fontId="262" fillId="0" borderId="0">
      <alignment vertical="center"/>
    </xf>
    <xf numFmtId="0" fontId="143"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0" fillId="0" borderId="0"/>
    <xf numFmtId="18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65" fontId="10" fillId="0" borderId="0"/>
    <xf numFmtId="0" fontId="262" fillId="0" borderId="0">
      <alignment vertical="center"/>
    </xf>
    <xf numFmtId="165" fontId="10" fillId="0" borderId="0"/>
    <xf numFmtId="0" fontId="75" fillId="0" borderId="0"/>
    <xf numFmtId="0" fontId="75" fillId="0" borderId="0"/>
    <xf numFmtId="0" fontId="26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4" fillId="0" borderId="0"/>
    <xf numFmtId="179" fontId="44" fillId="0" borderId="0"/>
    <xf numFmtId="0" fontId="10" fillId="0" borderId="0">
      <alignment vertical="center"/>
    </xf>
    <xf numFmtId="0" fontId="262" fillId="0" borderId="0">
      <alignment vertical="center"/>
    </xf>
    <xf numFmtId="0" fontId="1" fillId="0" borderId="0"/>
    <xf numFmtId="0" fontId="10" fillId="0" borderId="0"/>
    <xf numFmtId="0" fontId="10" fillId="0" borderId="0">
      <alignment vertical="center"/>
    </xf>
    <xf numFmtId="0" fontId="1" fillId="0" borderId="0"/>
    <xf numFmtId="0" fontId="44" fillId="0" borderId="0"/>
    <xf numFmtId="0" fontId="10" fillId="0" borderId="0">
      <alignment vertical="top"/>
    </xf>
    <xf numFmtId="179" fontId="44" fillId="0" borderId="0"/>
    <xf numFmtId="179" fontId="44" fillId="0" borderId="0"/>
    <xf numFmtId="0" fontId="262" fillId="0" borderId="0">
      <alignment vertical="center"/>
    </xf>
    <xf numFmtId="179" fontId="44" fillId="0" borderId="0"/>
    <xf numFmtId="179" fontId="44" fillId="0" borderId="0"/>
    <xf numFmtId="0" fontId="262" fillId="0" borderId="0">
      <alignment vertical="center"/>
    </xf>
    <xf numFmtId="179" fontId="44" fillId="0" borderId="0"/>
    <xf numFmtId="179" fontId="44" fillId="0" borderId="0"/>
    <xf numFmtId="0" fontId="75" fillId="0" borderId="0"/>
    <xf numFmtId="0" fontId="1" fillId="0" borderId="0"/>
    <xf numFmtId="0" fontId="1" fillId="0" borderId="0"/>
    <xf numFmtId="0" fontId="1" fillId="0" borderId="0"/>
    <xf numFmtId="0" fontId="262" fillId="0" borderId="0">
      <alignment vertical="center"/>
    </xf>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1" fillId="0" borderId="0"/>
    <xf numFmtId="0" fontId="10"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0" fillId="0" borderId="0"/>
    <xf numFmtId="0" fontId="262" fillId="0" borderId="0">
      <alignment vertical="center"/>
    </xf>
    <xf numFmtId="0" fontId="75" fillId="0" borderId="0"/>
    <xf numFmtId="0" fontId="26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lignment vertical="center"/>
    </xf>
    <xf numFmtId="0" fontId="262" fillId="0" borderId="0">
      <alignment vertical="center"/>
    </xf>
    <xf numFmtId="0" fontId="1" fillId="0" borderId="0"/>
    <xf numFmtId="0" fontId="10" fillId="0" borderId="0"/>
    <xf numFmtId="0" fontId="10" fillId="0" borderId="0">
      <alignment vertical="top"/>
    </xf>
    <xf numFmtId="0" fontId="10" fillId="0" borderId="0">
      <alignment vertical="top"/>
    </xf>
    <xf numFmtId="0" fontId="1" fillId="0" borderId="0"/>
    <xf numFmtId="0" fontId="262" fillId="0" borderId="0">
      <alignment vertical="center"/>
    </xf>
    <xf numFmtId="0" fontId="1" fillId="0" borderId="0"/>
    <xf numFmtId="0" fontId="262" fillId="0" borderId="0">
      <alignment vertical="center"/>
    </xf>
    <xf numFmtId="0" fontId="1" fillId="0" borderId="0"/>
    <xf numFmtId="0" fontId="10" fillId="0" borderId="0"/>
    <xf numFmtId="0" fontId="1" fillId="0" borderId="0"/>
    <xf numFmtId="0" fontId="1" fillId="0" borderId="0"/>
    <xf numFmtId="0" fontId="1" fillId="0" borderId="0"/>
    <xf numFmtId="0" fontId="262" fillId="0" borderId="0">
      <alignment vertical="center"/>
    </xf>
    <xf numFmtId="0" fontId="1" fillId="0" borderId="0"/>
    <xf numFmtId="0" fontId="1" fillId="0" borderId="0"/>
    <xf numFmtId="0" fontId="10" fillId="0" borderId="0"/>
    <xf numFmtId="0" fontId="1" fillId="0" borderId="0"/>
    <xf numFmtId="182"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165" fontId="75" fillId="0" borderId="0"/>
    <xf numFmtId="0" fontId="75" fillId="0" borderId="0"/>
    <xf numFmtId="0" fontId="10" fillId="0" borderId="0">
      <alignment vertical="top"/>
    </xf>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4" fillId="0" borderId="0"/>
    <xf numFmtId="179" fontId="10" fillId="0" borderId="0">
      <alignment vertical="center"/>
    </xf>
    <xf numFmtId="0" fontId="1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5" fillId="0" borderId="0"/>
    <xf numFmtId="0" fontId="75" fillId="0" borderId="0"/>
    <xf numFmtId="0" fontId="10" fillId="0" borderId="0">
      <alignment vertical="top"/>
    </xf>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44" fillId="0" borderId="0"/>
    <xf numFmtId="0" fontId="75" fillId="0" borderId="0"/>
    <xf numFmtId="179"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165" fontId="75" fillId="0" borderId="0"/>
    <xf numFmtId="0" fontId="75" fillId="0" borderId="0"/>
    <xf numFmtId="0" fontId="89" fillId="0" borderId="0"/>
    <xf numFmtId="0" fontId="10" fillId="0" borderId="0">
      <alignment vertical="top"/>
    </xf>
    <xf numFmtId="0" fontId="1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95" fillId="0" borderId="194">
      <alignment horizontal="right" vertical="center"/>
    </xf>
    <xf numFmtId="0" fontId="95" fillId="0" borderId="194"/>
    <xf numFmtId="0" fontId="94" fillId="57" borderId="0" applyNumberFormat="0" applyFont="0" applyBorder="0" applyAlignment="0" applyProtection="0"/>
    <xf numFmtId="0" fontId="94" fillId="57" borderId="0" applyNumberFormat="0" applyFont="0" applyBorder="0" applyAlignment="0" applyProtection="0"/>
    <xf numFmtId="0" fontId="263" fillId="4" borderId="0"/>
    <xf numFmtId="250" fontId="19" fillId="0" borderId="0" applyFont="0" applyFill="0" applyBorder="0" applyAlignment="0" applyProtection="0"/>
    <xf numFmtId="251" fontId="19" fillId="0" borderId="0" applyFont="0" applyFill="0" applyBorder="0" applyAlignment="0" applyProtection="0"/>
    <xf numFmtId="252" fontId="19" fillId="0" borderId="0" applyFont="0" applyFill="0" applyBorder="0" applyAlignment="0" applyProtection="0"/>
    <xf numFmtId="253" fontId="19" fillId="0" borderId="0" applyFont="0" applyFill="0" applyBorder="0" applyAlignment="0" applyProtection="0"/>
    <xf numFmtId="0" fontId="10" fillId="0" borderId="0"/>
    <xf numFmtId="0" fontId="10" fillId="0" borderId="0"/>
    <xf numFmtId="0" fontId="10" fillId="79" borderId="211" applyNumberFormat="0" applyFont="0" applyAlignment="0" applyProtection="0"/>
    <xf numFmtId="0" fontId="10" fillId="79" borderId="211" applyNumberFormat="0" applyFont="0" applyAlignment="0" applyProtection="0"/>
    <xf numFmtId="0" fontId="10" fillId="79" borderId="211" applyNumberFormat="0" applyFont="0" applyAlignment="0" applyProtection="0"/>
    <xf numFmtId="0" fontId="10" fillId="79" borderId="211" applyNumberFormat="0" applyFont="0" applyAlignment="0" applyProtection="0"/>
    <xf numFmtId="0" fontId="27" fillId="72" borderId="181"/>
    <xf numFmtId="0" fontId="44" fillId="160" borderId="169"/>
    <xf numFmtId="0" fontId="27" fillId="72" borderId="181"/>
    <xf numFmtId="0" fontId="44" fillId="160" borderId="169"/>
    <xf numFmtId="0" fontId="27" fillId="72" borderId="181"/>
    <xf numFmtId="0" fontId="44" fillId="160" borderId="169"/>
    <xf numFmtId="0" fontId="27" fillId="72" borderId="181"/>
    <xf numFmtId="0" fontId="44" fillId="160" borderId="169"/>
    <xf numFmtId="0" fontId="27" fillId="72" borderId="181"/>
    <xf numFmtId="0" fontId="1" fillId="160" borderId="169"/>
    <xf numFmtId="0" fontId="1" fillId="160" borderId="169"/>
    <xf numFmtId="0" fontId="1" fillId="160" borderId="169"/>
    <xf numFmtId="0" fontId="1" fillId="160" borderId="169"/>
    <xf numFmtId="0" fontId="1" fillId="160" borderId="169"/>
    <xf numFmtId="0" fontId="27" fillId="72" borderId="181"/>
    <xf numFmtId="0" fontId="44" fillId="160" borderId="169"/>
    <xf numFmtId="0" fontId="27" fillId="72" borderId="181"/>
    <xf numFmtId="0" fontId="44" fillId="160" borderId="169"/>
    <xf numFmtId="0" fontId="27" fillId="72" borderId="181"/>
    <xf numFmtId="0" fontId="44" fillId="160" borderId="169"/>
    <xf numFmtId="0" fontId="27" fillId="72" borderId="181"/>
    <xf numFmtId="0" fontId="27" fillId="72" borderId="181"/>
    <xf numFmtId="0" fontId="90" fillId="62" borderId="181" applyNumberFormat="0" applyFont="0" applyAlignment="0" applyProtection="0"/>
    <xf numFmtId="0" fontId="33" fillId="62" borderId="181" applyNumberFormat="0" applyFont="0" applyAlignment="0" applyProtection="0"/>
    <xf numFmtId="0" fontId="33" fillId="62" borderId="181" applyNumberFormat="0" applyFont="0" applyAlignment="0" applyProtection="0"/>
    <xf numFmtId="0" fontId="10" fillId="62" borderId="181" applyNumberFormat="0" applyFont="0" applyAlignment="0" applyProtection="0"/>
    <xf numFmtId="0" fontId="10" fillId="62" borderId="181" applyNumberFormat="0" applyFont="0" applyAlignment="0" applyProtection="0"/>
    <xf numFmtId="0" fontId="90" fillId="72" borderId="181" applyNumberFormat="0" applyFont="0" applyAlignment="0" applyProtection="0"/>
    <xf numFmtId="179" fontId="33" fillId="83" borderId="185" applyNumberFormat="0" applyFont="0" applyAlignment="0" applyProtection="0"/>
    <xf numFmtId="0" fontId="170" fillId="6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170" fillId="62" borderId="181" applyNumberFormat="0" applyFont="0" applyAlignment="0" applyProtection="0"/>
    <xf numFmtId="0" fontId="170" fillId="6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179" fontId="33" fillId="83" borderId="185"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0" fontId="90" fillId="72" borderId="181" applyNumberFormat="0" applyFont="0" applyAlignment="0" applyProtection="0"/>
    <xf numFmtId="179" fontId="33" fillId="83" borderId="185" applyNumberFormat="0" applyFont="0" applyAlignment="0" applyProtection="0"/>
    <xf numFmtId="179" fontId="33" fillId="83" borderId="185" applyNumberFormat="0" applyFont="0" applyAlignment="0" applyProtection="0"/>
    <xf numFmtId="179" fontId="33" fillId="83" borderId="185" applyNumberFormat="0" applyFont="0" applyAlignment="0" applyProtection="0"/>
    <xf numFmtId="179" fontId="33" fillId="83" borderId="185" applyNumberFormat="0" applyFont="0" applyAlignment="0" applyProtection="0"/>
    <xf numFmtId="179" fontId="33" fillId="83" borderId="185" applyNumberFormat="0" applyFont="0" applyAlignment="0" applyProtection="0"/>
    <xf numFmtId="0" fontId="33" fillId="62" borderId="181" applyNumberFormat="0" applyFont="0" applyAlignment="0" applyProtection="0"/>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75" fillId="62" borderId="181" applyNumberFormat="0" applyFont="0" applyAlignment="0" applyProtection="0"/>
    <xf numFmtId="0" fontId="10" fillId="72" borderId="181"/>
    <xf numFmtId="179" fontId="10" fillId="83" borderId="212" applyNumberFormat="0" applyFont="0" applyAlignment="0" applyProtection="0"/>
    <xf numFmtId="0" fontId="33" fillId="83" borderId="185" applyNumberFormat="0" applyFont="0" applyAlignment="0" applyProtection="0"/>
    <xf numFmtId="0" fontId="33" fillId="83" borderId="185" applyNumberFormat="0" applyFont="0" applyAlignment="0" applyProtection="0"/>
    <xf numFmtId="0" fontId="33" fillId="83" borderId="185" applyNumberFormat="0" applyFont="0" applyAlignment="0" applyProtection="0"/>
    <xf numFmtId="179" fontId="10" fillId="83" borderId="212" applyNumberFormat="0" applyFont="0" applyAlignment="0" applyProtection="0"/>
    <xf numFmtId="179" fontId="10" fillId="83" borderId="212" applyNumberFormat="0" applyFont="0" applyAlignment="0" applyProtection="0"/>
    <xf numFmtId="179" fontId="10" fillId="83" borderId="212" applyNumberFormat="0" applyFont="0" applyAlignment="0" applyProtection="0"/>
    <xf numFmtId="179" fontId="10" fillId="83" borderId="212" applyNumberFormat="0" applyFont="0" applyAlignment="0" applyProtection="0"/>
    <xf numFmtId="179" fontId="10" fillId="83" borderId="212" applyNumberFormat="0" applyFont="0" applyAlignment="0" applyProtection="0"/>
    <xf numFmtId="0" fontId="10" fillId="72" borderId="181"/>
    <xf numFmtId="0" fontId="10" fillId="72" borderId="181"/>
    <xf numFmtId="0" fontId="27" fillId="72" borderId="181"/>
    <xf numFmtId="0" fontId="27" fillId="72" borderId="181"/>
    <xf numFmtId="0" fontId="27" fillId="72" borderId="181"/>
    <xf numFmtId="0" fontId="27" fillId="72" borderId="181"/>
    <xf numFmtId="0" fontId="27" fillId="72" borderId="181"/>
    <xf numFmtId="0" fontId="264" fillId="160" borderId="169"/>
    <xf numFmtId="0" fontId="27" fillId="72" borderId="181"/>
    <xf numFmtId="0" fontId="264" fillId="160" borderId="169"/>
    <xf numFmtId="0" fontId="27" fillId="72" borderId="181"/>
    <xf numFmtId="0" fontId="27" fillId="72" borderId="181"/>
    <xf numFmtId="0" fontId="264" fillId="160" borderId="169"/>
    <xf numFmtId="0" fontId="27" fillId="72" borderId="181"/>
    <xf numFmtId="0" fontId="27" fillId="72" borderId="181"/>
    <xf numFmtId="0" fontId="27" fillId="72" borderId="181"/>
    <xf numFmtId="0" fontId="27" fillId="72" borderId="181"/>
    <xf numFmtId="0" fontId="75" fillId="72" borderId="181"/>
    <xf numFmtId="0" fontId="44" fillId="160" borderId="169"/>
    <xf numFmtId="0" fontId="33" fillId="62" borderId="181" applyNumberFormat="0" applyFont="0" applyAlignment="0" applyProtection="0"/>
    <xf numFmtId="0" fontId="33" fillId="62" borderId="181" applyNumberFormat="0" applyFont="0" applyAlignment="0" applyProtection="0"/>
    <xf numFmtId="0" fontId="33" fillId="62" borderId="181" applyNumberFormat="0" applyFont="0" applyAlignment="0" applyProtection="0"/>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44" fillId="160" borderId="169"/>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27" fillId="72" borderId="181"/>
    <xf numFmtId="0" fontId="44" fillId="160" borderId="169"/>
    <xf numFmtId="0" fontId="264" fillId="160" borderId="169"/>
    <xf numFmtId="0" fontId="27" fillId="72" borderId="181"/>
    <xf numFmtId="0" fontId="264" fillId="160" borderId="169"/>
    <xf numFmtId="0" fontId="27" fillId="72" borderId="181"/>
    <xf numFmtId="0" fontId="264" fillId="160" borderId="169"/>
    <xf numFmtId="0" fontId="27" fillId="72" borderId="181"/>
    <xf numFmtId="0" fontId="27" fillId="72" borderId="181"/>
    <xf numFmtId="0" fontId="27" fillId="72" borderId="181"/>
    <xf numFmtId="0" fontId="33" fillId="62" borderId="181" applyNumberFormat="0" applyFont="0" applyAlignment="0" applyProtection="0"/>
    <xf numFmtId="0" fontId="93" fillId="29" borderId="169" applyNumberFormat="0" applyFont="0" applyAlignment="0" applyProtection="0"/>
    <xf numFmtId="0" fontId="27" fillId="72" borderId="181"/>
    <xf numFmtId="0" fontId="44" fillId="160" borderId="169"/>
    <xf numFmtId="0" fontId="27" fillId="72" borderId="181"/>
    <xf numFmtId="0" fontId="44" fillId="160" borderId="169"/>
    <xf numFmtId="0" fontId="27" fillId="72" borderId="181"/>
    <xf numFmtId="0" fontId="44" fillId="160" borderId="169"/>
    <xf numFmtId="0" fontId="95" fillId="0" borderId="0">
      <alignment horizontal="left"/>
    </xf>
    <xf numFmtId="37" fontId="265" fillId="72" borderId="93" applyFill="0" applyBorder="0" applyProtection="0"/>
    <xf numFmtId="254" fontId="104" fillId="0" borderId="0" applyFill="0" applyBorder="0">
      <alignment vertical="center"/>
    </xf>
    <xf numFmtId="255" fontId="266" fillId="0" borderId="0" applyNumberFormat="0" applyFill="0" applyBorder="0" applyAlignment="0" applyProtection="0"/>
    <xf numFmtId="164" fontId="267" fillId="0" borderId="0" applyFont="0" applyFill="0" applyBorder="0" applyAlignment="0" applyProtection="0"/>
    <xf numFmtId="164" fontId="268" fillId="0" borderId="0"/>
    <xf numFmtId="0" fontId="126" fillId="0" borderId="0"/>
    <xf numFmtId="0" fontId="174" fillId="0" borderId="0"/>
    <xf numFmtId="0" fontId="174" fillId="0" borderId="0"/>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70" fillId="71" borderId="213" applyNumberFormat="0" applyAlignment="0" applyProtection="0"/>
    <xf numFmtId="0" fontId="269" fillId="4" borderId="213"/>
    <xf numFmtId="0" fontId="269" fillId="71" borderId="213" applyNumberFormat="0" applyAlignment="0" applyProtection="0"/>
    <xf numFmtId="0" fontId="269" fillId="71" borderId="213" applyNumberFormat="0" applyAlignment="0" applyProtection="0"/>
    <xf numFmtId="179" fontId="269" fillId="76" borderId="213" applyNumberFormat="0" applyAlignment="0" applyProtection="0"/>
    <xf numFmtId="0" fontId="269" fillId="71"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69" fillId="71" borderId="213" applyNumberFormat="0" applyAlignment="0" applyProtection="0"/>
    <xf numFmtId="0" fontId="269" fillId="71" borderId="213" applyNumberFormat="0" applyAlignment="0" applyProtection="0"/>
    <xf numFmtId="0" fontId="270" fillId="4" borderId="213" applyNumberFormat="0" applyAlignment="0" applyProtection="0"/>
    <xf numFmtId="179" fontId="269" fillId="76"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0" fontId="270" fillId="4" borderId="213" applyNumberFormat="0" applyAlignment="0" applyProtection="0"/>
    <xf numFmtId="179" fontId="269" fillId="76" borderId="213" applyNumberFormat="0" applyAlignment="0" applyProtection="0"/>
    <xf numFmtId="179" fontId="269" fillId="76" borderId="213" applyNumberFormat="0" applyAlignment="0" applyProtection="0"/>
    <xf numFmtId="179" fontId="269" fillId="76" borderId="213" applyNumberFormat="0" applyAlignment="0" applyProtection="0"/>
    <xf numFmtId="179" fontId="269" fillId="76" borderId="213" applyNumberFormat="0" applyAlignment="0" applyProtection="0"/>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71" borderId="213" applyNumberFormat="0" applyAlignment="0" applyProtection="0"/>
    <xf numFmtId="0" fontId="269" fillId="76" borderId="213" applyNumberFormat="0" applyAlignment="0" applyProtection="0"/>
    <xf numFmtId="0" fontId="269" fillId="135" borderId="213" applyNumberFormat="0" applyAlignment="0" applyProtection="0"/>
    <xf numFmtId="179" fontId="269" fillId="135" borderId="213" applyNumberFormat="0" applyAlignment="0" applyProtection="0"/>
    <xf numFmtId="179" fontId="269" fillId="135" borderId="213" applyNumberFormat="0" applyAlignment="0" applyProtection="0"/>
    <xf numFmtId="179" fontId="269" fillId="135" borderId="213" applyNumberFormat="0" applyAlignment="0" applyProtection="0"/>
    <xf numFmtId="179" fontId="269" fillId="135" borderId="213" applyNumberFormat="0" applyAlignment="0" applyProtection="0"/>
    <xf numFmtId="179" fontId="269" fillId="135" borderId="213" applyNumberFormat="0" applyAlignment="0" applyProtection="0"/>
    <xf numFmtId="179" fontId="269" fillId="135" borderId="213" applyNumberFormat="0" applyAlignment="0" applyProtection="0"/>
    <xf numFmtId="0" fontId="269" fillId="76" borderId="213" applyNumberFormat="0" applyAlignment="0" applyProtection="0"/>
    <xf numFmtId="0" fontId="269" fillId="76" borderId="213" applyNumberFormat="0" applyAlignment="0" applyProtection="0"/>
    <xf numFmtId="0" fontId="269" fillId="4" borderId="213"/>
    <xf numFmtId="0" fontId="269" fillId="4" borderId="213"/>
    <xf numFmtId="0" fontId="269" fillId="4" borderId="213"/>
    <xf numFmtId="0" fontId="269" fillId="4" borderId="213"/>
    <xf numFmtId="0" fontId="269" fillId="4" borderId="213"/>
    <xf numFmtId="0" fontId="271" fillId="10" borderId="86"/>
    <xf numFmtId="0" fontId="269" fillId="4" borderId="213"/>
    <xf numFmtId="0" fontId="271" fillId="10" borderId="86"/>
    <xf numFmtId="0" fontId="269" fillId="4" borderId="213"/>
    <xf numFmtId="0" fontId="269" fillId="4" borderId="213"/>
    <xf numFmtId="0" fontId="271" fillId="10" borderId="86"/>
    <xf numFmtId="0" fontId="269" fillId="4" borderId="213"/>
    <xf numFmtId="0" fontId="269" fillId="4" borderId="213"/>
    <xf numFmtId="0" fontId="269" fillId="4" borderId="213"/>
    <xf numFmtId="0" fontId="269" fillId="4" borderId="213"/>
    <xf numFmtId="0" fontId="269" fillId="4" borderId="213"/>
    <xf numFmtId="0" fontId="269" fillId="71" borderId="213" applyNumberFormat="0" applyAlignment="0" applyProtection="0"/>
    <xf numFmtId="0" fontId="269" fillId="71" borderId="213" applyNumberFormat="0" applyAlignment="0" applyProtection="0"/>
    <xf numFmtId="0" fontId="269" fillId="71" borderId="213" applyNumberFormat="0" applyAlignment="0" applyProtection="0"/>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69" fillId="4" borderId="213"/>
    <xf numFmtId="0" fontId="271" fillId="10" borderId="86"/>
    <xf numFmtId="0" fontId="269" fillId="4" borderId="213"/>
    <xf numFmtId="0" fontId="271" fillId="10" borderId="86"/>
    <xf numFmtId="0" fontId="269" fillId="4" borderId="213"/>
    <xf numFmtId="0" fontId="271" fillId="10" borderId="86"/>
    <xf numFmtId="0" fontId="269" fillId="4" borderId="213"/>
    <xf numFmtId="0" fontId="269" fillId="4" borderId="213"/>
    <xf numFmtId="0" fontId="272" fillId="136" borderId="166"/>
    <xf numFmtId="0" fontId="269" fillId="4" borderId="213"/>
    <xf numFmtId="0" fontId="269" fillId="71" borderId="213" applyNumberFormat="0" applyAlignment="0" applyProtection="0"/>
    <xf numFmtId="0" fontId="273" fillId="27" borderId="166" applyNumberFormat="0" applyAlignment="0" applyProtection="0"/>
    <xf numFmtId="0" fontId="269" fillId="4" borderId="213"/>
    <xf numFmtId="0" fontId="269" fillId="4" borderId="213"/>
    <xf numFmtId="0" fontId="269" fillId="4" borderId="213"/>
    <xf numFmtId="40" fontId="274" fillId="10" borderId="0">
      <alignment horizontal="right"/>
    </xf>
    <xf numFmtId="0" fontId="275" fillId="10" borderId="0">
      <alignment horizontal="right"/>
    </xf>
    <xf numFmtId="0" fontId="276" fillId="10" borderId="23"/>
    <xf numFmtId="0" fontId="276" fillId="0" borderId="0" applyBorder="0">
      <alignment horizontal="centerContinuous"/>
    </xf>
    <xf numFmtId="0" fontId="277" fillId="0" borderId="0" applyBorder="0">
      <alignment horizontal="centerContinuous"/>
    </xf>
    <xf numFmtId="0" fontId="135" fillId="154" borderId="189"/>
    <xf numFmtId="256" fontId="10" fillId="0" borderId="0" applyFont="0" applyFill="0" applyBorder="0" applyProtection="0">
      <alignment horizontal="right"/>
    </xf>
    <xf numFmtId="256" fontId="10" fillId="0" borderId="0" applyFont="0" applyFill="0" applyBorder="0" applyProtection="0">
      <alignment horizontal="right"/>
    </xf>
    <xf numFmtId="256" fontId="10" fillId="0" borderId="0" applyFont="0" applyFill="0" applyBorder="0" applyProtection="0">
      <alignment horizontal="right"/>
    </xf>
    <xf numFmtId="256" fontId="10" fillId="0" borderId="0" applyFont="0" applyFill="0" applyBorder="0" applyProtection="0">
      <alignment horizontal="right"/>
    </xf>
    <xf numFmtId="1" fontId="278" fillId="0" borderId="0" applyProtection="0">
      <alignment horizontal="right" vertical="center"/>
    </xf>
    <xf numFmtId="257" fontId="95" fillId="161" borderId="194">
      <alignment horizontal="right" vertical="center"/>
    </xf>
    <xf numFmtId="9" fontId="137" fillId="0" borderId="0" applyFont="0" applyFill="0" applyBorder="0" applyAlignment="0" applyProtection="0"/>
    <xf numFmtId="9" fontId="279" fillId="0" borderId="0" applyFont="0" applyFill="0" applyBorder="0" applyAlignment="0" applyProtection="0"/>
    <xf numFmtId="171" fontId="137" fillId="0" borderId="0" applyFont="0" applyFill="0" applyBorder="0" applyAlignment="0" applyProtection="0"/>
    <xf numFmtId="171" fontId="138" fillId="0" borderId="0"/>
    <xf numFmtId="10"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75" fillId="0" borderId="0"/>
    <xf numFmtId="9" fontId="44" fillId="0" borderId="0" applyFont="0" applyFill="0" applyBorder="0" applyAlignment="0" applyProtection="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1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0" fillId="0" borderId="0"/>
    <xf numFmtId="9" fontId="10" fillId="0" borderId="0"/>
    <xf numFmtId="9" fontId="10" fillId="0" borderId="0" applyFont="0" applyFill="0" applyBorder="0" applyAlignment="0" applyProtection="0"/>
    <xf numFmtId="9" fontId="74" fillId="0" borderId="0" applyFont="0" applyFill="0" applyBorder="0" applyAlignment="0" applyProtection="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10" fillId="0" borderId="0" applyFont="0" applyFill="0" applyBorder="0" applyAlignment="0" applyProtection="0"/>
    <xf numFmtId="9" fontId="44" fillId="0" borderId="0" applyFont="0" applyFill="0" applyBorder="0" applyAlignment="0" applyProtection="0"/>
    <xf numFmtId="9" fontId="10" fillId="0" borderId="0" applyFont="0" applyFill="0" applyBorder="0" applyAlignment="0" applyProtection="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10" fillId="0" borderId="0"/>
    <xf numFmtId="9" fontId="75" fillId="0" borderId="0"/>
    <xf numFmtId="9" fontId="10" fillId="0" borderId="0"/>
    <xf numFmtId="9" fontId="75" fillId="0" borderId="0"/>
    <xf numFmtId="9" fontId="75" fillId="0" borderId="0"/>
    <xf numFmtId="9" fontId="75" fillId="0" borderId="0"/>
    <xf numFmtId="9" fontId="44" fillId="0" borderId="0" applyFont="0" applyFill="0" applyBorder="0" applyAlignment="0" applyProtection="0"/>
    <xf numFmtId="9" fontId="44" fillId="0" borderId="0" applyFont="0" applyFill="0" applyBorder="0" applyAlignment="0" applyProtection="0"/>
    <xf numFmtId="9" fontId="10" fillId="0" borderId="0" applyFont="0" applyFill="0" applyBorder="0" applyAlignment="0" applyProtection="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44" fillId="0" borderId="0" applyFont="0" applyFill="0" applyBorder="0" applyAlignment="0" applyProtection="0"/>
    <xf numFmtId="9" fontId="44" fillId="0" borderId="0" applyFont="0" applyFill="0" applyBorder="0" applyAlignment="0" applyProtection="0"/>
    <xf numFmtId="9" fontId="10" fillId="0" borderId="0" applyFont="0" applyFill="0" applyBorder="0" applyAlignment="0" applyProtection="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75" fillId="0" borderId="0"/>
    <xf numFmtId="9" fontId="44" fillId="0" borderId="0" applyFont="0" applyFill="0" applyBorder="0" applyAlignment="0" applyProtection="0"/>
    <xf numFmtId="9" fontId="44" fillId="0" borderId="0" applyFont="0" applyFill="0" applyBorder="0" applyAlignment="0" applyProtection="0"/>
    <xf numFmtId="9" fontId="10" fillId="0" borderId="0" applyFont="0" applyFill="0" applyBorder="0" applyAlignment="0" applyProtection="0"/>
    <xf numFmtId="9" fontId="75" fillId="0" borderId="0"/>
    <xf numFmtId="9" fontId="75" fillId="0" borderId="0"/>
    <xf numFmtId="9" fontId="75" fillId="0" borderId="0"/>
    <xf numFmtId="9" fontId="10" fillId="0" borderId="0"/>
    <xf numFmtId="9" fontId="75" fillId="0" borderId="0"/>
    <xf numFmtId="9" fontId="75" fillId="0" borderId="0"/>
    <xf numFmtId="9" fontId="75" fillId="0" borderId="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75"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9" fontId="7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4" fillId="0" borderId="0" applyFont="0" applyFill="0" applyBorder="0" applyAlignment="0" applyProtection="0"/>
    <xf numFmtId="9" fontId="27"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30" fillId="0" borderId="0" applyFont="0" applyFill="0" applyBorder="0" applyAlignment="0" applyProtection="0"/>
    <xf numFmtId="9" fontId="1"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25"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4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39"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0" fillId="0" borderId="0" applyFont="0" applyFill="0" applyBorder="0" applyAlignment="0" applyProtection="0"/>
    <xf numFmtId="9" fontId="44" fillId="0" borderId="0" applyFont="0" applyFill="0" applyBorder="0" applyAlignment="0" applyProtection="0"/>
    <xf numFmtId="9" fontId="39"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25" fillId="0" borderId="0" applyFont="0" applyFill="0" applyBorder="0" applyAlignment="0" applyProtection="0"/>
    <xf numFmtId="9" fontId="10" fillId="0" borderId="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44" fillId="0" borderId="0" applyFont="0" applyFill="0" applyBorder="0" applyAlignment="0" applyProtection="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13" fontId="10" fillId="0" borderId="0" applyFont="0" applyFill="0" applyProtection="0"/>
    <xf numFmtId="9" fontId="101" fillId="0" borderId="0"/>
    <xf numFmtId="9" fontId="101" fillId="0" borderId="0"/>
    <xf numFmtId="9" fontId="4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 fillId="0" borderId="0"/>
    <xf numFmtId="9" fontId="1" fillId="0" borderId="0"/>
    <xf numFmtId="9" fontId="1" fillId="0" borderId="0"/>
    <xf numFmtId="9" fontId="75"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 fillId="0" borderId="0"/>
    <xf numFmtId="9" fontId="44" fillId="0" borderId="0"/>
    <xf numFmtId="9" fontId="44" fillId="0" borderId="0" applyFont="0" applyFill="0" applyBorder="0" applyAlignment="0" applyProtection="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258" fontId="150" fillId="0" borderId="0" applyFont="0" applyFill="0" applyBorder="0" applyAlignment="0" applyProtection="0"/>
    <xf numFmtId="3" fontId="69" fillId="162" borderId="214"/>
    <xf numFmtId="3" fontId="69" fillId="0" borderId="214" applyFont="0" applyFill="0" applyBorder="0" applyAlignment="0" applyProtection="0">
      <protection locked="0"/>
    </xf>
    <xf numFmtId="259" fontId="280" fillId="0" borderId="0">
      <protection locked="0"/>
    </xf>
    <xf numFmtId="10" fontId="140" fillId="0" borderId="0" applyFont="0" applyFill="0" applyBorder="0" applyAlignment="0" applyProtection="0"/>
    <xf numFmtId="10" fontId="141" fillId="0" borderId="0"/>
    <xf numFmtId="9" fontId="10" fillId="0" borderId="0" applyFont="0" applyFill="0" applyBorder="0" applyAlignment="0" applyProtection="0"/>
    <xf numFmtId="9" fontId="10" fillId="0" borderId="0"/>
    <xf numFmtId="0" fontId="281" fillId="0" borderId="0">
      <alignment horizontal="left"/>
    </xf>
    <xf numFmtId="0" fontId="282" fillId="0" borderId="0">
      <alignment horizontal="left"/>
    </xf>
    <xf numFmtId="0" fontId="126" fillId="0" borderId="0"/>
    <xf numFmtId="164" fontId="129" fillId="55" borderId="0"/>
    <xf numFmtId="0" fontId="10" fillId="0" borderId="0"/>
    <xf numFmtId="0" fontId="69" fillId="0" borderId="0"/>
    <xf numFmtId="0" fontId="92" fillId="163" borderId="0"/>
    <xf numFmtId="237" fontId="82" fillId="0" borderId="0" applyFill="0" applyBorder="0" applyAlignment="0" applyProtection="0"/>
    <xf numFmtId="172" fontId="263" fillId="0" borderId="0"/>
    <xf numFmtId="0" fontId="10" fillId="0" borderId="0"/>
    <xf numFmtId="0" fontId="10" fillId="0" borderId="0"/>
    <xf numFmtId="2" fontId="283" fillId="68" borderId="95" applyAlignment="0" applyProtection="0">
      <protection locked="0"/>
    </xf>
    <xf numFmtId="0" fontId="284" fillId="72" borderId="95" applyNumberFormat="0" applyAlignment="0" applyProtection="0"/>
    <xf numFmtId="0" fontId="285" fillId="57" borderId="22" applyNumberFormat="0" applyAlignment="0" applyProtection="0">
      <alignment horizontal="center" vertical="center"/>
    </xf>
    <xf numFmtId="0" fontId="285" fillId="57" borderId="22" applyNumberFormat="0" applyAlignment="0" applyProtection="0">
      <alignment horizontal="center" vertical="center"/>
    </xf>
    <xf numFmtId="3" fontId="76" fillId="0" borderId="215" applyBorder="0">
      <alignment horizontal="right" wrapText="1"/>
    </xf>
    <xf numFmtId="4" fontId="76" fillId="0" borderId="216" applyBorder="0">
      <alignment horizontal="right" wrapText="1"/>
    </xf>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81"/>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174"/>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77"/>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0"/>
    <xf numFmtId="0" fontId="10" fillId="0" borderId="86"/>
    <xf numFmtId="0" fontId="10" fillId="0" borderId="86"/>
    <xf numFmtId="0" fontId="10" fillId="0" borderId="86"/>
    <xf numFmtId="0" fontId="10" fillId="0" borderId="86"/>
    <xf numFmtId="0" fontId="10" fillId="0" borderId="86"/>
    <xf numFmtId="0" fontId="10" fillId="0" borderId="86"/>
    <xf numFmtId="0" fontId="10" fillId="0" borderId="86"/>
    <xf numFmtId="0" fontId="10" fillId="0" borderId="86"/>
    <xf numFmtId="0" fontId="10" fillId="0" borderId="86"/>
    <xf numFmtId="0" fontId="10" fillId="0" borderId="86"/>
    <xf numFmtId="0" fontId="10" fillId="0" borderId="86"/>
    <xf numFmtId="0" fontId="10" fillId="0" borderId="86"/>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7"/>
    <xf numFmtId="0" fontId="10" fillId="0" borderId="218"/>
    <xf numFmtId="0" fontId="10" fillId="0" borderId="218"/>
    <xf numFmtId="0" fontId="10" fillId="0" borderId="218"/>
    <xf numFmtId="0" fontId="10" fillId="0" borderId="218"/>
    <xf numFmtId="0" fontId="10" fillId="0" borderId="218"/>
    <xf numFmtId="0" fontId="10" fillId="0" borderId="218"/>
    <xf numFmtId="0" fontId="10" fillId="0" borderId="218"/>
    <xf numFmtId="0" fontId="10" fillId="0" borderId="218"/>
    <xf numFmtId="0" fontId="10" fillId="0" borderId="218"/>
    <xf numFmtId="0" fontId="10" fillId="0" borderId="218"/>
    <xf numFmtId="0" fontId="10" fillId="0" borderId="218"/>
    <xf numFmtId="0" fontId="10" fillId="0" borderId="218"/>
    <xf numFmtId="46" fontId="10" fillId="0" borderId="0"/>
    <xf numFmtId="46" fontId="10" fillId="0" borderId="0"/>
    <xf numFmtId="46" fontId="10" fillId="0" borderId="0"/>
    <xf numFmtId="46" fontId="10" fillId="0" borderId="0"/>
    <xf numFmtId="46" fontId="10" fillId="0" borderId="0"/>
    <xf numFmtId="46" fontId="10" fillId="0" borderId="0"/>
    <xf numFmtId="46" fontId="10" fillId="0" borderId="0"/>
    <xf numFmtId="46" fontId="10" fillId="0" borderId="0"/>
    <xf numFmtId="46" fontId="10" fillId="0" borderId="0"/>
    <xf numFmtId="46" fontId="10" fillId="0" borderId="0"/>
    <xf numFmtId="46" fontId="10" fillId="0" borderId="0"/>
    <xf numFmtId="46" fontId="10" fillId="0" borderId="0"/>
    <xf numFmtId="0" fontId="19" fillId="0" borderId="0"/>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219"/>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75"/>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220"/>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181"/>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alignment horizontal="left"/>
    </xf>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1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221"/>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83"/>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176"/>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222"/>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99"/>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223"/>
    <xf numFmtId="0" fontId="10" fillId="0" borderId="177"/>
    <xf numFmtId="0" fontId="10" fillId="0" borderId="177"/>
    <xf numFmtId="0" fontId="10" fillId="0" borderId="177"/>
    <xf numFmtId="0" fontId="10" fillId="0" borderId="177"/>
    <xf numFmtId="0" fontId="10" fillId="0" borderId="177"/>
    <xf numFmtId="0" fontId="10" fillId="0" borderId="177"/>
    <xf numFmtId="0" fontId="10" fillId="0" borderId="177"/>
    <xf numFmtId="0" fontId="10" fillId="0" borderId="177"/>
    <xf numFmtId="0" fontId="10" fillId="0" borderId="177"/>
    <xf numFmtId="0" fontId="10" fillId="0" borderId="177"/>
    <xf numFmtId="0" fontId="10" fillId="0" borderId="177"/>
    <xf numFmtId="0" fontId="10" fillId="0" borderId="177"/>
    <xf numFmtId="188" fontId="286" fillId="0" borderId="0">
      <alignment horizontal="right"/>
    </xf>
    <xf numFmtId="0" fontId="10" fillId="0" borderId="0">
      <alignment textRotation="90"/>
    </xf>
    <xf numFmtId="0" fontId="10" fillId="0" borderId="0"/>
    <xf numFmtId="4" fontId="19" fillId="93" borderId="213" applyNumberFormat="0" applyProtection="0">
      <alignment vertical="center"/>
    </xf>
    <xf numFmtId="4" fontId="19" fillId="93" borderId="213" applyNumberFormat="0" applyProtection="0">
      <alignment vertical="center"/>
    </xf>
    <xf numFmtId="4" fontId="287" fillId="93" borderId="213" applyNumberFormat="0" applyProtection="0">
      <alignment vertical="center"/>
    </xf>
    <xf numFmtId="4" fontId="287" fillId="93" borderId="213" applyNumberFormat="0" applyProtection="0">
      <alignment vertical="center"/>
    </xf>
    <xf numFmtId="4" fontId="19" fillId="93" borderId="213" applyNumberFormat="0" applyProtection="0">
      <alignment horizontal="left" vertical="center" indent="1"/>
    </xf>
    <xf numFmtId="4" fontId="19" fillId="93" borderId="213" applyNumberFormat="0" applyProtection="0">
      <alignment horizontal="left" vertical="center" indent="1"/>
    </xf>
    <xf numFmtId="4" fontId="19" fillId="93" borderId="213" applyNumberFormat="0" applyProtection="0">
      <alignment horizontal="left" vertical="center" indent="1"/>
    </xf>
    <xf numFmtId="4" fontId="19" fillId="93" borderId="213" applyNumberFormat="0" applyProtection="0">
      <alignment horizontal="left" vertical="center" indent="1"/>
    </xf>
    <xf numFmtId="0" fontId="10" fillId="59" borderId="213" applyNumberFormat="0" applyProtection="0">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pplyNumberFormat="0" applyProtection="0">
      <alignment horizontal="left" vertical="center" indent="1"/>
    </xf>
    <xf numFmtId="4" fontId="19" fillId="56" borderId="213" applyNumberFormat="0" applyProtection="0">
      <alignment horizontal="right" vertical="center"/>
    </xf>
    <xf numFmtId="4" fontId="19" fillId="56" borderId="213" applyNumberFormat="0" applyProtection="0">
      <alignment horizontal="right" vertical="center"/>
    </xf>
    <xf numFmtId="4" fontId="19" fillId="88" borderId="213" applyNumberFormat="0" applyProtection="0">
      <alignment horizontal="right" vertical="center"/>
    </xf>
    <xf numFmtId="4" fontId="19" fillId="88" borderId="213" applyNumberFormat="0" applyProtection="0">
      <alignment horizontal="right" vertical="center"/>
    </xf>
    <xf numFmtId="4" fontId="19" fillId="55" borderId="213" applyNumberFormat="0" applyProtection="0">
      <alignment horizontal="right" vertical="center"/>
    </xf>
    <xf numFmtId="4" fontId="19" fillId="55" borderId="213" applyNumberFormat="0" applyProtection="0">
      <alignment horizontal="right" vertical="center"/>
    </xf>
    <xf numFmtId="4" fontId="19" fillId="96" borderId="213" applyNumberFormat="0" applyProtection="0">
      <alignment horizontal="right" vertical="center"/>
    </xf>
    <xf numFmtId="4" fontId="19" fillId="96" borderId="213" applyNumberFormat="0" applyProtection="0">
      <alignment horizontal="right" vertical="center"/>
    </xf>
    <xf numFmtId="4" fontId="19" fillId="112" borderId="213" applyNumberFormat="0" applyProtection="0">
      <alignment horizontal="right" vertical="center"/>
    </xf>
    <xf numFmtId="4" fontId="19" fillId="112" borderId="213" applyNumberFormat="0" applyProtection="0">
      <alignment horizontal="right" vertical="center"/>
    </xf>
    <xf numFmtId="4" fontId="19" fillId="131" borderId="213" applyNumberFormat="0" applyProtection="0">
      <alignment horizontal="right" vertical="center"/>
    </xf>
    <xf numFmtId="4" fontId="19" fillId="131" borderId="213" applyNumberFormat="0" applyProtection="0">
      <alignment horizontal="right" vertical="center"/>
    </xf>
    <xf numFmtId="4" fontId="19" fillId="124" borderId="213" applyNumberFormat="0" applyProtection="0">
      <alignment horizontal="right" vertical="center"/>
    </xf>
    <xf numFmtId="4" fontId="19" fillId="124" borderId="213" applyNumberFormat="0" applyProtection="0">
      <alignment horizontal="right" vertical="center"/>
    </xf>
    <xf numFmtId="4" fontId="19" fillId="164" borderId="213" applyNumberFormat="0" applyProtection="0">
      <alignment horizontal="right" vertical="center"/>
    </xf>
    <xf numFmtId="4" fontId="19" fillId="164" borderId="213" applyNumberFormat="0" applyProtection="0">
      <alignment horizontal="right" vertical="center"/>
    </xf>
    <xf numFmtId="4" fontId="19" fillId="90" borderId="213" applyNumberFormat="0" applyProtection="0">
      <alignment horizontal="right" vertical="center"/>
    </xf>
    <xf numFmtId="4" fontId="19" fillId="90" borderId="213" applyNumberFormat="0" applyProtection="0">
      <alignment horizontal="right" vertical="center"/>
    </xf>
    <xf numFmtId="4" fontId="18" fillId="165" borderId="213" applyNumberFormat="0" applyProtection="0">
      <alignment horizontal="left" vertical="center" indent="1"/>
    </xf>
    <xf numFmtId="4" fontId="18" fillId="165" borderId="213">
      <alignment horizontal="left" vertical="center" indent="1"/>
    </xf>
    <xf numFmtId="4" fontId="18" fillId="165" borderId="213">
      <alignment horizontal="left" vertical="center" indent="1"/>
    </xf>
    <xf numFmtId="4" fontId="18" fillId="165" borderId="213">
      <alignment horizontal="left" vertical="center" indent="1"/>
    </xf>
    <xf numFmtId="4" fontId="18" fillId="165" borderId="213">
      <alignment horizontal="left" vertical="center" indent="1"/>
    </xf>
    <xf numFmtId="4" fontId="18" fillId="165" borderId="213">
      <alignment horizontal="left" vertical="center" indent="1"/>
    </xf>
    <xf numFmtId="4" fontId="18" fillId="165" borderId="213" applyNumberFormat="0" applyProtection="0">
      <alignment horizontal="left" vertical="center" indent="1"/>
    </xf>
    <xf numFmtId="4" fontId="19" fillId="166" borderId="224" applyNumberFormat="0" applyProtection="0">
      <alignment horizontal="left" vertical="center" indent="1"/>
    </xf>
    <xf numFmtId="4" fontId="42" fillId="128" borderId="0" applyNumberFormat="0" applyProtection="0">
      <alignment horizontal="left" vertical="center" indent="1"/>
    </xf>
    <xf numFmtId="4" fontId="42" fillId="128" borderId="0">
      <alignment horizontal="left" vertical="center" indent="1"/>
    </xf>
    <xf numFmtId="4" fontId="42" fillId="128" borderId="0">
      <alignment horizontal="left" vertical="center" indent="1"/>
    </xf>
    <xf numFmtId="4" fontId="42" fillId="128" borderId="0">
      <alignment horizontal="left" vertical="center" indent="1"/>
    </xf>
    <xf numFmtId="4" fontId="42" fillId="128" borderId="0">
      <alignment horizontal="left" vertical="center" indent="1"/>
    </xf>
    <xf numFmtId="4" fontId="42" fillId="128" borderId="0">
      <alignment horizontal="left" vertical="center" indent="1"/>
    </xf>
    <xf numFmtId="0" fontId="10" fillId="59" borderId="213" applyNumberFormat="0" applyProtection="0">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pplyNumberFormat="0" applyProtection="0">
      <alignment horizontal="left" vertical="center" indent="1"/>
    </xf>
    <xf numFmtId="4" fontId="19" fillId="166" borderId="213" applyNumberFormat="0" applyProtection="0">
      <alignment horizontal="left" vertical="center" indent="1"/>
    </xf>
    <xf numFmtId="4" fontId="19" fillId="166" borderId="213">
      <alignment horizontal="left" vertical="center" indent="1"/>
    </xf>
    <xf numFmtId="4" fontId="19" fillId="166" borderId="213">
      <alignment horizontal="left" vertical="center" indent="1"/>
    </xf>
    <xf numFmtId="4" fontId="19" fillId="166" borderId="213">
      <alignment horizontal="left" vertical="center" indent="1"/>
    </xf>
    <xf numFmtId="4" fontId="19" fillId="166" borderId="213">
      <alignment horizontal="left" vertical="center" indent="1"/>
    </xf>
    <xf numFmtId="4" fontId="19" fillId="166" borderId="213">
      <alignment horizontal="left" vertical="center" indent="1"/>
    </xf>
    <xf numFmtId="4" fontId="19" fillId="166" borderId="213" applyNumberFormat="0" applyProtection="0">
      <alignment horizontal="left" vertical="center" indent="1"/>
    </xf>
    <xf numFmtId="4" fontId="19" fillId="145" borderId="213" applyNumberFormat="0" applyProtection="0">
      <alignment horizontal="left" vertical="center" indent="1"/>
    </xf>
    <xf numFmtId="4" fontId="19" fillId="145" borderId="213">
      <alignment horizontal="left" vertical="center" indent="1"/>
    </xf>
    <xf numFmtId="4" fontId="19" fillId="145" borderId="213">
      <alignment horizontal="left" vertical="center" indent="1"/>
    </xf>
    <xf numFmtId="4" fontId="19" fillId="145" borderId="213">
      <alignment horizontal="left" vertical="center" indent="1"/>
    </xf>
    <xf numFmtId="4" fontId="19" fillId="145" borderId="213">
      <alignment horizontal="left" vertical="center" indent="1"/>
    </xf>
    <xf numFmtId="4" fontId="19" fillId="145" borderId="213">
      <alignment horizontal="left" vertical="center" indent="1"/>
    </xf>
    <xf numFmtId="4" fontId="19" fillId="145" borderId="213" applyNumberFormat="0" applyProtection="0">
      <alignment horizontal="left" vertical="center" indent="1"/>
    </xf>
    <xf numFmtId="0" fontId="10" fillId="145" borderId="213" applyNumberFormat="0" applyProtection="0">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pplyNumberFormat="0" applyProtection="0">
      <alignment horizontal="left" vertical="center" indent="1"/>
    </xf>
    <xf numFmtId="0" fontId="10" fillId="145" borderId="213" applyNumberFormat="0" applyProtection="0">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lignment horizontal="left" vertical="center" indent="1"/>
    </xf>
    <xf numFmtId="0" fontId="10" fillId="145" borderId="213" applyNumberFormat="0" applyProtection="0">
      <alignment horizontal="left" vertical="center" indent="1"/>
    </xf>
    <xf numFmtId="0" fontId="10" fillId="57" borderId="213" applyNumberFormat="0" applyProtection="0">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pplyNumberFormat="0" applyProtection="0">
      <alignment horizontal="left" vertical="center" indent="1"/>
    </xf>
    <xf numFmtId="0" fontId="10" fillId="57" borderId="213" applyNumberFormat="0" applyProtection="0">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lignment horizontal="left" vertical="center" indent="1"/>
    </xf>
    <xf numFmtId="0" fontId="10" fillId="57" borderId="213" applyNumberFormat="0" applyProtection="0">
      <alignment horizontal="left" vertical="center" indent="1"/>
    </xf>
    <xf numFmtId="0" fontId="10" fillId="4" borderId="213" applyNumberFormat="0" applyProtection="0">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pplyNumberFormat="0" applyProtection="0">
      <alignment horizontal="left" vertical="center" indent="1"/>
    </xf>
    <xf numFmtId="0" fontId="10" fillId="4" borderId="213" applyNumberFormat="0" applyProtection="0">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lignment horizontal="left" vertical="center" indent="1"/>
    </xf>
    <xf numFmtId="0" fontId="10" fillId="4" borderId="213" applyNumberFormat="0" applyProtection="0">
      <alignment horizontal="left" vertical="center" indent="1"/>
    </xf>
    <xf numFmtId="0" fontId="10" fillId="59" borderId="213" applyNumberFormat="0" applyProtection="0">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pplyNumberFormat="0" applyProtection="0">
      <alignment horizontal="left" vertical="center" indent="1"/>
    </xf>
    <xf numFmtId="0" fontId="10" fillId="59" borderId="213" applyNumberFormat="0" applyProtection="0">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pplyNumberFormat="0" applyProtection="0">
      <alignment horizontal="left" vertical="center" indent="1"/>
    </xf>
    <xf numFmtId="4" fontId="19" fillId="72" borderId="213" applyNumberFormat="0" applyProtection="0">
      <alignment vertical="center"/>
    </xf>
    <xf numFmtId="4" fontId="19" fillId="72" borderId="213" applyNumberFormat="0" applyProtection="0">
      <alignment vertical="center"/>
    </xf>
    <xf numFmtId="4" fontId="287" fillId="72" borderId="213" applyNumberFormat="0" applyProtection="0">
      <alignment vertical="center"/>
    </xf>
    <xf numFmtId="4" fontId="287" fillId="72" borderId="213" applyNumberFormat="0" applyProtection="0">
      <alignment vertical="center"/>
    </xf>
    <xf numFmtId="4" fontId="19" fillId="72" borderId="213" applyNumberFormat="0" applyProtection="0">
      <alignment horizontal="left" vertical="center" indent="1"/>
    </xf>
    <xf numFmtId="4" fontId="19" fillId="72" borderId="213" applyNumberFormat="0" applyProtection="0">
      <alignment horizontal="left" vertical="center" indent="1"/>
    </xf>
    <xf numFmtId="4" fontId="19" fillId="72" borderId="213" applyNumberFormat="0" applyProtection="0">
      <alignment horizontal="left" vertical="center" indent="1"/>
    </xf>
    <xf numFmtId="4" fontId="19" fillId="72" borderId="213" applyNumberFormat="0" applyProtection="0">
      <alignment horizontal="left" vertical="center" indent="1"/>
    </xf>
    <xf numFmtId="4" fontId="19" fillId="166" borderId="213" applyNumberFormat="0" applyProtection="0">
      <alignment horizontal="right" vertical="center"/>
    </xf>
    <xf numFmtId="4" fontId="19" fillId="166" borderId="213" applyNumberFormat="0" applyProtection="0">
      <alignment horizontal="right" vertical="center"/>
    </xf>
    <xf numFmtId="4" fontId="287" fillId="166" borderId="213" applyNumberFormat="0" applyProtection="0">
      <alignment horizontal="right" vertical="center"/>
    </xf>
    <xf numFmtId="4" fontId="287" fillId="166" borderId="213" applyNumberFormat="0" applyProtection="0">
      <alignment horizontal="right" vertical="center"/>
    </xf>
    <xf numFmtId="0" fontId="10" fillId="59" borderId="213" applyNumberFormat="0" applyProtection="0">
      <alignment horizontal="left" vertical="center" indent="1"/>
    </xf>
    <xf numFmtId="4" fontId="42" fillId="86" borderId="225">
      <alignment horizontal="left" vertical="center" indent="1"/>
    </xf>
    <xf numFmtId="4" fontId="42" fillId="86" borderId="225">
      <alignment horizontal="left" vertical="center" indent="1"/>
    </xf>
    <xf numFmtId="4" fontId="42" fillId="86" borderId="225">
      <alignment horizontal="left" vertical="center" indent="1"/>
    </xf>
    <xf numFmtId="4" fontId="42" fillId="86" borderId="225">
      <alignment horizontal="left" vertical="center" indent="1"/>
    </xf>
    <xf numFmtId="4" fontId="42" fillId="86" borderId="225">
      <alignment horizontal="left" vertical="center" indent="1"/>
    </xf>
    <xf numFmtId="0" fontId="10" fillId="59" borderId="213" applyNumberFormat="0" applyProtection="0">
      <alignment horizontal="left" vertical="center" indent="1"/>
    </xf>
    <xf numFmtId="0" fontId="10" fillId="59" borderId="213" applyNumberFormat="0" applyProtection="0">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lignment horizontal="left" vertical="center" indent="1"/>
    </xf>
    <xf numFmtId="0" fontId="10" fillId="59" borderId="213" applyNumberFormat="0" applyProtection="0">
      <alignment horizontal="left" vertical="center" indent="1"/>
    </xf>
    <xf numFmtId="0" fontId="288" fillId="0" borderId="0"/>
    <xf numFmtId="4" fontId="12" fillId="166" borderId="213" applyNumberFormat="0" applyProtection="0">
      <alignment horizontal="right" vertical="center"/>
    </xf>
    <xf numFmtId="4" fontId="12" fillId="166" borderId="213" applyNumberFormat="0" applyProtection="0">
      <alignment horizontal="right" vertical="center"/>
    </xf>
    <xf numFmtId="185" fontId="70" fillId="0" borderId="0" applyNumberFormat="0" applyFill="0" applyBorder="0" applyProtection="0">
      <alignment horizontal="left"/>
    </xf>
    <xf numFmtId="0" fontId="82" fillId="0" borderId="37">
      <alignment horizontal="center" vertical="center"/>
    </xf>
    <xf numFmtId="0" fontId="95" fillId="57" borderId="22"/>
    <xf numFmtId="0" fontId="95" fillId="57" borderId="22"/>
    <xf numFmtId="0" fontId="95" fillId="57" borderId="22"/>
    <xf numFmtId="0" fontId="95" fillId="57" borderId="22"/>
    <xf numFmtId="0" fontId="95" fillId="57" borderId="22"/>
    <xf numFmtId="0" fontId="95" fillId="57" borderId="22"/>
    <xf numFmtId="0" fontId="95" fillId="57" borderId="22"/>
    <xf numFmtId="0" fontId="95" fillId="57" borderId="22"/>
    <xf numFmtId="0" fontId="95" fillId="57" borderId="22"/>
    <xf numFmtId="0" fontId="95" fillId="57" borderId="22"/>
    <xf numFmtId="0" fontId="289" fillId="167" borderId="0" applyNumberFormat="0" applyFill="0" applyBorder="0">
      <alignment vertical="center"/>
    </xf>
    <xf numFmtId="0" fontId="290" fillId="0" borderId="0" applyFill="0" applyBorder="0">
      <alignment vertical="center"/>
    </xf>
    <xf numFmtId="181" fontId="291" fillId="145" borderId="0">
      <alignment horizontal="right"/>
    </xf>
    <xf numFmtId="179" fontId="72" fillId="121" borderId="0">
      <alignment horizontal="right" vertical="center"/>
    </xf>
    <xf numFmtId="179" fontId="72" fillId="121" borderId="0">
      <alignment horizontal="right" vertical="center"/>
    </xf>
    <xf numFmtId="179" fontId="72" fillId="121" borderId="0">
      <alignment horizontal="right" vertical="center"/>
    </xf>
    <xf numFmtId="179" fontId="72" fillId="121" borderId="0">
      <alignment horizontal="right" vertical="center"/>
    </xf>
    <xf numFmtId="179" fontId="72" fillId="121" borderId="0">
      <alignment horizontal="right" vertical="center"/>
    </xf>
    <xf numFmtId="179" fontId="72" fillId="121" borderId="0">
      <alignment horizontal="right" vertical="center"/>
    </xf>
    <xf numFmtId="179" fontId="72" fillId="121" borderId="0">
      <alignment horizontal="right" vertical="center"/>
    </xf>
    <xf numFmtId="179" fontId="72" fillId="121" borderId="0">
      <alignment horizontal="right" vertical="center"/>
    </xf>
    <xf numFmtId="182" fontId="72" fillId="121" borderId="0">
      <alignment horizontal="right" vertical="center"/>
    </xf>
    <xf numFmtId="0" fontId="10" fillId="0" borderId="42"/>
    <xf numFmtId="0" fontId="292" fillId="0" borderId="0"/>
    <xf numFmtId="0" fontId="10" fillId="0" borderId="0"/>
    <xf numFmtId="0" fontId="10" fillId="0" borderId="0"/>
    <xf numFmtId="0" fontId="293" fillId="0" borderId="0">
      <alignment horizontal="right"/>
    </xf>
    <xf numFmtId="0" fontId="293" fillId="0" borderId="0">
      <alignment horizontal="right"/>
    </xf>
    <xf numFmtId="0" fontId="293" fillId="0" borderId="0">
      <alignment horizontal="left"/>
    </xf>
    <xf numFmtId="0" fontId="293" fillId="0" borderId="0">
      <alignment horizontal="left"/>
    </xf>
    <xf numFmtId="0" fontId="10" fillId="86" borderId="0" applyNumberFormat="0" applyFont="0" applyBorder="0" applyProtection="0">
      <alignment horizontal="left" vertical="center"/>
    </xf>
    <xf numFmtId="0" fontId="10" fillId="0" borderId="223" applyNumberFormat="0" applyFill="0" applyProtection="0">
      <alignment horizontal="left" vertical="center" wrapText="1" indent="1"/>
    </xf>
    <xf numFmtId="260" fontId="10" fillId="0" borderId="223" applyFill="0" applyProtection="0">
      <alignment horizontal="right" vertical="center" wrapText="1"/>
    </xf>
    <xf numFmtId="261" fontId="10" fillId="0" borderId="223" applyFill="0" applyProtection="0">
      <alignment horizontal="right" vertical="center" wrapText="1"/>
    </xf>
    <xf numFmtId="0" fontId="10" fillId="0" borderId="0" applyNumberFormat="0" applyFill="0" applyBorder="0" applyProtection="0">
      <alignment horizontal="left" vertical="center" wrapText="1"/>
    </xf>
    <xf numFmtId="0" fontId="10" fillId="0" borderId="0" applyNumberFormat="0" applyFill="0" applyBorder="0" applyProtection="0">
      <alignment horizontal="left" vertical="center" wrapText="1" indent="1"/>
    </xf>
    <xf numFmtId="260" fontId="10" fillId="0" borderId="0" applyFill="0" applyBorder="0" applyProtection="0">
      <alignment horizontal="right" vertical="center" wrapText="1"/>
    </xf>
    <xf numFmtId="261" fontId="10" fillId="0" borderId="0" applyFill="0" applyBorder="0" applyProtection="0">
      <alignment horizontal="right" vertical="center" wrapText="1"/>
    </xf>
    <xf numFmtId="0" fontId="10" fillId="0" borderId="226" applyNumberFormat="0" applyFill="0" applyProtection="0">
      <alignment horizontal="left" vertical="center" wrapText="1"/>
    </xf>
    <xf numFmtId="0" fontId="10" fillId="0" borderId="226" applyNumberFormat="0" applyFill="0" applyProtection="0">
      <alignment horizontal="left" vertical="center" wrapText="1" indent="1"/>
    </xf>
    <xf numFmtId="260" fontId="10" fillId="0" borderId="226" applyFill="0" applyProtection="0">
      <alignment horizontal="right" vertical="center" wrapText="1"/>
    </xf>
    <xf numFmtId="0" fontId="10" fillId="0" borderId="0" applyNumberFormat="0" applyFill="0" applyBorder="0" applyAlignment="0" applyProtection="0"/>
    <xf numFmtId="0" fontId="10" fillId="0" borderId="0" applyNumberFormat="0" applyFill="0" applyBorder="0" applyProtection="0">
      <alignment vertical="center" wrapText="1"/>
    </xf>
    <xf numFmtId="0" fontId="10" fillId="0" borderId="0" applyNumberFormat="0" applyFill="0" applyBorder="0" applyProtection="0">
      <alignment vertical="center" wrapText="1"/>
    </xf>
    <xf numFmtId="0" fontId="5" fillId="0" borderId="0" applyNumberFormat="0" applyFill="0" applyBorder="0" applyProtection="0">
      <alignment horizontal="left" vertical="center" wrapText="1"/>
    </xf>
    <xf numFmtId="0" fontId="10" fillId="0" borderId="0" applyNumberFormat="0" applyFill="0" applyBorder="0" applyProtection="0">
      <alignment vertical="center" wrapText="1"/>
    </xf>
    <xf numFmtId="0" fontId="10" fillId="0" borderId="0" applyNumberFormat="0" applyFill="0" applyBorder="0" applyProtection="0">
      <alignment vertical="center" wrapText="1"/>
    </xf>
    <xf numFmtId="0" fontId="10" fillId="0" borderId="0" applyNumberFormat="0" applyFont="0" applyFill="0" applyBorder="0" applyProtection="0">
      <alignment horizontal="left" vertical="center"/>
    </xf>
    <xf numFmtId="0" fontId="3" fillId="0" borderId="0" applyNumberFormat="0" applyFill="0" applyBorder="0" applyProtection="0">
      <alignment horizontal="left" vertical="center" wrapText="1"/>
    </xf>
    <xf numFmtId="0" fontId="3" fillId="0" borderId="0" applyNumberFormat="0" applyFill="0" applyBorder="0" applyProtection="0">
      <alignment horizontal="left" vertical="center" wrapText="1"/>
    </xf>
    <xf numFmtId="0" fontId="53" fillId="0" borderId="0" applyNumberFormat="0" applyFill="0" applyBorder="0" applyProtection="0">
      <alignment vertical="center" wrapText="1"/>
    </xf>
    <xf numFmtId="0" fontId="10" fillId="0" borderId="227" applyNumberFormat="0" applyFont="0" applyFill="0" applyProtection="0">
      <alignment horizontal="center" vertical="center" wrapText="1"/>
    </xf>
    <xf numFmtId="0" fontId="3" fillId="0" borderId="227" applyNumberFormat="0" applyFill="0" applyProtection="0">
      <alignment horizontal="center" vertical="center" wrapText="1"/>
    </xf>
    <xf numFmtId="0" fontId="3" fillId="0" borderId="227" applyNumberFormat="0" applyFill="0" applyProtection="0">
      <alignment horizontal="center" vertical="center" wrapText="1"/>
    </xf>
    <xf numFmtId="0" fontId="10" fillId="0" borderId="223" applyNumberFormat="0" applyFill="0" applyProtection="0">
      <alignment horizontal="left" vertical="center" wrapText="1"/>
    </xf>
    <xf numFmtId="0" fontId="294" fillId="0" borderId="228"/>
    <xf numFmtId="0" fontId="10" fillId="0" borderId="0"/>
    <xf numFmtId="0" fontId="31"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179" fontId="10" fillId="0" borderId="0"/>
    <xf numFmtId="0" fontId="87" fillId="0" borderId="0"/>
    <xf numFmtId="179" fontId="10" fillId="0" borderId="0"/>
    <xf numFmtId="179" fontId="33" fillId="0" borderId="0"/>
    <xf numFmtId="179" fontId="33" fillId="0" borderId="0"/>
    <xf numFmtId="179" fontId="33" fillId="0" borderId="0"/>
    <xf numFmtId="179" fontId="33" fillId="0" borderId="0"/>
    <xf numFmtId="0" fontId="33" fillId="0" borderId="0"/>
    <xf numFmtId="0" fontId="10" fillId="0" borderId="0">
      <alignment vertical="top"/>
    </xf>
    <xf numFmtId="262" fontId="10" fillId="0" borderId="0" applyFont="0" applyFill="0" applyBorder="0" applyAlignment="0" applyProtection="0">
      <alignment horizontal="left"/>
    </xf>
    <xf numFmtId="0" fontId="10" fillId="0" borderId="194" applyNumberFormat="0" applyFill="0" applyProtection="0">
      <alignment horizontal="right"/>
    </xf>
    <xf numFmtId="0" fontId="5" fillId="168" borderId="229" applyNumberFormat="0" applyProtection="0">
      <alignment horizontal="center" wrapText="1"/>
    </xf>
    <xf numFmtId="262" fontId="10" fillId="0" borderId="0" applyFont="0" applyFill="0" applyBorder="0" applyAlignment="0" applyProtection="0">
      <alignment horizontal="left"/>
    </xf>
    <xf numFmtId="0" fontId="5" fillId="168" borderId="229" applyNumberFormat="0" applyProtection="0">
      <alignment horizontal="center" wrapText="1"/>
    </xf>
    <xf numFmtId="0" fontId="5" fillId="168" borderId="229" applyNumberFormat="0" applyProtection="0">
      <alignment horizontal="center" wrapText="1"/>
    </xf>
    <xf numFmtId="0" fontId="5" fillId="168" borderId="229" applyNumberFormat="0" applyProtection="0">
      <alignment horizontal="center" wrapText="1"/>
    </xf>
    <xf numFmtId="0" fontId="10" fillId="0" borderId="194" applyNumberFormat="0" applyFill="0" applyProtection="0">
      <alignment horizontal="right"/>
    </xf>
    <xf numFmtId="165" fontId="10" fillId="0" borderId="0" applyFont="0" applyFill="0" applyBorder="0" applyAlignment="0" applyProtection="0">
      <alignment horizontal="left"/>
    </xf>
    <xf numFmtId="0" fontId="5" fillId="169" borderId="194" applyNumberFormat="0" applyProtection="0">
      <alignment horizontal="right"/>
    </xf>
    <xf numFmtId="0" fontId="5" fillId="168" borderId="230" applyNumberFormat="0" applyAlignment="0" applyProtection="0">
      <alignment wrapText="1"/>
    </xf>
    <xf numFmtId="165" fontId="10" fillId="0" borderId="0" applyFont="0" applyFill="0" applyBorder="0" applyAlignment="0" applyProtection="0">
      <alignment horizontal="left"/>
    </xf>
    <xf numFmtId="0" fontId="5" fillId="168" borderId="230" applyNumberFormat="0" applyAlignment="0" applyProtection="0">
      <alignment wrapText="1"/>
    </xf>
    <xf numFmtId="0" fontId="5" fillId="168" borderId="230" applyNumberFormat="0" applyAlignment="0" applyProtection="0">
      <alignment wrapText="1"/>
    </xf>
    <xf numFmtId="0" fontId="5" fillId="168" borderId="230" applyNumberFormat="0" applyAlignment="0" applyProtection="0">
      <alignment wrapText="1"/>
    </xf>
    <xf numFmtId="0" fontId="5" fillId="169" borderId="194" applyNumberFormat="0" applyProtection="0">
      <alignment horizontal="right"/>
    </xf>
    <xf numFmtId="263" fontId="10" fillId="0" borderId="0" applyFont="0" applyFill="0" applyBorder="0" applyAlignment="0" applyProtection="0">
      <alignment horizontal="left"/>
    </xf>
    <xf numFmtId="0" fontId="10" fillId="170" borderId="0" applyNumberFormat="0" applyBorder="0">
      <alignment horizontal="center" wrapText="1"/>
    </xf>
    <xf numFmtId="263" fontId="10" fillId="0" borderId="0" applyFont="0" applyFill="0" applyBorder="0" applyAlignment="0" applyProtection="0">
      <alignment horizontal="left"/>
    </xf>
    <xf numFmtId="0" fontId="3" fillId="169" borderId="0" applyNumberFormat="0" applyBorder="0" applyProtection="0">
      <alignment horizontal="left"/>
    </xf>
    <xf numFmtId="49" fontId="10" fillId="0" borderId="0" applyFill="0" applyBorder="0" applyProtection="0">
      <alignment horizontal="left"/>
    </xf>
    <xf numFmtId="0" fontId="5" fillId="169" borderId="194" applyNumberFormat="0" applyProtection="0">
      <alignment horizontal="left"/>
    </xf>
    <xf numFmtId="49" fontId="10" fillId="0" borderId="0" applyFill="0" applyBorder="0" applyProtection="0">
      <alignment horizontal="left"/>
    </xf>
    <xf numFmtId="0" fontId="10" fillId="170" borderId="0" applyNumberFormat="0" applyBorder="0">
      <alignment wrapText="1"/>
    </xf>
    <xf numFmtId="0" fontId="5" fillId="169" borderId="194" applyNumberFormat="0" applyProtection="0">
      <alignment horizontal="left"/>
    </xf>
    <xf numFmtId="0" fontId="10" fillId="0" borderId="194" applyNumberFormat="0" applyFill="0" applyProtection="0">
      <alignment horizontal="right"/>
    </xf>
    <xf numFmtId="0" fontId="10" fillId="0" borderId="194" applyNumberFormat="0" applyFill="0" applyProtection="0">
      <alignment horizontal="right"/>
    </xf>
    <xf numFmtId="0" fontId="10" fillId="0" borderId="0" applyNumberFormat="0" applyFill="0" applyBorder="0" applyProtection="0">
      <alignment horizontal="right" wrapText="1"/>
    </xf>
    <xf numFmtId="0" fontId="295" fillId="118" borderId="0" applyNumberFormat="0" applyBorder="0" applyProtection="0">
      <alignment horizontal="left"/>
    </xf>
    <xf numFmtId="264" fontId="10" fillId="0" borderId="0" applyFill="0" applyBorder="0" applyAlignment="0" applyProtection="0">
      <alignment wrapText="1"/>
    </xf>
    <xf numFmtId="265" fontId="10" fillId="0" borderId="0" applyFill="0" applyBorder="0" applyAlignment="0" applyProtection="0">
      <alignment wrapText="1"/>
    </xf>
    <xf numFmtId="266" fontId="10" fillId="0" borderId="0" applyFill="0" applyBorder="0" applyAlignment="0" applyProtection="0">
      <alignment wrapText="1"/>
    </xf>
    <xf numFmtId="262" fontId="10" fillId="0" borderId="0" applyFont="0" applyFill="0" applyBorder="0" applyAlignment="0" applyProtection="0">
      <alignment horizontal="left"/>
    </xf>
    <xf numFmtId="262" fontId="10" fillId="0" borderId="0" applyFont="0" applyFill="0" applyBorder="0" applyAlignment="0" applyProtection="0">
      <alignment horizontal="left"/>
    </xf>
    <xf numFmtId="0" fontId="10" fillId="0" borderId="0" applyNumberFormat="0" applyFill="0" applyBorder="0" applyProtection="0">
      <alignment horizontal="right" wrapText="1"/>
    </xf>
    <xf numFmtId="165" fontId="10" fillId="0" borderId="0" applyFont="0" applyFill="0" applyBorder="0" applyAlignment="0" applyProtection="0">
      <alignment horizontal="left"/>
    </xf>
    <xf numFmtId="165" fontId="10" fillId="0" borderId="0" applyFont="0" applyFill="0" applyBorder="0" applyAlignment="0" applyProtection="0">
      <alignment horizontal="left"/>
    </xf>
    <xf numFmtId="0" fontId="10" fillId="0" borderId="0" applyNumberFormat="0" applyFill="0" applyBorder="0">
      <alignment horizontal="right" wrapText="1"/>
    </xf>
    <xf numFmtId="263" fontId="10" fillId="0" borderId="0" applyFont="0" applyFill="0" applyBorder="0" applyAlignment="0" applyProtection="0">
      <alignment horizontal="left"/>
    </xf>
    <xf numFmtId="263" fontId="10" fillId="0" borderId="0" applyFont="0" applyFill="0" applyBorder="0" applyAlignment="0" applyProtection="0">
      <alignment horizontal="left"/>
    </xf>
    <xf numFmtId="17" fontId="10" fillId="0" borderId="0" applyFill="0" applyBorder="0">
      <alignment horizontal="right" wrapText="1"/>
    </xf>
    <xf numFmtId="49" fontId="10" fillId="0" borderId="0" applyFill="0" applyBorder="0" applyProtection="0">
      <alignment horizontal="left"/>
    </xf>
    <xf numFmtId="49" fontId="10" fillId="0" borderId="0" applyFill="0" applyBorder="0" applyProtection="0">
      <alignment horizontal="left"/>
    </xf>
    <xf numFmtId="267" fontId="10" fillId="0" borderId="0" applyFill="0" applyBorder="0" applyAlignment="0" applyProtection="0">
      <alignment wrapText="1"/>
    </xf>
    <xf numFmtId="0" fontId="3"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9" fontId="10" fillId="0" borderId="194" applyFill="0" applyProtection="0">
      <alignment horizontal="right"/>
    </xf>
    <xf numFmtId="49" fontId="10" fillId="0" borderId="194" applyFill="0" applyProtection="0">
      <alignment horizontal="right"/>
    </xf>
    <xf numFmtId="0" fontId="5" fillId="169" borderId="194" applyNumberFormat="0" applyProtection="0">
      <alignment horizontal="right"/>
    </xf>
    <xf numFmtId="0" fontId="5" fillId="169" borderId="194" applyNumberFormat="0" applyProtection="0">
      <alignment horizontal="right"/>
    </xf>
    <xf numFmtId="0" fontId="3" fillId="169" borderId="0" applyNumberFormat="0" applyBorder="0" applyProtection="0">
      <alignment horizontal="left"/>
    </xf>
    <xf numFmtId="0" fontId="3" fillId="169" borderId="0">
      <alignment horizontal="left"/>
    </xf>
    <xf numFmtId="0" fontId="295" fillId="118" borderId="0" applyNumberFormat="0" applyBorder="0" applyProtection="0">
      <alignment horizontal="left"/>
    </xf>
    <xf numFmtId="0" fontId="295" fillId="118" borderId="0">
      <alignment horizontal="left"/>
    </xf>
    <xf numFmtId="0" fontId="73" fillId="171" borderId="0" applyNumberFormat="0" applyBorder="0" applyProtection="0">
      <alignment horizontal="left"/>
    </xf>
    <xf numFmtId="0" fontId="73" fillId="171" borderId="0">
      <alignment horizontal="left"/>
    </xf>
    <xf numFmtId="0" fontId="296" fillId="10" borderId="50">
      <alignment horizontal="center"/>
    </xf>
    <xf numFmtId="3" fontId="156" fillId="10" borderId="0"/>
    <xf numFmtId="3" fontId="296" fillId="10" borderId="0"/>
    <xf numFmtId="0" fontId="156" fillId="10" borderId="0"/>
    <xf numFmtId="0" fontId="296" fillId="10" borderId="0"/>
    <xf numFmtId="0" fontId="156" fillId="10" borderId="0">
      <alignment horizontal="center"/>
    </xf>
    <xf numFmtId="2" fontId="297" fillId="118" borderId="178" applyProtection="0"/>
    <xf numFmtId="2" fontId="297" fillId="118" borderId="178" applyProtection="0"/>
    <xf numFmtId="2" fontId="298" fillId="0" borderId="0" applyFill="0" applyBorder="0" applyProtection="0"/>
    <xf numFmtId="0" fontId="10" fillId="0" borderId="143"/>
    <xf numFmtId="2" fontId="298" fillId="171" borderId="178" applyProtection="0"/>
    <xf numFmtId="2" fontId="298" fillId="169" borderId="178" applyProtection="0"/>
    <xf numFmtId="2" fontId="298" fillId="172" borderId="178" applyProtection="0"/>
    <xf numFmtId="2" fontId="298" fillId="169" borderId="178" applyProtection="0">
      <alignment horizontal="center"/>
    </xf>
    <xf numFmtId="1" fontId="299" fillId="0" borderId="0">
      <alignment horizontal="left"/>
    </xf>
    <xf numFmtId="3" fontId="300" fillId="0" borderId="0"/>
    <xf numFmtId="3" fontId="301" fillId="0" borderId="231"/>
    <xf numFmtId="3" fontId="301" fillId="0" borderId="193"/>
    <xf numFmtId="3" fontId="301" fillId="0" borderId="232"/>
    <xf numFmtId="3" fontId="300" fillId="0" borderId="0"/>
    <xf numFmtId="179" fontId="71" fillId="4" borderId="194"/>
    <xf numFmtId="0" fontId="71" fillId="4" borderId="194"/>
    <xf numFmtId="0" fontId="71" fillId="4" borderId="194"/>
    <xf numFmtId="0" fontId="281" fillId="0" borderId="0">
      <alignment horizontal="centerContinuous"/>
    </xf>
    <xf numFmtId="0" fontId="282" fillId="0" borderId="0">
      <alignment horizontal="centerContinuous"/>
    </xf>
    <xf numFmtId="0" fontId="281" fillId="0" borderId="0">
      <alignment horizontal="centerContinuous"/>
    </xf>
    <xf numFmtId="0" fontId="282" fillId="0" borderId="0">
      <alignment horizontal="centerContinuous"/>
    </xf>
    <xf numFmtId="0" fontId="302" fillId="0" borderId="0">
      <alignment wrapText="1"/>
    </xf>
    <xf numFmtId="0" fontId="302" fillId="0" borderId="0">
      <alignment wrapText="1"/>
    </xf>
    <xf numFmtId="0" fontId="302" fillId="0" borderId="0">
      <alignment wrapText="1"/>
    </xf>
    <xf numFmtId="0" fontId="302" fillId="0" borderId="0">
      <alignment wrapText="1"/>
    </xf>
    <xf numFmtId="165" fontId="303" fillId="152" borderId="0">
      <alignment horizontal="left"/>
    </xf>
    <xf numFmtId="0" fontId="304" fillId="0" borderId="0" applyBorder="0" applyProtection="0">
      <alignment vertical="center"/>
    </xf>
    <xf numFmtId="0" fontId="304" fillId="0" borderId="37" applyBorder="0" applyProtection="0">
      <alignment horizontal="right" vertical="center"/>
    </xf>
    <xf numFmtId="0" fontId="305" fillId="173" borderId="0" applyBorder="0" applyProtection="0">
      <alignment horizontal="centerContinuous" vertical="center"/>
    </xf>
    <xf numFmtId="0" fontId="305" fillId="152" borderId="37" applyBorder="0" applyProtection="0">
      <alignment horizontal="centerContinuous" vertical="center"/>
    </xf>
    <xf numFmtId="0" fontId="306" fillId="0" borderId="0" applyNumberFormat="0" applyFill="0" applyBorder="0" applyProtection="0">
      <alignment horizontal="left"/>
    </xf>
    <xf numFmtId="0" fontId="73" fillId="174" borderId="0">
      <alignment horizontal="right" vertical="top" wrapText="1"/>
    </xf>
    <xf numFmtId="0" fontId="73" fillId="174" borderId="0">
      <alignment horizontal="right" vertical="top" wrapText="1"/>
    </xf>
    <xf numFmtId="0" fontId="73" fillId="174" borderId="0">
      <alignment horizontal="right" vertical="top" wrapText="1"/>
    </xf>
    <xf numFmtId="0" fontId="73" fillId="174" borderId="0">
      <alignment horizontal="right" vertical="top" wrapText="1"/>
    </xf>
    <xf numFmtId="0" fontId="307" fillId="0" borderId="48" applyNumberFormat="0" applyFill="0">
      <alignment horizontal="right" vertical="center" wrapText="1"/>
    </xf>
    <xf numFmtId="0" fontId="172" fillId="0" borderId="0"/>
    <xf numFmtId="0" fontId="172" fillId="0" borderId="0"/>
    <xf numFmtId="0" fontId="172" fillId="0" borderId="0"/>
    <xf numFmtId="0" fontId="172" fillId="0" borderId="0"/>
    <xf numFmtId="0" fontId="308" fillId="0" borderId="0"/>
    <xf numFmtId="0" fontId="308" fillId="0" borderId="0"/>
    <xf numFmtId="0" fontId="308" fillId="0" borderId="0"/>
    <xf numFmtId="0" fontId="73" fillId="0" borderId="0" applyBorder="0" applyProtection="0">
      <alignment horizontal="left"/>
    </xf>
    <xf numFmtId="0" fontId="309" fillId="0" borderId="233">
      <alignment horizontal="center" vertical="center"/>
    </xf>
    <xf numFmtId="268" fontId="310" fillId="0" borderId="37">
      <alignment horizontal="center" vertical="center"/>
    </xf>
    <xf numFmtId="43" fontId="309" fillId="0" borderId="233">
      <alignment horizontal="right" vertical="center"/>
    </xf>
    <xf numFmtId="269" fontId="309" fillId="0" borderId="37">
      <alignment horizontal="left" vertical="center"/>
    </xf>
    <xf numFmtId="269" fontId="309" fillId="0" borderId="50">
      <alignment horizontal="left" vertical="center"/>
    </xf>
    <xf numFmtId="270" fontId="309" fillId="0" borderId="37">
      <alignment horizontal="left" vertical="center"/>
    </xf>
    <xf numFmtId="270" fontId="309" fillId="0" borderId="50">
      <alignment horizontal="left" vertical="center"/>
    </xf>
    <xf numFmtId="268" fontId="309" fillId="0" borderId="37">
      <alignment horizontal="center" vertical="center"/>
    </xf>
    <xf numFmtId="43" fontId="310" fillId="0" borderId="37">
      <alignment horizontal="center" vertical="center"/>
    </xf>
    <xf numFmtId="268" fontId="310" fillId="0" borderId="37">
      <alignment horizontal="center" vertical="center"/>
    </xf>
    <xf numFmtId="268" fontId="309" fillId="0" borderId="37">
      <alignment horizontal="center" vertical="center"/>
    </xf>
    <xf numFmtId="0" fontId="311" fillId="0" borderId="37">
      <alignment vertical="center"/>
    </xf>
    <xf numFmtId="43" fontId="311" fillId="0" borderId="233">
      <alignment vertical="center"/>
    </xf>
    <xf numFmtId="269" fontId="311" fillId="0" borderId="37">
      <alignment vertical="center"/>
    </xf>
    <xf numFmtId="269" fontId="311" fillId="0" borderId="50">
      <alignment horizontal="left" vertical="center"/>
    </xf>
    <xf numFmtId="270" fontId="311" fillId="0" borderId="50">
      <alignment horizontal="left" vertical="center"/>
    </xf>
    <xf numFmtId="0" fontId="309" fillId="0" borderId="37">
      <alignment horizontal="center" vertical="center"/>
    </xf>
    <xf numFmtId="43" fontId="309" fillId="0" borderId="37">
      <alignment horizontal="right" vertical="center"/>
    </xf>
    <xf numFmtId="271" fontId="311" fillId="0" borderId="50">
      <alignment horizontal="center" vertical="center"/>
    </xf>
    <xf numFmtId="43" fontId="311" fillId="0" borderId="50">
      <alignment horizontal="center" vertical="center"/>
    </xf>
    <xf numFmtId="2" fontId="311" fillId="0" borderId="50">
      <alignment horizontal="center" vertical="center"/>
    </xf>
    <xf numFmtId="2" fontId="311" fillId="0" borderId="50">
      <alignment horizontal="right" vertical="center"/>
    </xf>
    <xf numFmtId="2" fontId="309" fillId="0" borderId="50">
      <alignment horizontal="center" vertical="center"/>
    </xf>
    <xf numFmtId="2" fontId="309" fillId="0" borderId="50">
      <alignment horizontal="right" vertical="center"/>
    </xf>
    <xf numFmtId="268" fontId="312" fillId="0" borderId="233">
      <alignment horizontal="center" vertical="center"/>
    </xf>
    <xf numFmtId="176" fontId="310" fillId="0" borderId="37">
      <alignment horizontal="center" vertical="center"/>
    </xf>
    <xf numFmtId="176" fontId="310" fillId="0" borderId="50">
      <alignment horizontal="center" vertical="center"/>
    </xf>
    <xf numFmtId="268" fontId="312" fillId="0" borderId="37">
      <alignment horizontal="center" vertical="center"/>
    </xf>
    <xf numFmtId="268" fontId="310" fillId="0" borderId="50">
      <alignment horizontal="center" vertical="center"/>
    </xf>
    <xf numFmtId="0" fontId="309" fillId="0" borderId="0">
      <alignment horizontal="left"/>
    </xf>
    <xf numFmtId="2" fontId="309" fillId="0" borderId="233">
      <alignment horizontal="center" vertical="center"/>
    </xf>
    <xf numFmtId="2" fontId="311" fillId="0" borderId="233">
      <alignment horizontal="center" vertical="center"/>
    </xf>
    <xf numFmtId="2" fontId="309" fillId="0" borderId="37">
      <alignment horizontal="center" vertical="center"/>
    </xf>
    <xf numFmtId="2" fontId="311" fillId="0" borderId="37">
      <alignment horizontal="center" vertical="center"/>
    </xf>
    <xf numFmtId="4" fontId="309" fillId="0" borderId="233">
      <alignment horizontal="right" vertical="center"/>
    </xf>
    <xf numFmtId="4" fontId="311" fillId="0" borderId="233">
      <alignment horizontal="right" vertical="center"/>
    </xf>
    <xf numFmtId="4" fontId="313" fillId="0" borderId="37">
      <alignment horizontal="right" vertical="center"/>
    </xf>
    <xf numFmtId="4" fontId="309" fillId="0" borderId="37">
      <alignment horizontal="right" vertical="center"/>
    </xf>
    <xf numFmtId="2" fontId="309" fillId="0" borderId="37">
      <alignment horizontal="right" vertical="center"/>
    </xf>
    <xf numFmtId="0" fontId="309" fillId="0" borderId="233">
      <alignment horizontal="left" vertical="center"/>
    </xf>
    <xf numFmtId="0" fontId="309" fillId="0" borderId="37">
      <alignment horizontal="left" vertical="center"/>
    </xf>
    <xf numFmtId="0" fontId="311" fillId="0" borderId="37">
      <alignment horizontal="left" vertical="center"/>
    </xf>
    <xf numFmtId="0" fontId="309" fillId="0" borderId="37">
      <alignment horizontal="left" vertical="center"/>
    </xf>
    <xf numFmtId="0" fontId="309" fillId="0" borderId="0">
      <alignment horizontal="right"/>
    </xf>
    <xf numFmtId="0" fontId="314" fillId="0" borderId="0"/>
    <xf numFmtId="0" fontId="314" fillId="0" borderId="0"/>
    <xf numFmtId="0" fontId="314" fillId="0" borderId="0"/>
    <xf numFmtId="272" fontId="69" fillId="0" borderId="0">
      <alignment wrapText="1"/>
      <protection locked="0"/>
    </xf>
    <xf numFmtId="272" fontId="69" fillId="0" borderId="0">
      <alignment wrapText="1"/>
      <protection locked="0"/>
    </xf>
    <xf numFmtId="272" fontId="73" fillId="159" borderId="0">
      <alignment wrapText="1"/>
      <protection locked="0"/>
    </xf>
    <xf numFmtId="272" fontId="73" fillId="159" borderId="0">
      <alignment wrapText="1"/>
      <protection locked="0"/>
    </xf>
    <xf numFmtId="272" fontId="73" fillId="159" borderId="0">
      <alignment wrapText="1"/>
      <protection locked="0"/>
    </xf>
    <xf numFmtId="272" fontId="73" fillId="159" borderId="0">
      <alignment wrapText="1"/>
      <protection locked="0"/>
    </xf>
    <xf numFmtId="272" fontId="69" fillId="0" borderId="0">
      <alignment wrapText="1"/>
      <protection locked="0"/>
    </xf>
    <xf numFmtId="273" fontId="69" fillId="0" borderId="0">
      <alignment wrapText="1"/>
      <protection locked="0"/>
    </xf>
    <xf numFmtId="273" fontId="69" fillId="0" borderId="0">
      <alignment wrapText="1"/>
      <protection locked="0"/>
    </xf>
    <xf numFmtId="273" fontId="69" fillId="0" borderId="0">
      <alignment wrapText="1"/>
      <protection locked="0"/>
    </xf>
    <xf numFmtId="273" fontId="73" fillId="159" borderId="0">
      <alignment wrapText="1"/>
      <protection locked="0"/>
    </xf>
    <xf numFmtId="273" fontId="73" fillId="159" borderId="0">
      <alignment wrapText="1"/>
      <protection locked="0"/>
    </xf>
    <xf numFmtId="273" fontId="73" fillId="159" borderId="0">
      <alignment wrapText="1"/>
      <protection locked="0"/>
    </xf>
    <xf numFmtId="273" fontId="73" fillId="159" borderId="0">
      <alignment wrapText="1"/>
      <protection locked="0"/>
    </xf>
    <xf numFmtId="273" fontId="73" fillId="159" borderId="0">
      <alignment wrapText="1"/>
      <protection locked="0"/>
    </xf>
    <xf numFmtId="273" fontId="69" fillId="0" borderId="0">
      <alignment wrapText="1"/>
      <protection locked="0"/>
    </xf>
    <xf numFmtId="274" fontId="69" fillId="0" borderId="0">
      <alignment wrapText="1"/>
      <protection locked="0"/>
    </xf>
    <xf numFmtId="274" fontId="69" fillId="0" borderId="0">
      <alignment wrapText="1"/>
      <protection locked="0"/>
    </xf>
    <xf numFmtId="274" fontId="73" fillId="159" borderId="0">
      <alignment wrapText="1"/>
      <protection locked="0"/>
    </xf>
    <xf numFmtId="274" fontId="73" fillId="159" borderId="0">
      <alignment wrapText="1"/>
      <protection locked="0"/>
    </xf>
    <xf numFmtId="274" fontId="73" fillId="159" borderId="0">
      <alignment wrapText="1"/>
      <protection locked="0"/>
    </xf>
    <xf numFmtId="274" fontId="73" fillId="159" borderId="0">
      <alignment wrapText="1"/>
      <protection locked="0"/>
    </xf>
    <xf numFmtId="274" fontId="69" fillId="0" borderId="0">
      <alignment wrapText="1"/>
      <protection locked="0"/>
    </xf>
    <xf numFmtId="0" fontId="309" fillId="0" borderId="0">
      <alignment horizontal="center"/>
    </xf>
    <xf numFmtId="0" fontId="178" fillId="0" borderId="0" applyNumberFormat="0" applyFill="0" applyBorder="0" applyProtection="0">
      <alignment horizontal="left"/>
    </xf>
    <xf numFmtId="0" fontId="207" fillId="0" borderId="0" applyNumberFormat="0" applyFill="0" applyBorder="0" applyProtection="0"/>
    <xf numFmtId="0" fontId="32" fillId="0" borderId="0" applyFill="0" applyBorder="0" applyProtection="0">
      <alignment horizontal="left"/>
    </xf>
    <xf numFmtId="275" fontId="73" fillId="174" borderId="234">
      <alignment wrapText="1"/>
    </xf>
    <xf numFmtId="275" fontId="73" fillId="174" borderId="234">
      <alignment wrapText="1"/>
    </xf>
    <xf numFmtId="275" fontId="73" fillId="174" borderId="234">
      <alignment wrapText="1"/>
    </xf>
    <xf numFmtId="275" fontId="73" fillId="174" borderId="234">
      <alignment wrapText="1"/>
    </xf>
    <xf numFmtId="275" fontId="73" fillId="174" borderId="234">
      <alignment wrapText="1"/>
    </xf>
    <xf numFmtId="276" fontId="73" fillId="174" borderId="234">
      <alignment wrapText="1"/>
    </xf>
    <xf numFmtId="276" fontId="73" fillId="174" borderId="234">
      <alignment wrapText="1"/>
    </xf>
    <xf numFmtId="276" fontId="73" fillId="174" borderId="234">
      <alignment wrapText="1"/>
    </xf>
    <xf numFmtId="276" fontId="73" fillId="174" borderId="234">
      <alignment wrapText="1"/>
    </xf>
    <xf numFmtId="276" fontId="73" fillId="174" borderId="234">
      <alignment wrapText="1"/>
    </xf>
    <xf numFmtId="276" fontId="73" fillId="174" borderId="234">
      <alignment wrapText="1"/>
    </xf>
    <xf numFmtId="276" fontId="73" fillId="174" borderId="234">
      <alignment wrapText="1"/>
    </xf>
    <xf numFmtId="277" fontId="73" fillId="174" borderId="234">
      <alignment wrapText="1"/>
    </xf>
    <xf numFmtId="277" fontId="73" fillId="174" borderId="234">
      <alignment wrapText="1"/>
    </xf>
    <xf numFmtId="277" fontId="73" fillId="174" borderId="234">
      <alignment wrapText="1"/>
    </xf>
    <xf numFmtId="277" fontId="73" fillId="174" borderId="234">
      <alignment wrapText="1"/>
    </xf>
    <xf numFmtId="277" fontId="73" fillId="174" borderId="234">
      <alignment wrapText="1"/>
    </xf>
    <xf numFmtId="0" fontId="172" fillId="0" borderId="235">
      <alignment horizontal="right"/>
    </xf>
    <xf numFmtId="0" fontId="172" fillId="0" borderId="235">
      <alignment horizontal="right"/>
    </xf>
    <xf numFmtId="0" fontId="172" fillId="0" borderId="235">
      <alignment horizontal="right"/>
    </xf>
    <xf numFmtId="0" fontId="69" fillId="0" borderId="93" applyFill="0" applyBorder="0" applyProtection="0">
      <alignment horizontal="left" vertical="top"/>
    </xf>
    <xf numFmtId="0" fontId="172" fillId="0" borderId="235">
      <alignment horizontal="right"/>
    </xf>
    <xf numFmtId="164" fontId="5" fillId="0" borderId="0" applyFont="0">
      <alignment horizontal="center"/>
    </xf>
    <xf numFmtId="278" fontId="10" fillId="0" borderId="0" applyNumberFormat="0" applyFill="0" applyBorder="0">
      <alignment horizontal="left"/>
    </xf>
    <xf numFmtId="278" fontId="10" fillId="0" borderId="0" applyNumberFormat="0" applyFill="0" applyBorder="0">
      <alignment horizontal="right"/>
    </xf>
    <xf numFmtId="0" fontId="10" fillId="0" borderId="0"/>
    <xf numFmtId="173" fontId="10" fillId="0" borderId="0" applyAlignment="0">
      <alignment horizontal="left"/>
    </xf>
    <xf numFmtId="173" fontId="10" fillId="0" borderId="0" applyAlignment="0">
      <alignment horizontal="left"/>
    </xf>
    <xf numFmtId="15" fontId="10" fillId="0" borderId="0"/>
    <xf numFmtId="15" fontId="10" fillId="0" borderId="0"/>
    <xf numFmtId="15" fontId="10" fillId="0" borderId="0"/>
    <xf numFmtId="15" fontId="10" fillId="0" borderId="0"/>
    <xf numFmtId="173" fontId="10" fillId="0" borderId="0" applyAlignment="0">
      <alignment horizontal="left"/>
    </xf>
    <xf numFmtId="173" fontId="10" fillId="0" borderId="0" applyAlignment="0">
      <alignment horizontal="left"/>
    </xf>
    <xf numFmtId="173" fontId="10" fillId="0" borderId="0" applyAlignment="0">
      <alignment horizontal="left"/>
    </xf>
    <xf numFmtId="173" fontId="10" fillId="0" borderId="0" applyAlignment="0">
      <alignment horizontal="left"/>
    </xf>
    <xf numFmtId="173" fontId="10" fillId="0" borderId="0" applyAlignment="0">
      <alignment horizontal="left"/>
    </xf>
    <xf numFmtId="173" fontId="10" fillId="0" borderId="0" applyAlignment="0">
      <alignment horizontal="left"/>
    </xf>
    <xf numFmtId="0" fontId="315" fillId="0" borderId="0" applyNumberFormat="0" applyFill="0" applyBorder="0" applyAlignment="0" applyProtection="0"/>
    <xf numFmtId="0" fontId="315" fillId="0" borderId="0"/>
    <xf numFmtId="0" fontId="316" fillId="0" borderId="0" applyNumberFormat="0" applyFill="0" applyBorder="0" applyAlignment="0" applyProtection="0"/>
    <xf numFmtId="0" fontId="316" fillId="0" borderId="0"/>
    <xf numFmtId="0" fontId="317" fillId="0" borderId="0"/>
    <xf numFmtId="49" fontId="19" fillId="0" borderId="0" applyFont="0" applyFill="0" applyBorder="0" applyAlignment="0" applyProtection="0"/>
    <xf numFmtId="0" fontId="318" fillId="0" borderId="0" applyNumberFormat="0" applyFill="0" applyBorder="0" applyProtection="0"/>
    <xf numFmtId="0" fontId="318" fillId="0" borderId="0" applyNumberFormat="0" applyFill="0" applyBorder="0" applyProtection="0"/>
    <xf numFmtId="0" fontId="10" fillId="0" borderId="0" applyNumberFormat="0" applyFill="0" applyBorder="0" applyProtection="0"/>
    <xf numFmtId="0" fontId="10" fillId="0" borderId="0" applyNumberFormat="0" applyFill="0" applyBorder="0" applyProtection="0"/>
    <xf numFmtId="0" fontId="318" fillId="0" borderId="0" applyNumberFormat="0" applyFill="0" applyBorder="0" applyProtection="0"/>
    <xf numFmtId="0" fontId="318" fillId="0" borderId="0"/>
    <xf numFmtId="179" fontId="73" fillId="76" borderId="0"/>
    <xf numFmtId="182" fontId="73" fillId="76" borderId="0"/>
    <xf numFmtId="179" fontId="69" fillId="76" borderId="0">
      <alignment horizontal="left"/>
    </xf>
    <xf numFmtId="182" fontId="69" fillId="76" borderId="0">
      <alignment horizontal="left"/>
    </xf>
    <xf numFmtId="179" fontId="69" fillId="76" borderId="0">
      <alignment horizontal="left" indent="1"/>
    </xf>
    <xf numFmtId="182" fontId="69" fillId="76" borderId="0">
      <alignment horizontal="left" indent="1"/>
    </xf>
    <xf numFmtId="179" fontId="69" fillId="76" borderId="0">
      <alignment horizontal="left" vertical="center" indent="2"/>
    </xf>
    <xf numFmtId="182" fontId="69" fillId="76" borderId="0">
      <alignment horizontal="left" vertical="center" indent="2"/>
    </xf>
    <xf numFmtId="49" fontId="319" fillId="0" borderId="0" applyFill="0" applyBorder="0" applyProtection="0">
      <alignment horizontal="center" vertical="top"/>
    </xf>
    <xf numFmtId="179" fontId="102" fillId="0" borderId="0">
      <alignment horizontal="center"/>
    </xf>
    <xf numFmtId="0" fontId="102" fillId="0" borderId="0">
      <alignment horizontal="center"/>
    </xf>
    <xf numFmtId="15" fontId="102" fillId="0" borderId="0">
      <alignment horizontal="center"/>
    </xf>
    <xf numFmtId="279" fontId="14" fillId="118" borderId="181">
      <alignment horizontal="center" vertical="center"/>
    </xf>
    <xf numFmtId="40" fontId="320" fillId="0" borderId="0"/>
    <xf numFmtId="0" fontId="321" fillId="0" borderId="0">
      <alignment vertical="center"/>
    </xf>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3" fillId="0" borderId="0" applyNumberFormat="0" applyFill="0" applyBorder="0" applyAlignment="0" applyProtection="0"/>
    <xf numFmtId="0" fontId="323" fillId="0" borderId="0" applyNumberFormat="0" applyFill="0" applyBorder="0" applyAlignment="0" applyProtection="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218" fillId="0" borderId="0" applyNumberFormat="0" applyFill="0" applyBorder="0" applyProtection="0">
      <alignment horizontal="left" vertical="center" indent="10"/>
    </xf>
    <xf numFmtId="0" fontId="324" fillId="0" borderId="0" applyNumberFormat="0" applyFill="0" applyBorder="0" applyAlignment="0" applyProtection="0"/>
    <xf numFmtId="0" fontId="322" fillId="0" borderId="0"/>
    <xf numFmtId="0" fontId="322" fillId="0" borderId="0"/>
    <xf numFmtId="0" fontId="322" fillId="0" borderId="0"/>
    <xf numFmtId="0" fontId="322" fillId="0" borderId="0"/>
    <xf numFmtId="0" fontId="322" fillId="0" borderId="0"/>
    <xf numFmtId="0" fontId="325" fillId="0" borderId="0"/>
    <xf numFmtId="0" fontId="322" fillId="0" borderId="0"/>
    <xf numFmtId="0" fontId="325" fillId="0" borderId="0"/>
    <xf numFmtId="0" fontId="322" fillId="0" borderId="0"/>
    <xf numFmtId="0" fontId="322" fillId="0" borderId="0"/>
    <xf numFmtId="0" fontId="325" fillId="0" borderId="0"/>
    <xf numFmtId="0" fontId="322" fillId="0" borderId="0"/>
    <xf numFmtId="0" fontId="322" fillId="0" borderId="0"/>
    <xf numFmtId="0" fontId="322" fillId="0" borderId="0"/>
    <xf numFmtId="0" fontId="322" fillId="0" borderId="0"/>
    <xf numFmtId="0" fontId="218" fillId="0" borderId="0" applyNumberFormat="0" applyFill="0" applyBorder="0" applyProtection="0">
      <alignment horizontal="left" vertical="center" indent="10"/>
    </xf>
    <xf numFmtId="0" fontId="323" fillId="0" borderId="0" applyNumberFormat="0" applyFill="0" applyBorder="0" applyAlignment="0" applyProtection="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3" fillId="0" borderId="0" applyNumberFormat="0" applyFill="0" applyBorder="0" applyAlignment="0" applyProtection="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2" fillId="0" borderId="0"/>
    <xf numFmtId="0" fontId="325" fillId="0" borderId="0"/>
    <xf numFmtId="0" fontId="322" fillId="0" borderId="0"/>
    <xf numFmtId="0" fontId="325" fillId="0" borderId="0"/>
    <xf numFmtId="0" fontId="322" fillId="0" borderId="0"/>
    <xf numFmtId="0" fontId="325" fillId="0" borderId="0"/>
    <xf numFmtId="0" fontId="325" fillId="0" borderId="0"/>
    <xf numFmtId="0" fontId="322" fillId="0" borderId="0"/>
    <xf numFmtId="0" fontId="322" fillId="0" borderId="0"/>
    <xf numFmtId="0" fontId="326" fillId="0" borderId="0"/>
    <xf numFmtId="0" fontId="322" fillId="0" borderId="0"/>
    <xf numFmtId="0" fontId="322" fillId="0" borderId="0"/>
    <xf numFmtId="0" fontId="322" fillId="0" borderId="0"/>
    <xf numFmtId="0" fontId="322" fillId="0" borderId="0"/>
    <xf numFmtId="179" fontId="97" fillId="134" borderId="236"/>
    <xf numFmtId="0" fontId="327" fillId="0" borderId="0">
      <alignment horizontal="left" vertical="top"/>
    </xf>
    <xf numFmtId="0" fontId="97" fillId="134" borderId="236"/>
    <xf numFmtId="179" fontId="97" fillId="134" borderId="236"/>
    <xf numFmtId="0" fontId="327" fillId="0" borderId="0">
      <alignment horizontal="left" vertical="top"/>
    </xf>
    <xf numFmtId="179" fontId="97" fillId="134" borderId="236"/>
    <xf numFmtId="182" fontId="97" fillId="134" borderId="236"/>
    <xf numFmtId="179" fontId="97" fillId="134" borderId="236"/>
    <xf numFmtId="0" fontId="327" fillId="0" borderId="0">
      <alignment horizontal="left" vertical="top"/>
    </xf>
    <xf numFmtId="179" fontId="97" fillId="134" borderId="236"/>
    <xf numFmtId="0" fontId="327" fillId="0" borderId="0">
      <alignment horizontal="left" vertical="top"/>
    </xf>
    <xf numFmtId="179" fontId="97" fillId="134" borderId="236"/>
    <xf numFmtId="179" fontId="97" fillId="134" borderId="236"/>
    <xf numFmtId="179" fontId="97" fillId="134" borderId="236"/>
    <xf numFmtId="179" fontId="97" fillId="134" borderId="236"/>
    <xf numFmtId="179" fontId="97" fillId="134" borderId="236"/>
    <xf numFmtId="179" fontId="129" fillId="134" borderId="237">
      <alignment horizontal="left"/>
    </xf>
    <xf numFmtId="0" fontId="328" fillId="0" borderId="0">
      <alignment horizontal="left"/>
    </xf>
    <xf numFmtId="179" fontId="129" fillId="134" borderId="237">
      <alignment horizontal="left"/>
    </xf>
    <xf numFmtId="0" fontId="328" fillId="0" borderId="0">
      <alignment horizontal="left"/>
    </xf>
    <xf numFmtId="182" fontId="129" fillId="134" borderId="237">
      <alignment horizontal="left"/>
    </xf>
    <xf numFmtId="0" fontId="129" fillId="134" borderId="237">
      <alignment horizontal="left"/>
    </xf>
    <xf numFmtId="0" fontId="328" fillId="0" borderId="0">
      <alignment horizontal="left"/>
    </xf>
    <xf numFmtId="0" fontId="328" fillId="0" borderId="0">
      <alignment horizontal="left"/>
    </xf>
    <xf numFmtId="22" fontId="33" fillId="4" borderId="237">
      <alignment vertical="center"/>
    </xf>
    <xf numFmtId="22" fontId="33" fillId="4" borderId="237">
      <alignment vertical="center"/>
    </xf>
    <xf numFmtId="22" fontId="33" fillId="4" borderId="237">
      <alignment vertical="center"/>
    </xf>
    <xf numFmtId="22" fontId="33" fillId="4" borderId="237">
      <alignment vertical="center"/>
    </xf>
    <xf numFmtId="22" fontId="33" fillId="4" borderId="237">
      <alignment vertical="center"/>
    </xf>
    <xf numFmtId="22" fontId="33" fillId="4" borderId="237">
      <alignment vertical="center"/>
    </xf>
    <xf numFmtId="22" fontId="33" fillId="4" borderId="237">
      <alignment vertical="center"/>
    </xf>
    <xf numFmtId="22" fontId="33" fillId="4" borderId="237">
      <alignment vertical="center"/>
    </xf>
    <xf numFmtId="179" fontId="33" fillId="4" borderId="237">
      <alignment horizontal="left" vertical="top" wrapText="1"/>
    </xf>
    <xf numFmtId="0"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82"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79" fontId="33" fillId="4" borderId="237">
      <alignment horizontal="left" vertical="top" wrapText="1"/>
    </xf>
    <xf numFmtId="179" fontId="33" fillId="4" borderId="238"/>
    <xf numFmtId="0" fontId="33" fillId="4" borderId="238"/>
    <xf numFmtId="0" fontId="33" fillId="4" borderId="238"/>
    <xf numFmtId="179" fontId="33" fillId="4" borderId="238"/>
    <xf numFmtId="179" fontId="33" fillId="4" borderId="238"/>
    <xf numFmtId="182"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0" fontId="33" fillId="4" borderId="238"/>
    <xf numFmtId="0" fontId="33" fillId="4" borderId="238"/>
    <xf numFmtId="179" fontId="33" fillId="4" borderId="238"/>
    <xf numFmtId="179" fontId="33" fillId="4" borderId="238"/>
    <xf numFmtId="182"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179" fontId="33" fillId="4" borderId="238"/>
    <xf numFmtId="0" fontId="329" fillId="0" borderId="0" applyNumberFormat="0" applyFill="0" applyBorder="0" applyAlignment="0" applyProtection="0"/>
    <xf numFmtId="0" fontId="330" fillId="0" borderId="239" applyNumberFormat="0" applyFill="0" applyAlignment="0" applyProtection="0"/>
    <xf numFmtId="0" fontId="330" fillId="0" borderId="239"/>
    <xf numFmtId="0" fontId="331" fillId="0" borderId="240" applyNumberFormat="0" applyFill="0" applyAlignment="0" applyProtection="0"/>
    <xf numFmtId="0" fontId="331" fillId="0" borderId="240"/>
    <xf numFmtId="0" fontId="332" fillId="0" borderId="241" applyNumberFormat="0" applyFill="0" applyAlignment="0" applyProtection="0"/>
    <xf numFmtId="0" fontId="332" fillId="0" borderId="241"/>
    <xf numFmtId="0" fontId="332" fillId="0" borderId="0" applyNumberFormat="0" applyFill="0" applyBorder="0" applyAlignment="0" applyProtection="0"/>
    <xf numFmtId="0" fontId="332" fillId="0" borderId="0"/>
    <xf numFmtId="0" fontId="325" fillId="0" borderId="0"/>
    <xf numFmtId="0" fontId="323" fillId="0" borderId="0" applyNumberFormat="0" applyFill="0" applyBorder="0" applyAlignment="0" applyProtection="0"/>
    <xf numFmtId="0" fontId="333" fillId="0" borderId="0"/>
    <xf numFmtId="280" fontId="88" fillId="175" borderId="0" applyNumberFormat="0" applyBorder="0">
      <protection locked="0"/>
    </xf>
    <xf numFmtId="0" fontId="55" fillId="176" borderId="0">
      <alignment horizontal="center" vertical="center" wrapText="1"/>
    </xf>
    <xf numFmtId="0" fontId="10" fillId="0" borderId="0"/>
    <xf numFmtId="0" fontId="318" fillId="0" borderId="0"/>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42" fillId="0" borderId="242" applyNumberFormat="0" applyFill="0" applyAlignment="0" applyProtection="0"/>
    <xf numFmtId="0" fontId="334" fillId="0" borderId="242"/>
    <xf numFmtId="0" fontId="334" fillId="0" borderId="242" applyNumberFormat="0" applyFill="0" applyAlignment="0" applyProtection="0"/>
    <xf numFmtId="0" fontId="334" fillId="0" borderId="242" applyNumberFormat="0" applyFill="0" applyAlignment="0" applyProtection="0"/>
    <xf numFmtId="179" fontId="269" fillId="0" borderId="243" applyNumberFormat="0" applyFill="0" applyAlignment="0" applyProtection="0"/>
    <xf numFmtId="0" fontId="334" fillId="0" borderId="242" applyNumberFormat="0" applyFill="0" applyAlignment="0" applyProtection="0"/>
    <xf numFmtId="0" fontId="334" fillId="0" borderId="242" applyNumberFormat="0" applyFill="0" applyAlignment="0" applyProtection="0"/>
    <xf numFmtId="0" fontId="334" fillId="0" borderId="242" applyNumberFormat="0" applyFill="0" applyAlignment="0" applyProtection="0"/>
    <xf numFmtId="0" fontId="42" fillId="0" borderId="242" applyNumberFormat="0" applyFill="0" applyAlignment="0" applyProtection="0"/>
    <xf numFmtId="179" fontId="269" fillId="0" borderId="243" applyNumberFormat="0" applyFill="0" applyAlignment="0" applyProtection="0"/>
    <xf numFmtId="179" fontId="269" fillId="0" borderId="243" applyNumberFormat="0" applyFill="0" applyAlignment="0" applyProtection="0"/>
    <xf numFmtId="179" fontId="269" fillId="0" borderId="243" applyNumberFormat="0" applyFill="0" applyAlignment="0" applyProtection="0"/>
    <xf numFmtId="179" fontId="269" fillId="0" borderId="243" applyNumberFormat="0" applyFill="0" applyAlignment="0" applyProtection="0"/>
    <xf numFmtId="179" fontId="269" fillId="0" borderId="243" applyNumberFormat="0" applyFill="0" applyAlignment="0" applyProtection="0"/>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applyNumberFormat="0" applyFill="0" applyAlignment="0" applyProtection="0"/>
    <xf numFmtId="0" fontId="269" fillId="0" borderId="243" applyNumberFormat="0" applyFill="0" applyAlignment="0" applyProtection="0"/>
    <xf numFmtId="179" fontId="334" fillId="0" borderId="244" applyNumberFormat="0" applyFill="0" applyAlignment="0" applyProtection="0"/>
    <xf numFmtId="179" fontId="334" fillId="0" borderId="244" applyNumberFormat="0" applyFill="0" applyAlignment="0" applyProtection="0"/>
    <xf numFmtId="179" fontId="334" fillId="0" borderId="244" applyNumberFormat="0" applyFill="0" applyAlignment="0" applyProtection="0"/>
    <xf numFmtId="179" fontId="334" fillId="0" borderId="244" applyNumberFormat="0" applyFill="0" applyAlignment="0" applyProtection="0"/>
    <xf numFmtId="179" fontId="334" fillId="0" borderId="244" applyNumberFormat="0" applyFill="0" applyAlignment="0" applyProtection="0"/>
    <xf numFmtId="179" fontId="334" fillId="0" borderId="244" applyNumberFormat="0" applyFill="0" applyAlignment="0" applyProtection="0"/>
    <xf numFmtId="0" fontId="269" fillId="0" borderId="243" applyNumberFormat="0" applyFill="0" applyAlignment="0" applyProtection="0"/>
    <xf numFmtId="0" fontId="269" fillId="0" borderId="243" applyNumberFormat="0" applyFill="0" applyAlignment="0" applyProtection="0"/>
    <xf numFmtId="0" fontId="334" fillId="0" borderId="242"/>
    <xf numFmtId="0" fontId="334" fillId="0" borderId="242"/>
    <xf numFmtId="0" fontId="334" fillId="0" borderId="242"/>
    <xf numFmtId="0" fontId="334" fillId="0" borderId="242"/>
    <xf numFmtId="0" fontId="334" fillId="0" borderId="242"/>
    <xf numFmtId="0" fontId="335" fillId="0" borderId="245"/>
    <xf numFmtId="0" fontId="334" fillId="0" borderId="242"/>
    <xf numFmtId="0" fontId="335" fillId="0" borderId="245"/>
    <xf numFmtId="0" fontId="334" fillId="0" borderId="242"/>
    <xf numFmtId="0" fontId="334" fillId="0" borderId="242"/>
    <xf numFmtId="0" fontId="335" fillId="0" borderId="245"/>
    <xf numFmtId="0" fontId="334" fillId="0" borderId="242"/>
    <xf numFmtId="0" fontId="334" fillId="0" borderId="242"/>
    <xf numFmtId="0" fontId="334" fillId="0" borderId="242"/>
    <xf numFmtId="0" fontId="334" fillId="0" borderId="242"/>
    <xf numFmtId="0" fontId="334" fillId="0" borderId="242"/>
    <xf numFmtId="0" fontId="334" fillId="0" borderId="242" applyNumberFormat="0" applyFill="0" applyAlignment="0" applyProtection="0"/>
    <xf numFmtId="0" fontId="334" fillId="0" borderId="242" applyNumberFormat="0" applyFill="0" applyAlignment="0" applyProtection="0"/>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4" fillId="0" borderId="242"/>
    <xf numFmtId="0" fontId="335" fillId="0" borderId="245"/>
    <xf numFmtId="0" fontId="334" fillId="0" borderId="242"/>
    <xf numFmtId="0" fontId="335" fillId="0" borderId="245"/>
    <xf numFmtId="0" fontId="334" fillId="0" borderId="242"/>
    <xf numFmtId="0" fontId="335" fillId="0" borderId="245"/>
    <xf numFmtId="0" fontId="334" fillId="0" borderId="242"/>
    <xf numFmtId="0" fontId="334" fillId="0" borderId="242"/>
    <xf numFmtId="0" fontId="81" fillId="0" borderId="170"/>
    <xf numFmtId="0" fontId="334" fillId="0" borderId="242"/>
    <xf numFmtId="0" fontId="334" fillId="0" borderId="242" applyNumberFormat="0" applyFill="0" applyAlignment="0" applyProtection="0"/>
    <xf numFmtId="0" fontId="336" fillId="0" borderId="170" applyNumberFormat="0" applyFill="0" applyAlignment="0" applyProtection="0"/>
    <xf numFmtId="0" fontId="334" fillId="0" borderId="242"/>
    <xf numFmtId="0" fontId="334" fillId="0" borderId="242"/>
    <xf numFmtId="0" fontId="334" fillId="0" borderId="242"/>
    <xf numFmtId="0" fontId="337" fillId="0" borderId="0" applyFill="0" applyBorder="0" applyProtection="0"/>
    <xf numFmtId="280" fontId="18" fillId="177" borderId="0" applyNumberFormat="0" applyBorder="0">
      <protection locked="0"/>
    </xf>
    <xf numFmtId="0" fontId="337" fillId="0" borderId="0" applyFill="0" applyBorder="0" applyProtection="0"/>
    <xf numFmtId="0" fontId="334" fillId="0" borderId="246" applyNumberFormat="0" applyFill="0" applyAlignment="0" applyProtection="0"/>
    <xf numFmtId="0" fontId="334" fillId="0" borderId="246" applyNumberFormat="0" applyFill="0" applyAlignment="0" applyProtection="0"/>
    <xf numFmtId="0" fontId="334" fillId="0" borderId="246" applyNumberFormat="0" applyFill="0" applyAlignment="0" applyProtection="0"/>
    <xf numFmtId="0" fontId="334" fillId="0" borderId="246" applyNumberFormat="0" applyFill="0" applyAlignment="0" applyProtection="0"/>
    <xf numFmtId="41" fontId="10" fillId="0" borderId="0" applyFont="0" applyFill="0" applyBorder="0" applyAlignment="0" applyProtection="0"/>
    <xf numFmtId="43" fontId="10" fillId="0" borderId="0" applyFont="0" applyFill="0" applyBorder="0" applyAlignment="0" applyProtection="0"/>
    <xf numFmtId="0" fontId="10" fillId="0" borderId="0"/>
    <xf numFmtId="0" fontId="126" fillId="0" borderId="0"/>
    <xf numFmtId="0" fontId="10" fillId="0" borderId="0"/>
    <xf numFmtId="37" fontId="69" fillId="93" borderId="0" applyNumberFormat="0" applyBorder="0" applyAlignment="0" applyProtection="0"/>
    <xf numFmtId="37" fontId="69" fillId="93" borderId="0" applyNumberFormat="0" applyBorder="0" applyAlignment="0" applyProtection="0"/>
    <xf numFmtId="37" fontId="69" fillId="0" borderId="0"/>
    <xf numFmtId="37" fontId="69" fillId="0" borderId="0"/>
    <xf numFmtId="37" fontId="69" fillId="0" borderId="0"/>
    <xf numFmtId="37" fontId="69" fillId="93" borderId="0" applyNumberFormat="0" applyBorder="0" applyAlignment="0" applyProtection="0"/>
    <xf numFmtId="3" fontId="85" fillId="0" borderId="110" applyProtection="0"/>
    <xf numFmtId="10" fontId="103" fillId="21" borderId="181" applyNumberFormat="0" applyFont="0" applyAlignment="0" applyProtection="0">
      <protection locked="0"/>
    </xf>
    <xf numFmtId="0" fontId="338" fillId="83" borderId="0" applyNumberFormat="0" applyBorder="0" applyAlignment="0" applyProtection="0"/>
    <xf numFmtId="0" fontId="338" fillId="93" borderId="0"/>
    <xf numFmtId="0" fontId="180" fillId="69" borderId="0" applyNumberFormat="0" applyBorder="0" applyAlignment="0" applyProtection="0"/>
    <xf numFmtId="0" fontId="180" fillId="2" borderId="0"/>
    <xf numFmtId="0" fontId="10" fillId="0" borderId="0"/>
    <xf numFmtId="42" fontId="10" fillId="0" borderId="0" applyFont="0" applyFill="0" applyBorder="0" applyAlignment="0" applyProtection="0"/>
    <xf numFmtId="281" fontId="10" fillId="0" borderId="0" applyFont="0" applyFill="0" applyBorder="0" applyAlignment="0" applyProtection="0"/>
    <xf numFmtId="0" fontId="10" fillId="0" borderId="0">
      <alignment horizontal="center" textRotation="180"/>
    </xf>
    <xf numFmtId="282" fontId="31" fillId="0" borderId="0" applyFont="0" applyFill="0" applyBorder="0" applyAlignment="0" applyProtection="0"/>
    <xf numFmtId="283" fontId="31" fillId="0" borderId="0" applyFont="0" applyFill="0" applyBorder="0" applyAlignment="0" applyProtection="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58" fillId="0" borderId="0" applyNumberFormat="0" applyFill="0" applyBorder="0" applyAlignment="0" applyProtection="0"/>
    <xf numFmtId="0" fontId="243" fillId="0" borderId="0" applyNumberFormat="0" applyFill="0" applyBorder="0" applyAlignment="0" applyProtection="0"/>
    <xf numFmtId="0" fontId="243" fillId="0" borderId="0"/>
    <xf numFmtId="0" fontId="339" fillId="0" borderId="0"/>
    <xf numFmtId="0" fontId="243" fillId="0" borderId="0"/>
    <xf numFmtId="0" fontId="243" fillId="0" borderId="0" applyNumberFormat="0" applyFill="0" applyBorder="0" applyAlignment="0" applyProtection="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applyNumberFormat="0" applyFill="0" applyBorder="0" applyAlignment="0" applyProtection="0"/>
    <xf numFmtId="0" fontId="243" fillId="0" borderId="0" applyNumberFormat="0" applyFill="0" applyBorder="0" applyAlignment="0" applyProtection="0"/>
    <xf numFmtId="0" fontId="243" fillId="0" borderId="0"/>
    <xf numFmtId="0" fontId="243" fillId="0" borderId="0"/>
    <xf numFmtId="0" fontId="243" fillId="0" borderId="0"/>
    <xf numFmtId="0" fontId="243" fillId="0" borderId="0"/>
    <xf numFmtId="0" fontId="243" fillId="0" borderId="0"/>
    <xf numFmtId="0" fontId="340" fillId="0" borderId="0"/>
    <xf numFmtId="0" fontId="243" fillId="0" borderId="0"/>
    <xf numFmtId="0" fontId="340" fillId="0" borderId="0"/>
    <xf numFmtId="0" fontId="243" fillId="0" borderId="0"/>
    <xf numFmtId="0" fontId="243" fillId="0" borderId="0"/>
    <xf numFmtId="0" fontId="340"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243" fillId="0" borderId="0"/>
    <xf numFmtId="0" fontId="340" fillId="0" borderId="0"/>
    <xf numFmtId="0" fontId="243" fillId="0" borderId="0"/>
    <xf numFmtId="0" fontId="243" fillId="0" borderId="0"/>
    <xf numFmtId="0" fontId="340" fillId="0" borderId="0"/>
    <xf numFmtId="0" fontId="243" fillId="0" borderId="0"/>
    <xf numFmtId="0" fontId="243" fillId="0" borderId="0"/>
    <xf numFmtId="0" fontId="83" fillId="0" borderId="0"/>
    <xf numFmtId="0" fontId="243" fillId="0" borderId="0"/>
    <xf numFmtId="0" fontId="341" fillId="0" borderId="0" applyNumberFormat="0" applyFill="0" applyBorder="0" applyAlignment="0" applyProtection="0"/>
    <xf numFmtId="0" fontId="243" fillId="0" borderId="0"/>
    <xf numFmtId="0" fontId="243" fillId="0" borderId="0"/>
    <xf numFmtId="0" fontId="243" fillId="0" borderId="0"/>
    <xf numFmtId="0" fontId="10" fillId="0" borderId="0"/>
    <xf numFmtId="0" fontId="10" fillId="0" borderId="0"/>
    <xf numFmtId="0" fontId="69" fillId="0" borderId="0"/>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49" fontId="319" fillId="91" borderId="0" applyNumberFormat="0" applyFont="0" applyBorder="0" applyAlignment="0" applyProtection="0">
      <alignment horizontal="center"/>
    </xf>
    <xf numFmtId="10" fontId="10" fillId="90" borderId="22" applyNumberFormat="0" applyFont="0" applyBorder="0" applyAlignment="0" applyProtection="0">
      <protection locked="0"/>
    </xf>
    <xf numFmtId="10" fontId="10" fillId="90" borderId="22" applyNumberFormat="0" applyFont="0" applyBorder="0" applyAlignment="0" applyProtection="0">
      <protection locked="0"/>
    </xf>
    <xf numFmtId="0" fontId="198" fillId="93" borderId="0">
      <alignment horizontal="left" vertical="center" indent="1"/>
    </xf>
    <xf numFmtId="0" fontId="198" fillId="93" borderId="0">
      <alignment horizontal="left" vertical="center" indent="1"/>
    </xf>
    <xf numFmtId="284" fontId="158" fillId="0" borderId="0" applyFont="0" applyFill="0" applyBorder="0" applyAlignment="0" applyProtection="0"/>
    <xf numFmtId="4" fontId="95" fillId="0" borderId="0"/>
    <xf numFmtId="0" fontId="342" fillId="0" borderId="0"/>
    <xf numFmtId="0" fontId="1"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343" fillId="0" borderId="0" applyNumberFormat="0" applyFill="0" applyBorder="0" applyAlignment="0" applyProtection="0">
      <alignment vertical="top"/>
      <protection locked="0"/>
    </xf>
    <xf numFmtId="0" fontId="4"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cellStyleXfs>
  <cellXfs count="1231">
    <xf numFmtId="0" fontId="0" fillId="0" borderId="0" xfId="0"/>
    <xf numFmtId="0" fontId="3" fillId="0" borderId="0" xfId="0" applyFont="1" applyAlignment="1">
      <alignment horizontal="center"/>
    </xf>
    <xf numFmtId="0" fontId="3" fillId="0" borderId="0" xfId="0" applyFont="1"/>
    <xf numFmtId="0" fontId="5" fillId="0" borderId="0" xfId="0" applyFont="1"/>
    <xf numFmtId="0" fontId="5" fillId="0" borderId="0" xfId="0" applyFont="1" applyAlignment="1">
      <alignment vertical="center"/>
    </xf>
    <xf numFmtId="0" fontId="10" fillId="0" borderId="0" xfId="0" applyFont="1" applyAlignment="1">
      <alignment vertical="center"/>
    </xf>
    <xf numFmtId="0" fontId="10" fillId="0" borderId="0" xfId="0" applyFont="1"/>
    <xf numFmtId="0" fontId="4" fillId="0" borderId="0" xfId="0" applyFont="1" applyAlignment="1">
      <alignment vertical="center"/>
    </xf>
    <xf numFmtId="0" fontId="4" fillId="0" borderId="0" xfId="0" applyFont="1"/>
    <xf numFmtId="0" fontId="4" fillId="0" borderId="0" xfId="0" applyFont="1" applyAlignment="1">
      <alignment horizontal="left" vertical="center"/>
    </xf>
    <xf numFmtId="0" fontId="4" fillId="0" borderId="0" xfId="2" applyFont="1" applyFill="1" applyBorder="1" applyAlignment="1" applyProtection="1">
      <alignment horizontal="center" vertical="center"/>
    </xf>
    <xf numFmtId="0" fontId="4" fillId="0" borderId="0" xfId="0" applyFont="1" applyAlignment="1">
      <alignment horizontal="center" vertical="center"/>
    </xf>
    <xf numFmtId="0" fontId="4" fillId="0" borderId="5" xfId="0" applyFont="1" applyBorder="1" applyAlignment="1">
      <alignment horizontal="left" vertical="center"/>
    </xf>
    <xf numFmtId="0" fontId="10" fillId="0" borderId="5" xfId="0" applyFont="1" applyBorder="1" applyAlignment="1">
      <alignment horizontal="centerContinuous" vertical="center"/>
    </xf>
    <xf numFmtId="0" fontId="5" fillId="0" borderId="5" xfId="0" applyFont="1" applyBorder="1" applyAlignment="1">
      <alignment horizontal="center" vertical="center"/>
    </xf>
    <xf numFmtId="0" fontId="10" fillId="0" borderId="5" xfId="0" applyFont="1" applyBorder="1" applyAlignment="1">
      <alignment vertical="center"/>
    </xf>
    <xf numFmtId="0" fontId="10" fillId="0" borderId="5" xfId="0" applyFont="1" applyBorder="1"/>
    <xf numFmtId="0" fontId="5" fillId="0" borderId="0" xfId="0" applyFont="1" applyAlignment="1">
      <alignment horizontal="left" vertical="center"/>
    </xf>
    <xf numFmtId="0" fontId="10" fillId="0" borderId="0" xfId="0" applyFont="1" applyAlignment="1">
      <alignment horizontal="centerContinuous" vertical="center"/>
    </xf>
    <xf numFmtId="0" fontId="12" fillId="0" borderId="0" xfId="0" applyFont="1" applyAlignment="1">
      <alignment vertical="center"/>
    </xf>
    <xf numFmtId="0" fontId="5" fillId="2" borderId="0" xfId="0" applyFont="1" applyFill="1" applyAlignment="1">
      <alignment vertical="center"/>
    </xf>
    <xf numFmtId="0" fontId="5" fillId="0" borderId="11" xfId="0" applyFont="1" applyBorder="1" applyAlignment="1">
      <alignment vertical="center"/>
    </xf>
    <xf numFmtId="0" fontId="10" fillId="0" borderId="12" xfId="0" applyFont="1" applyBorder="1" applyAlignment="1">
      <alignment vertical="center"/>
    </xf>
    <xf numFmtId="0" fontId="10" fillId="0" borderId="11" xfId="0" applyFont="1" applyBorder="1" applyAlignment="1">
      <alignment vertical="center"/>
    </xf>
    <xf numFmtId="0" fontId="16" fillId="0" borderId="0" xfId="0" applyFont="1" applyAlignment="1">
      <alignment vertical="center"/>
    </xf>
    <xf numFmtId="0" fontId="10" fillId="2" borderId="0" xfId="0" applyFont="1" applyFill="1" applyAlignment="1">
      <alignment vertical="center"/>
    </xf>
    <xf numFmtId="0" fontId="10" fillId="0" borderId="0" xfId="0" applyFont="1" applyAlignment="1">
      <alignment vertical="center" wrapText="1"/>
    </xf>
    <xf numFmtId="0" fontId="10" fillId="0" borderId="12" xfId="0" applyFont="1" applyBorder="1" applyAlignment="1">
      <alignment vertical="center" wrapText="1"/>
    </xf>
    <xf numFmtId="0" fontId="10" fillId="2" borderId="0" xfId="0" applyFont="1" applyFill="1" applyAlignment="1">
      <alignment horizontal="center" vertical="center"/>
    </xf>
    <xf numFmtId="1" fontId="5" fillId="0" borderId="0" xfId="0" applyNumberFormat="1" applyFont="1" applyAlignment="1">
      <alignment horizontal="center" vertical="center"/>
    </xf>
    <xf numFmtId="0" fontId="10" fillId="0" borderId="0" xfId="0" applyFont="1" applyAlignment="1">
      <alignment horizontal="left" vertical="center"/>
    </xf>
    <xf numFmtId="0" fontId="5" fillId="0" borderId="0" xfId="0" applyFont="1" applyAlignment="1">
      <alignment horizontal="center" vertical="center"/>
    </xf>
    <xf numFmtId="0" fontId="17" fillId="0" borderId="0" xfId="0" applyFont="1" applyAlignment="1">
      <alignment horizontal="center" vertical="center"/>
    </xf>
    <xf numFmtId="0" fontId="5" fillId="0" borderId="11" xfId="0" applyFont="1" applyBorder="1" applyAlignment="1">
      <alignment horizontal="left" vertical="center"/>
    </xf>
    <xf numFmtId="0" fontId="10" fillId="0" borderId="12" xfId="0" applyFont="1" applyBorder="1" applyAlignment="1">
      <alignment horizontal="centerContinuous" vertical="center"/>
    </xf>
    <xf numFmtId="0" fontId="10" fillId="0" borderId="16"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5" fillId="0" borderId="0" xfId="0" applyFont="1" applyAlignment="1" applyProtection="1">
      <alignment horizontal="centerContinuous" vertical="center"/>
      <protection locked="0"/>
    </xf>
    <xf numFmtId="0" fontId="10" fillId="0" borderId="0" xfId="0" applyFont="1" applyAlignment="1" applyProtection="1">
      <alignment horizontal="centerContinuous" vertical="center"/>
      <protection locked="0"/>
    </xf>
    <xf numFmtId="0" fontId="5" fillId="0" borderId="0" xfId="0" applyFont="1" applyAlignment="1">
      <alignment horizontal="centerContinuous" vertical="center"/>
    </xf>
    <xf numFmtId="0" fontId="14" fillId="3" borderId="20" xfId="0" applyFont="1" applyFill="1" applyBorder="1"/>
    <xf numFmtId="0" fontId="13" fillId="3" borderId="20" xfId="0" applyFont="1" applyFill="1" applyBorder="1" applyAlignment="1">
      <alignment horizontal="centerContinuous" vertical="center" wrapText="1"/>
    </xf>
    <xf numFmtId="0" fontId="14" fillId="3" borderId="20" xfId="0" applyFont="1" applyFill="1" applyBorder="1" applyAlignment="1">
      <alignment vertical="center"/>
    </xf>
    <xf numFmtId="0" fontId="10" fillId="3" borderId="21" xfId="0" applyFont="1" applyFill="1" applyBorder="1" applyAlignment="1">
      <alignment vertical="center"/>
    </xf>
    <xf numFmtId="0" fontId="5" fillId="2" borderId="19" xfId="0" applyFont="1" applyFill="1" applyBorder="1" applyAlignment="1">
      <alignment horizontal="centerContinuous" vertical="center"/>
    </xf>
    <xf numFmtId="0" fontId="5" fillId="2" borderId="20" xfId="0" applyFont="1" applyFill="1" applyBorder="1" applyAlignment="1">
      <alignment horizontal="centerContinuous"/>
    </xf>
    <xf numFmtId="0" fontId="5" fillId="2" borderId="21" xfId="0" applyFont="1" applyFill="1" applyBorder="1" applyAlignment="1">
      <alignment horizontal="centerContinuous"/>
    </xf>
    <xf numFmtId="0" fontId="10" fillId="0" borderId="6" xfId="0" applyFont="1" applyBorder="1"/>
    <xf numFmtId="0" fontId="10" fillId="0" borderId="7" xfId="0" applyFont="1" applyBorder="1" applyAlignment="1">
      <alignment vertical="center"/>
    </xf>
    <xf numFmtId="0" fontId="10" fillId="0" borderId="8" xfId="0" applyFont="1" applyBorder="1"/>
    <xf numFmtId="10" fontId="10" fillId="0" borderId="11" xfId="0" applyNumberFormat="1" applyFont="1" applyBorder="1" applyAlignment="1">
      <alignment horizontal="right" vertical="center"/>
    </xf>
    <xf numFmtId="0" fontId="10" fillId="0" borderId="11" xfId="0" applyFont="1" applyBorder="1"/>
    <xf numFmtId="0" fontId="10" fillId="0" borderId="12" xfId="0" applyFont="1" applyBorder="1"/>
    <xf numFmtId="0" fontId="10" fillId="0" borderId="16" xfId="0" applyFont="1" applyBorder="1"/>
    <xf numFmtId="0" fontId="10" fillId="0" borderId="17" xfId="0" applyFont="1" applyBorder="1" applyAlignment="1">
      <alignment vertical="center"/>
    </xf>
    <xf numFmtId="0" fontId="10" fillId="0" borderId="18" xfId="0" applyFont="1" applyBorder="1"/>
    <xf numFmtId="10" fontId="10" fillId="0" borderId="16" xfId="0" applyNumberFormat="1" applyFont="1" applyBorder="1" applyAlignment="1">
      <alignment horizontal="right" vertical="center"/>
    </xf>
    <xf numFmtId="0" fontId="10" fillId="0" borderId="18" xfId="0" applyFont="1" applyBorder="1" applyAlignment="1">
      <alignment vertical="center"/>
    </xf>
    <xf numFmtId="0" fontId="4" fillId="0" borderId="5" xfId="0" applyFont="1" applyBorder="1" applyAlignment="1">
      <alignment vertical="center"/>
    </xf>
    <xf numFmtId="0" fontId="10" fillId="0" borderId="5" xfId="0" applyFont="1" applyBorder="1" applyAlignment="1">
      <alignment horizontal="left" vertical="center"/>
    </xf>
    <xf numFmtId="0" fontId="5" fillId="0" borderId="5" xfId="0" applyFont="1" applyBorder="1" applyAlignment="1">
      <alignment vertical="center"/>
    </xf>
    <xf numFmtId="0" fontId="5" fillId="0" borderId="5" xfId="2" applyFont="1" applyFill="1" applyBorder="1" applyAlignment="1" applyProtection="1">
      <alignment horizontal="center" vertical="center"/>
    </xf>
    <xf numFmtId="0" fontId="10" fillId="0" borderId="11" xfId="0" applyFont="1" applyBorder="1" applyAlignment="1">
      <alignment vertical="center" wrapText="1"/>
    </xf>
    <xf numFmtId="0" fontId="5" fillId="0" borderId="22" xfId="0" applyFont="1" applyBorder="1" applyAlignment="1">
      <alignment horizontal="center" vertical="center"/>
    </xf>
    <xf numFmtId="0" fontId="13" fillId="3" borderId="20" xfId="0" applyFont="1" applyFill="1" applyBorder="1" applyAlignment="1">
      <alignment horizontal="centerContinuous" vertical="center"/>
    </xf>
    <xf numFmtId="0" fontId="13" fillId="3" borderId="21" xfId="0" applyFont="1" applyFill="1" applyBorder="1" applyAlignment="1">
      <alignment horizontal="centerContinuous" vertical="center"/>
    </xf>
    <xf numFmtId="0" fontId="14" fillId="3" borderId="21" xfId="0" applyFont="1" applyFill="1" applyBorder="1" applyAlignment="1">
      <alignment horizontal="centerContinuous" vertical="center"/>
    </xf>
    <xf numFmtId="0" fontId="5" fillId="2" borderId="7" xfId="0" applyFont="1" applyFill="1" applyBorder="1" applyAlignment="1">
      <alignment horizontal="centerContinuous" vertical="center" wrapText="1"/>
    </xf>
    <xf numFmtId="0" fontId="10" fillId="2" borderId="0" xfId="0" applyFont="1" applyFill="1" applyAlignment="1">
      <alignment horizontal="centerContinuous" vertical="center"/>
    </xf>
    <xf numFmtId="0" fontId="10" fillId="2" borderId="8" xfId="0" applyFont="1" applyFill="1" applyBorder="1" applyAlignment="1">
      <alignment vertical="center"/>
    </xf>
    <xf numFmtId="0" fontId="5" fillId="2" borderId="20" xfId="0" applyFont="1" applyFill="1" applyBorder="1" applyAlignment="1">
      <alignment horizontal="centerContinuous" vertical="center"/>
    </xf>
    <xf numFmtId="0" fontId="5" fillId="2" borderId="21" xfId="0" applyFont="1" applyFill="1" applyBorder="1" applyAlignment="1">
      <alignment horizontal="centerContinuous"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8" fillId="2" borderId="0" xfId="0" applyFont="1" applyFill="1" applyAlignment="1">
      <alignment vertical="center"/>
    </xf>
    <xf numFmtId="0" fontId="10" fillId="2" borderId="12" xfId="0" applyFont="1" applyFill="1" applyBorder="1" applyAlignment="1">
      <alignment vertical="center"/>
    </xf>
    <xf numFmtId="0" fontId="18" fillId="2" borderId="25"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16" xfId="0" applyFont="1" applyFill="1" applyBorder="1" applyAlignment="1">
      <alignment vertical="center"/>
    </xf>
    <xf numFmtId="0" fontId="19" fillId="2" borderId="17" xfId="0" applyFont="1" applyFill="1" applyBorder="1" applyAlignment="1">
      <alignment horizontal="justify" vertical="center" wrapText="1"/>
    </xf>
    <xf numFmtId="0" fontId="10" fillId="2" borderId="18" xfId="0" applyFont="1" applyFill="1" applyBorder="1" applyAlignment="1">
      <alignment vertical="center"/>
    </xf>
    <xf numFmtId="0" fontId="5" fillId="2" borderId="0" xfId="0" applyFont="1" applyFill="1" applyAlignment="1">
      <alignment horizontal="centerContinuous" vertical="center"/>
    </xf>
    <xf numFmtId="0" fontId="5" fillId="2" borderId="12" xfId="0" applyFont="1" applyFill="1" applyBorder="1" applyAlignment="1">
      <alignment horizontal="centerContinuous" vertical="center"/>
    </xf>
    <xf numFmtId="0" fontId="5" fillId="2" borderId="16" xfId="0" applyFont="1" applyFill="1" applyBorder="1" applyAlignment="1">
      <alignment horizontal="centerContinuous" vertical="center"/>
    </xf>
    <xf numFmtId="0" fontId="5" fillId="2" borderId="17" xfId="0" applyFont="1" applyFill="1" applyBorder="1" applyAlignment="1">
      <alignment horizontal="centerContinuous" vertical="center"/>
    </xf>
    <xf numFmtId="0" fontId="18" fillId="0" borderId="11" xfId="0" applyFont="1" applyBorder="1" applyAlignment="1">
      <alignment horizontal="justify" vertical="center" wrapText="1"/>
    </xf>
    <xf numFmtId="0" fontId="19" fillId="0" borderId="0" xfId="0" applyFont="1" applyAlignment="1">
      <alignment horizontal="justify" vertical="center" wrapText="1"/>
    </xf>
    <xf numFmtId="0" fontId="10" fillId="0" borderId="8" xfId="0" applyFont="1" applyBorder="1" applyAlignment="1">
      <alignment vertical="center"/>
    </xf>
    <xf numFmtId="164" fontId="19" fillId="0" borderId="7" xfId="0" applyNumberFormat="1" applyFont="1" applyBorder="1" applyAlignment="1">
      <alignment horizontal="right" vertical="center" wrapText="1"/>
    </xf>
    <xf numFmtId="164" fontId="19" fillId="0" borderId="24" xfId="0" applyNumberFormat="1" applyFont="1" applyBorder="1" applyAlignment="1">
      <alignment horizontal="right" vertical="center" wrapText="1"/>
    </xf>
    <xf numFmtId="164" fontId="19" fillId="0" borderId="8" xfId="0" applyNumberFormat="1" applyFont="1" applyBorder="1" applyAlignment="1">
      <alignment horizontal="right" vertical="center" wrapText="1"/>
    </xf>
    <xf numFmtId="164" fontId="19" fillId="0" borderId="32" xfId="0" applyNumberFormat="1" applyFont="1" applyBorder="1" applyAlignment="1">
      <alignment horizontal="right" vertical="center" wrapText="1"/>
    </xf>
    <xf numFmtId="164" fontId="19" fillId="0" borderId="0" xfId="0" applyNumberFormat="1" applyFont="1" applyAlignment="1">
      <alignment horizontal="right" vertical="center" wrapText="1"/>
    </xf>
    <xf numFmtId="164" fontId="19" fillId="0" borderId="33" xfId="0" applyNumberFormat="1" applyFont="1" applyBorder="1" applyAlignment="1">
      <alignment horizontal="right" vertical="center" wrapText="1"/>
    </xf>
    <xf numFmtId="164" fontId="19" fillId="0" borderId="23" xfId="0" applyNumberFormat="1" applyFont="1" applyBorder="1" applyAlignment="1">
      <alignment horizontal="right" vertical="center" wrapText="1"/>
    </xf>
    <xf numFmtId="164" fontId="19" fillId="0" borderId="12" xfId="0" applyNumberFormat="1" applyFont="1" applyBorder="1" applyAlignment="1">
      <alignment horizontal="right" vertical="center" wrapText="1"/>
    </xf>
    <xf numFmtId="164" fontId="19" fillId="0" borderId="34" xfId="0" applyNumberFormat="1" applyFont="1" applyBorder="1" applyAlignment="1">
      <alignment horizontal="right" vertical="center" wrapText="1"/>
    </xf>
    <xf numFmtId="164" fontId="19" fillId="0" borderId="35" xfId="0" applyNumberFormat="1" applyFont="1" applyBorder="1" applyAlignment="1">
      <alignment horizontal="right" vertical="center" wrapText="1"/>
    </xf>
    <xf numFmtId="0" fontId="10" fillId="0" borderId="36" xfId="0" applyFont="1" applyBorder="1" applyAlignment="1">
      <alignment vertical="center"/>
    </xf>
    <xf numFmtId="0" fontId="19" fillId="0" borderId="37" xfId="0" applyFont="1" applyBorder="1" applyAlignment="1">
      <alignment horizontal="justify" vertical="center" wrapText="1"/>
    </xf>
    <xf numFmtId="0" fontId="10" fillId="0" borderId="38" xfId="0" applyFont="1" applyBorder="1" applyAlignment="1">
      <alignment vertical="center"/>
    </xf>
    <xf numFmtId="164" fontId="19" fillId="0" borderId="37" xfId="0" applyNumberFormat="1" applyFont="1" applyBorder="1" applyAlignment="1">
      <alignment horizontal="right" vertical="center" wrapText="1"/>
    </xf>
    <xf numFmtId="164" fontId="19" fillId="0" borderId="39" xfId="0" applyNumberFormat="1" applyFont="1" applyBorder="1" applyAlignment="1">
      <alignment horizontal="right" vertical="center" wrapText="1"/>
    </xf>
    <xf numFmtId="164" fontId="19" fillId="0" borderId="38" xfId="0" applyNumberFormat="1" applyFont="1" applyBorder="1" applyAlignment="1">
      <alignment horizontal="right" vertical="center" wrapText="1"/>
    </xf>
    <xf numFmtId="164" fontId="19" fillId="0" borderId="40" xfId="0" applyNumberFormat="1" applyFont="1" applyBorder="1" applyAlignment="1">
      <alignment horizontal="right" vertical="center" wrapText="1"/>
    </xf>
    <xf numFmtId="164" fontId="19" fillId="0" borderId="36" xfId="0" applyNumberFormat="1" applyFont="1" applyBorder="1" applyAlignment="1">
      <alignment horizontal="right" vertical="center" wrapText="1"/>
    </xf>
    <xf numFmtId="164" fontId="19" fillId="0" borderId="41" xfId="0" applyNumberFormat="1" applyFont="1" applyBorder="1" applyAlignment="1">
      <alignment horizontal="right" vertical="center" wrapText="1"/>
    </xf>
    <xf numFmtId="164" fontId="19" fillId="0" borderId="17" xfId="0" applyNumberFormat="1" applyFont="1" applyBorder="1" applyAlignment="1">
      <alignment horizontal="right" vertical="center" wrapText="1"/>
    </xf>
    <xf numFmtId="164" fontId="19" fillId="0" borderId="28" xfId="0" applyNumberFormat="1" applyFont="1" applyBorder="1" applyAlignment="1">
      <alignment horizontal="right" vertical="center" wrapText="1"/>
    </xf>
    <xf numFmtId="164" fontId="19" fillId="0" borderId="18" xfId="0" applyNumberFormat="1" applyFont="1" applyBorder="1" applyAlignment="1">
      <alignment horizontal="right" vertical="center" wrapText="1"/>
    </xf>
    <xf numFmtId="164" fontId="19" fillId="0" borderId="30" xfId="0" applyNumberFormat="1" applyFont="1" applyBorder="1" applyAlignment="1">
      <alignment horizontal="right" vertical="center" wrapText="1"/>
    </xf>
    <xf numFmtId="164" fontId="19" fillId="0" borderId="29" xfId="0" applyNumberFormat="1" applyFont="1" applyBorder="1" applyAlignment="1">
      <alignment horizontal="right" vertical="center" wrapText="1"/>
    </xf>
    <xf numFmtId="0" fontId="10" fillId="2" borderId="19" xfId="0" applyFont="1" applyFill="1" applyBorder="1" applyAlignment="1">
      <alignment vertical="center"/>
    </xf>
    <xf numFmtId="0" fontId="19" fillId="2" borderId="20" xfId="0" applyFont="1" applyFill="1" applyBorder="1" applyAlignment="1">
      <alignment horizontal="justify" vertical="center" wrapText="1"/>
    </xf>
    <xf numFmtId="0" fontId="10" fillId="2" borderId="21" xfId="0" applyFont="1" applyFill="1" applyBorder="1" applyAlignment="1">
      <alignment vertical="center"/>
    </xf>
    <xf numFmtId="164" fontId="5" fillId="2" borderId="0" xfId="0" applyNumberFormat="1" applyFont="1" applyFill="1" applyAlignment="1">
      <alignment horizontal="centerContinuous" vertical="center"/>
    </xf>
    <xf numFmtId="164" fontId="5" fillId="2" borderId="18" xfId="0" applyNumberFormat="1" applyFont="1" applyFill="1" applyBorder="1" applyAlignment="1">
      <alignment horizontal="centerContinuous" vertical="center"/>
    </xf>
    <xf numFmtId="164" fontId="5" fillId="2" borderId="19" xfId="0" applyNumberFormat="1" applyFont="1" applyFill="1" applyBorder="1" applyAlignment="1">
      <alignment horizontal="centerContinuous" vertical="center"/>
    </xf>
    <xf numFmtId="164" fontId="5" fillId="2" borderId="20" xfId="0" applyNumberFormat="1" applyFont="1" applyFill="1" applyBorder="1" applyAlignment="1">
      <alignment horizontal="centerContinuous" vertical="center"/>
    </xf>
    <xf numFmtId="164" fontId="5" fillId="2" borderId="21" xfId="0" applyNumberFormat="1" applyFont="1" applyFill="1" applyBorder="1" applyAlignment="1">
      <alignment horizontal="centerContinuous" vertical="center"/>
    </xf>
    <xf numFmtId="164" fontId="18" fillId="6" borderId="0" xfId="0" applyNumberFormat="1" applyFont="1" applyFill="1" applyAlignment="1">
      <alignment horizontal="right" vertical="center" wrapText="1"/>
    </xf>
    <xf numFmtId="164" fontId="18" fillId="6" borderId="23" xfId="0" applyNumberFormat="1" applyFont="1" applyFill="1" applyBorder="1" applyAlignment="1">
      <alignment horizontal="right" vertical="center" wrapText="1"/>
    </xf>
    <xf numFmtId="164" fontId="19" fillId="7" borderId="35" xfId="0" applyNumberFormat="1" applyFont="1" applyFill="1" applyBorder="1" applyAlignment="1">
      <alignment horizontal="right" vertical="center" wrapText="1"/>
    </xf>
    <xf numFmtId="0" fontId="19" fillId="0" borderId="0" xfId="0" applyFont="1" applyAlignment="1">
      <alignment horizontal="justify" vertical="center"/>
    </xf>
    <xf numFmtId="0" fontId="19" fillId="0" borderId="17" xfId="0" applyFont="1" applyBorder="1" applyAlignment="1">
      <alignment horizontal="justify" vertical="center"/>
    </xf>
    <xf numFmtId="0" fontId="19" fillId="0" borderId="17" xfId="0" applyFont="1" applyBorder="1" applyAlignment="1">
      <alignment horizontal="center" vertical="center"/>
    </xf>
    <xf numFmtId="0" fontId="19" fillId="0" borderId="29" xfId="0" applyFont="1" applyBorder="1" applyAlignment="1">
      <alignment horizontal="center" vertical="center"/>
    </xf>
    <xf numFmtId="0" fontId="19" fillId="0" borderId="28" xfId="0" applyFont="1" applyBorder="1" applyAlignment="1">
      <alignment horizontal="center" vertical="center"/>
    </xf>
    <xf numFmtId="0" fontId="19" fillId="0" borderId="18" xfId="0" applyFont="1" applyBorder="1" applyAlignment="1">
      <alignment horizontal="center" vertical="center"/>
    </xf>
    <xf numFmtId="0" fontId="19" fillId="0" borderId="16" xfId="0" applyFont="1" applyBorder="1" applyAlignment="1">
      <alignment horizontal="center" vertical="center"/>
    </xf>
    <xf numFmtId="0" fontId="16" fillId="0" borderId="0" xfId="0" applyFont="1" applyAlignment="1">
      <alignment horizontal="left" vertical="center"/>
    </xf>
    <xf numFmtId="0" fontId="16" fillId="0" borderId="0" xfId="0" applyFont="1" applyAlignment="1">
      <alignment horizontal="center" vertical="center"/>
    </xf>
    <xf numFmtId="0" fontId="4" fillId="0" borderId="0" xfId="0" applyFont="1" applyAlignment="1">
      <alignment horizontal="centerContinuous" vertical="center"/>
    </xf>
    <xf numFmtId="0" fontId="5" fillId="0" borderId="42" xfId="0" applyFont="1" applyBorder="1" applyAlignment="1">
      <alignment horizontal="center" vertical="center"/>
    </xf>
    <xf numFmtId="0" fontId="5" fillId="0" borderId="3" xfId="0" applyFont="1" applyBorder="1" applyAlignment="1">
      <alignment horizontal="center" vertical="center"/>
    </xf>
    <xf numFmtId="0" fontId="5" fillId="0" borderId="17" xfId="2" applyFont="1" applyFill="1" applyBorder="1" applyAlignment="1" applyProtection="1">
      <alignment horizontal="center" vertical="center"/>
    </xf>
    <xf numFmtId="2" fontId="5" fillId="0" borderId="0" xfId="0" applyNumberFormat="1" applyFont="1" applyAlignment="1">
      <alignment horizontal="center" vertical="center"/>
    </xf>
    <xf numFmtId="2" fontId="5" fillId="0" borderId="1" xfId="0" applyNumberFormat="1" applyFont="1" applyBorder="1" applyAlignment="1">
      <alignment horizontal="center" vertical="center"/>
    </xf>
    <xf numFmtId="0" fontId="10" fillId="0" borderId="11" xfId="0" applyFont="1" applyBorder="1" applyAlignment="1">
      <alignment horizontal="left" vertical="center"/>
    </xf>
    <xf numFmtId="1" fontId="5" fillId="0" borderId="22" xfId="0" applyNumberFormat="1" applyFont="1" applyBorder="1" applyAlignment="1">
      <alignment horizontal="center" vertical="center"/>
    </xf>
    <xf numFmtId="0" fontId="5" fillId="4" borderId="22" xfId="2" applyFont="1" applyFill="1" applyBorder="1" applyAlignment="1" applyProtection="1">
      <alignment horizontal="center" vertical="center"/>
      <protection locked="0"/>
    </xf>
    <xf numFmtId="0" fontId="5" fillId="0" borderId="12" xfId="0" applyFont="1" applyBorder="1" applyAlignment="1">
      <alignment vertical="center"/>
    </xf>
    <xf numFmtId="0" fontId="5" fillId="4" borderId="1" xfId="0" applyFont="1" applyFill="1" applyBorder="1" applyAlignment="1" applyProtection="1">
      <alignment horizontal="center" vertical="center"/>
      <protection locked="0"/>
    </xf>
    <xf numFmtId="0" fontId="10" fillId="0" borderId="43" xfId="0" applyFont="1" applyBorder="1" applyAlignment="1">
      <alignment vertical="center"/>
    </xf>
    <xf numFmtId="0" fontId="5" fillId="0" borderId="0" xfId="2" applyFont="1" applyFill="1" applyBorder="1" applyAlignment="1" applyProtection="1">
      <alignment horizontal="centerContinuous" vertical="center"/>
    </xf>
    <xf numFmtId="0" fontId="20" fillId="0" borderId="0" xfId="0" applyFont="1" applyAlignment="1">
      <alignment vertical="center"/>
    </xf>
    <xf numFmtId="0" fontId="13" fillId="3" borderId="16" xfId="0" applyFont="1" applyFill="1" applyBorder="1" applyAlignment="1">
      <alignment vertical="center"/>
    </xf>
    <xf numFmtId="0" fontId="13" fillId="3" borderId="17" xfId="0" applyFont="1" applyFill="1" applyBorder="1" applyAlignment="1">
      <alignment horizontal="center" vertical="center"/>
    </xf>
    <xf numFmtId="0" fontId="10" fillId="3" borderId="20" xfId="0" applyFont="1" applyFill="1" applyBorder="1" applyAlignment="1">
      <alignment vertical="center"/>
    </xf>
    <xf numFmtId="0" fontId="10" fillId="2" borderId="11" xfId="0" applyFont="1" applyFill="1" applyBorder="1" applyAlignment="1">
      <alignment vertical="center"/>
    </xf>
    <xf numFmtId="0" fontId="5" fillId="2" borderId="44" xfId="0" applyFont="1" applyFill="1" applyBorder="1" applyAlignment="1">
      <alignment vertical="center"/>
    </xf>
    <xf numFmtId="0" fontId="10" fillId="2" borderId="45" xfId="0" applyFont="1" applyFill="1" applyBorder="1" applyAlignment="1">
      <alignment vertical="center"/>
    </xf>
    <xf numFmtId="0" fontId="10" fillId="2" borderId="45" xfId="0" applyFont="1" applyFill="1" applyBorder="1" applyAlignment="1">
      <alignment horizontal="centerContinuous" vertical="center"/>
    </xf>
    <xf numFmtId="0" fontId="10" fillId="2" borderId="46" xfId="0" applyFont="1" applyFill="1" applyBorder="1" applyAlignment="1">
      <alignment horizontal="centerContinuous" vertical="center"/>
    </xf>
    <xf numFmtId="165" fontId="5" fillId="2" borderId="50" xfId="0" applyNumberFormat="1" applyFont="1" applyFill="1" applyBorder="1" applyAlignment="1">
      <alignment horizontal="centerContinuous" vertical="center"/>
    </xf>
    <xf numFmtId="165" fontId="5" fillId="2" borderId="51" xfId="0" applyNumberFormat="1" applyFont="1" applyFill="1" applyBorder="1" applyAlignment="1">
      <alignment horizontal="centerContinuous" vertical="center"/>
    </xf>
    <xf numFmtId="165" fontId="5" fillId="2" borderId="50" xfId="0" applyNumberFormat="1" applyFont="1" applyFill="1" applyBorder="1" applyAlignment="1">
      <alignment horizontal="center" vertical="center"/>
    </xf>
    <xf numFmtId="165" fontId="5" fillId="2" borderId="51" xfId="0" applyNumberFormat="1" applyFont="1" applyFill="1" applyBorder="1" applyAlignment="1">
      <alignment horizontal="center" vertical="center"/>
    </xf>
    <xf numFmtId="165" fontId="5" fillId="2" borderId="36" xfId="0" applyNumberFormat="1" applyFont="1" applyFill="1" applyBorder="1" applyAlignment="1">
      <alignment horizontal="centerContinuous" vertical="center"/>
    </xf>
    <xf numFmtId="165" fontId="5" fillId="2" borderId="37" xfId="0" applyNumberFormat="1" applyFont="1" applyFill="1" applyBorder="1" applyAlignment="1">
      <alignment horizontal="centerContinuous" vertical="center"/>
    </xf>
    <xf numFmtId="165" fontId="5" fillId="2" borderId="52" xfId="0" applyNumberFormat="1" applyFont="1" applyFill="1" applyBorder="1" applyAlignment="1">
      <alignment horizontal="centerContinuous" vertical="center"/>
    </xf>
    <xf numFmtId="165" fontId="5" fillId="2" borderId="53" xfId="0" applyNumberFormat="1" applyFont="1" applyFill="1" applyBorder="1" applyAlignment="1">
      <alignment horizontal="centerContinuous" vertical="center"/>
    </xf>
    <xf numFmtId="165" fontId="5" fillId="2" borderId="54" xfId="0" applyNumberFormat="1" applyFont="1" applyFill="1" applyBorder="1" applyAlignment="1">
      <alignment horizontal="center" vertical="center"/>
    </xf>
    <xf numFmtId="165" fontId="5" fillId="2" borderId="55" xfId="0" applyNumberFormat="1" applyFont="1" applyFill="1" applyBorder="1" applyAlignment="1">
      <alignment horizontal="centerContinuous" vertical="center"/>
    </xf>
    <xf numFmtId="165" fontId="5" fillId="2" borderId="56" xfId="0" applyNumberFormat="1" applyFont="1" applyFill="1" applyBorder="1" applyAlignment="1">
      <alignment horizontal="centerContinuous" vertical="center"/>
    </xf>
    <xf numFmtId="165" fontId="5" fillId="2" borderId="57" xfId="0" applyNumberFormat="1" applyFont="1" applyFill="1" applyBorder="1" applyAlignment="1">
      <alignment horizontal="centerContinuous" vertical="center"/>
    </xf>
    <xf numFmtId="165" fontId="5" fillId="2" borderId="58" xfId="0" applyNumberFormat="1" applyFont="1" applyFill="1" applyBorder="1" applyAlignment="1">
      <alignment horizontal="centerContinuous" vertical="center"/>
    </xf>
    <xf numFmtId="165" fontId="5" fillId="2" borderId="59" xfId="0" applyNumberFormat="1" applyFont="1" applyFill="1" applyBorder="1" applyAlignment="1">
      <alignment horizontal="centerContinuous" vertical="center"/>
    </xf>
    <xf numFmtId="165" fontId="5" fillId="2" borderId="60" xfId="0" applyNumberFormat="1" applyFont="1" applyFill="1" applyBorder="1" applyAlignment="1">
      <alignment horizontal="center" vertical="center"/>
    </xf>
    <xf numFmtId="165" fontId="5" fillId="2" borderId="61" xfId="0" applyNumberFormat="1" applyFont="1" applyFill="1" applyBorder="1" applyAlignment="1">
      <alignment horizontal="centerContinuous" vertical="center"/>
    </xf>
    <xf numFmtId="165" fontId="5" fillId="2" borderId="62" xfId="0" applyNumberFormat="1" applyFont="1" applyFill="1" applyBorder="1" applyAlignment="1">
      <alignment horizontal="centerContinuous" vertical="center"/>
    </xf>
    <xf numFmtId="165" fontId="5" fillId="2" borderId="12" xfId="0" applyNumberFormat="1" applyFont="1" applyFill="1" applyBorder="1" applyAlignment="1">
      <alignment horizontal="centerContinuous" vertical="center"/>
    </xf>
    <xf numFmtId="0" fontId="5" fillId="2" borderId="0" xfId="0" applyFont="1" applyFill="1" applyAlignment="1">
      <alignment horizontal="center" vertical="center"/>
    </xf>
    <xf numFmtId="165" fontId="5" fillId="2" borderId="30" xfId="0" applyNumberFormat="1" applyFont="1" applyFill="1" applyBorder="1" applyAlignment="1">
      <alignment horizontal="center" vertical="center"/>
    </xf>
    <xf numFmtId="165" fontId="5" fillId="2" borderId="31" xfId="0" applyNumberFormat="1" applyFont="1" applyFill="1" applyBorder="1" applyAlignment="1">
      <alignment horizontal="center" vertical="center"/>
    </xf>
    <xf numFmtId="165" fontId="5" fillId="2" borderId="63" xfId="0" applyNumberFormat="1" applyFont="1" applyFill="1" applyBorder="1" applyAlignment="1">
      <alignment horizontal="center" vertical="center"/>
    </xf>
    <xf numFmtId="165" fontId="5" fillId="2" borderId="64" xfId="0" applyNumberFormat="1" applyFont="1" applyFill="1" applyBorder="1" applyAlignment="1">
      <alignment horizontal="center" vertical="center"/>
    </xf>
    <xf numFmtId="165" fontId="5" fillId="2" borderId="65" xfId="0" applyNumberFormat="1" applyFont="1" applyFill="1" applyBorder="1" applyAlignment="1">
      <alignment horizontal="center" vertical="center"/>
    </xf>
    <xf numFmtId="165" fontId="5" fillId="2" borderId="66" xfId="0" applyNumberFormat="1" applyFont="1" applyFill="1" applyBorder="1" applyAlignment="1">
      <alignment horizontal="center" vertical="center"/>
    </xf>
    <xf numFmtId="165" fontId="5" fillId="2" borderId="67" xfId="0" applyNumberFormat="1" applyFont="1" applyFill="1" applyBorder="1" applyAlignment="1">
      <alignment horizontal="center" vertical="center"/>
    </xf>
    <xf numFmtId="165" fontId="5" fillId="2" borderId="68" xfId="0" applyNumberFormat="1" applyFont="1" applyFill="1" applyBorder="1" applyAlignment="1">
      <alignment horizontal="center" vertical="center"/>
    </xf>
    <xf numFmtId="165" fontId="5" fillId="2" borderId="69" xfId="0" applyNumberFormat="1" applyFont="1" applyFill="1" applyBorder="1" applyAlignment="1">
      <alignment horizontal="center" vertical="center"/>
    </xf>
    <xf numFmtId="165" fontId="5" fillId="2" borderId="70" xfId="0" applyNumberFormat="1" applyFont="1" applyFill="1" applyBorder="1" applyAlignment="1">
      <alignment horizontal="center" vertical="center"/>
    </xf>
    <xf numFmtId="165" fontId="5" fillId="2" borderId="71" xfId="0" applyNumberFormat="1" applyFont="1" applyFill="1" applyBorder="1" applyAlignment="1">
      <alignment horizontal="center" vertical="center"/>
    </xf>
    <xf numFmtId="165" fontId="5" fillId="2" borderId="72" xfId="0" applyNumberFormat="1" applyFont="1" applyFill="1" applyBorder="1" applyAlignment="1">
      <alignment horizontal="center" vertical="center"/>
    </xf>
    <xf numFmtId="1" fontId="10" fillId="0" borderId="0" xfId="0" applyNumberFormat="1" applyFont="1" applyAlignment="1">
      <alignment horizontal="center" vertical="center"/>
    </xf>
    <xf numFmtId="2" fontId="10" fillId="0" borderId="11" xfId="0" applyNumberFormat="1" applyFont="1" applyBorder="1" applyAlignment="1">
      <alignment horizontal="right" vertical="center"/>
    </xf>
    <xf numFmtId="2" fontId="10" fillId="0" borderId="0" xfId="0" applyNumberFormat="1" applyFont="1" applyAlignment="1">
      <alignment horizontal="right" vertical="center"/>
    </xf>
    <xf numFmtId="2" fontId="10" fillId="0" borderId="73" xfId="0" applyNumberFormat="1" applyFont="1" applyBorder="1" applyAlignment="1">
      <alignment horizontal="right" vertical="center"/>
    </xf>
    <xf numFmtId="2" fontId="10" fillId="0" borderId="12" xfId="0" applyNumberFormat="1" applyFont="1" applyBorder="1" applyAlignment="1">
      <alignment horizontal="right" vertical="center"/>
    </xf>
    <xf numFmtId="0" fontId="10" fillId="0" borderId="0" xfId="0" applyFont="1" applyAlignment="1">
      <alignment horizontal="center" vertical="center"/>
    </xf>
    <xf numFmtId="2" fontId="10" fillId="0" borderId="0" xfId="1" applyNumberFormat="1" applyFont="1" applyFill="1" applyBorder="1" applyAlignment="1">
      <alignment horizontal="left" vertical="center"/>
    </xf>
    <xf numFmtId="10" fontId="10" fillId="0" borderId="0" xfId="1" applyNumberFormat="1" applyFont="1" applyFill="1" applyBorder="1" applyAlignment="1">
      <alignment vertical="center"/>
    </xf>
    <xf numFmtId="49" fontId="10" fillId="0" borderId="0" xfId="1" quotePrefix="1" applyNumberFormat="1" applyFont="1" applyFill="1" applyBorder="1" applyAlignment="1">
      <alignment vertical="center"/>
    </xf>
    <xf numFmtId="0" fontId="10" fillId="0" borderId="17" xfId="0" applyFont="1" applyBorder="1" applyAlignment="1">
      <alignment horizontal="center" vertical="center"/>
    </xf>
    <xf numFmtId="2" fontId="10" fillId="0" borderId="74" xfId="0" applyNumberFormat="1" applyFont="1" applyBorder="1" applyAlignment="1">
      <alignment horizontal="right" vertical="center"/>
    </xf>
    <xf numFmtId="0" fontId="5" fillId="4" borderId="1" xfId="2" applyFont="1" applyFill="1" applyBorder="1" applyAlignment="1" applyProtection="1">
      <alignment horizontal="center" vertical="center"/>
      <protection locked="0"/>
    </xf>
    <xf numFmtId="0" fontId="5" fillId="4" borderId="1" xfId="2" applyFont="1" applyFill="1" applyBorder="1" applyAlignment="1" applyProtection="1">
      <alignment horizontal="center" vertical="center"/>
    </xf>
    <xf numFmtId="0" fontId="5" fillId="0" borderId="5" xfId="0" applyFont="1" applyBorder="1" applyAlignment="1">
      <alignment horizontal="centerContinuous" vertical="center"/>
    </xf>
    <xf numFmtId="0" fontId="10" fillId="0" borderId="75" xfId="0" applyFont="1" applyBorder="1" applyAlignment="1">
      <alignment vertical="center"/>
    </xf>
    <xf numFmtId="0" fontId="10" fillId="0" borderId="76" xfId="0" applyFont="1" applyBorder="1" applyAlignment="1">
      <alignment vertical="center"/>
    </xf>
    <xf numFmtId="0" fontId="15" fillId="0" borderId="0" xfId="0" applyFont="1" applyAlignment="1">
      <alignment horizontal="left" vertical="center"/>
    </xf>
    <xf numFmtId="0" fontId="13" fillId="3" borderId="21" xfId="0" applyFont="1" applyFill="1" applyBorder="1" applyAlignment="1">
      <alignment vertical="center"/>
    </xf>
    <xf numFmtId="0" fontId="13" fillId="3" borderId="20" xfId="0" applyFont="1" applyFill="1" applyBorder="1" applyAlignment="1">
      <alignment vertical="center"/>
    </xf>
    <xf numFmtId="0" fontId="14" fillId="3" borderId="21" xfId="0" applyFont="1" applyFill="1" applyBorder="1" applyAlignment="1">
      <alignment vertical="center"/>
    </xf>
    <xf numFmtId="0" fontId="18" fillId="0" borderId="0" xfId="0" applyFont="1" applyAlignment="1">
      <alignment horizontal="left" vertical="center"/>
    </xf>
    <xf numFmtId="0" fontId="18" fillId="2" borderId="19" xfId="0" applyFont="1" applyFill="1" applyBorder="1" applyAlignment="1">
      <alignment horizontal="centerContinuous" vertical="center" wrapText="1"/>
    </xf>
    <xf numFmtId="0" fontId="18" fillId="2" borderId="20" xfId="0" applyFont="1" applyFill="1" applyBorder="1" applyAlignment="1">
      <alignment horizontal="centerContinuous" vertical="center" wrapText="1"/>
    </xf>
    <xf numFmtId="0" fontId="18" fillId="2" borderId="21" xfId="0" applyFont="1" applyFill="1" applyBorder="1" applyAlignment="1">
      <alignment horizontal="centerContinuous" vertical="center" wrapText="1"/>
    </xf>
    <xf numFmtId="0" fontId="18" fillId="2" borderId="20" xfId="0" applyFont="1" applyFill="1" applyBorder="1" applyAlignment="1">
      <alignment horizontal="centerContinuous" vertical="center"/>
    </xf>
    <xf numFmtId="0" fontId="18" fillId="2" borderId="21" xfId="0" applyFont="1" applyFill="1" applyBorder="1" applyAlignment="1">
      <alignment horizontal="centerContinuous" vertical="center"/>
    </xf>
    <xf numFmtId="0" fontId="18" fillId="0" borderId="0" xfId="0" applyFont="1" applyAlignment="1">
      <alignment horizontal="center" vertical="center"/>
    </xf>
    <xf numFmtId="0" fontId="18" fillId="2" borderId="24" xfId="0" applyFont="1" applyFill="1" applyBorder="1" applyAlignment="1">
      <alignment horizontal="center" vertical="center" wrapText="1"/>
    </xf>
    <xf numFmtId="0" fontId="18" fillId="2" borderId="77" xfId="0" applyFont="1" applyFill="1" applyBorder="1" applyAlignment="1">
      <alignment horizontal="centerContinuous" vertical="center" wrapText="1"/>
    </xf>
    <xf numFmtId="0" fontId="18" fillId="2" borderId="78" xfId="0" applyFont="1" applyFill="1" applyBorder="1" applyAlignment="1">
      <alignment horizontal="centerContinuous" vertical="center" wrapText="1"/>
    </xf>
    <xf numFmtId="0" fontId="18" fillId="2" borderId="79" xfId="0" applyFont="1" applyFill="1" applyBorder="1" applyAlignment="1">
      <alignment horizontal="center" vertical="center" wrapText="1"/>
    </xf>
    <xf numFmtId="0" fontId="18" fillId="2" borderId="80" xfId="0" applyFont="1" applyFill="1" applyBorder="1" applyAlignment="1">
      <alignment horizontal="center" vertical="center" wrapText="1"/>
    </xf>
    <xf numFmtId="0" fontId="18" fillId="2" borderId="81" xfId="0" applyFont="1" applyFill="1" applyBorder="1" applyAlignment="1">
      <alignment horizontal="center" vertical="center" wrapText="1"/>
    </xf>
    <xf numFmtId="0" fontId="10" fillId="2" borderId="82" xfId="0" applyFont="1" applyFill="1" applyBorder="1" applyAlignment="1">
      <alignment vertical="center"/>
    </xf>
    <xf numFmtId="0" fontId="5" fillId="2" borderId="39" xfId="0" applyFont="1" applyFill="1" applyBorder="1" applyAlignment="1">
      <alignment horizontal="center" vertical="center"/>
    </xf>
    <xf numFmtId="0" fontId="18" fillId="2" borderId="83" xfId="0" applyFont="1" applyFill="1" applyBorder="1" applyAlignment="1">
      <alignment horizontal="center" vertical="center" wrapText="1"/>
    </xf>
    <xf numFmtId="0" fontId="18" fillId="2" borderId="84" xfId="0" applyFont="1" applyFill="1" applyBorder="1" applyAlignment="1">
      <alignment horizontal="center" vertical="center" wrapText="1"/>
    </xf>
    <xf numFmtId="0" fontId="18" fillId="2" borderId="85" xfId="0" applyFont="1" applyFill="1" applyBorder="1" applyAlignment="1">
      <alignment horizontal="center" vertical="center" wrapText="1"/>
    </xf>
    <xf numFmtId="0" fontId="18" fillId="2" borderId="86" xfId="0" applyFont="1" applyFill="1" applyBorder="1" applyAlignment="1">
      <alignment horizontal="center" vertical="center" wrapText="1"/>
    </xf>
    <xf numFmtId="0" fontId="19" fillId="0" borderId="0" xfId="0" applyFont="1" applyAlignment="1">
      <alignment horizontal="center" vertical="center" wrapText="1"/>
    </xf>
    <xf numFmtId="0" fontId="10" fillId="2" borderId="17" xfId="0" applyFont="1" applyFill="1" applyBorder="1" applyAlignment="1">
      <alignment vertical="center"/>
    </xf>
    <xf numFmtId="0" fontId="18" fillId="2" borderId="87" xfId="0" applyFont="1" applyFill="1" applyBorder="1" applyAlignment="1">
      <alignment horizontal="center" vertical="center" wrapText="1"/>
    </xf>
    <xf numFmtId="0" fontId="18" fillId="2" borderId="88"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18" fillId="2" borderId="89" xfId="0" applyFont="1" applyFill="1" applyBorder="1" applyAlignment="1">
      <alignment horizontal="center" vertical="center" wrapText="1"/>
    </xf>
    <xf numFmtId="0" fontId="18" fillId="2" borderId="90" xfId="0" applyFont="1" applyFill="1" applyBorder="1" applyAlignment="1">
      <alignment horizontal="center" vertical="center" wrapText="1"/>
    </xf>
    <xf numFmtId="0" fontId="18" fillId="2" borderId="91" xfId="0" applyFont="1" applyFill="1" applyBorder="1" applyAlignment="1">
      <alignment horizontal="center" vertical="center" wrapText="1"/>
    </xf>
    <xf numFmtId="0" fontId="18" fillId="2" borderId="92" xfId="0" applyFont="1" applyFill="1" applyBorder="1" applyAlignment="1">
      <alignment horizontal="center" vertical="center" wrapText="1"/>
    </xf>
    <xf numFmtId="1" fontId="19" fillId="0" borderId="0" xfId="0" applyNumberFormat="1" applyFont="1" applyAlignment="1">
      <alignment horizontal="center" vertical="center" wrapText="1"/>
    </xf>
    <xf numFmtId="2" fontId="10" fillId="0" borderId="0" xfId="0" applyNumberFormat="1" applyFont="1" applyAlignment="1">
      <alignment horizontal="center" vertical="center" wrapText="1"/>
    </xf>
    <xf numFmtId="2" fontId="10" fillId="0" borderId="93" xfId="0" applyNumberFormat="1" applyFont="1" applyBorder="1" applyAlignment="1">
      <alignment horizontal="center" vertical="center" wrapText="1"/>
    </xf>
    <xf numFmtId="2" fontId="10" fillId="0" borderId="94" xfId="0" applyNumberFormat="1" applyFont="1" applyBorder="1" applyAlignment="1">
      <alignment horizontal="center" vertical="center" wrapText="1"/>
    </xf>
    <xf numFmtId="2" fontId="10" fillId="0" borderId="23" xfId="0" applyNumberFormat="1" applyFont="1" applyBorder="1" applyAlignment="1">
      <alignment horizontal="center" vertical="center" wrapText="1"/>
    </xf>
    <xf numFmtId="2" fontId="10" fillId="0" borderId="35"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Alignment="1">
      <alignment horizontal="center" vertical="center" wrapText="1"/>
    </xf>
    <xf numFmtId="2" fontId="10" fillId="0" borderId="95" xfId="0" applyNumberFormat="1" applyFont="1" applyBorder="1" applyAlignment="1">
      <alignment horizontal="center" vertical="center" wrapText="1"/>
    </xf>
    <xf numFmtId="0" fontId="19" fillId="0" borderId="17" xfId="0" applyFont="1" applyBorder="1" applyAlignment="1">
      <alignment horizontal="center" vertical="center" wrapText="1"/>
    </xf>
    <xf numFmtId="0" fontId="15" fillId="0" borderId="30" xfId="0" applyFont="1" applyBorder="1" applyAlignment="1">
      <alignment vertical="center"/>
    </xf>
    <xf numFmtId="0" fontId="15" fillId="0" borderId="17" xfId="0" applyFont="1" applyBorder="1" applyAlignment="1">
      <alignment vertical="center"/>
    </xf>
    <xf numFmtId="0" fontId="15" fillId="0" borderId="31" xfId="0" applyFont="1" applyBorder="1" applyAlignment="1">
      <alignment vertical="center"/>
    </xf>
    <xf numFmtId="2" fontId="5" fillId="0" borderId="28" xfId="0" applyNumberFormat="1" applyFont="1" applyBorder="1" applyAlignment="1">
      <alignment horizontal="center" vertical="center" wrapText="1"/>
    </xf>
    <xf numFmtId="2" fontId="5" fillId="0" borderId="29" xfId="0" applyNumberFormat="1" applyFont="1" applyBorder="1" applyAlignment="1">
      <alignment horizontal="center" vertical="center" wrapText="1"/>
    </xf>
    <xf numFmtId="0" fontId="15" fillId="0" borderId="16" xfId="0" applyFont="1" applyBorder="1" applyAlignment="1">
      <alignment vertical="center"/>
    </xf>
    <xf numFmtId="0" fontId="15" fillId="0" borderId="18" xfId="0" applyFont="1" applyBorder="1" applyAlignment="1">
      <alignment vertical="center"/>
    </xf>
    <xf numFmtId="0" fontId="10" fillId="0" borderId="5" xfId="0" applyFont="1" applyBorder="1" applyAlignment="1">
      <alignment horizontal="center" vertical="center"/>
    </xf>
    <xf numFmtId="0" fontId="5" fillId="0" borderId="5" xfId="0" applyFont="1" applyBorder="1" applyAlignment="1">
      <alignment horizontal="left" vertical="center"/>
    </xf>
    <xf numFmtId="0" fontId="21" fillId="0" borderId="0" xfId="0" applyFont="1" applyAlignment="1">
      <alignment vertical="center"/>
    </xf>
    <xf numFmtId="0" fontId="16" fillId="0" borderId="11" xfId="0" applyFont="1" applyBorder="1" applyAlignment="1">
      <alignment vertical="center"/>
    </xf>
    <xf numFmtId="0" fontId="10" fillId="0" borderId="0" xfId="0" applyFont="1" applyAlignment="1" applyProtection="1">
      <alignment vertical="center"/>
      <protection locked="0"/>
    </xf>
    <xf numFmtId="0" fontId="14" fillId="3" borderId="20" xfId="0" applyFont="1" applyFill="1" applyBorder="1" applyAlignment="1">
      <alignment horizontal="left" vertical="center"/>
    </xf>
    <xf numFmtId="0" fontId="14" fillId="3" borderId="20" xfId="0" applyFont="1" applyFill="1" applyBorder="1" applyAlignment="1">
      <alignment horizontal="centerContinuous" vertical="center"/>
    </xf>
    <xf numFmtId="0" fontId="13" fillId="3" borderId="20" xfId="0" applyFont="1" applyFill="1" applyBorder="1" applyAlignment="1">
      <alignment horizontal="center" vertical="center"/>
    </xf>
    <xf numFmtId="0" fontId="5" fillId="2" borderId="7" xfId="0" applyFont="1" applyFill="1" applyBorder="1" applyAlignment="1">
      <alignment vertical="center"/>
    </xf>
    <xf numFmtId="0" fontId="5" fillId="2" borderId="7" xfId="0" applyFont="1" applyFill="1" applyBorder="1" applyAlignment="1">
      <alignment horizontal="left" vertical="center"/>
    </xf>
    <xf numFmtId="0" fontId="5" fillId="2" borderId="8" xfId="0" applyFont="1" applyFill="1" applyBorder="1" applyAlignment="1">
      <alignment vertical="center"/>
    </xf>
    <xf numFmtId="0" fontId="18" fillId="2" borderId="19" xfId="0" applyFont="1" applyFill="1" applyBorder="1" applyAlignment="1">
      <alignment horizontal="centerContinuous" vertical="center"/>
    </xf>
    <xf numFmtId="0" fontId="0" fillId="2" borderId="20" xfId="0" applyFill="1" applyBorder="1" applyAlignment="1">
      <alignment horizontal="centerContinuous" vertical="center"/>
    </xf>
    <xf numFmtId="0" fontId="0" fillId="2" borderId="21" xfId="0" applyFill="1" applyBorder="1" applyAlignment="1">
      <alignment horizontal="centerContinuous" vertical="center"/>
    </xf>
    <xf numFmtId="0" fontId="5" fillId="2" borderId="17" xfId="0" applyFont="1" applyFill="1" applyBorder="1" applyAlignment="1">
      <alignment vertical="center"/>
    </xf>
    <xf numFmtId="0" fontId="5" fillId="2" borderId="17" xfId="0" applyFont="1" applyFill="1" applyBorder="1" applyAlignment="1">
      <alignment horizontal="left" vertical="center"/>
    </xf>
    <xf numFmtId="0" fontId="5" fillId="2" borderId="18" xfId="0" applyFont="1" applyFill="1" applyBorder="1" applyAlignment="1">
      <alignment vertical="center"/>
    </xf>
    <xf numFmtId="0" fontId="17" fillId="2" borderId="21" xfId="2" applyFont="1" applyFill="1" applyBorder="1" applyAlignment="1" applyProtection="1">
      <alignment horizontal="centerContinuous" vertical="center"/>
    </xf>
    <xf numFmtId="0" fontId="5" fillId="2" borderId="7"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94" xfId="0" applyFont="1" applyFill="1" applyBorder="1" applyAlignment="1">
      <alignment horizontal="center" vertical="center"/>
    </xf>
    <xf numFmtId="0" fontId="5" fillId="2" borderId="33" xfId="2" applyFont="1" applyFill="1" applyBorder="1" applyAlignment="1" applyProtection="1">
      <alignment horizontal="center" vertical="center"/>
    </xf>
    <xf numFmtId="0" fontId="5" fillId="2" borderId="24" xfId="0" applyFont="1" applyFill="1" applyBorder="1" applyAlignment="1">
      <alignment horizontal="center" vertical="center"/>
    </xf>
    <xf numFmtId="0" fontId="5" fillId="2" borderId="96" xfId="2" applyFont="1" applyFill="1" applyBorder="1" applyAlignment="1" applyProtection="1">
      <alignment horizontal="center" vertical="center"/>
    </xf>
    <xf numFmtId="0" fontId="10" fillId="0" borderId="6" xfId="0" applyFont="1" applyBorder="1" applyAlignment="1">
      <alignment vertical="center"/>
    </xf>
    <xf numFmtId="1" fontId="10" fillId="0" borderId="7" xfId="0" applyNumberFormat="1" applyFont="1" applyBorder="1" applyAlignment="1">
      <alignment horizontal="center"/>
    </xf>
    <xf numFmtId="165" fontId="19" fillId="0" borderId="6" xfId="0" applyNumberFormat="1" applyFont="1" applyBorder="1" applyAlignment="1">
      <alignment horizontal="center" vertical="center"/>
    </xf>
    <xf numFmtId="165" fontId="19" fillId="0" borderId="7" xfId="0" applyNumberFormat="1" applyFont="1" applyBorder="1" applyAlignment="1">
      <alignment horizontal="center" vertical="center"/>
    </xf>
    <xf numFmtId="166" fontId="19" fillId="0" borderId="8" xfId="0" applyNumberFormat="1" applyFont="1" applyBorder="1" applyAlignment="1">
      <alignment horizontal="center" vertical="center"/>
    </xf>
    <xf numFmtId="165" fontId="19" fillId="0" borderId="8" xfId="0" applyNumberFormat="1" applyFont="1" applyBorder="1" applyAlignment="1">
      <alignment horizontal="center" vertical="center"/>
    </xf>
    <xf numFmtId="1" fontId="10" fillId="0" borderId="0" xfId="0" applyNumberFormat="1" applyFont="1" applyAlignment="1">
      <alignment horizontal="center"/>
    </xf>
    <xf numFmtId="165" fontId="19" fillId="0" borderId="11" xfId="0" applyNumberFormat="1" applyFont="1" applyBorder="1" applyAlignment="1">
      <alignment horizontal="center" vertical="center"/>
    </xf>
    <xf numFmtId="165" fontId="19" fillId="0" borderId="0" xfId="0" applyNumberFormat="1" applyFont="1" applyAlignment="1">
      <alignment horizontal="center" vertical="center"/>
    </xf>
    <xf numFmtId="166" fontId="19" fillId="0" borderId="12" xfId="0" applyNumberFormat="1" applyFont="1" applyBorder="1" applyAlignment="1">
      <alignment horizontal="center" vertical="center"/>
    </xf>
    <xf numFmtId="165" fontId="19" fillId="0" borderId="12" xfId="0" applyNumberFormat="1" applyFont="1" applyBorder="1" applyAlignment="1">
      <alignment horizontal="center" vertical="center"/>
    </xf>
    <xf numFmtId="0" fontId="10" fillId="0" borderId="0" xfId="0" applyFont="1" applyAlignment="1">
      <alignment horizontal="center"/>
    </xf>
    <xf numFmtId="0" fontId="10" fillId="0" borderId="17" xfId="0" applyFont="1" applyBorder="1" applyAlignment="1">
      <alignment horizontal="center"/>
    </xf>
    <xf numFmtId="165" fontId="19" fillId="0" borderId="16" xfId="0" applyNumberFormat="1" applyFont="1" applyBorder="1" applyAlignment="1">
      <alignment horizontal="center" vertical="center"/>
    </xf>
    <xf numFmtId="165" fontId="19" fillId="0" borderId="17" xfId="0" applyNumberFormat="1" applyFont="1" applyBorder="1" applyAlignment="1">
      <alignment horizontal="center" vertical="center"/>
    </xf>
    <xf numFmtId="166" fontId="19" fillId="0" borderId="18" xfId="0" applyNumberFormat="1" applyFont="1" applyBorder="1" applyAlignment="1">
      <alignment horizontal="center" vertical="center"/>
    </xf>
    <xf numFmtId="165" fontId="19" fillId="0" borderId="18" xfId="0" applyNumberFormat="1" applyFont="1" applyBorder="1" applyAlignment="1">
      <alignment horizontal="center" vertical="center"/>
    </xf>
    <xf numFmtId="0" fontId="16" fillId="0" borderId="5" xfId="0" applyFont="1" applyBorder="1" applyAlignment="1">
      <alignment vertical="center"/>
    </xf>
    <xf numFmtId="0" fontId="5" fillId="2" borderId="0" xfId="0" applyFont="1" applyFill="1" applyAlignment="1">
      <alignment horizontal="left" vertical="center"/>
    </xf>
    <xf numFmtId="0" fontId="10" fillId="2" borderId="6" xfId="0" applyFont="1" applyFill="1" applyBorder="1" applyAlignment="1">
      <alignment vertical="center"/>
    </xf>
    <xf numFmtId="0" fontId="13" fillId="3" borderId="19" xfId="0" applyFont="1" applyFill="1" applyBorder="1" applyAlignment="1">
      <alignment horizontal="left" vertical="center"/>
    </xf>
    <xf numFmtId="0" fontId="13" fillId="3" borderId="21" xfId="0" applyFont="1" applyFill="1" applyBorder="1" applyAlignment="1">
      <alignment horizontal="centerContinuous" vertical="center" wrapText="1"/>
    </xf>
    <xf numFmtId="0" fontId="18" fillId="2" borderId="77" xfId="0" applyFont="1" applyFill="1" applyBorder="1" applyAlignment="1">
      <alignment horizontal="centerContinuous" vertical="center"/>
    </xf>
    <xf numFmtId="0" fontId="18" fillId="2" borderId="97" xfId="0" applyFont="1" applyFill="1" applyBorder="1" applyAlignment="1">
      <alignment horizontal="centerContinuous" vertical="center"/>
    </xf>
    <xf numFmtId="0" fontId="18" fillId="2" borderId="78" xfId="0" applyFont="1" applyFill="1" applyBorder="1" applyAlignment="1">
      <alignment horizontal="centerContinuous" vertical="center"/>
    </xf>
    <xf numFmtId="0" fontId="18" fillId="2" borderId="0" xfId="0" applyFont="1" applyFill="1" applyAlignment="1">
      <alignment horizontal="center" vertical="center"/>
    </xf>
    <xf numFmtId="0" fontId="18" fillId="2" borderId="98" xfId="0" applyFont="1" applyFill="1" applyBorder="1" applyAlignment="1">
      <alignment horizontal="center" vertical="center" wrapText="1"/>
    </xf>
    <xf numFmtId="0" fontId="18" fillId="2" borderId="99" xfId="0" applyFont="1" applyFill="1" applyBorder="1" applyAlignment="1">
      <alignment horizontal="center" vertical="center" wrapText="1"/>
    </xf>
    <xf numFmtId="0" fontId="18" fillId="2" borderId="100" xfId="0" applyFont="1" applyFill="1" applyBorder="1" applyAlignment="1">
      <alignment horizontal="center" vertical="center" wrapText="1"/>
    </xf>
    <xf numFmtId="1" fontId="19" fillId="0" borderId="7" xfId="0" applyNumberFormat="1" applyFont="1" applyBorder="1" applyAlignment="1">
      <alignment horizontal="center" vertical="center"/>
    </xf>
    <xf numFmtId="165" fontId="10" fillId="0" borderId="6" xfId="0" applyNumberFormat="1" applyFont="1" applyBorder="1" applyAlignment="1">
      <alignment horizontal="center" vertical="center"/>
    </xf>
    <xf numFmtId="165" fontId="10" fillId="0" borderId="8" xfId="0" applyNumberFormat="1" applyFont="1" applyBorder="1" applyAlignment="1">
      <alignment horizontal="center" vertical="center"/>
    </xf>
    <xf numFmtId="165" fontId="10" fillId="0" borderId="11" xfId="0" applyNumberFormat="1" applyFont="1" applyBorder="1" applyAlignment="1">
      <alignment horizontal="center" vertical="center"/>
    </xf>
    <xf numFmtId="165" fontId="10" fillId="0" borderId="12" xfId="0" applyNumberFormat="1" applyFont="1" applyBorder="1" applyAlignment="1">
      <alignment horizontal="center" vertical="center"/>
    </xf>
    <xf numFmtId="165" fontId="10" fillId="0" borderId="16" xfId="0" applyNumberFormat="1" applyFont="1" applyBorder="1" applyAlignment="1">
      <alignment horizontal="center" vertical="center"/>
    </xf>
    <xf numFmtId="165" fontId="10" fillId="0" borderId="18" xfId="0" applyNumberFormat="1" applyFont="1" applyBorder="1" applyAlignment="1">
      <alignment horizontal="center" vertical="center"/>
    </xf>
    <xf numFmtId="0" fontId="4" fillId="0" borderId="0" xfId="2" applyFont="1" applyFill="1" applyAlignment="1" applyProtection="1">
      <alignment vertical="center"/>
    </xf>
    <xf numFmtId="0" fontId="15" fillId="0" borderId="5" xfId="2" applyFont="1" applyFill="1" applyBorder="1" applyAlignment="1" applyProtection="1">
      <alignment horizontal="left" vertical="center"/>
    </xf>
    <xf numFmtId="0" fontId="10" fillId="0" borderId="0" xfId="0" quotePrefix="1" applyFont="1" applyAlignment="1">
      <alignment vertical="center"/>
    </xf>
    <xf numFmtId="0" fontId="15" fillId="0" borderId="0" xfId="2" applyFont="1" applyFill="1" applyBorder="1" applyAlignment="1" applyProtection="1">
      <alignment horizontal="left" vertical="center"/>
    </xf>
    <xf numFmtId="0" fontId="10" fillId="0" borderId="17" xfId="0" applyFont="1" applyBorder="1"/>
    <xf numFmtId="0" fontId="10" fillId="2" borderId="6" xfId="0" applyFont="1" applyFill="1" applyBorder="1"/>
    <xf numFmtId="0" fontId="5" fillId="2" borderId="7" xfId="0" applyFont="1" applyFill="1" applyBorder="1" applyAlignment="1">
      <alignment horizontal="center" wrapText="1"/>
    </xf>
    <xf numFmtId="0" fontId="10" fillId="2" borderId="8" xfId="0" applyFont="1" applyFill="1" applyBorder="1"/>
    <xf numFmtId="0" fontId="5" fillId="2" borderId="101" xfId="0" applyFont="1" applyFill="1" applyBorder="1" applyAlignment="1">
      <alignment horizontal="center" wrapText="1"/>
    </xf>
    <xf numFmtId="0" fontId="5" fillId="2" borderId="12" xfId="0" applyFont="1" applyFill="1" applyBorder="1" applyAlignment="1">
      <alignment horizontal="center" wrapText="1"/>
    </xf>
    <xf numFmtId="0" fontId="10" fillId="2" borderId="11" xfId="0" applyFont="1" applyFill="1" applyBorder="1"/>
    <xf numFmtId="0" fontId="5" fillId="2" borderId="0" xfId="0" applyFont="1" applyFill="1" applyAlignment="1">
      <alignment horizontal="center" wrapText="1"/>
    </xf>
    <xf numFmtId="0" fontId="10" fillId="2" borderId="12" xfId="0" applyFont="1" applyFill="1" applyBorder="1"/>
    <xf numFmtId="0" fontId="5" fillId="2" borderId="102" xfId="0" applyFont="1" applyFill="1" applyBorder="1" applyAlignment="1">
      <alignment horizontal="center" wrapText="1"/>
    </xf>
    <xf numFmtId="0" fontId="10" fillId="2" borderId="16" xfId="0" applyFont="1" applyFill="1" applyBorder="1"/>
    <xf numFmtId="0" fontId="5" fillId="2" borderId="17" xfId="0" applyFont="1" applyFill="1" applyBorder="1" applyAlignment="1">
      <alignment horizontal="center" wrapText="1"/>
    </xf>
    <xf numFmtId="0" fontId="10" fillId="2" borderId="18" xfId="0" applyFont="1" applyFill="1" applyBorder="1"/>
    <xf numFmtId="0" fontId="5" fillId="2" borderId="103" xfId="0" applyFont="1" applyFill="1" applyBorder="1" applyAlignment="1">
      <alignment horizontal="center" wrapText="1"/>
    </xf>
    <xf numFmtId="0" fontId="5" fillId="2" borderId="18" xfId="0" applyFont="1" applyFill="1" applyBorder="1" applyAlignment="1">
      <alignment horizontal="center" wrapText="1"/>
    </xf>
    <xf numFmtId="1" fontId="5" fillId="0" borderId="0" xfId="0" applyNumberFormat="1" applyFont="1" applyAlignment="1">
      <alignment horizontal="center" wrapText="1"/>
    </xf>
    <xf numFmtId="165" fontId="10" fillId="0" borderId="102" xfId="0" applyNumberFormat="1" applyFont="1" applyBorder="1" applyAlignment="1">
      <alignment horizontal="center" wrapText="1"/>
    </xf>
    <xf numFmtId="10" fontId="10" fillId="0" borderId="0" xfId="0" applyNumberFormat="1" applyFont="1"/>
    <xf numFmtId="0" fontId="5" fillId="0" borderId="0" xfId="0" applyFont="1" applyAlignment="1">
      <alignment horizontal="center"/>
    </xf>
    <xf numFmtId="0" fontId="10" fillId="0" borderId="0" xfId="2" applyFont="1" applyFill="1" applyBorder="1" applyAlignment="1" applyProtection="1">
      <alignment horizontal="left" vertical="center"/>
    </xf>
    <xf numFmtId="1" fontId="5" fillId="0" borderId="56" xfId="0" applyNumberFormat="1" applyFont="1" applyBorder="1" applyAlignment="1">
      <alignment horizontal="center" vertical="center"/>
    </xf>
    <xf numFmtId="0" fontId="10" fillId="0" borderId="0" xfId="0" applyFont="1" applyAlignment="1">
      <alignment horizontal="left"/>
    </xf>
    <xf numFmtId="0" fontId="14" fillId="3" borderId="20" xfId="0" applyFont="1" applyFill="1" applyBorder="1" applyAlignment="1">
      <alignment horizontal="centerContinuous" vertical="center" wrapText="1"/>
    </xf>
    <xf numFmtId="0" fontId="14" fillId="3" borderId="21" xfId="0" applyFont="1" applyFill="1" applyBorder="1" applyAlignment="1">
      <alignment horizontal="centerContinuous" vertical="center" wrapText="1"/>
    </xf>
    <xf numFmtId="0" fontId="14" fillId="0" borderId="0" xfId="0" applyFont="1" applyAlignment="1">
      <alignment horizontal="centerContinuous" vertical="center" wrapText="1"/>
    </xf>
    <xf numFmtId="0" fontId="14" fillId="0" borderId="0" xfId="0" applyFont="1" applyAlignment="1">
      <alignment vertical="center"/>
    </xf>
    <xf numFmtId="0" fontId="5" fillId="2" borderId="67" xfId="0" applyFont="1" applyFill="1" applyBorder="1" applyAlignment="1">
      <alignment horizontal="center" wrapText="1"/>
    </xf>
    <xf numFmtId="0" fontId="5" fillId="2" borderId="68" xfId="0" applyFont="1" applyFill="1" applyBorder="1" applyAlignment="1">
      <alignment horizontal="center" wrapText="1"/>
    </xf>
    <xf numFmtId="0" fontId="5" fillId="2" borderId="72" xfId="0" applyFont="1" applyFill="1" applyBorder="1" applyAlignment="1">
      <alignment horizontal="center" wrapText="1"/>
    </xf>
    <xf numFmtId="1" fontId="5" fillId="0" borderId="7" xfId="0" applyNumberFormat="1" applyFont="1" applyBorder="1" applyAlignment="1">
      <alignment horizontal="center" vertical="top" wrapText="1"/>
    </xf>
    <xf numFmtId="2" fontId="10" fillId="0" borderId="0" xfId="0" applyNumberFormat="1" applyFont="1" applyAlignment="1">
      <alignment horizontal="center" wrapText="1"/>
    </xf>
    <xf numFmtId="2" fontId="10" fillId="0" borderId="12" xfId="0" applyNumberFormat="1" applyFont="1" applyBorder="1" applyAlignment="1">
      <alignment horizontal="center" wrapText="1"/>
    </xf>
    <xf numFmtId="2" fontId="10" fillId="0" borderId="0" xfId="0" applyNumberFormat="1" applyFont="1"/>
    <xf numFmtId="1" fontId="5" fillId="0" borderId="0" xfId="0" applyNumberFormat="1" applyFont="1" applyAlignment="1">
      <alignment horizontal="center" vertical="top" wrapText="1"/>
    </xf>
    <xf numFmtId="1" fontId="5" fillId="0" borderId="17" xfId="0" applyNumberFormat="1" applyFont="1" applyBorder="1" applyAlignment="1">
      <alignment horizontal="center" vertical="top" wrapText="1"/>
    </xf>
    <xf numFmtId="2" fontId="10" fillId="0" borderId="17" xfId="0" applyNumberFormat="1" applyFont="1" applyBorder="1" applyAlignment="1">
      <alignment horizontal="center" wrapText="1"/>
    </xf>
    <xf numFmtId="2" fontId="10" fillId="0" borderId="18" xfId="0" applyNumberFormat="1" applyFont="1" applyBorder="1" applyAlignment="1">
      <alignment horizontal="center" wrapText="1"/>
    </xf>
    <xf numFmtId="0" fontId="26" fillId="8" borderId="0" xfId="0" applyFont="1" applyFill="1"/>
    <xf numFmtId="0" fontId="0" fillId="8" borderId="0" xfId="0" applyFill="1"/>
    <xf numFmtId="0" fontId="26" fillId="8" borderId="37" xfId="0" applyFont="1" applyFill="1" applyBorder="1"/>
    <xf numFmtId="0" fontId="0" fillId="8" borderId="22" xfId="0" applyFill="1" applyBorder="1"/>
    <xf numFmtId="0" fontId="27" fillId="8" borderId="22" xfId="3" applyFont="1" applyFill="1" applyBorder="1"/>
    <xf numFmtId="0" fontId="27" fillId="8" borderId="0" xfId="3" applyFont="1" applyFill="1"/>
    <xf numFmtId="2" fontId="0" fillId="8" borderId="0" xfId="0" applyNumberFormat="1" applyFill="1"/>
    <xf numFmtId="0" fontId="10" fillId="8" borderId="0" xfId="3" applyFill="1"/>
    <xf numFmtId="164" fontId="0" fillId="8" borderId="0" xfId="0" applyNumberFormat="1" applyFill="1"/>
    <xf numFmtId="3" fontId="0" fillId="8" borderId="0" xfId="0" applyNumberFormat="1" applyFill="1"/>
    <xf numFmtId="0" fontId="25" fillId="8" borderId="0" xfId="0" applyFont="1" applyFill="1"/>
    <xf numFmtId="0" fontId="24" fillId="8" borderId="0" xfId="0" applyFont="1" applyFill="1"/>
    <xf numFmtId="0" fontId="24" fillId="8" borderId="22" xfId="0" applyFont="1" applyFill="1" applyBorder="1"/>
    <xf numFmtId="0" fontId="25" fillId="8" borderId="22" xfId="0" applyFont="1" applyFill="1" applyBorder="1"/>
    <xf numFmtId="0" fontId="24" fillId="8" borderId="22" xfId="0" applyFont="1" applyFill="1" applyBorder="1" applyAlignment="1">
      <alignment horizontal="right"/>
    </xf>
    <xf numFmtId="1" fontId="28" fillId="8" borderId="22" xfId="0" applyNumberFormat="1" applyFont="1" applyFill="1" applyBorder="1" applyAlignment="1">
      <alignment horizontal="right" vertical="center"/>
    </xf>
    <xf numFmtId="0" fontId="29" fillId="8" borderId="22" xfId="0" applyFont="1" applyFill="1" applyBorder="1" applyAlignment="1">
      <alignment horizontal="right" vertical="center"/>
    </xf>
    <xf numFmtId="0" fontId="24" fillId="8" borderId="0" xfId="0" applyFont="1" applyFill="1" applyAlignment="1">
      <alignment horizontal="right"/>
    </xf>
    <xf numFmtId="0" fontId="30" fillId="8" borderId="0" xfId="0" applyFont="1" applyFill="1"/>
    <xf numFmtId="0" fontId="26" fillId="8" borderId="0" xfId="0" applyFont="1" applyFill="1" applyAlignment="1">
      <alignment horizontal="right"/>
    </xf>
    <xf numFmtId="0" fontId="30" fillId="8" borderId="22" xfId="0" applyFont="1" applyFill="1" applyBorder="1"/>
    <xf numFmtId="3" fontId="25" fillId="8" borderId="0" xfId="0" applyNumberFormat="1" applyFont="1" applyFill="1"/>
    <xf numFmtId="0" fontId="14" fillId="3" borderId="0" xfId="0" applyFont="1" applyFill="1" applyAlignment="1">
      <alignment vertical="center"/>
    </xf>
    <xf numFmtId="0" fontId="13" fillId="3" borderId="11" xfId="0" applyFont="1" applyFill="1" applyBorder="1" applyAlignment="1">
      <alignment horizontal="left" vertical="center"/>
    </xf>
    <xf numFmtId="0" fontId="14" fillId="3" borderId="17" xfId="0" applyFont="1" applyFill="1" applyBorder="1" applyAlignment="1">
      <alignment horizontal="left" vertical="center"/>
    </xf>
    <xf numFmtId="0" fontId="14" fillId="3" borderId="0" xfId="0" applyFont="1" applyFill="1" applyAlignment="1">
      <alignment horizontal="left" vertical="center"/>
    </xf>
    <xf numFmtId="0" fontId="14" fillId="3" borderId="12" xfId="0" applyFont="1" applyFill="1" applyBorder="1" applyAlignment="1">
      <alignment horizontal="left" vertical="center"/>
    </xf>
    <xf numFmtId="0" fontId="10" fillId="2" borderId="16" xfId="0" applyFont="1" applyFill="1" applyBorder="1" applyAlignment="1">
      <alignment vertical="center"/>
    </xf>
    <xf numFmtId="0" fontId="18" fillId="2" borderId="106" xfId="0" applyFont="1" applyFill="1" applyBorder="1" applyAlignment="1">
      <alignment horizontal="center" vertical="center" wrapText="1"/>
    </xf>
    <xf numFmtId="0" fontId="18" fillId="2" borderId="107" xfId="0" applyFont="1" applyFill="1" applyBorder="1" applyAlignment="1">
      <alignment horizontal="center" vertical="center" wrapText="1"/>
    </xf>
    <xf numFmtId="0" fontId="18" fillId="0" borderId="101" xfId="0" applyFont="1" applyBorder="1" applyAlignment="1">
      <alignment vertical="center"/>
    </xf>
    <xf numFmtId="0" fontId="19" fillId="0" borderId="0" xfId="0" applyFont="1" applyAlignment="1">
      <alignment vertical="center"/>
    </xf>
    <xf numFmtId="165" fontId="10" fillId="0" borderId="32" xfId="0" applyNumberFormat="1" applyFont="1" applyBorder="1" applyAlignment="1">
      <alignment horizontal="center" vertical="center" wrapText="1"/>
    </xf>
    <xf numFmtId="165" fontId="10" fillId="0" borderId="33" xfId="0" applyNumberFormat="1" applyFont="1" applyBorder="1" applyAlignment="1">
      <alignment horizontal="center" vertical="center" wrapText="1"/>
    </xf>
    <xf numFmtId="0" fontId="19" fillId="0" borderId="11" xfId="0" applyFont="1" applyBorder="1" applyAlignment="1">
      <alignment vertical="center"/>
    </xf>
    <xf numFmtId="165" fontId="10" fillId="0" borderId="34" xfId="0" applyNumberFormat="1" applyFont="1" applyBorder="1" applyAlignment="1">
      <alignment horizontal="center" vertical="center" wrapText="1"/>
    </xf>
    <xf numFmtId="165" fontId="10" fillId="0" borderId="35" xfId="0" applyNumberFormat="1" applyFont="1" applyBorder="1" applyAlignment="1">
      <alignment horizontal="center" vertical="center" wrapText="1"/>
    </xf>
    <xf numFmtId="0" fontId="19" fillId="0" borderId="36" xfId="0" applyFont="1" applyBorder="1" applyAlignment="1">
      <alignment vertical="center"/>
    </xf>
    <xf numFmtId="165" fontId="10" fillId="0" borderId="40" xfId="0" applyNumberFormat="1" applyFont="1" applyBorder="1" applyAlignment="1">
      <alignment horizontal="center" vertical="center" wrapText="1"/>
    </xf>
    <xf numFmtId="165" fontId="10" fillId="0" borderId="41" xfId="0" applyNumberFormat="1" applyFont="1" applyBorder="1" applyAlignment="1">
      <alignment horizontal="center" vertical="center" wrapText="1"/>
    </xf>
    <xf numFmtId="0" fontId="18" fillId="0" borderId="11" xfId="0" applyFont="1" applyBorder="1" applyAlignment="1">
      <alignment vertical="center"/>
    </xf>
    <xf numFmtId="165" fontId="10" fillId="0" borderId="108" xfId="0" applyNumberFormat="1" applyFont="1" applyBorder="1" applyAlignment="1">
      <alignment horizontal="center" vertical="center" wrapText="1"/>
    </xf>
    <xf numFmtId="165" fontId="10" fillId="0" borderId="109" xfId="0" applyNumberFormat="1" applyFont="1" applyBorder="1" applyAlignment="1">
      <alignment horizontal="center" vertical="center" wrapText="1"/>
    </xf>
    <xf numFmtId="165" fontId="10" fillId="0" borderId="12" xfId="0" applyNumberFormat="1" applyFont="1" applyBorder="1" applyAlignment="1">
      <alignment horizontal="center" vertical="center" wrapText="1"/>
    </xf>
    <xf numFmtId="0" fontId="10" fillId="0" borderId="37" xfId="0" applyFont="1" applyBorder="1" applyAlignment="1">
      <alignment vertical="center"/>
    </xf>
    <xf numFmtId="165" fontId="10" fillId="0" borderId="38" xfId="0" applyNumberFormat="1" applyFont="1" applyBorder="1" applyAlignment="1">
      <alignment horizontal="center" vertical="center" wrapText="1"/>
    </xf>
    <xf numFmtId="0" fontId="18" fillId="0" borderId="16" xfId="0" applyFont="1" applyBorder="1" applyAlignment="1">
      <alignment vertical="center"/>
    </xf>
    <xf numFmtId="0" fontId="19" fillId="0" borderId="16" xfId="0" applyFont="1" applyBorder="1" applyAlignment="1">
      <alignment vertical="center"/>
    </xf>
    <xf numFmtId="165" fontId="10" fillId="0" borderId="30" xfId="0" applyNumberFormat="1" applyFont="1" applyBorder="1" applyAlignment="1">
      <alignment horizontal="center" vertical="center" wrapText="1"/>
    </xf>
    <xf numFmtId="165" fontId="10" fillId="0" borderId="29" xfId="0" applyNumberFormat="1" applyFont="1" applyBorder="1" applyAlignment="1">
      <alignment horizontal="center" vertical="center" wrapText="1"/>
    </xf>
    <xf numFmtId="0" fontId="18" fillId="0" borderId="0" xfId="0" applyFont="1" applyAlignment="1">
      <alignment horizontal="left" vertical="center" wrapText="1"/>
    </xf>
    <xf numFmtId="165" fontId="19" fillId="0" borderId="0" xfId="0" applyNumberFormat="1" applyFont="1" applyAlignment="1">
      <alignment horizontal="center" vertical="center" wrapText="1"/>
    </xf>
    <xf numFmtId="0" fontId="4" fillId="0" borderId="0" xfId="0" applyFont="1" applyAlignment="1">
      <alignment horizontal="center"/>
    </xf>
    <xf numFmtId="0" fontId="4" fillId="0" borderId="0" xfId="2" applyFont="1" applyFill="1" applyBorder="1" applyAlignment="1" applyProtection="1">
      <alignment horizontal="center"/>
    </xf>
    <xf numFmtId="0" fontId="10" fillId="0" borderId="5" xfId="0" applyFont="1" applyBorder="1" applyAlignment="1">
      <alignment horizontal="center"/>
    </xf>
    <xf numFmtId="0" fontId="5" fillId="0" borderId="5" xfId="2" applyFont="1" applyFill="1" applyBorder="1" applyAlignment="1" applyProtection="1">
      <alignment horizontal="center"/>
    </xf>
    <xf numFmtId="0" fontId="12" fillId="0" borderId="0" xfId="0" applyFont="1" applyAlignment="1">
      <alignment horizontal="center" vertical="center"/>
    </xf>
    <xf numFmtId="0" fontId="5" fillId="0" borderId="0" xfId="2" applyFont="1" applyFill="1" applyBorder="1" applyAlignment="1" applyProtection="1">
      <alignment horizontal="center"/>
    </xf>
    <xf numFmtId="0" fontId="5" fillId="4" borderId="1" xfId="2" applyFont="1" applyFill="1" applyBorder="1" applyAlignment="1" applyProtection="1">
      <alignment horizontal="center"/>
      <protection locked="0"/>
    </xf>
    <xf numFmtId="0" fontId="10" fillId="0" borderId="16" xfId="0" applyFont="1" applyBorder="1" applyAlignment="1">
      <alignment horizontal="left" vertical="center"/>
    </xf>
    <xf numFmtId="0" fontId="10" fillId="0" borderId="0" xfId="0" applyFont="1" applyProtection="1">
      <protection locked="0"/>
    </xf>
    <xf numFmtId="0" fontId="22" fillId="0" borderId="0" xfId="0" applyFont="1"/>
    <xf numFmtId="0" fontId="22" fillId="0" borderId="0" xfId="0" applyFont="1" applyAlignment="1">
      <alignment horizontal="center"/>
    </xf>
    <xf numFmtId="0" fontId="13" fillId="3" borderId="19" xfId="0" applyFont="1" applyFill="1" applyBorder="1"/>
    <xf numFmtId="0" fontId="13" fillId="3" borderId="20" xfId="0" applyFont="1" applyFill="1" applyBorder="1" applyAlignment="1">
      <alignment horizontal="left" vertical="center"/>
    </xf>
    <xf numFmtId="0" fontId="0" fillId="3" borderId="21" xfId="0" applyFill="1" applyBorder="1"/>
    <xf numFmtId="0" fontId="5" fillId="2" borderId="6" xfId="0" applyFont="1" applyFill="1" applyBorder="1"/>
    <xf numFmtId="0" fontId="18" fillId="2" borderId="7" xfId="0" applyFont="1" applyFill="1" applyBorder="1" applyAlignment="1">
      <alignment vertical="center"/>
    </xf>
    <xf numFmtId="0" fontId="5" fillId="2" borderId="7" xfId="0" applyFont="1" applyFill="1" applyBorder="1"/>
    <xf numFmtId="0" fontId="5" fillId="2" borderId="17" xfId="0" applyFont="1" applyFill="1" applyBorder="1" applyAlignment="1">
      <alignment horizontal="center"/>
    </xf>
    <xf numFmtId="0" fontId="10" fillId="2" borderId="17" xfId="0" applyFont="1" applyFill="1" applyBorder="1"/>
    <xf numFmtId="0" fontId="18" fillId="2" borderId="34" xfId="0" applyFont="1" applyFill="1" applyBorder="1" applyAlignment="1">
      <alignment horizontal="center" vertical="center" wrapText="1"/>
    </xf>
    <xf numFmtId="0" fontId="18" fillId="2" borderId="95" xfId="0" applyFont="1" applyFill="1" applyBorder="1" applyAlignment="1">
      <alignment horizontal="center" vertical="center" wrapText="1"/>
    </xf>
    <xf numFmtId="0" fontId="18" fillId="2" borderId="33" xfId="0" applyFont="1" applyFill="1" applyBorder="1" applyAlignment="1">
      <alignment horizontal="center" vertical="center" wrapText="1"/>
    </xf>
    <xf numFmtId="0" fontId="10" fillId="0" borderId="7" xfId="0" applyFont="1" applyBorder="1"/>
    <xf numFmtId="167" fontId="19" fillId="0" borderId="6" xfId="0" applyNumberFormat="1" applyFont="1" applyBorder="1" applyAlignment="1">
      <alignment horizontal="center" vertical="center" wrapText="1"/>
    </xf>
    <xf numFmtId="167" fontId="19" fillId="0" borderId="7" xfId="0" applyNumberFormat="1" applyFont="1" applyBorder="1" applyAlignment="1">
      <alignment horizontal="center" vertical="center" wrapText="1"/>
    </xf>
    <xf numFmtId="168" fontId="19" fillId="0" borderId="7" xfId="0" applyNumberFormat="1" applyFont="1" applyBorder="1" applyAlignment="1">
      <alignment horizontal="center" vertical="center" wrapText="1"/>
    </xf>
    <xf numFmtId="167" fontId="10" fillId="0" borderId="6" xfId="0" applyNumberFormat="1" applyFont="1" applyBorder="1" applyAlignment="1">
      <alignment horizontal="center"/>
    </xf>
    <xf numFmtId="167" fontId="10" fillId="0" borderId="7" xfId="0" applyNumberFormat="1"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168" fontId="10" fillId="0" borderId="6" xfId="0" applyNumberFormat="1" applyFont="1" applyBorder="1" applyAlignment="1">
      <alignment horizontal="center"/>
    </xf>
    <xf numFmtId="168" fontId="10" fillId="0" borderId="7" xfId="0" applyNumberFormat="1" applyFont="1" applyBorder="1" applyAlignment="1">
      <alignment horizontal="center"/>
    </xf>
    <xf numFmtId="0" fontId="19" fillId="0" borderId="6" xfId="0" applyFont="1" applyBorder="1" applyAlignment="1">
      <alignment horizontal="center" vertical="center" wrapText="1"/>
    </xf>
    <xf numFmtId="168" fontId="10" fillId="0" borderId="8" xfId="0" applyNumberFormat="1" applyFont="1" applyBorder="1" applyAlignment="1">
      <alignment horizontal="center"/>
    </xf>
    <xf numFmtId="167" fontId="19" fillId="0" borderId="11" xfId="0" applyNumberFormat="1" applyFont="1" applyBorder="1" applyAlignment="1">
      <alignment horizontal="center" vertical="center" wrapText="1"/>
    </xf>
    <xf numFmtId="167" fontId="19" fillId="0" borderId="0" xfId="0" applyNumberFormat="1" applyFont="1" applyAlignment="1">
      <alignment horizontal="center" vertical="center" wrapText="1"/>
    </xf>
    <xf numFmtId="168" fontId="19" fillId="0" borderId="0" xfId="0" applyNumberFormat="1" applyFont="1" applyAlignment="1">
      <alignment horizontal="center" vertical="center" wrapText="1"/>
    </xf>
    <xf numFmtId="167" fontId="10" fillId="0" borderId="11" xfId="0" applyNumberFormat="1" applyFont="1" applyBorder="1" applyAlignment="1">
      <alignment horizontal="center"/>
    </xf>
    <xf numFmtId="167" fontId="10" fillId="0" borderId="0" xfId="0" applyNumberFormat="1" applyFont="1" applyAlignment="1">
      <alignment horizontal="center"/>
    </xf>
    <xf numFmtId="0" fontId="10" fillId="0" borderId="12" xfId="0" applyFont="1" applyBorder="1" applyAlignment="1">
      <alignment horizontal="center"/>
    </xf>
    <xf numFmtId="168" fontId="10" fillId="0" borderId="11" xfId="0" applyNumberFormat="1" applyFont="1" applyBorder="1" applyAlignment="1">
      <alignment horizontal="center"/>
    </xf>
    <xf numFmtId="168" fontId="10" fillId="0" borderId="0" xfId="0" applyNumberFormat="1" applyFont="1" applyAlignment="1">
      <alignment horizontal="center"/>
    </xf>
    <xf numFmtId="0" fontId="19" fillId="0" borderId="11" xfId="0" applyFont="1" applyBorder="1" applyAlignment="1">
      <alignment horizontal="center" vertical="center" wrapText="1"/>
    </xf>
    <xf numFmtId="168" fontId="10" fillId="0" borderId="12" xfId="0" applyNumberFormat="1" applyFont="1" applyBorder="1" applyAlignment="1">
      <alignment horizontal="center"/>
    </xf>
    <xf numFmtId="0" fontId="5" fillId="2" borderId="0" xfId="0" applyFont="1" applyFill="1" applyAlignment="1">
      <alignment horizontal="center"/>
    </xf>
    <xf numFmtId="0" fontId="10" fillId="2" borderId="0" xfId="0" applyFont="1" applyFill="1"/>
    <xf numFmtId="0" fontId="18" fillId="2" borderId="11" xfId="0" applyFont="1" applyFill="1" applyBorder="1" applyAlignment="1">
      <alignment horizontal="center" vertical="center" wrapText="1"/>
    </xf>
    <xf numFmtId="10" fontId="10" fillId="0" borderId="0" xfId="0" applyNumberFormat="1" applyFont="1" applyAlignment="1">
      <alignment vertical="center"/>
    </xf>
    <xf numFmtId="0" fontId="5" fillId="0" borderId="0" xfId="0" applyFont="1" applyAlignment="1" applyProtection="1">
      <alignment horizontal="left" vertical="center"/>
      <protection locked="0"/>
    </xf>
    <xf numFmtId="0" fontId="5" fillId="0" borderId="0" xfId="0" applyFont="1" applyAlignment="1" applyProtection="1">
      <alignment vertical="center"/>
      <protection locked="0"/>
    </xf>
    <xf numFmtId="0" fontId="14" fillId="3" borderId="110" xfId="0" applyFont="1" applyFill="1" applyBorder="1" applyAlignment="1">
      <alignment vertical="center"/>
    </xf>
    <xf numFmtId="0" fontId="14" fillId="3" borderId="19" xfId="0" applyFont="1" applyFill="1" applyBorder="1" applyAlignment="1">
      <alignment vertical="center"/>
    </xf>
    <xf numFmtId="0" fontId="10" fillId="2" borderId="7" xfId="0" applyFont="1" applyFill="1" applyBorder="1" applyAlignment="1">
      <alignment vertical="center"/>
    </xf>
    <xf numFmtId="0" fontId="5" fillId="2" borderId="110" xfId="0" applyFont="1" applyFill="1" applyBorder="1" applyAlignment="1">
      <alignment horizontal="centerContinuous" vertical="center"/>
    </xf>
    <xf numFmtId="0" fontId="10" fillId="2" borderId="18" xfId="0" applyFont="1" applyFill="1" applyBorder="1" applyAlignment="1">
      <alignment horizontal="centerContinuous" vertical="center"/>
    </xf>
    <xf numFmtId="0" fontId="5" fillId="2" borderId="17"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111" xfId="0" applyFont="1" applyFill="1" applyBorder="1" applyAlignment="1">
      <alignment horizontal="center" vertical="center"/>
    </xf>
    <xf numFmtId="0" fontId="5" fillId="2" borderId="27" xfId="0" applyFont="1" applyFill="1" applyBorder="1" applyAlignment="1">
      <alignment horizontal="center" vertical="center"/>
    </xf>
    <xf numFmtId="0" fontId="10" fillId="0" borderId="44" xfId="0" applyFont="1" applyBorder="1" applyAlignment="1">
      <alignment vertical="center"/>
    </xf>
    <xf numFmtId="0" fontId="5" fillId="0" borderId="45" xfId="0" applyFont="1" applyBorder="1" applyAlignment="1">
      <alignment horizontal="center" vertical="center"/>
    </xf>
    <xf numFmtId="0" fontId="10" fillId="0" borderId="46" xfId="0" applyFont="1" applyBorder="1" applyAlignment="1">
      <alignment vertical="center"/>
    </xf>
    <xf numFmtId="10" fontId="5" fillId="0" borderId="112" xfId="0" applyNumberFormat="1" applyFont="1" applyBorder="1" applyAlignment="1">
      <alignment horizontal="center" vertical="center"/>
    </xf>
    <xf numFmtId="10" fontId="5" fillId="0" borderId="113" xfId="0" applyNumberFormat="1" applyFont="1" applyBorder="1" applyAlignment="1">
      <alignment horizontal="center" vertical="center"/>
    </xf>
    <xf numFmtId="10" fontId="5" fillId="0" borderId="114" xfId="0" applyNumberFormat="1" applyFont="1" applyBorder="1" applyAlignment="1">
      <alignment horizontal="center" vertical="center"/>
    </xf>
    <xf numFmtId="10" fontId="5" fillId="0" borderId="115" xfId="0" applyNumberFormat="1" applyFont="1" applyBorder="1" applyAlignment="1">
      <alignment horizontal="center" vertical="center"/>
    </xf>
    <xf numFmtId="10" fontId="5" fillId="0" borderId="116" xfId="0" applyNumberFormat="1" applyFont="1" applyBorder="1" applyAlignment="1">
      <alignment horizontal="center" vertical="center"/>
    </xf>
    <xf numFmtId="10" fontId="10" fillId="0" borderId="95" xfId="0" applyNumberFormat="1" applyFont="1" applyBorder="1" applyAlignment="1">
      <alignment horizontal="center" vertical="center"/>
    </xf>
    <xf numFmtId="10" fontId="10" fillId="0" borderId="93" xfId="0" applyNumberFormat="1" applyFont="1" applyBorder="1" applyAlignment="1">
      <alignment horizontal="center" vertical="center"/>
    </xf>
    <xf numFmtId="10" fontId="10" fillId="0" borderId="34" xfId="0" applyNumberFormat="1" applyFont="1" applyBorder="1" applyAlignment="1">
      <alignment horizontal="center" vertical="center"/>
    </xf>
    <xf numFmtId="10" fontId="10" fillId="0" borderId="35" xfId="0" applyNumberFormat="1" applyFont="1" applyBorder="1" applyAlignment="1">
      <alignment horizontal="center" vertical="center"/>
    </xf>
    <xf numFmtId="0" fontId="5" fillId="0" borderId="0" xfId="0" applyFont="1" applyAlignment="1">
      <alignment horizontal="left" vertical="center" wrapText="1"/>
    </xf>
    <xf numFmtId="169" fontId="10" fillId="0" borderId="0" xfId="0" applyNumberFormat="1" applyFont="1" applyAlignment="1">
      <alignment vertical="center"/>
    </xf>
    <xf numFmtId="169" fontId="5" fillId="0" borderId="0" xfId="0" applyNumberFormat="1" applyFont="1" applyAlignment="1">
      <alignment vertical="center"/>
    </xf>
    <xf numFmtId="10" fontId="12" fillId="0" borderId="0" xfId="0" applyNumberFormat="1" applyFont="1" applyAlignment="1">
      <alignment vertical="center"/>
    </xf>
    <xf numFmtId="10" fontId="10" fillId="0" borderId="0" xfId="0" applyNumberFormat="1" applyFont="1" applyAlignment="1">
      <alignment vertical="center" wrapText="1"/>
    </xf>
    <xf numFmtId="10" fontId="10" fillId="0" borderId="31" xfId="0" applyNumberFormat="1" applyFont="1" applyBorder="1" applyAlignment="1">
      <alignment horizontal="center" vertical="center"/>
    </xf>
    <xf numFmtId="10" fontId="10" fillId="0" borderId="118" xfId="0" applyNumberFormat="1" applyFont="1" applyBorder="1" applyAlignment="1">
      <alignment horizontal="center" vertical="center"/>
    </xf>
    <xf numFmtId="10" fontId="10" fillId="0" borderId="30" xfId="0" applyNumberFormat="1" applyFont="1" applyBorder="1" applyAlignment="1">
      <alignment horizontal="center" vertical="center"/>
    </xf>
    <xf numFmtId="10" fontId="10" fillId="0" borderId="29" xfId="0" applyNumberFormat="1" applyFont="1" applyBorder="1" applyAlignment="1">
      <alignment horizontal="center" vertical="center"/>
    </xf>
    <xf numFmtId="10" fontId="10" fillId="0" borderId="0" xfId="1" applyNumberFormat="1" applyFont="1" applyFill="1"/>
    <xf numFmtId="0" fontId="31" fillId="8" borderId="0" xfId="0" applyFont="1" applyFill="1"/>
    <xf numFmtId="0" fontId="25" fillId="8" borderId="37" xfId="0" applyFont="1" applyFill="1" applyBorder="1"/>
    <xf numFmtId="0" fontId="5" fillId="8" borderId="0" xfId="0" applyFont="1" applyFill="1"/>
    <xf numFmtId="0" fontId="5" fillId="10" borderId="0" xfId="0" applyFont="1" applyFill="1" applyAlignment="1" applyProtection="1">
      <alignment vertical="center"/>
      <protection hidden="1"/>
    </xf>
    <xf numFmtId="0" fontId="10" fillId="10" borderId="0" xfId="0" applyFont="1" applyFill="1" applyAlignment="1" applyProtection="1">
      <alignment vertical="center"/>
      <protection hidden="1"/>
    </xf>
    <xf numFmtId="0" fontId="10" fillId="10" borderId="0" xfId="0" applyFont="1" applyFill="1" applyAlignment="1" applyProtection="1">
      <alignment horizontal="center" vertical="center"/>
      <protection hidden="1"/>
    </xf>
    <xf numFmtId="0" fontId="4" fillId="10" borderId="0" xfId="0" applyFont="1" applyFill="1" applyAlignment="1" applyProtection="1">
      <alignment vertical="center"/>
      <protection hidden="1"/>
    </xf>
    <xf numFmtId="0" fontId="4" fillId="10" borderId="0" xfId="2" applyFont="1" applyFill="1" applyBorder="1" applyAlignment="1" applyProtection="1">
      <alignment horizontal="left" vertical="center"/>
      <protection hidden="1"/>
    </xf>
    <xf numFmtId="0" fontId="4" fillId="10" borderId="0" xfId="2" applyFont="1" applyFill="1" applyBorder="1" applyAlignment="1" applyProtection="1">
      <alignment horizontal="center" vertical="center"/>
      <protection hidden="1"/>
    </xf>
    <xf numFmtId="0" fontId="4" fillId="10"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4" fillId="10" borderId="5" xfId="0" applyFont="1" applyFill="1" applyBorder="1" applyAlignment="1" applyProtection="1">
      <alignment horizontal="left" vertical="center"/>
      <protection hidden="1"/>
    </xf>
    <xf numFmtId="0" fontId="10" fillId="10" borderId="5" xfId="0" applyFont="1" applyFill="1" applyBorder="1" applyAlignment="1" applyProtection="1">
      <alignment vertical="center"/>
      <protection hidden="1"/>
    </xf>
    <xf numFmtId="0" fontId="34" fillId="10" borderId="5" xfId="0" applyFont="1" applyFill="1" applyBorder="1" applyAlignment="1" applyProtection="1">
      <alignment horizontal="center" vertical="center"/>
      <protection hidden="1"/>
    </xf>
    <xf numFmtId="0" fontId="35" fillId="10" borderId="5" xfId="0" applyFont="1" applyFill="1" applyBorder="1" applyAlignment="1" applyProtection="1">
      <alignment vertical="center"/>
      <protection hidden="1"/>
    </xf>
    <xf numFmtId="0" fontId="34" fillId="10" borderId="5" xfId="2" applyFont="1" applyFill="1" applyBorder="1" applyAlignment="1" applyProtection="1">
      <alignment horizontal="left" vertical="center"/>
      <protection hidden="1"/>
    </xf>
    <xf numFmtId="0" fontId="10" fillId="10" borderId="5" xfId="0" applyFont="1" applyFill="1" applyBorder="1" applyAlignment="1" applyProtection="1">
      <alignment horizontal="center" vertical="center"/>
      <protection hidden="1"/>
    </xf>
    <xf numFmtId="0" fontId="5" fillId="10" borderId="0" xfId="0" applyFont="1" applyFill="1" applyAlignment="1" applyProtection="1">
      <alignment horizontal="left" vertical="center"/>
      <protection hidden="1"/>
    </xf>
    <xf numFmtId="0" fontId="5" fillId="10" borderId="0" xfId="0" applyFont="1" applyFill="1" applyAlignment="1" applyProtection="1">
      <alignment horizontal="center" vertical="center"/>
      <protection hidden="1"/>
    </xf>
    <xf numFmtId="0" fontId="10" fillId="10" borderId="75" xfId="0" applyFont="1" applyFill="1" applyBorder="1" applyAlignment="1" applyProtection="1">
      <alignment vertical="center"/>
      <protection hidden="1"/>
    </xf>
    <xf numFmtId="0" fontId="5" fillId="10" borderId="75" xfId="2" applyFont="1" applyFill="1" applyBorder="1" applyAlignment="1" applyProtection="1">
      <alignment vertical="center"/>
      <protection hidden="1"/>
    </xf>
    <xf numFmtId="0" fontId="10" fillId="10" borderId="17" xfId="0" applyFont="1" applyFill="1" applyBorder="1" applyAlignment="1" applyProtection="1">
      <alignment vertical="center"/>
      <protection hidden="1"/>
    </xf>
    <xf numFmtId="0" fontId="5" fillId="10" borderId="17" xfId="2" applyFont="1" applyFill="1" applyBorder="1" applyAlignment="1" applyProtection="1">
      <alignment horizontal="center" vertical="center"/>
      <protection hidden="1"/>
    </xf>
    <xf numFmtId="0" fontId="10" fillId="10" borderId="75" xfId="0" applyFont="1" applyFill="1" applyBorder="1" applyAlignment="1" applyProtection="1">
      <alignment horizontal="center" vertical="center"/>
      <protection hidden="1"/>
    </xf>
    <xf numFmtId="0" fontId="5" fillId="2" borderId="0" xfId="0" applyFont="1" applyFill="1" applyAlignment="1" applyProtection="1">
      <alignment vertical="center"/>
      <protection hidden="1"/>
    </xf>
    <xf numFmtId="0" fontId="10" fillId="3" borderId="0" xfId="0" applyFont="1" applyFill="1" applyAlignment="1" applyProtection="1">
      <alignment vertical="center"/>
      <protection hidden="1"/>
    </xf>
    <xf numFmtId="0" fontId="10" fillId="3" borderId="8" xfId="0" applyFont="1" applyFill="1" applyBorder="1" applyAlignment="1" applyProtection="1">
      <alignment vertical="center"/>
      <protection hidden="1"/>
    </xf>
    <xf numFmtId="0" fontId="10" fillId="0" borderId="0" xfId="0" applyFont="1" applyAlignment="1" applyProtection="1">
      <alignment vertical="center"/>
      <protection hidden="1"/>
    </xf>
    <xf numFmtId="0" fontId="10" fillId="0" borderId="12" xfId="0" applyFont="1" applyBorder="1" applyAlignment="1" applyProtection="1">
      <alignment vertical="center"/>
      <protection hidden="1"/>
    </xf>
    <xf numFmtId="0" fontId="10" fillId="10" borderId="0" xfId="0" applyFont="1" applyFill="1" applyAlignment="1" applyProtection="1">
      <alignment horizontal="centerContinuous" vertical="center"/>
      <protection hidden="1"/>
    </xf>
    <xf numFmtId="0" fontId="10" fillId="2" borderId="0" xfId="0" applyFont="1" applyFill="1" applyAlignment="1" applyProtection="1">
      <alignment vertical="center"/>
      <protection hidden="1"/>
    </xf>
    <xf numFmtId="0" fontId="10" fillId="10" borderId="12" xfId="0" applyFont="1" applyFill="1" applyBorder="1" applyAlignment="1" applyProtection="1">
      <alignment vertical="center"/>
      <protection hidden="1"/>
    </xf>
    <xf numFmtId="0" fontId="10" fillId="10" borderId="0" xfId="0" applyFont="1" applyFill="1" applyAlignment="1" applyProtection="1">
      <alignment horizontal="left" vertical="center"/>
      <protection hidden="1"/>
    </xf>
    <xf numFmtId="0" fontId="10" fillId="10" borderId="12" xfId="0" applyFont="1" applyFill="1" applyBorder="1" applyAlignment="1" applyProtection="1">
      <alignment horizontal="centerContinuous" vertical="center"/>
      <protection hidden="1"/>
    </xf>
    <xf numFmtId="0" fontId="10" fillId="10" borderId="17" xfId="0" applyFont="1" applyFill="1" applyBorder="1" applyAlignment="1" applyProtection="1">
      <alignment horizontal="center" vertical="center"/>
      <protection hidden="1"/>
    </xf>
    <xf numFmtId="0" fontId="10" fillId="10" borderId="18" xfId="0" applyFont="1" applyFill="1" applyBorder="1" applyAlignment="1" applyProtection="1">
      <alignment vertical="center"/>
      <protection hidden="1"/>
    </xf>
    <xf numFmtId="0" fontId="5" fillId="10" borderId="0" xfId="0" applyFont="1" applyFill="1" applyAlignment="1" applyProtection="1">
      <alignment horizontal="centerContinuous" vertical="center"/>
      <protection hidden="1"/>
    </xf>
    <xf numFmtId="0" fontId="13" fillId="3" borderId="20" xfId="0" applyFont="1" applyFill="1" applyBorder="1" applyAlignment="1" applyProtection="1">
      <alignment vertical="center"/>
      <protection hidden="1"/>
    </xf>
    <xf numFmtId="0" fontId="10" fillId="3" borderId="20" xfId="0" applyFont="1" applyFill="1" applyBorder="1" applyAlignment="1" applyProtection="1">
      <alignment vertical="center"/>
      <protection hidden="1"/>
    </xf>
    <xf numFmtId="0" fontId="10" fillId="3" borderId="21"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5" fillId="2" borderId="0" xfId="0" applyFont="1" applyFill="1" applyAlignment="1" applyProtection="1">
      <alignment horizontal="center" vertical="center"/>
      <protection hidden="1"/>
    </xf>
    <xf numFmtId="0" fontId="10" fillId="2" borderId="12" xfId="0" applyFont="1" applyFill="1" applyBorder="1" applyAlignment="1" applyProtection="1">
      <alignment vertical="center"/>
      <protection hidden="1"/>
    </xf>
    <xf numFmtId="0" fontId="5" fillId="2" borderId="101" xfId="0" applyFont="1" applyFill="1" applyBorder="1" applyAlignment="1">
      <alignment horizontal="centerContinuous" vertical="center" wrapText="1"/>
    </xf>
    <xf numFmtId="0" fontId="5" fillId="2" borderId="0" xfId="0" applyFont="1" applyFill="1" applyAlignment="1" applyProtection="1">
      <alignment horizontal="centerContinuous" vertical="center"/>
      <protection hidden="1"/>
    </xf>
    <xf numFmtId="0" fontId="5" fillId="2" borderId="12" xfId="0" applyFont="1" applyFill="1" applyBorder="1" applyAlignment="1" applyProtection="1">
      <alignment horizontal="centerContinuous" vertical="center"/>
      <protection hidden="1"/>
    </xf>
    <xf numFmtId="0" fontId="5" fillId="2" borderId="6" xfId="0" applyFont="1" applyFill="1" applyBorder="1" applyAlignment="1" applyProtection="1">
      <alignment horizontal="centerContinuous" vertical="center"/>
      <protection hidden="1"/>
    </xf>
    <xf numFmtId="0" fontId="5" fillId="2" borderId="7" xfId="0" applyFont="1" applyFill="1" applyBorder="1" applyAlignment="1" applyProtection="1">
      <alignment horizontal="centerContinuous" vertical="center"/>
      <protection hidden="1"/>
    </xf>
    <xf numFmtId="0" fontId="5" fillId="2" borderId="8" xfId="0" applyFont="1" applyFill="1" applyBorder="1" applyAlignment="1" applyProtection="1">
      <alignment horizontal="centerContinuous" vertical="center"/>
      <protection hidden="1"/>
    </xf>
    <xf numFmtId="0" fontId="5" fillId="2" borderId="11" xfId="0" applyFont="1" applyFill="1" applyBorder="1" applyAlignment="1" applyProtection="1">
      <alignment horizontal="centerContinuous" vertical="center"/>
      <protection hidden="1"/>
    </xf>
    <xf numFmtId="0" fontId="5" fillId="2" borderId="102" xfId="0" applyFont="1" applyFill="1" applyBorder="1" applyAlignment="1" applyProtection="1">
      <alignment horizontal="centerContinuous" vertical="center"/>
      <protection hidden="1"/>
    </xf>
    <xf numFmtId="0" fontId="10" fillId="2" borderId="0" xfId="0" applyFont="1" applyFill="1" applyAlignment="1" applyProtection="1">
      <alignment horizontal="centerContinuous" vertical="center"/>
      <protection hidden="1"/>
    </xf>
    <xf numFmtId="0" fontId="10" fillId="2" borderId="12" xfId="0" applyFont="1" applyFill="1" applyBorder="1" applyAlignment="1" applyProtection="1">
      <alignment horizontal="centerContinuous" vertical="center"/>
      <protection hidden="1"/>
    </xf>
    <xf numFmtId="0" fontId="10" fillId="2" borderId="11" xfId="0" applyFont="1" applyFill="1" applyBorder="1" applyAlignment="1" applyProtection="1">
      <alignment vertical="center"/>
      <protection hidden="1"/>
    </xf>
    <xf numFmtId="0" fontId="5" fillId="2" borderId="102" xfId="0" applyFont="1" applyFill="1" applyBorder="1" applyAlignment="1">
      <alignment horizontal="center" vertical="center"/>
    </xf>
    <xf numFmtId="49" fontId="16" fillId="2" borderId="0" xfId="0" applyNumberFormat="1" applyFont="1" applyFill="1" applyAlignment="1" applyProtection="1">
      <alignment horizontal="center" vertical="center" wrapText="1"/>
      <protection hidden="1"/>
    </xf>
    <xf numFmtId="0" fontId="18" fillId="2" borderId="0" xfId="0" applyFont="1" applyFill="1" applyAlignment="1" applyProtection="1">
      <alignment horizontal="center" vertical="center" wrapText="1"/>
      <protection hidden="1"/>
    </xf>
    <xf numFmtId="0" fontId="5" fillId="2" borderId="0" xfId="0" applyFont="1" applyFill="1" applyAlignment="1" applyProtection="1">
      <alignment horizontal="center" vertical="center" wrapText="1"/>
      <protection hidden="1"/>
    </xf>
    <xf numFmtId="0" fontId="5" fillId="2" borderId="12" xfId="0"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2" borderId="102" xfId="0" applyFont="1" applyFill="1" applyBorder="1" applyAlignment="1">
      <alignment horizontal="centerContinuous" vertical="center" wrapText="1"/>
    </xf>
    <xf numFmtId="0" fontId="5" fillId="0" borderId="0" xfId="2" applyFont="1" applyFill="1" applyBorder="1" applyAlignment="1" applyProtection="1">
      <alignment horizontal="center" vertical="center"/>
      <protection hidden="1"/>
    </xf>
    <xf numFmtId="0" fontId="5" fillId="2" borderId="102" xfId="0"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33" fillId="2" borderId="0" xfId="0" applyFont="1" applyFill="1" applyAlignment="1" applyProtection="1">
      <alignment horizontal="center" vertical="center"/>
      <protection hidden="1"/>
    </xf>
    <xf numFmtId="0" fontId="32" fillId="0" borderId="0" xfId="2" applyFont="1" applyFill="1" applyBorder="1" applyAlignment="1" applyProtection="1">
      <alignment horizontal="center" vertical="center"/>
      <protection hidden="1"/>
    </xf>
    <xf numFmtId="0" fontId="10" fillId="10" borderId="11" xfId="0" applyFont="1" applyFill="1" applyBorder="1" applyAlignment="1" applyProtection="1">
      <alignment horizontal="center" vertical="center"/>
      <protection hidden="1"/>
    </xf>
    <xf numFmtId="3" fontId="10" fillId="10" borderId="0" xfId="0" applyNumberFormat="1" applyFont="1" applyFill="1" applyAlignment="1" applyProtection="1">
      <alignment horizontal="center" vertical="center" wrapText="1"/>
      <protection hidden="1"/>
    </xf>
    <xf numFmtId="4" fontId="10" fillId="10" borderId="0" xfId="0" applyNumberFormat="1" applyFont="1" applyFill="1" applyAlignment="1" applyProtection="1">
      <alignment horizontal="center" vertical="center" wrapText="1"/>
      <protection hidden="1"/>
    </xf>
    <xf numFmtId="171" fontId="10" fillId="10" borderId="0" xfId="1" applyNumberFormat="1" applyFont="1" applyFill="1" applyBorder="1" applyAlignment="1" applyProtection="1">
      <alignment vertical="center"/>
      <protection hidden="1"/>
    </xf>
    <xf numFmtId="0" fontId="10" fillId="10" borderId="16" xfId="0" applyFont="1" applyFill="1" applyBorder="1" applyAlignment="1" applyProtection="1">
      <alignment horizontal="center" vertical="center"/>
      <protection hidden="1"/>
    </xf>
    <xf numFmtId="165" fontId="10" fillId="10" borderId="103" xfId="0" applyNumberFormat="1" applyFont="1" applyFill="1" applyBorder="1" applyAlignment="1" applyProtection="1">
      <alignment horizontal="center" vertical="center"/>
      <protection hidden="1"/>
    </xf>
    <xf numFmtId="3" fontId="10" fillId="10" borderId="17" xfId="0" applyNumberFormat="1" applyFont="1" applyFill="1" applyBorder="1" applyAlignment="1" applyProtection="1">
      <alignment horizontal="center" vertical="center" wrapText="1"/>
      <protection hidden="1"/>
    </xf>
    <xf numFmtId="4" fontId="10" fillId="10" borderId="18" xfId="0" applyNumberFormat="1" applyFont="1" applyFill="1" applyBorder="1" applyAlignment="1" applyProtection="1">
      <alignment horizontal="center" vertical="center" wrapText="1"/>
      <protection hidden="1"/>
    </xf>
    <xf numFmtId="0" fontId="10" fillId="10" borderId="18" xfId="0" applyFont="1" applyFill="1" applyBorder="1" applyAlignment="1" applyProtection="1">
      <alignment horizontal="center" vertical="center"/>
      <protection hidden="1"/>
    </xf>
    <xf numFmtId="165" fontId="10" fillId="10" borderId="0" xfId="0" applyNumberFormat="1" applyFont="1" applyFill="1" applyAlignment="1" applyProtection="1">
      <alignment horizontal="center" vertical="center"/>
      <protection hidden="1"/>
    </xf>
    <xf numFmtId="0" fontId="5" fillId="4" borderId="1" xfId="2" applyFont="1" applyFill="1" applyBorder="1" applyAlignment="1" applyProtection="1">
      <alignment horizontal="center" vertical="center"/>
      <protection hidden="1"/>
    </xf>
    <xf numFmtId="10" fontId="25" fillId="8" borderId="0" xfId="0" applyNumberFormat="1" applyFont="1" applyFill="1"/>
    <xf numFmtId="9" fontId="25" fillId="8" borderId="0" xfId="0" applyNumberFormat="1" applyFont="1" applyFill="1"/>
    <xf numFmtId="0" fontId="24" fillId="8" borderId="22" xfId="0" applyFont="1" applyFill="1" applyBorder="1" applyAlignment="1">
      <alignment horizontal="left"/>
    </xf>
    <xf numFmtId="0" fontId="37" fillId="0" borderId="0" xfId="0" applyFont="1"/>
    <xf numFmtId="0" fontId="6" fillId="0" borderId="0" xfId="0" applyFont="1"/>
    <xf numFmtId="0" fontId="0" fillId="0" borderId="0" xfId="0" applyAlignment="1">
      <alignment horizontal="left"/>
    </xf>
    <xf numFmtId="2" fontId="0" fillId="0" borderId="0" xfId="0" applyNumberFormat="1"/>
    <xf numFmtId="0" fontId="0" fillId="0" borderId="0" xfId="0" applyAlignment="1">
      <alignment horizontal="left" indent="1"/>
    </xf>
    <xf numFmtId="1" fontId="0" fillId="0" borderId="0" xfId="0" applyNumberFormat="1"/>
    <xf numFmtId="164" fontId="0" fillId="0" borderId="0" xfId="0" applyNumberFormat="1"/>
    <xf numFmtId="0" fontId="29" fillId="8" borderId="22" xfId="0" applyFont="1" applyFill="1" applyBorder="1"/>
    <xf numFmtId="171" fontId="0" fillId="0" borderId="0" xfId="0" applyNumberFormat="1"/>
    <xf numFmtId="164" fontId="39" fillId="8" borderId="0" xfId="0" applyNumberFormat="1" applyFont="1" applyFill="1" applyAlignment="1" applyProtection="1">
      <alignment horizontal="left"/>
      <protection locked="0"/>
    </xf>
    <xf numFmtId="0" fontId="39" fillId="8" borderId="22" xfId="0" applyFont="1" applyFill="1" applyBorder="1" applyAlignment="1" applyProtection="1">
      <alignment horizontal="left"/>
      <protection locked="0"/>
    </xf>
    <xf numFmtId="0" fontId="31" fillId="8" borderId="22" xfId="0" applyFont="1" applyFill="1" applyBorder="1" applyAlignment="1" applyProtection="1">
      <alignment horizontal="left"/>
      <protection locked="0"/>
    </xf>
    <xf numFmtId="0" fontId="38" fillId="8" borderId="0" xfId="2" applyFont="1" applyFill="1" applyAlignment="1" applyProtection="1">
      <alignment horizontal="left"/>
    </xf>
    <xf numFmtId="0" fontId="39" fillId="8" borderId="0" xfId="0" applyFont="1" applyFill="1" applyAlignment="1">
      <alignment horizontal="left"/>
    </xf>
    <xf numFmtId="0" fontId="25" fillId="8" borderId="0" xfId="0" applyFont="1" applyFill="1" applyAlignment="1" applyProtection="1">
      <alignment horizontal="left"/>
      <protection locked="0"/>
    </xf>
    <xf numFmtId="0" fontId="28" fillId="8" borderId="0" xfId="0" applyFont="1" applyFill="1" applyAlignment="1">
      <alignment horizontal="left"/>
    </xf>
    <xf numFmtId="0" fontId="31" fillId="8" borderId="0" xfId="0" applyFont="1" applyFill="1" applyAlignment="1">
      <alignment horizontal="left"/>
    </xf>
    <xf numFmtId="0" fontId="31" fillId="8" borderId="9" xfId="0" applyFont="1" applyFill="1" applyBorder="1" applyAlignment="1">
      <alignment horizontal="left"/>
    </xf>
    <xf numFmtId="0" fontId="31" fillId="8" borderId="56" xfId="0" applyFont="1" applyFill="1" applyBorder="1" applyAlignment="1">
      <alignment horizontal="left"/>
    </xf>
    <xf numFmtId="0" fontId="31" fillId="8" borderId="10" xfId="0" applyFont="1" applyFill="1" applyBorder="1" applyAlignment="1">
      <alignment horizontal="left"/>
    </xf>
    <xf numFmtId="0" fontId="31" fillId="8" borderId="37" xfId="0" applyFont="1" applyFill="1" applyBorder="1" applyAlignment="1">
      <alignment horizontal="left"/>
    </xf>
    <xf numFmtId="164" fontId="31" fillId="8" borderId="0" xfId="0" applyNumberFormat="1" applyFont="1" applyFill="1" applyAlignment="1" applyProtection="1">
      <alignment horizontal="left"/>
      <protection locked="0"/>
    </xf>
    <xf numFmtId="2" fontId="39" fillId="8" borderId="0" xfId="0" applyNumberFormat="1" applyFont="1" applyFill="1" applyAlignment="1" applyProtection="1">
      <alignment horizontal="left"/>
      <protection locked="0"/>
    </xf>
    <xf numFmtId="37" fontId="39" fillId="8" borderId="0" xfId="4" applyNumberFormat="1" applyFont="1" applyFill="1" applyBorder="1" applyAlignment="1" applyProtection="1">
      <alignment horizontal="left"/>
      <protection locked="0"/>
    </xf>
    <xf numFmtId="172" fontId="39" fillId="8" borderId="0" xfId="4" applyNumberFormat="1" applyFont="1" applyFill="1" applyBorder="1" applyAlignment="1" applyProtection="1">
      <alignment horizontal="left"/>
      <protection locked="0"/>
    </xf>
    <xf numFmtId="165" fontId="25" fillId="8" borderId="0" xfId="0" applyNumberFormat="1" applyFont="1" applyFill="1" applyAlignment="1" applyProtection="1">
      <alignment horizontal="left"/>
      <protection locked="0"/>
    </xf>
    <xf numFmtId="165" fontId="25" fillId="8" borderId="23" xfId="0" applyNumberFormat="1" applyFont="1" applyFill="1" applyBorder="1" applyAlignment="1" applyProtection="1">
      <alignment horizontal="left"/>
      <protection locked="0"/>
    </xf>
    <xf numFmtId="164" fontId="25" fillId="8" borderId="93" xfId="0" applyNumberFormat="1" applyFont="1" applyFill="1" applyBorder="1" applyAlignment="1" applyProtection="1">
      <alignment horizontal="left"/>
      <protection locked="0"/>
    </xf>
    <xf numFmtId="164" fontId="25" fillId="8" borderId="0" xfId="0" applyNumberFormat="1" applyFont="1" applyFill="1" applyAlignment="1" applyProtection="1">
      <alignment horizontal="left"/>
      <protection locked="0"/>
    </xf>
    <xf numFmtId="164" fontId="25" fillId="8" borderId="23" xfId="0" applyNumberFormat="1" applyFont="1" applyFill="1" applyBorder="1" applyAlignment="1" applyProtection="1">
      <alignment horizontal="left"/>
      <protection locked="0"/>
    </xf>
    <xf numFmtId="0" fontId="19" fillId="8" borderId="0" xfId="0" applyFont="1" applyFill="1"/>
    <xf numFmtId="0" fontId="25" fillId="8" borderId="0" xfId="0" applyFont="1" applyFill="1" applyProtection="1">
      <protection locked="0"/>
    </xf>
    <xf numFmtId="164" fontId="19" fillId="8" borderId="0" xfId="0" applyNumberFormat="1" applyFont="1" applyFill="1" applyAlignment="1" applyProtection="1">
      <alignment horizontal="left"/>
      <protection locked="0"/>
    </xf>
    <xf numFmtId="164" fontId="19" fillId="8" borderId="0" xfId="0" applyNumberFormat="1" applyFont="1" applyFill="1" applyAlignment="1" applyProtection="1">
      <alignment horizontal="center"/>
      <protection locked="0"/>
    </xf>
    <xf numFmtId="164" fontId="10" fillId="8" borderId="0" xfId="0" applyNumberFormat="1" applyFont="1" applyFill="1" applyAlignment="1" applyProtection="1">
      <alignment horizontal="center"/>
      <protection locked="0"/>
    </xf>
    <xf numFmtId="1" fontId="10" fillId="8" borderId="0" xfId="0" applyNumberFormat="1" applyFont="1" applyFill="1" applyAlignment="1" applyProtection="1">
      <alignment horizontal="center"/>
      <protection locked="0"/>
    </xf>
    <xf numFmtId="164" fontId="25" fillId="8" borderId="0" xfId="0" applyNumberFormat="1" applyFont="1" applyFill="1" applyAlignment="1" applyProtection="1">
      <alignment horizontal="center"/>
      <protection locked="0"/>
    </xf>
    <xf numFmtId="10" fontId="25" fillId="8" borderId="0" xfId="1" applyNumberFormat="1" applyFont="1" applyFill="1" applyBorder="1" applyAlignment="1" applyProtection="1">
      <alignment horizontal="left"/>
      <protection locked="0"/>
    </xf>
    <xf numFmtId="0" fontId="31" fillId="8" borderId="0" xfId="0" applyFont="1" applyFill="1" applyAlignment="1" applyProtection="1">
      <alignment horizontal="left"/>
      <protection locked="0"/>
    </xf>
    <xf numFmtId="2" fontId="39" fillId="8" borderId="0" xfId="0" applyNumberFormat="1" applyFont="1" applyFill="1" applyAlignment="1">
      <alignment horizontal="left"/>
    </xf>
    <xf numFmtId="0" fontId="25" fillId="8" borderId="127" xfId="1" applyNumberFormat="1" applyFont="1" applyFill="1" applyBorder="1" applyAlignment="1">
      <alignment horizontal="left"/>
    </xf>
    <xf numFmtId="0" fontId="25" fillId="8" borderId="0" xfId="1" applyNumberFormat="1" applyFont="1" applyFill="1" applyBorder="1" applyAlignment="1">
      <alignment horizontal="left"/>
    </xf>
    <xf numFmtId="165" fontId="25" fillId="8" borderId="0" xfId="0" applyNumberFormat="1" applyFont="1" applyFill="1" applyAlignment="1">
      <alignment horizontal="left"/>
    </xf>
    <xf numFmtId="10" fontId="25" fillId="8" borderId="0" xfId="1" applyNumberFormat="1" applyFont="1" applyFill="1" applyBorder="1" applyAlignment="1">
      <alignment horizontal="left"/>
    </xf>
    <xf numFmtId="164" fontId="39" fillId="8" borderId="37" xfId="0" applyNumberFormat="1" applyFont="1" applyFill="1" applyBorder="1" applyAlignment="1" applyProtection="1">
      <alignment horizontal="left"/>
      <protection locked="0"/>
    </xf>
    <xf numFmtId="164" fontId="28" fillId="8" borderId="0" xfId="0" applyNumberFormat="1" applyFont="1" applyFill="1" applyAlignment="1" applyProtection="1">
      <alignment horizontal="left"/>
      <protection locked="0"/>
    </xf>
    <xf numFmtId="0" fontId="25" fillId="8" borderId="119" xfId="1" applyNumberFormat="1" applyFont="1" applyFill="1" applyBorder="1" applyAlignment="1">
      <alignment horizontal="left"/>
    </xf>
    <xf numFmtId="0" fontId="25" fillId="8" borderId="130" xfId="1" applyNumberFormat="1" applyFont="1" applyFill="1" applyBorder="1" applyAlignment="1">
      <alignment horizontal="left"/>
    </xf>
    <xf numFmtId="0" fontId="25" fillId="8" borderId="93" xfId="1" applyNumberFormat="1" applyFont="1" applyFill="1" applyBorder="1" applyAlignment="1">
      <alignment horizontal="left"/>
    </xf>
    <xf numFmtId="0" fontId="25" fillId="8" borderId="23" xfId="1" applyNumberFormat="1" applyFont="1" applyFill="1" applyBorder="1" applyAlignment="1">
      <alignment horizontal="left"/>
    </xf>
    <xf numFmtId="10" fontId="25" fillId="8" borderId="125" xfId="1" applyNumberFormat="1" applyFont="1" applyFill="1" applyBorder="1" applyAlignment="1">
      <alignment horizontal="left"/>
    </xf>
    <xf numFmtId="10" fontId="25" fillId="8" borderId="123" xfId="1" applyNumberFormat="1" applyFont="1" applyFill="1" applyBorder="1" applyAlignment="1">
      <alignment horizontal="left"/>
    </xf>
    <xf numFmtId="10" fontId="25" fillId="8" borderId="124" xfId="1" applyNumberFormat="1" applyFont="1" applyFill="1" applyBorder="1" applyAlignment="1">
      <alignment horizontal="left"/>
    </xf>
    <xf numFmtId="10" fontId="25" fillId="8" borderId="93" xfId="1" applyNumberFormat="1" applyFont="1" applyFill="1" applyBorder="1" applyAlignment="1">
      <alignment horizontal="left"/>
    </xf>
    <xf numFmtId="10" fontId="25" fillId="8" borderId="23" xfId="1" applyNumberFormat="1" applyFont="1" applyFill="1" applyBorder="1" applyAlignment="1">
      <alignment horizontal="left"/>
    </xf>
    <xf numFmtId="0" fontId="31" fillId="8" borderId="131" xfId="0" applyFont="1" applyFill="1" applyBorder="1" applyAlignment="1">
      <alignment horizontal="left"/>
    </xf>
    <xf numFmtId="0" fontId="31" fillId="8" borderId="48" xfId="0" applyFont="1" applyFill="1" applyBorder="1" applyAlignment="1">
      <alignment horizontal="left"/>
    </xf>
    <xf numFmtId="0" fontId="31" fillId="8" borderId="132" xfId="0" applyFont="1" applyFill="1" applyBorder="1" applyAlignment="1">
      <alignment horizontal="left"/>
    </xf>
    <xf numFmtId="0" fontId="31" fillId="8" borderId="133" xfId="0" applyFont="1" applyFill="1" applyBorder="1" applyAlignment="1">
      <alignment horizontal="left"/>
    </xf>
    <xf numFmtId="164" fontId="25" fillId="8" borderId="104" xfId="0" applyNumberFormat="1" applyFont="1" applyFill="1" applyBorder="1" applyAlignment="1" applyProtection="1">
      <alignment horizontal="left"/>
      <protection locked="0"/>
    </xf>
    <xf numFmtId="165" fontId="25" fillId="8" borderId="50" xfId="0" applyNumberFormat="1" applyFont="1" applyFill="1" applyBorder="1" applyAlignment="1" applyProtection="1">
      <alignment horizontal="left"/>
      <protection locked="0"/>
    </xf>
    <xf numFmtId="165" fontId="25" fillId="8" borderId="135" xfId="0" applyNumberFormat="1" applyFont="1" applyFill="1" applyBorder="1" applyAlignment="1" applyProtection="1">
      <alignment horizontal="left"/>
      <protection locked="0"/>
    </xf>
    <xf numFmtId="164" fontId="25" fillId="8" borderId="113" xfId="0" applyNumberFormat="1" applyFont="1" applyFill="1" applyBorder="1" applyAlignment="1" applyProtection="1">
      <alignment horizontal="left"/>
      <protection locked="0"/>
    </xf>
    <xf numFmtId="164" fontId="25" fillId="8" borderId="50" xfId="0" applyNumberFormat="1" applyFont="1" applyFill="1" applyBorder="1" applyAlignment="1" applyProtection="1">
      <alignment horizontal="left"/>
      <protection locked="0"/>
    </xf>
    <xf numFmtId="164" fontId="25" fillId="8" borderId="135" xfId="0" applyNumberFormat="1" applyFont="1" applyFill="1" applyBorder="1" applyAlignment="1" applyProtection="1">
      <alignment horizontal="left"/>
      <protection locked="0"/>
    </xf>
    <xf numFmtId="164" fontId="25" fillId="8" borderId="4" xfId="0" applyNumberFormat="1" applyFont="1" applyFill="1" applyBorder="1" applyAlignment="1" applyProtection="1">
      <alignment horizontal="left"/>
      <protection locked="0"/>
    </xf>
    <xf numFmtId="165" fontId="29" fillId="8" borderId="126" xfId="0" applyNumberFormat="1" applyFont="1" applyFill="1" applyBorder="1" applyAlignment="1">
      <alignment horizontal="left"/>
    </xf>
    <xf numFmtId="165" fontId="29" fillId="8" borderId="127" xfId="0" applyNumberFormat="1" applyFont="1" applyFill="1" applyBorder="1" applyAlignment="1">
      <alignment horizontal="left"/>
    </xf>
    <xf numFmtId="165" fontId="29" fillId="8" borderId="130" xfId="0" applyNumberFormat="1" applyFont="1" applyFill="1" applyBorder="1" applyAlignment="1">
      <alignment horizontal="left"/>
    </xf>
    <xf numFmtId="165" fontId="29" fillId="8" borderId="119" xfId="0" applyNumberFormat="1" applyFont="1" applyFill="1" applyBorder="1" applyAlignment="1">
      <alignment horizontal="left"/>
    </xf>
    <xf numFmtId="165" fontId="29" fillId="8" borderId="105" xfId="0" applyNumberFormat="1" applyFont="1" applyFill="1" applyBorder="1" applyAlignment="1">
      <alignment horizontal="left"/>
    </xf>
    <xf numFmtId="10" fontId="25" fillId="8" borderId="128" xfId="1" applyNumberFormat="1" applyFont="1" applyFill="1" applyBorder="1" applyAlignment="1">
      <alignment horizontal="left"/>
    </xf>
    <xf numFmtId="10" fontId="25" fillId="8" borderId="134" xfId="1" applyNumberFormat="1" applyFont="1" applyFill="1" applyBorder="1" applyAlignment="1">
      <alignment horizontal="left"/>
    </xf>
    <xf numFmtId="10" fontId="25" fillId="8" borderId="43" xfId="1" applyNumberFormat="1" applyFont="1" applyFill="1" applyBorder="1" applyAlignment="1">
      <alignment horizontal="left"/>
    </xf>
    <xf numFmtId="10" fontId="25" fillId="8" borderId="104" xfId="1" applyNumberFormat="1" applyFont="1" applyFill="1" applyBorder="1" applyAlignment="1">
      <alignment horizontal="left"/>
    </xf>
    <xf numFmtId="10" fontId="25" fillId="8" borderId="129" xfId="1" applyNumberFormat="1" applyFont="1" applyFill="1" applyBorder="1" applyAlignment="1">
      <alignment horizontal="left"/>
    </xf>
    <xf numFmtId="10" fontId="25" fillId="8" borderId="50" xfId="1" applyNumberFormat="1" applyFont="1" applyFill="1" applyBorder="1" applyAlignment="1">
      <alignment horizontal="left"/>
    </xf>
    <xf numFmtId="10" fontId="25" fillId="8" borderId="135" xfId="1" applyNumberFormat="1" applyFont="1" applyFill="1" applyBorder="1" applyAlignment="1">
      <alignment horizontal="left"/>
    </xf>
    <xf numFmtId="10" fontId="25" fillId="8" borderId="113" xfId="1" applyNumberFormat="1" applyFont="1" applyFill="1" applyBorder="1" applyAlignment="1">
      <alignment horizontal="left"/>
    </xf>
    <xf numFmtId="10" fontId="25" fillId="8" borderId="4" xfId="1" applyNumberFormat="1" applyFont="1" applyFill="1" applyBorder="1" applyAlignment="1">
      <alignment horizontal="left"/>
    </xf>
    <xf numFmtId="0" fontId="25" fillId="8" borderId="105" xfId="1" applyNumberFormat="1" applyFont="1" applyFill="1" applyBorder="1" applyAlignment="1">
      <alignment horizontal="left"/>
    </xf>
    <xf numFmtId="0" fontId="25" fillId="8" borderId="104" xfId="1" applyNumberFormat="1" applyFont="1" applyFill="1" applyBorder="1" applyAlignment="1">
      <alignment horizontal="left"/>
    </xf>
    <xf numFmtId="0" fontId="25" fillId="8" borderId="50" xfId="1" applyNumberFormat="1" applyFont="1" applyFill="1" applyBorder="1" applyAlignment="1">
      <alignment horizontal="left"/>
    </xf>
    <xf numFmtId="0" fontId="25" fillId="8" borderId="135" xfId="1" applyNumberFormat="1" applyFont="1" applyFill="1" applyBorder="1" applyAlignment="1">
      <alignment horizontal="left"/>
    </xf>
    <xf numFmtId="0" fontId="25" fillId="8" borderId="113" xfId="1" applyNumberFormat="1" applyFont="1" applyFill="1" applyBorder="1" applyAlignment="1">
      <alignment horizontal="left"/>
    </xf>
    <xf numFmtId="0" fontId="25" fillId="8" borderId="4" xfId="1" applyNumberFormat="1" applyFont="1" applyFill="1" applyBorder="1" applyAlignment="1">
      <alignment horizontal="left"/>
    </xf>
    <xf numFmtId="0" fontId="31" fillId="8" borderId="9" xfId="0" applyFont="1" applyFill="1" applyBorder="1" applyAlignment="1" applyProtection="1">
      <alignment horizontal="left"/>
      <protection locked="0"/>
    </xf>
    <xf numFmtId="0" fontId="31" fillId="8" borderId="136" xfId="0" applyFont="1" applyFill="1" applyBorder="1" applyAlignment="1">
      <alignment horizontal="left"/>
    </xf>
    <xf numFmtId="165" fontId="25" fillId="8" borderId="43" xfId="0" applyNumberFormat="1" applyFont="1" applyFill="1" applyBorder="1" applyAlignment="1" applyProtection="1">
      <alignment horizontal="left"/>
      <protection locked="0"/>
    </xf>
    <xf numFmtId="165" fontId="25" fillId="8" borderId="129" xfId="0" applyNumberFormat="1" applyFont="1" applyFill="1" applyBorder="1" applyAlignment="1" applyProtection="1">
      <alignment horizontal="left"/>
      <protection locked="0"/>
    </xf>
    <xf numFmtId="164" fontId="39" fillId="8" borderId="95" xfId="0" applyNumberFormat="1" applyFont="1" applyFill="1" applyBorder="1" applyAlignment="1" applyProtection="1">
      <alignment horizontal="left"/>
      <protection locked="0"/>
    </xf>
    <xf numFmtId="164" fontId="39" fillId="8" borderId="120" xfId="0" applyNumberFormat="1" applyFont="1" applyFill="1" applyBorder="1" applyAlignment="1" applyProtection="1">
      <alignment horizontal="left"/>
      <protection locked="0"/>
    </xf>
    <xf numFmtId="0" fontId="39" fillId="8" borderId="22" xfId="0" applyFont="1" applyFill="1" applyBorder="1" applyAlignment="1">
      <alignment horizontal="left"/>
    </xf>
    <xf numFmtId="0" fontId="39" fillId="8" borderId="56" xfId="0" applyFont="1" applyFill="1" applyBorder="1" applyAlignment="1">
      <alignment horizontal="left"/>
    </xf>
    <xf numFmtId="0" fontId="31" fillId="8" borderId="137" xfId="0" applyFont="1" applyFill="1" applyBorder="1" applyAlignment="1">
      <alignment horizontal="left"/>
    </xf>
    <xf numFmtId="0" fontId="31" fillId="8" borderId="55" xfId="0" applyFont="1" applyFill="1" applyBorder="1" applyAlignment="1">
      <alignment horizontal="left"/>
    </xf>
    <xf numFmtId="2" fontId="39" fillId="8" borderId="124" xfId="0" applyNumberFormat="1" applyFont="1" applyFill="1" applyBorder="1" applyAlignment="1">
      <alignment horizontal="left"/>
    </xf>
    <xf numFmtId="2" fontId="39" fillId="8" borderId="23" xfId="0" applyNumberFormat="1" applyFont="1" applyFill="1" applyBorder="1" applyAlignment="1">
      <alignment horizontal="left"/>
    </xf>
    <xf numFmtId="2" fontId="39" fillId="8" borderId="39" xfId="0" applyNumberFormat="1" applyFont="1" applyFill="1" applyBorder="1" applyAlignment="1">
      <alignment horizontal="left"/>
    </xf>
    <xf numFmtId="0" fontId="31" fillId="8" borderId="122" xfId="0" applyFont="1" applyFill="1" applyBorder="1" applyAlignment="1">
      <alignment horizontal="left"/>
    </xf>
    <xf numFmtId="0" fontId="31" fillId="8" borderId="95" xfId="0" applyFont="1" applyFill="1" applyBorder="1" applyAlignment="1">
      <alignment horizontal="left"/>
    </xf>
    <xf numFmtId="0" fontId="31" fillId="8" borderId="120" xfId="0" applyFont="1" applyFill="1" applyBorder="1" applyAlignment="1">
      <alignment horizontal="left"/>
    </xf>
    <xf numFmtId="0" fontId="0" fillId="14" borderId="22" xfId="0" applyFill="1" applyBorder="1"/>
    <xf numFmtId="0" fontId="40" fillId="8" borderId="0" xfId="0" applyFont="1" applyFill="1" applyAlignment="1">
      <alignment vertical="center"/>
    </xf>
    <xf numFmtId="0" fontId="25" fillId="8" borderId="9" xfId="0" applyFont="1" applyFill="1" applyBorder="1" applyAlignment="1">
      <alignment horizontal="center" vertical="center"/>
    </xf>
    <xf numFmtId="0" fontId="25" fillId="8" borderId="22" xfId="0" applyFont="1" applyFill="1" applyBorder="1" applyAlignment="1">
      <alignment horizontal="center"/>
    </xf>
    <xf numFmtId="0" fontId="29" fillId="8" borderId="22" xfId="0" applyFont="1" applyFill="1" applyBorder="1" applyAlignment="1">
      <alignment horizontal="center"/>
    </xf>
    <xf numFmtId="0" fontId="31" fillId="8" borderId="22" xfId="0" applyFont="1" applyFill="1" applyBorder="1" applyAlignment="1">
      <alignment horizontal="center" vertical="center" wrapText="1"/>
    </xf>
    <xf numFmtId="170" fontId="25" fillId="8" borderId="93" xfId="4" applyNumberFormat="1" applyFont="1" applyFill="1" applyBorder="1" applyAlignment="1">
      <alignment horizontal="center" vertical="center" wrapText="1"/>
    </xf>
    <xf numFmtId="170" fontId="25" fillId="8" borderId="22" xfId="4" applyNumberFormat="1" applyFont="1" applyFill="1" applyBorder="1" applyAlignment="1">
      <alignment horizontal="center" vertical="center" wrapText="1"/>
    </xf>
    <xf numFmtId="170" fontId="29" fillId="8" borderId="22" xfId="4" applyNumberFormat="1" applyFont="1" applyFill="1" applyBorder="1" applyAlignment="1">
      <alignment horizontal="left" vertical="top"/>
    </xf>
    <xf numFmtId="0" fontId="25" fillId="8" borderId="0" xfId="3" applyFont="1" applyFill="1" applyAlignment="1">
      <alignment horizontal="left"/>
    </xf>
    <xf numFmtId="0" fontId="25" fillId="8" borderId="22" xfId="3" applyFont="1" applyFill="1" applyBorder="1" applyAlignment="1">
      <alignment horizontal="left"/>
    </xf>
    <xf numFmtId="0" fontId="25" fillId="8" borderId="22" xfId="0" applyFont="1" applyFill="1" applyBorder="1" applyAlignment="1">
      <alignment horizontal="left"/>
    </xf>
    <xf numFmtId="9" fontId="25" fillId="8" borderId="22" xfId="0" applyNumberFormat="1" applyFont="1" applyFill="1" applyBorder="1" applyAlignment="1">
      <alignment horizontal="left"/>
    </xf>
    <xf numFmtId="10" fontId="25" fillId="8" borderId="22" xfId="0" applyNumberFormat="1" applyFont="1" applyFill="1" applyBorder="1" applyAlignment="1">
      <alignment horizontal="left"/>
    </xf>
    <xf numFmtId="170" fontId="25" fillId="8" borderId="120" xfId="4" applyNumberFormat="1" applyFont="1" applyFill="1" applyBorder="1" applyAlignment="1">
      <alignment horizontal="center" vertical="center" wrapText="1"/>
    </xf>
    <xf numFmtId="0" fontId="25" fillId="8" borderId="56" xfId="0" applyFont="1" applyFill="1" applyBorder="1"/>
    <xf numFmtId="0" fontId="29" fillId="8" borderId="22" xfId="0" applyFont="1" applyFill="1" applyBorder="1" applyAlignment="1">
      <alignment horizontal="center" vertical="center" wrapText="1"/>
    </xf>
    <xf numFmtId="0" fontId="25" fillId="8" borderId="125" xfId="3" applyFont="1" applyFill="1" applyBorder="1" applyAlignment="1">
      <alignment horizontal="left"/>
    </xf>
    <xf numFmtId="0" fontId="31" fillId="8" borderId="122" xfId="0" applyFont="1" applyFill="1" applyBorder="1" applyAlignment="1">
      <alignment horizontal="center" vertical="center" wrapText="1"/>
    </xf>
    <xf numFmtId="170" fontId="25" fillId="8" borderId="122" xfId="4" applyNumberFormat="1" applyFont="1" applyFill="1" applyBorder="1" applyAlignment="1">
      <alignment horizontal="center" vertical="center" wrapText="1"/>
    </xf>
    <xf numFmtId="170" fontId="29" fillId="8" borderId="56" xfId="4" applyNumberFormat="1" applyFont="1" applyFill="1" applyBorder="1" applyAlignment="1">
      <alignment horizontal="left" vertical="top"/>
    </xf>
    <xf numFmtId="0" fontId="25" fillId="8" borderId="122" xfId="0" applyFont="1" applyFill="1" applyBorder="1"/>
    <xf numFmtId="0" fontId="25" fillId="8" borderId="9" xfId="3" applyFont="1" applyFill="1" applyBorder="1" applyAlignment="1">
      <alignment horizontal="left"/>
    </xf>
    <xf numFmtId="164" fontId="31" fillId="8" borderId="138" xfId="0" applyNumberFormat="1" applyFont="1" applyFill="1" applyBorder="1" applyAlignment="1" applyProtection="1">
      <alignment horizontal="left"/>
      <protection locked="0"/>
    </xf>
    <xf numFmtId="0" fontId="25" fillId="8" borderId="125" xfId="1" applyNumberFormat="1" applyFont="1" applyFill="1" applyBorder="1" applyAlignment="1">
      <alignment horizontal="left"/>
    </xf>
    <xf numFmtId="0" fontId="25" fillId="8" borderId="123" xfId="1" applyNumberFormat="1" applyFont="1" applyFill="1" applyBorder="1" applyAlignment="1">
      <alignment horizontal="left"/>
    </xf>
    <xf numFmtId="0" fontId="25" fillId="8" borderId="124" xfId="1" applyNumberFormat="1" applyFont="1" applyFill="1" applyBorder="1" applyAlignment="1">
      <alignment horizontal="left"/>
    </xf>
    <xf numFmtId="0" fontId="25" fillId="8" borderId="134" xfId="1" applyNumberFormat="1" applyFont="1" applyFill="1" applyBorder="1" applyAlignment="1">
      <alignment horizontal="left"/>
    </xf>
    <xf numFmtId="0" fontId="41" fillId="8" borderId="22" xfId="0" applyFont="1" applyFill="1" applyBorder="1" applyAlignment="1">
      <alignment vertical="center"/>
    </xf>
    <xf numFmtId="0" fontId="41" fillId="8" borderId="56" xfId="0" applyFont="1" applyFill="1" applyBorder="1" applyAlignment="1">
      <alignment vertical="center"/>
    </xf>
    <xf numFmtId="0" fontId="41" fillId="8" borderId="10" xfId="0" applyFont="1" applyFill="1" applyBorder="1" applyAlignment="1">
      <alignment vertical="center"/>
    </xf>
    <xf numFmtId="0" fontId="41" fillId="8" borderId="0" xfId="0" applyFont="1" applyFill="1" applyAlignment="1">
      <alignment vertical="center"/>
    </xf>
    <xf numFmtId="0" fontId="41" fillId="8" borderId="95" xfId="0" applyFont="1" applyFill="1" applyBorder="1" applyAlignment="1">
      <alignment vertical="center"/>
    </xf>
    <xf numFmtId="10" fontId="30" fillId="8" borderId="125" xfId="1" applyNumberFormat="1" applyFont="1" applyFill="1" applyBorder="1"/>
    <xf numFmtId="10" fontId="30" fillId="8" borderId="123" xfId="1" applyNumberFormat="1" applyFont="1" applyFill="1" applyBorder="1"/>
    <xf numFmtId="10" fontId="30" fillId="8" borderId="124" xfId="1" applyNumberFormat="1" applyFont="1" applyFill="1" applyBorder="1"/>
    <xf numFmtId="10" fontId="30" fillId="8" borderId="0" xfId="1" applyNumberFormat="1" applyFont="1" applyFill="1" applyBorder="1"/>
    <xf numFmtId="10" fontId="30" fillId="8" borderId="93" xfId="1" applyNumberFormat="1" applyFont="1" applyFill="1" applyBorder="1"/>
    <xf numFmtId="10" fontId="30" fillId="8" borderId="23" xfId="1" applyNumberFormat="1" applyFont="1" applyFill="1" applyBorder="1"/>
    <xf numFmtId="0" fontId="41" fillId="8" borderId="120" xfId="0" applyFont="1" applyFill="1" applyBorder="1" applyAlignment="1">
      <alignment vertical="center"/>
    </xf>
    <xf numFmtId="10" fontId="30" fillId="8" borderId="121" xfId="1" applyNumberFormat="1" applyFont="1" applyFill="1" applyBorder="1"/>
    <xf numFmtId="10" fontId="30" fillId="8" borderId="37" xfId="1" applyNumberFormat="1" applyFont="1" applyFill="1" applyBorder="1"/>
    <xf numFmtId="10" fontId="30" fillId="8" borderId="39" xfId="1" applyNumberFormat="1" applyFont="1" applyFill="1" applyBorder="1"/>
    <xf numFmtId="10" fontId="30" fillId="8" borderId="22" xfId="1" applyNumberFormat="1" applyFont="1" applyFill="1" applyBorder="1"/>
    <xf numFmtId="0" fontId="41" fillId="8" borderId="0" xfId="0" applyFont="1" applyFill="1" applyAlignment="1">
      <alignment horizontal="right" vertical="center"/>
    </xf>
    <xf numFmtId="0" fontId="41" fillId="8" borderId="123" xfId="0" applyFont="1" applyFill="1" applyBorder="1" applyAlignment="1">
      <alignment vertical="center"/>
    </xf>
    <xf numFmtId="0" fontId="41" fillId="8" borderId="124" xfId="0" applyFont="1" applyFill="1" applyBorder="1" applyAlignment="1">
      <alignment vertical="center"/>
    </xf>
    <xf numFmtId="0" fontId="41" fillId="8" borderId="93" xfId="0" applyFont="1" applyFill="1" applyBorder="1" applyAlignment="1">
      <alignment vertical="center"/>
    </xf>
    <xf numFmtId="0" fontId="41" fillId="8" borderId="121" xfId="0" applyFont="1" applyFill="1" applyBorder="1" applyAlignment="1">
      <alignment vertical="center"/>
    </xf>
    <xf numFmtId="0" fontId="26" fillId="8" borderId="22" xfId="0" applyFont="1" applyFill="1" applyBorder="1"/>
    <xf numFmtId="3" fontId="30" fillId="8" borderId="0" xfId="0" applyNumberFormat="1" applyFont="1" applyFill="1"/>
    <xf numFmtId="0" fontId="26" fillId="8" borderId="22" xfId="0" applyFont="1" applyFill="1" applyBorder="1" applyAlignment="1">
      <alignment horizontal="right"/>
    </xf>
    <xf numFmtId="1" fontId="42" fillId="8" borderId="22" xfId="0" applyNumberFormat="1" applyFont="1" applyFill="1" applyBorder="1" applyAlignment="1">
      <alignment horizontal="right" vertical="center"/>
    </xf>
    <xf numFmtId="0" fontId="3" fillId="8" borderId="22" xfId="0" applyFont="1" applyFill="1" applyBorder="1" applyAlignment="1">
      <alignment horizontal="right" vertical="center"/>
    </xf>
    <xf numFmtId="0" fontId="41" fillId="8" borderId="22" xfId="0" applyFont="1" applyFill="1" applyBorder="1" applyAlignment="1">
      <alignment horizontal="right" vertical="center"/>
    </xf>
    <xf numFmtId="0" fontId="25" fillId="8" borderId="0" xfId="0" applyFont="1" applyFill="1" applyAlignment="1">
      <alignment vertical="center" wrapText="1"/>
    </xf>
    <xf numFmtId="9" fontId="9" fillId="8" borderId="0" xfId="0" applyNumberFormat="1" applyFont="1" applyFill="1" applyAlignment="1">
      <alignment vertical="center"/>
    </xf>
    <xf numFmtId="0" fontId="30" fillId="9" borderId="22" xfId="0" applyFont="1" applyFill="1" applyBorder="1" applyAlignment="1">
      <alignment horizontal="center"/>
    </xf>
    <xf numFmtId="0" fontId="30" fillId="8" borderId="37" xfId="0" applyFont="1" applyFill="1" applyBorder="1" applyAlignment="1">
      <alignment horizontal="center"/>
    </xf>
    <xf numFmtId="0" fontId="27" fillId="8" borderId="0" xfId="0" applyFont="1" applyFill="1" applyAlignment="1" applyProtection="1">
      <alignment horizontal="center"/>
      <protection locked="0"/>
    </xf>
    <xf numFmtId="0" fontId="26" fillId="8" borderId="0" xfId="0" applyFont="1" applyFill="1" applyAlignment="1">
      <alignment wrapText="1"/>
    </xf>
    <xf numFmtId="0" fontId="27" fillId="8" borderId="0" xfId="0" applyFont="1" applyFill="1" applyAlignment="1">
      <alignment wrapText="1"/>
    </xf>
    <xf numFmtId="0" fontId="43" fillId="8" borderId="0" xfId="0" applyFont="1" applyFill="1" applyAlignment="1">
      <alignment wrapText="1"/>
    </xf>
    <xf numFmtId="0" fontId="30" fillId="8" borderId="121" xfId="0" applyFont="1" applyFill="1" applyBorder="1"/>
    <xf numFmtId="0" fontId="30" fillId="8" borderId="37" xfId="0" applyFont="1" applyFill="1" applyBorder="1"/>
    <xf numFmtId="0" fontId="27" fillId="0" borderId="22" xfId="0" applyFont="1" applyBorder="1" applyAlignment="1">
      <alignment wrapText="1"/>
    </xf>
    <xf numFmtId="0" fontId="27" fillId="0" borderId="0" xfId="0" applyFont="1" applyAlignment="1">
      <alignment wrapText="1"/>
    </xf>
    <xf numFmtId="0" fontId="43" fillId="0" borderId="0" xfId="0" applyFont="1" applyAlignment="1">
      <alignment wrapText="1"/>
    </xf>
    <xf numFmtId="0" fontId="26" fillId="8" borderId="22" xfId="0" applyFont="1" applyFill="1" applyBorder="1" applyAlignment="1">
      <alignment wrapText="1"/>
    </xf>
    <xf numFmtId="0" fontId="27" fillId="8" borderId="0" xfId="0" applyFont="1" applyFill="1"/>
    <xf numFmtId="0" fontId="27" fillId="8" borderId="0" xfId="0" applyFont="1" applyFill="1" applyAlignment="1">
      <alignment horizontal="center"/>
    </xf>
    <xf numFmtId="164" fontId="25" fillId="8" borderId="0" xfId="0" applyNumberFormat="1" applyFont="1" applyFill="1"/>
    <xf numFmtId="0" fontId="24" fillId="11" borderId="122" xfId="0" applyFont="1" applyFill="1" applyBorder="1"/>
    <xf numFmtId="0" fontId="24" fillId="12" borderId="95" xfId="0" applyFont="1" applyFill="1" applyBorder="1"/>
    <xf numFmtId="0" fontId="24" fillId="13" borderId="120" xfId="0" applyFont="1" applyFill="1" applyBorder="1"/>
    <xf numFmtId="0" fontId="25" fillId="15" borderId="0" xfId="0" applyFont="1" applyFill="1"/>
    <xf numFmtId="0" fontId="30" fillId="8" borderId="127" xfId="0" applyFont="1" applyFill="1" applyBorder="1"/>
    <xf numFmtId="0" fontId="30" fillId="8" borderId="105" xfId="0" applyFont="1" applyFill="1" applyBorder="1"/>
    <xf numFmtId="0" fontId="30" fillId="8" borderId="104" xfId="0" applyFont="1" applyFill="1" applyBorder="1"/>
    <xf numFmtId="0" fontId="30" fillId="8" borderId="0" xfId="0" applyFont="1" applyFill="1" applyAlignment="1">
      <alignment vertical="top"/>
    </xf>
    <xf numFmtId="0" fontId="30" fillId="8" borderId="104" xfId="0" applyFont="1" applyFill="1" applyBorder="1" applyAlignment="1">
      <alignment vertical="top"/>
    </xf>
    <xf numFmtId="0" fontId="30" fillId="8" borderId="50" xfId="0" applyFont="1" applyFill="1" applyBorder="1"/>
    <xf numFmtId="0" fontId="30" fillId="8" borderId="4" xfId="0" applyFont="1" applyFill="1" applyBorder="1"/>
    <xf numFmtId="0" fontId="30" fillId="8" borderId="0" xfId="0" applyFont="1" applyFill="1" applyAlignment="1">
      <alignment horizontal="right" vertical="center"/>
    </xf>
    <xf numFmtId="0" fontId="30" fillId="8" borderId="127" xfId="0" applyFont="1" applyFill="1" applyBorder="1" applyAlignment="1">
      <alignment wrapText="1"/>
    </xf>
    <xf numFmtId="173" fontId="30" fillId="8" borderId="0" xfId="0" applyNumberFormat="1" applyFont="1" applyFill="1"/>
    <xf numFmtId="2" fontId="30" fillId="8" borderId="0" xfId="0" applyNumberFormat="1" applyFont="1" applyFill="1"/>
    <xf numFmtId="0" fontId="30" fillId="8" borderId="43" xfId="0" applyFont="1" applyFill="1" applyBorder="1"/>
    <xf numFmtId="0" fontId="30" fillId="8" borderId="129" xfId="0" applyFont="1" applyFill="1" applyBorder="1"/>
    <xf numFmtId="0" fontId="30" fillId="8" borderId="126" xfId="0" applyFont="1" applyFill="1" applyBorder="1"/>
    <xf numFmtId="0" fontId="44" fillId="8" borderId="0" xfId="0" applyFont="1" applyFill="1"/>
    <xf numFmtId="173" fontId="44" fillId="8" borderId="0" xfId="0" applyNumberFormat="1" applyFont="1" applyFill="1"/>
    <xf numFmtId="0" fontId="44" fillId="8" borderId="0" xfId="0" applyFont="1" applyFill="1" applyAlignment="1">
      <alignment horizontal="left"/>
    </xf>
    <xf numFmtId="0" fontId="26" fillId="8" borderId="0" xfId="0" applyFont="1" applyFill="1" applyAlignment="1">
      <alignment vertical="center" wrapText="1"/>
    </xf>
    <xf numFmtId="0" fontId="26" fillId="8" borderId="37" xfId="0" applyFont="1" applyFill="1" applyBorder="1" applyAlignment="1">
      <alignment vertical="center" wrapText="1"/>
    </xf>
    <xf numFmtId="0" fontId="30" fillId="8" borderId="37" xfId="0" applyFont="1" applyFill="1" applyBorder="1" applyAlignment="1">
      <alignment vertical="center" wrapText="1"/>
    </xf>
    <xf numFmtId="0" fontId="30" fillId="8" borderId="0" xfId="0" applyFont="1" applyFill="1" applyAlignment="1">
      <alignment vertical="center" wrapText="1"/>
    </xf>
    <xf numFmtId="9" fontId="41" fillId="8" borderId="0" xfId="0" applyNumberFormat="1" applyFont="1" applyFill="1" applyAlignment="1">
      <alignment vertical="center"/>
    </xf>
    <xf numFmtId="2" fontId="26" fillId="8" borderId="0" xfId="0" applyNumberFormat="1" applyFont="1" applyFill="1"/>
    <xf numFmtId="9" fontId="41" fillId="8" borderId="37" xfId="0" applyNumberFormat="1" applyFont="1" applyFill="1" applyBorder="1" applyAlignment="1">
      <alignment vertical="center"/>
    </xf>
    <xf numFmtId="0" fontId="30" fillId="8" borderId="0" xfId="0" applyFont="1" applyFill="1" applyAlignment="1">
      <alignment vertical="center"/>
    </xf>
    <xf numFmtId="2" fontId="30" fillId="8" borderId="0" xfId="0" applyNumberFormat="1" applyFont="1" applyFill="1" applyAlignment="1">
      <alignment vertical="center" wrapText="1"/>
    </xf>
    <xf numFmtId="0" fontId="45" fillId="8" borderId="0" xfId="0" applyFont="1" applyFill="1"/>
    <xf numFmtId="0" fontId="47" fillId="8" borderId="0" xfId="0" applyFont="1" applyFill="1" applyAlignment="1">
      <alignment vertical="center" wrapText="1"/>
    </xf>
    <xf numFmtId="0" fontId="41" fillId="8" borderId="0" xfId="0" applyFont="1" applyFill="1" applyAlignment="1">
      <alignment vertical="center" wrapText="1"/>
    </xf>
    <xf numFmtId="175" fontId="30" fillId="8" borderId="0" xfId="0" applyNumberFormat="1" applyFont="1" applyFill="1"/>
    <xf numFmtId="0" fontId="30" fillId="8" borderId="0" xfId="0" applyFont="1" applyFill="1" applyAlignment="1">
      <alignment horizontal="right"/>
    </xf>
    <xf numFmtId="174" fontId="30" fillId="8" borderId="0" xfId="0" applyNumberFormat="1" applyFont="1" applyFill="1"/>
    <xf numFmtId="9" fontId="30" fillId="8" borderId="0" xfId="1" applyFont="1" applyFill="1" applyBorder="1" applyAlignment="1"/>
    <xf numFmtId="171" fontId="30" fillId="8" borderId="0" xfId="0" applyNumberFormat="1" applyFont="1" applyFill="1" applyAlignment="1">
      <alignment horizontal="right"/>
    </xf>
    <xf numFmtId="0" fontId="27" fillId="8" borderId="0" xfId="0" applyFont="1" applyFill="1" applyAlignment="1">
      <alignment horizontal="right"/>
    </xf>
    <xf numFmtId="0" fontId="27" fillId="8" borderId="0" xfId="0" applyFont="1" applyFill="1" applyAlignment="1">
      <alignment horizontal="right" vertical="center"/>
    </xf>
    <xf numFmtId="175" fontId="30" fillId="8" borderId="22" xfId="0" applyNumberFormat="1" applyFont="1" applyFill="1" applyBorder="1"/>
    <xf numFmtId="2" fontId="26" fillId="8" borderId="22" xfId="0" applyNumberFormat="1" applyFont="1" applyFill="1" applyBorder="1"/>
    <xf numFmtId="0" fontId="30" fillId="8" borderId="0" xfId="0" applyFont="1" applyFill="1" applyAlignment="1">
      <alignment horizontal="center" vertical="center"/>
    </xf>
    <xf numFmtId="0" fontId="4" fillId="8" borderId="0" xfId="0" applyFont="1" applyFill="1"/>
    <xf numFmtId="0" fontId="0" fillId="8" borderId="37" xfId="0" applyFill="1" applyBorder="1"/>
    <xf numFmtId="0" fontId="5" fillId="8" borderId="0" xfId="0" applyFont="1" applyFill="1" applyAlignment="1">
      <alignment horizontal="right"/>
    </xf>
    <xf numFmtId="0" fontId="0" fillId="8" borderId="0" xfId="0" applyFill="1" applyAlignment="1">
      <alignment horizontal="right"/>
    </xf>
    <xf numFmtId="0" fontId="0" fillId="8" borderId="0" xfId="0" applyFill="1" applyAlignment="1">
      <alignment horizontal="center"/>
    </xf>
    <xf numFmtId="0" fontId="0" fillId="8" borderId="0" xfId="0" applyFill="1" applyAlignment="1">
      <alignment wrapText="1"/>
    </xf>
    <xf numFmtId="0" fontId="6" fillId="8" borderId="0" xfId="0" applyFont="1" applyFill="1"/>
    <xf numFmtId="0" fontId="2" fillId="8" borderId="0" xfId="0" applyFont="1" applyFill="1" applyAlignment="1">
      <alignment wrapText="1"/>
    </xf>
    <xf numFmtId="0" fontId="7" fillId="8" borderId="0" xfId="0" applyFont="1" applyFill="1" applyAlignment="1">
      <alignment vertical="center" wrapText="1"/>
    </xf>
    <xf numFmtId="0" fontId="27" fillId="11" borderId="22" xfId="0" applyFont="1" applyFill="1" applyBorder="1" applyAlignment="1">
      <alignment wrapText="1"/>
    </xf>
    <xf numFmtId="0" fontId="27" fillId="12" borderId="22" xfId="0" applyFont="1" applyFill="1" applyBorder="1" applyAlignment="1">
      <alignment wrapText="1"/>
    </xf>
    <xf numFmtId="0" fontId="27" fillId="16" borderId="22" xfId="0" applyFont="1" applyFill="1" applyBorder="1" applyAlignment="1">
      <alignment wrapText="1"/>
    </xf>
    <xf numFmtId="0" fontId="4" fillId="10" borderId="0" xfId="0" applyFont="1" applyFill="1" applyAlignment="1">
      <alignment vertical="center"/>
    </xf>
    <xf numFmtId="0" fontId="10" fillId="10" borderId="5" xfId="0" applyFont="1" applyFill="1" applyBorder="1" applyAlignment="1">
      <alignment vertical="center"/>
    </xf>
    <xf numFmtId="0" fontId="10" fillId="10" borderId="0" xfId="0" applyFont="1" applyFill="1" applyAlignment="1">
      <alignment vertical="center"/>
    </xf>
    <xf numFmtId="0" fontId="13" fillId="3" borderId="19" xfId="0" applyFont="1" applyFill="1" applyBorder="1" applyAlignment="1">
      <alignment horizontal="left"/>
    </xf>
    <xf numFmtId="0" fontId="13" fillId="3" borderId="20" xfId="0" applyFont="1" applyFill="1" applyBorder="1" applyAlignment="1">
      <alignment horizontal="left"/>
    </xf>
    <xf numFmtId="0" fontId="10" fillId="3" borderId="20" xfId="0" applyFont="1" applyFill="1" applyBorder="1"/>
    <xf numFmtId="0" fontId="10" fillId="3" borderId="21" xfId="0" applyFont="1" applyFill="1" applyBorder="1"/>
    <xf numFmtId="0" fontId="5" fillId="2" borderId="6" xfId="5" applyFont="1" applyFill="1" applyBorder="1" applyAlignment="1">
      <alignment horizontal="left"/>
    </xf>
    <xf numFmtId="0" fontId="5" fillId="2" borderId="24" xfId="5" applyFont="1" applyFill="1" applyBorder="1" applyAlignment="1">
      <alignment horizontal="center" vertical="center" wrapText="1"/>
    </xf>
    <xf numFmtId="0" fontId="5" fillId="2" borderId="16" xfId="5" applyFont="1" applyFill="1" applyBorder="1" applyAlignment="1">
      <alignment horizontal="left"/>
    </xf>
    <xf numFmtId="0" fontId="5" fillId="2" borderId="28" xfId="5" applyFont="1" applyFill="1" applyBorder="1" applyAlignment="1">
      <alignment horizontal="center" vertical="center" wrapText="1"/>
    </xf>
    <xf numFmtId="0" fontId="5" fillId="2" borderId="30" xfId="6" applyFont="1" applyFill="1" applyBorder="1" applyAlignment="1">
      <alignment horizontal="center" vertical="center" wrapText="1"/>
    </xf>
    <xf numFmtId="0" fontId="5" fillId="2" borderId="31" xfId="6" applyFont="1" applyFill="1" applyBorder="1" applyAlignment="1">
      <alignment horizontal="center" vertical="center" wrapText="1"/>
    </xf>
    <xf numFmtId="0" fontId="5" fillId="10" borderId="0" xfId="5" applyFont="1" applyFill="1" applyAlignment="1">
      <alignment horizontal="center" vertical="center" wrapText="1"/>
    </xf>
    <xf numFmtId="0" fontId="10" fillId="10" borderId="35" xfId="6" applyFill="1" applyBorder="1" applyAlignment="1">
      <alignment horizontal="center" vertical="center" wrapText="1"/>
    </xf>
    <xf numFmtId="164" fontId="10" fillId="10" borderId="11" xfId="6" applyNumberFormat="1" applyFill="1" applyBorder="1" applyAlignment="1">
      <alignment horizontal="center" vertical="center" wrapText="1"/>
    </xf>
    <xf numFmtId="164" fontId="10" fillId="10" borderId="93" xfId="6" applyNumberFormat="1" applyFill="1" applyBorder="1" applyAlignment="1">
      <alignment horizontal="center" vertical="center" wrapText="1"/>
    </xf>
    <xf numFmtId="164" fontId="10" fillId="10" borderId="35" xfId="6" applyNumberFormat="1" applyFill="1" applyBorder="1" applyAlignment="1">
      <alignment horizontal="center" vertical="center" wrapText="1"/>
    </xf>
    <xf numFmtId="164" fontId="5" fillId="10" borderId="12" xfId="0" applyNumberFormat="1" applyFont="1" applyFill="1" applyBorder="1" applyAlignment="1">
      <alignment horizontal="center"/>
    </xf>
    <xf numFmtId="0" fontId="10" fillId="10" borderId="41" xfId="6" applyFill="1" applyBorder="1" applyAlignment="1">
      <alignment horizontal="center" vertical="center" wrapText="1"/>
    </xf>
    <xf numFmtId="164" fontId="10" fillId="10" borderId="36" xfId="6" applyNumberFormat="1" applyFill="1" applyBorder="1" applyAlignment="1">
      <alignment horizontal="center" vertical="center" wrapText="1"/>
    </xf>
    <xf numFmtId="164" fontId="10" fillId="10" borderId="121" xfId="6" applyNumberFormat="1" applyFill="1" applyBorder="1" applyAlignment="1">
      <alignment horizontal="center" vertical="center" wrapText="1"/>
    </xf>
    <xf numFmtId="164" fontId="10" fillId="10" borderId="41" xfId="6" applyNumberFormat="1" applyFill="1" applyBorder="1" applyAlignment="1">
      <alignment horizontal="center" vertical="center" wrapText="1"/>
    </xf>
    <xf numFmtId="0" fontId="5" fillId="10" borderId="13" xfId="6" applyFont="1" applyFill="1" applyBorder="1" applyAlignment="1">
      <alignment horizontal="center" vertical="center" wrapText="1"/>
    </xf>
    <xf numFmtId="164" fontId="5" fillId="10" borderId="36" xfId="6" applyNumberFormat="1" applyFont="1" applyFill="1" applyBorder="1" applyAlignment="1">
      <alignment horizontal="center" vertical="center" wrapText="1"/>
    </xf>
    <xf numFmtId="164" fontId="5" fillId="10" borderId="121" xfId="6" applyNumberFormat="1" applyFont="1" applyFill="1" applyBorder="1" applyAlignment="1">
      <alignment horizontal="center" vertical="center" wrapText="1"/>
    </xf>
    <xf numFmtId="164" fontId="5" fillId="10" borderId="41" xfId="6" applyNumberFormat="1" applyFont="1" applyFill="1" applyBorder="1" applyAlignment="1">
      <alignment horizontal="center" vertical="center" wrapText="1"/>
    </xf>
    <xf numFmtId="164" fontId="5" fillId="10" borderId="57" xfId="0" applyNumberFormat="1" applyFont="1" applyFill="1" applyBorder="1" applyAlignment="1">
      <alignment horizontal="center"/>
    </xf>
    <xf numFmtId="0" fontId="5" fillId="10" borderId="11" xfId="5" applyFont="1" applyFill="1" applyBorder="1" applyAlignment="1">
      <alignment horizontal="left" vertical="center"/>
    </xf>
    <xf numFmtId="0" fontId="5" fillId="10" borderId="23" xfId="5" applyFont="1" applyFill="1" applyBorder="1" applyAlignment="1">
      <alignment horizontal="center" vertical="center" wrapText="1"/>
    </xf>
    <xf numFmtId="0" fontId="10" fillId="10" borderId="109" xfId="5" applyFill="1" applyBorder="1" applyAlignment="1">
      <alignment horizontal="center" vertical="center" wrapText="1"/>
    </xf>
    <xf numFmtId="164" fontId="10" fillId="10" borderId="142" xfId="5" applyNumberFormat="1" applyFill="1" applyBorder="1" applyAlignment="1">
      <alignment horizontal="center" vertical="center" wrapText="1"/>
    </xf>
    <xf numFmtId="164" fontId="10" fillId="10" borderId="125" xfId="5" applyNumberFormat="1" applyFill="1" applyBorder="1" applyAlignment="1">
      <alignment horizontal="center" vertical="center" wrapText="1"/>
    </xf>
    <xf numFmtId="164" fontId="10" fillId="10" borderId="109" xfId="5" applyNumberFormat="1" applyFill="1" applyBorder="1" applyAlignment="1">
      <alignment horizontal="center" vertical="center" wrapText="1"/>
    </xf>
    <xf numFmtId="164" fontId="5" fillId="10" borderId="61" xfId="0" applyNumberFormat="1" applyFont="1" applyFill="1" applyBorder="1" applyAlignment="1">
      <alignment horizontal="center"/>
    </xf>
    <xf numFmtId="0" fontId="10" fillId="10" borderId="35" xfId="5" applyFill="1" applyBorder="1" applyAlignment="1">
      <alignment horizontal="center" vertical="center" wrapText="1"/>
    </xf>
    <xf numFmtId="164" fontId="10" fillId="10" borderId="11" xfId="5" applyNumberFormat="1" applyFill="1" applyBorder="1" applyAlignment="1">
      <alignment horizontal="center" vertical="center" wrapText="1"/>
    </xf>
    <xf numFmtId="164" fontId="10" fillId="10" borderId="93" xfId="5" applyNumberFormat="1" applyFill="1" applyBorder="1" applyAlignment="1">
      <alignment horizontal="center" vertical="center" wrapText="1"/>
    </xf>
    <xf numFmtId="164" fontId="10" fillId="10" borderId="35" xfId="5" applyNumberFormat="1" applyFill="1" applyBorder="1" applyAlignment="1">
      <alignment horizontal="center" vertical="center" wrapText="1"/>
    </xf>
    <xf numFmtId="0" fontId="10" fillId="10" borderId="41" xfId="5" applyFill="1" applyBorder="1" applyAlignment="1">
      <alignment horizontal="center" vertical="center" wrapText="1"/>
    </xf>
    <xf numFmtId="164" fontId="10" fillId="10" borderId="36" xfId="5" applyNumberFormat="1" applyFill="1" applyBorder="1" applyAlignment="1">
      <alignment horizontal="center" vertical="center" wrapText="1"/>
    </xf>
    <xf numFmtId="164" fontId="10" fillId="10" borderId="121" xfId="5" applyNumberFormat="1" applyFill="1" applyBorder="1" applyAlignment="1">
      <alignment horizontal="center" vertical="center" wrapText="1"/>
    </xf>
    <xf numFmtId="164" fontId="10" fillId="10" borderId="41" xfId="5" applyNumberFormat="1" applyFill="1" applyBorder="1" applyAlignment="1">
      <alignment horizontal="center" vertical="center" wrapText="1"/>
    </xf>
    <xf numFmtId="164" fontId="5" fillId="10" borderId="38" xfId="0" applyNumberFormat="1" applyFont="1" applyFill="1" applyBorder="1" applyAlignment="1">
      <alignment horizontal="center"/>
    </xf>
    <xf numFmtId="0" fontId="5" fillId="10" borderId="117" xfId="5" applyFont="1" applyFill="1" applyBorder="1" applyAlignment="1">
      <alignment horizontal="left" vertical="center" wrapText="1"/>
    </xf>
    <xf numFmtId="0" fontId="5" fillId="10" borderId="67" xfId="5" applyFont="1" applyFill="1" applyBorder="1" applyAlignment="1">
      <alignment horizontal="center" vertical="center" wrapText="1"/>
    </xf>
    <xf numFmtId="0" fontId="10" fillId="10" borderId="29" xfId="5" applyFill="1" applyBorder="1" applyAlignment="1">
      <alignment horizontal="center" vertical="center" wrapText="1"/>
    </xf>
    <xf numFmtId="164" fontId="5" fillId="10" borderId="16" xfId="5" applyNumberFormat="1" applyFont="1" applyFill="1" applyBorder="1" applyAlignment="1">
      <alignment horizontal="center" vertical="center" wrapText="1"/>
    </xf>
    <xf numFmtId="164" fontId="5" fillId="10" borderId="31" xfId="5" applyNumberFormat="1" applyFont="1" applyFill="1" applyBorder="1" applyAlignment="1">
      <alignment horizontal="center" vertical="center" wrapText="1"/>
    </xf>
    <xf numFmtId="164" fontId="5" fillId="10" borderId="18" xfId="5" applyNumberFormat="1" applyFont="1" applyFill="1" applyBorder="1" applyAlignment="1">
      <alignment horizontal="center" vertical="center" wrapText="1"/>
    </xf>
    <xf numFmtId="164" fontId="5" fillId="10" borderId="30" xfId="5" applyNumberFormat="1" applyFont="1" applyFill="1" applyBorder="1" applyAlignment="1">
      <alignment horizontal="center" vertical="center" wrapText="1"/>
    </xf>
    <xf numFmtId="164" fontId="5" fillId="10" borderId="29" xfId="5" applyNumberFormat="1" applyFont="1" applyFill="1" applyBorder="1" applyAlignment="1">
      <alignment horizontal="center" vertical="center" wrapText="1"/>
    </xf>
    <xf numFmtId="164" fontId="5" fillId="10" borderId="18" xfId="0" applyNumberFormat="1" applyFont="1" applyFill="1" applyBorder="1" applyAlignment="1">
      <alignment horizontal="center"/>
    </xf>
    <xf numFmtId="0" fontId="5" fillId="10" borderId="0" xfId="0" applyFont="1" applyFill="1" applyAlignment="1">
      <alignment vertical="center"/>
    </xf>
    <xf numFmtId="0" fontId="4" fillId="10" borderId="0" xfId="2" applyFont="1" applyFill="1" applyBorder="1" applyAlignment="1" applyProtection="1">
      <alignment horizontal="center" vertical="center"/>
    </xf>
    <xf numFmtId="0" fontId="4" fillId="10" borderId="0" xfId="0" applyFont="1" applyFill="1" applyAlignment="1">
      <alignment horizontal="center" vertical="center"/>
    </xf>
    <xf numFmtId="0" fontId="4" fillId="10" borderId="5" xfId="0" applyFont="1" applyFill="1" applyBorder="1" applyAlignment="1">
      <alignment vertical="center"/>
    </xf>
    <xf numFmtId="0" fontId="5" fillId="10" borderId="5" xfId="0" applyFont="1" applyFill="1" applyBorder="1" applyAlignment="1">
      <alignment vertical="center"/>
    </xf>
    <xf numFmtId="0" fontId="10" fillId="10" borderId="0" xfId="0" applyFont="1" applyFill="1" applyAlignment="1">
      <alignment horizontal="centerContinuous" vertical="center"/>
    </xf>
    <xf numFmtId="0" fontId="12" fillId="10" borderId="0" xfId="0" applyFont="1" applyFill="1" applyAlignment="1">
      <alignment vertical="center"/>
    </xf>
    <xf numFmtId="0" fontId="10" fillId="10" borderId="12" xfId="0" applyFont="1" applyFill="1" applyBorder="1" applyAlignment="1">
      <alignment vertical="center"/>
    </xf>
    <xf numFmtId="0" fontId="10" fillId="10" borderId="0" xfId="0" applyFont="1" applyFill="1"/>
    <xf numFmtId="0" fontId="10" fillId="10" borderId="12" xfId="0" applyFont="1" applyFill="1" applyBorder="1" applyAlignment="1">
      <alignment horizontal="centerContinuous" vertical="center"/>
    </xf>
    <xf numFmtId="0" fontId="16" fillId="10" borderId="0" xfId="0" applyFont="1" applyFill="1" applyAlignment="1">
      <alignment vertical="center"/>
    </xf>
    <xf numFmtId="0" fontId="10" fillId="10" borderId="0" xfId="0" applyFont="1" applyFill="1" applyAlignment="1">
      <alignment vertical="center" wrapText="1"/>
    </xf>
    <xf numFmtId="0" fontId="10" fillId="10" borderId="12" xfId="0" applyFont="1" applyFill="1" applyBorder="1" applyAlignment="1">
      <alignment vertical="center" wrapText="1"/>
    </xf>
    <xf numFmtId="0" fontId="10" fillId="10" borderId="0" xfId="0" applyFont="1" applyFill="1" applyAlignment="1">
      <alignment horizontal="left" vertical="center"/>
    </xf>
    <xf numFmtId="0" fontId="5" fillId="10" borderId="0" xfId="2" applyFont="1" applyFill="1" applyBorder="1" applyAlignment="1" applyProtection="1">
      <alignment horizontal="center" vertical="center"/>
    </xf>
    <xf numFmtId="0" fontId="5" fillId="10" borderId="0" xfId="0" applyFont="1" applyFill="1" applyAlignment="1">
      <alignment horizontal="center" vertical="center"/>
    </xf>
    <xf numFmtId="0" fontId="10" fillId="10" borderId="16" xfId="0" applyFont="1" applyFill="1" applyBorder="1" applyAlignment="1">
      <alignment vertical="center"/>
    </xf>
    <xf numFmtId="0" fontId="5" fillId="10" borderId="17" xfId="0" applyFont="1" applyFill="1" applyBorder="1" applyAlignment="1">
      <alignment vertical="center"/>
    </xf>
    <xf numFmtId="0" fontId="5" fillId="10" borderId="18" xfId="0" applyFont="1" applyFill="1" applyBorder="1" applyAlignment="1">
      <alignment vertical="center"/>
    </xf>
    <xf numFmtId="0" fontId="10" fillId="10" borderId="0" xfId="0" applyFont="1" applyFill="1" applyAlignment="1" applyProtection="1">
      <alignment vertical="center"/>
      <protection locked="0"/>
    </xf>
    <xf numFmtId="0" fontId="5" fillId="10" borderId="17" xfId="0" applyFont="1" applyFill="1" applyBorder="1" applyAlignment="1">
      <alignment horizontal="left" vertical="center"/>
    </xf>
    <xf numFmtId="0" fontId="10" fillId="10" borderId="0" xfId="0" applyFont="1" applyFill="1" applyAlignment="1">
      <alignment wrapText="1"/>
    </xf>
    <xf numFmtId="0" fontId="31" fillId="10" borderId="22" xfId="5" applyFont="1" applyFill="1" applyBorder="1" applyAlignment="1">
      <alignment horizontal="left" vertical="center"/>
    </xf>
    <xf numFmtId="0" fontId="31" fillId="10" borderId="0" xfId="5" applyFont="1" applyFill="1" applyAlignment="1">
      <alignment horizontal="left" vertical="center"/>
    </xf>
    <xf numFmtId="9" fontId="30" fillId="8" borderId="0" xfId="0" applyNumberFormat="1" applyFont="1" applyFill="1" applyAlignment="1">
      <alignment vertical="center" wrapText="1"/>
    </xf>
    <xf numFmtId="0" fontId="29" fillId="10" borderId="0" xfId="5" applyFont="1" applyFill="1" applyAlignment="1">
      <alignment horizontal="left" vertical="center"/>
    </xf>
    <xf numFmtId="0" fontId="44" fillId="8" borderId="0" xfId="0" applyFont="1" applyFill="1" applyAlignment="1">
      <alignment horizontal="center"/>
    </xf>
    <xf numFmtId="0" fontId="30" fillId="8" borderId="50" xfId="0" applyFont="1" applyFill="1" applyBorder="1" applyAlignment="1">
      <alignment horizontal="center"/>
    </xf>
    <xf numFmtId="167" fontId="25" fillId="8" borderId="22" xfId="0" applyNumberFormat="1" applyFont="1" applyFill="1" applyBorder="1"/>
    <xf numFmtId="167" fontId="25" fillId="8" borderId="0" xfId="0" applyNumberFormat="1" applyFont="1" applyFill="1"/>
    <xf numFmtId="1" fontId="30" fillId="8" borderId="0" xfId="0" applyNumberFormat="1" applyFont="1" applyFill="1" applyAlignment="1">
      <alignment vertical="center" wrapText="1"/>
    </xf>
    <xf numFmtId="0" fontId="30" fillId="8" borderId="0" xfId="0" applyFont="1" applyFill="1" applyAlignment="1">
      <alignment horizontal="center" wrapText="1"/>
    </xf>
    <xf numFmtId="49" fontId="30" fillId="8" borderId="0" xfId="0" applyNumberFormat="1" applyFont="1" applyFill="1" applyAlignment="1">
      <alignment horizontal="right" vertical="center" wrapText="1"/>
    </xf>
    <xf numFmtId="0" fontId="30" fillId="8" borderId="0" xfId="0" applyFont="1" applyFill="1" applyAlignment="1">
      <alignment horizontal="left" vertical="top" wrapText="1"/>
    </xf>
    <xf numFmtId="49" fontId="30" fillId="8" borderId="0" xfId="0" applyNumberFormat="1" applyFont="1" applyFill="1" applyAlignment="1">
      <alignment horizontal="right" vertical="center"/>
    </xf>
    <xf numFmtId="0" fontId="26" fillId="8" borderId="0" xfId="0" applyFont="1" applyFill="1" applyAlignment="1">
      <alignment horizontal="left" vertical="center" wrapText="1"/>
    </xf>
    <xf numFmtId="0" fontId="26" fillId="8" borderId="0" xfId="0" applyFont="1" applyFill="1" applyAlignment="1">
      <alignment horizontal="left" vertical="top" wrapText="1"/>
    </xf>
    <xf numFmtId="0" fontId="26" fillId="8" borderId="37" xfId="0" applyFont="1" applyFill="1" applyBorder="1" applyAlignment="1">
      <alignment horizontal="left" vertical="top" wrapText="1"/>
    </xf>
    <xf numFmtId="0" fontId="30" fillId="8" borderId="37" xfId="0" applyFont="1" applyFill="1" applyBorder="1" applyAlignment="1">
      <alignment horizontal="left" vertical="top" wrapText="1"/>
    </xf>
    <xf numFmtId="0" fontId="41" fillId="8" borderId="0" xfId="0" applyFont="1" applyFill="1" applyAlignment="1">
      <alignment horizontal="left" vertical="top" wrapText="1"/>
    </xf>
    <xf numFmtId="9" fontId="41" fillId="8" borderId="37" xfId="0" applyNumberFormat="1" applyFont="1" applyFill="1" applyBorder="1" applyAlignment="1">
      <alignment horizontal="left" vertical="top" wrapText="1"/>
    </xf>
    <xf numFmtId="0" fontId="30" fillId="8" borderId="123" xfId="0" applyFont="1" applyFill="1" applyBorder="1" applyAlignment="1">
      <alignment vertical="center" wrapText="1"/>
    </xf>
    <xf numFmtId="0" fontId="30" fillId="8" borderId="123" xfId="0" applyFont="1" applyFill="1" applyBorder="1"/>
    <xf numFmtId="0" fontId="26" fillId="8" borderId="0" xfId="0" applyFont="1" applyFill="1" applyAlignment="1">
      <alignment horizontal="right" vertical="center" wrapText="1"/>
    </xf>
    <xf numFmtId="0" fontId="26" fillId="8" borderId="37" xfId="0" applyFont="1" applyFill="1" applyBorder="1" applyAlignment="1">
      <alignment horizontal="right" vertical="center" wrapText="1"/>
    </xf>
    <xf numFmtId="0" fontId="30" fillId="8" borderId="37" xfId="0" applyFont="1" applyFill="1" applyBorder="1" applyAlignment="1">
      <alignment horizontal="right" vertical="center" wrapText="1"/>
    </xf>
    <xf numFmtId="9" fontId="41" fillId="8" borderId="0" xfId="0" applyNumberFormat="1" applyFont="1" applyFill="1" applyAlignment="1">
      <alignment horizontal="right" vertical="center"/>
    </xf>
    <xf numFmtId="9" fontId="41" fillId="8" borderId="37" xfId="0" applyNumberFormat="1" applyFont="1" applyFill="1" applyBorder="1" applyAlignment="1">
      <alignment horizontal="right" vertical="center"/>
    </xf>
    <xf numFmtId="49" fontId="30" fillId="8" borderId="0" xfId="0" applyNumberFormat="1" applyFont="1" applyFill="1" applyAlignment="1">
      <alignment horizontal="right"/>
    </xf>
    <xf numFmtId="0" fontId="47" fillId="8" borderId="0" xfId="0" applyFont="1" applyFill="1" applyAlignment="1">
      <alignment horizontal="right" vertical="center" wrapText="1"/>
    </xf>
    <xf numFmtId="0" fontId="41" fillId="8" borderId="0" xfId="0" applyFont="1" applyFill="1" applyAlignment="1">
      <alignment horizontal="right" vertical="center" wrapText="1"/>
    </xf>
    <xf numFmtId="0" fontId="27" fillId="8" borderId="0" xfId="0" applyFont="1" applyFill="1" applyAlignment="1">
      <alignment horizontal="right" vertical="top" wrapText="1"/>
    </xf>
    <xf numFmtId="10" fontId="25" fillId="8" borderId="122" xfId="3" applyNumberFormat="1" applyFont="1" applyFill="1" applyBorder="1" applyAlignment="1">
      <alignment horizontal="left"/>
    </xf>
    <xf numFmtId="10" fontId="25" fillId="8" borderId="22" xfId="3" applyNumberFormat="1" applyFont="1" applyFill="1" applyBorder="1" applyAlignment="1">
      <alignment horizontal="left"/>
    </xf>
    <xf numFmtId="0" fontId="30" fillId="8" borderId="0" xfId="0" applyFont="1" applyFill="1" applyAlignment="1">
      <alignment wrapText="1"/>
    </xf>
    <xf numFmtId="0" fontId="30" fillId="8" borderId="126" xfId="0" applyFont="1" applyFill="1" applyBorder="1" applyAlignment="1">
      <alignment wrapText="1"/>
    </xf>
    <xf numFmtId="0" fontId="25" fillId="8" borderId="43" xfId="0" applyFont="1" applyFill="1" applyBorder="1" applyAlignment="1">
      <alignment horizontal="right" wrapText="1"/>
    </xf>
    <xf numFmtId="0" fontId="30" fillId="8" borderId="43" xfId="0" applyFont="1" applyFill="1" applyBorder="1" applyAlignment="1">
      <alignment horizontal="right" wrapText="1"/>
    </xf>
    <xf numFmtId="0" fontId="30" fillId="8" borderId="43" xfId="0" applyFont="1" applyFill="1" applyBorder="1" applyAlignment="1">
      <alignment horizontal="right" vertical="center" wrapText="1"/>
    </xf>
    <xf numFmtId="0" fontId="30" fillId="8" borderId="43" xfId="0" applyFont="1" applyFill="1" applyBorder="1" applyAlignment="1">
      <alignment horizontal="right" vertical="top" wrapText="1"/>
    </xf>
    <xf numFmtId="0" fontId="30" fillId="8" borderId="129" xfId="0" applyFont="1" applyFill="1" applyBorder="1" applyAlignment="1">
      <alignment horizontal="right" vertical="center" wrapText="1"/>
    </xf>
    <xf numFmtId="0" fontId="30" fillId="8" borderId="129" xfId="0" applyFont="1" applyFill="1" applyBorder="1" applyAlignment="1">
      <alignment wrapText="1"/>
    </xf>
    <xf numFmtId="0" fontId="26" fillId="8" borderId="126" xfId="0" applyFont="1" applyFill="1" applyBorder="1" applyAlignment="1">
      <alignment wrapText="1"/>
    </xf>
    <xf numFmtId="0" fontId="26" fillId="8" borderId="43" xfId="0" applyFont="1" applyFill="1" applyBorder="1" applyAlignment="1">
      <alignment horizontal="right" wrapText="1"/>
    </xf>
    <xf numFmtId="0" fontId="26" fillId="8" borderId="43" xfId="0" applyFont="1" applyFill="1" applyBorder="1" applyAlignment="1">
      <alignment wrapText="1"/>
    </xf>
    <xf numFmtId="0" fontId="46" fillId="8" borderId="43" xfId="0" applyFont="1" applyFill="1" applyBorder="1" applyAlignment="1">
      <alignment horizontal="right" wrapText="1"/>
    </xf>
    <xf numFmtId="0" fontId="30" fillId="8" borderId="43" xfId="0" applyFont="1" applyFill="1" applyBorder="1" applyAlignment="1">
      <alignment wrapText="1"/>
    </xf>
    <xf numFmtId="9" fontId="30" fillId="8" borderId="0" xfId="1" applyFont="1" applyFill="1" applyBorder="1"/>
    <xf numFmtId="0" fontId="0" fillId="17" borderId="22" xfId="0" applyFill="1" applyBorder="1" applyAlignment="1">
      <alignment horizontal="center"/>
    </xf>
    <xf numFmtId="2" fontId="0" fillId="17" borderId="22" xfId="0" applyNumberFormat="1" applyFill="1" applyBorder="1" applyAlignment="1">
      <alignment horizontal="center"/>
    </xf>
    <xf numFmtId="0" fontId="2" fillId="8" borderId="0" xfId="0" applyFont="1" applyFill="1" applyAlignment="1">
      <alignment horizontal="right"/>
    </xf>
    <xf numFmtId="0" fontId="2" fillId="8" borderId="0" xfId="0" applyFont="1" applyFill="1"/>
    <xf numFmtId="0" fontId="30" fillId="8" borderId="146" xfId="0" applyFont="1" applyFill="1" applyBorder="1"/>
    <xf numFmtId="0" fontId="30" fillId="8" borderId="144" xfId="0" applyFont="1" applyFill="1" applyBorder="1"/>
    <xf numFmtId="0" fontId="27" fillId="8" borderId="144" xfId="0" applyFont="1" applyFill="1" applyBorder="1" applyAlignment="1">
      <alignment wrapText="1"/>
    </xf>
    <xf numFmtId="0" fontId="27" fillId="8" borderId="145" xfId="0" applyFont="1" applyFill="1" applyBorder="1" applyAlignment="1">
      <alignment wrapText="1"/>
    </xf>
    <xf numFmtId="0" fontId="30" fillId="8" borderId="145" xfId="0" applyFont="1" applyFill="1" applyBorder="1"/>
    <xf numFmtId="0" fontId="30" fillId="8" borderId="145" xfId="0" applyFont="1" applyFill="1" applyBorder="1" applyAlignment="1">
      <alignment wrapText="1"/>
    </xf>
    <xf numFmtId="0" fontId="27" fillId="8" borderId="146" xfId="0" applyFont="1" applyFill="1" applyBorder="1" applyAlignment="1">
      <alignment wrapText="1"/>
    </xf>
    <xf numFmtId="0" fontId="30" fillId="8" borderId="146" xfId="0" applyFont="1" applyFill="1" applyBorder="1" applyAlignment="1">
      <alignment wrapText="1"/>
    </xf>
    <xf numFmtId="0" fontId="30" fillId="8" borderId="144" xfId="0" applyFont="1" applyFill="1" applyBorder="1" applyAlignment="1">
      <alignment wrapText="1"/>
    </xf>
    <xf numFmtId="0" fontId="27" fillId="8" borderId="147" xfId="0" applyFont="1" applyFill="1" applyBorder="1" applyAlignment="1">
      <alignment wrapText="1"/>
    </xf>
    <xf numFmtId="0" fontId="25" fillId="8" borderId="0" xfId="0" applyFont="1" applyFill="1" applyAlignment="1">
      <alignment wrapText="1"/>
    </xf>
    <xf numFmtId="0" fontId="25" fillId="8" borderId="42" xfId="0" applyFont="1" applyFill="1" applyBorder="1" applyAlignment="1">
      <alignment wrapText="1"/>
    </xf>
    <xf numFmtId="0" fontId="25" fillId="8" borderId="143" xfId="0" applyFont="1" applyFill="1" applyBorder="1" applyAlignment="1">
      <alignment wrapText="1"/>
    </xf>
    <xf numFmtId="0" fontId="25" fillId="8" borderId="3" xfId="0" applyFont="1" applyFill="1" applyBorder="1" applyAlignment="1">
      <alignment wrapText="1"/>
    </xf>
    <xf numFmtId="0" fontId="48" fillId="8" borderId="0" xfId="0" applyFont="1" applyFill="1"/>
    <xf numFmtId="0" fontId="8" fillId="8" borderId="1" xfId="0" applyFont="1" applyFill="1" applyBorder="1" applyAlignment="1">
      <alignment vertical="center" wrapText="1"/>
    </xf>
    <xf numFmtId="0" fontId="9" fillId="8" borderId="3" xfId="0" applyFont="1" applyFill="1" applyBorder="1" applyAlignment="1">
      <alignment vertical="center" wrapText="1"/>
    </xf>
    <xf numFmtId="0" fontId="9" fillId="8" borderId="3" xfId="0" applyFont="1" applyFill="1" applyBorder="1" applyAlignment="1">
      <alignment vertical="center"/>
    </xf>
    <xf numFmtId="0" fontId="30" fillId="8" borderId="0" xfId="0" applyFont="1" applyFill="1" applyAlignment="1">
      <alignment horizontal="left" vertical="center" wrapText="1"/>
    </xf>
    <xf numFmtId="9" fontId="30" fillId="18" borderId="22" xfId="1" applyFont="1" applyFill="1" applyBorder="1" applyAlignment="1">
      <alignment horizontal="center"/>
    </xf>
    <xf numFmtId="0" fontId="30" fillId="18" borderId="22" xfId="0" applyFont="1" applyFill="1" applyBorder="1"/>
    <xf numFmtId="0" fontId="27" fillId="18" borderId="22" xfId="0" applyFont="1" applyFill="1" applyBorder="1"/>
    <xf numFmtId="0" fontId="0" fillId="18" borderId="22" xfId="0" applyFill="1" applyBorder="1" applyAlignment="1">
      <alignment horizontal="center"/>
    </xf>
    <xf numFmtId="14" fontId="0" fillId="18" borderId="22" xfId="0" applyNumberFormat="1" applyFill="1" applyBorder="1" applyAlignment="1">
      <alignment horizontal="center"/>
    </xf>
    <xf numFmtId="0" fontId="27" fillId="0" borderId="0" xfId="0" applyFont="1" applyAlignment="1">
      <alignment vertical="center"/>
    </xf>
    <xf numFmtId="0" fontId="47" fillId="8" borderId="148" xfId="0" applyFont="1" applyFill="1" applyBorder="1" applyAlignment="1">
      <alignment vertical="center" wrapText="1"/>
    </xf>
    <xf numFmtId="0" fontId="47" fillId="8" borderId="149" xfId="0" applyFont="1" applyFill="1" applyBorder="1" applyAlignment="1">
      <alignment vertical="center" wrapText="1"/>
    </xf>
    <xf numFmtId="0" fontId="41" fillId="8" borderId="150" xfId="0" applyFont="1" applyFill="1" applyBorder="1" applyAlignment="1">
      <alignment vertical="center" wrapText="1"/>
    </xf>
    <xf numFmtId="0" fontId="41" fillId="8" borderId="151" xfId="0" applyFont="1" applyFill="1" applyBorder="1" applyAlignment="1">
      <alignment vertical="center" wrapText="1"/>
    </xf>
    <xf numFmtId="0" fontId="41" fillId="8" borderId="150" xfId="0" applyFont="1" applyFill="1" applyBorder="1" applyAlignment="1">
      <alignment vertical="center"/>
    </xf>
    <xf numFmtId="0" fontId="41" fillId="8" borderId="152" xfId="0" applyFont="1" applyFill="1" applyBorder="1" applyAlignment="1">
      <alignment vertical="center" wrapText="1"/>
    </xf>
    <xf numFmtId="0" fontId="41" fillId="8" borderId="153" xfId="0" applyFont="1" applyFill="1" applyBorder="1" applyAlignment="1">
      <alignment vertical="center" wrapText="1"/>
    </xf>
    <xf numFmtId="1" fontId="25" fillId="18" borderId="22" xfId="0" applyNumberFormat="1" applyFont="1" applyFill="1" applyBorder="1"/>
    <xf numFmtId="0" fontId="30" fillId="18" borderId="0" xfId="0" applyFont="1" applyFill="1"/>
    <xf numFmtId="0" fontId="0" fillId="18" borderId="22" xfId="0" applyFill="1" applyBorder="1"/>
    <xf numFmtId="0" fontId="25" fillId="18" borderId="0" xfId="0" applyFont="1" applyFill="1"/>
    <xf numFmtId="0" fontId="25" fillId="18" borderId="22" xfId="0" applyFont="1" applyFill="1" applyBorder="1"/>
    <xf numFmtId="0" fontId="27" fillId="0" borderId="22" xfId="0" applyFont="1" applyBorder="1" applyAlignment="1">
      <alignment vertical="center" wrapText="1"/>
    </xf>
    <xf numFmtId="0" fontId="0" fillId="18" borderId="22" xfId="0" quotePrefix="1" applyFill="1" applyBorder="1" applyAlignment="1">
      <alignment horizontal="center"/>
    </xf>
    <xf numFmtId="49" fontId="30" fillId="8" borderId="0" xfId="0" applyNumberFormat="1" applyFont="1" applyFill="1" applyAlignment="1">
      <alignment horizontal="left" vertical="center" wrapText="1"/>
    </xf>
    <xf numFmtId="0" fontId="0" fillId="18" borderId="22" xfId="0" applyFill="1" applyBorder="1" applyAlignment="1">
      <alignment horizontal="left"/>
    </xf>
    <xf numFmtId="173" fontId="30" fillId="8" borderId="22" xfId="0" applyNumberFormat="1" applyFont="1" applyFill="1" applyBorder="1"/>
    <xf numFmtId="2" fontId="0" fillId="8" borderId="22" xfId="0" applyNumberFormat="1" applyFill="1" applyBorder="1"/>
    <xf numFmtId="165" fontId="49" fillId="19" borderId="0" xfId="0" applyNumberFormat="1" applyFont="1" applyFill="1"/>
    <xf numFmtId="0" fontId="10" fillId="10" borderId="11" xfId="0" applyFont="1" applyFill="1" applyBorder="1" applyAlignment="1">
      <alignment vertical="center"/>
    </xf>
    <xf numFmtId="0" fontId="5" fillId="0" borderId="0" xfId="2" applyFont="1" applyFill="1" applyBorder="1" applyAlignment="1" applyProtection="1">
      <alignment horizontal="center" vertical="center"/>
    </xf>
    <xf numFmtId="0" fontId="15" fillId="0" borderId="0" xfId="2" applyFont="1" applyBorder="1" applyAlignment="1" applyProtection="1">
      <alignment vertical="center"/>
    </xf>
    <xf numFmtId="3" fontId="10" fillId="10" borderId="0" xfId="7" applyNumberFormat="1" applyFont="1" applyFill="1" applyAlignment="1" applyProtection="1">
      <alignment horizontal="center" vertical="center" wrapText="1"/>
      <protection hidden="1"/>
    </xf>
    <xf numFmtId="2" fontId="10" fillId="10" borderId="102" xfId="7" applyNumberFormat="1" applyFont="1" applyFill="1" applyBorder="1" applyAlignment="1" applyProtection="1">
      <alignment horizontal="center" vertical="center"/>
      <protection hidden="1"/>
    </xf>
    <xf numFmtId="4" fontId="10" fillId="10" borderId="0" xfId="7" applyNumberFormat="1" applyFont="1" applyFill="1" applyAlignment="1" applyProtection="1">
      <alignment horizontal="center" vertical="center" wrapText="1"/>
      <protection hidden="1"/>
    </xf>
    <xf numFmtId="4" fontId="10" fillId="10" borderId="12" xfId="7" applyNumberFormat="1" applyFont="1" applyFill="1" applyBorder="1" applyAlignment="1" applyProtection="1">
      <alignment horizontal="center" vertical="center" wrapText="1"/>
      <protection hidden="1"/>
    </xf>
    <xf numFmtId="0" fontId="11" fillId="0" borderId="0" xfId="2" applyFill="1" applyBorder="1" applyAlignment="1" applyProtection="1">
      <alignment vertical="center"/>
    </xf>
    <xf numFmtId="0" fontId="11" fillId="10" borderId="0" xfId="2" applyFill="1" applyBorder="1" applyAlignment="1" applyProtection="1">
      <alignment vertical="center"/>
    </xf>
    <xf numFmtId="0" fontId="14" fillId="0" borderId="0" xfId="0" applyFont="1"/>
    <xf numFmtId="0" fontId="14" fillId="0" borderId="0" xfId="0" applyFont="1" applyAlignment="1">
      <alignment horizontal="centerContinuous" vertical="center"/>
    </xf>
    <xf numFmtId="0" fontId="13" fillId="0" borderId="0" xfId="0" applyFont="1" applyAlignment="1">
      <alignment horizontal="center" vertical="center"/>
    </xf>
    <xf numFmtId="0" fontId="11" fillId="0" borderId="0" xfId="2" applyBorder="1" applyAlignment="1" applyProtection="1"/>
    <xf numFmtId="0" fontId="10" fillId="0" borderId="154" xfId="0" applyFont="1" applyBorder="1"/>
    <xf numFmtId="1" fontId="5" fillId="0" borderId="155" xfId="0" applyNumberFormat="1" applyFont="1" applyBorder="1" applyAlignment="1">
      <alignment horizontal="center" wrapText="1"/>
    </xf>
    <xf numFmtId="0" fontId="10" fillId="0" borderId="155" xfId="0" applyFont="1" applyBorder="1"/>
    <xf numFmtId="165" fontId="10" fillId="0" borderId="156" xfId="0" applyNumberFormat="1" applyFont="1" applyBorder="1" applyAlignment="1">
      <alignment horizontal="center" wrapText="1"/>
    </xf>
    <xf numFmtId="0" fontId="5" fillId="0" borderId="0" xfId="0" applyFont="1" applyAlignment="1">
      <alignment wrapText="1"/>
    </xf>
    <xf numFmtId="0" fontId="13" fillId="3" borderId="7" xfId="0" applyFont="1" applyFill="1" applyBorder="1" applyAlignment="1">
      <alignment horizontal="centerContinuous" vertical="center" wrapText="1"/>
    </xf>
    <xf numFmtId="0" fontId="13" fillId="3" borderId="17" xfId="0" applyFont="1" applyFill="1" applyBorder="1" applyAlignment="1">
      <alignment vertical="center"/>
    </xf>
    <xf numFmtId="0" fontId="13" fillId="3" borderId="17" xfId="0" applyFont="1" applyFill="1" applyBorder="1" applyAlignment="1">
      <alignment horizontal="centerContinuous" vertical="center" wrapText="1"/>
    </xf>
    <xf numFmtId="0" fontId="14" fillId="3" borderId="17" xfId="0" applyFont="1" applyFill="1" applyBorder="1" applyAlignment="1">
      <alignment vertical="center"/>
    </xf>
    <xf numFmtId="0" fontId="14" fillId="3" borderId="18" xfId="0" applyFont="1" applyFill="1" applyBorder="1" applyAlignment="1">
      <alignment vertical="center"/>
    </xf>
    <xf numFmtId="0" fontId="5" fillId="2" borderId="11" xfId="0" applyFont="1" applyFill="1" applyBorder="1"/>
    <xf numFmtId="0" fontId="5" fillId="2" borderId="0" xfId="0" applyFont="1" applyFill="1" applyAlignment="1">
      <alignment horizontal="centerContinuous"/>
    </xf>
    <xf numFmtId="0" fontId="10" fillId="2" borderId="12" xfId="0" applyFont="1" applyFill="1" applyBorder="1" applyAlignment="1">
      <alignment horizontal="centerContinuous"/>
    </xf>
    <xf numFmtId="0" fontId="5" fillId="2" borderId="16" xfId="0" applyFont="1" applyFill="1" applyBorder="1"/>
    <xf numFmtId="0" fontId="5" fillId="2" borderId="17" xfId="0" applyFont="1" applyFill="1" applyBorder="1" applyAlignment="1">
      <alignment wrapText="1"/>
    </xf>
    <xf numFmtId="0" fontId="10" fillId="0" borderId="101" xfId="0" applyFont="1" applyBorder="1" applyAlignment="1">
      <alignment horizontal="center" wrapText="1"/>
    </xf>
    <xf numFmtId="0" fontId="10" fillId="0" borderId="102" xfId="0" applyFont="1" applyBorder="1" applyAlignment="1">
      <alignment horizontal="center" wrapText="1"/>
    </xf>
    <xf numFmtId="0" fontId="10" fillId="0" borderId="157" xfId="0" applyFont="1" applyBorder="1"/>
    <xf numFmtId="0" fontId="10" fillId="0" borderId="50" xfId="0" applyFont="1" applyBorder="1"/>
    <xf numFmtId="0" fontId="10" fillId="0" borderId="51" xfId="0" applyFont="1" applyBorder="1"/>
    <xf numFmtId="0" fontId="10" fillId="0" borderId="158" xfId="0" applyFont="1" applyBorder="1" applyAlignment="1">
      <alignment horizontal="center" wrapText="1"/>
    </xf>
    <xf numFmtId="0" fontId="10" fillId="2" borderId="47" xfId="0" applyFont="1" applyFill="1" applyBorder="1"/>
    <xf numFmtId="0" fontId="10" fillId="2" borderId="48" xfId="0" applyFont="1" applyFill="1" applyBorder="1"/>
    <xf numFmtId="0" fontId="10" fillId="2" borderId="49" xfId="0" applyFont="1" applyFill="1" applyBorder="1"/>
    <xf numFmtId="0" fontId="10" fillId="0" borderId="159" xfId="0" applyFont="1" applyBorder="1" applyAlignment="1">
      <alignment horizontal="center" wrapText="1"/>
    </xf>
    <xf numFmtId="0" fontId="10" fillId="0" borderId="103" xfId="0" applyFont="1" applyBorder="1" applyAlignment="1">
      <alignment horizontal="center" wrapText="1"/>
    </xf>
    <xf numFmtId="2" fontId="54" fillId="0" borderId="0" xfId="0" applyNumberFormat="1" applyFont="1"/>
    <xf numFmtId="164" fontId="54" fillId="0" borderId="0" xfId="0" applyNumberFormat="1" applyFont="1"/>
    <xf numFmtId="0" fontId="54" fillId="0" borderId="0" xfId="0" applyFont="1"/>
    <xf numFmtId="2" fontId="55" fillId="0" borderId="0" xfId="0" applyNumberFormat="1" applyFont="1"/>
    <xf numFmtId="0" fontId="55" fillId="0" borderId="0" xfId="0" applyFont="1"/>
    <xf numFmtId="1" fontId="55" fillId="0" borderId="0" xfId="0" applyNumberFormat="1" applyFont="1"/>
    <xf numFmtId="164" fontId="55" fillId="0" borderId="0" xfId="0" applyNumberFormat="1" applyFont="1"/>
    <xf numFmtId="171" fontId="55" fillId="0" borderId="0" xfId="0" applyNumberFormat="1" applyFont="1"/>
    <xf numFmtId="0" fontId="30" fillId="8" borderId="0" xfId="0" applyFont="1" applyFill="1" applyAlignment="1">
      <alignment horizontal="center"/>
    </xf>
    <xf numFmtId="0" fontId="30" fillId="8" borderId="9" xfId="0" applyFont="1" applyFill="1" applyBorder="1" applyAlignment="1">
      <alignment horizontal="center" vertical="center"/>
    </xf>
    <xf numFmtId="0" fontId="30" fillId="8" borderId="56" xfId="0" applyFont="1" applyFill="1" applyBorder="1"/>
    <xf numFmtId="0" fontId="3" fillId="8" borderId="22" xfId="0" applyFont="1" applyFill="1" applyBorder="1" applyAlignment="1">
      <alignment horizontal="center"/>
    </xf>
    <xf numFmtId="0" fontId="27" fillId="8" borderId="22" xfId="0" applyFont="1" applyFill="1" applyBorder="1" applyAlignment="1">
      <alignment horizontal="center" vertical="center" wrapText="1"/>
    </xf>
    <xf numFmtId="170" fontId="30" fillId="8" borderId="120" xfId="4" applyNumberFormat="1" applyFont="1" applyFill="1" applyBorder="1" applyAlignment="1">
      <alignment horizontal="center" vertical="center" wrapText="1"/>
    </xf>
    <xf numFmtId="170" fontId="30" fillId="8" borderId="22" xfId="4" applyNumberFormat="1" applyFont="1" applyFill="1" applyBorder="1" applyAlignment="1">
      <alignment horizontal="center" vertical="center" wrapText="1"/>
    </xf>
    <xf numFmtId="0" fontId="27" fillId="8" borderId="122" xfId="0" applyFont="1" applyFill="1" applyBorder="1" applyAlignment="1">
      <alignment horizontal="center" vertical="center" wrapText="1"/>
    </xf>
    <xf numFmtId="170" fontId="30" fillId="8" borderId="122" xfId="4" applyNumberFormat="1" applyFont="1" applyFill="1" applyBorder="1" applyAlignment="1">
      <alignment horizontal="center" vertical="center" wrapText="1"/>
    </xf>
    <xf numFmtId="0" fontId="3" fillId="8" borderId="22" xfId="0" applyFont="1" applyFill="1" applyBorder="1" applyAlignment="1">
      <alignment horizontal="center" vertical="center" wrapText="1"/>
    </xf>
    <xf numFmtId="170" fontId="3" fillId="8" borderId="22" xfId="4" applyNumberFormat="1" applyFont="1" applyFill="1" applyBorder="1" applyAlignment="1">
      <alignment horizontal="left" vertical="top"/>
    </xf>
    <xf numFmtId="170" fontId="3" fillId="8" borderId="56" xfId="4" applyNumberFormat="1" applyFont="1" applyFill="1" applyBorder="1" applyAlignment="1">
      <alignment horizontal="left" vertical="top"/>
    </xf>
    <xf numFmtId="0" fontId="0" fillId="18" borderId="120" xfId="0" applyFill="1" applyBorder="1" applyAlignment="1">
      <alignment horizontal="left"/>
    </xf>
    <xf numFmtId="0" fontId="30" fillId="8" borderId="160" xfId="0" applyFont="1" applyFill="1" applyBorder="1" applyAlignment="1">
      <alignment wrapText="1"/>
    </xf>
    <xf numFmtId="0" fontId="57" fillId="8" borderId="0" xfId="0" applyFont="1" applyFill="1"/>
    <xf numFmtId="14" fontId="0" fillId="0" borderId="0" xfId="0" applyNumberFormat="1"/>
    <xf numFmtId="170" fontId="30" fillId="18" borderId="93" xfId="4" applyNumberFormat="1" applyFont="1" applyFill="1" applyBorder="1" applyAlignment="1">
      <alignment horizontal="center" vertical="center" wrapText="1"/>
    </xf>
    <xf numFmtId="170" fontId="30" fillId="18" borderId="95" xfId="4" applyNumberFormat="1" applyFont="1" applyFill="1" applyBorder="1" applyAlignment="1">
      <alignment horizontal="center" vertical="center" wrapText="1"/>
    </xf>
    <xf numFmtId="170" fontId="30" fillId="18" borderId="0" xfId="0" applyNumberFormat="1" applyFont="1" applyFill="1"/>
    <xf numFmtId="170" fontId="30" fillId="18" borderId="95" xfId="0" applyNumberFormat="1" applyFont="1" applyFill="1" applyBorder="1"/>
    <xf numFmtId="164" fontId="0" fillId="21" borderId="0" xfId="0" applyNumberFormat="1" applyFill="1" applyAlignment="1">
      <alignment horizontal="right"/>
    </xf>
    <xf numFmtId="2" fontId="0" fillId="21" borderId="0" xfId="0" applyNumberFormat="1" applyFill="1" applyAlignment="1">
      <alignment horizontal="right"/>
    </xf>
    <xf numFmtId="176" fontId="0" fillId="0" borderId="0" xfId="0" applyNumberForma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164" fontId="0" fillId="0" borderId="0" xfId="0" applyNumberFormat="1" applyAlignment="1">
      <alignment horizontal="right"/>
    </xf>
    <xf numFmtId="171" fontId="0" fillId="22" borderId="0" xfId="1" applyNumberFormat="1" applyFont="1" applyFill="1" applyBorder="1" applyAlignment="1">
      <alignment horizontal="right"/>
    </xf>
    <xf numFmtId="0" fontId="0" fillId="22" borderId="0" xfId="0" applyFill="1"/>
    <xf numFmtId="164" fontId="0" fillId="22" borderId="0" xfId="0" applyNumberFormat="1" applyFill="1" applyAlignment="1">
      <alignment horizontal="right"/>
    </xf>
    <xf numFmtId="0" fontId="59" fillId="8" borderId="22" xfId="0" applyFont="1" applyFill="1" applyBorder="1"/>
    <xf numFmtId="0" fontId="3" fillId="8" borderId="22" xfId="0" applyFont="1" applyFill="1" applyBorder="1" applyAlignment="1">
      <alignment wrapText="1"/>
    </xf>
    <xf numFmtId="0" fontId="30" fillId="8" borderId="22" xfId="0" applyFont="1" applyFill="1" applyBorder="1" applyAlignment="1">
      <alignment wrapText="1"/>
    </xf>
    <xf numFmtId="0" fontId="27" fillId="8" borderId="22" xfId="0" applyFont="1" applyFill="1" applyBorder="1" applyAlignment="1">
      <alignment wrapText="1"/>
    </xf>
    <xf numFmtId="0" fontId="30" fillId="8" borderId="22" xfId="0" applyFont="1" applyFill="1" applyBorder="1" applyAlignment="1">
      <alignment horizontal="center"/>
    </xf>
    <xf numFmtId="0" fontId="30" fillId="8" borderId="9" xfId="0" applyFont="1" applyFill="1" applyBorder="1" applyAlignment="1">
      <alignment horizontal="center" wrapText="1"/>
    </xf>
    <xf numFmtId="0" fontId="30" fillId="8" borderId="56" xfId="0" applyFont="1" applyFill="1" applyBorder="1" applyAlignment="1">
      <alignment horizontal="center" wrapText="1"/>
    </xf>
    <xf numFmtId="0" fontId="30" fillId="8" borderId="10" xfId="0" applyFont="1" applyFill="1" applyBorder="1" applyAlignment="1">
      <alignment horizontal="center" wrapText="1"/>
    </xf>
    <xf numFmtId="0" fontId="30" fillId="18" borderId="22" xfId="0" applyFont="1" applyFill="1" applyBorder="1" applyAlignment="1">
      <alignment horizontal="center"/>
    </xf>
    <xf numFmtId="0" fontId="30" fillId="8" borderId="0" xfId="0" applyFont="1" applyFill="1" applyAlignment="1">
      <alignment horizontal="right" vertical="center" wrapText="1"/>
    </xf>
    <xf numFmtId="0" fontId="41" fillId="8" borderId="0" xfId="1" applyNumberFormat="1" applyFont="1" applyFill="1" applyBorder="1" applyAlignment="1">
      <alignment horizontal="left" vertical="top" wrapText="1"/>
    </xf>
    <xf numFmtId="0" fontId="27" fillId="8" borderId="0" xfId="0" applyFont="1" applyFill="1" applyAlignment="1">
      <alignment horizontal="left" vertical="top" wrapText="1"/>
    </xf>
    <xf numFmtId="0" fontId="30" fillId="18" borderId="22" xfId="0" applyFont="1" applyFill="1" applyBorder="1" applyAlignment="1">
      <alignment horizontal="center" vertical="center"/>
    </xf>
    <xf numFmtId="0" fontId="5" fillId="10" borderId="0" xfId="2" applyFont="1" applyFill="1" applyBorder="1" applyAlignment="1" applyProtection="1">
      <alignment horizontal="center" vertical="center"/>
      <protection hidden="1"/>
    </xf>
    <xf numFmtId="0" fontId="13" fillId="3" borderId="6" xfId="0" applyFont="1" applyFill="1" applyBorder="1" applyAlignment="1">
      <alignment vertical="center"/>
    </xf>
    <xf numFmtId="0" fontId="0" fillId="3" borderId="7" xfId="0" applyFill="1" applyBorder="1" applyAlignment="1">
      <alignment vertical="center"/>
    </xf>
    <xf numFmtId="0" fontId="5" fillId="4" borderId="15" xfId="2" applyFont="1" applyFill="1" applyBorder="1" applyAlignment="1" applyProtection="1">
      <alignment horizontal="center" vertical="center"/>
      <protection locked="0"/>
    </xf>
    <xf numFmtId="0" fontId="5" fillId="0" borderId="0" xfId="2" applyFont="1" applyFill="1" applyBorder="1" applyAlignment="1" applyProtection="1">
      <alignment horizontal="center" vertical="center"/>
      <protection locked="0"/>
    </xf>
    <xf numFmtId="0" fontId="14" fillId="3" borderId="7" xfId="0" applyFont="1" applyFill="1" applyBorder="1" applyAlignment="1">
      <alignment vertical="center"/>
    </xf>
    <xf numFmtId="0" fontId="14" fillId="3" borderId="8" xfId="0" applyFont="1" applyFill="1" applyBorder="1" applyAlignment="1">
      <alignment vertical="center"/>
    </xf>
    <xf numFmtId="0" fontId="0" fillId="0" borderId="0" xfId="0" applyAlignment="1">
      <alignment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13" fillId="3" borderId="7" xfId="0" applyFont="1" applyFill="1" applyBorder="1" applyAlignment="1">
      <alignment vertical="center"/>
    </xf>
    <xf numFmtId="0" fontId="0" fillId="3" borderId="8" xfId="0" applyFill="1" applyBorder="1" applyAlignment="1">
      <alignment vertical="center"/>
    </xf>
    <xf numFmtId="0" fontId="13" fillId="3" borderId="19" xfId="0" applyFont="1" applyFill="1" applyBorder="1" applyAlignment="1">
      <alignment vertical="center"/>
    </xf>
    <xf numFmtId="0" fontId="5" fillId="2" borderId="8" xfId="0" applyFont="1" applyFill="1" applyBorder="1" applyAlignment="1">
      <alignment horizontal="center" vertical="center" wrapText="1"/>
    </xf>
    <xf numFmtId="0" fontId="5" fillId="2" borderId="139" xfId="0" applyFont="1" applyFill="1" applyBorder="1" applyAlignment="1">
      <alignment horizontal="center" vertical="center" wrapText="1"/>
    </xf>
    <xf numFmtId="0" fontId="5" fillId="2" borderId="141"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29" xfId="6" applyFont="1" applyFill="1" applyBorder="1" applyAlignment="1">
      <alignment horizontal="center" vertical="center" wrapText="1"/>
    </xf>
    <xf numFmtId="0" fontId="5" fillId="10" borderId="11" xfId="5" applyFont="1" applyFill="1" applyBorder="1" applyAlignment="1">
      <alignment horizontal="center" vertical="center"/>
    </xf>
    <xf numFmtId="0" fontId="5" fillId="2" borderId="139" xfId="6" applyFont="1" applyFill="1" applyBorder="1" applyAlignment="1">
      <alignment horizontal="center" vertical="center" wrapText="1"/>
    </xf>
    <xf numFmtId="0" fontId="5" fillId="2" borderId="140" xfId="6" applyFont="1" applyFill="1" applyBorder="1" applyAlignment="1">
      <alignment horizontal="center" vertical="center" wrapText="1"/>
    </xf>
    <xf numFmtId="0" fontId="5" fillId="2" borderId="141" xfId="6" applyFont="1" applyFill="1" applyBorder="1" applyAlignment="1">
      <alignment horizontal="center" vertical="center" wrapText="1"/>
    </xf>
    <xf numFmtId="4" fontId="10" fillId="10" borderId="0" xfId="16" applyNumberFormat="1" applyFont="1" applyFill="1" applyAlignment="1" applyProtection="1">
      <alignment horizontal="center" vertical="center" wrapText="1"/>
      <protection hidden="1"/>
    </xf>
    <xf numFmtId="4" fontId="10" fillId="10" borderId="8" xfId="16" applyNumberFormat="1" applyFont="1" applyFill="1" applyBorder="1" applyAlignment="1" applyProtection="1">
      <alignment horizontal="center" vertical="center" wrapText="1"/>
      <protection hidden="1"/>
    </xf>
    <xf numFmtId="4" fontId="10" fillId="10" borderId="12" xfId="16" applyNumberFormat="1" applyFont="1" applyFill="1" applyBorder="1" applyAlignment="1" applyProtection="1">
      <alignment horizontal="center" vertical="center" wrapText="1"/>
      <protection hidden="1"/>
    </xf>
    <xf numFmtId="0" fontId="5" fillId="2" borderId="33" xfId="6" applyFont="1" applyFill="1" applyBorder="1" applyAlignment="1">
      <alignment horizontal="center" vertical="center" wrapText="1"/>
    </xf>
    <xf numFmtId="0" fontId="344" fillId="0" borderId="0" xfId="0" applyFont="1"/>
    <xf numFmtId="14" fontId="344" fillId="0" borderId="0" xfId="0" applyNumberFormat="1" applyFont="1"/>
    <xf numFmtId="0" fontId="345" fillId="0" borderId="0" xfId="2" applyFont="1" applyAlignment="1" applyProtection="1"/>
    <xf numFmtId="0" fontId="346" fillId="10" borderId="0" xfId="0" applyFont="1" applyFill="1" applyAlignment="1" applyProtection="1">
      <alignment horizontal="centerContinuous" vertical="center"/>
      <protection hidden="1"/>
    </xf>
    <xf numFmtId="0" fontId="346" fillId="10" borderId="0" xfId="2" applyFont="1" applyFill="1" applyAlignment="1" applyProtection="1">
      <alignment horizontal="center" vertical="center"/>
      <protection hidden="1"/>
    </xf>
    <xf numFmtId="0" fontId="347" fillId="10" borderId="0" xfId="0" applyFont="1" applyFill="1" applyAlignment="1" applyProtection="1">
      <alignment vertical="center"/>
      <protection hidden="1"/>
    </xf>
    <xf numFmtId="0" fontId="68" fillId="10" borderId="0" xfId="0" applyFont="1" applyFill="1" applyAlignment="1" applyProtection="1">
      <alignment vertical="center"/>
      <protection hidden="1"/>
    </xf>
    <xf numFmtId="0" fontId="348" fillId="10" borderId="17" xfId="0" applyFont="1" applyFill="1" applyBorder="1" applyAlignment="1">
      <alignment vertical="center"/>
    </xf>
    <xf numFmtId="0" fontId="68" fillId="10" borderId="17" xfId="0" applyFont="1" applyFill="1" applyBorder="1" applyAlignment="1">
      <alignment vertical="center"/>
    </xf>
    <xf numFmtId="0" fontId="346" fillId="10" borderId="17" xfId="0" applyFont="1" applyFill="1" applyBorder="1" applyAlignment="1">
      <alignment vertical="center"/>
    </xf>
    <xf numFmtId="0" fontId="68" fillId="0" borderId="16" xfId="0" applyFont="1" applyBorder="1" applyAlignment="1">
      <alignment vertical="center"/>
    </xf>
    <xf numFmtId="0" fontId="68" fillId="10" borderId="17" xfId="0" applyFont="1" applyFill="1" applyBorder="1" applyAlignment="1" applyProtection="1">
      <alignment vertical="center"/>
      <protection hidden="1"/>
    </xf>
    <xf numFmtId="0" fontId="68" fillId="10" borderId="0" xfId="0" applyFont="1" applyFill="1" applyAlignment="1">
      <alignment vertical="center"/>
    </xf>
    <xf numFmtId="0" fontId="68" fillId="10" borderId="11" xfId="0" applyFont="1" applyFill="1" applyBorder="1" applyAlignment="1">
      <alignment vertical="center"/>
    </xf>
    <xf numFmtId="0" fontId="345" fillId="0" borderId="0" xfId="2" applyFont="1" applyAlignment="1" applyProtection="1">
      <alignment vertical="center"/>
    </xf>
    <xf numFmtId="0" fontId="68" fillId="0" borderId="0" xfId="0" applyFont="1" applyAlignment="1">
      <alignment vertical="center" wrapText="1"/>
    </xf>
    <xf numFmtId="0" fontId="68" fillId="0" borderId="0" xfId="0" applyFont="1" applyAlignment="1" applyProtection="1">
      <alignment horizontal="left" vertical="center"/>
      <protection hidden="1"/>
    </xf>
    <xf numFmtId="0" fontId="349" fillId="0" borderId="0" xfId="0" applyFont="1" applyAlignment="1" applyProtection="1">
      <alignment vertical="center"/>
      <protection hidden="1"/>
    </xf>
    <xf numFmtId="0" fontId="345" fillId="0" borderId="0" xfId="2" applyFont="1" applyAlignment="1" applyProtection="1">
      <alignment horizontal="left" vertical="center"/>
    </xf>
    <xf numFmtId="0" fontId="68" fillId="0" borderId="0" xfId="0" applyFont="1" applyAlignment="1">
      <alignment horizontal="left" vertical="center"/>
    </xf>
    <xf numFmtId="0" fontId="68" fillId="0" borderId="0" xfId="0" applyFont="1" applyAlignment="1">
      <alignment vertical="center"/>
    </xf>
    <xf numFmtId="0" fontId="345" fillId="0" borderId="0" xfId="2" applyFont="1" applyAlignment="1" applyProtection="1">
      <alignment vertical="center"/>
      <protection hidden="1"/>
    </xf>
    <xf numFmtId="0" fontId="68" fillId="10" borderId="11" xfId="0" applyFont="1" applyFill="1" applyBorder="1" applyAlignment="1" applyProtection="1">
      <alignment vertical="center"/>
      <protection hidden="1"/>
    </xf>
    <xf numFmtId="0" fontId="68" fillId="0" borderId="0" xfId="0" applyFont="1" applyAlignment="1" applyProtection="1">
      <alignment vertical="center"/>
      <protection hidden="1"/>
    </xf>
    <xf numFmtId="0" fontId="346" fillId="10" borderId="0" xfId="0" applyFont="1" applyFill="1" applyAlignment="1">
      <alignment vertical="center"/>
    </xf>
    <xf numFmtId="0" fontId="346" fillId="10" borderId="11" xfId="0" applyFont="1" applyFill="1" applyBorder="1" applyAlignment="1">
      <alignment vertical="center"/>
    </xf>
    <xf numFmtId="0" fontId="3" fillId="8" borderId="22" xfId="0" applyFont="1" applyFill="1" applyBorder="1" applyAlignment="1">
      <alignment wrapText="1"/>
    </xf>
    <xf numFmtId="0" fontId="30" fillId="8" borderId="22" xfId="0" applyFont="1" applyFill="1" applyBorder="1" applyAlignment="1">
      <alignment wrapText="1"/>
    </xf>
    <xf numFmtId="49" fontId="30" fillId="8" borderId="22" xfId="0" applyNumberFormat="1" applyFont="1" applyFill="1" applyBorder="1" applyAlignment="1">
      <alignment wrapText="1"/>
    </xf>
    <xf numFmtId="0" fontId="27" fillId="0" borderId="22" xfId="0" applyFont="1" applyBorder="1" applyAlignment="1">
      <alignment horizontal="center" vertical="center" wrapText="1"/>
    </xf>
    <xf numFmtId="0" fontId="30" fillId="9" borderId="9" xfId="0" applyFont="1" applyFill="1" applyBorder="1" applyAlignment="1">
      <alignment horizontal="center"/>
    </xf>
    <xf numFmtId="0" fontId="30" fillId="9" borderId="56" xfId="0" applyFont="1" applyFill="1" applyBorder="1" applyAlignment="1">
      <alignment horizontal="center"/>
    </xf>
    <xf numFmtId="0" fontId="30" fillId="9" borderId="10" xfId="0" applyFont="1" applyFill="1" applyBorder="1" applyAlignment="1">
      <alignment horizontal="center"/>
    </xf>
    <xf numFmtId="0" fontId="30" fillId="8" borderId="0" xfId="0" applyFont="1" applyFill="1" applyAlignment="1">
      <alignment horizontal="center"/>
    </xf>
    <xf numFmtId="49" fontId="27" fillId="8" borderId="22" xfId="0" applyNumberFormat="1" applyFont="1" applyFill="1" applyBorder="1" applyAlignment="1">
      <alignment wrapText="1"/>
    </xf>
    <xf numFmtId="0" fontId="30" fillId="8" borderId="0" xfId="0" applyFont="1" applyFill="1" applyAlignment="1">
      <alignment wrapText="1"/>
    </xf>
    <xf numFmtId="0" fontId="27" fillId="8" borderId="22" xfId="0" applyFont="1" applyFill="1" applyBorder="1" applyAlignment="1">
      <alignment wrapText="1"/>
    </xf>
    <xf numFmtId="0" fontId="30" fillId="8" borderId="22" xfId="0" applyFont="1" applyFill="1" applyBorder="1" applyAlignment="1">
      <alignment horizontal="center"/>
    </xf>
    <xf numFmtId="0" fontId="26" fillId="8" borderId="9" xfId="0" applyFont="1" applyFill="1" applyBorder="1" applyAlignment="1">
      <alignment horizontal="left"/>
    </xf>
    <xf numFmtId="0" fontId="26" fillId="8" borderId="56" xfId="0" applyFont="1" applyFill="1" applyBorder="1" applyAlignment="1">
      <alignment horizontal="left"/>
    </xf>
    <xf numFmtId="0" fontId="26" fillId="8" borderId="10" xfId="0" applyFont="1" applyFill="1" applyBorder="1" applyAlignment="1">
      <alignment horizontal="left"/>
    </xf>
    <xf numFmtId="0" fontId="56" fillId="8" borderId="22" xfId="0" applyFont="1" applyFill="1" applyBorder="1" applyAlignment="1">
      <alignment horizontal="center" vertical="center" wrapText="1"/>
    </xf>
    <xf numFmtId="0" fontId="30" fillId="8" borderId="9" xfId="0" applyFont="1" applyFill="1" applyBorder="1" applyAlignment="1">
      <alignment horizontal="center" wrapText="1"/>
    </xf>
    <xf numFmtId="0" fontId="30" fillId="8" borderId="56" xfId="0" applyFont="1" applyFill="1" applyBorder="1" applyAlignment="1">
      <alignment horizontal="center" wrapText="1"/>
    </xf>
    <xf numFmtId="0" fontId="30" fillId="8" borderId="10" xfId="0" applyFont="1" applyFill="1" applyBorder="1" applyAlignment="1">
      <alignment horizontal="center" wrapText="1"/>
    </xf>
    <xf numFmtId="0" fontId="30" fillId="18" borderId="9" xfId="0" applyFont="1" applyFill="1" applyBorder="1" applyAlignment="1">
      <alignment horizontal="center"/>
    </xf>
    <xf numFmtId="0" fontId="30" fillId="18" borderId="56" xfId="0" applyFont="1" applyFill="1" applyBorder="1" applyAlignment="1">
      <alignment horizontal="center"/>
    </xf>
    <xf numFmtId="0" fontId="30" fillId="18" borderId="10" xfId="0" applyFont="1" applyFill="1" applyBorder="1" applyAlignment="1">
      <alignment horizontal="center"/>
    </xf>
    <xf numFmtId="0" fontId="30" fillId="18" borderId="22" xfId="0" applyFont="1" applyFill="1" applyBorder="1" applyAlignment="1">
      <alignment horizontal="center"/>
    </xf>
    <xf numFmtId="0" fontId="30" fillId="8" borderId="22" xfId="0" applyFont="1" applyFill="1" applyBorder="1" applyAlignment="1">
      <alignment horizontal="center" wrapText="1"/>
    </xf>
    <xf numFmtId="0" fontId="30" fillId="8" borderId="0" xfId="0" applyFont="1" applyFill="1" applyAlignment="1">
      <alignment horizontal="right" vertical="center" wrapText="1"/>
    </xf>
    <xf numFmtId="0" fontId="30" fillId="8" borderId="0" xfId="0" applyFont="1" applyFill="1" applyAlignment="1">
      <alignment horizontal="left" vertical="top" wrapText="1"/>
    </xf>
    <xf numFmtId="0" fontId="41" fillId="8" borderId="123" xfId="1" applyNumberFormat="1" applyFont="1" applyFill="1" applyBorder="1" applyAlignment="1">
      <alignment horizontal="left" vertical="top" wrapText="1"/>
    </xf>
    <xf numFmtId="0" fontId="41" fillId="8" borderId="0" xfId="1" applyNumberFormat="1" applyFont="1" applyFill="1" applyBorder="1" applyAlignment="1">
      <alignment horizontal="left" vertical="top" wrapText="1"/>
    </xf>
    <xf numFmtId="0" fontId="27" fillId="8" borderId="126" xfId="0" applyFont="1" applyFill="1" applyBorder="1" applyAlignment="1">
      <alignment horizontal="left" vertical="top" wrapText="1"/>
    </xf>
    <xf numFmtId="0" fontId="27" fillId="8" borderId="127" xfId="0" applyFont="1" applyFill="1" applyBorder="1" applyAlignment="1">
      <alignment horizontal="left" vertical="top" wrapText="1"/>
    </xf>
    <xf numFmtId="0" fontId="27" fillId="8" borderId="105" xfId="0" applyFont="1" applyFill="1" applyBorder="1" applyAlignment="1">
      <alignment horizontal="left" vertical="top" wrapText="1"/>
    </xf>
    <xf numFmtId="0" fontId="27" fillId="8" borderId="43" xfId="0" applyFont="1" applyFill="1" applyBorder="1" applyAlignment="1">
      <alignment horizontal="left" vertical="top" wrapText="1"/>
    </xf>
    <xf numFmtId="0" fontId="27" fillId="8" borderId="0" xfId="0" applyFont="1" applyFill="1" applyAlignment="1">
      <alignment horizontal="left" vertical="top" wrapText="1"/>
    </xf>
    <xf numFmtId="0" fontId="27" fillId="8" borderId="104" xfId="0" applyFont="1" applyFill="1" applyBorder="1" applyAlignment="1">
      <alignment horizontal="left" vertical="top" wrapText="1"/>
    </xf>
    <xf numFmtId="0" fontId="27" fillId="8" borderId="129" xfId="0" applyFont="1" applyFill="1" applyBorder="1" applyAlignment="1">
      <alignment horizontal="left" vertical="top" wrapText="1"/>
    </xf>
    <xf numFmtId="0" fontId="27" fillId="8" borderId="50" xfId="0" applyFont="1" applyFill="1" applyBorder="1" applyAlignment="1">
      <alignment horizontal="left" vertical="top" wrapText="1"/>
    </xf>
    <xf numFmtId="0" fontId="27" fillId="8" borderId="4" xfId="0" applyFont="1" applyFill="1" applyBorder="1" applyAlignment="1">
      <alignment horizontal="left" vertical="top" wrapText="1"/>
    </xf>
    <xf numFmtId="0" fontId="30" fillId="18" borderId="22" xfId="0" applyFont="1" applyFill="1" applyBorder="1" applyAlignment="1">
      <alignment horizontal="center" vertical="center"/>
    </xf>
    <xf numFmtId="0" fontId="30" fillId="18" borderId="125" xfId="0" applyFont="1" applyFill="1" applyBorder="1" applyAlignment="1">
      <alignment horizontal="center" wrapText="1"/>
    </xf>
    <xf numFmtId="0" fontId="30" fillId="18" borderId="123" xfId="0" applyFont="1" applyFill="1" applyBorder="1" applyAlignment="1">
      <alignment horizontal="center" wrapText="1"/>
    </xf>
    <xf numFmtId="0" fontId="30" fillId="18" borderId="124" xfId="0" applyFont="1" applyFill="1" applyBorder="1" applyAlignment="1">
      <alignment horizontal="center" wrapText="1"/>
    </xf>
    <xf numFmtId="0" fontId="30" fillId="18" borderId="93" xfId="0" applyFont="1" applyFill="1" applyBorder="1" applyAlignment="1">
      <alignment horizontal="center" wrapText="1"/>
    </xf>
    <xf numFmtId="0" fontId="30" fillId="18" borderId="0" xfId="0" applyFont="1" applyFill="1" applyAlignment="1">
      <alignment horizontal="center" wrapText="1"/>
    </xf>
    <xf numFmtId="0" fontId="30" fillId="18" borderId="23" xfId="0" applyFont="1" applyFill="1" applyBorder="1" applyAlignment="1">
      <alignment horizontal="center" wrapText="1"/>
    </xf>
    <xf numFmtId="0" fontId="30" fillId="18" borderId="121" xfId="0" applyFont="1" applyFill="1" applyBorder="1" applyAlignment="1">
      <alignment horizontal="center" wrapText="1"/>
    </xf>
    <xf numFmtId="0" fontId="30" fillId="18" borderId="37" xfId="0" applyFont="1" applyFill="1" applyBorder="1" applyAlignment="1">
      <alignment horizontal="center" wrapText="1"/>
    </xf>
    <xf numFmtId="0" fontId="30" fillId="18" borderId="39" xfId="0" applyFont="1" applyFill="1" applyBorder="1" applyAlignment="1">
      <alignment horizontal="center" wrapText="1"/>
    </xf>
    <xf numFmtId="0" fontId="5" fillId="2" borderId="127" xfId="0" applyFont="1" applyFill="1" applyBorder="1" applyAlignment="1" applyProtection="1">
      <alignment vertical="center"/>
      <protection hidden="1"/>
    </xf>
    <xf numFmtId="0" fontId="0" fillId="0" borderId="127" xfId="0" applyBorder="1" applyAlignment="1" applyProtection="1">
      <alignment vertical="center"/>
      <protection hidden="1"/>
    </xf>
    <xf numFmtId="0" fontId="5" fillId="10" borderId="0" xfId="2" applyFont="1" applyFill="1" applyBorder="1" applyAlignment="1" applyProtection="1">
      <alignment horizontal="center" vertical="center"/>
      <protection hidden="1"/>
    </xf>
    <xf numFmtId="0" fontId="13" fillId="3" borderId="6" xfId="0" applyFont="1" applyFill="1" applyBorder="1" applyAlignment="1">
      <alignment vertical="center"/>
    </xf>
    <xf numFmtId="0" fontId="0" fillId="3" borderId="7" xfId="0" applyFill="1" applyBorder="1" applyAlignment="1">
      <alignment vertical="center"/>
    </xf>
    <xf numFmtId="0" fontId="5" fillId="10" borderId="9" xfId="0" applyFont="1" applyFill="1" applyBorder="1" applyAlignment="1" applyProtection="1">
      <alignment horizontal="center" vertical="center"/>
      <protection hidden="1"/>
    </xf>
    <xf numFmtId="0" fontId="5" fillId="10" borderId="10" xfId="0" applyFont="1" applyFill="1" applyBorder="1" applyAlignment="1" applyProtection="1">
      <alignment horizontal="center" vertical="center"/>
      <protection hidden="1"/>
    </xf>
    <xf numFmtId="17" fontId="10" fillId="0" borderId="13" xfId="0" applyNumberFormat="1" applyFont="1" applyBorder="1" applyAlignment="1">
      <alignment horizontal="center" vertical="center"/>
    </xf>
    <xf numFmtId="17" fontId="10" fillId="0" borderId="14" xfId="0" applyNumberFormat="1" applyFont="1" applyBorder="1" applyAlignment="1">
      <alignment horizontal="center" vertical="center"/>
    </xf>
    <xf numFmtId="0" fontId="5" fillId="4" borderId="15" xfId="2" applyFont="1" applyFill="1" applyBorder="1" applyAlignment="1" applyProtection="1">
      <alignment horizontal="center" vertical="center"/>
      <protection locked="0" hidden="1"/>
    </xf>
    <xf numFmtId="0" fontId="5" fillId="4" borderId="2" xfId="2" applyFont="1" applyFill="1" applyBorder="1" applyAlignment="1" applyProtection="1">
      <alignment horizontal="center" vertical="center"/>
      <protection locked="0" hidden="1"/>
    </xf>
    <xf numFmtId="0" fontId="0" fillId="0" borderId="2" xfId="0" applyBorder="1" applyAlignment="1" applyProtection="1">
      <alignment vertical="center"/>
      <protection locked="0" hidden="1"/>
    </xf>
    <xf numFmtId="0" fontId="5" fillId="4" borderId="15" xfId="2" applyFont="1" applyFill="1" applyBorder="1" applyAlignment="1" applyProtection="1">
      <alignment horizontal="center" vertical="center"/>
      <protection locked="0"/>
    </xf>
    <xf numFmtId="0" fontId="5" fillId="5" borderId="2" xfId="2" applyFont="1" applyFill="1" applyBorder="1" applyAlignment="1" applyProtection="1">
      <alignment horizontal="center" vertical="center"/>
      <protection locked="0"/>
    </xf>
    <xf numFmtId="0" fontId="5" fillId="0" borderId="0" xfId="2" applyFont="1" applyFill="1" applyBorder="1" applyAlignment="1" applyProtection="1">
      <alignment horizontal="center" vertical="center"/>
      <protection locked="0"/>
    </xf>
    <xf numFmtId="0" fontId="5" fillId="2" borderId="19" xfId="0" applyFont="1" applyFill="1" applyBorder="1" applyAlignment="1">
      <alignment horizontal="center" vertical="center"/>
    </xf>
    <xf numFmtId="0" fontId="0" fillId="0" borderId="21" xfId="0" applyBorder="1" applyAlignment="1">
      <alignment vertical="center"/>
    </xf>
    <xf numFmtId="0" fontId="14" fillId="3" borderId="7" xfId="0" applyFont="1" applyFill="1" applyBorder="1" applyAlignment="1">
      <alignment vertical="center"/>
    </xf>
    <xf numFmtId="0" fontId="14" fillId="3" borderId="8" xfId="0" applyFont="1" applyFill="1" applyBorder="1" applyAlignment="1">
      <alignment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2" xfId="2" applyFont="1" applyBorder="1" applyAlignment="1" applyProtection="1">
      <alignment vertical="center"/>
      <protection locked="0"/>
    </xf>
    <xf numFmtId="0" fontId="5" fillId="4" borderId="2" xfId="2" applyFont="1" applyFill="1" applyBorder="1" applyAlignment="1" applyProtection="1">
      <alignment horizontal="center" vertical="center"/>
      <protection locked="0"/>
    </xf>
    <xf numFmtId="17" fontId="10" fillId="0" borderId="9" xfId="0" applyNumberFormat="1" applyFont="1" applyBorder="1" applyAlignment="1">
      <alignment horizontal="center" vertical="center"/>
    </xf>
    <xf numFmtId="17" fontId="10" fillId="0" borderId="10" xfId="0" applyNumberFormat="1" applyFont="1" applyBorder="1" applyAlignment="1">
      <alignment horizontal="center" vertical="center"/>
    </xf>
    <xf numFmtId="0" fontId="5" fillId="4" borderId="9" xfId="2" applyFont="1" applyFill="1" applyBorder="1" applyAlignment="1" applyProtection="1">
      <alignment horizontal="center" vertical="center"/>
      <protection locked="0"/>
    </xf>
    <xf numFmtId="0" fontId="5" fillId="0" borderId="10" xfId="2" applyFont="1" applyBorder="1" applyAlignment="1" applyProtection="1">
      <alignment horizontal="center" vertical="center"/>
      <protection locked="0"/>
    </xf>
    <xf numFmtId="165" fontId="5" fillId="2" borderId="6" xfId="0" applyNumberFormat="1"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165" fontId="5" fillId="2" borderId="47" xfId="0" applyNumberFormat="1" applyFont="1" applyFill="1" applyBorder="1" applyAlignment="1">
      <alignment horizontal="left" vertical="center"/>
    </xf>
    <xf numFmtId="0" fontId="0" fillId="0" borderId="48" xfId="0" applyBorder="1" applyAlignment="1">
      <alignment vertical="center"/>
    </xf>
    <xf numFmtId="0" fontId="0" fillId="0" borderId="49" xfId="0" applyBorder="1" applyAlignment="1">
      <alignment vertical="center"/>
    </xf>
    <xf numFmtId="165" fontId="5" fillId="2" borderId="47" xfId="0" applyNumberFormat="1" applyFont="1" applyFill="1" applyBorder="1" applyAlignment="1">
      <alignment vertical="center"/>
    </xf>
    <xf numFmtId="165" fontId="5" fillId="2" borderId="48" xfId="0" applyNumberFormat="1" applyFont="1" applyFill="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10" fillId="0" borderId="0" xfId="0" applyFont="1" applyAlignment="1">
      <alignment vertical="center"/>
    </xf>
    <xf numFmtId="0" fontId="14" fillId="3" borderId="0" xfId="0" applyFont="1" applyFill="1" applyAlignment="1">
      <alignment vertical="center"/>
    </xf>
    <xf numFmtId="0" fontId="0" fillId="0" borderId="2" xfId="0" applyBorder="1" applyAlignment="1" applyProtection="1">
      <alignment vertical="center"/>
      <protection locked="0"/>
    </xf>
    <xf numFmtId="0" fontId="0" fillId="0" borderId="0" xfId="0" applyAlignment="1">
      <alignment vertical="center"/>
    </xf>
    <xf numFmtId="0" fontId="18" fillId="2" borderId="0" xfId="0" applyFont="1" applyFill="1" applyAlignment="1">
      <alignment horizontal="center" vertical="center" wrapText="1"/>
    </xf>
    <xf numFmtId="0" fontId="18" fillId="2" borderId="17" xfId="0" applyFont="1" applyFill="1" applyBorder="1" applyAlignment="1">
      <alignment horizontal="center" vertical="center" wrapText="1"/>
    </xf>
    <xf numFmtId="0" fontId="5" fillId="0" borderId="0" xfId="0" applyFont="1" applyAlignment="1" applyProtection="1">
      <alignment horizontal="center" vertical="center"/>
      <protection locked="0"/>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10" fillId="0" borderId="0" xfId="0" applyFont="1" applyAlignment="1"/>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13" fillId="3" borderId="7" xfId="0" applyFont="1" applyFill="1" applyBorder="1" applyAlignment="1">
      <alignment vertical="center"/>
    </xf>
    <xf numFmtId="0" fontId="13" fillId="3" borderId="8" xfId="0" applyFont="1" applyFill="1" applyBorder="1" applyAlignment="1">
      <alignment vertical="center"/>
    </xf>
    <xf numFmtId="0" fontId="0" fillId="3" borderId="0" xfId="0" applyFill="1" applyAlignment="1">
      <alignment vertical="center"/>
    </xf>
    <xf numFmtId="0" fontId="0" fillId="3" borderId="8" xfId="0" applyFill="1" applyBorder="1" applyAlignment="1">
      <alignment vertical="center"/>
    </xf>
    <xf numFmtId="0" fontId="18" fillId="2" borderId="6" xfId="0" applyFont="1" applyFill="1" applyBorder="1" applyAlignment="1">
      <alignment vertical="center"/>
    </xf>
    <xf numFmtId="0" fontId="18" fillId="2" borderId="19" xfId="0" applyFont="1" applyFill="1" applyBorder="1" applyAlignment="1">
      <alignment horizontal="center" vertical="center" wrapText="1"/>
    </xf>
    <xf numFmtId="0" fontId="10" fillId="2" borderId="21" xfId="0" applyFont="1" applyFill="1" applyBorder="1" applyAlignment="1">
      <alignment horizontal="center" vertical="center"/>
    </xf>
    <xf numFmtId="0" fontId="13" fillId="3" borderId="19" xfId="0" applyFont="1" applyFill="1" applyBorder="1" applyAlignment="1">
      <alignment vertical="center"/>
    </xf>
    <xf numFmtId="0" fontId="0" fillId="0" borderId="20" xfId="0" applyBorder="1" applyAlignment="1"/>
    <xf numFmtId="0" fontId="0" fillId="0" borderId="21" xfId="0" applyBorder="1" applyAlignment="1"/>
    <xf numFmtId="0" fontId="346" fillId="20" borderId="9" xfId="0" applyFont="1" applyFill="1" applyBorder="1" applyAlignment="1">
      <alignment horizontal="center" wrapText="1"/>
    </xf>
    <xf numFmtId="0" fontId="346" fillId="20" borderId="161" xfId="0" applyFont="1" applyFill="1" applyBorder="1" applyAlignment="1">
      <alignment horizontal="center" wrapText="1"/>
    </xf>
    <xf numFmtId="17" fontId="68" fillId="0" borderId="9" xfId="0" applyNumberFormat="1" applyFont="1" applyBorder="1" applyAlignment="1">
      <alignment horizontal="center" wrapText="1"/>
    </xf>
    <xf numFmtId="17" fontId="68" fillId="0" borderId="56" xfId="0" applyNumberFormat="1" applyFont="1" applyBorder="1" applyAlignment="1">
      <alignment horizontal="center" wrapText="1"/>
    </xf>
    <xf numFmtId="0" fontId="10" fillId="10" borderId="0" xfId="0" applyFont="1" applyFill="1" applyAlignment="1">
      <alignment vertical="center"/>
    </xf>
    <xf numFmtId="0" fontId="0" fillId="17" borderId="22" xfId="0" applyFill="1" applyBorder="1" applyAlignment="1" applyProtection="1">
      <alignment horizontal="center"/>
    </xf>
    <xf numFmtId="2" fontId="0" fillId="17" borderId="22" xfId="0" applyNumberFormat="1" applyFill="1" applyBorder="1" applyAlignment="1" applyProtection="1">
      <alignment horizontal="center"/>
    </xf>
  </cellXfs>
  <cellStyles count="37923">
    <cellStyle name="-" xfId="22" xr:uid="{79E92DA1-93CE-4172-ABC4-E3B6E59C9805}"/>
    <cellStyle name=" 1" xfId="23" xr:uid="{B69D2759-11B9-4078-B9CB-BE0C3278B7BE}"/>
    <cellStyle name=" 1 2" xfId="24" xr:uid="{52E5300E-4A0A-4703-936E-730017EAD43C}"/>
    <cellStyle name=" 1 2 2" xfId="25" xr:uid="{B79EFF9A-B058-4D07-BB6D-4D7A207B823D}"/>
    <cellStyle name=" 1 3" xfId="26" xr:uid="{3B1A12F2-7D45-48B0-A95A-5A50530FEDB1}"/>
    <cellStyle name=" 1 4" xfId="27" xr:uid="{8C2C390B-1357-4374-9FE1-A0AEDDEDC5EE}"/>
    <cellStyle name=" 1 5" xfId="28" xr:uid="{B2DB86CD-BF9E-45FE-BE8D-A11F58FB52C4}"/>
    <cellStyle name=" 1 6" xfId="29" xr:uid="{CBE13976-8C09-44EB-86CE-02ED96421AAF}"/>
    <cellStyle name=" Writer Import]_x000d__x000a_Display Dialog=No_x000d__x000a__x000d__x000a_[Horizontal Arrange]_x000d__x000a_Dimensions Interlocking=Yes_x000d__x000a_Sum Hierarchy=Yes_x000d__x000a_Generate" xfId="30" xr:uid="{E165B1F2-B7A2-411F-BF7F-A275CAFAF860}"/>
    <cellStyle name=" Writer Import]_x000d__x000a_Display Dialog=No_x000d__x000a__x000d__x000a_[Horizontal Arrange]_x000d__x000a_Dimensions Interlocking=Yes_x000d__x000a_Sum Hierarchy=Yes_x000d__x000a_Generate 2" xfId="31" xr:uid="{F5A5F586-1F72-41FE-8C25-116496B8C0D5}"/>
    <cellStyle name=" Writer Import]_x000d__x000a_Display Dialog=No_x000d__x000a__x000d__x000a_[Horizontal Arrange]_x000d__x000a_Dimensions Interlocking=Yes_x000d__x000a_Sum Hierarchy=Yes_x000d__x000a_Generate 2 2" xfId="32" xr:uid="{A4ACD05F-D4CB-4B28-8909-94957C60BD7D}"/>
    <cellStyle name=" Writer Import]_x000d__x000a_Display Dialog=No_x000d__x000a__x000d__x000a_[Horizontal Arrange]_x000d__x000a_Dimensions Interlocking=Yes_x000d__x000a_Sum Hierarchy=Yes_x000d__x000a_Generate 2 3" xfId="33" xr:uid="{E2A079AD-E548-4BB4-9114-A52E6BF71336}"/>
    <cellStyle name=" Writer Import]_x000d__x000a_Display Dialog=No_x000d__x000a__x000d__x000a_[Horizontal Arrange]_x000d__x000a_Dimensions Interlocking=Yes_x000d__x000a_Sum Hierarchy=Yes_x000d__x000a_Generate 3" xfId="34" xr:uid="{75228D02-C525-451A-AF70-7CC1DAA028D5}"/>
    <cellStyle name=" Writer Import]_x000d__x000a_Display Dialog=No_x000d__x000a__x000d__x000a_[Horizontal Arrange]_x000d__x000a_Dimensions Interlocking=Yes_x000d__x000a_Sum Hierarchy=Yes_x000d__x000a_Generate 4" xfId="35" xr:uid="{531D8B26-9AA2-420C-A3B7-47A6257BCA02}"/>
    <cellStyle name="_x000a_386grabber=M" xfId="36" xr:uid="{5E482EC3-4AE7-4DA7-BEBE-8AEA25B7DB33}"/>
    <cellStyle name="%" xfId="37" xr:uid="{32A496A5-1E41-44CA-9EEE-B9E5DE77F345}"/>
    <cellStyle name="% 2" xfId="38" xr:uid="{794C7680-42DF-460D-B2A7-7736037A7731}"/>
    <cellStyle name="% 2 2" xfId="39" xr:uid="{7982DF76-5D60-4FAA-854D-B3FDB82067E8}"/>
    <cellStyle name="% 3" xfId="40" xr:uid="{6DDF86EF-06D9-47D8-97F5-269B70C24651}"/>
    <cellStyle name="% 3 2" xfId="41" xr:uid="{D76CF72C-225A-4CE5-B2E2-92C6C2C19A2C}"/>
    <cellStyle name="% 4" xfId="42" xr:uid="{B8495D0A-2D6C-45A2-A292-73B57D5739C5}"/>
    <cellStyle name="% 4 2" xfId="43" xr:uid="{BE4B18FE-014E-40D2-9DE8-FD8516CA31D2}"/>
    <cellStyle name="% 5" xfId="44" xr:uid="{0BA8130A-4E43-45F4-971A-63F724D7B73B}"/>
    <cellStyle name="% 5 2" xfId="45" xr:uid="{72DB00C9-308B-499E-B2BB-46A0FAAB2FD2}"/>
    <cellStyle name="% 6" xfId="46" xr:uid="{E01FAE20-953E-4AC5-81C3-7242A57BC146}"/>
    <cellStyle name="% 6 2" xfId="47" xr:uid="{4FF5E87C-C32E-4080-B2D1-9BCB61E29570}"/>
    <cellStyle name="% 7" xfId="48" xr:uid="{20EA50E6-7165-4CBA-8627-1B6BC2BA49B4}"/>
    <cellStyle name="% 8" xfId="49" xr:uid="{40ACBFE1-28E3-43DD-99B0-945FD528C415}"/>
    <cellStyle name="% 9" xfId="50" xr:uid="{4400FE8C-8991-4ABC-BB0B-6ECD2E24107A}"/>
    <cellStyle name="%_Additional charts" xfId="51" xr:uid="{3F5818F1-FAA6-4645-A5B0-C55D19D8BF74}"/>
    <cellStyle name="%_Book2" xfId="52" xr:uid="{C048317E-DF5F-49E4-87AD-257BC7CCCD44}"/>
    <cellStyle name="%_Book2 2" xfId="53" xr:uid="{7BC36A74-D235-476E-B9EC-28B1D7F8BBCB}"/>
    <cellStyle name="%_Book6" xfId="54" xr:uid="{359990D1-357C-4EC0-BD3C-68A617C000E6}"/>
    <cellStyle name="%_Book6 2" xfId="55" xr:uid="{EA28BBC2-D456-4BFB-98DA-9EC0FA59D258}"/>
    <cellStyle name="%_charts tables TP" xfId="56" xr:uid="{ABB29B71-F6F7-49A3-ADC7-E76EAC551AFE}"/>
    <cellStyle name="%_charts tables TP 070311" xfId="57" xr:uid="{E4DC6329-4354-4438-9473-14CDB365D226}"/>
    <cellStyle name="%_charts tables TP 070311 2" xfId="58" xr:uid="{79065A45-15C9-4C02-A0CE-5F309DCECF36}"/>
    <cellStyle name="%_charts tables TP 2" xfId="59" xr:uid="{18C767EC-6940-4997-A5A4-3B2C014E1AB6}"/>
    <cellStyle name="%_charts tables TP 3" xfId="60" xr:uid="{857B8A2C-3D5C-46D0-8EA5-1CC2AB64B6E9}"/>
    <cellStyle name="%_charts tables TP-formatted " xfId="61" xr:uid="{18F4E94A-D488-4C17-9E76-D22D01B3B05F}"/>
    <cellStyle name="%_charts tables TP-formatted  (2)" xfId="62" xr:uid="{8771473A-CD95-44FC-827C-63194B6257C5}"/>
    <cellStyle name="%_charts tables TP-formatted  (2) 2" xfId="63" xr:uid="{38E92A5B-23DF-45D7-AEED-D181713AD45C}"/>
    <cellStyle name="%_charts tables TP-formatted  (3)" xfId="64" xr:uid="{146C06B1-29DC-458C-ABFC-2F65C196603F}"/>
    <cellStyle name="%_charts tables TP-formatted  (3) 2" xfId="65" xr:uid="{F9F0637B-9777-4341-B9A4-3025749F1C39}"/>
    <cellStyle name="%_charts tables TP-formatted  2" xfId="66" xr:uid="{78D6A717-5B23-4A98-B9E9-C046CC29B46A}"/>
    <cellStyle name="%_charts tables TP-formatted  3" xfId="67" xr:uid="{6D4B602E-2A6B-4D4E-99B1-029374BCA30C}"/>
    <cellStyle name="%_charts_tables250111(1)" xfId="68" xr:uid="{EAF7601D-703C-4E3A-9552-CB2EAE300113}"/>
    <cellStyle name="%_charts_tables250111(1) 2" xfId="69" xr:uid="{B358C567-D874-4A57-813E-BC55CC9640CE}"/>
    <cellStyle name="%_DATA" xfId="70" xr:uid="{5A1EC8F1-71E7-4369-9F1B-088CA4086651}"/>
    <cellStyle name="%_DATA 2" xfId="71" xr:uid="{6600C1C1-8BB3-4AAA-B9C2-A25B1F0CB97E}"/>
    <cellStyle name="%_Economy Fan Charts Sheet Master 20111121" xfId="72" xr:uid="{908B833F-2689-45C5-ABAA-C086E250DC38}"/>
    <cellStyle name="%_Economy Fan Charts Sheet Master 20111121 2" xfId="73" xr:uid="{B127D8E8-BBFD-4F7E-8AB2-3DDEFF870A64}"/>
    <cellStyle name="%_Economy Fan Charts Sheet Master BUD12R3 links broken" xfId="74" xr:uid="{864D3626-6B6B-4D4A-B9C4-F37EB628969F}"/>
    <cellStyle name="%_Economy Fan Charts Sheet Master BUD12R3 links broken 2" xfId="75" xr:uid="{45117792-229E-4FC7-A032-0E3E6484F01C}"/>
    <cellStyle name="%_Economy Tables" xfId="76" xr:uid="{02118DA6-D538-4243-9E5C-3FBB5A78574B}"/>
    <cellStyle name="%_Economy Tables 2" xfId="77" xr:uid="{5AB881B7-84C5-4D16-AAFE-B15C428BB2B2}"/>
    <cellStyle name="%_FER_2012_(7Aug12)" xfId="78" xr:uid="{6D547198-23EA-4320-B35B-34D2F9B0CE47}"/>
    <cellStyle name="%_Fiscal Tables" xfId="79" xr:uid="{23445256-220E-4C4C-BF3A-FD210D448998}"/>
    <cellStyle name="%_Health scenario chart (2)" xfId="80" xr:uid="{BAFC7405-539E-44C6-B456-7ED71084EA5F}"/>
    <cellStyle name="%_inc to ex AS12 EFOsupps" xfId="81" xr:uid="{F8375428-E521-4C54-81FD-EC1BE643263D}"/>
    <cellStyle name="%_March-2012-Fiscal-Supplementary-Tables1(1)" xfId="82" xr:uid="{208A32C2-415E-4296-8982-ECFF8C7539CD}"/>
    <cellStyle name="%_My charts (TH AS12)" xfId="83" xr:uid="{B172DE1D-9815-48FE-8ACE-F76BCBDECC6D}"/>
    <cellStyle name="%_My charts (TH AS12) 2" xfId="84" xr:uid="{D2A71D83-D43E-4E37-9203-E5719F4FFAB6}"/>
    <cellStyle name="%_PEF Autumn2011" xfId="85" xr:uid="{83C3EDC3-EDA5-4A60-AB2B-DEBDCC2E6192}"/>
    <cellStyle name="%_PEF FSBR2011" xfId="86" xr:uid="{6389A1BC-24BF-4A6C-B69F-189D4DE6F390}"/>
    <cellStyle name="%_PEF FSBR2011 2" xfId="87" xr:uid="{DEDD0780-D638-4AD0-9F8A-673BD26BAFA9}"/>
    <cellStyle name="%_PEF FSBR2011 AA simplification" xfId="88" xr:uid="{03F188FB-E026-49E6-989B-5CAB02AE5844}"/>
    <cellStyle name="%_PEF FSBR2011 AA simplification 2" xfId="89" xr:uid="{39A9CCD9-848D-4F5D-8020-AF1ACC4F458A}"/>
    <cellStyle name="%_PEF FSBR2011 AA simplification 3" xfId="90" xr:uid="{62B61DD4-8039-44AC-8883-1C25BE4810AF}"/>
    <cellStyle name="%_PSND health" xfId="91" xr:uid="{51165A8A-A368-40D2-8B75-DEA4F14FC657}"/>
    <cellStyle name="%_Scorecard" xfId="92" xr:uid="{132CB310-293A-4281-991D-3C5B2C95487C}"/>
    <cellStyle name="%_TP - charts tables BUD12" xfId="93" xr:uid="{6579466D-DD07-43AE-8D3F-68D6DBDDD864}"/>
    <cellStyle name="%_TP - charts tables BUD12 2" xfId="94" xr:uid="{294B3F13-F399-4441-8D48-98206800D468}"/>
    <cellStyle name="%_TP - charts tables Nov11" xfId="95" xr:uid="{4D5DD791-EF3E-4E6B-8C0B-331C342258BF}"/>
    <cellStyle name="%_TP - charts tables Nov11 2" xfId="96" xr:uid="{2A3693E7-6884-4B5D-A015-61276DC0BCD8}"/>
    <cellStyle name="%_TREND_DEFLATE01#" xfId="97" xr:uid="{9A47C143-97A7-42D7-9F37-3B01B3ABA488}"/>
    <cellStyle name="%_TREND_DEFLATE01# 2" xfId="98" xr:uid="{07338FDA-ED37-44FC-9D41-C0DE273AE867}"/>
    <cellStyle name="%_VAT refunds" xfId="99" xr:uid="{F10E4778-341A-4AFA-B79A-E35305910FE5}"/>
    <cellStyle name="]_x000d__x000a_Zoomed=1_x000d__x000a_Row=0_x000d__x000a_Column=0_x000d__x000a_Height=0_x000d__x000a_Width=0_x000d__x000a_FontName=FoxFont_x000d__x000a_FontStyle=0_x000d__x000a_FontSize=9_x000d__x000a_PrtFontName=FoxPrin" xfId="100" xr:uid="{47C943F5-F77B-4276-AF67-8CFC6E0D137D}"/>
    <cellStyle name="]_x000d__x000a_Zoomed=1_x000d__x000a_Row=0_x000d__x000a_Column=0_x000d__x000a_Height=0_x000d__x000a_Width=0_x000d__x000a_FontName=FoxFont_x000d__x000a_FontStyle=0_x000d__x000a_FontSize=9_x000d__x000a_PrtFontName=FoxPrin 2" xfId="101" xr:uid="{3503FAFE-C4AA-4BA8-9A22-ACB99D2BFF40}"/>
    <cellStyle name="_110621 OBRoutput FSR transUpdate and tobacco jun25" xfId="102" xr:uid="{FC2C3A63-7340-478B-8817-33948380AAF4}"/>
    <cellStyle name="_110621 OBRoutput FSR transUpdate and tobacco jun25 (2)" xfId="103" xr:uid="{EE3FC1FE-ED7A-47FD-A71A-A446F56E89EF}"/>
    <cellStyle name="_111125 APDPassengerNumbers" xfId="104" xr:uid="{7EDB2335-19B6-48A6-A3E4-AD1B1D51B178}"/>
    <cellStyle name="_111125 APDPassengerNumbers 2" xfId="105" xr:uid="{5983AE9F-355C-4FA4-A352-669A2A1CB610}"/>
    <cellStyle name="_111125 APDPassengerNumbers_inc to ex AS12 EFOsupps" xfId="106" xr:uid="{BFB51856-8189-4032-8D96-A176319564E6}"/>
    <cellStyle name="_Apr 2010 IMBE Report" xfId="107" xr:uid="{E7553ED9-0D9F-43D5-B0F7-DEF828592D16}"/>
    <cellStyle name="_Asset Co - 2014-40" xfId="108" xr:uid="{9C9E5BFA-340D-4694-A3DD-132C58E3C270}"/>
    <cellStyle name="_Autumn 2011 Audit Trail full template" xfId="109" xr:uid="{DCA1F537-392D-44D0-AD44-E0E6E5F73DCB}"/>
    <cellStyle name="_covered bonds" xfId="110" xr:uid="{13E3ED7E-930F-4830-B8DA-782E6086417B}"/>
    <cellStyle name="_covered bonds_20110317 Guarantee Data sheet with CDS Expected Losses" xfId="111" xr:uid="{1ECDF33F-2D70-4EE1-BA4C-D9BDD0D92D5A}"/>
    <cellStyle name="_Dpn Forecast 2008-2010 (14-Dec-07)" xfId="112" xr:uid="{A6AC6A12-C8CD-46F1-A208-3E1603399E4D}"/>
    <cellStyle name="_Dpn Forecast 2008-2010 (14-Dec-07)_20110317 Guarantee Data sheet with CDS Expected Losses" xfId="113" xr:uid="{33E82D0E-B309-4AF0-93A7-7BF035338019}"/>
    <cellStyle name="_x0013__ECM 2.1.4 Gillian charts" xfId="114" xr:uid="{BF13987D-E113-4D89-91C4-0F188B53FB44}"/>
    <cellStyle name="_x0013__ECM 2.1.4 Gillian charts_Conv Energy Prices" xfId="115" xr:uid="{5C635BA7-99AC-4990-AC86-E37E9A94B1EB}"/>
    <cellStyle name="_x0013__ECM 2.1.4 Gillian charts_Ren Energy Prices" xfId="116" xr:uid="{39B930DE-84B1-40A3-8342-D9110F149C34}"/>
    <cellStyle name="_Fair Value schedule" xfId="117" xr:uid="{971E3861-CBF8-4553-AB44-71E66B5F417B}"/>
    <cellStyle name="_Fair Value schedule_20110317 Guarantee Data sheet with CDS Expected Losses" xfId="118" xr:uid="{6830EED4-DDEF-4773-AA37-870610FBEEDC}"/>
    <cellStyle name="_FCAST" xfId="119" xr:uid="{02EDCAAD-C4C5-4C66-9C5A-7BD5A9D32DF4}"/>
    <cellStyle name="_FCAST 2" xfId="120" xr:uid="{01894DF0-210D-4E0D-BD55-5F558DE670A7}"/>
    <cellStyle name="_FPS Options High Level Costing 23rd Aug 06" xfId="121" xr:uid="{91ECF001-69BA-4850-AF6C-0E31C3CD8546}"/>
    <cellStyle name="_Gas Condensate Fields" xfId="122" xr:uid="{6ADCB1F7-DF3C-488C-B658-3D6BF23F3BCB}"/>
    <cellStyle name="_Gas Condensate Fields 2" xfId="123" xr:uid="{5A094B95-0EDC-45F9-9256-BAE23DB7E44A}"/>
    <cellStyle name="_HMT expl text summary Tables" xfId="124" xr:uid="{1486FDBB-06A2-4BA3-B999-FD6F0E7CCEC9}"/>
    <cellStyle name="_HOD Gosforth_current" xfId="125" xr:uid="{F62D8FCF-3066-467E-80DF-E26B6D0C44FD}"/>
    <cellStyle name="_IMBE P0 10-11 profiles" xfId="126" xr:uid="{85406E44-2096-4F12-88A9-1CFCB853CB20}"/>
    <cellStyle name="_IT HOD Rainton - Tower Cost Update 5th April 2007 (Revised) V3" xfId="127" xr:uid="{1C5F2649-9BF9-410D-BE10-C7D815B9B2D1}"/>
    <cellStyle name="_IT HOD Rainton - Tower Cost Update 5th April 2007 (Revised) V3_20110317 Guarantee Data sheet with CDS Expected Losses" xfId="128" xr:uid="{B5E8F6BE-E3F9-4B4F-A176-67418D65EC32}"/>
    <cellStyle name="_Oil Fields" xfId="129" xr:uid="{E9F7AA75-E5DB-47FA-8ABA-5A09B3279B84}"/>
    <cellStyle name="_Oil Fields 2" xfId="130" xr:uid="{332466BD-1FB5-4D7E-A30C-F5A8DA633352}"/>
    <cellStyle name="_P11) Apr 10 IMBE workbook" xfId="131" xr:uid="{BE9FE5DB-F213-4D00-BBD2-C3AF91D6060E}"/>
    <cellStyle name="_P12) May 10 (prov outturn) IMBE workbook" xfId="132" xr:uid="{B3731DE9-DB92-4B50-B058-7DFD15B4A7E0}"/>
    <cellStyle name="_Project Details Report Aug v0.12" xfId="133" xr:uid="{72498041-DAFE-4040-B42C-CFB61CC6AE96}"/>
    <cellStyle name="_RB_Update_current" xfId="134" xr:uid="{E669F1D6-FCDC-4EE9-9CB4-FA38EA6C82CD}"/>
    <cellStyle name="_RB_Update_current (SCA draft)PH review" xfId="135" xr:uid="{1B0F06F0-9D5E-4C7A-89E1-97D31ED09ED5}"/>
    <cellStyle name="_RB_Update_current (SCA draft)PH review_20110317 Guarantee Data sheet with CDS Expected Losses" xfId="136" xr:uid="{30A5F8CE-878D-4CEA-8925-48CED9B4D9FB}"/>
    <cellStyle name="_RB_Update_current (SCA draft)revised" xfId="137" xr:uid="{43EBB983-22FE-42FA-815B-8CCDD4AC48C1}"/>
    <cellStyle name="_RB_Update_current (SCA draft)revised_20110317 Guarantee Data sheet with CDS Expected Losses" xfId="138" xr:uid="{42FD4044-2805-42BF-8CDF-98A665523E94}"/>
    <cellStyle name="_RB_Update_current_20110317 Guarantee Data sheet with CDS Expected Losses" xfId="139" xr:uid="{469AB251-8CA6-4EAC-986D-D1FCE72426A7}"/>
    <cellStyle name="_Sample change log v0 2" xfId="140" xr:uid="{22559B81-C21E-408B-B9EC-C17BDF6C9AAD}"/>
    <cellStyle name="_Sample change log v0 2_20110317 Guarantee Data sheet with CDS Expected Losses" xfId="141" xr:uid="{46D26333-C6BD-418B-AF0E-4320D7936678}"/>
    <cellStyle name="_Sheet2" xfId="142" xr:uid="{36199BE6-4F35-4625-8697-7233D44CF577}"/>
    <cellStyle name="_Sheet2 2" xfId="143" xr:uid="{283E4F22-7E0A-47E4-9118-A703D241C6F7}"/>
    <cellStyle name="_Sheet3" xfId="144" xr:uid="{41B5E634-2CE9-4752-9506-EE1DAA0F04E3}"/>
    <cellStyle name="_Sheet3 2" xfId="145" xr:uid="{AC190F57-A784-489D-96D5-0E815ABB0056}"/>
    <cellStyle name="_Sheet4" xfId="146" xr:uid="{FA94D732-35E7-4884-9BAA-C37EA6017857}"/>
    <cellStyle name="_Sheet4 2" xfId="147" xr:uid="{CBB3AA92-3932-4038-9024-00221E893CAA}"/>
    <cellStyle name="_Sub debt extension discount table 31 1 11 v2" xfId="148" xr:uid="{DB82FAD5-BF8F-4433-AF70-88668333A454}"/>
    <cellStyle name="_sub debt int" xfId="149" xr:uid="{A1CCC54A-8A33-4D98-9D48-C64AF96E8B93}"/>
    <cellStyle name="_sub debt int_20110317 Guarantee Data sheet with CDS Expected Losses" xfId="150" xr:uid="{E54B8FA8-B36D-478A-A683-7110BFF78533}"/>
    <cellStyle name="_TableHead" xfId="151" xr:uid="{18D0EE8E-D776-4719-B865-D4B20983A3DA}"/>
    <cellStyle name="_Tailor Analysis 1.11 (1 Dec take up rates)" xfId="152" xr:uid="{A1FEA656-3F75-4B4E-AD87-F4AF87AFD6BD}"/>
    <cellStyle name="_Welfare cap - Current SPA" xfId="153" xr:uid="{B35F1283-A4DC-4705-BB11-B5AE4EDE63F9}"/>
    <cellStyle name="_Welfare cap workings v1" xfId="154" xr:uid="{A37DE9A5-3D2A-4BE7-AA35-E29BDEAD08B9}"/>
    <cellStyle name="=C:\WINNT\SYSTEM32\COMMAND.COM" xfId="155" xr:uid="{0AEEBA5D-71C0-4A27-ACC8-963A251CE3E3}"/>
    <cellStyle name="=C:\WINNT\SYSTEM32\COMMAND.COM 2" xfId="156" xr:uid="{638EC40D-8420-409A-A3E3-50F55A7C1273}"/>
    <cellStyle name="=C:\WINNT35\SYSTEM32\COMMAND.COM" xfId="157" xr:uid="{2F09EAD3-0CA5-4A92-81CD-A6E8AF22C40D}"/>
    <cellStyle name="=C:\WINNT35\SYSTEM32\COMMAND.COM 10" xfId="158" xr:uid="{9B36F2C0-8D6E-43B8-865B-C3980E5051A1}"/>
    <cellStyle name="=C:\WINNT35\SYSTEM32\COMMAND.COM 11" xfId="159" xr:uid="{0081B11E-87A8-4619-ADA8-27E15D6EF782}"/>
    <cellStyle name="=C:\WINNT35\SYSTEM32\COMMAND.COM 12" xfId="160" xr:uid="{7CC05358-EFBE-45F8-9A89-1F026BF9FDAF}"/>
    <cellStyle name="=C:\WINNT35\SYSTEM32\COMMAND.COM 13" xfId="161" xr:uid="{E5B8ED05-B63C-4BDE-A4E6-26E282FCF82B}"/>
    <cellStyle name="=C:\WINNT35\SYSTEM32\COMMAND.COM 14" xfId="162" xr:uid="{F1B8ECCF-454C-4FCC-9063-6A2CF785BB9D}"/>
    <cellStyle name="=C:\WINNT35\SYSTEM32\COMMAND.COM 15" xfId="163" xr:uid="{734B7A9D-6648-4A11-B0CD-D795BED45D9F}"/>
    <cellStyle name="=C:\WINNT35\SYSTEM32\COMMAND.COM 16" xfId="164" xr:uid="{9ADBE492-EE22-47FC-B6B5-A122E6AF9F20}"/>
    <cellStyle name="=C:\WINNT35\SYSTEM32\COMMAND.COM 17" xfId="165" xr:uid="{D3FADDB2-7090-43AE-BFE6-52AFDD36C32A}"/>
    <cellStyle name="=C:\WINNT35\SYSTEM32\COMMAND.COM 18" xfId="166" xr:uid="{B6464867-2D99-42D7-AF59-03A2098399BF}"/>
    <cellStyle name="=C:\WINNT35\SYSTEM32\COMMAND.COM 19" xfId="167" xr:uid="{A40B7F29-9686-4567-8104-3294789F395C}"/>
    <cellStyle name="=C:\WINNT35\SYSTEM32\COMMAND.COM 2" xfId="168" xr:uid="{355A32FE-0F12-468E-A043-34891DBDAED4}"/>
    <cellStyle name="=C:\WINNT35\SYSTEM32\COMMAND.COM 2 2" xfId="169" xr:uid="{29340592-DCEB-4ACB-ABC9-2F8AAB6A065F}"/>
    <cellStyle name="=C:\WINNT35\SYSTEM32\COMMAND.COM 20" xfId="170" xr:uid="{F8FD2CBB-383D-471E-9E37-EBDBEAB6B295}"/>
    <cellStyle name="=C:\WINNT35\SYSTEM32\COMMAND.COM 21" xfId="171" xr:uid="{E345484E-0AF4-425A-B540-92F073AAC47E}"/>
    <cellStyle name="=C:\WINNT35\SYSTEM32\COMMAND.COM 22" xfId="172" xr:uid="{504D590F-A189-4B52-916F-802D425BF4B4}"/>
    <cellStyle name="=C:\WINNT35\SYSTEM32\COMMAND.COM 23" xfId="173" xr:uid="{28D6EA6C-9C5B-4FF0-A6E4-0D171ADBA2E6}"/>
    <cellStyle name="=C:\WINNT35\SYSTEM32\COMMAND.COM 24" xfId="174" xr:uid="{65608BB5-55C6-4A59-B193-2233CF7BD466}"/>
    <cellStyle name="=C:\WINNT35\SYSTEM32\COMMAND.COM 25" xfId="175" xr:uid="{1AF9AE9A-ECC3-4752-9778-066EBD17AB91}"/>
    <cellStyle name="=C:\WINNT35\SYSTEM32\COMMAND.COM 26" xfId="176" xr:uid="{AD2C86FE-2D72-48D9-820A-74D937373302}"/>
    <cellStyle name="=C:\WINNT35\SYSTEM32\COMMAND.COM 27" xfId="177" xr:uid="{8F670437-B7CC-4833-8DF7-8BF19DC9D3DC}"/>
    <cellStyle name="=C:\WINNT35\SYSTEM32\COMMAND.COM 28" xfId="178" xr:uid="{0E082B9B-DBBF-42D8-8A52-793367B6ED6E}"/>
    <cellStyle name="=C:\WINNT35\SYSTEM32\COMMAND.COM 29" xfId="179" xr:uid="{C6333EF0-B80C-418C-B2E9-2CC80819C1E9}"/>
    <cellStyle name="=C:\WINNT35\SYSTEM32\COMMAND.COM 3" xfId="180" xr:uid="{8267FA15-A0CB-4C10-9A76-EC43223B4BFE}"/>
    <cellStyle name="=C:\WINNT35\SYSTEM32\COMMAND.COM 3 2" xfId="181" xr:uid="{7236F6F1-6BF0-4ABF-8C71-0ADB3D938BE5}"/>
    <cellStyle name="=C:\WINNT35\SYSTEM32\COMMAND.COM 30" xfId="182" xr:uid="{6B6E5864-FAEE-4E25-9CE4-112AA14FCBEC}"/>
    <cellStyle name="=C:\WINNT35\SYSTEM32\COMMAND.COM 4" xfId="183" xr:uid="{3336BA4F-F562-4B80-A703-8395BC40B89C}"/>
    <cellStyle name="=C:\WINNT35\SYSTEM32\COMMAND.COM 4 2" xfId="184" xr:uid="{6333EBA1-3092-4329-AE90-B3A65EF0C68A}"/>
    <cellStyle name="=C:\WINNT35\SYSTEM32\COMMAND.COM 5" xfId="185" xr:uid="{F2A9C76E-1ECF-4307-A944-8074D999800C}"/>
    <cellStyle name="=C:\WINNT35\SYSTEM32\COMMAND.COM 5 2" xfId="186" xr:uid="{0E6BA677-CEDF-4C74-A5CB-3F30C9114657}"/>
    <cellStyle name="=C:\WINNT35\SYSTEM32\COMMAND.COM 6" xfId="187" xr:uid="{5EF0208D-9149-4A68-8C7E-9C33D2DC8D92}"/>
    <cellStyle name="=C:\WINNT35\SYSTEM32\COMMAND.COM 6 2" xfId="188" xr:uid="{1E3F7708-E198-4021-89E0-19AD09FF19B9}"/>
    <cellStyle name="=C:\WINNT35\SYSTEM32\COMMAND.COM 7" xfId="189" xr:uid="{E73C1670-2F74-4A1F-BF56-DF042FD1FFF2}"/>
    <cellStyle name="=C:\WINNT35\SYSTEM32\COMMAND.COM 8" xfId="190" xr:uid="{AAC2CE0D-15F4-4704-A61E-D05B054DDD6E}"/>
    <cellStyle name="=C:\WINNT35\SYSTEM32\COMMAND.COM 9" xfId="191" xr:uid="{76EC56D3-2759-4640-89F2-7C2E71E6D454}"/>
    <cellStyle name="=C:\WINNT35\SYSTEM32\COMMAND.COM_EE CCS assumptions for Redpoint V3_SL_20090818" xfId="192" xr:uid="{F9613C38-90C7-4CEE-AF53-1496EFC9A071}"/>
    <cellStyle name="0dp" xfId="193" xr:uid="{9FA4D12E-ABAB-45A2-ACE0-88F72E18D6E4}"/>
    <cellStyle name="1dp" xfId="194" xr:uid="{20F1F523-5E5F-4B57-B154-5C0D46F3BDA1}"/>
    <cellStyle name="1dp 2" xfId="195" xr:uid="{4FC9ECF1-FF7D-4630-B259-41A024CC239B}"/>
    <cellStyle name="1dp 2 2" xfId="196" xr:uid="{D2408D2C-CBE1-4BAF-A25F-D2F01F91D874}"/>
    <cellStyle name="1dp 3" xfId="197" xr:uid="{9C7770A5-FA23-465E-BFB7-13E5437AAB6C}"/>
    <cellStyle name="20% - Accent1 10" xfId="198" xr:uid="{243807B6-F42B-4794-B4C3-4E2E50E2C457}"/>
    <cellStyle name="20% - Accent1 11" xfId="199" xr:uid="{F8B22058-9334-4141-BAA4-CCBC05E6E15E}"/>
    <cellStyle name="20% - Accent1 12" xfId="200" xr:uid="{E706A4BF-B165-4C01-9429-3E3EFCB5DC52}"/>
    <cellStyle name="20% - Accent1 13" xfId="201" xr:uid="{F8CF8460-8D64-44CE-92E7-4E59C1454B30}"/>
    <cellStyle name="20% - Accent1 14" xfId="202" xr:uid="{B8672449-0EEC-475F-9CED-68F85B88889B}"/>
    <cellStyle name="20% - Accent1 15" xfId="203" xr:uid="{96EA99A8-E55B-40A0-8738-C62BD3736104}"/>
    <cellStyle name="20% - Accent1 16" xfId="204" xr:uid="{5FE309EE-A695-432B-BE30-1D0853B50101}"/>
    <cellStyle name="20% - Accent1 17" xfId="205" xr:uid="{73B8EDD1-5B65-451F-A87D-04C73EC5D192}"/>
    <cellStyle name="20% - Accent1 18" xfId="206" xr:uid="{6FF0CB02-8F09-4BC7-BCDD-94C9FBA1C5AC}"/>
    <cellStyle name="20% - Accent1 19" xfId="207" xr:uid="{03A3BDAA-478A-41BF-BF06-1606F28B3E4E}"/>
    <cellStyle name="20% - Accent1 2" xfId="208" xr:uid="{B816050A-6600-43B6-8B68-EF6701E9EC4C}"/>
    <cellStyle name="20% - Accent1 2 2" xfId="209" xr:uid="{C9124DA2-37DE-4581-AF91-5DE3D0857238}"/>
    <cellStyle name="20% - Accent1 2 2 2" xfId="210" xr:uid="{8C3BB708-3B70-4637-8AD5-3CF9CB8DC984}"/>
    <cellStyle name="20% - Accent1 2 2 3" xfId="211" xr:uid="{9C04F7DD-988F-4311-9124-27A4F609CE35}"/>
    <cellStyle name="20% - Accent1 2 3" xfId="212" xr:uid="{5A54E2AC-42FF-4FB5-A6DA-00997DE644E8}"/>
    <cellStyle name="20% - Accent1 2 3 2" xfId="213" xr:uid="{6A7BA8B2-E096-4E6B-8A3A-42295EF2E9FE}"/>
    <cellStyle name="20% - Accent1 2 3 2 2" xfId="214" xr:uid="{8BAA0F74-5E5E-498F-AB8A-2DB86C7E1D9B}"/>
    <cellStyle name="20% - Accent1 2 3 3" xfId="215" xr:uid="{091DFA3C-66F7-4AC2-A56B-24E651C8274D}"/>
    <cellStyle name="20% - Accent1 2 3 4" xfId="216" xr:uid="{2B7354F5-9A5B-4357-9030-C0B6A3A01811}"/>
    <cellStyle name="20% - Accent1 2 4" xfId="217" xr:uid="{8DC7FEEE-4349-4E42-949D-E201157D259F}"/>
    <cellStyle name="20% - Accent1 2 5" xfId="218" xr:uid="{B1452AFA-2248-43D9-8905-3C2A91141D16}"/>
    <cellStyle name="20% - Accent1 20" xfId="219" xr:uid="{F2901C68-D023-44E9-9B24-44FBBDE6744F}"/>
    <cellStyle name="20% - Accent1 21" xfId="220" xr:uid="{16D679C5-0140-446E-9284-63D2AB40333C}"/>
    <cellStyle name="20% - Accent1 22" xfId="221" xr:uid="{BC47A9E8-85BB-4DC9-A6E3-5CC10581FA2B}"/>
    <cellStyle name="20% - Accent1 23" xfId="222" xr:uid="{DE434892-65B8-4F05-A57F-7C333158AD21}"/>
    <cellStyle name="20% - Accent1 24" xfId="223" xr:uid="{8B208674-DAE9-440A-A57E-8719B54531EF}"/>
    <cellStyle name="20% - Accent1 25" xfId="224" xr:uid="{6B00EB45-940F-4578-B657-51CEB23103FC}"/>
    <cellStyle name="20% - Accent1 26" xfId="225" xr:uid="{7B22F723-D298-49E1-B9AB-30C46603CD18}"/>
    <cellStyle name="20% - Accent1 27" xfId="226" xr:uid="{60DC1B1A-269C-494F-A923-029FBDA5AD3C}"/>
    <cellStyle name="20% - Accent1 28" xfId="227" xr:uid="{08294F36-0C0A-4066-B0DA-5A63F3EBBB99}"/>
    <cellStyle name="20% - Accent1 29" xfId="228" xr:uid="{1A620645-3D13-4BF9-A941-E38ED8B397AD}"/>
    <cellStyle name="20% - Accent1 3" xfId="229" xr:uid="{EE741574-DEF2-4A34-AF19-8BAD39B2626B}"/>
    <cellStyle name="20% - Accent1 3 2" xfId="230" xr:uid="{FAB1ADAC-E8A1-4185-BD55-B6945B469622}"/>
    <cellStyle name="20% - Accent1 3 3" xfId="231" xr:uid="{D55F0569-AD06-4689-A62B-A4F558EA7CDD}"/>
    <cellStyle name="20% - Accent1 30" xfId="232" xr:uid="{B9E96450-E632-42F0-9CD4-3D97EACBE061}"/>
    <cellStyle name="20% - Accent1 31" xfId="233" xr:uid="{57C0B414-93C2-456C-A876-F9BFDEFBBA79}"/>
    <cellStyle name="20% - Accent1 32" xfId="234" xr:uid="{41743162-420F-486C-B919-FE1F040DC78C}"/>
    <cellStyle name="20% - Accent1 33" xfId="235" xr:uid="{3EB38BC1-EC2E-4E1E-B157-E11DBCF5444F}"/>
    <cellStyle name="20% - Accent1 34" xfId="236" xr:uid="{356EF7FF-3D56-44BD-94D4-578BA9BFD083}"/>
    <cellStyle name="20% - Accent1 35" xfId="237" xr:uid="{4C2E5D07-790A-4DEE-B56C-45388164639C}"/>
    <cellStyle name="20% - Accent1 35 2" xfId="238" xr:uid="{C0868FE3-96E1-48FC-A841-696496F62F4E}"/>
    <cellStyle name="20% - Accent1 35 2 2" xfId="239" xr:uid="{6BD2466C-E05B-4274-9F0F-5377EB0F976E}"/>
    <cellStyle name="20% - Accent1 35 2 2 2" xfId="240" xr:uid="{A52791B9-54F2-4876-B4DD-5AA1A26D2998}"/>
    <cellStyle name="20% - Accent1 35 2 2 3" xfId="241" xr:uid="{0F25A6DD-1C08-48E1-8A68-3F2DC32DE017}"/>
    <cellStyle name="20% - Accent1 35 3" xfId="242" xr:uid="{7A601457-34C4-4F08-8F71-775116A7FBEA}"/>
    <cellStyle name="20% - Accent1 35 4" xfId="243" xr:uid="{87BC86FE-A36E-463C-A5EB-7B2B97054C20}"/>
    <cellStyle name="20% - Accent1 35 5" xfId="244" xr:uid="{A2AB590C-1674-4B5A-8F46-406B2ED81EDC}"/>
    <cellStyle name="20% - Accent1 36" xfId="245" xr:uid="{C6E65E4A-EE24-4AE8-B774-C7BB65A261B4}"/>
    <cellStyle name="20% - Accent1 37" xfId="246" xr:uid="{1CCA4302-1F00-497C-AAD7-79F726A11545}"/>
    <cellStyle name="20% - Accent1 38" xfId="247" xr:uid="{B48CFEA7-D21A-4BA9-93FF-156C84B3CD59}"/>
    <cellStyle name="20% - Accent1 39" xfId="248" xr:uid="{AF982E2B-7B6B-47DC-833D-F65F43485ACB}"/>
    <cellStyle name="20% - Accent1 4" xfId="249" xr:uid="{A1B612D6-C25C-411C-86F9-BFFA5D0441C7}"/>
    <cellStyle name="20% - Accent1 4 2" xfId="250" xr:uid="{51EEC2B7-5285-4713-B597-8FA5F9D1D996}"/>
    <cellStyle name="20% - Accent1 40" xfId="251" xr:uid="{A4B7297F-FFB0-43FC-8CF4-C87C4476E6B5}"/>
    <cellStyle name="20% - Accent1 41" xfId="252" xr:uid="{D9083B77-62ED-4612-B4EB-6A43F7E754AD}"/>
    <cellStyle name="20% - Accent1 42" xfId="253" xr:uid="{E802D2FE-7604-4106-B094-4EDB7DBD0D16}"/>
    <cellStyle name="20% - Accent1 43" xfId="254" xr:uid="{0CB1AD0B-261C-4F4E-A120-6A72AADC462A}"/>
    <cellStyle name="20% - Accent1 44" xfId="255" xr:uid="{B15C78FF-E2F5-4AB0-895B-8D88464D4A85}"/>
    <cellStyle name="20% - Accent1 45" xfId="256" xr:uid="{FCEB4452-4CEE-4DE1-85A2-450713802082}"/>
    <cellStyle name="20% - Accent1 46" xfId="257" xr:uid="{9A81A903-956C-49B8-9E0F-FA9DA74D00C7}"/>
    <cellStyle name="20% - Accent1 47" xfId="258" xr:uid="{743AD9B8-8E4E-4AEE-9959-5E600846DF31}"/>
    <cellStyle name="20% - Accent1 48" xfId="259" xr:uid="{6D5323DE-427D-47C5-8727-B9820E1576D5}"/>
    <cellStyle name="20% - Accent1 49" xfId="260" xr:uid="{FA16B897-500F-42F8-9B85-2517F12C3436}"/>
    <cellStyle name="20% - Accent1 5" xfId="261" xr:uid="{E2C77C97-952E-491A-A2B7-F4E6F090B3AA}"/>
    <cellStyle name="20% - Accent1 50" xfId="262" xr:uid="{E2C530E9-F437-440A-9BA4-8DAC8F55F4E2}"/>
    <cellStyle name="20% - Accent1 51" xfId="263" xr:uid="{6E34244C-86D4-4607-883A-07233BAA1FEA}"/>
    <cellStyle name="20% - Accent1 52" xfId="264" xr:uid="{692CA255-7DAD-4D5A-B20D-D8C848706BBA}"/>
    <cellStyle name="20% - Accent1 53" xfId="265" xr:uid="{7F5A696D-4B2F-406A-8BF5-43AB1C446075}"/>
    <cellStyle name="20% - Accent1 54" xfId="266" xr:uid="{DF9929AB-D4A2-4BCE-AC4D-83632B22A4DE}"/>
    <cellStyle name="20% - Accent1 55" xfId="267" xr:uid="{4378819D-B9B4-4327-8D62-AA31DBABF2EE}"/>
    <cellStyle name="20% - Accent1 56" xfId="268" xr:uid="{F3870A88-1B57-49BD-A751-3B0391BA0C8E}"/>
    <cellStyle name="20% - Accent1 57" xfId="269" xr:uid="{1B1CE138-9FE1-48BC-AB7E-AF744839E3F3}"/>
    <cellStyle name="20% - Accent1 58" xfId="270" xr:uid="{D0846FCC-93CD-4FAD-9D31-B8F034F223D0}"/>
    <cellStyle name="20% - Accent1 59" xfId="271" xr:uid="{5550D873-32AD-47C7-BD92-0043AB43A6B4}"/>
    <cellStyle name="20% - Accent1 6" xfId="272" xr:uid="{5433A285-2C99-4F4F-BE38-68758BF5DF7B}"/>
    <cellStyle name="20% - Accent1 60" xfId="273" xr:uid="{4466E033-260A-43B7-8C6E-C10BC4AA0171}"/>
    <cellStyle name="20% - Accent1 60 2" xfId="274" xr:uid="{60E108DD-4E19-4B4E-A768-20186102FE66}"/>
    <cellStyle name="20% - Accent1 60 2 2" xfId="275" xr:uid="{E48A12C6-8315-49D7-85B9-21EF315C6D54}"/>
    <cellStyle name="20% - Accent1 60 2 2 2" xfId="276" xr:uid="{51CB547F-E3D7-48DA-B449-9BFBEF42D305}"/>
    <cellStyle name="20% - Accent1 60 2 3" xfId="277" xr:uid="{AA150912-923F-4BF6-8602-F1771B07E6DF}"/>
    <cellStyle name="20% - Accent1 60 3" xfId="278" xr:uid="{7B2201EC-6642-474B-963E-BD2806E9EC9D}"/>
    <cellStyle name="20% - Accent1 61" xfId="279" xr:uid="{1F1F0617-57B9-4D4A-9FB9-C298B4464505}"/>
    <cellStyle name="20% - Accent1 62" xfId="280" xr:uid="{8E3B90C2-BA16-4936-8079-36DEF08948F1}"/>
    <cellStyle name="20% - Accent1 63" xfId="281" xr:uid="{C238D28E-BA4C-4D41-855E-2168A129697B}"/>
    <cellStyle name="20% - Accent1 64" xfId="282" xr:uid="{A3659FE8-C5D5-43B1-95E6-D0B77E6F24EC}"/>
    <cellStyle name="20% - Accent1 65" xfId="283" xr:uid="{6044F044-41CB-4EF3-8585-1E14DD40AAFB}"/>
    <cellStyle name="20% - Accent1 7" xfId="284" xr:uid="{2E04C1D7-0D09-486A-A587-044ED3E88FAB}"/>
    <cellStyle name="20% - Accent1 8" xfId="285" xr:uid="{CD6AB1AD-36B9-4A61-998C-3E6F56A9B749}"/>
    <cellStyle name="20% - Accent1 9" xfId="286" xr:uid="{A6463F91-EC13-452D-A7ED-B7131575ACCE}"/>
    <cellStyle name="20% - Accent2 10" xfId="287" xr:uid="{427BE568-2236-4E98-A8D1-85054B098D3A}"/>
    <cellStyle name="20% - Accent2 11" xfId="288" xr:uid="{24A7FD9C-AD4E-4D91-81E8-729FC8D396A5}"/>
    <cellStyle name="20% - Accent2 12" xfId="289" xr:uid="{12238835-9F6E-4CA5-96AF-2DAF2B87446A}"/>
    <cellStyle name="20% - Accent2 13" xfId="290" xr:uid="{7E0D37DA-B037-47C0-9614-80BCBE9DECEB}"/>
    <cellStyle name="20% - Accent2 14" xfId="291" xr:uid="{5BC787D3-480F-4768-9A7B-D32CE017145D}"/>
    <cellStyle name="20% - Accent2 15" xfId="292" xr:uid="{1970D197-AF9D-4187-9301-388BBBE4F868}"/>
    <cellStyle name="20% - Accent2 16" xfId="293" xr:uid="{BD91373F-0A8F-45C6-9D58-43CC9F323F2B}"/>
    <cellStyle name="20% - Accent2 17" xfId="294" xr:uid="{ECDA4DD8-34E8-47D9-985B-DB2469EB4B14}"/>
    <cellStyle name="20% - Accent2 18" xfId="295" xr:uid="{18FE9853-0220-48EC-B667-D17A8B8BA7DA}"/>
    <cellStyle name="20% - Accent2 19" xfId="296" xr:uid="{37363BBE-B7D3-4A89-9FB8-10837E9F5908}"/>
    <cellStyle name="20% - Accent2 2" xfId="297" xr:uid="{BF4F1158-0462-40B4-842C-6D5BF7F11F9B}"/>
    <cellStyle name="20% - Accent2 2 2" xfId="298" xr:uid="{0DA3E6A1-BD3A-4225-BC0D-24C7159F0C74}"/>
    <cellStyle name="20% - Accent2 2 2 2" xfId="299" xr:uid="{DEBDE798-C1D0-4FA2-AACA-961FBE6E1D9F}"/>
    <cellStyle name="20% - Accent2 2 2 3" xfId="300" xr:uid="{6EDB541D-557D-43FA-B5E1-98B8C26CB7E3}"/>
    <cellStyle name="20% - Accent2 2 3" xfId="301" xr:uid="{414854C0-093B-4153-9756-92C72DAFB770}"/>
    <cellStyle name="20% - Accent2 2 3 2" xfId="302" xr:uid="{2202F7AE-1045-4B08-A882-9C92D81233E3}"/>
    <cellStyle name="20% - Accent2 2 3 2 2" xfId="303" xr:uid="{8DB1799F-8C0D-44D9-A4B6-6F487F9A19F5}"/>
    <cellStyle name="20% - Accent2 2 3 3" xfId="304" xr:uid="{53F3D81D-38DC-4C72-AAD0-5B4F7B01832E}"/>
    <cellStyle name="20% - Accent2 2 3 4" xfId="305" xr:uid="{0B628258-EA01-4E2C-9296-CCE2919D9870}"/>
    <cellStyle name="20% - Accent2 2 4" xfId="306" xr:uid="{AA4B0B0E-B17C-4952-A865-8EE2920527B0}"/>
    <cellStyle name="20% - Accent2 2 5" xfId="307" xr:uid="{C1D7A9EB-9C28-4447-94F7-253E48F80ADE}"/>
    <cellStyle name="20% - Accent2 20" xfId="308" xr:uid="{30D02ED9-5BD4-47AA-BB00-B82D0015FB4D}"/>
    <cellStyle name="20% - Accent2 21" xfId="309" xr:uid="{FAB5BBED-B609-42A4-9BF3-5FBBB11BCAC7}"/>
    <cellStyle name="20% - Accent2 22" xfId="310" xr:uid="{87097DE5-76F2-4171-9368-F59C9D6E5142}"/>
    <cellStyle name="20% - Accent2 23" xfId="311" xr:uid="{D3313F3B-73F7-4A8E-A9CC-EA1D369B0C08}"/>
    <cellStyle name="20% - Accent2 24" xfId="312" xr:uid="{FACE8122-9761-4346-AA02-434820443731}"/>
    <cellStyle name="20% - Accent2 25" xfId="313" xr:uid="{D2B52D6B-790A-4A8E-B95E-6487BBC33F98}"/>
    <cellStyle name="20% - Accent2 26" xfId="314" xr:uid="{E8F0FA92-941F-440C-96FF-A4B50701C2E4}"/>
    <cellStyle name="20% - Accent2 27" xfId="315" xr:uid="{05FA98C9-3CD3-469B-9883-9F845AACA305}"/>
    <cellStyle name="20% - Accent2 28" xfId="316" xr:uid="{9E3E47BB-96AD-424D-8D98-0FD6269826FD}"/>
    <cellStyle name="20% - Accent2 29" xfId="317" xr:uid="{A9A08C29-CB2A-4F4B-96A1-954C9381F7DA}"/>
    <cellStyle name="20% - Accent2 3" xfId="318" xr:uid="{3A4FB138-77C8-4629-9539-09F17E4354B1}"/>
    <cellStyle name="20% - Accent2 3 2" xfId="319" xr:uid="{94476442-BAC0-464E-9014-31F53B9FA7F6}"/>
    <cellStyle name="20% - Accent2 3 3" xfId="320" xr:uid="{B46FF03E-1F18-4752-AF48-EF4B06E5DFB1}"/>
    <cellStyle name="20% - Accent2 30" xfId="321" xr:uid="{0DC2E398-088A-42DE-84B3-59C2FC9D0DF2}"/>
    <cellStyle name="20% - Accent2 31" xfId="322" xr:uid="{0FF6CB02-2B81-45EC-9899-2346B988F0B3}"/>
    <cellStyle name="20% - Accent2 32" xfId="323" xr:uid="{B9B9ABDC-FB20-4CC6-9F97-49BCC420260E}"/>
    <cellStyle name="20% - Accent2 33" xfId="324" xr:uid="{FC688DCC-185A-4B0D-9818-18F6799495AA}"/>
    <cellStyle name="20% - Accent2 34" xfId="325" xr:uid="{48E8FB79-FF44-41CB-B23A-94EC64C5F631}"/>
    <cellStyle name="20% - Accent2 35" xfId="326" xr:uid="{839FED1E-4B28-4528-AFE3-6712FFB8ED2A}"/>
    <cellStyle name="20% - Accent2 35 2" xfId="327" xr:uid="{5BBC3C47-80BA-4FA2-A365-B53D1074E090}"/>
    <cellStyle name="20% - Accent2 35 2 2" xfId="328" xr:uid="{88F6A4E7-9BF8-455D-A4C8-5722853BD658}"/>
    <cellStyle name="20% - Accent2 35 2 2 2" xfId="329" xr:uid="{0328DDC1-5BA0-46BA-998C-7CC174485F96}"/>
    <cellStyle name="20% - Accent2 35 2 2 3" xfId="330" xr:uid="{E7ACD20B-F336-47CD-BCC4-3567034EE2A0}"/>
    <cellStyle name="20% - Accent2 35 3" xfId="331" xr:uid="{C23548FB-60A4-4FCE-A0B9-81E0E2A3CBEA}"/>
    <cellStyle name="20% - Accent2 35 4" xfId="332" xr:uid="{DCF360E7-3219-4498-8DCB-FDED43D642F1}"/>
    <cellStyle name="20% - Accent2 35 5" xfId="333" xr:uid="{E04B27F9-8E26-4286-92EE-B8EFFCB0794B}"/>
    <cellStyle name="20% - Accent2 36" xfId="334" xr:uid="{19973B65-95FD-49C3-ACAD-35BFE9BED2FC}"/>
    <cellStyle name="20% - Accent2 37" xfId="335" xr:uid="{7AD5B24B-468B-4F72-84CB-6202E4FF317B}"/>
    <cellStyle name="20% - Accent2 38" xfId="336" xr:uid="{AE154571-6A7C-47DB-9238-4F1ACF23F184}"/>
    <cellStyle name="20% - Accent2 39" xfId="337" xr:uid="{4EDE39BA-6086-40C0-87E1-1BCE1E567186}"/>
    <cellStyle name="20% - Accent2 4" xfId="338" xr:uid="{A9DFE174-91C6-4652-AAA1-D593C93DBE78}"/>
    <cellStyle name="20% - Accent2 4 2" xfId="339" xr:uid="{B085F129-D702-42D8-A09E-161921049F59}"/>
    <cellStyle name="20% - Accent2 40" xfId="340" xr:uid="{870AC94F-2C6A-40E4-87E9-B855DEDB2F68}"/>
    <cellStyle name="20% - Accent2 41" xfId="341" xr:uid="{C2ACBD60-4B48-4E0F-8341-909FFB383D4E}"/>
    <cellStyle name="20% - Accent2 42" xfId="342" xr:uid="{8086D9AA-9AB8-404A-8545-120F46E8C126}"/>
    <cellStyle name="20% - Accent2 43" xfId="343" xr:uid="{E78610CC-D4B8-4BC2-A5DB-F0215A710FB6}"/>
    <cellStyle name="20% - Accent2 44" xfId="344" xr:uid="{6A93187F-80C6-443A-837F-94BED73C2B42}"/>
    <cellStyle name="20% - Accent2 45" xfId="345" xr:uid="{474814FC-60A6-4413-B07A-A36E39433CD8}"/>
    <cellStyle name="20% - Accent2 46" xfId="346" xr:uid="{87FA9F7C-D36B-4626-AB5F-3267D04B0363}"/>
    <cellStyle name="20% - Accent2 47" xfId="347" xr:uid="{D58C4C45-BEAD-4281-BF54-B6904493C7DB}"/>
    <cellStyle name="20% - Accent2 48" xfId="348" xr:uid="{A23CCCBE-EEF6-41D5-AB6C-2FB122E9CD5F}"/>
    <cellStyle name="20% - Accent2 49" xfId="349" xr:uid="{A28F3307-A3B9-47D2-AD4C-012ED7875281}"/>
    <cellStyle name="20% - Accent2 5" xfId="350" xr:uid="{FFD84BD0-717B-4435-B0BC-3347FA3481F1}"/>
    <cellStyle name="20% - Accent2 50" xfId="351" xr:uid="{348A8FD3-2BD6-467C-AA36-BF2388CA020F}"/>
    <cellStyle name="20% - Accent2 51" xfId="352" xr:uid="{9DC52B73-359C-43C4-ADAF-D72B8357954C}"/>
    <cellStyle name="20% - Accent2 52" xfId="353" xr:uid="{AE493521-FF92-4F38-8242-DB7600CED2AA}"/>
    <cellStyle name="20% - Accent2 53" xfId="354" xr:uid="{7711EF1A-F3F7-4744-BD0B-3D52CFBFC7E7}"/>
    <cellStyle name="20% - Accent2 54" xfId="355" xr:uid="{82E82417-EABC-4DF5-ABBF-8D35BD033B4B}"/>
    <cellStyle name="20% - Accent2 55" xfId="356" xr:uid="{055BD843-60CF-4FD5-B2A5-70881B0F2AAF}"/>
    <cellStyle name="20% - Accent2 56" xfId="357" xr:uid="{73E66B58-E590-4B96-B928-ECF7BBA2768C}"/>
    <cellStyle name="20% - Accent2 57" xfId="358" xr:uid="{CEB69169-F89B-4244-9EB0-EE942560F528}"/>
    <cellStyle name="20% - Accent2 58" xfId="359" xr:uid="{67FDECC9-3E24-4324-9C64-97ABBFF9B102}"/>
    <cellStyle name="20% - Accent2 59" xfId="360" xr:uid="{E8F4E007-758F-45F4-A236-2C69CB7B03FB}"/>
    <cellStyle name="20% - Accent2 6" xfId="361" xr:uid="{E5FED9C6-E1F1-4D39-8315-015932E5A062}"/>
    <cellStyle name="20% - Accent2 60" xfId="362" xr:uid="{6687EC6A-A40A-44B8-A9E5-2070BEEA506A}"/>
    <cellStyle name="20% - Accent2 60 2" xfId="363" xr:uid="{7FDF2971-E035-4C9C-9279-A707F27AFADB}"/>
    <cellStyle name="20% - Accent2 60 2 2" xfId="364" xr:uid="{57C03713-6DAB-4E50-B291-2EF5CD68B3CF}"/>
    <cellStyle name="20% - Accent2 60 2 2 2" xfId="365" xr:uid="{B7C77CEE-B45E-4A07-8ACA-AA8E7D49553E}"/>
    <cellStyle name="20% - Accent2 60 2 3" xfId="366" xr:uid="{88B3F294-738F-48B2-A0AE-AE8C49C56E20}"/>
    <cellStyle name="20% - Accent2 60 3" xfId="367" xr:uid="{2725483E-C7F2-4289-8A7D-1501140D3F6B}"/>
    <cellStyle name="20% - Accent2 61" xfId="368" xr:uid="{9907BD76-1E84-4AAF-ABF6-D225346369B4}"/>
    <cellStyle name="20% - Accent2 62" xfId="369" xr:uid="{2B44228E-119F-437B-926D-B5F702A158E5}"/>
    <cellStyle name="20% - Accent2 63" xfId="370" xr:uid="{76162C30-3F6C-41A2-B342-EB2F0DA2D776}"/>
    <cellStyle name="20% - Accent2 64" xfId="371" xr:uid="{DD57CDDF-0A6D-49F0-A794-5CC249C9E568}"/>
    <cellStyle name="20% - Accent2 65" xfId="372" xr:uid="{CD50F969-D714-4410-BA69-EC33A2A5457B}"/>
    <cellStyle name="20% - Accent2 7" xfId="373" xr:uid="{CB42F4FF-A939-46CE-9004-446FCAEADB9A}"/>
    <cellStyle name="20% - Accent2 8" xfId="374" xr:uid="{8BEBC092-DBF8-40F0-99AE-B010BCB84846}"/>
    <cellStyle name="20% - Accent2 9" xfId="375" xr:uid="{D11CD408-80FD-44D6-A38E-55FDB226AF23}"/>
    <cellStyle name="20% - Accent3 10" xfId="376" xr:uid="{656D317B-B6C7-4A3D-99AA-E3B233AAB683}"/>
    <cellStyle name="20% - Accent3 11" xfId="377" xr:uid="{C8771D09-A283-4BE8-A605-8606EBBBC5D6}"/>
    <cellStyle name="20% - Accent3 12" xfId="378" xr:uid="{37F63216-2580-4DAD-ADB2-AF031B629C17}"/>
    <cellStyle name="20% - Accent3 13" xfId="379" xr:uid="{D63F78D9-FC83-4148-8C8F-23D95768857B}"/>
    <cellStyle name="20% - Accent3 14" xfId="380" xr:uid="{08F4E3AA-6734-4A74-A006-2B86C35B764C}"/>
    <cellStyle name="20% - Accent3 15" xfId="381" xr:uid="{F585EB98-4FF4-476F-81FB-4F6BE1BC2482}"/>
    <cellStyle name="20% - Accent3 16" xfId="382" xr:uid="{12AF562E-BB7E-4665-8EFA-87C1B8F724EB}"/>
    <cellStyle name="20% - Accent3 17" xfId="383" xr:uid="{0D438678-BA00-4EA9-9863-2B2CED88EE73}"/>
    <cellStyle name="20% - Accent3 18" xfId="384" xr:uid="{F3DAE2F7-9C36-4B99-9BEF-71A3E12AE861}"/>
    <cellStyle name="20% - Accent3 19" xfId="385" xr:uid="{05C2C085-7B25-4EBB-8BD9-92BEA262993C}"/>
    <cellStyle name="20% - Accent3 2" xfId="386" xr:uid="{5157B2A9-C1FE-437F-AC04-F3081386B9F8}"/>
    <cellStyle name="20% - Accent3 2 2" xfId="387" xr:uid="{5BC622D2-E38A-4587-8F1D-AF4893EF6B09}"/>
    <cellStyle name="20% - Accent3 2 2 2" xfId="388" xr:uid="{8B3D769D-CD66-4D1D-886B-0C81B291AC73}"/>
    <cellStyle name="20% - Accent3 2 2 3" xfId="389" xr:uid="{6BF0546F-A741-4F0F-ADFF-BABA4055E95D}"/>
    <cellStyle name="20% - Accent3 2 3" xfId="390" xr:uid="{7F822BAE-4727-45D0-8962-B1945DFCDC5C}"/>
    <cellStyle name="20% - Accent3 2 3 2" xfId="391" xr:uid="{EFC694B0-264D-41B6-8168-B170C461D345}"/>
    <cellStyle name="20% - Accent3 2 3 2 2" xfId="392" xr:uid="{FA46E29F-0AC7-4DD7-9ABD-A1BD2B331051}"/>
    <cellStyle name="20% - Accent3 2 3 3" xfId="393" xr:uid="{7E3E5E75-6335-4E7E-9578-E1ED65A86E59}"/>
    <cellStyle name="20% - Accent3 2 3 4" xfId="394" xr:uid="{12EFF657-004A-4DC9-8FB0-F64F0BE068B5}"/>
    <cellStyle name="20% - Accent3 2 4" xfId="395" xr:uid="{1D683151-E776-46A5-9DC5-78578AC3541A}"/>
    <cellStyle name="20% - Accent3 2 5" xfId="396" xr:uid="{CF9C04EF-FFB1-4144-B4BE-DED9F84F8AAE}"/>
    <cellStyle name="20% - Accent3 20" xfId="397" xr:uid="{BEAD4FC7-1C2D-438A-90C8-183E7B392433}"/>
    <cellStyle name="20% - Accent3 21" xfId="398" xr:uid="{0EFA5EEE-9767-4AA9-BBD1-178364B32BA6}"/>
    <cellStyle name="20% - Accent3 22" xfId="399" xr:uid="{06DA986D-3F9B-4355-9A35-ACC4546A94E1}"/>
    <cellStyle name="20% - Accent3 23" xfId="400" xr:uid="{3D94D383-3D0A-4D79-9004-9084E36EE3A2}"/>
    <cellStyle name="20% - Accent3 24" xfId="401" xr:uid="{6AEC7122-970C-4BB9-9C84-9BF5DDBCB6B7}"/>
    <cellStyle name="20% - Accent3 25" xfId="402" xr:uid="{B50743A7-FF1F-4184-8D62-714D75709D69}"/>
    <cellStyle name="20% - Accent3 26" xfId="403" xr:uid="{EC084621-FC69-4095-9863-D1012AC787F3}"/>
    <cellStyle name="20% - Accent3 27" xfId="404" xr:uid="{D1107622-EA1D-4242-987D-8D23B3BE4C78}"/>
    <cellStyle name="20% - Accent3 28" xfId="405" xr:uid="{DDA827B5-A8A6-4B8F-A80E-E75986BC16EE}"/>
    <cellStyle name="20% - Accent3 29" xfId="406" xr:uid="{380421D1-6BBF-4D35-ABC4-DE07771D904C}"/>
    <cellStyle name="20% - Accent3 3" xfId="407" xr:uid="{7938639E-D6D8-4600-8F09-FE9D318959AA}"/>
    <cellStyle name="20% - Accent3 3 2" xfId="408" xr:uid="{4D7917B9-50C2-47A7-B476-02C65838D931}"/>
    <cellStyle name="20% - Accent3 3 3" xfId="409" xr:uid="{9D0B0E08-7FC9-46F0-AFB5-B987450B8E03}"/>
    <cellStyle name="20% - Accent3 30" xfId="410" xr:uid="{AD75FB95-C6CE-412C-8730-FB2071B42AF0}"/>
    <cellStyle name="20% - Accent3 31" xfId="411" xr:uid="{D3ECAB63-A118-4963-B9A2-9BECC6CE850F}"/>
    <cellStyle name="20% - Accent3 32" xfId="412" xr:uid="{BB09F3B2-3043-4B1C-8C5C-BFCACF5D7FE5}"/>
    <cellStyle name="20% - Accent3 33" xfId="413" xr:uid="{692D025D-AE14-4488-9837-AC0480FB6E01}"/>
    <cellStyle name="20% - Accent3 34" xfId="414" xr:uid="{C1C5AE85-DD29-4223-B242-B3E84ACDFF6F}"/>
    <cellStyle name="20% - Accent3 35" xfId="415" xr:uid="{2014021B-3340-41E3-9861-E96939F608F6}"/>
    <cellStyle name="20% - Accent3 35 2" xfId="416" xr:uid="{9A9B7A17-2ADE-4997-BC59-B7292DEA7A85}"/>
    <cellStyle name="20% - Accent3 35 2 2" xfId="417" xr:uid="{0837E024-EBF6-47F0-ADCD-0095116FF628}"/>
    <cellStyle name="20% - Accent3 35 2 2 2" xfId="418" xr:uid="{B1DB2986-3843-43F5-8B45-4D2556E25E89}"/>
    <cellStyle name="20% - Accent3 35 2 2 3" xfId="419" xr:uid="{AA698E3D-9BFE-4669-AF51-4A2388994A8F}"/>
    <cellStyle name="20% - Accent3 35 3" xfId="420" xr:uid="{5DBB103F-5941-4294-86F6-8809476D476C}"/>
    <cellStyle name="20% - Accent3 35 4" xfId="421" xr:uid="{2BAA74E4-412F-4F39-AB38-55CAA4F0173B}"/>
    <cellStyle name="20% - Accent3 35 5" xfId="422" xr:uid="{78328569-38B1-46D6-9000-01BC94C51307}"/>
    <cellStyle name="20% - Accent3 36" xfId="423" xr:uid="{AD2210CC-0A4E-4812-A339-85D1579B35C4}"/>
    <cellStyle name="20% - Accent3 37" xfId="424" xr:uid="{1006EB83-3B28-41C7-8A7E-3255CD0C7972}"/>
    <cellStyle name="20% - Accent3 38" xfId="425" xr:uid="{AE32BED0-432E-4080-A927-93C03689E2D4}"/>
    <cellStyle name="20% - Accent3 39" xfId="426" xr:uid="{84960BB8-F953-4FE3-9AF2-586440969684}"/>
    <cellStyle name="20% - Accent3 4" xfId="427" xr:uid="{DC7375E2-EB81-4C7E-B12A-A80B9EFBB3F2}"/>
    <cellStyle name="20% - Accent3 4 2" xfId="428" xr:uid="{4944926E-B2C4-4BD6-9A17-F90E612238F5}"/>
    <cellStyle name="20% - Accent3 40" xfId="429" xr:uid="{B3F6BD76-31F6-436C-9BF3-43E383746007}"/>
    <cellStyle name="20% - Accent3 41" xfId="430" xr:uid="{3E391591-71CA-47FB-B521-CB4C60DD50C8}"/>
    <cellStyle name="20% - Accent3 42" xfId="431" xr:uid="{810EF2DF-496D-4042-B672-ECE253D53B4E}"/>
    <cellStyle name="20% - Accent3 43" xfId="432" xr:uid="{C6FBF8C3-0D81-48D3-985C-F5155363D04E}"/>
    <cellStyle name="20% - Accent3 44" xfId="433" xr:uid="{6C8B9ED0-98C7-4CBD-B904-56A10421C232}"/>
    <cellStyle name="20% - Accent3 45" xfId="434" xr:uid="{7A7A5554-818C-4D73-A8BB-FD458D66E67C}"/>
    <cellStyle name="20% - Accent3 46" xfId="435" xr:uid="{9C15DC7D-6F5F-4D4B-AC35-2F08B9B58805}"/>
    <cellStyle name="20% - Accent3 47" xfId="436" xr:uid="{4F5D616B-9B60-4D7C-8415-9173E988C732}"/>
    <cellStyle name="20% - Accent3 48" xfId="437" xr:uid="{A1E4C6D4-B18B-442F-A83D-690774B06573}"/>
    <cellStyle name="20% - Accent3 49" xfId="438" xr:uid="{DC3DBA93-519F-4E3B-A143-2721BBE0FDC6}"/>
    <cellStyle name="20% - Accent3 5" xfId="439" xr:uid="{3D44C776-EF5C-4BC9-B098-D87F23720DB9}"/>
    <cellStyle name="20% - Accent3 50" xfId="440" xr:uid="{7F72F22F-6415-40FC-83E8-8F9F1DC78F74}"/>
    <cellStyle name="20% - Accent3 51" xfId="441" xr:uid="{3314DC0F-7755-46AD-83FD-AAF669851F04}"/>
    <cellStyle name="20% - Accent3 52" xfId="442" xr:uid="{54FA84D6-8AF4-40F1-A4D2-51F1F1AC89E0}"/>
    <cellStyle name="20% - Accent3 53" xfId="443" xr:uid="{88346A92-1C1D-425E-AE53-7C10EC89C350}"/>
    <cellStyle name="20% - Accent3 54" xfId="444" xr:uid="{4A9077FF-B8C7-4AC3-972B-5A5F7A333019}"/>
    <cellStyle name="20% - Accent3 55" xfId="445" xr:uid="{20CE2E51-63A3-4E5B-85E7-35CC884C8924}"/>
    <cellStyle name="20% - Accent3 56" xfId="446" xr:uid="{91FB2697-D0CA-497D-849E-3726CB096798}"/>
    <cellStyle name="20% - Accent3 57" xfId="447" xr:uid="{9D63E099-B559-48AC-9BC7-8CCA6EE37C4D}"/>
    <cellStyle name="20% - Accent3 58" xfId="448" xr:uid="{8244F46C-C4A9-49F3-9DE6-D464913EBC35}"/>
    <cellStyle name="20% - Accent3 59" xfId="449" xr:uid="{8FF97DC7-9E4F-457A-B39C-159AE8EBCAA1}"/>
    <cellStyle name="20% - Accent3 6" xfId="450" xr:uid="{A899464C-A905-4585-9454-75F8EE409FC5}"/>
    <cellStyle name="20% - Accent3 60" xfId="451" xr:uid="{E8680BFA-EE4A-403E-AA7B-CA9D708FC73D}"/>
    <cellStyle name="20% - Accent3 60 2" xfId="452" xr:uid="{C71A7611-18E3-49BC-899C-381F722371F8}"/>
    <cellStyle name="20% - Accent3 60 2 2" xfId="453" xr:uid="{7DF30C66-FE9A-4F12-982E-16640896C8B9}"/>
    <cellStyle name="20% - Accent3 60 2 2 2" xfId="454" xr:uid="{23A44682-88F1-42C8-AE22-6C6063A6D2D0}"/>
    <cellStyle name="20% - Accent3 60 2 3" xfId="455" xr:uid="{E758580F-173D-4A2A-A521-0B8CF8954AF1}"/>
    <cellStyle name="20% - Accent3 60 3" xfId="456" xr:uid="{AF2CC63F-1590-432F-AABB-5F2AE77D3BC9}"/>
    <cellStyle name="20% - Accent3 61" xfId="457" xr:uid="{AE848045-15F8-4B16-96B7-ED7EF31C14A2}"/>
    <cellStyle name="20% - Accent3 62" xfId="458" xr:uid="{53F73301-D1A1-486A-A451-DF6EC2C41514}"/>
    <cellStyle name="20% - Accent3 63" xfId="459" xr:uid="{7BAD5AB2-14CC-4462-A64C-5A50B96E5677}"/>
    <cellStyle name="20% - Accent3 64" xfId="460" xr:uid="{9ACEBBD7-03CA-409B-835C-0A2942120D69}"/>
    <cellStyle name="20% - Accent3 65" xfId="461" xr:uid="{871F28A1-94C5-47C9-B124-DE5F971D6F06}"/>
    <cellStyle name="20% - Accent3 7" xfId="462" xr:uid="{C5D03859-F9F0-4A79-8F3D-B55ECE683F17}"/>
    <cellStyle name="20% - Accent3 8" xfId="463" xr:uid="{9C028F49-1E7E-4001-905F-3A3735382D1C}"/>
    <cellStyle name="20% - Accent3 9" xfId="464" xr:uid="{11B3C5E6-2EED-4EA8-BFF7-5ACFDF017B96}"/>
    <cellStyle name="20% - Accent4 10" xfId="465" xr:uid="{F0A82BB3-592C-4CB4-B8BE-CF1EDD087F82}"/>
    <cellStyle name="20% - Accent4 11" xfId="466" xr:uid="{0C7A4728-B210-4C19-8D99-EB9B8979D042}"/>
    <cellStyle name="20% - Accent4 12" xfId="467" xr:uid="{F1711A30-F9E0-42A0-90EF-2A2C3625C0E7}"/>
    <cellStyle name="20% - Accent4 13" xfId="468" xr:uid="{9BCAEF4A-8C4A-4DEE-A66A-9BEAE1CFE273}"/>
    <cellStyle name="20% - Accent4 14" xfId="469" xr:uid="{68D695AE-02B4-4D90-9288-FB9608570DDF}"/>
    <cellStyle name="20% - Accent4 15" xfId="470" xr:uid="{209B368C-465B-4221-89D9-D9548EC90EB0}"/>
    <cellStyle name="20% - Accent4 16" xfId="471" xr:uid="{AB8FA5E8-7394-4508-A259-0092C0647559}"/>
    <cellStyle name="20% - Accent4 17" xfId="472" xr:uid="{49D8C425-6E17-4985-ADF5-846D43D6D019}"/>
    <cellStyle name="20% - Accent4 18" xfId="473" xr:uid="{41B38AB6-27B6-4A64-BF23-8625A7599E25}"/>
    <cellStyle name="20% - Accent4 19" xfId="474" xr:uid="{8004B981-988B-4E1F-BB48-0AC6BEA9E1A6}"/>
    <cellStyle name="20% - Accent4 2" xfId="475" xr:uid="{07552600-6B6A-4507-B4E3-95AA200FD4A8}"/>
    <cellStyle name="20% - Accent4 2 2" xfId="476" xr:uid="{A9772F0D-D9B5-4642-B18B-7D958180C9AF}"/>
    <cellStyle name="20% - Accent4 2 2 2" xfId="477" xr:uid="{7248E207-C9A6-4401-899A-BC9ED95580B7}"/>
    <cellStyle name="20% - Accent4 2 2 3" xfId="478" xr:uid="{B6EFFB06-2AF3-4672-98F2-670639D53964}"/>
    <cellStyle name="20% - Accent4 2 3" xfId="479" xr:uid="{FCD37A92-1CF5-442F-BF66-A633ABF09062}"/>
    <cellStyle name="20% - Accent4 2 3 2" xfId="480" xr:uid="{F44C414B-DE5C-40A8-AAC6-608481E73D9B}"/>
    <cellStyle name="20% - Accent4 2 3 2 2" xfId="481" xr:uid="{97098801-95AB-4DAF-B661-32DB289C7A96}"/>
    <cellStyle name="20% - Accent4 2 3 3" xfId="482" xr:uid="{6887CFC9-F379-4266-ABAD-4AAE44F69B6C}"/>
    <cellStyle name="20% - Accent4 2 3 4" xfId="483" xr:uid="{3575469C-EC6C-45C3-89EA-F7701C4D6D45}"/>
    <cellStyle name="20% - Accent4 2 4" xfId="484" xr:uid="{FCC1FF7F-FB1B-4459-A192-9F2025EC0B4E}"/>
    <cellStyle name="20% - Accent4 2 5" xfId="485" xr:uid="{1996B410-FF94-4F82-8064-89F6C37B4282}"/>
    <cellStyle name="20% - Accent4 20" xfId="486" xr:uid="{46DC74AC-0954-42CA-8C91-BA520D384E78}"/>
    <cellStyle name="20% - Accent4 21" xfId="487" xr:uid="{7A13981C-1CB1-4604-99FE-D5D5AAC252CF}"/>
    <cellStyle name="20% - Accent4 22" xfId="488" xr:uid="{9E9C4406-F98F-4740-A797-8188F52B85A3}"/>
    <cellStyle name="20% - Accent4 23" xfId="489" xr:uid="{20D7DC77-7613-4C5F-A882-D66E01D09472}"/>
    <cellStyle name="20% - Accent4 24" xfId="490" xr:uid="{8E8D4395-CF2D-44F8-84C2-5EC23645E55D}"/>
    <cellStyle name="20% - Accent4 25" xfId="491" xr:uid="{E040E139-A235-4EF2-B4E1-38DF6D9EFC2A}"/>
    <cellStyle name="20% - Accent4 26" xfId="492" xr:uid="{B9AD8CD8-4B31-4982-9912-6AC5AF716275}"/>
    <cellStyle name="20% - Accent4 27" xfId="493" xr:uid="{112C4B9F-074C-428B-87E8-18D35066264B}"/>
    <cellStyle name="20% - Accent4 28" xfId="494" xr:uid="{7C67D4A3-20CB-458D-8B5A-655937D3E3B8}"/>
    <cellStyle name="20% - Accent4 29" xfId="495" xr:uid="{16C16789-ECD4-4BA8-9CD6-13B8B768EA1E}"/>
    <cellStyle name="20% - Accent4 3" xfId="496" xr:uid="{6A645812-C888-4FD4-8699-7FE88C099720}"/>
    <cellStyle name="20% - Accent4 3 2" xfId="497" xr:uid="{17B88B1C-B32E-4D15-9E26-502410DB63DB}"/>
    <cellStyle name="20% - Accent4 3 3" xfId="498" xr:uid="{98BA8048-D2B4-4DB7-9FB1-953EFAA9CBB4}"/>
    <cellStyle name="20% - Accent4 30" xfId="499" xr:uid="{C2F6E0DB-401B-4A90-84A4-6DC6AC5E0CAB}"/>
    <cellStyle name="20% - Accent4 31" xfId="500" xr:uid="{FF39AA19-CD3A-4778-93F5-315B09A3C17B}"/>
    <cellStyle name="20% - Accent4 32" xfId="501" xr:uid="{9EC8153F-B726-4C43-97F9-86F731D8154C}"/>
    <cellStyle name="20% - Accent4 33" xfId="502" xr:uid="{F7EB7316-C4EC-47A1-B12D-7982FA11AADD}"/>
    <cellStyle name="20% - Accent4 34" xfId="503" xr:uid="{08A81E54-3130-4F86-9760-1031413243C2}"/>
    <cellStyle name="20% - Accent4 35" xfId="504" xr:uid="{B62C3098-EC72-446A-B457-84138901A9D5}"/>
    <cellStyle name="20% - Accent4 35 2" xfId="505" xr:uid="{F54C1BE2-3FC5-4170-B572-67D6EE1350F8}"/>
    <cellStyle name="20% - Accent4 35 2 2" xfId="506" xr:uid="{F2E9DCF2-5294-45AB-ACDE-385D253D001B}"/>
    <cellStyle name="20% - Accent4 35 2 2 2" xfId="507" xr:uid="{C5A8F55F-5B3D-45FE-8B85-1509555EEFD4}"/>
    <cellStyle name="20% - Accent4 35 2 2 3" xfId="508" xr:uid="{3C420A61-D413-4B50-8ED1-AE70B90254D5}"/>
    <cellStyle name="20% - Accent4 35 3" xfId="509" xr:uid="{FD045758-AAEC-4D2C-8203-5DDADBC62EF4}"/>
    <cellStyle name="20% - Accent4 35 4" xfId="510" xr:uid="{EF35C37B-6C2D-49B6-B72A-830FB188B521}"/>
    <cellStyle name="20% - Accent4 35 5" xfId="511" xr:uid="{5AA64ADA-5A1F-40CD-B00A-E95C25EDAEC6}"/>
    <cellStyle name="20% - Accent4 36" xfId="512" xr:uid="{5E89BC0C-96AA-4564-B1B4-CDD2F17E4FCF}"/>
    <cellStyle name="20% - Accent4 37" xfId="513" xr:uid="{8272E80E-808A-4D3C-B2D4-382389F8EE1E}"/>
    <cellStyle name="20% - Accent4 38" xfId="514" xr:uid="{E1AA5539-DB45-474A-9FF2-D11628384920}"/>
    <cellStyle name="20% - Accent4 39" xfId="515" xr:uid="{1FC2E350-A84B-4A0B-B110-C505ABC5AF1F}"/>
    <cellStyle name="20% - Accent4 4" xfId="516" xr:uid="{48B8E773-5DB6-4881-90B5-46A6C3817B20}"/>
    <cellStyle name="20% - Accent4 4 2" xfId="517" xr:uid="{F41DEB31-A75E-4AC0-87C2-F22FD8881C0B}"/>
    <cellStyle name="20% - Accent4 40" xfId="518" xr:uid="{CF4F44DA-61DD-4CCB-AA15-FC8EE66764B8}"/>
    <cellStyle name="20% - Accent4 41" xfId="519" xr:uid="{C60DD466-8575-47B2-A8C4-5A34ABF207CD}"/>
    <cellStyle name="20% - Accent4 42" xfId="520" xr:uid="{6FF41953-9017-4965-938B-A2BE8DEB06CD}"/>
    <cellStyle name="20% - Accent4 43" xfId="521" xr:uid="{93A5A1F7-CD4B-4A30-A350-5CB3B8B2640B}"/>
    <cellStyle name="20% - Accent4 44" xfId="522" xr:uid="{F2310497-4D25-49D9-B070-8B2345F1C710}"/>
    <cellStyle name="20% - Accent4 45" xfId="523" xr:uid="{058AEB04-009A-4094-9279-936B2655468B}"/>
    <cellStyle name="20% - Accent4 46" xfId="524" xr:uid="{4A39F990-5AD8-4AF1-BDD2-705CC22D14A1}"/>
    <cellStyle name="20% - Accent4 47" xfId="525" xr:uid="{D7585EE2-BE67-4744-A610-17AAC2FA80FE}"/>
    <cellStyle name="20% - Accent4 48" xfId="526" xr:uid="{06B7E1C9-41FC-407B-ACD2-348978FB664F}"/>
    <cellStyle name="20% - Accent4 49" xfId="527" xr:uid="{AAA35DC6-33B6-4F12-9B77-2484F0844716}"/>
    <cellStyle name="20% - Accent4 5" xfId="528" xr:uid="{B037DF3E-E961-48B2-BBF9-654C7B6DC348}"/>
    <cellStyle name="20% - Accent4 50" xfId="529" xr:uid="{CB3868C9-7AB0-423C-A262-0A430483A160}"/>
    <cellStyle name="20% - Accent4 51" xfId="530" xr:uid="{78F7913C-C447-4C50-B001-142A9D067E97}"/>
    <cellStyle name="20% - Accent4 52" xfId="531" xr:uid="{29FCBEEA-509C-4E3F-9C32-42EAB350DBA6}"/>
    <cellStyle name="20% - Accent4 53" xfId="532" xr:uid="{CE920252-071C-4AAC-B995-AB7C29DCDE75}"/>
    <cellStyle name="20% - Accent4 54" xfId="533" xr:uid="{F85AC4AF-8606-42CB-A27F-4755EFE765AD}"/>
    <cellStyle name="20% - Accent4 55" xfId="534" xr:uid="{0E76135E-1F02-4B41-83CE-AF8974245403}"/>
    <cellStyle name="20% - Accent4 56" xfId="535" xr:uid="{FBD3AC4A-12F0-4D46-88A1-CB47122AA628}"/>
    <cellStyle name="20% - Accent4 57" xfId="536" xr:uid="{E679345D-3F6D-4A61-AA4E-4E9362C626DE}"/>
    <cellStyle name="20% - Accent4 58" xfId="537" xr:uid="{18D0AC60-951F-4CED-80E8-4FD07AB1B16C}"/>
    <cellStyle name="20% - Accent4 59" xfId="538" xr:uid="{334673B1-33F3-4DAD-943C-B740D348853D}"/>
    <cellStyle name="20% - Accent4 6" xfId="539" xr:uid="{9D4552B6-4ECB-47C3-BA17-8AC5A59A382F}"/>
    <cellStyle name="20% - Accent4 60" xfId="540" xr:uid="{0698D3F7-E0B1-4A3C-BB0D-18E5928B4E5C}"/>
    <cellStyle name="20% - Accent4 60 2" xfId="541" xr:uid="{C24AD817-46AA-4717-8A4E-A72A531F5C9F}"/>
    <cellStyle name="20% - Accent4 60 2 2" xfId="542" xr:uid="{4D736574-3EE2-424A-81D9-C4394226C474}"/>
    <cellStyle name="20% - Accent4 60 2 2 2" xfId="543" xr:uid="{2436E08D-2F6D-46B7-B1B4-55E28FA50BD9}"/>
    <cellStyle name="20% - Accent4 60 2 3" xfId="544" xr:uid="{7EAB5629-70D2-4053-B304-60E53B96DE2A}"/>
    <cellStyle name="20% - Accent4 60 3" xfId="545" xr:uid="{9685A3F5-36BC-44FB-87CE-8414C7F10E74}"/>
    <cellStyle name="20% - Accent4 61" xfId="546" xr:uid="{8F70C085-6E61-406C-8460-BBE76BC85647}"/>
    <cellStyle name="20% - Accent4 62" xfId="547" xr:uid="{1FAEE33E-F2FD-44C4-8669-447F24DA5A97}"/>
    <cellStyle name="20% - Accent4 63" xfId="548" xr:uid="{5F2E6B95-F9F4-4E97-8ACB-F06C814F17E9}"/>
    <cellStyle name="20% - Accent4 64" xfId="549" xr:uid="{5C10E9FB-3731-4CC3-B6F1-F663DCB2AE1B}"/>
    <cellStyle name="20% - Accent4 65" xfId="550" xr:uid="{E85FA501-3775-454F-AA22-F237FE0139C1}"/>
    <cellStyle name="20% - Accent4 7" xfId="551" xr:uid="{7A0CA3BC-D544-4359-B139-BB80E8606C40}"/>
    <cellStyle name="20% - Accent4 8" xfId="552" xr:uid="{BDFEBD1B-B8C4-44C4-A3C3-BC2113D7F82E}"/>
    <cellStyle name="20% - Accent4 9" xfId="553" xr:uid="{BD9A8BF7-67AF-432B-B586-30275F3EA19A}"/>
    <cellStyle name="20% - Accent5 10" xfId="554" xr:uid="{0DDA2088-F907-49A3-9B24-4CFC54BEA88A}"/>
    <cellStyle name="20% - Accent5 11" xfId="555" xr:uid="{C3467C6A-7244-4B58-8462-7A0C83639DC5}"/>
    <cellStyle name="20% - Accent5 12" xfId="556" xr:uid="{96C9093B-6D30-494A-9B8A-C387ADABB5E5}"/>
    <cellStyle name="20% - Accent5 13" xfId="557" xr:uid="{C67E573B-46BF-4B5D-BA5E-BDB45F065599}"/>
    <cellStyle name="20% - Accent5 14" xfId="558" xr:uid="{5FD59066-659D-448E-845F-9545C53E2C0C}"/>
    <cellStyle name="20% - Accent5 15" xfId="559" xr:uid="{85FAEB79-528D-4112-B226-E3BBCB17C204}"/>
    <cellStyle name="20% - Accent5 16" xfId="560" xr:uid="{E5FD66D4-0979-4378-B746-FECB3E634D84}"/>
    <cellStyle name="20% - Accent5 17" xfId="561" xr:uid="{CC708DAC-BC17-4C6B-BB1F-8D271CC1BA26}"/>
    <cellStyle name="20% - Accent5 18" xfId="562" xr:uid="{F0265729-29FF-4278-A59A-46EC43CA09DD}"/>
    <cellStyle name="20% - Accent5 19" xfId="563" xr:uid="{B34BDC71-E798-405B-8877-D9FD47BC4FEE}"/>
    <cellStyle name="20% - Accent5 2" xfId="564" xr:uid="{C7E81ECA-30CB-46BE-BE97-462BA3989145}"/>
    <cellStyle name="20% - Accent5 2 2" xfId="565" xr:uid="{014E8A04-72BA-4F4E-B9A2-FD80B1241CDF}"/>
    <cellStyle name="20% - Accent5 2 2 2" xfId="566" xr:uid="{78EBAD77-C587-4D1F-A11E-E2D6DDAB35EF}"/>
    <cellStyle name="20% - Accent5 2 2 3" xfId="567" xr:uid="{A18A37DA-2825-42BE-B75E-DA34B53E0A6B}"/>
    <cellStyle name="20% - Accent5 2 3" xfId="568" xr:uid="{4F9940F2-4FB7-4616-890A-5805271FA405}"/>
    <cellStyle name="20% - Accent5 2 3 2" xfId="569" xr:uid="{49F488EF-F503-432A-8B62-327BC514CAA4}"/>
    <cellStyle name="20% - Accent5 2 3 2 2" xfId="570" xr:uid="{253BB8D4-513E-456B-AFAD-AE8DDC821209}"/>
    <cellStyle name="20% - Accent5 2 3 3" xfId="571" xr:uid="{EEE30E1A-08B9-4578-B75F-65B5D6A73EC6}"/>
    <cellStyle name="20% - Accent5 2 3 4" xfId="572" xr:uid="{8978DEEF-656A-4CF3-B5C5-F507A564876F}"/>
    <cellStyle name="20% - Accent5 2 4" xfId="573" xr:uid="{039B64E3-76D3-4FDD-B62D-7B1CB6B8E1AD}"/>
    <cellStyle name="20% - Accent5 2 5" xfId="574" xr:uid="{3EFD4FBC-DFE5-479F-AACE-4506E805E038}"/>
    <cellStyle name="20% - Accent5 20" xfId="575" xr:uid="{C18C05F2-EABC-4338-B303-6BFA96ACAFE7}"/>
    <cellStyle name="20% - Accent5 21" xfId="576" xr:uid="{165A6B1E-78E5-439D-A546-615BE5030EE2}"/>
    <cellStyle name="20% - Accent5 22" xfId="577" xr:uid="{FFFCCB81-9C04-4BC1-9FD2-D683ECFA1309}"/>
    <cellStyle name="20% - Accent5 23" xfId="578" xr:uid="{19555A09-A6A4-45AD-B7AD-6DA04F85367F}"/>
    <cellStyle name="20% - Accent5 24" xfId="579" xr:uid="{EF588CCE-6F97-4384-953E-3EA996ED7437}"/>
    <cellStyle name="20% - Accent5 25" xfId="580" xr:uid="{2666B518-9F5B-4D5E-8E50-BCA6845FB852}"/>
    <cellStyle name="20% - Accent5 26" xfId="581" xr:uid="{ED12FA4E-9C72-4A05-8521-3A499385670C}"/>
    <cellStyle name="20% - Accent5 27" xfId="582" xr:uid="{B68BD359-D4E6-499C-95F2-CC6F8764E15D}"/>
    <cellStyle name="20% - Accent5 28" xfId="583" xr:uid="{6A2E0991-DDA5-4EFD-91FB-2E549DE17EFC}"/>
    <cellStyle name="20% - Accent5 29" xfId="584" xr:uid="{CE28B58B-385A-426C-A693-7A35DB932B03}"/>
    <cellStyle name="20% - Accent5 3" xfId="585" xr:uid="{F2E8D4DA-851E-412C-A5C5-C57716135D5C}"/>
    <cellStyle name="20% - Accent5 3 2" xfId="586" xr:uid="{E86587E3-153A-4FD6-B9BB-3566428647F3}"/>
    <cellStyle name="20% - Accent5 30" xfId="587" xr:uid="{53EF0CBF-52B1-4738-94AC-FA26A7E7291D}"/>
    <cellStyle name="20% - Accent5 31" xfId="588" xr:uid="{013A6C6B-659D-4E50-9919-BFAB36D9E282}"/>
    <cellStyle name="20% - Accent5 32" xfId="589" xr:uid="{22E8511B-7C67-4ADE-BDFC-421231B04DC5}"/>
    <cellStyle name="20% - Accent5 33" xfId="590" xr:uid="{0F7CC80A-384B-47EF-89BA-CA3C21F937CE}"/>
    <cellStyle name="20% - Accent5 34" xfId="591" xr:uid="{CCE8DEBB-A030-4A71-9108-921115300097}"/>
    <cellStyle name="20% - Accent5 35" xfId="592" xr:uid="{50D994AD-C78D-4501-89A6-E85024338174}"/>
    <cellStyle name="20% - Accent5 35 2" xfId="593" xr:uid="{EF9AB395-4AE4-47BD-B2D6-4EC7068DFC19}"/>
    <cellStyle name="20% - Accent5 35 2 2" xfId="594" xr:uid="{05F1871E-1E80-4241-8BEB-F1B2518A0A23}"/>
    <cellStyle name="20% - Accent5 35 2 2 2" xfId="595" xr:uid="{CE70CDB8-00F1-4CD4-8D76-483F0ECBA4B7}"/>
    <cellStyle name="20% - Accent5 35 2 2 3" xfId="596" xr:uid="{5E8564BF-99AF-4D11-9C04-B26EF6248B7D}"/>
    <cellStyle name="20% - Accent5 35 3" xfId="597" xr:uid="{96F05D78-F4D4-4EAE-92B4-1202402E9D59}"/>
    <cellStyle name="20% - Accent5 35 4" xfId="598" xr:uid="{BAD87E35-F9DE-4D8A-8F48-B321DDC6FDBB}"/>
    <cellStyle name="20% - Accent5 35 5" xfId="599" xr:uid="{7DE04BA2-4928-4C50-A047-CCE5933A4ABB}"/>
    <cellStyle name="20% - Accent5 36" xfId="600" xr:uid="{AD187596-F7B1-4003-B91C-5821AE34895B}"/>
    <cellStyle name="20% - Accent5 37" xfId="601" xr:uid="{F1C4B187-214C-4129-859F-015C5B612CEA}"/>
    <cellStyle name="20% - Accent5 38" xfId="602" xr:uid="{FEBAD2E0-86C0-4383-B480-8AED6E2FBAE6}"/>
    <cellStyle name="20% - Accent5 39" xfId="603" xr:uid="{F77DC828-8AAB-4533-9289-A5AF15C873C9}"/>
    <cellStyle name="20% - Accent5 4" xfId="604" xr:uid="{4405E02B-B2E1-4515-BDB8-BC977D410AA9}"/>
    <cellStyle name="20% - Accent5 4 2" xfId="605" xr:uid="{7BD28E71-BDC1-403A-8549-66CFADFAC4F7}"/>
    <cellStyle name="20% - Accent5 40" xfId="606" xr:uid="{999D00FA-4EC1-464F-8A5F-1540FDD44885}"/>
    <cellStyle name="20% - Accent5 41" xfId="607" xr:uid="{79CE7D9F-8163-484A-B6B7-AD873EBBDEC1}"/>
    <cellStyle name="20% - Accent5 42" xfId="608" xr:uid="{5CECD0E0-2CEB-4903-B338-FE6CC8DF58D5}"/>
    <cellStyle name="20% - Accent5 43" xfId="609" xr:uid="{EC750FED-3616-44CC-8FF7-A393A6DACB94}"/>
    <cellStyle name="20% - Accent5 44" xfId="610" xr:uid="{B9D60113-B9D7-4C9A-9DD5-C886A0577910}"/>
    <cellStyle name="20% - Accent5 45" xfId="611" xr:uid="{9606FD41-9B50-4F02-87AB-105C2F504AB8}"/>
    <cellStyle name="20% - Accent5 46" xfId="612" xr:uid="{63A02C0B-F91B-471E-9AC2-BE78F987E6BE}"/>
    <cellStyle name="20% - Accent5 47" xfId="613" xr:uid="{81F4654C-A115-49AC-A8FB-B09E60C2E177}"/>
    <cellStyle name="20% - Accent5 48" xfId="614" xr:uid="{EF51D2AD-EB22-4B65-BE8E-91EBE8ED916E}"/>
    <cellStyle name="20% - Accent5 49" xfId="615" xr:uid="{2C60AC68-D7B2-4D9D-AD13-4A95B2E49C61}"/>
    <cellStyle name="20% - Accent5 5" xfId="616" xr:uid="{23C2C715-C4CB-4A9B-9AF4-2495285086A7}"/>
    <cellStyle name="20% - Accent5 50" xfId="617" xr:uid="{55D2760A-E06A-4D38-98A5-48761A198173}"/>
    <cellStyle name="20% - Accent5 51" xfId="618" xr:uid="{0F88908C-16DC-42CB-9BA3-5277018C1A28}"/>
    <cellStyle name="20% - Accent5 52" xfId="619" xr:uid="{ACD0DBD1-B705-41B4-B781-CEE1BB046AA9}"/>
    <cellStyle name="20% - Accent5 53" xfId="620" xr:uid="{CD56D2DB-ED02-4FCD-8F05-0D43FE1E806D}"/>
    <cellStyle name="20% - Accent5 54" xfId="621" xr:uid="{AA8B1ADE-9EEF-4392-83FD-0B22A0499B36}"/>
    <cellStyle name="20% - Accent5 55" xfId="622" xr:uid="{CF89102E-DD05-45DA-AEFF-EDC36289FD68}"/>
    <cellStyle name="20% - Accent5 56" xfId="623" xr:uid="{8B5E99E3-7D3A-4F7F-BC4C-C1E6A8E5326D}"/>
    <cellStyle name="20% - Accent5 57" xfId="624" xr:uid="{DC6892E0-1783-4A63-812C-D1FBB2EF23A6}"/>
    <cellStyle name="20% - Accent5 58" xfId="625" xr:uid="{4F2F063D-AA10-4E10-902F-63F76EA4542F}"/>
    <cellStyle name="20% - Accent5 59" xfId="626" xr:uid="{C1F60C2B-FEE8-49E3-9E1B-55D29F918E2B}"/>
    <cellStyle name="20% - Accent5 6" xfId="627" xr:uid="{929E85D0-5849-4E65-8C3F-EE0715A50EAB}"/>
    <cellStyle name="20% - Accent5 60" xfId="628" xr:uid="{B367D298-735B-4C37-AECB-AA9F29554F9D}"/>
    <cellStyle name="20% - Accent5 60 2" xfId="629" xr:uid="{5FE5961F-179F-4CB2-990D-7AD523150B5F}"/>
    <cellStyle name="20% - Accent5 60 2 2" xfId="630" xr:uid="{9A414CED-1AB7-4DED-A9BD-52E8A6C099B5}"/>
    <cellStyle name="20% - Accent5 60 2 3" xfId="631" xr:uid="{BA6021FD-5BAB-4923-B1F4-BA3746073FC9}"/>
    <cellStyle name="20% - Accent5 60 3" xfId="632" xr:uid="{372F8C81-CCA3-469D-A850-607316091834}"/>
    <cellStyle name="20% - Accent5 61" xfId="633" xr:uid="{7E3F9872-0FF4-43DB-83E1-A68A81496E19}"/>
    <cellStyle name="20% - Accent5 62" xfId="634" xr:uid="{E6E48037-1D89-4DE3-BEE8-35FA25EA674E}"/>
    <cellStyle name="20% - Accent5 63" xfId="635" xr:uid="{CD8F27A4-3061-4235-BEC5-D6C88451FA38}"/>
    <cellStyle name="20% - Accent5 64" xfId="636" xr:uid="{933F586C-E957-406C-92FE-8A47B4D13549}"/>
    <cellStyle name="20% - Accent5 65" xfId="637" xr:uid="{70FD7A3A-9816-41AF-B548-BD36BC34A2ED}"/>
    <cellStyle name="20% - Accent5 7" xfId="638" xr:uid="{D3EA3036-0739-4D9C-BAD1-D95FA1A90B87}"/>
    <cellStyle name="20% - Accent5 8" xfId="639" xr:uid="{00EFEEE2-2C27-49D0-A1C8-A62DCC468636}"/>
    <cellStyle name="20% - Accent5 9" xfId="640" xr:uid="{6D2FB11C-5E7B-46A3-8CAA-3D891760601D}"/>
    <cellStyle name="20% - Accent6 10" xfId="641" xr:uid="{DD4C2960-1CC9-4477-BF17-B3CA9CFDE831}"/>
    <cellStyle name="20% - Accent6 11" xfId="642" xr:uid="{0E48B09F-8987-458F-8CA0-F32A1FAAFFF4}"/>
    <cellStyle name="20% - Accent6 12" xfId="643" xr:uid="{301B08B0-9BF3-4989-9752-B38A2176540A}"/>
    <cellStyle name="20% - Accent6 13" xfId="644" xr:uid="{665C852C-B990-421D-A4EE-125E8BCD31B3}"/>
    <cellStyle name="20% - Accent6 14" xfId="645" xr:uid="{05B88BAF-490F-47F4-8778-6F0231825E0B}"/>
    <cellStyle name="20% - Accent6 15" xfId="646" xr:uid="{18F54155-D748-4DE6-8FCC-77B95EB9CDDA}"/>
    <cellStyle name="20% - Accent6 16" xfId="647" xr:uid="{718E1145-48D1-46D5-BF04-46BD59F7D775}"/>
    <cellStyle name="20% - Accent6 17" xfId="648" xr:uid="{88E78960-251D-4FCB-AEB0-259B44E3FE63}"/>
    <cellStyle name="20% - Accent6 18" xfId="649" xr:uid="{8FE743F3-90F4-405F-B13F-F3BEC310193C}"/>
    <cellStyle name="20% - Accent6 19" xfId="650" xr:uid="{61C977C0-13A8-41B3-882D-794CB40601C0}"/>
    <cellStyle name="20% - Accent6 2" xfId="651" xr:uid="{7B3D4E67-5AED-4992-9668-F5F152FF424B}"/>
    <cellStyle name="20% - Accent6 2 2" xfId="652" xr:uid="{9326335E-CAEF-4565-B030-DCC40795C516}"/>
    <cellStyle name="20% - Accent6 2 2 2" xfId="653" xr:uid="{36A0643A-8FC1-418E-B364-C8FABDCFF966}"/>
    <cellStyle name="20% - Accent6 2 2 3" xfId="654" xr:uid="{7EF804D5-5BFF-4A66-B083-403FDE34323A}"/>
    <cellStyle name="20% - Accent6 2 3" xfId="655" xr:uid="{F4E36DB8-0F82-4389-A17C-85CE26702A4F}"/>
    <cellStyle name="20% - Accent6 2 3 2" xfId="656" xr:uid="{E7C078DE-BDC5-4A99-8811-B96D9A3ADAA0}"/>
    <cellStyle name="20% - Accent6 2 3 2 2" xfId="657" xr:uid="{D9A7C811-787D-44D0-A911-F333996F962C}"/>
    <cellStyle name="20% - Accent6 2 3 3" xfId="658" xr:uid="{139CE5B3-E5AC-4788-8304-0652DD1806D9}"/>
    <cellStyle name="20% - Accent6 2 3 4" xfId="659" xr:uid="{6FC93B52-1789-4222-9F8A-C3A179699F90}"/>
    <cellStyle name="20% - Accent6 2 4" xfId="660" xr:uid="{A216DEAE-8C5A-4A63-8160-841020DEE51F}"/>
    <cellStyle name="20% - Accent6 2 5" xfId="661" xr:uid="{6114296C-8187-4C7B-96FC-FF3EFE3CF28A}"/>
    <cellStyle name="20% - Accent6 20" xfId="662" xr:uid="{7E14C631-B0CF-4841-9D16-BECB3987298F}"/>
    <cellStyle name="20% - Accent6 21" xfId="663" xr:uid="{97A63D77-ED3B-4953-B98E-8D64A00846F0}"/>
    <cellStyle name="20% - Accent6 22" xfId="664" xr:uid="{B9D57BFA-8947-43B9-A7AB-1187A2473F2D}"/>
    <cellStyle name="20% - Accent6 23" xfId="665" xr:uid="{CF43876A-40A6-4BBC-AC84-99C88B02E274}"/>
    <cellStyle name="20% - Accent6 24" xfId="666" xr:uid="{4EF5F6F2-1DD9-491B-BA1F-4FFD332CDA5F}"/>
    <cellStyle name="20% - Accent6 25" xfId="667" xr:uid="{E3F47469-23D9-418F-92F1-592743EDC873}"/>
    <cellStyle name="20% - Accent6 26" xfId="668" xr:uid="{7EAA41B9-BD10-4E84-8250-65C4B2D0BEF5}"/>
    <cellStyle name="20% - Accent6 27" xfId="669" xr:uid="{888F2E01-6164-4595-BCBE-1E4152374801}"/>
    <cellStyle name="20% - Accent6 28" xfId="670" xr:uid="{7633BF3A-1248-4812-9C98-8E9F2656BC85}"/>
    <cellStyle name="20% - Accent6 29" xfId="671" xr:uid="{22693216-755F-404A-AB4E-1149C6715293}"/>
    <cellStyle name="20% - Accent6 3" xfId="672" xr:uid="{87E58E62-A03C-4292-A616-F95FEE603426}"/>
    <cellStyle name="20% - Accent6 3 2" xfId="673" xr:uid="{4EABA3C2-809C-49E5-9224-79E0232A710A}"/>
    <cellStyle name="20% - Accent6 3 3" xfId="674" xr:uid="{44EFBB8D-0DE6-4746-84A4-7B1066C07390}"/>
    <cellStyle name="20% - Accent6 30" xfId="675" xr:uid="{6DD199DC-6B10-49E9-ACCE-7F1391DBA047}"/>
    <cellStyle name="20% - Accent6 31" xfId="676" xr:uid="{F3134F59-0ADE-4CE8-9018-060077C90934}"/>
    <cellStyle name="20% - Accent6 32" xfId="677" xr:uid="{F87EB240-2360-479F-91A4-27E9DF44BBC9}"/>
    <cellStyle name="20% - Accent6 33" xfId="678" xr:uid="{CD111AF9-5334-4C12-ABD1-E5CC236F9CD0}"/>
    <cellStyle name="20% - Accent6 34" xfId="679" xr:uid="{8225C165-D3D0-4676-8EB2-504C73AE5C52}"/>
    <cellStyle name="20% - Accent6 35" xfId="680" xr:uid="{A8425E01-3F9B-4012-BB21-AEA1493BCFD0}"/>
    <cellStyle name="20% - Accent6 35 2" xfId="681" xr:uid="{F4324F08-1E5B-4778-ACFF-1D8A8A7B40D7}"/>
    <cellStyle name="20% - Accent6 35 2 2" xfId="682" xr:uid="{2A93FC30-7CD8-4708-98DC-3A62211AD893}"/>
    <cellStyle name="20% - Accent6 35 2 2 2" xfId="683" xr:uid="{F8D181C0-E1D7-46AB-824B-30408982E535}"/>
    <cellStyle name="20% - Accent6 35 2 2 3" xfId="684" xr:uid="{B59A80D5-720B-4D41-94D6-F311966D80DD}"/>
    <cellStyle name="20% - Accent6 35 3" xfId="685" xr:uid="{B0E81B3B-0B3A-499F-A6CF-3B6E9C740098}"/>
    <cellStyle name="20% - Accent6 35 4" xfId="686" xr:uid="{1586BF28-163B-4B39-B9A3-C13B775BCDF6}"/>
    <cellStyle name="20% - Accent6 35 5" xfId="687" xr:uid="{6C8D1ED4-ECA2-464E-9086-E0A2C3DFA375}"/>
    <cellStyle name="20% - Accent6 36" xfId="688" xr:uid="{29F85B74-DBAB-4991-9368-0669EA20A116}"/>
    <cellStyle name="20% - Accent6 37" xfId="689" xr:uid="{E60F8D7A-407B-451F-88B9-2AB8463E68E1}"/>
    <cellStyle name="20% - Accent6 38" xfId="690" xr:uid="{524DE853-CCF9-459D-9657-A68744F0DCAA}"/>
    <cellStyle name="20% - Accent6 39" xfId="691" xr:uid="{BE53BB28-F6AA-4BF3-AC5E-86817B3CC2CC}"/>
    <cellStyle name="20% - Accent6 4" xfId="692" xr:uid="{42329ACC-BA1C-4074-9B3C-F2F6EF8307C2}"/>
    <cellStyle name="20% - Accent6 4 2" xfId="693" xr:uid="{413D40E1-F3E3-44E9-8740-6B8060FCFCB1}"/>
    <cellStyle name="20% - Accent6 40" xfId="694" xr:uid="{251EDD61-C000-4946-91A1-F821AF63793B}"/>
    <cellStyle name="20% - Accent6 41" xfId="695" xr:uid="{32564941-D9E6-40DC-8A21-F5C16526FF1F}"/>
    <cellStyle name="20% - Accent6 42" xfId="696" xr:uid="{23E54ED2-F21E-4525-BB3D-63D1A7700E3F}"/>
    <cellStyle name="20% - Accent6 43" xfId="697" xr:uid="{93CEB6D0-CCC3-4353-B108-EE6360301AEF}"/>
    <cellStyle name="20% - Accent6 44" xfId="698" xr:uid="{BCB72AEF-FE98-4DAA-BC25-A30357B2838E}"/>
    <cellStyle name="20% - Accent6 45" xfId="699" xr:uid="{9C4FEF1E-0AF0-40B5-A9CB-8B54459CDF54}"/>
    <cellStyle name="20% - Accent6 46" xfId="700" xr:uid="{119BC957-0099-4892-AB8B-273C84BF99D2}"/>
    <cellStyle name="20% - Accent6 47" xfId="701" xr:uid="{C5971A92-F906-404D-8BEB-9C0A29FEF3F9}"/>
    <cellStyle name="20% - Accent6 48" xfId="702" xr:uid="{D73EF574-202C-47B4-9B5A-8FE95296CEDD}"/>
    <cellStyle name="20% - Accent6 49" xfId="703" xr:uid="{7545703F-A65B-46BB-8185-3574C14CFEBC}"/>
    <cellStyle name="20% - Accent6 5" xfId="704" xr:uid="{630286F9-B690-4960-8415-D2C8195B1B2C}"/>
    <cellStyle name="20% - Accent6 50" xfId="705" xr:uid="{B8DA24E9-0B27-496E-A369-D3A143D41BA9}"/>
    <cellStyle name="20% - Accent6 51" xfId="706" xr:uid="{34BB07E7-9D3B-4243-97F2-509B6E960E2B}"/>
    <cellStyle name="20% - Accent6 52" xfId="707" xr:uid="{5E7815DD-3F22-469D-86BB-9FC7C57E6C34}"/>
    <cellStyle name="20% - Accent6 53" xfId="708" xr:uid="{4CB6C1CE-2429-4703-8D46-B1DA8E2073FE}"/>
    <cellStyle name="20% - Accent6 54" xfId="709" xr:uid="{F5916B17-666F-4E7D-8A80-BFB02EB03193}"/>
    <cellStyle name="20% - Accent6 55" xfId="710" xr:uid="{C20A15F3-C504-4F3C-A05E-6F8C11D991E6}"/>
    <cellStyle name="20% - Accent6 56" xfId="711" xr:uid="{60E61103-CD27-48BA-B0D8-786447950EF7}"/>
    <cellStyle name="20% - Accent6 57" xfId="712" xr:uid="{2F5144FE-5E8B-4674-B40F-BEE4AD4A09EA}"/>
    <cellStyle name="20% - Accent6 58" xfId="713" xr:uid="{B965652E-CAB6-4E04-85D2-CCEFB6F55BEB}"/>
    <cellStyle name="20% - Accent6 59" xfId="714" xr:uid="{DF94D9AE-2CF1-4F46-87B4-0BCBFAA921CC}"/>
    <cellStyle name="20% - Accent6 6" xfId="715" xr:uid="{4B4AB176-3C31-46AD-ACC1-607983E5E5BD}"/>
    <cellStyle name="20% - Accent6 60" xfId="716" xr:uid="{868CA07E-6ED5-4EF5-ADC2-F6051403EF27}"/>
    <cellStyle name="20% - Accent6 60 2" xfId="717" xr:uid="{9944DD17-988E-4770-890C-452937DD0C15}"/>
    <cellStyle name="20% - Accent6 60 2 2" xfId="718" xr:uid="{D6D1AFE0-62F4-4892-8857-9BE64DA32C28}"/>
    <cellStyle name="20% - Accent6 60 2 3" xfId="719" xr:uid="{A79A4BA3-5ED1-493F-908C-81D6B8AA1BAD}"/>
    <cellStyle name="20% - Accent6 60 3" xfId="720" xr:uid="{943DB29A-5FBF-40CC-BF08-DBA998DF9700}"/>
    <cellStyle name="20% - Accent6 61" xfId="721" xr:uid="{98F060F4-C0C0-404B-8098-F7FD209E5EF4}"/>
    <cellStyle name="20% - Accent6 62" xfId="722" xr:uid="{CDB1CCF4-BC5B-41D0-A112-D786CD7C6BAD}"/>
    <cellStyle name="20% - Accent6 63" xfId="723" xr:uid="{F3EA400B-F144-4123-A24E-A5A5BB935906}"/>
    <cellStyle name="20% - Accent6 64" xfId="724" xr:uid="{12AC9E68-FA39-4906-9746-2C026D698381}"/>
    <cellStyle name="20% - Accent6 65" xfId="725" xr:uid="{67B19DE5-BFCB-4015-8A66-59F319FE3D2D}"/>
    <cellStyle name="20% - Accent6 7" xfId="726" xr:uid="{9EB7FD71-17F4-4384-BEF2-43BFB05DAE9A}"/>
    <cellStyle name="20% - Accent6 8" xfId="727" xr:uid="{448CAD1C-635B-4F1C-9650-709E38E6FB91}"/>
    <cellStyle name="20% - Accent6 9" xfId="728" xr:uid="{2C354008-F9C6-42F7-BF40-160FEB509FE4}"/>
    <cellStyle name="20% - Colore 1" xfId="729" xr:uid="{2BB53F8B-6405-45AD-8446-6A3CEFD71A52}"/>
    <cellStyle name="20% - Colore 1 2" xfId="730" xr:uid="{B6E5564A-7C94-4AEB-9096-AD7C62C27164}"/>
    <cellStyle name="20% - Colore 2" xfId="731" xr:uid="{80807A21-91FA-401B-B19F-EDD9403DA64D}"/>
    <cellStyle name="20% - Colore 2 2" xfId="732" xr:uid="{37C34F5E-8006-42AF-A2D5-F88CD58F4028}"/>
    <cellStyle name="20% - Colore 3" xfId="733" xr:uid="{3BF92638-710E-4345-BAA9-C711A9AE8A75}"/>
    <cellStyle name="20% - Colore 3 2" xfId="734" xr:uid="{A97E1B2E-A92F-4487-8FD8-7369C0A97A69}"/>
    <cellStyle name="20% - Colore 4" xfId="735" xr:uid="{5DC8B5B3-5542-4A7A-B406-A63A67181ACC}"/>
    <cellStyle name="20% - Colore 4 2" xfId="736" xr:uid="{78F4AAE2-D07E-4E7A-8012-5B36BF61F7DD}"/>
    <cellStyle name="20% - Colore 5" xfId="737" xr:uid="{E1B068A9-2C5E-4068-A01E-A3FCEB32BF1C}"/>
    <cellStyle name="20% - Colore 5 2" xfId="738" xr:uid="{D85D942B-7CDE-4582-8F64-833DC9195B4F}"/>
    <cellStyle name="20% - Colore 6" xfId="739" xr:uid="{3F9F4861-E6BD-458F-BCAC-36267CFD2CB4}"/>
    <cellStyle name="20% - Colore 6 2" xfId="740" xr:uid="{F636865F-1471-4170-87E8-3E4EE8B1B572}"/>
    <cellStyle name="3dp" xfId="741" xr:uid="{0C66482B-1FF5-4DF8-96A9-43235520A5CC}"/>
    <cellStyle name="3dp 2" xfId="742" xr:uid="{BAC2DFA5-6965-4F7F-9915-65CDC1AF4E42}"/>
    <cellStyle name="3dp 2 2" xfId="743" xr:uid="{F1688462-5D9E-4807-A2A5-B631C38CFF0D}"/>
    <cellStyle name="3dp 3" xfId="744" xr:uid="{2B7F518E-5BD8-42B8-8445-7D2AC02DC5A1}"/>
    <cellStyle name="40% - Accent1 10" xfId="745" xr:uid="{2688C6BC-FC86-4B51-B7B6-5A84A870BD87}"/>
    <cellStyle name="40% - Accent1 11" xfId="746" xr:uid="{7A159774-C26B-46D0-B8D5-6EC297EE437D}"/>
    <cellStyle name="40% - Accent1 12" xfId="747" xr:uid="{43581658-6531-4ABA-9C0E-BD0C037120FE}"/>
    <cellStyle name="40% - Accent1 13" xfId="748" xr:uid="{8F267C02-3A48-468C-9762-331F89D027B7}"/>
    <cellStyle name="40% - Accent1 14" xfId="749" xr:uid="{6BC39560-B291-4638-98B6-642309E6DBB9}"/>
    <cellStyle name="40% - Accent1 15" xfId="750" xr:uid="{F92F800F-1B45-4AB1-B7EF-7EA333ECB448}"/>
    <cellStyle name="40% - Accent1 16" xfId="751" xr:uid="{3CB87262-E7CB-4A3B-8171-CD708A43A066}"/>
    <cellStyle name="40% - Accent1 17" xfId="752" xr:uid="{08605DD7-36B6-4A1D-BC61-9C3DB52FCE62}"/>
    <cellStyle name="40% - Accent1 18" xfId="753" xr:uid="{C80CC096-005F-41C0-B539-F776F2434AB9}"/>
    <cellStyle name="40% - Accent1 19" xfId="754" xr:uid="{AFDD2F2E-F673-435C-89A9-A37E5248113A}"/>
    <cellStyle name="40% - Accent1 2" xfId="755" xr:uid="{072EDFBB-C600-487E-995F-84A17E83188A}"/>
    <cellStyle name="40% - Accent1 2 2" xfId="756" xr:uid="{35292B61-B34A-41B7-B2CC-31687F78B15B}"/>
    <cellStyle name="40% - Accent1 2 2 2" xfId="757" xr:uid="{8622F2B8-800D-426A-8AEA-9B9E28C2DC36}"/>
    <cellStyle name="40% - Accent1 2 2 3" xfId="758" xr:uid="{F248C843-F85A-4DE4-90F5-6BE0EC88B57A}"/>
    <cellStyle name="40% - Accent1 2 3" xfId="759" xr:uid="{EEFA50C4-8950-4C98-AEBF-249C96954BA7}"/>
    <cellStyle name="40% - Accent1 2 3 2" xfId="760" xr:uid="{6F311046-C370-4A9B-ADFC-2AAE15594A21}"/>
    <cellStyle name="40% - Accent1 2 3 2 2" xfId="761" xr:uid="{C4964363-63A0-49BF-8C4D-9A47D2C2A204}"/>
    <cellStyle name="40% - Accent1 2 3 3" xfId="762" xr:uid="{062C7062-9E68-4CF8-9F45-ABA6F59D6229}"/>
    <cellStyle name="40% - Accent1 2 3 4" xfId="763" xr:uid="{D7D13FF5-D632-4002-9679-516777735B5D}"/>
    <cellStyle name="40% - Accent1 2 4" xfId="764" xr:uid="{8B20DAFE-2E39-4BA1-8674-038557C2EDFB}"/>
    <cellStyle name="40% - Accent1 2 5" xfId="765" xr:uid="{A708EF7A-8B33-4EE5-A178-0E2404EFAA17}"/>
    <cellStyle name="40% - Accent1 20" xfId="766" xr:uid="{46A6E9E0-FE12-4946-BC9D-C20DA514E10C}"/>
    <cellStyle name="40% - Accent1 21" xfId="767" xr:uid="{9B22FF3B-5894-4B15-9B71-87DE0FFC014D}"/>
    <cellStyle name="40% - Accent1 22" xfId="768" xr:uid="{D01B077A-E9C4-4CDD-A83C-9E6731F9B99E}"/>
    <cellStyle name="40% - Accent1 23" xfId="769" xr:uid="{F3C575A8-B21C-4940-8D9C-7F2CD7E8362A}"/>
    <cellStyle name="40% - Accent1 24" xfId="770" xr:uid="{556D4C93-C4F5-4A91-93F3-178490CF905D}"/>
    <cellStyle name="40% - Accent1 25" xfId="771" xr:uid="{A1C12E1D-F436-4EBF-8F1D-8321C544503C}"/>
    <cellStyle name="40% - Accent1 26" xfId="772" xr:uid="{F4611078-80DD-43F1-B153-7D6A82B6E134}"/>
    <cellStyle name="40% - Accent1 27" xfId="773" xr:uid="{9E175046-97A2-45B9-BFD8-F6668CB37B01}"/>
    <cellStyle name="40% - Accent1 28" xfId="774" xr:uid="{79B33234-AF60-415E-A75C-2584609535E1}"/>
    <cellStyle name="40% - Accent1 29" xfId="775" xr:uid="{5AA4984A-59C8-4BB0-9ACC-21AB94191841}"/>
    <cellStyle name="40% - Accent1 3" xfId="776" xr:uid="{FDBF7EB5-CB85-4382-93A6-7E0775BD2375}"/>
    <cellStyle name="40% - Accent1 3 2" xfId="777" xr:uid="{725B590C-59BE-4CF7-AA58-518F8B4B9C53}"/>
    <cellStyle name="40% - Accent1 3 3" xfId="778" xr:uid="{6D5AD59F-B225-49EA-8372-8ACD3742079A}"/>
    <cellStyle name="40% - Accent1 30" xfId="779" xr:uid="{27FD0DC7-86FC-47E3-BC28-188D7E44E4AF}"/>
    <cellStyle name="40% - Accent1 31" xfId="780" xr:uid="{2AEB0476-8256-4AD9-92AE-1695F053457A}"/>
    <cellStyle name="40% - Accent1 32" xfId="781" xr:uid="{C9E7F1F2-5914-4A5A-A2DD-6F0AAB7B1EE6}"/>
    <cellStyle name="40% - Accent1 33" xfId="782" xr:uid="{D4A85BB3-ADCC-41C5-BC55-AAB26B1C06F7}"/>
    <cellStyle name="40% - Accent1 34" xfId="783" xr:uid="{2FE1A68F-1300-4C59-B619-555D6391C026}"/>
    <cellStyle name="40% - Accent1 35" xfId="784" xr:uid="{990D5F83-4E6E-430D-BEB3-E5213DA97514}"/>
    <cellStyle name="40% - Accent1 35 2" xfId="785" xr:uid="{833355A6-8BB3-4052-9A5A-567B49F659CA}"/>
    <cellStyle name="40% - Accent1 35 2 2" xfId="786" xr:uid="{7F7CB383-B200-4D6E-96C6-8BEE734DA9B2}"/>
    <cellStyle name="40% - Accent1 35 2 2 2" xfId="787" xr:uid="{06F9D2DF-F669-49E6-9EB4-AE7E0BC21512}"/>
    <cellStyle name="40% - Accent1 35 2 2 3" xfId="788" xr:uid="{C0BE3E60-3AF2-4B76-813A-94307964453E}"/>
    <cellStyle name="40% - Accent1 35 3" xfId="789" xr:uid="{575D3DBD-2476-490B-AB56-9257F8E8A047}"/>
    <cellStyle name="40% - Accent1 35 4" xfId="790" xr:uid="{5DC2E321-2828-4B4E-8CE6-0A2B80BDEA2F}"/>
    <cellStyle name="40% - Accent1 35 5" xfId="791" xr:uid="{07630F6F-A688-4C0C-9736-543143145B90}"/>
    <cellStyle name="40% - Accent1 36" xfId="792" xr:uid="{21F435C4-43CE-40F4-BE6F-D5C047C86EFB}"/>
    <cellStyle name="40% - Accent1 37" xfId="793" xr:uid="{F52CA0A3-B8DB-4874-A057-9BCDECAE1D50}"/>
    <cellStyle name="40% - Accent1 38" xfId="794" xr:uid="{19C951F0-3A6E-483D-97BF-D6D736AFF334}"/>
    <cellStyle name="40% - Accent1 39" xfId="795" xr:uid="{35E9E7ED-2ECE-441B-9587-8B6E3F608C16}"/>
    <cellStyle name="40% - Accent1 4" xfId="796" xr:uid="{A3A26F7D-4D7C-4CB5-9134-C7363804309A}"/>
    <cellStyle name="40% - Accent1 4 2" xfId="797" xr:uid="{CBD513AA-372B-4345-A4B4-0EA504AA22A9}"/>
    <cellStyle name="40% - Accent1 40" xfId="798" xr:uid="{EFEC33F7-5FC0-41F0-B538-220A4D782E19}"/>
    <cellStyle name="40% - Accent1 41" xfId="799" xr:uid="{52197D02-3680-4119-9957-87AAC4657311}"/>
    <cellStyle name="40% - Accent1 42" xfId="800" xr:uid="{4ED8D20F-15D7-4BF0-AE3D-4C75E4BD386C}"/>
    <cellStyle name="40% - Accent1 43" xfId="801" xr:uid="{05A3C292-14C6-4C2F-9517-C9D6E6B136E6}"/>
    <cellStyle name="40% - Accent1 44" xfId="802" xr:uid="{4C0FD4DC-9724-4F8D-B622-CD2B246BAC64}"/>
    <cellStyle name="40% - Accent1 45" xfId="803" xr:uid="{7AB89251-B953-49FE-9307-4BF2A359B28E}"/>
    <cellStyle name="40% - Accent1 46" xfId="804" xr:uid="{9C89BDDB-6918-40E7-9FD2-E11053533CE2}"/>
    <cellStyle name="40% - Accent1 47" xfId="805" xr:uid="{AF9C61B1-149C-4FD8-9842-AE57A40461CD}"/>
    <cellStyle name="40% - Accent1 48" xfId="806" xr:uid="{44F77090-47F4-4EAB-9A73-C23D3FA0A164}"/>
    <cellStyle name="40% - Accent1 49" xfId="807" xr:uid="{F5F4228B-9E3C-4887-B667-250077C5A9E0}"/>
    <cellStyle name="40% - Accent1 5" xfId="808" xr:uid="{E2E24BD9-7500-4539-AE79-62495B148B81}"/>
    <cellStyle name="40% - Accent1 50" xfId="809" xr:uid="{691E3900-C50D-4B14-A887-D572DBAFF47F}"/>
    <cellStyle name="40% - Accent1 51" xfId="810" xr:uid="{66BD5E7B-18BD-4EFC-A6AC-D3CB79CDC7DA}"/>
    <cellStyle name="40% - Accent1 52" xfId="811" xr:uid="{0DC5C9E6-34E0-48B7-91E0-7F16C24B4ED2}"/>
    <cellStyle name="40% - Accent1 53" xfId="812" xr:uid="{42F60C58-37B9-4BBD-A5C7-E4DBE34CC790}"/>
    <cellStyle name="40% - Accent1 54" xfId="813" xr:uid="{8C6526BB-32B9-4F70-BB1A-8126F512C7AC}"/>
    <cellStyle name="40% - Accent1 55" xfId="814" xr:uid="{D1220874-A6E4-4762-82BD-33BC748C9E02}"/>
    <cellStyle name="40% - Accent1 56" xfId="815" xr:uid="{6196E854-A69C-4203-841E-D5FB78242611}"/>
    <cellStyle name="40% - Accent1 57" xfId="816" xr:uid="{02A5FF25-AE30-4A6E-81F1-891E2292B8F2}"/>
    <cellStyle name="40% - Accent1 58" xfId="817" xr:uid="{8602DC5A-59CB-4665-9B00-0B2BE508E7A2}"/>
    <cellStyle name="40% - Accent1 59" xfId="818" xr:uid="{F78BF26E-33BC-4D8C-9C4E-832DCDEDC996}"/>
    <cellStyle name="40% - Accent1 6" xfId="819" xr:uid="{118DBE3A-64E0-422F-82BA-1D8E5C9A7674}"/>
    <cellStyle name="40% - Accent1 60" xfId="820" xr:uid="{DE727CFF-7594-4A5F-BBD8-D2B97F72A714}"/>
    <cellStyle name="40% - Accent1 60 2" xfId="821" xr:uid="{54FD29E2-2E23-46C1-A761-4E533F138D49}"/>
    <cellStyle name="40% - Accent1 60 2 2" xfId="822" xr:uid="{CB346537-7B1E-4061-BC0B-46313CAE78AC}"/>
    <cellStyle name="40% - Accent1 60 2 2 2" xfId="823" xr:uid="{F20DEB55-1F6B-4B39-971F-E04BA3744AD6}"/>
    <cellStyle name="40% - Accent1 60 2 3" xfId="824" xr:uid="{09979E3D-7697-4D52-88A2-589C6C83D558}"/>
    <cellStyle name="40% - Accent1 60 3" xfId="825" xr:uid="{FE08192C-A77E-4010-825A-B80F410ECB83}"/>
    <cellStyle name="40% - Accent1 61" xfId="826" xr:uid="{19B0751F-E53B-45A0-82F3-EE13D6ABB4DE}"/>
    <cellStyle name="40% - Accent1 62" xfId="827" xr:uid="{C19DD459-4335-4356-A403-8EC0959E1B34}"/>
    <cellStyle name="40% - Accent1 63" xfId="828" xr:uid="{8956B00F-8C38-4149-B98A-435BA0DAEAD5}"/>
    <cellStyle name="40% - Accent1 64" xfId="829" xr:uid="{837345AD-93A8-4997-B106-6EDE613E9878}"/>
    <cellStyle name="40% - Accent1 65" xfId="830" xr:uid="{1BFCBD52-3BBB-40B9-B213-4768DDEC96B8}"/>
    <cellStyle name="40% - Accent1 7" xfId="831" xr:uid="{DDC87171-4FCE-47DC-801B-EF689FDA4199}"/>
    <cellStyle name="40% - Accent1 8" xfId="832" xr:uid="{23048067-3796-4D05-82D1-70DB7C3ED9D3}"/>
    <cellStyle name="40% - Accent1 9" xfId="833" xr:uid="{75D9864B-FC3B-4F13-AD5A-1014F4E310DD}"/>
    <cellStyle name="40% - Accent2 10" xfId="834" xr:uid="{D1A625BC-D117-4F81-9C39-137047F9AEFC}"/>
    <cellStyle name="40% - Accent2 11" xfId="835" xr:uid="{5036B5DB-336A-43BF-AE2D-AB7961E63DF5}"/>
    <cellStyle name="40% - Accent2 12" xfId="836" xr:uid="{667C923C-D151-4F33-A465-17C586C17F40}"/>
    <cellStyle name="40% - Accent2 13" xfId="837" xr:uid="{3186D9FA-EA17-4773-8CDF-807FA9CDD272}"/>
    <cellStyle name="40% - Accent2 14" xfId="838" xr:uid="{CAF57377-AC80-400F-8264-E67CF0FD0975}"/>
    <cellStyle name="40% - Accent2 15" xfId="839" xr:uid="{A1E682AB-4E9B-407D-A95D-0BB69472E4CE}"/>
    <cellStyle name="40% - Accent2 16" xfId="840" xr:uid="{9363EBAA-240E-48A0-9D2C-46D1360BB102}"/>
    <cellStyle name="40% - Accent2 17" xfId="841" xr:uid="{9E705CB3-107B-4BF0-836C-7B71940432E3}"/>
    <cellStyle name="40% - Accent2 18" xfId="842" xr:uid="{4DE683F4-4C77-4478-813C-0436D8445D08}"/>
    <cellStyle name="40% - Accent2 19" xfId="843" xr:uid="{7A418A10-EE11-4284-BBA3-6536BD6B1671}"/>
    <cellStyle name="40% - Accent2 2" xfId="844" xr:uid="{33F1044D-69F2-47F8-B44D-131A99257CCD}"/>
    <cellStyle name="40% - Accent2 2 2" xfId="845" xr:uid="{659D7F48-D8DB-4C4A-A3AF-A9A4695FB145}"/>
    <cellStyle name="40% - Accent2 2 2 2" xfId="846" xr:uid="{45D2546E-D4FD-4506-A34E-250377256DB0}"/>
    <cellStyle name="40% - Accent2 2 2 3" xfId="847" xr:uid="{5FACF9EA-5619-4014-A14C-9EB0C8E75E1A}"/>
    <cellStyle name="40% - Accent2 2 3" xfId="848" xr:uid="{AAEB8B60-9459-4F19-844F-54CB69D5C4F1}"/>
    <cellStyle name="40% - Accent2 2 3 2" xfId="849" xr:uid="{CCBFD75A-4ABF-42DB-B3A5-02F318C28EAF}"/>
    <cellStyle name="40% - Accent2 2 3 2 2" xfId="850" xr:uid="{BD35D294-3490-4050-B2B0-9C636D86248E}"/>
    <cellStyle name="40% - Accent2 2 3 3" xfId="851" xr:uid="{123442C1-70FC-4FFE-AF11-DAD9D3B91CB4}"/>
    <cellStyle name="40% - Accent2 2 3 4" xfId="852" xr:uid="{17B622DF-7655-40E9-9DE0-2E624D849D96}"/>
    <cellStyle name="40% - Accent2 2 4" xfId="853" xr:uid="{75DA4A4F-D4B6-4B80-AB95-1E53453CF366}"/>
    <cellStyle name="40% - Accent2 2 5" xfId="854" xr:uid="{32EC2A9E-EB4B-40AB-84C7-9CFCB38316A7}"/>
    <cellStyle name="40% - Accent2 20" xfId="855" xr:uid="{797E688A-1824-4CA5-BFDF-805004B0B439}"/>
    <cellStyle name="40% - Accent2 21" xfId="856" xr:uid="{C34076B6-AB70-439B-B390-804BDF458BD3}"/>
    <cellStyle name="40% - Accent2 22" xfId="857" xr:uid="{27E779D7-6F68-469D-8427-20EBDA2EBEEB}"/>
    <cellStyle name="40% - Accent2 23" xfId="858" xr:uid="{74741DD0-FEF4-4BAD-951F-BFCC70E93AB9}"/>
    <cellStyle name="40% - Accent2 24" xfId="859" xr:uid="{085433B3-8EB0-4673-AC5B-D7E15E202EBE}"/>
    <cellStyle name="40% - Accent2 25" xfId="860" xr:uid="{41426ECE-73FD-4C7A-BBCA-B58668FD3036}"/>
    <cellStyle name="40% - Accent2 26" xfId="861" xr:uid="{39B5293B-2BF3-42C6-8C95-B9056C7037C2}"/>
    <cellStyle name="40% - Accent2 27" xfId="862" xr:uid="{B9337C0B-463E-469D-ADB1-449151051181}"/>
    <cellStyle name="40% - Accent2 28" xfId="863" xr:uid="{FBE6CE43-85DA-48CE-86CA-6C8BEBC29799}"/>
    <cellStyle name="40% - Accent2 29" xfId="864" xr:uid="{752DC88A-D86F-4E65-8459-AFC07664DA71}"/>
    <cellStyle name="40% - Accent2 3" xfId="865" xr:uid="{11008B95-FEB1-4D15-BDC1-C2AE9E81ACD8}"/>
    <cellStyle name="40% - Accent2 3 2" xfId="866" xr:uid="{18FA3AC7-3957-45E9-8823-851DA94561FF}"/>
    <cellStyle name="40% - Accent2 30" xfId="867" xr:uid="{F35E9ED8-E0B8-4664-A902-DA6838485E34}"/>
    <cellStyle name="40% - Accent2 31" xfId="868" xr:uid="{9CDE9BEF-43A5-4AAE-B6E7-E50BE9529274}"/>
    <cellStyle name="40% - Accent2 32" xfId="869" xr:uid="{818D8EC0-8D76-4A36-B14E-039B158C38F6}"/>
    <cellStyle name="40% - Accent2 33" xfId="870" xr:uid="{A85415DC-A411-4FAA-9B81-5AF0141FCF52}"/>
    <cellStyle name="40% - Accent2 34" xfId="871" xr:uid="{440988E8-0A98-43CA-AED2-DD81DBB4FF8E}"/>
    <cellStyle name="40% - Accent2 35" xfId="872" xr:uid="{49E0CD2E-913D-44A2-A375-714C0E69ED07}"/>
    <cellStyle name="40% - Accent2 35 2" xfId="873" xr:uid="{8708B4F0-6801-4F2B-8458-0A8F18F35219}"/>
    <cellStyle name="40% - Accent2 35 2 2" xfId="874" xr:uid="{2660C88E-B39C-4566-BFB2-EF2365405746}"/>
    <cellStyle name="40% - Accent2 35 2 2 2" xfId="875" xr:uid="{F19B0790-DB61-4FAA-8A4E-AE8F83ABAEF0}"/>
    <cellStyle name="40% - Accent2 35 2 2 3" xfId="876" xr:uid="{9F6E83B9-199B-4700-9AE7-37477AC62E18}"/>
    <cellStyle name="40% - Accent2 35 3" xfId="877" xr:uid="{C99DF3B0-9FCD-4346-8295-B19AC23CA260}"/>
    <cellStyle name="40% - Accent2 35 4" xfId="878" xr:uid="{CD5329C6-DB35-47C9-A966-159C50D16A10}"/>
    <cellStyle name="40% - Accent2 35 5" xfId="879" xr:uid="{0D97A1F7-EDBE-4E30-9829-08B18F904020}"/>
    <cellStyle name="40% - Accent2 36" xfId="880" xr:uid="{79CBAC9B-33EC-4DD2-835E-2C26A5A95BCD}"/>
    <cellStyle name="40% - Accent2 37" xfId="881" xr:uid="{55FA6DCC-880A-420A-8746-FD6A0454782A}"/>
    <cellStyle name="40% - Accent2 38" xfId="882" xr:uid="{4EC22B1C-DE84-4898-A881-02A041D2C1AE}"/>
    <cellStyle name="40% - Accent2 39" xfId="883" xr:uid="{F7315E57-C328-4AA5-AB50-72225EF7CD7B}"/>
    <cellStyle name="40% - Accent2 4" xfId="884" xr:uid="{10E6CFE8-395E-4C01-B164-3047DE4FA7FD}"/>
    <cellStyle name="40% - Accent2 4 2" xfId="885" xr:uid="{97502988-F7E5-4D0D-901B-6C68251ADFE9}"/>
    <cellStyle name="40% - Accent2 40" xfId="886" xr:uid="{D8D2674A-E68D-4FEF-AD68-25FC079347CC}"/>
    <cellStyle name="40% - Accent2 41" xfId="887" xr:uid="{ED056BA7-A2F2-4BCE-BB97-DA2414286E13}"/>
    <cellStyle name="40% - Accent2 42" xfId="888" xr:uid="{6A359EC6-5D9C-49C6-999A-1C349999B2DC}"/>
    <cellStyle name="40% - Accent2 43" xfId="889" xr:uid="{4F4480D0-E86F-4B86-BB9F-00C096C0007C}"/>
    <cellStyle name="40% - Accent2 44" xfId="890" xr:uid="{118D2E73-BB22-4D33-B919-4F3425355A1E}"/>
    <cellStyle name="40% - Accent2 45" xfId="891" xr:uid="{9FED2543-14C6-4991-BAC9-F91E50F92630}"/>
    <cellStyle name="40% - Accent2 46" xfId="892" xr:uid="{03B81B6F-7DFF-4675-91C9-7C3ABC1651D5}"/>
    <cellStyle name="40% - Accent2 47" xfId="893" xr:uid="{4264AA38-6A4C-42DA-8D9F-7CD2CF4AC655}"/>
    <cellStyle name="40% - Accent2 48" xfId="894" xr:uid="{F05CA45F-4A2B-4A3E-8C31-A3F0D33D476D}"/>
    <cellStyle name="40% - Accent2 49" xfId="895" xr:uid="{F7367D03-E02C-497C-A7BD-A35F7427CBD7}"/>
    <cellStyle name="40% - Accent2 5" xfId="896" xr:uid="{541DC1FB-CA28-4B9D-838A-0C5FA27B6610}"/>
    <cellStyle name="40% - Accent2 50" xfId="897" xr:uid="{85D6E091-21B3-493D-8182-FD430759BB7E}"/>
    <cellStyle name="40% - Accent2 51" xfId="898" xr:uid="{12BCD43C-6290-4971-B616-0521F8B386E9}"/>
    <cellStyle name="40% - Accent2 52" xfId="899" xr:uid="{6AAD144C-E5E8-45FA-98CB-78295B12276F}"/>
    <cellStyle name="40% - Accent2 53" xfId="900" xr:uid="{D3268158-7AD4-4C6E-9523-283C043C2D28}"/>
    <cellStyle name="40% - Accent2 54" xfId="901" xr:uid="{BD962DF3-A8DE-4604-906F-3A2580D460F0}"/>
    <cellStyle name="40% - Accent2 55" xfId="902" xr:uid="{FE6A5792-90DB-4E90-846D-EAE64ADCB518}"/>
    <cellStyle name="40% - Accent2 56" xfId="903" xr:uid="{CB095CF9-7C55-4043-8897-CCF5B86ABCDB}"/>
    <cellStyle name="40% - Accent2 57" xfId="904" xr:uid="{4C1B67D9-795D-4DA4-AF3A-ED2D244EFAFC}"/>
    <cellStyle name="40% - Accent2 58" xfId="905" xr:uid="{6FEBFBEC-5DE4-4B89-9509-A1E134C50559}"/>
    <cellStyle name="40% - Accent2 59" xfId="906" xr:uid="{0509862B-52BB-4ACA-B5DC-D74123A71F23}"/>
    <cellStyle name="40% - Accent2 6" xfId="907" xr:uid="{7D10CE23-CED4-4CD7-9357-C4A4263C0ECD}"/>
    <cellStyle name="40% - Accent2 60" xfId="908" xr:uid="{565FE313-DCF3-49A4-80BB-0EF4A54BB371}"/>
    <cellStyle name="40% - Accent2 60 2" xfId="909" xr:uid="{C2B8AD97-793D-479C-A7A0-08B6A86B789C}"/>
    <cellStyle name="40% - Accent2 60 2 2" xfId="910" xr:uid="{69F74D65-E726-44F3-A84D-6B8421C8BA88}"/>
    <cellStyle name="40% - Accent2 60 2 3" xfId="911" xr:uid="{AE709719-5665-488C-ACDE-7B1600DB647D}"/>
    <cellStyle name="40% - Accent2 60 3" xfId="912" xr:uid="{BD09C41C-270A-449D-90D6-0297891A253A}"/>
    <cellStyle name="40% - Accent2 61" xfId="913" xr:uid="{67BCE3C7-A0B5-4BD9-8F8F-80824BDB4D6E}"/>
    <cellStyle name="40% - Accent2 62" xfId="914" xr:uid="{8BC13BAC-31FE-4927-BB8A-12E94C5EF59A}"/>
    <cellStyle name="40% - Accent2 63" xfId="915" xr:uid="{54932D48-4D78-4989-BB63-D0730191953B}"/>
    <cellStyle name="40% - Accent2 64" xfId="916" xr:uid="{F842C0CE-1F6E-4B8E-894A-ED95184DF02E}"/>
    <cellStyle name="40% - Accent2 65" xfId="917" xr:uid="{026DBE7D-4D23-4991-9896-66C62CD56227}"/>
    <cellStyle name="40% - Accent2 7" xfId="918" xr:uid="{3358BF53-BCFE-420F-A63D-BA041C61D5D6}"/>
    <cellStyle name="40% - Accent2 8" xfId="919" xr:uid="{BD7F9154-5BE6-4247-942A-F6FE8B0817DD}"/>
    <cellStyle name="40% - Accent2 9" xfId="920" xr:uid="{A252E4F1-F7E9-4583-A4A1-9DACAC432656}"/>
    <cellStyle name="40% - Accent3 10" xfId="921" xr:uid="{F4F6EC9E-854F-42E4-9951-F44B331820A0}"/>
    <cellStyle name="40% - Accent3 11" xfId="922" xr:uid="{0F717125-8B0F-4172-85CA-95C8B26EC851}"/>
    <cellStyle name="40% - Accent3 12" xfId="923" xr:uid="{3DEEB70E-6816-44AE-8DE5-57DFB1A2B9F5}"/>
    <cellStyle name="40% - Accent3 13" xfId="924" xr:uid="{F888BDD7-92E8-4D3E-9EB4-FDAFB8F21195}"/>
    <cellStyle name="40% - Accent3 14" xfId="925" xr:uid="{55C7EAA3-CEE2-4823-B0B6-0240ED8DD3D7}"/>
    <cellStyle name="40% - Accent3 15" xfId="926" xr:uid="{DAD0AD2E-9FFD-4723-8A65-C237299D549C}"/>
    <cellStyle name="40% - Accent3 16" xfId="927" xr:uid="{F32634B6-4BDC-452D-BDAC-53FA1AA8B93E}"/>
    <cellStyle name="40% - Accent3 17" xfId="928" xr:uid="{3F899F57-E473-435E-84A8-756A076C80EA}"/>
    <cellStyle name="40% - Accent3 18" xfId="929" xr:uid="{DA510318-0DD7-4A24-A0EC-27CF77A7CB45}"/>
    <cellStyle name="40% - Accent3 19" xfId="930" xr:uid="{FEECCE6C-46EB-4281-B911-F948B0F31584}"/>
    <cellStyle name="40% - Accent3 2" xfId="931" xr:uid="{4CA47C37-4FEF-4E81-8CCD-9CE4CEEEB8D7}"/>
    <cellStyle name="40% - Accent3 2 2" xfId="932" xr:uid="{76B23916-F42B-45B1-8ABF-FD35880D2538}"/>
    <cellStyle name="40% - Accent3 2 2 2" xfId="933" xr:uid="{637EE716-573E-4CEE-9A6C-249C7AB35A1E}"/>
    <cellStyle name="40% - Accent3 2 2 3" xfId="934" xr:uid="{99C1A160-0269-4CA3-A54D-36CAE846D885}"/>
    <cellStyle name="40% - Accent3 2 3" xfId="935" xr:uid="{9525E68A-A792-4095-92D3-8861E7B7AB70}"/>
    <cellStyle name="40% - Accent3 2 3 2" xfId="936" xr:uid="{9080A50E-A4C3-4802-BAA6-BFF77767979F}"/>
    <cellStyle name="40% - Accent3 2 3 2 2" xfId="937" xr:uid="{2BA6A717-BAF6-40D9-83E8-88CDC185FCA6}"/>
    <cellStyle name="40% - Accent3 2 3 3" xfId="938" xr:uid="{CB1FB8B8-59FE-4DF6-B189-932B32882D86}"/>
    <cellStyle name="40% - Accent3 2 3 4" xfId="939" xr:uid="{20088725-EF15-4A9B-A094-8222AB088923}"/>
    <cellStyle name="40% - Accent3 2 4" xfId="940" xr:uid="{35FABCD1-ED8C-4D92-B5D3-F2FD5EE2D325}"/>
    <cellStyle name="40% - Accent3 2 5" xfId="941" xr:uid="{43632D40-B419-4F3C-AA3C-B07BFE121039}"/>
    <cellStyle name="40% - Accent3 20" xfId="942" xr:uid="{CD859894-9069-40F8-99BF-ACC9163048ED}"/>
    <cellStyle name="40% - Accent3 21" xfId="943" xr:uid="{3E043019-131B-4362-9CAB-83436C81C311}"/>
    <cellStyle name="40% - Accent3 22" xfId="944" xr:uid="{9F2D788C-872D-47A0-BD32-D2C07CF291C7}"/>
    <cellStyle name="40% - Accent3 23" xfId="945" xr:uid="{8D0E92D8-ACD7-4D25-9AA1-723E36F0B798}"/>
    <cellStyle name="40% - Accent3 24" xfId="946" xr:uid="{92EBEC96-2394-45D3-A176-39125DB30446}"/>
    <cellStyle name="40% - Accent3 25" xfId="947" xr:uid="{C74A75C5-CDD7-4E46-8F0A-934A17F8488E}"/>
    <cellStyle name="40% - Accent3 26" xfId="948" xr:uid="{A785ED4D-4B04-4162-B830-1E39C54026CB}"/>
    <cellStyle name="40% - Accent3 27" xfId="949" xr:uid="{851097C9-E0E3-482B-9FE8-C69395DB871F}"/>
    <cellStyle name="40% - Accent3 28" xfId="950" xr:uid="{CF028304-7434-4AAE-AB6F-4402B99948AA}"/>
    <cellStyle name="40% - Accent3 29" xfId="951" xr:uid="{D3658B93-0078-4DC6-9868-B789F0D7486C}"/>
    <cellStyle name="40% - Accent3 3" xfId="952" xr:uid="{D8C2A84E-BA95-4B30-9E97-C5F0461DC16B}"/>
    <cellStyle name="40% - Accent3 3 2" xfId="953" xr:uid="{DD2CFB33-1DF4-4F6A-8B42-A8088515C7C9}"/>
    <cellStyle name="40% - Accent3 3 3" xfId="954" xr:uid="{EA4C8438-4163-46F4-B606-4776C760D1CE}"/>
    <cellStyle name="40% - Accent3 30" xfId="955" xr:uid="{C2A8A6DB-47BC-40C0-A1C1-5C472B33F037}"/>
    <cellStyle name="40% - Accent3 31" xfId="956" xr:uid="{DB7709DE-608E-4C4C-B152-0493EDFE1859}"/>
    <cellStyle name="40% - Accent3 32" xfId="957" xr:uid="{CE0B1614-BE4A-46DB-8A7B-5AA52AB5054C}"/>
    <cellStyle name="40% - Accent3 33" xfId="958" xr:uid="{5085ADD0-5A51-4019-965A-EB9758AC8C89}"/>
    <cellStyle name="40% - Accent3 34" xfId="959" xr:uid="{0186DD7E-373F-4B0A-AAD9-FC3C26A76BC9}"/>
    <cellStyle name="40% - Accent3 35" xfId="960" xr:uid="{C8CEA3D6-C3BE-4AE3-8D44-18BF6C245117}"/>
    <cellStyle name="40% - Accent3 35 2" xfId="961" xr:uid="{86435747-7D28-4749-B864-979D70D8A092}"/>
    <cellStyle name="40% - Accent3 35 2 2" xfId="962" xr:uid="{7A50E946-49F2-46EA-9BBA-989C473DEEAF}"/>
    <cellStyle name="40% - Accent3 35 2 2 2" xfId="963" xr:uid="{ACA8A37C-1867-49D1-B91E-8C46AD2C6D05}"/>
    <cellStyle name="40% - Accent3 35 2 2 3" xfId="964" xr:uid="{FA3D1BA4-0BA5-4999-AF06-138296B6E649}"/>
    <cellStyle name="40% - Accent3 35 3" xfId="965" xr:uid="{9DEE26C1-522F-4A82-ADF5-4CBAD368A373}"/>
    <cellStyle name="40% - Accent3 35 4" xfId="966" xr:uid="{F5E5F5B4-84BB-4E9E-B9C6-051377F2ACAC}"/>
    <cellStyle name="40% - Accent3 35 5" xfId="967" xr:uid="{9C313914-7EE1-4115-871B-AF4FE597412E}"/>
    <cellStyle name="40% - Accent3 36" xfId="968" xr:uid="{A6F1FF37-C768-4DF5-9A3E-93A6C162F8E5}"/>
    <cellStyle name="40% - Accent3 37" xfId="969" xr:uid="{98725CD7-D6B4-48DB-B1BB-8DD9D0698AC6}"/>
    <cellStyle name="40% - Accent3 38" xfId="970" xr:uid="{B50C1033-8587-4039-85AD-AC401B3D288A}"/>
    <cellStyle name="40% - Accent3 39" xfId="971" xr:uid="{75A6DC9E-C9C7-41F8-9258-886AA4ECDED7}"/>
    <cellStyle name="40% - Accent3 4" xfId="972" xr:uid="{07D6046F-B0FB-42ED-A2D2-47478C9779C1}"/>
    <cellStyle name="40% - Accent3 4 2" xfId="973" xr:uid="{0D26DB80-0207-4ADD-9996-D5465A2466ED}"/>
    <cellStyle name="40% - Accent3 40" xfId="974" xr:uid="{4C332A1A-F7B5-44BF-86FA-F0C527D71234}"/>
    <cellStyle name="40% - Accent3 41" xfId="975" xr:uid="{11028991-E83A-49DD-BB62-DC7643B5D378}"/>
    <cellStyle name="40% - Accent3 42" xfId="976" xr:uid="{8BEA7592-D352-43E0-B6B0-541A88DA0B3E}"/>
    <cellStyle name="40% - Accent3 43" xfId="977" xr:uid="{8BA0FD02-479D-43C7-91F3-6B2981DD8484}"/>
    <cellStyle name="40% - Accent3 44" xfId="978" xr:uid="{6F251774-B843-4FD9-AE0E-74A65FDF26F8}"/>
    <cellStyle name="40% - Accent3 45" xfId="979" xr:uid="{4EDB670F-F174-4B22-9DEF-F991937E9A54}"/>
    <cellStyle name="40% - Accent3 46" xfId="980" xr:uid="{46325CD9-B9B3-4061-A416-9137D3A9FD5C}"/>
    <cellStyle name="40% - Accent3 47" xfId="981" xr:uid="{09C97076-F9B3-456A-B5E2-7E0182CED585}"/>
    <cellStyle name="40% - Accent3 48" xfId="982" xr:uid="{A9D19A0E-C1E5-4B31-B757-AC4B7D216C78}"/>
    <cellStyle name="40% - Accent3 49" xfId="983" xr:uid="{6082396E-B31E-41E7-91AE-DF7A31426F31}"/>
    <cellStyle name="40% - Accent3 5" xfId="984" xr:uid="{94588692-7FBE-4234-A42A-89E599A419A3}"/>
    <cellStyle name="40% - Accent3 50" xfId="985" xr:uid="{60774834-A609-4A32-BBD6-4F579158E6FE}"/>
    <cellStyle name="40% - Accent3 51" xfId="986" xr:uid="{B69E7304-9222-402F-87FE-E89E344BA81C}"/>
    <cellStyle name="40% - Accent3 52" xfId="987" xr:uid="{8FF9E02E-D39A-40A4-B97E-F025EDFFF53E}"/>
    <cellStyle name="40% - Accent3 53" xfId="988" xr:uid="{DF809C73-784D-4E33-92D7-FB9AA1B0533C}"/>
    <cellStyle name="40% - Accent3 54" xfId="989" xr:uid="{0FF41091-6300-4CC3-B18F-15C4EF011803}"/>
    <cellStyle name="40% - Accent3 55" xfId="990" xr:uid="{C99E3887-B66C-41E0-9C7F-348B131D7605}"/>
    <cellStyle name="40% - Accent3 56" xfId="991" xr:uid="{78ADC36E-B446-41C9-B0D6-5DBC2A737E2E}"/>
    <cellStyle name="40% - Accent3 57" xfId="992" xr:uid="{A9E3E322-B10A-46F0-B303-D4DD4923B455}"/>
    <cellStyle name="40% - Accent3 58" xfId="993" xr:uid="{13948DAD-82B3-43B3-ADFB-F155305AA27C}"/>
    <cellStyle name="40% - Accent3 59" xfId="994" xr:uid="{ED46AB4D-6C4C-426D-B0DA-A5F527B40951}"/>
    <cellStyle name="40% - Accent3 6" xfId="995" xr:uid="{0989728F-077C-4E90-9ABB-B34EDF2ED3E6}"/>
    <cellStyle name="40% - Accent3 60" xfId="996" xr:uid="{A0EF905A-89D9-45D0-B27B-EC329EFFD505}"/>
    <cellStyle name="40% - Accent3 60 2" xfId="997" xr:uid="{2DBF6DF9-0B3D-481F-9369-1BBD7A6AB9EC}"/>
    <cellStyle name="40% - Accent3 60 2 2" xfId="998" xr:uid="{411F71B0-1E20-4333-999F-98AF467B334A}"/>
    <cellStyle name="40% - Accent3 60 2 2 2" xfId="999" xr:uid="{9B843CFC-4A52-4217-8195-D7B4ABA0D6B5}"/>
    <cellStyle name="40% - Accent3 60 2 3" xfId="1000" xr:uid="{342EE344-0B76-487E-901B-522B1DDA2BBE}"/>
    <cellStyle name="40% - Accent3 60 3" xfId="1001" xr:uid="{A8A00E27-F724-423E-9324-C25FF3C2D3E0}"/>
    <cellStyle name="40% - Accent3 61" xfId="1002" xr:uid="{C7F52C50-24C2-40CF-8690-D74E342361D5}"/>
    <cellStyle name="40% - Accent3 62" xfId="1003" xr:uid="{33BB33E3-595D-4B15-A963-B8207F632C66}"/>
    <cellStyle name="40% - Accent3 63" xfId="1004" xr:uid="{8C000B87-4AB2-4CC1-B044-93BDF86DE330}"/>
    <cellStyle name="40% - Accent3 64" xfId="1005" xr:uid="{6F369A6B-4E78-4BDA-80E0-FC9161056D0B}"/>
    <cellStyle name="40% - Accent3 65" xfId="1006" xr:uid="{8E369957-CCD5-4E6B-AC19-E1F4FAECAF02}"/>
    <cellStyle name="40% - Accent3 7" xfId="1007" xr:uid="{85878DDE-177B-494F-85C0-73BD11C083F4}"/>
    <cellStyle name="40% - Accent3 8" xfId="1008" xr:uid="{B6F8D8B2-16E3-4079-BDA6-E4E85C5AD327}"/>
    <cellStyle name="40% - Accent3 9" xfId="1009" xr:uid="{6F77CF76-4E49-4570-84A2-6399A7D86FFD}"/>
    <cellStyle name="40% - Accent4 10" xfId="1010" xr:uid="{8F8E941F-A826-4DC5-A757-1778B74E1A6A}"/>
    <cellStyle name="40% - Accent4 11" xfId="1011" xr:uid="{5A449413-0743-4499-8CBD-0B5DA2DC6F0C}"/>
    <cellStyle name="40% - Accent4 12" xfId="1012" xr:uid="{64361325-1353-46A4-B2DE-0F90C5009000}"/>
    <cellStyle name="40% - Accent4 13" xfId="1013" xr:uid="{F959B5F5-D54D-4CDE-B06F-F6E683853062}"/>
    <cellStyle name="40% - Accent4 14" xfId="1014" xr:uid="{26EC2AC6-F691-485E-B681-1771AEE5E6AD}"/>
    <cellStyle name="40% - Accent4 15" xfId="1015" xr:uid="{2A0DEA41-AC55-4344-AE12-77624939957F}"/>
    <cellStyle name="40% - Accent4 16" xfId="1016" xr:uid="{30AC0294-D302-439E-BBC3-86E0C32A3A6F}"/>
    <cellStyle name="40% - Accent4 17" xfId="1017" xr:uid="{7D4A8E9B-756C-4BC9-87B7-E0A1F79FDC07}"/>
    <cellStyle name="40% - Accent4 18" xfId="1018" xr:uid="{8F3BE03A-24F9-40A2-B0EB-F570517F4E69}"/>
    <cellStyle name="40% - Accent4 19" xfId="1019" xr:uid="{B279B09F-7880-4534-B31C-FC89378C0FDE}"/>
    <cellStyle name="40% - Accent4 2" xfId="1020" xr:uid="{E3149532-7420-4EB4-9730-9A98786F9C13}"/>
    <cellStyle name="40% - Accent4 2 2" xfId="1021" xr:uid="{6CA1479A-EC41-455B-9A5F-48FD3ADA8BAE}"/>
    <cellStyle name="40% - Accent4 2 2 2" xfId="1022" xr:uid="{12CFFC2D-F236-43F5-9D5F-A25118965741}"/>
    <cellStyle name="40% - Accent4 2 2 3" xfId="1023" xr:uid="{9C2CB050-4B48-4006-8EAC-5896CEA42C97}"/>
    <cellStyle name="40% - Accent4 2 3" xfId="1024" xr:uid="{CF8DDCF2-9FF4-4160-BE6C-556E55A3AF42}"/>
    <cellStyle name="40% - Accent4 2 3 2" xfId="1025" xr:uid="{480D02E3-C5E6-41EC-9E32-BC3244B3CD73}"/>
    <cellStyle name="40% - Accent4 2 3 2 2" xfId="1026" xr:uid="{69812B63-79C1-46BC-8739-C4800AE62C25}"/>
    <cellStyle name="40% - Accent4 2 3 3" xfId="1027" xr:uid="{13D727A9-8C75-4F3C-B0C9-58C4CDFE8B85}"/>
    <cellStyle name="40% - Accent4 2 3 4" xfId="1028" xr:uid="{D2609192-F24C-4D56-B49D-0EC7FC1D4EDF}"/>
    <cellStyle name="40% - Accent4 2 4" xfId="1029" xr:uid="{5B6F8633-C567-4766-94AC-2C65D0CDCA98}"/>
    <cellStyle name="40% - Accent4 2 5" xfId="1030" xr:uid="{98E2FB1F-87D0-4C2A-8620-40C2A766D224}"/>
    <cellStyle name="40% - Accent4 20" xfId="1031" xr:uid="{53A28FAB-8FA4-498A-B183-27682CC34BAB}"/>
    <cellStyle name="40% - Accent4 21" xfId="1032" xr:uid="{79E37605-5FA9-49CE-BAE8-D4EA1A2FB98F}"/>
    <cellStyle name="40% - Accent4 22" xfId="1033" xr:uid="{B8765717-4F6B-4C76-B8FA-EE4D51FB8C66}"/>
    <cellStyle name="40% - Accent4 23" xfId="1034" xr:uid="{904809F6-CE8F-4B94-AFC7-B5B3975E5E47}"/>
    <cellStyle name="40% - Accent4 24" xfId="1035" xr:uid="{053DBECB-5FB9-48FB-A34E-F9CB4401C0EB}"/>
    <cellStyle name="40% - Accent4 25" xfId="1036" xr:uid="{570BF652-72CD-40A6-A9A5-C5D4C30F284B}"/>
    <cellStyle name="40% - Accent4 26" xfId="1037" xr:uid="{1D1AA932-BDAA-4183-8C9F-0B21B26C9013}"/>
    <cellStyle name="40% - Accent4 27" xfId="1038" xr:uid="{8EEB57CB-7078-47ED-875E-408A35433D50}"/>
    <cellStyle name="40% - Accent4 28" xfId="1039" xr:uid="{DCAB3A05-1DCF-4E17-98B2-7DF80C77D1A8}"/>
    <cellStyle name="40% - Accent4 29" xfId="1040" xr:uid="{D3509828-728F-46B5-BDBF-DAC468208EC1}"/>
    <cellStyle name="40% - Accent4 3" xfId="1041" xr:uid="{5BDD1272-FD10-4D91-BA70-6BE4E0729D1D}"/>
    <cellStyle name="40% - Accent4 3 2" xfId="1042" xr:uid="{5AA7321E-9C44-4E25-92EC-A9CE7B07E07B}"/>
    <cellStyle name="40% - Accent4 3 3" xfId="1043" xr:uid="{F5AC50B5-FF06-4665-8EB1-5D1A63394A62}"/>
    <cellStyle name="40% - Accent4 30" xfId="1044" xr:uid="{A8CFAB4E-2943-4489-A673-D6C9814C2046}"/>
    <cellStyle name="40% - Accent4 31" xfId="1045" xr:uid="{F7D9E688-14E0-49F3-BBC3-ABD7CADEC07F}"/>
    <cellStyle name="40% - Accent4 32" xfId="1046" xr:uid="{E639ADE0-A1AD-4629-862A-2899820E89D0}"/>
    <cellStyle name="40% - Accent4 33" xfId="1047" xr:uid="{F137D67E-CE09-4323-8FC8-4E4BEDF4551E}"/>
    <cellStyle name="40% - Accent4 34" xfId="1048" xr:uid="{BA6874BB-8D2C-4E51-9B99-F2604E119E09}"/>
    <cellStyle name="40% - Accent4 35" xfId="1049" xr:uid="{CAA2E51E-B5D8-4D45-96CF-74FB75FDEA46}"/>
    <cellStyle name="40% - Accent4 35 2" xfId="1050" xr:uid="{65B130A4-B6B4-4E44-81B9-7D6DDD33D1FD}"/>
    <cellStyle name="40% - Accent4 35 2 2" xfId="1051" xr:uid="{F5355258-39E8-4C42-AD68-76ECCBC5A77F}"/>
    <cellStyle name="40% - Accent4 35 2 2 2" xfId="1052" xr:uid="{49E6E750-F585-4489-AF40-C8D6F198E97D}"/>
    <cellStyle name="40% - Accent4 35 2 2 3" xfId="1053" xr:uid="{75F41FA8-CF3B-49F2-B237-F2DA5030AD8B}"/>
    <cellStyle name="40% - Accent4 35 3" xfId="1054" xr:uid="{9111FE6A-247B-45B1-A95B-A622388FCF6A}"/>
    <cellStyle name="40% - Accent4 35 4" xfId="1055" xr:uid="{635E4660-8AA7-462C-ABF5-F55C96091984}"/>
    <cellStyle name="40% - Accent4 35 5" xfId="1056" xr:uid="{8E7DFE24-9FEE-46D8-950E-F57D99458943}"/>
    <cellStyle name="40% - Accent4 36" xfId="1057" xr:uid="{C8F45DED-585B-483A-88CB-63BA72FFD75A}"/>
    <cellStyle name="40% - Accent4 37" xfId="1058" xr:uid="{E3CC5221-6632-46A8-8AC4-25A0BEC3F681}"/>
    <cellStyle name="40% - Accent4 38" xfId="1059" xr:uid="{E5DFCA64-8255-4823-BEBA-534354997F47}"/>
    <cellStyle name="40% - Accent4 39" xfId="1060" xr:uid="{868D12A6-D219-4754-8708-8EFA539FFAA4}"/>
    <cellStyle name="40% - Accent4 4" xfId="1061" xr:uid="{5FDCDD90-629C-458C-82CC-C337B1256179}"/>
    <cellStyle name="40% - Accent4 4 2" xfId="1062" xr:uid="{1158234D-EDE5-4108-B1CE-5584C0642BEA}"/>
    <cellStyle name="40% - Accent4 40" xfId="1063" xr:uid="{33324E5C-EF53-4AEE-A3D9-86D94B4AB1D7}"/>
    <cellStyle name="40% - Accent4 41" xfId="1064" xr:uid="{64A59585-36BC-4142-8BC0-29790F2DCF90}"/>
    <cellStyle name="40% - Accent4 42" xfId="1065" xr:uid="{E8420A47-DC22-4104-8A8B-BACE9E42918F}"/>
    <cellStyle name="40% - Accent4 43" xfId="1066" xr:uid="{65FC5BBB-3796-409B-ABC1-7E95740BE46E}"/>
    <cellStyle name="40% - Accent4 44" xfId="1067" xr:uid="{5E6E03CE-DCAF-459E-A514-3325042EDBE0}"/>
    <cellStyle name="40% - Accent4 45" xfId="1068" xr:uid="{902C5794-5E07-42B3-89AB-BFFBA0067252}"/>
    <cellStyle name="40% - Accent4 46" xfId="1069" xr:uid="{C02B22E4-ABFA-47EE-AFB5-59F52E05DA12}"/>
    <cellStyle name="40% - Accent4 47" xfId="1070" xr:uid="{0602AC63-3BAF-47D0-A987-8FAEB2091BE3}"/>
    <cellStyle name="40% - Accent4 48" xfId="1071" xr:uid="{A8439F9B-F3CE-4D9A-9070-F55E0E502B69}"/>
    <cellStyle name="40% - Accent4 49" xfId="1072" xr:uid="{C305010F-6F03-4690-B4E4-1D3B3343DB6E}"/>
    <cellStyle name="40% - Accent4 5" xfId="1073" xr:uid="{EA573E3F-AD23-43D5-BC7C-534F7FA05DAB}"/>
    <cellStyle name="40% - Accent4 50" xfId="1074" xr:uid="{A278BE1E-575B-477F-B3EE-3DBEEBBAED38}"/>
    <cellStyle name="40% - Accent4 51" xfId="1075" xr:uid="{4DDE9DD6-7DC1-4E3F-A0B9-0058FCD836AE}"/>
    <cellStyle name="40% - Accent4 52" xfId="1076" xr:uid="{B7CC5163-D468-41BE-894F-F4AB4A26A946}"/>
    <cellStyle name="40% - Accent4 53" xfId="1077" xr:uid="{8380452F-B2D0-4DE0-9CA9-42D14C663903}"/>
    <cellStyle name="40% - Accent4 54" xfId="1078" xr:uid="{A0BF912D-C1A9-4C3C-B9D1-FDF036FF5897}"/>
    <cellStyle name="40% - Accent4 55" xfId="1079" xr:uid="{E7DF0CFB-6334-448E-93BE-1954CF4C220A}"/>
    <cellStyle name="40% - Accent4 56" xfId="1080" xr:uid="{97881C52-D126-473F-9507-5897B7D8ADE5}"/>
    <cellStyle name="40% - Accent4 57" xfId="1081" xr:uid="{60520067-32E2-4DE0-AAF1-AEEECC2B4CB1}"/>
    <cellStyle name="40% - Accent4 58" xfId="1082" xr:uid="{AEAF7490-3D61-424A-A0DD-C8B160C9FA98}"/>
    <cellStyle name="40% - Accent4 59" xfId="1083" xr:uid="{5F4751DF-CF06-4655-9CDB-093D5B27C58A}"/>
    <cellStyle name="40% - Accent4 6" xfId="1084" xr:uid="{C97B1242-243C-4AD1-99FF-F33C313A6882}"/>
    <cellStyle name="40% - Accent4 60" xfId="1085" xr:uid="{2F7CAF4F-FA96-4E85-A48D-5CF2F94770ED}"/>
    <cellStyle name="40% - Accent4 60 2" xfId="1086" xr:uid="{4C42F75E-BE2E-4CC5-BAB6-B4FB5B6CD5A0}"/>
    <cellStyle name="40% - Accent4 60 2 2" xfId="1087" xr:uid="{561AB5CE-0053-45F4-8C77-2F71B0C638E2}"/>
    <cellStyle name="40% - Accent4 60 2 2 2" xfId="1088" xr:uid="{7E5CF541-B146-4718-B850-40CC297BA11A}"/>
    <cellStyle name="40% - Accent4 60 2 3" xfId="1089" xr:uid="{2599C6AD-E29B-4F42-B52D-C8152429E5DC}"/>
    <cellStyle name="40% - Accent4 60 3" xfId="1090" xr:uid="{CC33CCB2-F8CE-474E-9680-D99620C15985}"/>
    <cellStyle name="40% - Accent4 61" xfId="1091" xr:uid="{BED37D8F-90AC-438E-9053-A659123FD2F3}"/>
    <cellStyle name="40% - Accent4 62" xfId="1092" xr:uid="{C9D90AC7-D969-4445-9108-3AFA2026D744}"/>
    <cellStyle name="40% - Accent4 63" xfId="1093" xr:uid="{634DEBC6-501A-432B-8211-A0A8C239ABDE}"/>
    <cellStyle name="40% - Accent4 64" xfId="1094" xr:uid="{15DA302A-D724-4B33-B97F-129B5B7C340B}"/>
    <cellStyle name="40% - Accent4 65" xfId="1095" xr:uid="{1BFEAA85-8A60-428F-806C-BC36DEDEC610}"/>
    <cellStyle name="40% - Accent4 7" xfId="1096" xr:uid="{4415A84C-132C-4A7E-83AB-0B8FAD34C80D}"/>
    <cellStyle name="40% - Accent4 8" xfId="1097" xr:uid="{D9D2326B-C7C9-4BAC-9BCA-527F07AA4834}"/>
    <cellStyle name="40% - Accent4 9" xfId="1098" xr:uid="{F1BD6D91-3B69-4B4A-9A4A-756D28014B32}"/>
    <cellStyle name="40% - Accent5 10" xfId="1099" xr:uid="{A8A34974-D963-492A-AF82-BC44DB4625C9}"/>
    <cellStyle name="40% - Accent5 11" xfId="1100" xr:uid="{DFC289CA-6C7E-403E-9AF2-78D9B81CF5C6}"/>
    <cellStyle name="40% - Accent5 12" xfId="1101" xr:uid="{7CFDC2D0-48C8-48DE-A4BB-D137302764E1}"/>
    <cellStyle name="40% - Accent5 13" xfId="1102" xr:uid="{B423E503-BF9C-4630-BB3F-EA989AED9F5B}"/>
    <cellStyle name="40% - Accent5 14" xfId="1103" xr:uid="{C657AA26-33B2-4988-916A-46A51638925E}"/>
    <cellStyle name="40% - Accent5 15" xfId="1104" xr:uid="{21B47CF1-9413-400A-9BDA-E5A49AD43963}"/>
    <cellStyle name="40% - Accent5 16" xfId="1105" xr:uid="{2752FD97-F033-411D-81C1-3FFB081AD4EF}"/>
    <cellStyle name="40% - Accent5 17" xfId="1106" xr:uid="{70AA1A9E-2D6B-47F7-96D9-244CC03E45B7}"/>
    <cellStyle name="40% - Accent5 18" xfId="1107" xr:uid="{582A1165-F322-4CA1-9826-900E83971E90}"/>
    <cellStyle name="40% - Accent5 19" xfId="1108" xr:uid="{FE3BE1AA-FE92-4E08-A196-52A8503EB762}"/>
    <cellStyle name="40% - Accent5 2" xfId="1109" xr:uid="{2DE731BC-2E36-467B-A856-1B137DBC388C}"/>
    <cellStyle name="40% - Accent5 2 2" xfId="1110" xr:uid="{93A8D814-D201-4996-9BC3-CACB6855D7EE}"/>
    <cellStyle name="40% - Accent5 2 2 2" xfId="1111" xr:uid="{7AB650CB-69A9-41B6-B499-E63FDCA4A234}"/>
    <cellStyle name="40% - Accent5 2 2 3" xfId="1112" xr:uid="{A5AFE41A-BCBC-4F72-A366-6AE6C6592B89}"/>
    <cellStyle name="40% - Accent5 2 3" xfId="1113" xr:uid="{FD825E3C-8AEA-4C11-A33F-74E27864C703}"/>
    <cellStyle name="40% - Accent5 2 3 2" xfId="1114" xr:uid="{CFEDD3ED-5CD8-4437-B20E-F7BBDC1A722F}"/>
    <cellStyle name="40% - Accent5 2 3 2 2" xfId="1115" xr:uid="{A1C50768-23B9-4386-8547-92AA3266708C}"/>
    <cellStyle name="40% - Accent5 2 3 3" xfId="1116" xr:uid="{9C359CAA-3201-47F4-BDBE-F060BC3A9E65}"/>
    <cellStyle name="40% - Accent5 2 3 4" xfId="1117" xr:uid="{B8CBC7AD-0B44-4F98-8E5C-DEFE3E887A70}"/>
    <cellStyle name="40% - Accent5 2 4" xfId="1118" xr:uid="{A3A0F851-7489-418F-8236-887C94B49A54}"/>
    <cellStyle name="40% - Accent5 2 5" xfId="1119" xr:uid="{B18D4383-0343-48CF-AB8F-05B427095F4B}"/>
    <cellStyle name="40% - Accent5 20" xfId="1120" xr:uid="{3FC9D43F-64B8-4CDC-871D-1F5A4C4B8605}"/>
    <cellStyle name="40% - Accent5 21" xfId="1121" xr:uid="{88EDB459-E06D-488D-A8E9-D2D7BD73BC68}"/>
    <cellStyle name="40% - Accent5 22" xfId="1122" xr:uid="{D058DD6D-91FA-4B1A-B88E-B26994564683}"/>
    <cellStyle name="40% - Accent5 23" xfId="1123" xr:uid="{E908654D-005D-4169-B210-61346E7B5F6D}"/>
    <cellStyle name="40% - Accent5 24" xfId="1124" xr:uid="{C26003A5-CFC2-4729-AA4A-907F196F5C72}"/>
    <cellStyle name="40% - Accent5 25" xfId="1125" xr:uid="{90D5C790-4A70-4148-8451-1B40BD977C53}"/>
    <cellStyle name="40% - Accent5 26" xfId="1126" xr:uid="{A2CCCB9D-FA97-4F55-BA02-6FCCFDEC9ECE}"/>
    <cellStyle name="40% - Accent5 27" xfId="1127" xr:uid="{9D18D9F7-2CFF-4969-B767-E33AE2FA388C}"/>
    <cellStyle name="40% - Accent5 28" xfId="1128" xr:uid="{9FC809D9-B4B5-44C4-9B98-F8083E66C195}"/>
    <cellStyle name="40% - Accent5 29" xfId="1129" xr:uid="{99590213-2387-4D10-8CF0-79C44A10A195}"/>
    <cellStyle name="40% - Accent5 3" xfId="1130" xr:uid="{010B4530-56B8-40DD-AE95-AD71A43EAA3D}"/>
    <cellStyle name="40% - Accent5 3 2" xfId="1131" xr:uid="{AF4F9C60-85F0-4AEE-B9FF-5882C3909CBE}"/>
    <cellStyle name="40% - Accent5 3 3" xfId="1132" xr:uid="{8BC36537-69D5-4D01-9162-8820DB5C49F7}"/>
    <cellStyle name="40% - Accent5 30" xfId="1133" xr:uid="{DDB66880-86C5-4E96-B25C-8D5B0B172078}"/>
    <cellStyle name="40% - Accent5 31" xfId="1134" xr:uid="{E88F2BB5-3D32-479D-A9EF-42B539780126}"/>
    <cellStyle name="40% - Accent5 32" xfId="1135" xr:uid="{97B0A45B-E3F2-479B-8ECD-9744424ADD63}"/>
    <cellStyle name="40% - Accent5 33" xfId="1136" xr:uid="{3006CFA7-AC52-45ED-BC06-7EC531FCD2EE}"/>
    <cellStyle name="40% - Accent5 34" xfId="1137" xr:uid="{D918EDA1-5712-488D-83D9-2C41011151FB}"/>
    <cellStyle name="40% - Accent5 35" xfId="1138" xr:uid="{B7D66396-AF83-4AC7-B7A6-584887289524}"/>
    <cellStyle name="40% - Accent5 35 2" xfId="1139" xr:uid="{4EDFBA15-EA0A-4F49-B23A-C0E40D9CC1E0}"/>
    <cellStyle name="40% - Accent5 35 2 2" xfId="1140" xr:uid="{8D2EC750-3698-47E8-BE3C-5D741AF97883}"/>
    <cellStyle name="40% - Accent5 35 2 2 2" xfId="1141" xr:uid="{18AC8088-F1BB-4D20-A119-CE8A342B418C}"/>
    <cellStyle name="40% - Accent5 35 2 2 3" xfId="1142" xr:uid="{09913E94-4D94-4BF8-9154-5D31AB71318D}"/>
    <cellStyle name="40% - Accent5 35 3" xfId="1143" xr:uid="{69A5A9D8-D9F3-4432-BC3F-78E34B796772}"/>
    <cellStyle name="40% - Accent5 35 4" xfId="1144" xr:uid="{52BCEED4-15C8-4C4E-BDEF-BDDF46DAEFF7}"/>
    <cellStyle name="40% - Accent5 35 5" xfId="1145" xr:uid="{A9E1573C-C4EB-4CC8-B972-B18E5E23D1E0}"/>
    <cellStyle name="40% - Accent5 36" xfId="1146" xr:uid="{FB2C6441-F54E-4720-A642-A329B67E7DF2}"/>
    <cellStyle name="40% - Accent5 37" xfId="1147" xr:uid="{271EBFAA-E5ED-44C2-B2C7-9FEF69726604}"/>
    <cellStyle name="40% - Accent5 38" xfId="1148" xr:uid="{4D77BD21-F54B-464B-94D1-2D656E211312}"/>
    <cellStyle name="40% - Accent5 39" xfId="1149" xr:uid="{AF7EFDDF-A1CD-432A-8469-BF10A1A467D5}"/>
    <cellStyle name="40% - Accent5 4" xfId="1150" xr:uid="{DC09BC1E-2D06-4121-9FBE-8130F468DB5B}"/>
    <cellStyle name="40% - Accent5 4 2" xfId="1151" xr:uid="{0406E61A-B883-4127-88D7-260C4740917A}"/>
    <cellStyle name="40% - Accent5 40" xfId="1152" xr:uid="{E2E8A999-C603-4F3E-B05B-CBBB4208EFBC}"/>
    <cellStyle name="40% - Accent5 41" xfId="1153" xr:uid="{921C3FC8-EAA6-40B2-BE64-AA85925DEEE4}"/>
    <cellStyle name="40% - Accent5 42" xfId="1154" xr:uid="{0BEB52BC-A42E-4CDC-88C9-3F447BDE4CB0}"/>
    <cellStyle name="40% - Accent5 43" xfId="1155" xr:uid="{785BD481-26F7-4D0C-A723-378676F82FD0}"/>
    <cellStyle name="40% - Accent5 44" xfId="1156" xr:uid="{B28A1A14-F7CD-45B4-A00B-62A6862486EF}"/>
    <cellStyle name="40% - Accent5 45" xfId="1157" xr:uid="{8C753416-F5DC-475C-979F-D90613520AD2}"/>
    <cellStyle name="40% - Accent5 46" xfId="1158" xr:uid="{17DC090C-849C-4D74-A6C9-06D24B012CF9}"/>
    <cellStyle name="40% - Accent5 47" xfId="1159" xr:uid="{0C9CCBD0-7E45-43A4-8AC6-2D807C37144E}"/>
    <cellStyle name="40% - Accent5 48" xfId="1160" xr:uid="{8E32E239-D02A-415D-92CA-BD7EE848C598}"/>
    <cellStyle name="40% - Accent5 49" xfId="1161" xr:uid="{875B3F1F-F858-4B89-9A3C-7FDF4796F08D}"/>
    <cellStyle name="40% - Accent5 5" xfId="1162" xr:uid="{BE936732-A63E-4C54-9186-035C6A8D05BA}"/>
    <cellStyle name="40% - Accent5 50" xfId="1163" xr:uid="{6BAB280B-733F-4923-8625-947FDF135B58}"/>
    <cellStyle name="40% - Accent5 51" xfId="1164" xr:uid="{284D9E13-A90E-4D30-8881-49A15E44AF06}"/>
    <cellStyle name="40% - Accent5 52" xfId="1165" xr:uid="{FB531A0C-FA05-4C98-9B40-E02C9EE7316C}"/>
    <cellStyle name="40% - Accent5 53" xfId="1166" xr:uid="{D44FE268-7076-452B-9F68-26D2ED6795F2}"/>
    <cellStyle name="40% - Accent5 54" xfId="1167" xr:uid="{2F7DF0E8-2777-468E-9755-A96F39369A36}"/>
    <cellStyle name="40% - Accent5 55" xfId="1168" xr:uid="{F53DD472-4339-48C4-A9EE-5EA41A4DF01D}"/>
    <cellStyle name="40% - Accent5 56" xfId="1169" xr:uid="{3C85D560-63DF-42F7-8B24-8990BD3B3317}"/>
    <cellStyle name="40% - Accent5 57" xfId="1170" xr:uid="{0D3B46B1-838F-4354-87CC-C7ACF072B79E}"/>
    <cellStyle name="40% - Accent5 58" xfId="1171" xr:uid="{34615728-E6DC-4D45-B172-163F9B9E4C8B}"/>
    <cellStyle name="40% - Accent5 59" xfId="1172" xr:uid="{81BA5593-F0C7-432B-BD2F-271CDF87F1AC}"/>
    <cellStyle name="40% - Accent5 6" xfId="1173" xr:uid="{85AA52AE-BC13-4728-87A2-5CEF66AB715F}"/>
    <cellStyle name="40% - Accent5 60" xfId="1174" xr:uid="{86158294-C2B2-44BF-AE6E-C15FFABCE64B}"/>
    <cellStyle name="40% - Accent5 60 2" xfId="1175" xr:uid="{1B815FA2-3CB8-4106-9044-4FD1FD22272F}"/>
    <cellStyle name="40% - Accent5 60 2 2" xfId="1176" xr:uid="{82832419-C684-480C-8523-9005C6F859DF}"/>
    <cellStyle name="40% - Accent5 60 2 3" xfId="1177" xr:uid="{679627A6-EEF9-4F6E-BFFF-4C742B037541}"/>
    <cellStyle name="40% - Accent5 60 3" xfId="1178" xr:uid="{4A2066C5-2C42-44D0-B00B-E509062BDEDD}"/>
    <cellStyle name="40% - Accent5 61" xfId="1179" xr:uid="{5BCC9B3A-0A50-49D8-8BD1-6E31D2308BEB}"/>
    <cellStyle name="40% - Accent5 62" xfId="1180" xr:uid="{CF9F450D-C4CA-4936-B2EB-2681E2AE8ECC}"/>
    <cellStyle name="40% - Accent5 63" xfId="1181" xr:uid="{587FC4B7-FB6A-4DE6-8205-EBB8CE133223}"/>
    <cellStyle name="40% - Accent5 64" xfId="1182" xr:uid="{7E0EA79D-5DC1-4383-941F-B4C166B7582C}"/>
    <cellStyle name="40% - Accent5 65" xfId="1183" xr:uid="{DAA90108-E26A-4D33-B91A-6198EE521F55}"/>
    <cellStyle name="40% - Accent5 7" xfId="1184" xr:uid="{4B9A8ED6-4C78-465B-B4AB-A4D6D4B7A36A}"/>
    <cellStyle name="40% - Accent5 8" xfId="1185" xr:uid="{523851E3-E3FF-47C5-9F7F-7C7C2D9DF3F0}"/>
    <cellStyle name="40% - Accent5 9" xfId="1186" xr:uid="{834226A4-CE8E-41CB-B693-F63310FAD87B}"/>
    <cellStyle name="40% - Accent6 10" xfId="1187" xr:uid="{95882E19-4650-4BBC-BC59-AAC265F87825}"/>
    <cellStyle name="40% - Accent6 11" xfId="1188" xr:uid="{C44FAECA-7EA3-45A6-BF15-0A80DFB23D1E}"/>
    <cellStyle name="40% - Accent6 12" xfId="1189" xr:uid="{819251E0-D46F-41D5-AC00-6F18C407EBAB}"/>
    <cellStyle name="40% - Accent6 13" xfId="1190" xr:uid="{003D15E4-B200-47A0-AF3B-13D02FE772EB}"/>
    <cellStyle name="40% - Accent6 14" xfId="1191" xr:uid="{0DCF0F8C-8B23-4063-8658-9A148BE311B6}"/>
    <cellStyle name="40% - Accent6 15" xfId="1192" xr:uid="{F47D0ECA-04E8-45A6-81FC-A4C945E9FDD7}"/>
    <cellStyle name="40% - Accent6 16" xfId="1193" xr:uid="{EE2375FF-03FF-4408-AE97-8B067393C7BC}"/>
    <cellStyle name="40% - Accent6 17" xfId="1194" xr:uid="{3BB52AC6-8CB4-4453-A6FA-EE81382FB994}"/>
    <cellStyle name="40% - Accent6 18" xfId="1195" xr:uid="{AD457843-990D-4593-8585-B3DDF5CD19B3}"/>
    <cellStyle name="40% - Accent6 19" xfId="1196" xr:uid="{07417E5F-0498-46D1-9E91-17F41BA06F7E}"/>
    <cellStyle name="40% - Accent6 2" xfId="1197" xr:uid="{07E3310C-65B5-4309-86DD-83B46F91C6E4}"/>
    <cellStyle name="40% - Accent6 2 2" xfId="1198" xr:uid="{62C46102-74B9-4764-8E0F-941C20A2C156}"/>
    <cellStyle name="40% - Accent6 2 2 2" xfId="1199" xr:uid="{CB50B6AE-476E-4CB2-9633-52F1A8ECFD85}"/>
    <cellStyle name="40% - Accent6 2 2 3" xfId="1200" xr:uid="{0589C847-8B47-4179-83D5-28583170B359}"/>
    <cellStyle name="40% - Accent6 2 3" xfId="1201" xr:uid="{0C2988FA-0EE7-4AF2-B3C8-B5FCEB103965}"/>
    <cellStyle name="40% - Accent6 2 3 2" xfId="1202" xr:uid="{8E567DA5-B8C6-4A82-841C-C84FA9068AFB}"/>
    <cellStyle name="40% - Accent6 2 3 2 2" xfId="1203" xr:uid="{DBFC9E7F-8A2E-422E-8C30-CFF324B239B4}"/>
    <cellStyle name="40% - Accent6 2 3 3" xfId="1204" xr:uid="{8B38DF6F-C045-4C41-BB4B-65F4672661F4}"/>
    <cellStyle name="40% - Accent6 2 3 4" xfId="1205" xr:uid="{9B20019B-24BF-4A91-8A55-F6360278D8C7}"/>
    <cellStyle name="40% - Accent6 2 4" xfId="1206" xr:uid="{83F63E1C-704B-4D97-ACFF-ABAF7040C7EC}"/>
    <cellStyle name="40% - Accent6 2 5" xfId="1207" xr:uid="{F991A3C2-83C0-40B3-9AA9-14264C5A2237}"/>
    <cellStyle name="40% - Accent6 20" xfId="1208" xr:uid="{98AB4E04-7A05-4186-8194-6664A20471BB}"/>
    <cellStyle name="40% - Accent6 21" xfId="1209" xr:uid="{D0E3F220-B9E5-4A44-8E12-96E69705398D}"/>
    <cellStyle name="40% - Accent6 22" xfId="1210" xr:uid="{8164D6A3-1613-4C6E-BB57-BF2002C2553A}"/>
    <cellStyle name="40% - Accent6 23" xfId="1211" xr:uid="{7D087070-7E9B-414A-B413-4B043C3FED5E}"/>
    <cellStyle name="40% - Accent6 24" xfId="1212" xr:uid="{E515E227-3B6A-4D2B-ABA1-EA6674157C32}"/>
    <cellStyle name="40% - Accent6 25" xfId="1213" xr:uid="{23806996-928B-4CE9-967C-56FCD5166B8A}"/>
    <cellStyle name="40% - Accent6 26" xfId="1214" xr:uid="{CDB6EDA7-EF12-4702-AF8A-122502FFEA28}"/>
    <cellStyle name="40% - Accent6 27" xfId="1215" xr:uid="{405E7853-DA1A-4DC3-892F-22649C075B10}"/>
    <cellStyle name="40% - Accent6 28" xfId="1216" xr:uid="{24D87EF2-99DC-4A52-B6B0-A5A245E2CDC9}"/>
    <cellStyle name="40% - Accent6 29" xfId="1217" xr:uid="{097FF3BF-B02A-4554-BFDE-8DC628AD7BC7}"/>
    <cellStyle name="40% - Accent6 3" xfId="1218" xr:uid="{A60E112B-F198-41D2-BFC4-595B6F84A137}"/>
    <cellStyle name="40% - Accent6 3 2" xfId="1219" xr:uid="{2846A50A-11FA-4835-8880-848AA2F3F3C7}"/>
    <cellStyle name="40% - Accent6 3 3" xfId="1220" xr:uid="{F9B761F2-78FE-4428-928E-866A4AB5595D}"/>
    <cellStyle name="40% - Accent6 30" xfId="1221" xr:uid="{D4E71002-6241-40B9-9F3C-45F400C61FEB}"/>
    <cellStyle name="40% - Accent6 31" xfId="1222" xr:uid="{F5F344A6-202A-40FB-80F6-0DE6110D8561}"/>
    <cellStyle name="40% - Accent6 32" xfId="1223" xr:uid="{540FA733-BC1D-4DBD-920D-CE96C3F71E1E}"/>
    <cellStyle name="40% - Accent6 33" xfId="1224" xr:uid="{783C7B96-E730-4750-81FB-3DCE0A7C9CBC}"/>
    <cellStyle name="40% - Accent6 34" xfId="1225" xr:uid="{2E8CBC54-CF6A-4164-8B43-0BEFE502B962}"/>
    <cellStyle name="40% - Accent6 35" xfId="1226" xr:uid="{9D583614-1092-4AD5-AEEA-5F353ACA6374}"/>
    <cellStyle name="40% - Accent6 35 2" xfId="1227" xr:uid="{5F73181C-3420-4333-9FB3-6239133C5CC2}"/>
    <cellStyle name="40% - Accent6 35 2 2" xfId="1228" xr:uid="{EDFC99F2-074B-4FE4-A238-3ACC691F82D7}"/>
    <cellStyle name="40% - Accent6 35 2 2 2" xfId="1229" xr:uid="{46FE68AA-A07C-4BDA-A5F8-FF188D257C81}"/>
    <cellStyle name="40% - Accent6 35 2 2 3" xfId="1230" xr:uid="{D76AB608-651F-4C9F-9400-FA2E1730F3E4}"/>
    <cellStyle name="40% - Accent6 35 3" xfId="1231" xr:uid="{7274BC86-6980-4702-AE12-6D3CA0E6CBA5}"/>
    <cellStyle name="40% - Accent6 35 4" xfId="1232" xr:uid="{744B7192-30E1-48F4-B442-CEA1F4FC22DF}"/>
    <cellStyle name="40% - Accent6 35 5" xfId="1233" xr:uid="{BA5EB05B-6CE2-4B58-B672-01F17070B8DA}"/>
    <cellStyle name="40% - Accent6 36" xfId="1234" xr:uid="{41AF4CD7-0AD3-4073-B45C-FBDFD27D22A0}"/>
    <cellStyle name="40% - Accent6 37" xfId="1235" xr:uid="{E2228BD9-DB59-4C52-8A97-3DE9CF29989C}"/>
    <cellStyle name="40% - Accent6 38" xfId="1236" xr:uid="{DCA5D4E2-4C28-4292-B6AB-A9EEB647F132}"/>
    <cellStyle name="40% - Accent6 39" xfId="1237" xr:uid="{4C660396-3732-47C3-BDFC-C19EEC9660FB}"/>
    <cellStyle name="40% - Accent6 4" xfId="1238" xr:uid="{6A4CFDA5-101D-4301-B931-35ED5001ED0D}"/>
    <cellStyle name="40% - Accent6 4 2" xfId="1239" xr:uid="{703E27AF-D6EF-4745-A7BB-15380D9E3EE3}"/>
    <cellStyle name="40% - Accent6 40" xfId="1240" xr:uid="{AB470D0F-D636-452A-B8FB-6675D92F499B}"/>
    <cellStyle name="40% - Accent6 41" xfId="1241" xr:uid="{6DA68CAC-6C40-4919-B02D-6901BFB32242}"/>
    <cellStyle name="40% - Accent6 42" xfId="1242" xr:uid="{119A53C5-AD30-422C-9424-2C632683F180}"/>
    <cellStyle name="40% - Accent6 43" xfId="1243" xr:uid="{AA9B5789-F699-48EE-948E-CC4356818929}"/>
    <cellStyle name="40% - Accent6 44" xfId="1244" xr:uid="{85C52D1F-CBD7-4AFF-A8DE-C689B28FE573}"/>
    <cellStyle name="40% - Accent6 45" xfId="1245" xr:uid="{AC63F494-A271-4DDE-B6BF-0FC502836EBB}"/>
    <cellStyle name="40% - Accent6 46" xfId="1246" xr:uid="{ECEEFC39-DB17-4BD8-B283-DF092BB0DBFE}"/>
    <cellStyle name="40% - Accent6 47" xfId="1247" xr:uid="{319DAACE-3AE7-4AC9-BC1C-691A6BDB7A9E}"/>
    <cellStyle name="40% - Accent6 48" xfId="1248" xr:uid="{9B34B698-A617-404E-B7F5-3AC411FA10B0}"/>
    <cellStyle name="40% - Accent6 49" xfId="1249" xr:uid="{9DAC6A6E-AABD-4593-AA5D-9CA6749C3909}"/>
    <cellStyle name="40% - Accent6 5" xfId="1250" xr:uid="{BEA33D71-1ECC-4107-BF52-EA55832C8C23}"/>
    <cellStyle name="40% - Accent6 50" xfId="1251" xr:uid="{A7EE1736-9E54-4A07-8C9A-96DD7CAC6BBF}"/>
    <cellStyle name="40% - Accent6 51" xfId="1252" xr:uid="{42653658-AA0A-45FF-85C1-431DC42DF6C4}"/>
    <cellStyle name="40% - Accent6 52" xfId="1253" xr:uid="{957BDEFD-8128-4945-8DE8-8869413B56F1}"/>
    <cellStyle name="40% - Accent6 53" xfId="1254" xr:uid="{AA631C38-D595-423C-AE3B-C846912BE272}"/>
    <cellStyle name="40% - Accent6 54" xfId="1255" xr:uid="{546F4F43-B733-41AC-8997-EE88A13698F6}"/>
    <cellStyle name="40% - Accent6 55" xfId="1256" xr:uid="{17B21CAD-6CE4-4AB3-9700-C2BEEC6B310D}"/>
    <cellStyle name="40% - Accent6 56" xfId="1257" xr:uid="{6A47BDCB-F58A-4834-B318-E1659C5DFD0B}"/>
    <cellStyle name="40% - Accent6 57" xfId="1258" xr:uid="{24A51E8C-BB9D-403B-B564-DBF9637334B0}"/>
    <cellStyle name="40% - Accent6 58" xfId="1259" xr:uid="{2FE47EE7-F915-4073-A186-CCF38BF88784}"/>
    <cellStyle name="40% - Accent6 59" xfId="1260" xr:uid="{0CA5AF7C-BF57-4159-A126-701102D71EB9}"/>
    <cellStyle name="40% - Accent6 6" xfId="1261" xr:uid="{04DEA89C-3BC6-48D5-9EB9-7201B7DEC9B0}"/>
    <cellStyle name="40% - Accent6 60" xfId="1262" xr:uid="{5D18AB12-E55C-4FEB-95AD-9C9AD0AF9431}"/>
    <cellStyle name="40% - Accent6 60 2" xfId="1263" xr:uid="{961ABDFB-C76F-41C9-A2C9-7CBF979EF405}"/>
    <cellStyle name="40% - Accent6 60 2 2" xfId="1264" xr:uid="{8C1F6421-C03A-48CD-A53B-EFC931AB2030}"/>
    <cellStyle name="40% - Accent6 60 2 2 2" xfId="1265" xr:uid="{79E7D6EC-77B2-4527-A213-EE95E069E504}"/>
    <cellStyle name="40% - Accent6 60 2 3" xfId="1266" xr:uid="{AD2DE5D5-76B8-4E60-A483-6EC1E969559A}"/>
    <cellStyle name="40% - Accent6 60 3" xfId="1267" xr:uid="{F6CC4C84-E949-4DF5-AB6A-AD0923867259}"/>
    <cellStyle name="40% - Accent6 61" xfId="1268" xr:uid="{57C7A5AD-D5BF-4742-B770-D0457554AF41}"/>
    <cellStyle name="40% - Accent6 62" xfId="1269" xr:uid="{0F64DC61-A168-472C-AF88-D0F5CE7A5D98}"/>
    <cellStyle name="40% - Accent6 63" xfId="1270" xr:uid="{528E01C1-F936-4307-AD80-B1A503428FBF}"/>
    <cellStyle name="40% - Accent6 64" xfId="1271" xr:uid="{94A54636-FE37-4E6A-8623-606F1BCFE084}"/>
    <cellStyle name="40% - Accent6 65" xfId="1272" xr:uid="{408F86B0-2761-4865-851E-C0F273C58487}"/>
    <cellStyle name="40% - Accent6 7" xfId="1273" xr:uid="{0959BC2D-D44E-43A7-B812-4859F850495C}"/>
    <cellStyle name="40% - Accent6 8" xfId="1274" xr:uid="{B62C29DC-2C50-4D22-A68C-667D84CE3C47}"/>
    <cellStyle name="40% - Accent6 9" xfId="1275" xr:uid="{C2BD4610-71F1-40DC-8C54-3B2A24F79375}"/>
    <cellStyle name="40% - Colore 1" xfId="1276" xr:uid="{CAD5D1B8-A849-4B61-A470-2C0FE94D8640}"/>
    <cellStyle name="40% - Colore 1 2" xfId="1277" xr:uid="{9D12AF4E-21D4-40E0-9065-C53473E7342F}"/>
    <cellStyle name="40% - Colore 2" xfId="1278" xr:uid="{149FE461-0A57-4483-8090-22FBD0932B0D}"/>
    <cellStyle name="40% - Colore 2 2" xfId="1279" xr:uid="{43CA81D2-72BE-4951-B8B6-87BA6A3C6CF5}"/>
    <cellStyle name="40% - Colore 3" xfId="1280" xr:uid="{40CE767F-0446-4E61-8C28-578E01FE01AA}"/>
    <cellStyle name="40% - Colore 3 2" xfId="1281" xr:uid="{51AA5BF7-B7B5-42CC-A99C-DB3E288A4F9D}"/>
    <cellStyle name="40% - Colore 4" xfId="1282" xr:uid="{E3FF4617-1FA8-48D2-9443-9C1D0BD36DE2}"/>
    <cellStyle name="40% - Colore 4 2" xfId="1283" xr:uid="{B81426DD-09B9-49AD-B9D7-5123EB2E3B98}"/>
    <cellStyle name="40% - Colore 5" xfId="1284" xr:uid="{F2F9C6CF-79A2-442E-A656-CE6278CF2A2C}"/>
    <cellStyle name="40% - Colore 5 2" xfId="1285" xr:uid="{5823E264-4148-4834-9AC2-2D6EAB497350}"/>
    <cellStyle name="40% - Colore 6" xfId="1286" xr:uid="{0AB54C81-A33C-4AD7-B526-A96EEC8FC9CD}"/>
    <cellStyle name="40% - Colore 6 2" xfId="1287" xr:uid="{B337CD2E-2EAE-4675-BE62-E186C19C7137}"/>
    <cellStyle name="4dp" xfId="1288" xr:uid="{577562D1-80FD-40E2-A5C4-1A14CCA36AE5}"/>
    <cellStyle name="4dp 2" xfId="1289" xr:uid="{19A48753-AB8B-4C3A-B4B3-C90FFD86BDDA}"/>
    <cellStyle name="4dp 2 2" xfId="1290" xr:uid="{95667519-EED8-4BBF-B454-886C940CD31A}"/>
    <cellStyle name="4dp 3" xfId="1291" xr:uid="{729737FF-9105-40B5-8778-AAE4153A8340}"/>
    <cellStyle name="5x indented GHG Textfiels" xfId="1292" xr:uid="{B2E713E9-B493-418B-8CA0-D673E795F816}"/>
    <cellStyle name="5x indented GHG Textfiels 2" xfId="1293" xr:uid="{4C561703-1628-47F1-A2C0-C42B3DA2530C}"/>
    <cellStyle name="5x indented GHG Textfiels 3" xfId="1294" xr:uid="{A775F836-A20D-49B0-A4BB-8D5BFE6A0411}"/>
    <cellStyle name="60% - Accent1 10" xfId="1295" xr:uid="{7C416FC1-1F05-4148-8B36-919B3607BD4C}"/>
    <cellStyle name="60% - Accent1 11" xfId="1296" xr:uid="{AE8D2111-9760-4F08-B69A-ED20EDF700DA}"/>
    <cellStyle name="60% - Accent1 12" xfId="1297" xr:uid="{79B2AA2A-0A43-4E94-9873-E55EF6B1D428}"/>
    <cellStyle name="60% - Accent1 13" xfId="1298" xr:uid="{B6429AE3-7E10-4079-9527-D2A5FED9F7C7}"/>
    <cellStyle name="60% - Accent1 14" xfId="1299" xr:uid="{60DC96A1-67FA-4723-9EFF-B45B48116479}"/>
    <cellStyle name="60% - Accent1 15" xfId="1300" xr:uid="{414493CF-CB19-47E1-B345-A0F934562C48}"/>
    <cellStyle name="60% - Accent1 16" xfId="1301" xr:uid="{731CBA20-7940-442D-B522-3537EB0E48AA}"/>
    <cellStyle name="60% - Accent1 17" xfId="1302" xr:uid="{5F622C9F-EAD4-4AF7-A465-C5DCA6583124}"/>
    <cellStyle name="60% - Accent1 18" xfId="1303" xr:uid="{7C4B6A5E-8956-40E8-833D-45CB1DD06062}"/>
    <cellStyle name="60% - Accent1 19" xfId="1304" xr:uid="{A916359C-E84D-4C0A-AA77-06FEDB92CA31}"/>
    <cellStyle name="60% - Accent1 2" xfId="1305" xr:uid="{9E1A8909-667E-4C3B-A1AC-A7AEF8FF0E4E}"/>
    <cellStyle name="60% - Accent1 2 2" xfId="1306" xr:uid="{04C1DE83-D4E9-49D7-97C3-51FDD56B57AD}"/>
    <cellStyle name="60% - Accent1 2 2 2" xfId="1307" xr:uid="{7BB812C8-7F58-4B00-855C-C8D847219D32}"/>
    <cellStyle name="60% - Accent1 2 2 3" xfId="1308" xr:uid="{8E2F8331-9E61-4357-AD70-D90C78FAB018}"/>
    <cellStyle name="60% - Accent1 2 3" xfId="1309" xr:uid="{544A48B7-AA9B-4BA2-A78F-46A9EF34201C}"/>
    <cellStyle name="60% - Accent1 2 4" xfId="1310" xr:uid="{C8F7E8A9-D432-4CEE-8107-240B59B09746}"/>
    <cellStyle name="60% - Accent1 2 5" xfId="1311" xr:uid="{D620E7D5-62E7-4741-9234-4EAF84E86CBB}"/>
    <cellStyle name="60% - Accent1 20" xfId="1312" xr:uid="{C4C56942-4BF7-4377-BA48-38384B8C131F}"/>
    <cellStyle name="60% - Accent1 21" xfId="1313" xr:uid="{478C4F8E-17CB-49C2-93E2-C4A46CDEDB93}"/>
    <cellStyle name="60% - Accent1 22" xfId="1314" xr:uid="{AF515D63-249F-451A-A910-B2FF0E5D09F4}"/>
    <cellStyle name="60% - Accent1 23" xfId="1315" xr:uid="{D2B421D0-004D-471C-A9A8-89706C16A037}"/>
    <cellStyle name="60% - Accent1 24" xfId="1316" xr:uid="{2ED12547-F561-476F-9189-CBC2CFF8B5C4}"/>
    <cellStyle name="60% - Accent1 25" xfId="1317" xr:uid="{890DA0AD-5744-4762-9BFD-05FF9E22673E}"/>
    <cellStyle name="60% - Accent1 26" xfId="1318" xr:uid="{861EFEFC-22FF-4ECF-B1F4-DA00CC067086}"/>
    <cellStyle name="60% - Accent1 27" xfId="1319" xr:uid="{375DF9E2-6AD7-4CE8-9023-3FCF7E5C63E8}"/>
    <cellStyle name="60% - Accent1 28" xfId="1320" xr:uid="{1D3F8DA4-4D37-46F0-A2D7-417E4EC42BCB}"/>
    <cellStyle name="60% - Accent1 29" xfId="1321" xr:uid="{F9E6E668-C7D9-4583-B9BE-7A456DB473D5}"/>
    <cellStyle name="60% - Accent1 3" xfId="1322" xr:uid="{95F2B940-389E-43E1-8689-147ED0E2B382}"/>
    <cellStyle name="60% - Accent1 3 2" xfId="1323" xr:uid="{0E100670-4606-4102-97B3-1A7D40F6A4C4}"/>
    <cellStyle name="60% - Accent1 3 3" xfId="1324" xr:uid="{FF93B179-80BF-493F-B5E9-FD09CE8D96B5}"/>
    <cellStyle name="60% - Accent1 30" xfId="1325" xr:uid="{F080CB8E-047A-4E9B-BEB0-390C3C619F14}"/>
    <cellStyle name="60% - Accent1 31" xfId="1326" xr:uid="{030F184F-2BD5-4534-BA1E-4C30562FD667}"/>
    <cellStyle name="60% - Accent1 32" xfId="1327" xr:uid="{1A5E9E70-2BF8-4A1C-A91C-E1E6777A2737}"/>
    <cellStyle name="60% - Accent1 33" xfId="1328" xr:uid="{FBDE536C-CAA1-4B6C-AFB9-CE0B99A76155}"/>
    <cellStyle name="60% - Accent1 34" xfId="1329" xr:uid="{FDB102CC-4A02-42FF-B82F-FC55E646954E}"/>
    <cellStyle name="60% - Accent1 35" xfId="1330" xr:uid="{C7E3E633-D2E7-40F8-8C96-BD6E0BA2D49D}"/>
    <cellStyle name="60% - Accent1 35 2" xfId="1331" xr:uid="{C7E8FF61-0CF6-487A-A36D-A0D779100790}"/>
    <cellStyle name="60% - Accent1 35 2 2" xfId="1332" xr:uid="{D6CB42A3-992E-474A-87A5-69BEE5272831}"/>
    <cellStyle name="60% - Accent1 35 2 2 2" xfId="1333" xr:uid="{2A757B71-7835-4EAE-9B40-8705EFA2CC75}"/>
    <cellStyle name="60% - Accent1 35 3" xfId="1334" xr:uid="{CFEC5BAF-89D2-4642-9B78-EC39239DD416}"/>
    <cellStyle name="60% - Accent1 35 4" xfId="1335" xr:uid="{9145AEA5-2342-4E9E-8C55-779521455632}"/>
    <cellStyle name="60% - Accent1 36" xfId="1336" xr:uid="{8FC8BE7C-B1C0-42A6-817E-CFBB2455B275}"/>
    <cellStyle name="60% - Accent1 37" xfId="1337" xr:uid="{9802BBCE-2572-4020-9598-5DA401CD9984}"/>
    <cellStyle name="60% - Accent1 38" xfId="1338" xr:uid="{43A4CF40-1A69-404B-AE4D-4B9D25DC74D8}"/>
    <cellStyle name="60% - Accent1 39" xfId="1339" xr:uid="{67E122B5-ABB6-45F5-9002-96FB7E58045E}"/>
    <cellStyle name="60% - Accent1 4" xfId="1340" xr:uid="{1F49AA89-5D02-4554-AD43-400F3955D83A}"/>
    <cellStyle name="60% - Accent1 4 2" xfId="1341" xr:uid="{6EB9E29A-57BB-4F38-AB61-B1D66A689392}"/>
    <cellStyle name="60% - Accent1 40" xfId="1342" xr:uid="{B324CF2E-7FC2-432C-8C36-E55707B88AD5}"/>
    <cellStyle name="60% - Accent1 41" xfId="1343" xr:uid="{01CFEA90-4595-4F4F-86B2-27D379E59C2A}"/>
    <cellStyle name="60% - Accent1 42" xfId="1344" xr:uid="{06248D2B-6E3A-464E-B374-47DAF45F638C}"/>
    <cellStyle name="60% - Accent1 43" xfId="1345" xr:uid="{0EB155BC-A1F4-4A03-8E96-D87E83DD9996}"/>
    <cellStyle name="60% - Accent1 44" xfId="1346" xr:uid="{A5373A77-FB0A-472B-BF2A-E4EABD28EF02}"/>
    <cellStyle name="60% - Accent1 45" xfId="1347" xr:uid="{252EE91F-0763-4554-A8F3-C695CE21C853}"/>
    <cellStyle name="60% - Accent1 46" xfId="1348" xr:uid="{6CAC1EFF-1914-4B5B-AF2E-5DC5CBF3782F}"/>
    <cellStyle name="60% - Accent1 47" xfId="1349" xr:uid="{B6C6B6DE-7FDB-4D37-9928-2D0CC1EF2ACB}"/>
    <cellStyle name="60% - Accent1 48" xfId="1350" xr:uid="{E6733E08-5BC3-48B8-9DE9-8062300CC599}"/>
    <cellStyle name="60% - Accent1 49" xfId="1351" xr:uid="{2D279125-638E-4450-9100-E569698152AE}"/>
    <cellStyle name="60% - Accent1 5" xfId="1352" xr:uid="{335DE94A-B3BA-411A-A847-F85A58642476}"/>
    <cellStyle name="60% - Accent1 50" xfId="1353" xr:uid="{512EB8BB-92F2-4431-B845-DD0C213FBCD5}"/>
    <cellStyle name="60% - Accent1 51" xfId="1354" xr:uid="{622617B1-412F-4C61-9284-B49E9A1F9441}"/>
    <cellStyle name="60% - Accent1 52" xfId="1355" xr:uid="{86417728-11E2-4318-A859-B57E8FE36A07}"/>
    <cellStyle name="60% - Accent1 53" xfId="1356" xr:uid="{9F6EC4F7-3FDF-4CA5-B38C-2B9EDFF2816A}"/>
    <cellStyle name="60% - Accent1 54" xfId="1357" xr:uid="{39348394-C5BD-4B65-903D-C63B3D72D4CB}"/>
    <cellStyle name="60% - Accent1 55" xfId="1358" xr:uid="{B046AEA4-6A53-43B2-B14B-9A03B81B7B7E}"/>
    <cellStyle name="60% - Accent1 56" xfId="1359" xr:uid="{C5B22967-268D-4019-AF4C-2318446D760A}"/>
    <cellStyle name="60% - Accent1 57" xfId="1360" xr:uid="{51A7F64A-ED9D-494C-BD8C-EE15342D77B9}"/>
    <cellStyle name="60% - Accent1 58" xfId="1361" xr:uid="{BE469046-1DCF-4ED6-91D1-A69A6C309540}"/>
    <cellStyle name="60% - Accent1 59" xfId="1362" xr:uid="{E199A555-D18C-4B07-9DC4-B7B075338BC0}"/>
    <cellStyle name="60% - Accent1 6" xfId="1363" xr:uid="{4A432A4A-1F52-4545-B16D-3D03BE00A33A}"/>
    <cellStyle name="60% - Accent1 60" xfId="1364" xr:uid="{489B933F-C8A2-4088-AF39-402485956C6A}"/>
    <cellStyle name="60% - Accent1 60 2" xfId="1365" xr:uid="{E8D16EC0-2C07-4AB3-80BA-0F3D6968FE01}"/>
    <cellStyle name="60% - Accent1 60 2 2" xfId="1366" xr:uid="{88D40D8E-EF37-44D4-9A0E-67AC324CD932}"/>
    <cellStyle name="60% - Accent1 60 2 2 2" xfId="1367" xr:uid="{C9EBCF15-64C3-4297-AC08-F5916DE78F49}"/>
    <cellStyle name="60% - Accent1 60 2 3" xfId="1368" xr:uid="{68ECD402-36CA-49FC-9D73-7E0E32FB5750}"/>
    <cellStyle name="60% - Accent1 61" xfId="1369" xr:uid="{362773D3-7759-43BA-B24F-C15EFCD17745}"/>
    <cellStyle name="60% - Accent1 62" xfId="1370" xr:uid="{F3A3AA22-B1C1-448E-89BA-031709004375}"/>
    <cellStyle name="60% - Accent1 63" xfId="1371" xr:uid="{4958C56A-ACEC-4B58-B9FE-35234A50E9A5}"/>
    <cellStyle name="60% - Accent1 64" xfId="1372" xr:uid="{9794E152-1B01-4AE7-A738-20F36D2AF697}"/>
    <cellStyle name="60% - Accent1 65" xfId="1373" xr:uid="{D9A3DA25-0C75-4EE0-92EC-62598D3D6EC1}"/>
    <cellStyle name="60% - Accent1 7" xfId="1374" xr:uid="{55B7F45D-75A5-4ACC-8008-A8AF9F9175A4}"/>
    <cellStyle name="60% - Accent1 8" xfId="1375" xr:uid="{4F99B501-CC69-4191-A477-611FE6515876}"/>
    <cellStyle name="60% - Accent1 9" xfId="1376" xr:uid="{99C207D2-F1B3-4B0C-ACEF-E0C15756140F}"/>
    <cellStyle name="60% - Accent2 10" xfId="1377" xr:uid="{6126284F-4D85-4C17-B3D8-2A3542B68F03}"/>
    <cellStyle name="60% - Accent2 11" xfId="1378" xr:uid="{60AB0832-A183-483D-8C69-53C00AB780B4}"/>
    <cellStyle name="60% - Accent2 12" xfId="1379" xr:uid="{2CF777BB-FA4C-405D-A53A-5176C535C893}"/>
    <cellStyle name="60% - Accent2 13" xfId="1380" xr:uid="{68F551F8-D87E-46A5-8010-8066EA9BE2C4}"/>
    <cellStyle name="60% - Accent2 14" xfId="1381" xr:uid="{03699112-4C2B-4ABD-B401-584E4F2F368F}"/>
    <cellStyle name="60% - Accent2 15" xfId="1382" xr:uid="{76615950-36FB-46E5-AD15-88F99E33AE42}"/>
    <cellStyle name="60% - Accent2 16" xfId="1383" xr:uid="{69611334-AB58-4992-BB1B-620BAD2C1584}"/>
    <cellStyle name="60% - Accent2 17" xfId="1384" xr:uid="{DD388978-CF5D-4A81-8A35-7DFF017CC0AF}"/>
    <cellStyle name="60% - Accent2 18" xfId="1385" xr:uid="{0CABEA85-6FDA-4D08-892E-AA46E62826B3}"/>
    <cellStyle name="60% - Accent2 19" xfId="1386" xr:uid="{202BDC79-6EC0-486E-B08F-7362CA8151E6}"/>
    <cellStyle name="60% - Accent2 2" xfId="1387" xr:uid="{12A343B7-7AE2-4C16-B71C-BD010A53E503}"/>
    <cellStyle name="60% - Accent2 2 2" xfId="1388" xr:uid="{8246D27D-7E3C-454F-9863-1687B89E534C}"/>
    <cellStyle name="60% - Accent2 2 2 2" xfId="1389" xr:uid="{07C1E651-FAF1-445C-BB81-0B1C8515CE0D}"/>
    <cellStyle name="60% - Accent2 2 2 3" xfId="1390" xr:uid="{E9CC13D7-4CBD-476A-8DFD-F4E0F3EC7F1D}"/>
    <cellStyle name="60% - Accent2 2 3" xfId="1391" xr:uid="{5073288A-5CB7-4E6E-AE6F-36F6D4820EA8}"/>
    <cellStyle name="60% - Accent2 2 4" xfId="1392" xr:uid="{F835A4AA-C613-483D-AFA7-7E88AA46CAC1}"/>
    <cellStyle name="60% - Accent2 2 5" xfId="1393" xr:uid="{9F148D47-9714-4A2E-98D5-F506BFFB85A3}"/>
    <cellStyle name="60% - Accent2 20" xfId="1394" xr:uid="{A56B58E4-4762-455B-8709-5ABE01A70FC2}"/>
    <cellStyle name="60% - Accent2 21" xfId="1395" xr:uid="{A9D145DF-11BC-4A1D-BA27-80D55E7CDE0C}"/>
    <cellStyle name="60% - Accent2 22" xfId="1396" xr:uid="{F7297C23-3232-48A6-8348-9AFD8BB103C6}"/>
    <cellStyle name="60% - Accent2 23" xfId="1397" xr:uid="{E9A9B3F6-8C02-4918-BFBD-DD878CF467B0}"/>
    <cellStyle name="60% - Accent2 24" xfId="1398" xr:uid="{E3E24064-91B9-42E1-AEC1-C274057419C1}"/>
    <cellStyle name="60% - Accent2 25" xfId="1399" xr:uid="{235D0748-12E0-4CF2-8BCA-AD9A9129832A}"/>
    <cellStyle name="60% - Accent2 26" xfId="1400" xr:uid="{15B67FBA-73BD-4DD1-8213-980175C55D8F}"/>
    <cellStyle name="60% - Accent2 27" xfId="1401" xr:uid="{24577ACA-FFB5-4BF0-9A79-A377A41B2EAB}"/>
    <cellStyle name="60% - Accent2 28" xfId="1402" xr:uid="{8B3E34E3-49CB-49EF-8E1C-51855B4C1736}"/>
    <cellStyle name="60% - Accent2 29" xfId="1403" xr:uid="{14EA72E8-EA04-4B18-B152-BCF6237C9010}"/>
    <cellStyle name="60% - Accent2 3" xfId="1404" xr:uid="{6A62A7BE-7207-4F92-BCC6-3350997CBE22}"/>
    <cellStyle name="60% - Accent2 3 2" xfId="1405" xr:uid="{A8622964-7FC5-485A-AE3D-642FD3C70531}"/>
    <cellStyle name="60% - Accent2 30" xfId="1406" xr:uid="{8958A4D5-FA69-4819-A626-3A809C6A59D2}"/>
    <cellStyle name="60% - Accent2 31" xfId="1407" xr:uid="{65D77C36-D5AB-4D36-8294-235528E13BC7}"/>
    <cellStyle name="60% - Accent2 32" xfId="1408" xr:uid="{A33028D6-C8A8-47F3-A89F-1754C00E2E0C}"/>
    <cellStyle name="60% - Accent2 33" xfId="1409" xr:uid="{E47ED952-7D1C-4619-A4BB-1F6EBB5AFB90}"/>
    <cellStyle name="60% - Accent2 34" xfId="1410" xr:uid="{0392D21A-9594-4152-B92E-D25A1BF6C960}"/>
    <cellStyle name="60% - Accent2 35" xfId="1411" xr:uid="{FFE30F2D-C1E7-4CA7-9971-CDA3055DEE58}"/>
    <cellStyle name="60% - Accent2 35 2" xfId="1412" xr:uid="{8A1E8C6B-E15E-4017-A017-477B77AF6C9D}"/>
    <cellStyle name="60% - Accent2 35 2 2" xfId="1413" xr:uid="{4B896E93-E09D-4422-9A20-14C68E9B7EFA}"/>
    <cellStyle name="60% - Accent2 35 2 2 2" xfId="1414" xr:uid="{C0BD9E43-4515-461A-B09D-FB058D549B2B}"/>
    <cellStyle name="60% - Accent2 35 3" xfId="1415" xr:uid="{6C88CCAD-0B83-475D-9D6C-FE4BADE9BB36}"/>
    <cellStyle name="60% - Accent2 35 4" xfId="1416" xr:uid="{162FCD1D-5EB6-4B0B-A4F0-2559EDFB34FE}"/>
    <cellStyle name="60% - Accent2 36" xfId="1417" xr:uid="{227D48DC-C228-424A-B0EB-A82E8DF68835}"/>
    <cellStyle name="60% - Accent2 37" xfId="1418" xr:uid="{915AEE5B-6FE4-426C-B981-5A5DA14C4CF3}"/>
    <cellStyle name="60% - Accent2 38" xfId="1419" xr:uid="{C12CE8F8-0C49-4A91-8697-C41A758EDFA0}"/>
    <cellStyle name="60% - Accent2 39" xfId="1420" xr:uid="{C58F8417-F731-4CDD-8724-4CAFBC464EFA}"/>
    <cellStyle name="60% - Accent2 4" xfId="1421" xr:uid="{381F68E0-2AFE-4843-8D29-9DDEDC9EEB46}"/>
    <cellStyle name="60% - Accent2 4 2" xfId="1422" xr:uid="{F6BA91D7-EF13-4A40-BDBA-77258A2519CF}"/>
    <cellStyle name="60% - Accent2 40" xfId="1423" xr:uid="{07BE8E32-8A1E-4D66-84AE-21AB24CC8962}"/>
    <cellStyle name="60% - Accent2 41" xfId="1424" xr:uid="{792DD51C-1149-4DC5-BEF5-ABBD74710E84}"/>
    <cellStyle name="60% - Accent2 42" xfId="1425" xr:uid="{72A8A276-0513-405C-B14E-E860FE4E2AF6}"/>
    <cellStyle name="60% - Accent2 43" xfId="1426" xr:uid="{935A0F4F-08E1-4C7B-AE01-02429B132134}"/>
    <cellStyle name="60% - Accent2 44" xfId="1427" xr:uid="{1A492292-C211-4374-93BE-1D50607281AC}"/>
    <cellStyle name="60% - Accent2 45" xfId="1428" xr:uid="{4204C7A3-C635-4EF5-BCAC-7C41AA222129}"/>
    <cellStyle name="60% - Accent2 46" xfId="1429" xr:uid="{EDCCB7ED-4C25-49E3-86BC-27B6F7246B5E}"/>
    <cellStyle name="60% - Accent2 47" xfId="1430" xr:uid="{655CAD27-8A71-4646-AAF0-0BE050FC25CD}"/>
    <cellStyle name="60% - Accent2 48" xfId="1431" xr:uid="{F284E189-7152-403D-9DFE-5F31E9A4738C}"/>
    <cellStyle name="60% - Accent2 49" xfId="1432" xr:uid="{EF4EEA50-24C2-4767-B49C-13370D36BB18}"/>
    <cellStyle name="60% - Accent2 5" xfId="1433" xr:uid="{D3241068-133D-44AF-AC05-9F1700A75952}"/>
    <cellStyle name="60% - Accent2 50" xfId="1434" xr:uid="{DF77229B-587E-478A-922B-0447506F16BB}"/>
    <cellStyle name="60% - Accent2 51" xfId="1435" xr:uid="{E8778881-0396-4701-A976-5DEDADD0905B}"/>
    <cellStyle name="60% - Accent2 52" xfId="1436" xr:uid="{BE08BB41-B140-44BA-8EB0-4D3A7E405C2B}"/>
    <cellStyle name="60% - Accent2 53" xfId="1437" xr:uid="{EF151A6A-7252-4744-A82E-7A5A28719792}"/>
    <cellStyle name="60% - Accent2 54" xfId="1438" xr:uid="{8186F6DD-0C9F-41D3-9215-A1B1ADE87207}"/>
    <cellStyle name="60% - Accent2 55" xfId="1439" xr:uid="{AE302AD7-6869-4860-A7F1-6739C552FA25}"/>
    <cellStyle name="60% - Accent2 56" xfId="1440" xr:uid="{57398917-0037-4313-A694-83F831BEDE76}"/>
    <cellStyle name="60% - Accent2 57" xfId="1441" xr:uid="{C82B8692-35C8-4776-95C4-E8740552568A}"/>
    <cellStyle name="60% - Accent2 58" xfId="1442" xr:uid="{571F3089-4D64-42AE-A319-A6AEB0BFAEBE}"/>
    <cellStyle name="60% - Accent2 59" xfId="1443" xr:uid="{265DFD96-403A-444C-96E1-504DFD994E77}"/>
    <cellStyle name="60% - Accent2 6" xfId="1444" xr:uid="{1744C74F-789C-4DD9-AAFF-A8562580B6EA}"/>
    <cellStyle name="60% - Accent2 60" xfId="1445" xr:uid="{6ACA6ADF-3C90-4F44-97D8-77A3CA018227}"/>
    <cellStyle name="60% - Accent2 60 2" xfId="1446" xr:uid="{4A45B391-6C52-4EB1-BBF6-38A1788828CC}"/>
    <cellStyle name="60% - Accent2 60 2 2" xfId="1447" xr:uid="{5F507CA9-D3D7-445B-BA6D-3DDB10DEB5F5}"/>
    <cellStyle name="60% - Accent2 60 2 3" xfId="1448" xr:uid="{974939EF-2510-4110-825A-D504EAE539FF}"/>
    <cellStyle name="60% - Accent2 61" xfId="1449" xr:uid="{FC87CD53-B6AB-4AED-B338-DC2F22F3EA43}"/>
    <cellStyle name="60% - Accent2 62" xfId="1450" xr:uid="{4C583F86-97EE-48EA-BD4A-A8648D53B28E}"/>
    <cellStyle name="60% - Accent2 63" xfId="1451" xr:uid="{D4A9A6A0-41E6-4FEF-A12F-A557B3553B1E}"/>
    <cellStyle name="60% - Accent2 64" xfId="1452" xr:uid="{49D17AC3-B1F5-4186-B35B-95FC111A856F}"/>
    <cellStyle name="60% - Accent2 65" xfId="1453" xr:uid="{F31D79C7-8D16-4A78-9E29-00011751593D}"/>
    <cellStyle name="60% - Accent2 7" xfId="1454" xr:uid="{C35EA3EF-1BD8-4AE1-A8F7-0FE0F6C7BFC6}"/>
    <cellStyle name="60% - Accent2 8" xfId="1455" xr:uid="{5C3D61C7-F0AA-43F1-A3BB-40E7C9F57AAA}"/>
    <cellStyle name="60% - Accent2 9" xfId="1456" xr:uid="{E7879FF0-06FC-4841-BB7F-9277BB5F0B45}"/>
    <cellStyle name="60% - Accent3 10" xfId="1457" xr:uid="{E8B37BE6-CA83-4694-88D3-EF45DC12911F}"/>
    <cellStyle name="60% - Accent3 11" xfId="1458" xr:uid="{36D40CEF-BF7E-4198-B9E2-DD189B3AA77B}"/>
    <cellStyle name="60% - Accent3 12" xfId="1459" xr:uid="{CF98A5BF-8E4B-4A6D-8589-595A9F7BF95E}"/>
    <cellStyle name="60% - Accent3 13" xfId="1460" xr:uid="{8611F5E1-5F2B-45CE-ACDA-91CDC13ABCEF}"/>
    <cellStyle name="60% - Accent3 14" xfId="1461" xr:uid="{67F3D1E2-62BD-4C0D-851D-CA34BCA8B8A4}"/>
    <cellStyle name="60% - Accent3 15" xfId="1462" xr:uid="{ECE41540-0DA2-499B-88B5-E96C89E4D292}"/>
    <cellStyle name="60% - Accent3 16" xfId="1463" xr:uid="{D5FBE674-D5A9-4769-97E8-71C694230388}"/>
    <cellStyle name="60% - Accent3 17" xfId="1464" xr:uid="{788F8EF7-1F34-4881-9C58-43ABA7A4E58A}"/>
    <cellStyle name="60% - Accent3 18" xfId="1465" xr:uid="{D928E591-5713-41AE-A593-EEA984A7B373}"/>
    <cellStyle name="60% - Accent3 19" xfId="1466" xr:uid="{8771CD50-B2EA-4603-ACC8-C6F7D50CAEDE}"/>
    <cellStyle name="60% - Accent3 2" xfId="1467" xr:uid="{093ED686-34BE-4C5F-95FC-753A9D2164ED}"/>
    <cellStyle name="60% - Accent3 2 2" xfId="1468" xr:uid="{988D057C-4F10-45AB-B574-62EB961B4990}"/>
    <cellStyle name="60% - Accent3 2 2 2" xfId="1469" xr:uid="{280B9712-0819-4E3B-9F92-F97BD0447109}"/>
    <cellStyle name="60% - Accent3 2 2 3" xfId="1470" xr:uid="{7E840BF9-C8BD-4F75-8CEC-AAA034CC2848}"/>
    <cellStyle name="60% - Accent3 2 3" xfId="1471" xr:uid="{9E8805A9-805F-4C20-AADD-A812CFBBFB5B}"/>
    <cellStyle name="60% - Accent3 2 4" xfId="1472" xr:uid="{2BB3864C-256E-435B-B69E-099ED343ECB2}"/>
    <cellStyle name="60% - Accent3 2 5" xfId="1473" xr:uid="{9E9665BD-45EE-49C2-BAB7-9D326E9FA831}"/>
    <cellStyle name="60% - Accent3 20" xfId="1474" xr:uid="{DDD9A3D4-FEBE-4CFD-8CDF-3317EFD237E6}"/>
    <cellStyle name="60% - Accent3 21" xfId="1475" xr:uid="{6482C0B3-281B-4117-B279-92EE38846B99}"/>
    <cellStyle name="60% - Accent3 22" xfId="1476" xr:uid="{3106EC3A-E9F8-454E-838B-3B218C9F3461}"/>
    <cellStyle name="60% - Accent3 23" xfId="1477" xr:uid="{70D06C5F-68F6-47A4-B1B9-6A4A0115693E}"/>
    <cellStyle name="60% - Accent3 24" xfId="1478" xr:uid="{D20182EA-BF43-445D-821A-AD59265EAB58}"/>
    <cellStyle name="60% - Accent3 25" xfId="1479" xr:uid="{037982A2-820C-4182-A570-A8AF2EFAFDF4}"/>
    <cellStyle name="60% - Accent3 26" xfId="1480" xr:uid="{7CB00AE9-8FD3-4D7D-9FF2-552C04FCBD96}"/>
    <cellStyle name="60% - Accent3 27" xfId="1481" xr:uid="{859D59F9-E257-4AEB-8F44-2B132E321A76}"/>
    <cellStyle name="60% - Accent3 28" xfId="1482" xr:uid="{EB517155-7D34-4280-936D-890DEABD37DB}"/>
    <cellStyle name="60% - Accent3 29" xfId="1483" xr:uid="{1207D8D0-C1FF-4D40-B3AF-EBB143C73561}"/>
    <cellStyle name="60% - Accent3 3" xfId="1484" xr:uid="{C0281DCF-6E70-4149-BECB-934E206A7220}"/>
    <cellStyle name="60% - Accent3 3 2" xfId="1485" xr:uid="{39F1A966-6509-44F5-B6FE-4B869DBBA3E5}"/>
    <cellStyle name="60% - Accent3 3 3" xfId="1486" xr:uid="{F8811CE2-D7FC-45F5-AD89-24B993F8B3B9}"/>
    <cellStyle name="60% - Accent3 30" xfId="1487" xr:uid="{8452D28C-55F2-4897-AB20-1D352FB6B264}"/>
    <cellStyle name="60% - Accent3 31" xfId="1488" xr:uid="{30BF7AA1-D82D-468B-AE87-8F1142E3BCA9}"/>
    <cellStyle name="60% - Accent3 32" xfId="1489" xr:uid="{82FA9513-6608-471D-9EEA-3C8749F1F4EB}"/>
    <cellStyle name="60% - Accent3 33" xfId="1490" xr:uid="{8E09BF4C-0693-4094-A376-62D7580E2191}"/>
    <cellStyle name="60% - Accent3 34" xfId="1491" xr:uid="{47FDF246-4DD4-4188-AB1B-E9610B8DEEA7}"/>
    <cellStyle name="60% - Accent3 35" xfId="1492" xr:uid="{C914810A-90E4-4B8F-9973-B74D8B8F7E8C}"/>
    <cellStyle name="60% - Accent3 35 2" xfId="1493" xr:uid="{C353B2B3-B401-4B54-8C2E-4571F39D5327}"/>
    <cellStyle name="60% - Accent3 35 2 2" xfId="1494" xr:uid="{9E0CDFE0-DC9D-4CEB-AB87-9AF1A071D9DE}"/>
    <cellStyle name="60% - Accent3 35 2 2 2" xfId="1495" xr:uid="{A2EB1E6B-C722-463E-8D52-5BD95886E277}"/>
    <cellStyle name="60% - Accent3 35 3" xfId="1496" xr:uid="{723350F2-1F1C-4F6D-A475-F82E1BF2CBA8}"/>
    <cellStyle name="60% - Accent3 35 4" xfId="1497" xr:uid="{0942979C-BF84-4D77-8E05-3E2842746A2D}"/>
    <cellStyle name="60% - Accent3 36" xfId="1498" xr:uid="{0279754D-63B9-478A-9027-1C1B31757F95}"/>
    <cellStyle name="60% - Accent3 37" xfId="1499" xr:uid="{9380479F-19A9-4C92-9499-15F3878345CD}"/>
    <cellStyle name="60% - Accent3 38" xfId="1500" xr:uid="{A06B364A-C97B-4710-B03B-DE7B20174EA7}"/>
    <cellStyle name="60% - Accent3 39" xfId="1501" xr:uid="{3CCD5A5F-385A-492A-BAC5-6888C31FE2ED}"/>
    <cellStyle name="60% - Accent3 4" xfId="1502" xr:uid="{836878AD-4F70-4EA2-8877-91C248E81775}"/>
    <cellStyle name="60% - Accent3 40" xfId="1503" xr:uid="{F833D833-B5DD-40D4-8125-45A822687578}"/>
    <cellStyle name="60% - Accent3 41" xfId="1504" xr:uid="{70CDC2DD-FBE9-430D-89B8-7A8D3F2F2A26}"/>
    <cellStyle name="60% - Accent3 42" xfId="1505" xr:uid="{9746B677-05B3-4E00-B9CC-08FC808634A8}"/>
    <cellStyle name="60% - Accent3 43" xfId="1506" xr:uid="{36C2BE6D-80E0-4526-BE2E-758590F54C73}"/>
    <cellStyle name="60% - Accent3 44" xfId="1507" xr:uid="{A3DAE5D9-2546-4EB4-A50D-CC16F67702D9}"/>
    <cellStyle name="60% - Accent3 45" xfId="1508" xr:uid="{CE52BB3F-9590-46F7-8341-8CE44135A694}"/>
    <cellStyle name="60% - Accent3 46" xfId="1509" xr:uid="{954DE9F3-3502-4EE6-B040-91FD06623F8E}"/>
    <cellStyle name="60% - Accent3 47" xfId="1510" xr:uid="{0E329F31-8983-47D6-A166-8F041428A678}"/>
    <cellStyle name="60% - Accent3 48" xfId="1511" xr:uid="{22543978-8289-434A-9952-BD2D50ADCA86}"/>
    <cellStyle name="60% - Accent3 49" xfId="1512" xr:uid="{6727533E-A521-4A72-AA96-3C9E32D61B8E}"/>
    <cellStyle name="60% - Accent3 5" xfId="1513" xr:uid="{6F329A30-73AA-49D7-8F57-F8E0E8D51E4A}"/>
    <cellStyle name="60% - Accent3 50" xfId="1514" xr:uid="{D35338E2-9B3B-4246-8BC9-9B3D05291D0D}"/>
    <cellStyle name="60% - Accent3 51" xfId="1515" xr:uid="{A8AD9581-D728-4ADE-95B2-AF423FB05D80}"/>
    <cellStyle name="60% - Accent3 52" xfId="1516" xr:uid="{F3F9EB99-6C07-472F-88C9-22E40B64555E}"/>
    <cellStyle name="60% - Accent3 53" xfId="1517" xr:uid="{9B46BC8F-0EF7-429E-A852-647AAD8F649D}"/>
    <cellStyle name="60% - Accent3 54" xfId="1518" xr:uid="{8A7DC5F1-B7FD-4329-8EF2-08F6092F5D2E}"/>
    <cellStyle name="60% - Accent3 55" xfId="1519" xr:uid="{6E83426C-5D6F-4343-B272-DF30FB6F4B31}"/>
    <cellStyle name="60% - Accent3 56" xfId="1520" xr:uid="{0B170AF5-7E0F-45B9-8FD6-A32FC4BCF3CC}"/>
    <cellStyle name="60% - Accent3 57" xfId="1521" xr:uid="{2FDAD98B-ED47-4E6A-B87D-1204BC45EF46}"/>
    <cellStyle name="60% - Accent3 58" xfId="1522" xr:uid="{591758BD-48BA-42E9-A685-A0347414F2F1}"/>
    <cellStyle name="60% - Accent3 59" xfId="1523" xr:uid="{37C7807A-D77B-4BD1-A651-9AA8F05D1F2D}"/>
    <cellStyle name="60% - Accent3 6" xfId="1524" xr:uid="{AF10808C-B19F-46C0-A69E-2B32B79CBDCF}"/>
    <cellStyle name="60% - Accent3 60" xfId="1525" xr:uid="{38E72038-A25E-44F0-9183-6AF4E84CE80C}"/>
    <cellStyle name="60% - Accent3 60 2" xfId="1526" xr:uid="{32BCA4D1-6298-42E4-9C72-8E26B9A9C602}"/>
    <cellStyle name="60% - Accent3 60 2 2" xfId="1527" xr:uid="{3AF51511-14CF-41FB-96D7-A2B52BFEDDBD}"/>
    <cellStyle name="60% - Accent3 60 2 2 2" xfId="1528" xr:uid="{2A983A19-0AE8-474E-B663-1FD01A68FE81}"/>
    <cellStyle name="60% - Accent3 60 2 3" xfId="1529" xr:uid="{41124B94-35A0-43FB-8D8B-EA39548FCEC3}"/>
    <cellStyle name="60% - Accent3 61" xfId="1530" xr:uid="{36D127C6-B7A6-47D4-A839-84074F9FA9A1}"/>
    <cellStyle name="60% - Accent3 62" xfId="1531" xr:uid="{1DC047F8-E4E0-401D-B9E9-38E68DDE4894}"/>
    <cellStyle name="60% - Accent3 63" xfId="1532" xr:uid="{2172E2F8-C3F1-4B0E-9507-5D2D09BB64BE}"/>
    <cellStyle name="60% - Accent3 64" xfId="1533" xr:uid="{BF239311-3ED5-4B34-A330-6728D2544B26}"/>
    <cellStyle name="60% - Accent3 65" xfId="1534" xr:uid="{60F7DE87-20F4-4A72-A766-0AE657F1DAB1}"/>
    <cellStyle name="60% - Accent3 7" xfId="1535" xr:uid="{6A207C72-87E3-4DE0-9107-182D260AB24E}"/>
    <cellStyle name="60% - Accent3 8" xfId="1536" xr:uid="{732856BF-B0E0-4747-9A49-E83613055D54}"/>
    <cellStyle name="60% - Accent3 9" xfId="1537" xr:uid="{F9A66B99-BD62-4481-AA47-18551C19B346}"/>
    <cellStyle name="60% - Accent4 10" xfId="1538" xr:uid="{8715A583-5688-4C16-AE2F-FA6584F7B4C4}"/>
    <cellStyle name="60% - Accent4 11" xfId="1539" xr:uid="{761BA777-9D87-4AA3-AEDF-C1C066ADF4DF}"/>
    <cellStyle name="60% - Accent4 12" xfId="1540" xr:uid="{221B9804-EFF6-4F95-AC50-586161DD06A7}"/>
    <cellStyle name="60% - Accent4 13" xfId="1541" xr:uid="{1E0F9044-8FB2-49CB-BFB6-4C86A855A2EF}"/>
    <cellStyle name="60% - Accent4 14" xfId="1542" xr:uid="{31F30A7C-6DD2-4594-932B-023EAF1822E5}"/>
    <cellStyle name="60% - Accent4 15" xfId="1543" xr:uid="{6569B62E-DEC0-4F5E-80DF-091937626240}"/>
    <cellStyle name="60% - Accent4 16" xfId="1544" xr:uid="{26A69D94-8988-4156-A875-612FC1C7D615}"/>
    <cellStyle name="60% - Accent4 17" xfId="1545" xr:uid="{C6E6C9CA-50E6-46E0-99C8-3F494AD8BC67}"/>
    <cellStyle name="60% - Accent4 18" xfId="1546" xr:uid="{354C8AD3-6644-4C56-8EEF-408CA132A282}"/>
    <cellStyle name="60% - Accent4 19" xfId="1547" xr:uid="{DE7BF996-5159-48E7-80ED-251A24456CC6}"/>
    <cellStyle name="60% - Accent4 2" xfId="1548" xr:uid="{5EAED3DA-06BB-42E6-BE25-78E8C58FD308}"/>
    <cellStyle name="60% - Accent4 2 2" xfId="1549" xr:uid="{7688D338-C364-4F76-8262-9CA2920FBFEB}"/>
    <cellStyle name="60% - Accent4 2 2 2" xfId="1550" xr:uid="{0843CBD2-8FC1-4B8A-A20A-4DFE0026E446}"/>
    <cellStyle name="60% - Accent4 2 2 3" xfId="1551" xr:uid="{5C042E90-3138-4FDC-B8C6-C96DE99E7610}"/>
    <cellStyle name="60% - Accent4 2 3" xfId="1552" xr:uid="{0F75AB2A-F175-46BC-BCD3-E2A576F69C49}"/>
    <cellStyle name="60% - Accent4 2 4" xfId="1553" xr:uid="{EB983221-9A28-4EA0-9FB8-DB4DAC36570E}"/>
    <cellStyle name="60% - Accent4 2 5" xfId="1554" xr:uid="{7737E624-5765-40A6-BC8F-D941DC519687}"/>
    <cellStyle name="60% - Accent4 20" xfId="1555" xr:uid="{A83C9563-DF80-437D-841B-B9EBB24D56AB}"/>
    <cellStyle name="60% - Accent4 21" xfId="1556" xr:uid="{9E67C266-A4A1-401A-B456-575A426EBB66}"/>
    <cellStyle name="60% - Accent4 22" xfId="1557" xr:uid="{38D3C003-29BF-49B5-B5B1-DA44F65E020C}"/>
    <cellStyle name="60% - Accent4 23" xfId="1558" xr:uid="{07A177A1-60FC-4628-B037-6ED199F1E1B2}"/>
    <cellStyle name="60% - Accent4 24" xfId="1559" xr:uid="{1834E3A7-8BF7-4ADA-8437-2A4F14D0C854}"/>
    <cellStyle name="60% - Accent4 25" xfId="1560" xr:uid="{521C34EB-4327-47E6-9D08-C993970FD680}"/>
    <cellStyle name="60% - Accent4 26" xfId="1561" xr:uid="{76E15D1F-8530-4D94-B950-CBDC52FB802B}"/>
    <cellStyle name="60% - Accent4 27" xfId="1562" xr:uid="{9D0AFD32-D502-4BC2-847C-E51D6982E96F}"/>
    <cellStyle name="60% - Accent4 28" xfId="1563" xr:uid="{5D665172-7979-452C-8590-CC290FF24C91}"/>
    <cellStyle name="60% - Accent4 29" xfId="1564" xr:uid="{B43BAEA1-2302-449A-B4FE-0E3AFA0CE0EE}"/>
    <cellStyle name="60% - Accent4 3" xfId="1565" xr:uid="{87F064AD-AFB1-47F1-A136-9ABC49902739}"/>
    <cellStyle name="60% - Accent4 3 2" xfId="1566" xr:uid="{B74BC828-365F-48B0-B396-1028207878CE}"/>
    <cellStyle name="60% - Accent4 3 3" xfId="1567" xr:uid="{3740E295-A6BF-4903-A921-409F5C064A48}"/>
    <cellStyle name="60% - Accent4 30" xfId="1568" xr:uid="{E3CFC421-04A7-460F-85A7-2FFE6661A8D0}"/>
    <cellStyle name="60% - Accent4 31" xfId="1569" xr:uid="{76E810D6-58E7-4E93-A742-DAC8A3DACFF6}"/>
    <cellStyle name="60% - Accent4 32" xfId="1570" xr:uid="{8ECFB765-96D8-493D-8135-DB41EC41CFE6}"/>
    <cellStyle name="60% - Accent4 33" xfId="1571" xr:uid="{43E159C8-43A2-4EC6-AB77-26889A618DEC}"/>
    <cellStyle name="60% - Accent4 34" xfId="1572" xr:uid="{A90A9E98-3F21-4916-AB64-2E062B989571}"/>
    <cellStyle name="60% - Accent4 35" xfId="1573" xr:uid="{55FEA5B3-AD47-40CC-B0EC-FCF2B8E918C6}"/>
    <cellStyle name="60% - Accent4 35 2" xfId="1574" xr:uid="{294F87EA-611F-4CEF-AFD2-5D9E3BBDA698}"/>
    <cellStyle name="60% - Accent4 35 2 2" xfId="1575" xr:uid="{2065C5A5-20D5-436C-99A3-763EA6A84B49}"/>
    <cellStyle name="60% - Accent4 35 2 2 2" xfId="1576" xr:uid="{DBDB1AFC-B08D-4508-85D1-F836A743E5EA}"/>
    <cellStyle name="60% - Accent4 35 3" xfId="1577" xr:uid="{B051F534-0716-4A1C-BE24-B932B5BE657B}"/>
    <cellStyle name="60% - Accent4 35 4" xfId="1578" xr:uid="{32838D87-FFE1-474C-A653-E266F3491B69}"/>
    <cellStyle name="60% - Accent4 36" xfId="1579" xr:uid="{CBEED95D-5266-4F1A-B6A4-F386A10CDCE2}"/>
    <cellStyle name="60% - Accent4 37" xfId="1580" xr:uid="{2CAF46BD-D735-4C73-9312-7A7F0130B01A}"/>
    <cellStyle name="60% - Accent4 38" xfId="1581" xr:uid="{1A9C4F1A-21B2-4BA2-B202-779677B05266}"/>
    <cellStyle name="60% - Accent4 39" xfId="1582" xr:uid="{FCC1DA53-2079-4170-8E6A-EB831A39511E}"/>
    <cellStyle name="60% - Accent4 4" xfId="1583" xr:uid="{C8D48CA7-7587-4643-9BE8-86F1A6DBBCF8}"/>
    <cellStyle name="60% - Accent4 4 2" xfId="1584" xr:uid="{8BDD896E-81C2-4828-BB80-55A81DBD6005}"/>
    <cellStyle name="60% - Accent4 40" xfId="1585" xr:uid="{AE410764-2401-4EF5-9209-3F590D44C8C3}"/>
    <cellStyle name="60% - Accent4 41" xfId="1586" xr:uid="{03305B30-A983-4592-BC55-D69D10EE8A3F}"/>
    <cellStyle name="60% - Accent4 42" xfId="1587" xr:uid="{8A61EFD5-66AB-4CD4-939D-EC86B96C0906}"/>
    <cellStyle name="60% - Accent4 43" xfId="1588" xr:uid="{36D3B88E-5401-4A6D-90DA-E857D4CEBFF3}"/>
    <cellStyle name="60% - Accent4 44" xfId="1589" xr:uid="{C5117F6E-7E37-43FD-B870-6966D5D1A32F}"/>
    <cellStyle name="60% - Accent4 45" xfId="1590" xr:uid="{13753B05-7255-4213-9FE1-8135EE205516}"/>
    <cellStyle name="60% - Accent4 46" xfId="1591" xr:uid="{0B25DA44-3159-4885-BAB2-0AE4E136B029}"/>
    <cellStyle name="60% - Accent4 47" xfId="1592" xr:uid="{1706B065-925E-4454-83E9-CA3ECC78EEC9}"/>
    <cellStyle name="60% - Accent4 48" xfId="1593" xr:uid="{666149CB-2015-48BB-85EC-26AAC1C3EAD9}"/>
    <cellStyle name="60% - Accent4 49" xfId="1594" xr:uid="{6BB5D6BF-2B54-4A48-8082-E85158977F2C}"/>
    <cellStyle name="60% - Accent4 5" xfId="1595" xr:uid="{44D03F03-33CC-4B33-AA7D-FB64A96FC94A}"/>
    <cellStyle name="60% - Accent4 50" xfId="1596" xr:uid="{4765A791-7847-4B15-BB8A-029E88B32463}"/>
    <cellStyle name="60% - Accent4 51" xfId="1597" xr:uid="{8E9CD371-EF62-4A1B-9B97-1BCDBB79D91F}"/>
    <cellStyle name="60% - Accent4 52" xfId="1598" xr:uid="{42A43885-E43E-4D8C-ACD2-B70BE759DE00}"/>
    <cellStyle name="60% - Accent4 53" xfId="1599" xr:uid="{8B95D00E-6DD7-431D-B8FE-881FFBC94CAF}"/>
    <cellStyle name="60% - Accent4 54" xfId="1600" xr:uid="{B24F5164-93B6-4924-A05B-EAAE53A341F2}"/>
    <cellStyle name="60% - Accent4 55" xfId="1601" xr:uid="{E61CF621-BB01-4914-B900-A8083C65DF0C}"/>
    <cellStyle name="60% - Accent4 56" xfId="1602" xr:uid="{F52BF42C-C9E2-40B4-B5FB-9199DBEDBCA8}"/>
    <cellStyle name="60% - Accent4 57" xfId="1603" xr:uid="{0EE15924-D440-43F8-8D49-6815DF66D1DF}"/>
    <cellStyle name="60% - Accent4 58" xfId="1604" xr:uid="{2E2CC416-CD6F-463A-B9AC-0A910A1A1DFA}"/>
    <cellStyle name="60% - Accent4 59" xfId="1605" xr:uid="{AF931982-2031-4EC9-81C0-5C7ED0F478CA}"/>
    <cellStyle name="60% - Accent4 6" xfId="1606" xr:uid="{8701E2CC-9672-4F32-9009-2CF3E93DA470}"/>
    <cellStyle name="60% - Accent4 60" xfId="1607" xr:uid="{72DFA017-F6FA-4F05-9149-F4140E98EAA3}"/>
    <cellStyle name="60% - Accent4 60 2" xfId="1608" xr:uid="{77547CDC-D1BA-46F5-86F3-D934F52FBB64}"/>
    <cellStyle name="60% - Accent4 60 2 2" xfId="1609" xr:uid="{CEFB0AA9-6464-40FF-8705-127C889F6479}"/>
    <cellStyle name="60% - Accent4 60 2 2 2" xfId="1610" xr:uid="{CC582A3E-C3B0-47A3-946F-0A572B989BDE}"/>
    <cellStyle name="60% - Accent4 60 2 3" xfId="1611" xr:uid="{6C18BF31-C141-430F-8AB3-6B9121BC9EF8}"/>
    <cellStyle name="60% - Accent4 61" xfId="1612" xr:uid="{C724B706-A9B2-4DA8-BB12-161527CC0A58}"/>
    <cellStyle name="60% - Accent4 62" xfId="1613" xr:uid="{1307EE06-A0C4-4B73-A7FA-4B67A3A97DE0}"/>
    <cellStyle name="60% - Accent4 63" xfId="1614" xr:uid="{1150FD5B-21DE-4938-B17F-F37CB518250F}"/>
    <cellStyle name="60% - Accent4 64" xfId="1615" xr:uid="{6D96576C-217F-48A2-98BD-6F432C2555B3}"/>
    <cellStyle name="60% - Accent4 65" xfId="1616" xr:uid="{95E2A3E2-5604-4EF9-B76E-7B983C79B939}"/>
    <cellStyle name="60% - Accent4 7" xfId="1617" xr:uid="{B0452E6F-F3B5-4627-9FEE-8A12B5479D94}"/>
    <cellStyle name="60% - Accent4 8" xfId="1618" xr:uid="{77DDE75B-3BC4-4127-BAE0-73F83AC6CD0B}"/>
    <cellStyle name="60% - Accent4 9" xfId="1619" xr:uid="{F3A35E43-F67F-4757-BED7-57B7FE4934EC}"/>
    <cellStyle name="60% - Accent5 10" xfId="1620" xr:uid="{8A7BC15A-74E2-40CF-A833-3E42DC835088}"/>
    <cellStyle name="60% - Accent5 11" xfId="1621" xr:uid="{1898DA14-7E89-465D-8BC0-FDA67BD03823}"/>
    <cellStyle name="60% - Accent5 12" xfId="1622" xr:uid="{02175D28-3B27-47DD-95F4-F8047D5E5F5E}"/>
    <cellStyle name="60% - Accent5 13" xfId="1623" xr:uid="{5B469859-5904-49E6-9A91-306C538E4015}"/>
    <cellStyle name="60% - Accent5 14" xfId="1624" xr:uid="{CFBF1649-4B89-471D-9E54-AB573CE3258F}"/>
    <cellStyle name="60% - Accent5 15" xfId="1625" xr:uid="{064BEEC9-9123-40C7-B1E5-F74B580325E0}"/>
    <cellStyle name="60% - Accent5 16" xfId="1626" xr:uid="{E9CD3F9E-FF41-478E-84AD-492B7CBBF29B}"/>
    <cellStyle name="60% - Accent5 17" xfId="1627" xr:uid="{29339995-176A-4765-A580-EDECAD31D892}"/>
    <cellStyle name="60% - Accent5 18" xfId="1628" xr:uid="{BF68B625-7CF3-4F6D-88B9-E3292997F9CC}"/>
    <cellStyle name="60% - Accent5 19" xfId="1629" xr:uid="{99BB8664-BD93-46D3-9C54-86C438AEEC58}"/>
    <cellStyle name="60% - Accent5 2" xfId="1630" xr:uid="{EF3C8FE5-6557-47FB-AF67-D1447AA0F0BD}"/>
    <cellStyle name="60% - Accent5 2 2" xfId="1631" xr:uid="{B0ED375F-1E91-49E1-9F70-E88E350E452E}"/>
    <cellStyle name="60% - Accent5 2 2 2" xfId="1632" xr:uid="{55FF7DA2-3FE1-428A-8BDD-572428AA33B0}"/>
    <cellStyle name="60% - Accent5 2 2 3" xfId="1633" xr:uid="{A20A8CB7-D38B-4AA2-956D-786FD7A6AC8F}"/>
    <cellStyle name="60% - Accent5 2 3" xfId="1634" xr:uid="{75FDDAAF-1948-4876-91C2-FFDE901BD7B8}"/>
    <cellStyle name="60% - Accent5 2 4" xfId="1635" xr:uid="{10D4930B-2BD5-49A4-8321-45B7C7CB7F8D}"/>
    <cellStyle name="60% - Accent5 2 5" xfId="1636" xr:uid="{8796FDE4-2477-4E1E-A16A-0E88B02A2A51}"/>
    <cellStyle name="60% - Accent5 20" xfId="1637" xr:uid="{ACE97C14-9B02-4625-949A-EA26E876C6F0}"/>
    <cellStyle name="60% - Accent5 21" xfId="1638" xr:uid="{4EDD75F6-6A08-4E09-9A29-A7296EF3357F}"/>
    <cellStyle name="60% - Accent5 22" xfId="1639" xr:uid="{5D89D5DF-0037-4DF6-B7F3-B2E8199A97FA}"/>
    <cellStyle name="60% - Accent5 23" xfId="1640" xr:uid="{30345BCB-2094-43C2-BD1E-CE4168E2E4ED}"/>
    <cellStyle name="60% - Accent5 24" xfId="1641" xr:uid="{98985369-8526-43E5-868D-50086526116E}"/>
    <cellStyle name="60% - Accent5 25" xfId="1642" xr:uid="{34CA88E8-45AC-4E7E-86F7-22F0F2B72579}"/>
    <cellStyle name="60% - Accent5 26" xfId="1643" xr:uid="{AC997FB0-AA7A-4A8C-A3BA-449DCAA899EB}"/>
    <cellStyle name="60% - Accent5 27" xfId="1644" xr:uid="{D45E726A-88E2-4E9E-B29B-E6D0934505EB}"/>
    <cellStyle name="60% - Accent5 28" xfId="1645" xr:uid="{0456826E-BA09-488B-A6DD-25CA390FBD31}"/>
    <cellStyle name="60% - Accent5 29" xfId="1646" xr:uid="{D8666DF2-CBBC-49AE-810D-D8D903C66647}"/>
    <cellStyle name="60% - Accent5 3" xfId="1647" xr:uid="{1FD14B10-A661-4562-B095-B479D5576AB7}"/>
    <cellStyle name="60% - Accent5 3 2" xfId="1648" xr:uid="{A08F3B1A-545C-41FA-A1E0-0573369792A3}"/>
    <cellStyle name="60% - Accent5 3 3" xfId="1649" xr:uid="{241795B7-B46B-453B-8D07-42C01F0A77E5}"/>
    <cellStyle name="60% - Accent5 30" xfId="1650" xr:uid="{C85BEF77-0397-4D93-A1BB-3E81F7DE9803}"/>
    <cellStyle name="60% - Accent5 31" xfId="1651" xr:uid="{548B8D31-E86F-413E-A822-F0B820D8F472}"/>
    <cellStyle name="60% - Accent5 32" xfId="1652" xr:uid="{150E23C2-8994-4278-8536-FD61C52E21EA}"/>
    <cellStyle name="60% - Accent5 33" xfId="1653" xr:uid="{EBECEE87-0EC5-4363-8C69-5ADCBACFEAE5}"/>
    <cellStyle name="60% - Accent5 34" xfId="1654" xr:uid="{6E15BE14-3115-437F-9CF5-F4739F4F3B56}"/>
    <cellStyle name="60% - Accent5 35" xfId="1655" xr:uid="{3F5E6CBC-496A-44B2-BC01-C1438B98201D}"/>
    <cellStyle name="60% - Accent5 35 2" xfId="1656" xr:uid="{BEAB148C-F09C-4536-8FE3-06A4C7CAC225}"/>
    <cellStyle name="60% - Accent5 35 2 2" xfId="1657" xr:uid="{878DF652-913F-4E09-95D6-6F8186CE7247}"/>
    <cellStyle name="60% - Accent5 35 2 2 2" xfId="1658" xr:uid="{23EDEF3C-22FF-43DF-99A9-2CFC19E983AD}"/>
    <cellStyle name="60% - Accent5 35 3" xfId="1659" xr:uid="{86463C87-9669-4593-8B0C-7951FD8E88C8}"/>
    <cellStyle name="60% - Accent5 35 4" xfId="1660" xr:uid="{048A3451-F86B-4A49-964E-D60371C79A55}"/>
    <cellStyle name="60% - Accent5 36" xfId="1661" xr:uid="{63BEB902-F20B-4500-902B-10CFEB8C340D}"/>
    <cellStyle name="60% - Accent5 37" xfId="1662" xr:uid="{AF18240E-4E52-485B-A04A-18EB01190D2F}"/>
    <cellStyle name="60% - Accent5 38" xfId="1663" xr:uid="{40239EFE-5652-4BB7-96E6-57859D49B9F0}"/>
    <cellStyle name="60% - Accent5 39" xfId="1664" xr:uid="{657BACB3-E762-4091-A410-E9ECD7DC4D48}"/>
    <cellStyle name="60% - Accent5 4" xfId="1665" xr:uid="{3268FDF9-D7C0-4952-8BA2-B17ABA64A33C}"/>
    <cellStyle name="60% - Accent5 4 2" xfId="1666" xr:uid="{8C1F2C0D-D152-416D-B281-A56E1BFE1515}"/>
    <cellStyle name="60% - Accent5 40" xfId="1667" xr:uid="{7A8FD5B0-3E0F-4C76-B74D-CB0FED76A23A}"/>
    <cellStyle name="60% - Accent5 41" xfId="1668" xr:uid="{BF7463BA-09A3-4290-9697-4A80F18F5025}"/>
    <cellStyle name="60% - Accent5 42" xfId="1669" xr:uid="{D47F24EB-C3DB-45A3-97E9-E76F6F345709}"/>
    <cellStyle name="60% - Accent5 43" xfId="1670" xr:uid="{81674DD3-9632-43FC-8F7B-F3F815DE6A08}"/>
    <cellStyle name="60% - Accent5 44" xfId="1671" xr:uid="{25916A10-59D4-46CE-B262-4D448AE91425}"/>
    <cellStyle name="60% - Accent5 45" xfId="1672" xr:uid="{FE0A2080-0D3B-4766-BCE5-44B65A93D0F5}"/>
    <cellStyle name="60% - Accent5 46" xfId="1673" xr:uid="{2F43B9B4-02E3-4B0E-8977-F7C6A9D1197E}"/>
    <cellStyle name="60% - Accent5 47" xfId="1674" xr:uid="{C63DDCB7-1340-4125-93CF-88BE7376D868}"/>
    <cellStyle name="60% - Accent5 48" xfId="1675" xr:uid="{3D401C0D-4182-4206-ADCB-2E5755687324}"/>
    <cellStyle name="60% - Accent5 49" xfId="1676" xr:uid="{0D171FCF-E7B7-462F-B8BF-9AF888C15CB6}"/>
    <cellStyle name="60% - Accent5 5" xfId="1677" xr:uid="{C8055B2C-E9F4-4180-AAF7-801907CF0999}"/>
    <cellStyle name="60% - Accent5 50" xfId="1678" xr:uid="{B3BBB1BC-279C-4469-9800-9573CF56A7F7}"/>
    <cellStyle name="60% - Accent5 51" xfId="1679" xr:uid="{E252AC0C-71FA-45A9-820B-41717891E4E2}"/>
    <cellStyle name="60% - Accent5 52" xfId="1680" xr:uid="{0555EEFE-1497-4394-AD3E-DD7C4B34D47F}"/>
    <cellStyle name="60% - Accent5 53" xfId="1681" xr:uid="{FF755612-82C3-4B1D-9458-36C3F0D48963}"/>
    <cellStyle name="60% - Accent5 54" xfId="1682" xr:uid="{684484C6-BCD2-407C-A1B9-D8AA6817C0F7}"/>
    <cellStyle name="60% - Accent5 55" xfId="1683" xr:uid="{2768AA1A-AE1F-44FB-96DE-DEE558BAA4AF}"/>
    <cellStyle name="60% - Accent5 56" xfId="1684" xr:uid="{AC23001C-B5FC-4E38-905A-5FEAC9305664}"/>
    <cellStyle name="60% - Accent5 57" xfId="1685" xr:uid="{4395F5DE-BC6E-4D27-A48B-96A8C15B8EB2}"/>
    <cellStyle name="60% - Accent5 58" xfId="1686" xr:uid="{A2034406-7CDB-46F0-BC1B-39BED5D4F58C}"/>
    <cellStyle name="60% - Accent5 59" xfId="1687" xr:uid="{01761DB2-F12E-4360-94E7-B581675AD1DA}"/>
    <cellStyle name="60% - Accent5 6" xfId="1688" xr:uid="{BDF6991A-167A-43AE-A293-5AAF72789733}"/>
    <cellStyle name="60% - Accent5 60" xfId="1689" xr:uid="{39850DC1-4A4B-4A5C-83E4-33F13E7808BE}"/>
    <cellStyle name="60% - Accent5 60 2" xfId="1690" xr:uid="{7CC82825-4925-4715-AFA2-74B2A7CC9C81}"/>
    <cellStyle name="60% - Accent5 60 2 2" xfId="1691" xr:uid="{95428F31-95DE-4BA1-BF90-8300070509AA}"/>
    <cellStyle name="60% - Accent5 60 2 3" xfId="1692" xr:uid="{64D197B6-553B-4725-AFB7-D083D88DE077}"/>
    <cellStyle name="60% - Accent5 61" xfId="1693" xr:uid="{2496AF9E-F9C7-47F3-BE93-45F2F78D63D0}"/>
    <cellStyle name="60% - Accent5 62" xfId="1694" xr:uid="{1A4E2879-1654-4453-88CA-53CD615F89CE}"/>
    <cellStyle name="60% - Accent5 63" xfId="1695" xr:uid="{BCEDC953-983B-48AA-B6B6-394CA996AB62}"/>
    <cellStyle name="60% - Accent5 64" xfId="1696" xr:uid="{70A404C1-EE33-45C6-B713-D3DE79D1FEDC}"/>
    <cellStyle name="60% - Accent5 65" xfId="1697" xr:uid="{DEA373F1-A4BB-4FF7-B122-1F2D31F3AEAE}"/>
    <cellStyle name="60% - Accent5 7" xfId="1698" xr:uid="{12D109BE-2B95-49EF-B1E3-4085D247D5CE}"/>
    <cellStyle name="60% - Accent5 8" xfId="1699" xr:uid="{C34E9BDD-4689-4812-AC15-2C53CCE0041D}"/>
    <cellStyle name="60% - Accent5 9" xfId="1700" xr:uid="{B5839396-7364-4591-9113-00874FD9BD31}"/>
    <cellStyle name="60% - Accent6 10" xfId="1701" xr:uid="{C12621BC-2C4B-4CE5-BA61-D378FF6D7330}"/>
    <cellStyle name="60% - Accent6 11" xfId="1702" xr:uid="{00A0AD22-87F7-4F05-864E-C72A052855D2}"/>
    <cellStyle name="60% - Accent6 12" xfId="1703" xr:uid="{342DCF46-FD6B-415C-87D2-EAC64FE63FB1}"/>
    <cellStyle name="60% - Accent6 13" xfId="1704" xr:uid="{EE2FEA7D-1241-4698-9166-89EEAEAC4F85}"/>
    <cellStyle name="60% - Accent6 14" xfId="1705" xr:uid="{DDD518D2-1855-4C7D-93E0-5B08F0D12B6E}"/>
    <cellStyle name="60% - Accent6 15" xfId="1706" xr:uid="{F69C01B0-5C1C-48AA-94B3-4610EA6BD32C}"/>
    <cellStyle name="60% - Accent6 16" xfId="1707" xr:uid="{AC4CAFBE-AA5F-4EF1-A043-D7B7B3442149}"/>
    <cellStyle name="60% - Accent6 17" xfId="1708" xr:uid="{57779B6C-5A1B-49A3-BACC-EF097052572F}"/>
    <cellStyle name="60% - Accent6 18" xfId="1709" xr:uid="{3AEEF4C2-63BF-4560-A16A-8EA5B2216B4E}"/>
    <cellStyle name="60% - Accent6 19" xfId="1710" xr:uid="{CCB3DE23-559D-47E9-8A22-9728238D0A61}"/>
    <cellStyle name="60% - Accent6 2" xfId="1711" xr:uid="{029B16BF-15F6-420E-BF0F-048648F27822}"/>
    <cellStyle name="60% - Accent6 2 2" xfId="1712" xr:uid="{BAFF4E33-E918-4577-B3C2-F6FA29F8884B}"/>
    <cellStyle name="60% - Accent6 2 2 2" xfId="1713" xr:uid="{6EBC1354-5D2F-45EA-BDC8-6409538A875B}"/>
    <cellStyle name="60% - Accent6 2 2 3" xfId="1714" xr:uid="{24E2F491-D9F0-4C67-8D18-C6E11C06FA07}"/>
    <cellStyle name="60% - Accent6 2 3" xfId="1715" xr:uid="{5E43A393-4D77-44DF-800F-88324025F8F7}"/>
    <cellStyle name="60% - Accent6 2 4" xfId="1716" xr:uid="{8203518A-CD35-470B-BE49-E6BC0AFF12D3}"/>
    <cellStyle name="60% - Accent6 2 5" xfId="1717" xr:uid="{2FE5BD72-C86F-438D-BEB1-2975CE52FEC4}"/>
    <cellStyle name="60% - Accent6 20" xfId="1718" xr:uid="{6C89FA57-5A14-4F74-926A-6AAF95AF967E}"/>
    <cellStyle name="60% - Accent6 21" xfId="1719" xr:uid="{6CE51A38-596D-4B0D-8A51-E9594F9A4FA4}"/>
    <cellStyle name="60% - Accent6 22" xfId="1720" xr:uid="{440FCB95-BF52-4EFD-9530-935B5C6A8C6A}"/>
    <cellStyle name="60% - Accent6 23" xfId="1721" xr:uid="{DB613D7C-12B2-45B4-991D-D69004073716}"/>
    <cellStyle name="60% - Accent6 24" xfId="1722" xr:uid="{976B2F69-D8F0-42A2-9D3A-33ED8B92BDC7}"/>
    <cellStyle name="60% - Accent6 25" xfId="1723" xr:uid="{25BBB58E-5330-49C0-B0E8-C0968170B536}"/>
    <cellStyle name="60% - Accent6 26" xfId="1724" xr:uid="{24566A68-5A32-41DC-AC69-82F5715B396D}"/>
    <cellStyle name="60% - Accent6 27" xfId="1725" xr:uid="{52C21F10-B5C0-45B3-8F1B-CEBD6CA05DEC}"/>
    <cellStyle name="60% - Accent6 28" xfId="1726" xr:uid="{F3C92D0A-ADA9-49F9-8EB0-C278720E5385}"/>
    <cellStyle name="60% - Accent6 29" xfId="1727" xr:uid="{A4DBA53B-1995-41D7-971F-457C9CC31A68}"/>
    <cellStyle name="60% - Accent6 3" xfId="1728" xr:uid="{33C2BA23-733E-4CDB-BC8D-76CAA5BE7F41}"/>
    <cellStyle name="60% - Accent6 3 2" xfId="1729" xr:uid="{7FEB876E-7775-4DAC-9B6C-43A114A0008B}"/>
    <cellStyle name="60% - Accent6 3 3" xfId="1730" xr:uid="{611AF141-0621-4834-927B-5AD6CBF7A5F6}"/>
    <cellStyle name="60% - Accent6 30" xfId="1731" xr:uid="{7017521E-E107-4EF8-9366-8DCCBE1F11A3}"/>
    <cellStyle name="60% - Accent6 31" xfId="1732" xr:uid="{9B62DD1D-9474-4810-A676-39539B01E968}"/>
    <cellStyle name="60% - Accent6 32" xfId="1733" xr:uid="{57C08149-4407-447C-B789-3B6A293D67C0}"/>
    <cellStyle name="60% - Accent6 33" xfId="1734" xr:uid="{7F8FB46A-C4C4-4FB7-BEC5-A259AF9EC6D4}"/>
    <cellStyle name="60% - Accent6 34" xfId="1735" xr:uid="{821B3C77-9600-4091-B987-19851AC04067}"/>
    <cellStyle name="60% - Accent6 35" xfId="1736" xr:uid="{2676C439-C64B-4D73-B39F-94A168276A3B}"/>
    <cellStyle name="60% - Accent6 35 2" xfId="1737" xr:uid="{E72D38EE-737B-4CE7-A65D-75F4A0EC534B}"/>
    <cellStyle name="60% - Accent6 35 2 2" xfId="1738" xr:uid="{883E7A6D-DEEF-4C0B-97FE-1B086247091C}"/>
    <cellStyle name="60% - Accent6 35 2 2 2" xfId="1739" xr:uid="{946E23B4-3C26-44A7-B1E6-FC837B9766BA}"/>
    <cellStyle name="60% - Accent6 35 3" xfId="1740" xr:uid="{4EAFDAE7-62B4-4AE2-B8CF-35A095E7724B}"/>
    <cellStyle name="60% - Accent6 35 4" xfId="1741" xr:uid="{C706FAEB-6E7C-4A03-912B-0EF0AAF11F74}"/>
    <cellStyle name="60% - Accent6 36" xfId="1742" xr:uid="{C6EB5C90-2652-41D0-8E4C-BC1C24A5AFB9}"/>
    <cellStyle name="60% - Accent6 37" xfId="1743" xr:uid="{5C6D3440-278A-40D5-979C-3F89B096DB05}"/>
    <cellStyle name="60% - Accent6 38" xfId="1744" xr:uid="{15EDCE7D-FAE7-492C-9974-F40D957FB85F}"/>
    <cellStyle name="60% - Accent6 39" xfId="1745" xr:uid="{CEFC5455-D593-495E-8E80-12930270D82D}"/>
    <cellStyle name="60% - Accent6 4" xfId="1746" xr:uid="{3D95C5DE-73FB-4907-A6D1-B7B24EE5365C}"/>
    <cellStyle name="60% - Accent6 4 2" xfId="1747" xr:uid="{3115FC70-B9F1-4772-9ADC-595AC7C1AE68}"/>
    <cellStyle name="60% - Accent6 40" xfId="1748" xr:uid="{AE57717D-0A11-411D-99DF-D8569FE7413A}"/>
    <cellStyle name="60% - Accent6 41" xfId="1749" xr:uid="{DA846555-6750-43B6-8C19-08AFC8A2BD19}"/>
    <cellStyle name="60% - Accent6 42" xfId="1750" xr:uid="{C5B3F76F-988B-4178-A4B7-392819D00B23}"/>
    <cellStyle name="60% - Accent6 43" xfId="1751" xr:uid="{B08C57E7-87A2-46A7-A552-9A6B61C6533D}"/>
    <cellStyle name="60% - Accent6 44" xfId="1752" xr:uid="{D31C7500-D825-42A5-A22A-0BD78CEA5A82}"/>
    <cellStyle name="60% - Accent6 45" xfId="1753" xr:uid="{1AE673A0-985D-4AB5-B8EE-4A1049412159}"/>
    <cellStyle name="60% - Accent6 46" xfId="1754" xr:uid="{7A555A41-1ABC-4E80-B215-D620B891BC69}"/>
    <cellStyle name="60% - Accent6 47" xfId="1755" xr:uid="{0977E5C0-4F06-423A-8927-441F5435CB98}"/>
    <cellStyle name="60% - Accent6 48" xfId="1756" xr:uid="{72493DD2-EA6D-4BEE-AFA7-C22B9DC08269}"/>
    <cellStyle name="60% - Accent6 49" xfId="1757" xr:uid="{B9A3BCB0-8FB5-43AD-8D3C-89470E186D52}"/>
    <cellStyle name="60% - Accent6 5" xfId="1758" xr:uid="{8815EEC3-5B5A-4E1E-908F-0E7C6F9435D5}"/>
    <cellStyle name="60% - Accent6 50" xfId="1759" xr:uid="{22FEA9F4-3287-46BF-939A-4302EDC4A35E}"/>
    <cellStyle name="60% - Accent6 51" xfId="1760" xr:uid="{A54285C5-D3C1-4744-936E-3551C6AF49D8}"/>
    <cellStyle name="60% - Accent6 52" xfId="1761" xr:uid="{3B0F6787-FB82-49CE-A957-9CCF36AE6AB9}"/>
    <cellStyle name="60% - Accent6 53" xfId="1762" xr:uid="{C8261A62-CBB6-496F-A93D-4F82EDA6AF1A}"/>
    <cellStyle name="60% - Accent6 54" xfId="1763" xr:uid="{15193F3A-3ACA-468A-A09A-12F2604311F2}"/>
    <cellStyle name="60% - Accent6 55" xfId="1764" xr:uid="{2174B75B-1346-40B8-94FA-F12FF03F70E9}"/>
    <cellStyle name="60% - Accent6 56" xfId="1765" xr:uid="{F0D67C3E-0B34-413A-9360-F005226EC1B3}"/>
    <cellStyle name="60% - Accent6 57" xfId="1766" xr:uid="{B0DB66A9-5B7C-41E3-AD2B-BD86B4C22BE7}"/>
    <cellStyle name="60% - Accent6 58" xfId="1767" xr:uid="{A432247A-D6B9-48A6-B0B8-4808A91BC8F4}"/>
    <cellStyle name="60% - Accent6 59" xfId="1768" xr:uid="{65DF22E2-772D-4EB9-ABE3-EDEDE577C6C1}"/>
    <cellStyle name="60% - Accent6 6" xfId="1769" xr:uid="{8160E4A8-6ED5-4DA6-A1A0-075553F99F60}"/>
    <cellStyle name="60% - Accent6 60" xfId="1770" xr:uid="{8BAAAFE6-EB5D-44FB-9D86-DC9F31A224F5}"/>
    <cellStyle name="60% - Accent6 60 2" xfId="1771" xr:uid="{E4D6C5A8-75E2-49FD-AA51-C21327D337AE}"/>
    <cellStyle name="60% - Accent6 60 2 2" xfId="1772" xr:uid="{02D04F68-922D-4442-9515-0FD69BEA302E}"/>
    <cellStyle name="60% - Accent6 60 2 2 2" xfId="1773" xr:uid="{535E9FDE-8805-429D-8671-897C2133BF24}"/>
    <cellStyle name="60% - Accent6 60 2 3" xfId="1774" xr:uid="{14D2D96D-98BE-4C6C-B6C7-6C59ADB868F2}"/>
    <cellStyle name="60% - Accent6 61" xfId="1775" xr:uid="{0AEF3EDA-1F5D-4D3C-891F-7ABCF3B2F3E2}"/>
    <cellStyle name="60% - Accent6 62" xfId="1776" xr:uid="{8202C60F-E0A3-4AD1-B1BC-21D4A30ED80A}"/>
    <cellStyle name="60% - Accent6 63" xfId="1777" xr:uid="{B562D14F-1539-49AD-AA26-B804A6A9B484}"/>
    <cellStyle name="60% - Accent6 64" xfId="1778" xr:uid="{2F99C049-E479-4353-9034-2B435951362F}"/>
    <cellStyle name="60% - Accent6 65" xfId="1779" xr:uid="{52DEDA16-6C12-4468-8A05-FA7B7166A74C}"/>
    <cellStyle name="60% - Accent6 7" xfId="1780" xr:uid="{1AC9CDDE-A560-4D2A-8CE2-BEDF6ABB1A03}"/>
    <cellStyle name="60% - Accent6 8" xfId="1781" xr:uid="{0A0AB9E1-BB9D-4404-A5A9-AC32D4C2F1CA}"/>
    <cellStyle name="60% - Accent6 9" xfId="1782" xr:uid="{F35515AB-7169-428F-AD27-14B025D7F29D}"/>
    <cellStyle name="60% - Colore 1" xfId="1783" xr:uid="{1CE8CD51-5F0F-4077-AC87-15BE505B2379}"/>
    <cellStyle name="60% - Colore 1 2" xfId="1784" xr:uid="{63795B56-DEDD-472D-9529-E515D73C34AB}"/>
    <cellStyle name="60% - Colore 2" xfId="1785" xr:uid="{569DB2A6-E5A5-4C5D-9728-30545E6A80D8}"/>
    <cellStyle name="60% - Colore 2 2" xfId="1786" xr:uid="{50AD894B-1D89-42CE-A4DF-67FAEE1E285D}"/>
    <cellStyle name="60% - Colore 3" xfId="1787" xr:uid="{B9A5F924-AA0E-41C3-8C2F-C6E3A732127A}"/>
    <cellStyle name="60% - Colore 3 2" xfId="1788" xr:uid="{9D3756BD-A082-449F-8558-0D1B8C61D9BF}"/>
    <cellStyle name="60% - Colore 4" xfId="1789" xr:uid="{A3CD6A12-8D7A-4DED-BE6E-5598389C66EE}"/>
    <cellStyle name="60% - Colore 4 2" xfId="1790" xr:uid="{8C8E2519-F422-427B-91C8-DFD27E41B5C5}"/>
    <cellStyle name="60% - Colore 5" xfId="1791" xr:uid="{D4622FE8-2580-4D9A-A389-0326E72C214A}"/>
    <cellStyle name="60% - Colore 5 2" xfId="1792" xr:uid="{4DB7D583-56CC-402F-A35B-FA04E78C1045}"/>
    <cellStyle name="60% - Colore 6" xfId="1793" xr:uid="{9A979515-6D0B-4599-BF5B-3D28104C4751}"/>
    <cellStyle name="60% - Colore 6 2" xfId="1794" xr:uid="{C2A76433-261F-41C1-B09C-53B9CCAAF783}"/>
    <cellStyle name="aaa" xfId="1795" xr:uid="{D02663E4-EE0E-4AAA-8E77-D56F5F343DB3}"/>
    <cellStyle name="aaa 2" xfId="1796" xr:uid="{71B47255-5EF2-43B2-B967-1EDF1D6EF228}"/>
    <cellStyle name="aaa 3" xfId="1797" xr:uid="{407A9812-2877-484E-93AD-4BCFF15170AB}"/>
    <cellStyle name="aaa 4" xfId="1798" xr:uid="{47CFF764-DB05-4AC9-BAD5-0986633311AF}"/>
    <cellStyle name="aaa 5" xfId="1799" xr:uid="{8F6226A5-E4DE-4EB0-B070-58F14F8523A3}"/>
    <cellStyle name="aaa 6" xfId="1800" xr:uid="{D93DAB17-3682-41B7-B2B6-1DA00A26958E}"/>
    <cellStyle name="aaa 7" xfId="1801" xr:uid="{6C971B3D-32AF-452C-BA45-052200AFCC5E}"/>
    <cellStyle name="aaa 8" xfId="1802" xr:uid="{3E9A08A5-AAAD-4914-9F4E-DB3B8B99A7E9}"/>
    <cellStyle name="aaa 9" xfId="1803" xr:uid="{1EFFDB87-7E42-4EC6-B5E0-E982EA26E297}"/>
    <cellStyle name="Accent1 10" xfId="1804" xr:uid="{45A59877-8A2E-41ED-95F1-4B5A2F755F04}"/>
    <cellStyle name="Accent1 11" xfId="1805" xr:uid="{4EA9513D-E5EC-44BE-BBCE-FE435D39C05D}"/>
    <cellStyle name="Accent1 12" xfId="1806" xr:uid="{FE7F1E1D-8BE8-4DF3-AB4F-5863DD1E3DD0}"/>
    <cellStyle name="Accent1 13" xfId="1807" xr:uid="{1BDA9495-F048-47D7-9FA8-76FD906E0F77}"/>
    <cellStyle name="Accent1 14" xfId="1808" xr:uid="{75E6D111-0597-4B96-B359-A0F730707F89}"/>
    <cellStyle name="Accent1 15" xfId="1809" xr:uid="{81E6A162-1723-4116-B888-E8B0B5D0E81E}"/>
    <cellStyle name="Accent1 16" xfId="1810" xr:uid="{33ECEC06-C4C8-4693-9A7B-238FBB84CF30}"/>
    <cellStyle name="Accent1 17" xfId="1811" xr:uid="{51E77B23-3C1C-440E-8C0F-6EDF9A217C1A}"/>
    <cellStyle name="Accent1 18" xfId="1812" xr:uid="{F095B6E7-D8B1-4501-BB9B-7AC458436AD7}"/>
    <cellStyle name="Accent1 19" xfId="1813" xr:uid="{EC2FF1D0-77BB-4748-9E2E-3AD0F2B280D0}"/>
    <cellStyle name="Accent1 2" xfId="1814" xr:uid="{327ACEC9-98F9-4220-844B-DF4C40354845}"/>
    <cellStyle name="Accent1 2 2" xfId="1815" xr:uid="{11635536-069E-45EF-846F-FB1715CE2DB5}"/>
    <cellStyle name="Accent1 2 2 2" xfId="1816" xr:uid="{0CAC91D9-2068-434A-B7BF-B963DA7ED28B}"/>
    <cellStyle name="Accent1 2 2 3" xfId="1817" xr:uid="{44628C5D-BE38-454B-83A2-2D642AB75B55}"/>
    <cellStyle name="Accent1 2 3" xfId="1818" xr:uid="{5C280097-386C-42B1-A8B7-A9D73F6D42FF}"/>
    <cellStyle name="Accent1 2 4" xfId="1819" xr:uid="{579725BD-796C-4503-B0D2-34953ED037A2}"/>
    <cellStyle name="Accent1 2 5" xfId="1820" xr:uid="{B984FC03-6157-456D-AF19-F838EC8A2CAD}"/>
    <cellStyle name="Accent1 20" xfId="1821" xr:uid="{FDFBD4A6-3977-4EA9-8F66-0C147C0570D7}"/>
    <cellStyle name="Accent1 21" xfId="1822" xr:uid="{1B094231-5D38-4A5A-8F1F-9D911542ACF6}"/>
    <cellStyle name="Accent1 22" xfId="1823" xr:uid="{F669D595-4E20-4EBC-B606-AA05E9F5991B}"/>
    <cellStyle name="Accent1 23" xfId="1824" xr:uid="{5DCB3423-0925-430B-B958-D51AC969A97C}"/>
    <cellStyle name="Accent1 24" xfId="1825" xr:uid="{886118F5-C7CB-4D80-9529-F8BB9C0498C0}"/>
    <cellStyle name="Accent1 25" xfId="1826" xr:uid="{5479A7CC-16E5-4C99-8DB4-9E3C3B3A2324}"/>
    <cellStyle name="Accent1 26" xfId="1827" xr:uid="{61E6775C-9EDA-4165-8C45-E2F4D00F2688}"/>
    <cellStyle name="Accent1 27" xfId="1828" xr:uid="{A179BAF2-AB2A-43EB-9DF1-A109391B178A}"/>
    <cellStyle name="Accent1 28" xfId="1829" xr:uid="{3B5F6701-635E-4F7E-8A07-8A39769CB988}"/>
    <cellStyle name="Accent1 29" xfId="1830" xr:uid="{FCB8DC8F-3382-4F9C-9D5D-145F8A4D8129}"/>
    <cellStyle name="Accent1 3" xfId="1831" xr:uid="{9D378B36-BB70-45D9-AF59-763998F8C547}"/>
    <cellStyle name="Accent1 3 2" xfId="1832" xr:uid="{4D424FD1-88A1-44BE-8873-9891484EFB3F}"/>
    <cellStyle name="Accent1 3 3" xfId="1833" xr:uid="{6A18FDEA-EBC6-4999-848E-1193E0B62C1E}"/>
    <cellStyle name="Accent1 30" xfId="1834" xr:uid="{C7C84238-7927-403F-A5D8-23E11F4D16A7}"/>
    <cellStyle name="Accent1 31" xfId="1835" xr:uid="{A39045B7-5C6A-4767-BA87-6143AD23D35D}"/>
    <cellStyle name="Accent1 32" xfId="1836" xr:uid="{CA8919C4-3EBD-4E2C-9882-F40AC21857B0}"/>
    <cellStyle name="Accent1 33" xfId="1837" xr:uid="{A3CAE8E7-4454-487B-9B21-606FF067F81C}"/>
    <cellStyle name="Accent1 34" xfId="1838" xr:uid="{7A649116-D0A7-4012-A73A-3DB07A8CD3FA}"/>
    <cellStyle name="Accent1 35" xfId="1839" xr:uid="{3307BE54-2EEE-4E2D-9EEA-F981ED275AAA}"/>
    <cellStyle name="Accent1 35 2" xfId="1840" xr:uid="{6FECE7F2-74CB-47CC-A14E-9BED1E2F978C}"/>
    <cellStyle name="Accent1 35 2 2" xfId="1841" xr:uid="{64D0DAE9-1873-44A5-9D2A-D1FCE8590463}"/>
    <cellStyle name="Accent1 35 2 2 2" xfId="1842" xr:uid="{99300C73-F3F3-473E-BC0F-041B3281A70B}"/>
    <cellStyle name="Accent1 35 3" xfId="1843" xr:uid="{45618D06-D216-43B4-9A7C-3BA7F0F4C388}"/>
    <cellStyle name="Accent1 35 4" xfId="1844" xr:uid="{1926C026-FC57-43D5-88D7-223A8E739344}"/>
    <cellStyle name="Accent1 36" xfId="1845" xr:uid="{D2B88DB4-1289-435F-810B-47E48D37BD9E}"/>
    <cellStyle name="Accent1 37" xfId="1846" xr:uid="{72E391B3-74B8-4B5C-85DC-F17D598DACF9}"/>
    <cellStyle name="Accent1 38" xfId="1847" xr:uid="{25FF4A9C-9CB4-43AB-A985-2CC27EFE9893}"/>
    <cellStyle name="Accent1 39" xfId="1848" xr:uid="{C5273A44-0F38-4624-A605-A2CD4C37D3E4}"/>
    <cellStyle name="Accent1 4" xfId="1849" xr:uid="{8461E021-BBE1-4903-8DE2-089FF72ADCB1}"/>
    <cellStyle name="Accent1 4 2" xfId="1850" xr:uid="{1611C873-CDE2-4256-B117-35635A2DC1FC}"/>
    <cellStyle name="Accent1 40" xfId="1851" xr:uid="{6BF63B0C-2A92-46E6-BE8C-E3A3E33A6AAD}"/>
    <cellStyle name="Accent1 41" xfId="1852" xr:uid="{167DE331-B028-4921-AC08-4C4D73F55C7A}"/>
    <cellStyle name="Accent1 42" xfId="1853" xr:uid="{CBE15917-8040-4456-BDC7-52A9E503DDF5}"/>
    <cellStyle name="Accent1 43" xfId="1854" xr:uid="{12009387-E0E4-4A48-B9BF-3207F7E0832D}"/>
    <cellStyle name="Accent1 44" xfId="1855" xr:uid="{F80E135F-D6B1-4C5D-BD32-CB05CB8C8724}"/>
    <cellStyle name="Accent1 45" xfId="1856" xr:uid="{8518E9EA-3693-48A7-AE70-9404A2E3C018}"/>
    <cellStyle name="Accent1 46" xfId="1857" xr:uid="{1F480915-FBC5-4616-B652-B37FBC355CE1}"/>
    <cellStyle name="Accent1 47" xfId="1858" xr:uid="{C6C4E1FB-3304-4360-AABB-638E786D074C}"/>
    <cellStyle name="Accent1 48" xfId="1859" xr:uid="{2D9DA948-70B9-4290-A0AC-730B9C183F9F}"/>
    <cellStyle name="Accent1 49" xfId="1860" xr:uid="{6B6D7CFD-1462-4636-AB60-D1A02150D096}"/>
    <cellStyle name="Accent1 5" xfId="1861" xr:uid="{141F793F-52E2-44E5-9729-7BD2663434B4}"/>
    <cellStyle name="Accent1 50" xfId="1862" xr:uid="{EFA4271B-8A68-4693-8047-CFB9F457847D}"/>
    <cellStyle name="Accent1 51" xfId="1863" xr:uid="{ECBD6A96-8C6C-4F9C-99C7-561CC5031558}"/>
    <cellStyle name="Accent1 52" xfId="1864" xr:uid="{BE21C279-9854-4A4F-844A-0AE7EFF21FBD}"/>
    <cellStyle name="Accent1 53" xfId="1865" xr:uid="{3715D120-DB52-4B57-A497-51116D2EBEA3}"/>
    <cellStyle name="Accent1 54" xfId="1866" xr:uid="{4556AE73-A45E-4CB7-8748-366AD45FE836}"/>
    <cellStyle name="Accent1 55" xfId="1867" xr:uid="{DF6E3785-1F97-4D21-9713-8CE1B07F4AFD}"/>
    <cellStyle name="Accent1 56" xfId="1868" xr:uid="{8F387280-E130-4C4F-8BD5-869B4AA1E470}"/>
    <cellStyle name="Accent1 57" xfId="1869" xr:uid="{0EDFE5D9-D3C1-425D-B536-40612BD38CBE}"/>
    <cellStyle name="Accent1 58" xfId="1870" xr:uid="{D2C033E3-5CA9-4E03-8327-DC65F9B39294}"/>
    <cellStyle name="Accent1 59" xfId="1871" xr:uid="{BB22B86B-2EFC-472D-9757-F4D393D0D267}"/>
    <cellStyle name="Accent1 6" xfId="1872" xr:uid="{D58C50C2-497C-46F9-994B-6452ACEF81FD}"/>
    <cellStyle name="Accent1 60" xfId="1873" xr:uid="{E9EE5C13-1ECB-41EA-9E7C-D6B21419C459}"/>
    <cellStyle name="Accent1 60 2" xfId="1874" xr:uid="{05D46B52-79BD-4961-8A24-9A216921ED65}"/>
    <cellStyle name="Accent1 60 2 2" xfId="1875" xr:uid="{0A204267-D5B6-42F8-A8FF-27C54855B3B0}"/>
    <cellStyle name="Accent1 60 2 2 2" xfId="1876" xr:uid="{CA764D39-3C46-476F-BC80-BA2BE5CE8D67}"/>
    <cellStyle name="Accent1 60 2 3" xfId="1877" xr:uid="{170862F4-66EF-4F50-A772-A2B5CDAFBF39}"/>
    <cellStyle name="Accent1 61" xfId="1878" xr:uid="{E81BA2FF-4957-44ED-8BC6-7B9C4EBAB6F0}"/>
    <cellStyle name="Accent1 62" xfId="1879" xr:uid="{53E0534A-F727-4FCB-8841-68906E163BC3}"/>
    <cellStyle name="Accent1 63" xfId="1880" xr:uid="{C37AE11D-EAFB-47C1-92EA-42BCD276A755}"/>
    <cellStyle name="Accent1 64" xfId="1881" xr:uid="{320ED849-02BB-4C41-924F-37A546FE0008}"/>
    <cellStyle name="Accent1 65" xfId="1882" xr:uid="{4E5BFEE6-8A88-448C-9C87-3EDF40D5C8EF}"/>
    <cellStyle name="Accent1 7" xfId="1883" xr:uid="{5211BE70-C438-4A33-AFA6-9EAA48E90C60}"/>
    <cellStyle name="Accent1 8" xfId="1884" xr:uid="{A960E3F9-D9C0-407E-A9FA-8355BB7C51DC}"/>
    <cellStyle name="Accent1 9" xfId="1885" xr:uid="{BCB60863-3682-4DC0-8EA4-72AADEBC5242}"/>
    <cellStyle name="Accent2 10" xfId="1886" xr:uid="{E941197B-B6BB-451F-AC9D-4CA4E34B923C}"/>
    <cellStyle name="Accent2 11" xfId="1887" xr:uid="{CA924F20-6A45-4BE6-85EA-683EEA23D995}"/>
    <cellStyle name="Accent2 12" xfId="1888" xr:uid="{E9243A4E-EF9E-48E8-B775-35DE170E873A}"/>
    <cellStyle name="Accent2 13" xfId="1889" xr:uid="{7754597D-6B6E-42B2-9F50-D4C7591A9E03}"/>
    <cellStyle name="Accent2 14" xfId="1890" xr:uid="{9D3DBD8C-B883-4D16-9882-50CB819F1AB4}"/>
    <cellStyle name="Accent2 15" xfId="1891" xr:uid="{8DC5A23A-2A4A-4037-859F-C9D65FDD4507}"/>
    <cellStyle name="Accent2 16" xfId="1892" xr:uid="{81D06281-7F9C-4FBC-9200-CA4BDF104D17}"/>
    <cellStyle name="Accent2 17" xfId="1893" xr:uid="{BBFA361E-BA1A-4602-8639-D5BFBCAA417A}"/>
    <cellStyle name="Accent2 18" xfId="1894" xr:uid="{64F2C080-C438-4EAE-985A-250447985670}"/>
    <cellStyle name="Accent2 19" xfId="1895" xr:uid="{96ECCEAC-D45D-41B8-8C13-7B8D536BB8B6}"/>
    <cellStyle name="Accent2 2" xfId="1896" xr:uid="{9BDAA0D5-3661-4542-8729-57FC854C26AD}"/>
    <cellStyle name="Accent2 2 2" xfId="1897" xr:uid="{1DB69496-A0EB-4E05-B659-646D88B60562}"/>
    <cellStyle name="Accent2 2 2 2" xfId="1898" xr:uid="{393E7242-121A-462F-8B0C-76E948B72390}"/>
    <cellStyle name="Accent2 2 2 3" xfId="1899" xr:uid="{1BD295EA-0911-449C-9012-7D16ED5E7661}"/>
    <cellStyle name="Accent2 2 3" xfId="1900" xr:uid="{EEAEC442-3408-4639-A628-B4334B55FC2E}"/>
    <cellStyle name="Accent2 2 4" xfId="1901" xr:uid="{8D749C7F-25ED-45F8-A145-475443B716D0}"/>
    <cellStyle name="Accent2 2 5" xfId="1902" xr:uid="{977A6D41-953F-49A9-92B9-81F18038D055}"/>
    <cellStyle name="Accent2 20" xfId="1903" xr:uid="{7384CD97-3563-4711-8B92-D48507D2F17A}"/>
    <cellStyle name="Accent2 21" xfId="1904" xr:uid="{EDB955F1-D493-49B4-8CA6-0BAD3A022703}"/>
    <cellStyle name="Accent2 22" xfId="1905" xr:uid="{D79D571E-54A9-4781-864E-D0D17D1E62D9}"/>
    <cellStyle name="Accent2 23" xfId="1906" xr:uid="{CF9174C6-EBB1-43F7-98A3-473EC3CDD4E2}"/>
    <cellStyle name="Accent2 24" xfId="1907" xr:uid="{53374F27-9218-42E2-9227-EC8C9D716B4F}"/>
    <cellStyle name="Accent2 25" xfId="1908" xr:uid="{6F74584D-200B-499E-9CEC-783B2EF799B0}"/>
    <cellStyle name="Accent2 26" xfId="1909" xr:uid="{2F806B14-CD1D-4781-A132-4262C7F854A7}"/>
    <cellStyle name="Accent2 27" xfId="1910" xr:uid="{EDA92BFB-C51C-423C-A2CC-7CA0C2E374AB}"/>
    <cellStyle name="Accent2 28" xfId="1911" xr:uid="{661DFDAC-B039-4442-B4C5-98DEA1C5CD34}"/>
    <cellStyle name="Accent2 29" xfId="1912" xr:uid="{AFC7AFEA-3051-4E0A-AB51-942161C37D51}"/>
    <cellStyle name="Accent2 3" xfId="1913" xr:uid="{CA8ABA97-EFB4-4405-AE0E-759158947E46}"/>
    <cellStyle name="Accent2 3 2" xfId="1914" xr:uid="{300C8A97-7C8D-4C13-BEAA-8B2CC642E441}"/>
    <cellStyle name="Accent2 3 3" xfId="1915" xr:uid="{64C5FE80-EF16-4BA4-B960-682A14C28F06}"/>
    <cellStyle name="Accent2 30" xfId="1916" xr:uid="{9A0CC33B-19BD-49C9-B45F-1EDCB86FD51B}"/>
    <cellStyle name="Accent2 31" xfId="1917" xr:uid="{0A797852-C807-4AA5-B91D-B31CD1602765}"/>
    <cellStyle name="Accent2 32" xfId="1918" xr:uid="{C404DBEE-16F8-4F5C-AE83-5F08DDCB88C7}"/>
    <cellStyle name="Accent2 33" xfId="1919" xr:uid="{7EFF91FD-5CBB-4835-AEC8-8D52BDEEE21D}"/>
    <cellStyle name="Accent2 34" xfId="1920" xr:uid="{3F1E8A2C-AE71-4F1F-AF9D-8953ED5AB2D5}"/>
    <cellStyle name="Accent2 35" xfId="1921" xr:uid="{DAF5099E-74A5-465C-B369-0C24CDBE18D0}"/>
    <cellStyle name="Accent2 35 2" xfId="1922" xr:uid="{75F0509A-DE80-45D7-8A12-E1BFA6A30A4D}"/>
    <cellStyle name="Accent2 35 2 2" xfId="1923" xr:uid="{7F15339E-B794-49A7-BAF9-A83E6F93823D}"/>
    <cellStyle name="Accent2 35 2 2 2" xfId="1924" xr:uid="{4E7BB7B1-7070-4473-9464-40E8D4B2B662}"/>
    <cellStyle name="Accent2 35 3" xfId="1925" xr:uid="{0565BD53-3127-4EC4-9FAC-0569C368F308}"/>
    <cellStyle name="Accent2 35 4" xfId="1926" xr:uid="{33080A9A-B7BB-4123-BDBE-C6EA0A82341B}"/>
    <cellStyle name="Accent2 36" xfId="1927" xr:uid="{9649C4E2-AC7D-4853-BDC9-C38FE4CF60F9}"/>
    <cellStyle name="Accent2 37" xfId="1928" xr:uid="{2B8D7A10-3B64-4D82-9288-D8814CFCF0B6}"/>
    <cellStyle name="Accent2 38" xfId="1929" xr:uid="{B6F10D70-AE20-4D1E-A326-A2E965E8698C}"/>
    <cellStyle name="Accent2 39" xfId="1930" xr:uid="{F46C4109-9F65-4D8A-8FB5-80AB2F9B553F}"/>
    <cellStyle name="Accent2 4" xfId="1931" xr:uid="{559ABE85-96F1-4D9D-9A96-490BBDE856C6}"/>
    <cellStyle name="Accent2 4 2" xfId="1932" xr:uid="{DC6C169C-E064-4FF8-BAC3-27852DF8B002}"/>
    <cellStyle name="Accent2 40" xfId="1933" xr:uid="{6B6CAD59-2D8F-4FB5-A78F-FD43C8E1E966}"/>
    <cellStyle name="Accent2 41" xfId="1934" xr:uid="{9E3DCE8C-AE1C-4D37-9F71-BC403BD05BD7}"/>
    <cellStyle name="Accent2 42" xfId="1935" xr:uid="{6AE2C53F-9345-432B-B8A1-200DA6E18DFC}"/>
    <cellStyle name="Accent2 43" xfId="1936" xr:uid="{35194EB4-224C-4439-91FE-59C1C0B3F163}"/>
    <cellStyle name="Accent2 44" xfId="1937" xr:uid="{8695B8EF-ABEF-4BB1-A857-53082EB5B66F}"/>
    <cellStyle name="Accent2 45" xfId="1938" xr:uid="{497AEFF8-5835-4C92-9551-FBF6C35EF5E3}"/>
    <cellStyle name="Accent2 46" xfId="1939" xr:uid="{B6AFA856-A787-4AD5-8AB5-23F04BF6F361}"/>
    <cellStyle name="Accent2 47" xfId="1940" xr:uid="{73A9DE7B-C17F-49DD-9060-8B3931D94BFD}"/>
    <cellStyle name="Accent2 48" xfId="1941" xr:uid="{75E18F94-E8A6-41B6-A04B-E4F240E70F80}"/>
    <cellStyle name="Accent2 49" xfId="1942" xr:uid="{DCB9E9E7-7D22-4F2D-B7E5-ABEA0F722609}"/>
    <cellStyle name="Accent2 5" xfId="1943" xr:uid="{F7E53774-A8F7-4325-9FD7-4978EA1B0A58}"/>
    <cellStyle name="Accent2 50" xfId="1944" xr:uid="{C6371C15-AE47-4791-ABD7-CD28DA5B78EB}"/>
    <cellStyle name="Accent2 51" xfId="1945" xr:uid="{2DB2E980-D908-437F-B14F-F25F4A8DF73D}"/>
    <cellStyle name="Accent2 52" xfId="1946" xr:uid="{253222DF-5106-4684-94A0-94DC6EC108B6}"/>
    <cellStyle name="Accent2 53" xfId="1947" xr:uid="{A0CB8E0F-907E-43D7-9663-205BB95C74B0}"/>
    <cellStyle name="Accent2 54" xfId="1948" xr:uid="{6225A063-578B-43C6-B38C-8BA28B39CF0F}"/>
    <cellStyle name="Accent2 55" xfId="1949" xr:uid="{939D05C4-4681-45E7-A652-328AAC8046A4}"/>
    <cellStyle name="Accent2 56" xfId="1950" xr:uid="{9F77FEE7-7E14-4096-96BF-18B1F6E58B8F}"/>
    <cellStyle name="Accent2 57" xfId="1951" xr:uid="{77545476-DFEE-4FE8-9368-EF3ACD18CE33}"/>
    <cellStyle name="Accent2 58" xfId="1952" xr:uid="{2BA78141-F7E0-4BF7-B703-6A4BFB2CE707}"/>
    <cellStyle name="Accent2 59" xfId="1953" xr:uid="{F1426B54-A5F3-4BC0-BB7F-E7C043D3CA17}"/>
    <cellStyle name="Accent2 6" xfId="1954" xr:uid="{9A048ED1-2047-4538-BA0E-9EC651E5C9F0}"/>
    <cellStyle name="Accent2 60" xfId="1955" xr:uid="{E6AA6420-7726-43A6-B653-5A64C2785354}"/>
    <cellStyle name="Accent2 60 2" xfId="1956" xr:uid="{244DF774-0EC9-4AE1-B780-0787808087C3}"/>
    <cellStyle name="Accent2 60 2 2" xfId="1957" xr:uid="{22ACA35A-A5D6-48D0-831C-9DD6339A87E4}"/>
    <cellStyle name="Accent2 60 2 3" xfId="1958" xr:uid="{3197778F-1AE5-4B23-87A7-8E1E2A56E34C}"/>
    <cellStyle name="Accent2 61" xfId="1959" xr:uid="{1307E0AF-7B98-4E4B-B2C4-07EDED1A1E92}"/>
    <cellStyle name="Accent2 62" xfId="1960" xr:uid="{2DE2B43A-D345-47FC-BD18-6AB10A4DF06C}"/>
    <cellStyle name="Accent2 63" xfId="1961" xr:uid="{4F3F961D-6A0A-4579-9DDE-B4044082C8D9}"/>
    <cellStyle name="Accent2 64" xfId="1962" xr:uid="{D26A293C-3C9D-4FB6-9FE2-07DE2555E3FE}"/>
    <cellStyle name="Accent2 65" xfId="1963" xr:uid="{B39DC953-EEB7-4034-BDB6-8B2347BDBA76}"/>
    <cellStyle name="Accent2 7" xfId="1964" xr:uid="{34C56458-3126-47AD-AEF5-3C5D5523A730}"/>
    <cellStyle name="Accent2 8" xfId="1965" xr:uid="{FB5ABC60-F25F-4BA0-B1ED-F39B3B1D1A17}"/>
    <cellStyle name="Accent2 9" xfId="1966" xr:uid="{59006850-B2B4-475E-8B2C-D7E231C33685}"/>
    <cellStyle name="Accent3 10" xfId="1967" xr:uid="{869AF964-1662-46B5-ACCD-2BEAE8D8F8A6}"/>
    <cellStyle name="Accent3 11" xfId="1968" xr:uid="{ACB58092-784B-4E31-9D07-3F412E55BFEB}"/>
    <cellStyle name="Accent3 12" xfId="1969" xr:uid="{58FDE792-32FB-407D-8932-926C786AA676}"/>
    <cellStyle name="Accent3 13" xfId="1970" xr:uid="{D00B94B8-7EBE-4AE3-B3D4-66EF95FED320}"/>
    <cellStyle name="Accent3 14" xfId="1971" xr:uid="{D809F0A3-70A7-4C15-B9EC-098E514F87B8}"/>
    <cellStyle name="Accent3 15" xfId="1972" xr:uid="{0FC5257D-63E3-4FAE-B71D-BEB27AC1EC5F}"/>
    <cellStyle name="Accent3 16" xfId="1973" xr:uid="{6B4A266B-8138-46BA-8ECB-99173FC6D040}"/>
    <cellStyle name="Accent3 17" xfId="1974" xr:uid="{33CF59FB-8415-48E1-994C-17D1CCA2619D}"/>
    <cellStyle name="Accent3 18" xfId="1975" xr:uid="{7F6EF19E-E326-4EEF-BFFC-C0AF3B291935}"/>
    <cellStyle name="Accent3 19" xfId="1976" xr:uid="{995E27F5-DC59-4326-B7BC-E7BC2B055F11}"/>
    <cellStyle name="Accent3 2" xfId="1977" xr:uid="{F096B33B-1C63-48D6-A52F-3BC054A9E300}"/>
    <cellStyle name="Accent3 2 2" xfId="1978" xr:uid="{61764F36-88E3-4734-A4AC-8BAE34B3346C}"/>
    <cellStyle name="Accent3 2 2 2" xfId="1979" xr:uid="{A7C4FFD7-C085-4336-A6B6-F87F0AA2B929}"/>
    <cellStyle name="Accent3 2 2 3" xfId="1980" xr:uid="{BD7C5C21-B671-462E-9E2F-7174BEB26F73}"/>
    <cellStyle name="Accent3 2 3" xfId="1981" xr:uid="{FA5FED1F-6D2F-4E32-9D76-A5A2A42CB851}"/>
    <cellStyle name="Accent3 2 4" xfId="1982" xr:uid="{5DB8E93E-E5BD-4897-ACBC-312C4DF1FC6F}"/>
    <cellStyle name="Accent3 2 5" xfId="1983" xr:uid="{703464D2-D26D-40C0-B826-D0EE8B3E7BAD}"/>
    <cellStyle name="Accent3 20" xfId="1984" xr:uid="{E8DAAA9F-78BA-4E02-AF5C-F82A5C70CB32}"/>
    <cellStyle name="Accent3 21" xfId="1985" xr:uid="{078B7C2B-6AFD-4A66-8E6A-8EFD153B76E7}"/>
    <cellStyle name="Accent3 22" xfId="1986" xr:uid="{F47A5012-C0E8-41EF-BE82-8FEC04FCC772}"/>
    <cellStyle name="Accent3 23" xfId="1987" xr:uid="{F023EF46-8304-4BF2-B3CF-263CE47BA77B}"/>
    <cellStyle name="Accent3 24" xfId="1988" xr:uid="{32EDB5A6-AC1A-427D-BB6B-ACC4BD29B624}"/>
    <cellStyle name="Accent3 25" xfId="1989" xr:uid="{FB669CF8-D2CA-4E28-9167-9D55A178F289}"/>
    <cellStyle name="Accent3 26" xfId="1990" xr:uid="{57A837C3-1C1B-4A06-B264-003697B2E13D}"/>
    <cellStyle name="Accent3 27" xfId="1991" xr:uid="{FB569103-2811-48FA-8C99-6E362016E6D2}"/>
    <cellStyle name="Accent3 28" xfId="1992" xr:uid="{165351DD-76AE-42D2-8B6F-42FE8094B708}"/>
    <cellStyle name="Accent3 29" xfId="1993" xr:uid="{E0904AA4-C0DD-44B7-A430-99B9CB523863}"/>
    <cellStyle name="Accent3 3" xfId="1994" xr:uid="{E6842A71-196C-4885-9CB6-27D2899D3444}"/>
    <cellStyle name="Accent3 3 2" xfId="1995" xr:uid="{1CBF0C6A-4546-444D-8F82-2304B38DBBB5}"/>
    <cellStyle name="Accent3 3 3" xfId="1996" xr:uid="{0B325CB8-CAB6-4C74-9911-9F666F0C4EC1}"/>
    <cellStyle name="Accent3 30" xfId="1997" xr:uid="{25C8589D-8C52-4FBE-9A10-7A2D083FBAA4}"/>
    <cellStyle name="Accent3 31" xfId="1998" xr:uid="{368AF536-7311-496B-AEF3-5D95D3DC622B}"/>
    <cellStyle name="Accent3 32" xfId="1999" xr:uid="{945C4190-D6EF-4850-BFA7-5C3ED7A394A7}"/>
    <cellStyle name="Accent3 33" xfId="2000" xr:uid="{89152FB0-2C98-469D-8867-369C05B46A00}"/>
    <cellStyle name="Accent3 34" xfId="2001" xr:uid="{9E7466AE-96AE-4463-AC70-05061FF3D7C6}"/>
    <cellStyle name="Accent3 35" xfId="2002" xr:uid="{C34FEFD1-249A-4EDE-A8E3-B70A5D61232C}"/>
    <cellStyle name="Accent3 35 2" xfId="2003" xr:uid="{7078394E-E72E-4086-B61D-B85B1548FD79}"/>
    <cellStyle name="Accent3 35 2 2" xfId="2004" xr:uid="{B6DED01E-85E2-4A8C-A75C-AD829AA88B00}"/>
    <cellStyle name="Accent3 35 2 2 2" xfId="2005" xr:uid="{1F002105-6B41-4E46-A371-871BE7361A26}"/>
    <cellStyle name="Accent3 35 3" xfId="2006" xr:uid="{C9173BE8-40FD-4FD4-B54A-139B5EB68A03}"/>
    <cellStyle name="Accent3 35 4" xfId="2007" xr:uid="{69F7A661-E432-4740-903C-30AD0F411AD4}"/>
    <cellStyle name="Accent3 36" xfId="2008" xr:uid="{7999A4D1-4980-41E6-A7C8-2A917CCCA07A}"/>
    <cellStyle name="Accent3 37" xfId="2009" xr:uid="{354A291D-FA07-40FA-AFCB-6511F53C5442}"/>
    <cellStyle name="Accent3 38" xfId="2010" xr:uid="{D3278555-98E8-44F2-99AC-7E645E4748E1}"/>
    <cellStyle name="Accent3 39" xfId="2011" xr:uid="{3518ED7E-6175-44DF-A318-E0CF30703DD0}"/>
    <cellStyle name="Accent3 4" xfId="2012" xr:uid="{59EBB348-0DD0-4466-83C2-49057D377527}"/>
    <cellStyle name="Accent3 4 2" xfId="2013" xr:uid="{E213956C-4702-46CA-82F8-109046D759F8}"/>
    <cellStyle name="Accent3 40" xfId="2014" xr:uid="{D6EEF6C0-406C-4885-8536-25CE05B76CB3}"/>
    <cellStyle name="Accent3 41" xfId="2015" xr:uid="{F7245357-FBB6-4C6A-8121-059EECAAD7F0}"/>
    <cellStyle name="Accent3 42" xfId="2016" xr:uid="{BE013D23-629D-40CD-957E-DB72FE3D4E71}"/>
    <cellStyle name="Accent3 43" xfId="2017" xr:uid="{CDBA84BC-CD40-42B8-8726-CCEE8BFB7627}"/>
    <cellStyle name="Accent3 44" xfId="2018" xr:uid="{04A250E9-CE45-47A7-B728-153A1B03B9FA}"/>
    <cellStyle name="Accent3 45" xfId="2019" xr:uid="{BEF95C06-3A3D-456B-9C20-CF929CFA62F9}"/>
    <cellStyle name="Accent3 46" xfId="2020" xr:uid="{8C097B5D-2EB8-4C77-8145-DECEAC2D3F08}"/>
    <cellStyle name="Accent3 47" xfId="2021" xr:uid="{C646D913-CAAB-47AD-93D5-5E628BCDB3FE}"/>
    <cellStyle name="Accent3 48" xfId="2022" xr:uid="{9B0CAB96-2599-42FD-BB99-30D7537D4698}"/>
    <cellStyle name="Accent3 49" xfId="2023" xr:uid="{0942090D-39D7-4361-93A3-3AB7116A45B6}"/>
    <cellStyle name="Accent3 5" xfId="2024" xr:uid="{653AB21E-0B66-4005-A28D-45FD7EBE56EE}"/>
    <cellStyle name="Accent3 50" xfId="2025" xr:uid="{CAC83C08-F818-4FA6-A544-C0A4F16C0E18}"/>
    <cellStyle name="Accent3 51" xfId="2026" xr:uid="{66F7101B-E340-4F9A-8796-994D323BD9D3}"/>
    <cellStyle name="Accent3 52" xfId="2027" xr:uid="{4179F5A7-0DFD-4E44-8D59-FF277822DFB9}"/>
    <cellStyle name="Accent3 53" xfId="2028" xr:uid="{B66A818F-DB67-47C1-B6B0-38D98DA03773}"/>
    <cellStyle name="Accent3 54" xfId="2029" xr:uid="{6021FF8E-4A8D-4731-82A3-93A502A53320}"/>
    <cellStyle name="Accent3 55" xfId="2030" xr:uid="{3A4E24BB-8F95-41F7-AD93-A004AAC195A5}"/>
    <cellStyle name="Accent3 56" xfId="2031" xr:uid="{A740886F-8032-4002-B8D2-902BF951C1FC}"/>
    <cellStyle name="Accent3 57" xfId="2032" xr:uid="{99875E4C-E97B-4199-AD83-4C0069D3E44B}"/>
    <cellStyle name="Accent3 58" xfId="2033" xr:uid="{36E7828D-E86F-4EF2-A707-A382F8587872}"/>
    <cellStyle name="Accent3 59" xfId="2034" xr:uid="{4474D03E-9E60-4687-9783-944A84077C35}"/>
    <cellStyle name="Accent3 6" xfId="2035" xr:uid="{9B6A0830-AB69-4C0D-88BC-20987AA1BC32}"/>
    <cellStyle name="Accent3 60" xfId="2036" xr:uid="{65F8CF1A-4E6A-42CF-82C5-585257E096AA}"/>
    <cellStyle name="Accent3 60 2" xfId="2037" xr:uid="{5F847A1F-F664-44E3-B5E8-820F085B46CD}"/>
    <cellStyle name="Accent3 60 2 2" xfId="2038" xr:uid="{667D2763-9D64-401C-83C1-809B1CD7671B}"/>
    <cellStyle name="Accent3 60 2 3" xfId="2039" xr:uid="{77B671F3-3FD5-4317-9426-250DF402EBE3}"/>
    <cellStyle name="Accent3 61" xfId="2040" xr:uid="{5061B27D-AE56-44B3-84F9-8020AA04A339}"/>
    <cellStyle name="Accent3 62" xfId="2041" xr:uid="{EF136B86-ECD9-4E1F-90E2-C99543810120}"/>
    <cellStyle name="Accent3 63" xfId="2042" xr:uid="{3E1B21A1-F8EA-4EB8-9E14-83B385584205}"/>
    <cellStyle name="Accent3 64" xfId="2043" xr:uid="{8CF81C03-47AB-486F-B457-6DE038960505}"/>
    <cellStyle name="Accent3 65" xfId="2044" xr:uid="{40C158E2-FEB7-45CB-A9EC-F350C71E901D}"/>
    <cellStyle name="Accent3 7" xfId="2045" xr:uid="{253CC658-1D84-401B-8DBB-E95A1C0D2B05}"/>
    <cellStyle name="Accent3 8" xfId="2046" xr:uid="{46BA625C-72FD-4E0D-BE08-774C1D12CD3D}"/>
    <cellStyle name="Accent3 9" xfId="2047" xr:uid="{9B001C54-AAEC-47A9-B387-6A4AB47A01AD}"/>
    <cellStyle name="Accent4 10" xfId="2048" xr:uid="{B43A00D6-E344-4129-B901-352A4A27FD7A}"/>
    <cellStyle name="Accent4 11" xfId="2049" xr:uid="{BA993472-4405-42AD-9F45-C899E00D30DB}"/>
    <cellStyle name="Accent4 12" xfId="2050" xr:uid="{6572163D-9581-466D-8F80-1A50F3E461D3}"/>
    <cellStyle name="Accent4 13" xfId="2051" xr:uid="{DA17C5B3-D9B3-40CE-870B-20A73520BA2D}"/>
    <cellStyle name="Accent4 14" xfId="2052" xr:uid="{A7B20B9A-FB8A-40DB-89FD-725B5C571673}"/>
    <cellStyle name="Accent4 15" xfId="2053" xr:uid="{9C9E03F9-A00F-4375-BD8B-2983DD9C1FBA}"/>
    <cellStyle name="Accent4 16" xfId="2054" xr:uid="{ECAC130D-DB0F-4D60-9377-135D1C014BB9}"/>
    <cellStyle name="Accent4 17" xfId="2055" xr:uid="{DF03C47A-FF52-453E-A688-49847AA0C138}"/>
    <cellStyle name="Accent4 18" xfId="2056" xr:uid="{367262AE-3833-4F62-8CA0-B5A77A697C5F}"/>
    <cellStyle name="Accent4 19" xfId="2057" xr:uid="{14661AA3-C500-4AFA-AAF9-A174740580FF}"/>
    <cellStyle name="Accent4 2" xfId="2058" xr:uid="{556FA61F-26D7-416D-8175-12DC7C3EA942}"/>
    <cellStyle name="Accent4 2 2" xfId="2059" xr:uid="{21D543C3-815B-4307-8E35-94F7918D4FA9}"/>
    <cellStyle name="Accent4 2 2 2" xfId="2060" xr:uid="{28695BBD-D415-48D0-93D5-6D96918D96C3}"/>
    <cellStyle name="Accent4 2 2 3" xfId="2061" xr:uid="{7C3892B5-4FE8-4C21-8802-BDC398A061A3}"/>
    <cellStyle name="Accent4 2 3" xfId="2062" xr:uid="{FCD53A90-5168-46D3-A820-EBA9AAC366C8}"/>
    <cellStyle name="Accent4 2 4" xfId="2063" xr:uid="{F8C593B9-D5EF-4EC6-9A11-CA018923B2E8}"/>
    <cellStyle name="Accent4 2 5" xfId="2064" xr:uid="{1ED152D7-562E-4103-AE32-CA0CD43A4B7B}"/>
    <cellStyle name="Accent4 20" xfId="2065" xr:uid="{16739E89-1D8B-4B56-924E-66EC01534078}"/>
    <cellStyle name="Accent4 21" xfId="2066" xr:uid="{99990E0E-C964-48D2-88BD-BE9A75BDEB93}"/>
    <cellStyle name="Accent4 22" xfId="2067" xr:uid="{6D3E63C3-69CA-4EF0-B86E-F9D80C9C351D}"/>
    <cellStyle name="Accent4 23" xfId="2068" xr:uid="{F604621E-8951-43D5-948C-19480EFB865D}"/>
    <cellStyle name="Accent4 24" xfId="2069" xr:uid="{939FBD87-BCEA-4837-A7B0-0A019F2CDCC3}"/>
    <cellStyle name="Accent4 25" xfId="2070" xr:uid="{6F551C35-22B7-48F4-8D13-DBEDAE864DE5}"/>
    <cellStyle name="Accent4 26" xfId="2071" xr:uid="{C77EF6F0-385A-4761-BC5B-2D2E4FC73F6B}"/>
    <cellStyle name="Accent4 27" xfId="2072" xr:uid="{111C39F5-A4C7-4ACA-B368-4D655AD8F1A4}"/>
    <cellStyle name="Accent4 28" xfId="2073" xr:uid="{C84FFE37-FC08-4706-A6C1-1182191ADAD1}"/>
    <cellStyle name="Accent4 29" xfId="2074" xr:uid="{EF6DB8C1-B6C9-4FC7-810B-566E591AEE76}"/>
    <cellStyle name="Accent4 3" xfId="2075" xr:uid="{6D032FBD-9516-42B4-91C9-F1D915284289}"/>
    <cellStyle name="Accent4 3 2" xfId="2076" xr:uid="{96272197-1EC3-4E8B-9C6B-2E8B2E747A97}"/>
    <cellStyle name="Accent4 3 3" xfId="2077" xr:uid="{91244567-42CB-4DC8-A4ED-12976D9DF9FB}"/>
    <cellStyle name="Accent4 30" xfId="2078" xr:uid="{E588961A-A183-45A1-9630-01ABEA16F5EF}"/>
    <cellStyle name="Accent4 31" xfId="2079" xr:uid="{5A9B764E-1759-4B20-A091-294CCBEA69C2}"/>
    <cellStyle name="Accent4 32" xfId="2080" xr:uid="{4BF24950-3410-4077-B5E4-900D005AB43E}"/>
    <cellStyle name="Accent4 33" xfId="2081" xr:uid="{A41A2B54-679D-45DD-9FC9-F02798C4AB4A}"/>
    <cellStyle name="Accent4 34" xfId="2082" xr:uid="{6CF45AA9-ECF8-4AC4-9D91-DA6EF52C48FD}"/>
    <cellStyle name="Accent4 35" xfId="2083" xr:uid="{7B95A491-7A5D-44E1-ADDF-B9E8883BC3BD}"/>
    <cellStyle name="Accent4 35 2" xfId="2084" xr:uid="{EBABB31E-8A7C-4834-959E-B324768B0387}"/>
    <cellStyle name="Accent4 35 2 2" xfId="2085" xr:uid="{40B2EDB0-B1EC-40A2-BD8E-EB51831BD887}"/>
    <cellStyle name="Accent4 35 2 2 2" xfId="2086" xr:uid="{54EFD279-5896-415F-A828-524C8E889054}"/>
    <cellStyle name="Accent4 35 3" xfId="2087" xr:uid="{1549F076-40D6-4CFB-AE94-211BFB2B56B9}"/>
    <cellStyle name="Accent4 35 4" xfId="2088" xr:uid="{AE04B56B-6569-4B3A-BE6D-57E4C40295A8}"/>
    <cellStyle name="Accent4 36" xfId="2089" xr:uid="{F7FA6FDF-3BEC-4BB0-B0AA-E6589CFFAE8E}"/>
    <cellStyle name="Accent4 37" xfId="2090" xr:uid="{C4E6945B-D80B-4D0B-A015-24CFA55A7321}"/>
    <cellStyle name="Accent4 38" xfId="2091" xr:uid="{14FCE24E-9E36-42C9-87A2-1DAA9EE9C3F2}"/>
    <cellStyle name="Accent4 39" xfId="2092" xr:uid="{E0DA040A-F95B-437C-B48D-2FCB3BE30609}"/>
    <cellStyle name="Accent4 4" xfId="2093" xr:uid="{07980B0A-075A-4593-98F6-D014ADFB110A}"/>
    <cellStyle name="Accent4 4 2" xfId="2094" xr:uid="{C2E0E9A5-A30C-4C93-A2D3-3FCE90842C7B}"/>
    <cellStyle name="Accent4 40" xfId="2095" xr:uid="{53DD76BF-EC7E-4121-BF56-9AF0BDB7C629}"/>
    <cellStyle name="Accent4 41" xfId="2096" xr:uid="{ADE27042-9970-4EB1-8AE2-744313AAF0DD}"/>
    <cellStyle name="Accent4 42" xfId="2097" xr:uid="{3518F6FD-503A-4006-B16E-AE64A340373F}"/>
    <cellStyle name="Accent4 43" xfId="2098" xr:uid="{F841EBF1-DFDA-4392-A763-A5324CEAE044}"/>
    <cellStyle name="Accent4 44" xfId="2099" xr:uid="{4D0730FC-E0CB-430B-94A1-A9CBFE979C48}"/>
    <cellStyle name="Accent4 45" xfId="2100" xr:uid="{D9BDE8A2-08F3-4C6C-8CE7-6B8339E5B105}"/>
    <cellStyle name="Accent4 46" xfId="2101" xr:uid="{B2EB8BC0-FBC8-4965-B2C0-7622BDC1FBE1}"/>
    <cellStyle name="Accent4 47" xfId="2102" xr:uid="{505E7877-815A-4CCE-A104-E9F29A1D0DB9}"/>
    <cellStyle name="Accent4 48" xfId="2103" xr:uid="{8C917B51-59C9-476A-971C-C6C936B889AF}"/>
    <cellStyle name="Accent4 49" xfId="2104" xr:uid="{3B25FCE0-3D2A-47C4-B316-431447D7373F}"/>
    <cellStyle name="Accent4 5" xfId="2105" xr:uid="{7245B510-6AA5-4E16-A367-EDA5C776974C}"/>
    <cellStyle name="Accent4 50" xfId="2106" xr:uid="{4136C4D3-5159-464F-8ACA-8D67E6E869E0}"/>
    <cellStyle name="Accent4 51" xfId="2107" xr:uid="{6BE4FF6F-CB48-448D-94CB-8256B2861C92}"/>
    <cellStyle name="Accent4 52" xfId="2108" xr:uid="{9BEA3FAC-DBCC-4D5D-A485-F7C43EBC7F18}"/>
    <cellStyle name="Accent4 53" xfId="2109" xr:uid="{D2972623-C174-41A3-9CC0-8168CA5D9F5B}"/>
    <cellStyle name="Accent4 54" xfId="2110" xr:uid="{D21CCA93-68AF-4BF8-BB59-E7055FCE3094}"/>
    <cellStyle name="Accent4 55" xfId="2111" xr:uid="{3DC72A79-9EFF-4763-85EF-7097B6D20735}"/>
    <cellStyle name="Accent4 56" xfId="2112" xr:uid="{30A6B7E9-5858-4E0B-9AE8-2CE29EDF7DFF}"/>
    <cellStyle name="Accent4 57" xfId="2113" xr:uid="{F66A2E68-FAC4-491A-944C-C75C2CF0E053}"/>
    <cellStyle name="Accent4 58" xfId="2114" xr:uid="{A63F42E1-43D6-479E-9649-5F58DF49BD19}"/>
    <cellStyle name="Accent4 59" xfId="2115" xr:uid="{BBF4A70B-C969-4D29-B972-F33FA52C69FB}"/>
    <cellStyle name="Accent4 6" xfId="2116" xr:uid="{C73B19BC-2727-4BC8-9420-C5F8D65004E0}"/>
    <cellStyle name="Accent4 60" xfId="2117" xr:uid="{B627544A-8BCB-4A3F-BE66-D448C8A2CC28}"/>
    <cellStyle name="Accent4 60 2" xfId="2118" xr:uid="{BE0DE212-D3F6-4EFA-8478-2537930EA065}"/>
    <cellStyle name="Accent4 60 2 2" xfId="2119" xr:uid="{2474F90E-A7A2-44FA-BE53-9E425F6BBD54}"/>
    <cellStyle name="Accent4 60 2 2 2" xfId="2120" xr:uid="{FD4C3F51-C75D-4DDC-AEEE-F8F929E4F840}"/>
    <cellStyle name="Accent4 60 2 3" xfId="2121" xr:uid="{FF32BDE8-D094-4C43-8AC8-45E87840E7F7}"/>
    <cellStyle name="Accent4 61" xfId="2122" xr:uid="{E295C10A-8D10-427E-BA25-B4360A70C01C}"/>
    <cellStyle name="Accent4 62" xfId="2123" xr:uid="{095614A1-99B9-433A-AE0B-C6E476099DC8}"/>
    <cellStyle name="Accent4 63" xfId="2124" xr:uid="{2793043C-B732-402D-8D41-1BC9777908E9}"/>
    <cellStyle name="Accent4 64" xfId="2125" xr:uid="{386E0A47-25F1-4A19-8921-6E47EE25C1F4}"/>
    <cellStyle name="Accent4 65" xfId="2126" xr:uid="{10FC4EBF-5BE3-4AEC-8D9F-CA19DA42F080}"/>
    <cellStyle name="Accent4 7" xfId="2127" xr:uid="{8843CA1E-27A4-4885-8B2D-BBBFCD51AD7B}"/>
    <cellStyle name="Accent4 8" xfId="2128" xr:uid="{EAB14E89-4F41-47ED-81DC-0EE77E682F4B}"/>
    <cellStyle name="Accent4 9" xfId="2129" xr:uid="{59866148-CF0B-4AA4-A071-F1C4981019E3}"/>
    <cellStyle name="Accent5 10" xfId="2130" xr:uid="{425532B0-2BD7-47DA-9FA2-F2894B9C5A32}"/>
    <cellStyle name="Accent5 11" xfId="2131" xr:uid="{F3427EBD-4417-4CDF-8DF4-286CDEB79B49}"/>
    <cellStyle name="Accent5 12" xfId="2132" xr:uid="{FB2F555C-592C-4E0C-9C0A-6763FD4AA47B}"/>
    <cellStyle name="Accent5 13" xfId="2133" xr:uid="{629240F9-CC2D-4AE1-8D81-E9C65A51556C}"/>
    <cellStyle name="Accent5 14" xfId="2134" xr:uid="{A08E7489-192C-499B-AF63-E0BA9311B439}"/>
    <cellStyle name="Accent5 15" xfId="2135" xr:uid="{63C18DA9-19A8-4D94-8871-369C93D58346}"/>
    <cellStyle name="Accent5 16" xfId="2136" xr:uid="{8C98E32F-1302-4B81-AD9C-EB67698BB065}"/>
    <cellStyle name="Accent5 17" xfId="2137" xr:uid="{5667239D-B9F8-402C-9ED0-FAFD4FD9119E}"/>
    <cellStyle name="Accent5 18" xfId="2138" xr:uid="{16EA5136-735D-4A60-B437-0E13E26BCCDC}"/>
    <cellStyle name="Accent5 19" xfId="2139" xr:uid="{CFC073F5-DF68-404F-9243-CAD2D6B28EB3}"/>
    <cellStyle name="Accent5 2" xfId="2140" xr:uid="{38B4DDCC-6B4E-4E12-A74F-6289DF439E2A}"/>
    <cellStyle name="Accent5 2 2" xfId="2141" xr:uid="{3DA9AFE2-F91C-4F39-83B1-2EDF3500C7EF}"/>
    <cellStyle name="Accent5 2 2 2" xfId="2142" xr:uid="{A20D8A98-E699-4F37-A7D3-3BD4B2999A10}"/>
    <cellStyle name="Accent5 2 2 3" xfId="2143" xr:uid="{61776DA9-A2A6-481C-9BBB-7A1D5173086F}"/>
    <cellStyle name="Accent5 2 3" xfId="2144" xr:uid="{339BF2D7-8A18-4711-B1CD-E48B6C151437}"/>
    <cellStyle name="Accent5 2 4" xfId="2145" xr:uid="{624ABFF4-7803-452D-BBBB-0ED6869C33A0}"/>
    <cellStyle name="Accent5 2 5" xfId="2146" xr:uid="{A7EDBD1C-6F28-4BAD-8284-A322E01E92C1}"/>
    <cellStyle name="Accent5 20" xfId="2147" xr:uid="{2568E4F3-7A2E-43E0-8DE1-B6891F47BC5E}"/>
    <cellStyle name="Accent5 21" xfId="2148" xr:uid="{61F67F0C-9F85-4A24-A734-8F3CFE0287D6}"/>
    <cellStyle name="Accent5 22" xfId="2149" xr:uid="{5F26EA4A-6FF4-4CB6-944D-5E24B9B00A74}"/>
    <cellStyle name="Accent5 23" xfId="2150" xr:uid="{5BF6AF28-C2E3-4935-A3CD-81A6B3FB84AD}"/>
    <cellStyle name="Accent5 24" xfId="2151" xr:uid="{13B410E1-C06F-47B0-AB74-1C156E301EFD}"/>
    <cellStyle name="Accent5 25" xfId="2152" xr:uid="{A07AE68B-0976-444A-8A42-3A6DD656043C}"/>
    <cellStyle name="Accent5 26" xfId="2153" xr:uid="{52125D92-2117-43C2-9F05-8243478E098D}"/>
    <cellStyle name="Accent5 27" xfId="2154" xr:uid="{01909AC4-DC4C-4AE9-9399-6CF105284FBD}"/>
    <cellStyle name="Accent5 28" xfId="2155" xr:uid="{E804EF20-515A-4892-8691-06DB2D59DAA4}"/>
    <cellStyle name="Accent5 29" xfId="2156" xr:uid="{B1C774C7-C3FC-4ED6-9F29-04E7BBC98E53}"/>
    <cellStyle name="Accent5 3" xfId="2157" xr:uid="{7F3E1AB5-24F2-4CC5-B1C2-CA208CB32DFF}"/>
    <cellStyle name="Accent5 3 2" xfId="2158" xr:uid="{52E242B5-B3B4-45A7-86AE-614BA376F9C1}"/>
    <cellStyle name="Accent5 30" xfId="2159" xr:uid="{D5AB8AAD-D908-421C-B703-30AEE943D5B0}"/>
    <cellStyle name="Accent5 31" xfId="2160" xr:uid="{F0CDE55F-FF13-403D-8966-5BEA72E35AF5}"/>
    <cellStyle name="Accent5 32" xfId="2161" xr:uid="{8C2BD867-7E80-42B2-B23E-C701A1B56421}"/>
    <cellStyle name="Accent5 33" xfId="2162" xr:uid="{59B1FA42-45BE-4AE6-B32A-44BD7343799A}"/>
    <cellStyle name="Accent5 34" xfId="2163" xr:uid="{1B496D4A-8E0D-4453-B0AB-021B3D75C438}"/>
    <cellStyle name="Accent5 35" xfId="2164" xr:uid="{DD4EB5F7-3E36-4F0F-8CD6-DFBF59CE33D3}"/>
    <cellStyle name="Accent5 35 2" xfId="2165" xr:uid="{EB0AFDA4-5C5D-4659-9B9F-3398BE3BAAA1}"/>
    <cellStyle name="Accent5 35 2 2" xfId="2166" xr:uid="{98132F03-52ED-4854-955C-FD079396B0F4}"/>
    <cellStyle name="Accent5 35 2 2 2" xfId="2167" xr:uid="{341B2D24-2F3E-468A-9713-73F15A24EC7D}"/>
    <cellStyle name="Accent5 35 3" xfId="2168" xr:uid="{8681F2E1-15EE-4535-B2ED-458F63D06506}"/>
    <cellStyle name="Accent5 35 4" xfId="2169" xr:uid="{7C89A1E7-32B7-4B66-8EAF-843D9CA0A8E5}"/>
    <cellStyle name="Accent5 36" xfId="2170" xr:uid="{C7B3147E-2F38-4E72-BD5B-89DCA4FBB5B4}"/>
    <cellStyle name="Accent5 37" xfId="2171" xr:uid="{CDEA5B4F-E37D-4786-BD32-EAB3062986E9}"/>
    <cellStyle name="Accent5 38" xfId="2172" xr:uid="{9B7941CD-DE51-4D91-AF4A-5086C0DAA10C}"/>
    <cellStyle name="Accent5 39" xfId="2173" xr:uid="{08A96F7C-215D-4D26-808C-670923E281BB}"/>
    <cellStyle name="Accent5 4" xfId="2174" xr:uid="{55C079D7-CEE1-425A-923E-F6F73D31B6E8}"/>
    <cellStyle name="Accent5 4 2" xfId="2175" xr:uid="{2E84F97F-2E71-40E6-B896-F724968888CF}"/>
    <cellStyle name="Accent5 40" xfId="2176" xr:uid="{7EFC6070-8751-46AA-8663-91257E9E3098}"/>
    <cellStyle name="Accent5 41" xfId="2177" xr:uid="{1ACB60CB-C678-4BE5-9AA8-8314B9C40267}"/>
    <cellStyle name="Accent5 42" xfId="2178" xr:uid="{9171C612-112A-459F-99FC-375BA5251916}"/>
    <cellStyle name="Accent5 43" xfId="2179" xr:uid="{F84DC511-3155-4F56-AC3C-A1FFF3ACA27D}"/>
    <cellStyle name="Accent5 44" xfId="2180" xr:uid="{6AC7A1CA-E15A-4F38-8988-DA1B72B4689C}"/>
    <cellStyle name="Accent5 45" xfId="2181" xr:uid="{4CB8A0A3-8309-49D1-98B8-D932678DE07D}"/>
    <cellStyle name="Accent5 46" xfId="2182" xr:uid="{67973F9B-6787-4E21-AE99-7E5FBDCEF1AB}"/>
    <cellStyle name="Accent5 47" xfId="2183" xr:uid="{6FD004A1-782F-4EF7-8800-5B9D1C9FA7D6}"/>
    <cellStyle name="Accent5 48" xfId="2184" xr:uid="{5A28A678-3371-4CA9-9A51-609D257F5660}"/>
    <cellStyle name="Accent5 49" xfId="2185" xr:uid="{DB847651-7C26-4C8F-AB1B-EAA4C2B3F0C9}"/>
    <cellStyle name="Accent5 5" xfId="2186" xr:uid="{422C4241-A786-410A-839F-6C3CDF66FA01}"/>
    <cellStyle name="Accent5 50" xfId="2187" xr:uid="{B282216C-5D13-48EC-BBB3-2AA5DC6701E2}"/>
    <cellStyle name="Accent5 51" xfId="2188" xr:uid="{7341FD5E-281D-4315-9205-7A576198E9E3}"/>
    <cellStyle name="Accent5 52" xfId="2189" xr:uid="{94EEEAAD-E915-4DD5-91A7-C4787CE26F56}"/>
    <cellStyle name="Accent5 53" xfId="2190" xr:uid="{EC21BC0A-110C-4DA4-8C28-2C1A0D96DD65}"/>
    <cellStyle name="Accent5 54" xfId="2191" xr:uid="{04F0B6A9-1472-40C0-BB68-CF78F7EFC0BE}"/>
    <cellStyle name="Accent5 55" xfId="2192" xr:uid="{8B87146C-7394-4570-99BB-E2CCFD0FB561}"/>
    <cellStyle name="Accent5 56" xfId="2193" xr:uid="{19FAA77B-7D66-4003-A16C-6AF52DFE8665}"/>
    <cellStyle name="Accent5 57" xfId="2194" xr:uid="{3EA63DF9-82EB-452E-88C3-637CD3BD6942}"/>
    <cellStyle name="Accent5 58" xfId="2195" xr:uid="{E9EC354D-C4E1-41F4-9706-9E5697760196}"/>
    <cellStyle name="Accent5 59" xfId="2196" xr:uid="{70CE914E-443E-4B5D-A8D3-2A2E7DE1908F}"/>
    <cellStyle name="Accent5 6" xfId="2197" xr:uid="{06027436-79F9-464A-A2BF-AEE255DE4E68}"/>
    <cellStyle name="Accent5 60" xfId="2198" xr:uid="{FB84F3E2-E41E-4191-81AE-2AD676D79714}"/>
    <cellStyle name="Accent5 60 2" xfId="2199" xr:uid="{161B3652-3BE6-4040-944E-FA40EF89C96A}"/>
    <cellStyle name="Accent5 60 2 2" xfId="2200" xr:uid="{7BEC9F8A-3FB1-4E70-B1FA-49DD3EF74B47}"/>
    <cellStyle name="Accent5 60 2 3" xfId="2201" xr:uid="{424EA8F0-2199-4EA3-8BCE-2C92106431DB}"/>
    <cellStyle name="Accent5 61" xfId="2202" xr:uid="{AB0C7DF0-CBEC-41BF-99EC-138343059F90}"/>
    <cellStyle name="Accent5 62" xfId="2203" xr:uid="{E24ED49A-BEA9-4754-AC88-16BCB2E7D046}"/>
    <cellStyle name="Accent5 63" xfId="2204" xr:uid="{3ED55164-BD33-4C0F-895C-175F4E8AF97C}"/>
    <cellStyle name="Accent5 64" xfId="2205" xr:uid="{822B192F-00BA-470C-842A-B39FF23800A2}"/>
    <cellStyle name="Accent5 65" xfId="2206" xr:uid="{88FF3B90-862C-4540-94AB-A343FEF35693}"/>
    <cellStyle name="Accent5 7" xfId="2207" xr:uid="{C5C6FE7E-056C-44D1-A687-3C744FB7B3FD}"/>
    <cellStyle name="Accent5 8" xfId="2208" xr:uid="{DE0D0825-E5B4-494C-97C9-E742F4A039F4}"/>
    <cellStyle name="Accent5 9" xfId="2209" xr:uid="{88843B44-2F93-48E1-9BAD-4D897612B317}"/>
    <cellStyle name="Accent6 10" xfId="2210" xr:uid="{F88CA245-16A3-4BC0-A621-B8447E678F2D}"/>
    <cellStyle name="Accent6 11" xfId="2211" xr:uid="{33719B13-DEB3-4ACD-B978-28AF99AAD5DB}"/>
    <cellStyle name="Accent6 12" xfId="2212" xr:uid="{41D5BA88-3290-45AA-B7A0-01FC172E3ADC}"/>
    <cellStyle name="Accent6 13" xfId="2213" xr:uid="{B0D81402-4F5E-4D4B-A119-3920542D1594}"/>
    <cellStyle name="Accent6 14" xfId="2214" xr:uid="{A4461D46-51B2-41B0-B52B-1F1D9F69BC1D}"/>
    <cellStyle name="Accent6 15" xfId="2215" xr:uid="{01A7FD9E-F168-403C-9ACB-6BBA3799DF41}"/>
    <cellStyle name="Accent6 16" xfId="2216" xr:uid="{7882DF5E-E3C4-4FCA-9578-66B0E81CDB9E}"/>
    <cellStyle name="Accent6 17" xfId="2217" xr:uid="{6C5B79CB-30DF-43BC-9909-4571D3661044}"/>
    <cellStyle name="Accent6 18" xfId="2218" xr:uid="{1E68B38C-EA3A-434F-B5D2-58BC71C00D50}"/>
    <cellStyle name="Accent6 19" xfId="2219" xr:uid="{A242A3C3-60AC-4DD8-A9E3-49A8C5A2B767}"/>
    <cellStyle name="Accent6 2" xfId="2220" xr:uid="{530CB667-F980-4C10-B252-27AB3FEEBADB}"/>
    <cellStyle name="Accent6 2 2" xfId="2221" xr:uid="{70DFB292-6400-4033-B20D-091E63F0A7E9}"/>
    <cellStyle name="Accent6 2 2 2" xfId="2222" xr:uid="{C2752712-D61A-4A78-83C7-C9F049315399}"/>
    <cellStyle name="Accent6 2 2 3" xfId="2223" xr:uid="{EC398DAE-CCA4-4FF1-845F-0EF52FA32764}"/>
    <cellStyle name="Accent6 2 3" xfId="2224" xr:uid="{330C25AC-DB02-49ED-B556-A3150BB79834}"/>
    <cellStyle name="Accent6 2 4" xfId="2225" xr:uid="{AD6C1179-258E-448C-B68D-6376CA60A158}"/>
    <cellStyle name="Accent6 2 5" xfId="2226" xr:uid="{AB03FBBB-AE5C-4887-967E-6C9BA874DBDA}"/>
    <cellStyle name="Accent6 20" xfId="2227" xr:uid="{C5B77625-002B-40D4-8DEA-E27C28148BD6}"/>
    <cellStyle name="Accent6 21" xfId="2228" xr:uid="{11EE27DD-5258-4A9C-AA1F-BF71EF135530}"/>
    <cellStyle name="Accent6 22" xfId="2229" xr:uid="{32500EF0-945C-48C9-B92D-61403C7F8CD7}"/>
    <cellStyle name="Accent6 23" xfId="2230" xr:uid="{CF95DC27-8DBB-4D81-BA54-313D8E83587B}"/>
    <cellStyle name="Accent6 24" xfId="2231" xr:uid="{14483262-D561-404D-B309-4511CA4C122D}"/>
    <cellStyle name="Accent6 25" xfId="2232" xr:uid="{5B0DF82D-A684-4D51-9B8E-560AE6E09C10}"/>
    <cellStyle name="Accent6 26" xfId="2233" xr:uid="{D567141D-9EF1-4892-BB6E-C3D6EAD6B549}"/>
    <cellStyle name="Accent6 27" xfId="2234" xr:uid="{54ADBEAC-BAA3-4A3D-A5CB-3260EFF88794}"/>
    <cellStyle name="Accent6 28" xfId="2235" xr:uid="{76924625-DB1C-411D-B532-5E7B96BF975D}"/>
    <cellStyle name="Accent6 29" xfId="2236" xr:uid="{90F30567-CEC2-4352-ABE9-E4CCC05D3B04}"/>
    <cellStyle name="Accent6 3" xfId="2237" xr:uid="{08762F2E-3F08-43BC-9270-4850C5061AF6}"/>
    <cellStyle name="Accent6 3 2" xfId="2238" xr:uid="{E44863F1-BB36-47FD-8067-0EF72A091BEB}"/>
    <cellStyle name="Accent6 3 3" xfId="2239" xr:uid="{8C95F1F5-36EE-4422-9C6A-EE6E5AE1EEBC}"/>
    <cellStyle name="Accent6 30" xfId="2240" xr:uid="{0D319890-AD8C-4D19-8541-780F533A54C6}"/>
    <cellStyle name="Accent6 31" xfId="2241" xr:uid="{8B886351-D05E-41F7-A59D-69DE9B7C657B}"/>
    <cellStyle name="Accent6 32" xfId="2242" xr:uid="{184F809C-57F7-486C-B4A3-F91138BB54F4}"/>
    <cellStyle name="Accent6 33" xfId="2243" xr:uid="{B954DB52-D772-490A-AE8D-921789DE10C6}"/>
    <cellStyle name="Accent6 34" xfId="2244" xr:uid="{B554285C-2F84-4B02-BC9A-624DF7465D75}"/>
    <cellStyle name="Accent6 35" xfId="2245" xr:uid="{1D013B04-042C-4B2D-8204-83B71B9BA411}"/>
    <cellStyle name="Accent6 35 2" xfId="2246" xr:uid="{D7A01B67-0D85-4D95-B0FE-AD674336834A}"/>
    <cellStyle name="Accent6 35 2 2" xfId="2247" xr:uid="{77649E8D-9233-4878-AB1D-75AE11BFD88F}"/>
    <cellStyle name="Accent6 35 2 2 2" xfId="2248" xr:uid="{9281CB60-4023-4019-8E45-D49C0F6A2D44}"/>
    <cellStyle name="Accent6 35 3" xfId="2249" xr:uid="{B412C9C1-E479-4A55-8DA9-54E894C9F166}"/>
    <cellStyle name="Accent6 35 4" xfId="2250" xr:uid="{4867C8E3-2B6C-486B-9532-F0C762CA82EA}"/>
    <cellStyle name="Accent6 36" xfId="2251" xr:uid="{A0A84B97-3D5D-417F-9409-B70C8A772115}"/>
    <cellStyle name="Accent6 37" xfId="2252" xr:uid="{566A462C-DEAC-45CB-A32A-B7756C2D916D}"/>
    <cellStyle name="Accent6 38" xfId="2253" xr:uid="{58DDF44D-F6BA-4534-A358-2F4FC2578126}"/>
    <cellStyle name="Accent6 39" xfId="2254" xr:uid="{E808A9DF-D0BC-418E-A774-C398E95BB501}"/>
    <cellStyle name="Accent6 4" xfId="2255" xr:uid="{C8A7AF45-C9A9-4538-A9A1-D5EF199E44B9}"/>
    <cellStyle name="Accent6 4 2" xfId="2256" xr:uid="{A066E0BE-89F3-4BD7-995B-435B6B3D4546}"/>
    <cellStyle name="Accent6 40" xfId="2257" xr:uid="{73992B59-C2E2-4874-9199-F798178CE308}"/>
    <cellStyle name="Accent6 41" xfId="2258" xr:uid="{7A68E013-7651-4425-B783-DAEA77C6BFF8}"/>
    <cellStyle name="Accent6 42" xfId="2259" xr:uid="{F9B08BB4-F215-4496-8C95-BEA4389A682F}"/>
    <cellStyle name="Accent6 43" xfId="2260" xr:uid="{F981E73B-1CE8-4718-98F9-241834A44C2C}"/>
    <cellStyle name="Accent6 44" xfId="2261" xr:uid="{0B0648C2-0456-4EB4-BDFD-9DC56A36CAE5}"/>
    <cellStyle name="Accent6 45" xfId="2262" xr:uid="{DCFAC064-80A8-4CDC-9BA5-5E68028612CF}"/>
    <cellStyle name="Accent6 46" xfId="2263" xr:uid="{94980449-2CA5-4FBB-A4B6-B4489A8FFA3B}"/>
    <cellStyle name="Accent6 47" xfId="2264" xr:uid="{E4AE5635-A66C-4B76-96DB-E73A81C52A2A}"/>
    <cellStyle name="Accent6 48" xfId="2265" xr:uid="{EC84F687-1B8B-4880-8CE0-6887758B9606}"/>
    <cellStyle name="Accent6 49" xfId="2266" xr:uid="{FE069282-537F-4A6A-AF52-570652C8E9E6}"/>
    <cellStyle name="Accent6 5" xfId="2267" xr:uid="{B432E264-7BB8-4472-9018-C25B456D9A3C}"/>
    <cellStyle name="Accent6 50" xfId="2268" xr:uid="{DEC99729-4ABC-41AE-9F36-FA6D7CB9636A}"/>
    <cellStyle name="Accent6 51" xfId="2269" xr:uid="{8D117D65-EC78-477C-869A-58CFD8860BD3}"/>
    <cellStyle name="Accent6 52" xfId="2270" xr:uid="{35C955CA-D7CD-4B5D-B407-D73EB6040213}"/>
    <cellStyle name="Accent6 53" xfId="2271" xr:uid="{1FCF9585-42FB-46C3-BC55-17C25D0DAFA0}"/>
    <cellStyle name="Accent6 54" xfId="2272" xr:uid="{29045339-6B75-42DD-95E4-F07D7DF6F265}"/>
    <cellStyle name="Accent6 55" xfId="2273" xr:uid="{2B3A8DE8-2895-4D55-BA4B-3043320FE2C5}"/>
    <cellStyle name="Accent6 56" xfId="2274" xr:uid="{85354294-F6E4-4241-87AF-773F21571B02}"/>
    <cellStyle name="Accent6 57" xfId="2275" xr:uid="{1C039317-C160-4176-9246-E5520410793B}"/>
    <cellStyle name="Accent6 58" xfId="2276" xr:uid="{07447364-D41C-4D77-A502-ACEFBBBB1ED4}"/>
    <cellStyle name="Accent6 59" xfId="2277" xr:uid="{68A2DD04-A521-419E-BC8D-A61086727203}"/>
    <cellStyle name="Accent6 6" xfId="2278" xr:uid="{27FE8726-E706-4B65-98D0-0682FEE5E41E}"/>
    <cellStyle name="Accent6 60" xfId="2279" xr:uid="{2C7C576D-C205-4FDC-9D08-54EFF67A3D2D}"/>
    <cellStyle name="Accent6 60 2" xfId="2280" xr:uid="{BD3216AE-428F-48A2-9BEB-4DED75789728}"/>
    <cellStyle name="Accent6 60 2 2" xfId="2281" xr:uid="{FE99A824-B2E1-43B3-9958-E856F57CF899}"/>
    <cellStyle name="Accent6 60 2 3" xfId="2282" xr:uid="{91514C02-B730-4CE3-A582-ACC123FBC782}"/>
    <cellStyle name="Accent6 61" xfId="2283" xr:uid="{6980D3EE-2580-4221-967C-A0EAAEA51A74}"/>
    <cellStyle name="Accent6 62" xfId="2284" xr:uid="{063786F8-00EB-4071-BE5F-BD8F7060531A}"/>
    <cellStyle name="Accent6 63" xfId="2285" xr:uid="{C32BDCFF-56BB-4227-87D3-A0827AE088DF}"/>
    <cellStyle name="Accent6 64" xfId="2286" xr:uid="{51ED27F2-C9E2-49F7-9E57-511062DC2237}"/>
    <cellStyle name="Accent6 65" xfId="2287" xr:uid="{D97483AA-8EE5-4CDA-96E6-5F785A8C3FE5}"/>
    <cellStyle name="Accent6 7" xfId="2288" xr:uid="{8CD33B86-A568-47B9-A1B6-41B5CBB19C27}"/>
    <cellStyle name="Accent6 8" xfId="2289" xr:uid="{F0039B49-B537-4E23-8202-96AF89BD18C2}"/>
    <cellStyle name="Accent6 9" xfId="2290" xr:uid="{8C26F7D7-F5F8-4BDD-AAF3-E9D8E4FD882A}"/>
    <cellStyle name="Actual Date" xfId="2291" xr:uid="{4FE64D77-1A1C-4AFB-A560-42B1A06E2BD0}"/>
    <cellStyle name="Adjustable" xfId="2292" xr:uid="{784B65D1-7C37-4885-B503-4478FF2282F0}"/>
    <cellStyle name="AFE" xfId="2293" xr:uid="{CA1C6FE1-C02E-438E-9DA3-98434A881115}"/>
    <cellStyle name="AggblueCels_1x" xfId="2294" xr:uid="{95FFC432-E90E-4229-9F68-6848BC54B51C}"/>
    <cellStyle name="Alternate Rows" xfId="2295" xr:uid="{AA04F357-0039-4233-A081-DB2B90073EF2}"/>
    <cellStyle name="Alternate Yellow" xfId="2296" xr:uid="{7CE57E6E-F14A-4590-9C1D-C40832752688}"/>
    <cellStyle name="Alternate Yellow 2" xfId="2297" xr:uid="{4E4A2232-BD83-4AC5-9A48-327EAAF34260}"/>
    <cellStyle name="Alternate Yellow 3" xfId="2298" xr:uid="{C59387ED-918B-454B-92CC-9B554A8E82A4}"/>
    <cellStyle name="Alternate Yellow 4" xfId="2299" xr:uid="{29247E84-BDC1-4551-9CBB-0DCF8516183B}"/>
    <cellStyle name="Alternate Yellow 5" xfId="2300" xr:uid="{BD911C5E-D1A3-4A24-A21B-60208A54E119}"/>
    <cellStyle name="ANCLAS,REZONES Y SUS PARTES,DE FUNDICION,DE HIERRO O DE ACERO" xfId="2301" xr:uid="{A2F7DC2C-830E-41CA-8E2C-9E1CBFA8F84F}"/>
    <cellStyle name="ANCLAS,REZONES Y SUS PARTES,DE FUNDICION,DE HIERRO O DE ACERO 2" xfId="2302" xr:uid="{711AA9DB-1DF6-4574-8A2E-284E0C54C028}"/>
    <cellStyle name="ANCLAS,REZONES Y SUS PARTES,DE FUNDICION,DE HIERRO O DE ACERO 3" xfId="2303" xr:uid="{B0104D94-B8DC-447A-8C51-EAE6F3163616}"/>
    <cellStyle name="ANCLAS,REZONES Y SUS PARTES,DE FUNDICION,DE HIERRO O DE ACERO_Ch4 v2" xfId="2304" xr:uid="{FD0FCC7A-A87B-4A16-B1F2-F330F337D9DD}"/>
    <cellStyle name="annee semestre" xfId="2305" xr:uid="{070BD858-AE66-4188-A659-49BAC6E9C341}"/>
    <cellStyle name="Array" xfId="2306" xr:uid="{EB2AF614-C264-41CB-B660-C38F0D99BBE0}"/>
    <cellStyle name="Assumption" xfId="2307" xr:uid="{1F1A13DA-D846-4730-8B70-8263EECAC2FD}"/>
    <cellStyle name="Assumption Heading." xfId="2308" xr:uid="{0E06336D-E49F-4DC0-9AB3-28750B1E9B09}"/>
    <cellStyle name="AutoFormat-Optionen" xfId="2309" xr:uid="{9013CF87-0E37-4043-88B9-3F8CBF5043A8}"/>
    <cellStyle name="AutoFormat-Optionen 10" xfId="2310" xr:uid="{1359A8C1-F842-4DB4-B25D-7C3F2C7E26A8}"/>
    <cellStyle name="AutoFormat-Optionen 2" xfId="2311" xr:uid="{4E415609-4FDE-459F-BA0F-CEE1A93DEDDD}"/>
    <cellStyle name="AutoFormat-Optionen 2 2" xfId="2312" xr:uid="{425EA113-9E55-4709-97B3-4276F21E3193}"/>
    <cellStyle name="AutoFormat-Optionen 2 2 2" xfId="2313" xr:uid="{83DEBCF3-9876-41F5-8EDF-428E971BE101}"/>
    <cellStyle name="AutoFormat-Optionen 3" xfId="2314" xr:uid="{AD130596-3E1A-4296-9EB7-CBA21D53B33C}"/>
    <cellStyle name="AutoFormat-Optionen 4" xfId="2315" xr:uid="{236B8370-AA98-4B07-948A-1C402A2B4817}"/>
    <cellStyle name="AutoFormat-Optionen 5" xfId="2316" xr:uid="{4584ADA5-C2B2-4117-9591-C4254DBFD8F0}"/>
    <cellStyle name="AutoFormat-Optionen 6" xfId="2317" xr:uid="{C2E1DEFE-36F4-445A-9169-FC170F4F91A5}"/>
    <cellStyle name="AutoFormat-Optionen 7" xfId="2318" xr:uid="{FF22BA49-A783-4BBD-B674-9DF09481E3B1}"/>
    <cellStyle name="AutoFormat-Optionen 8" xfId="2319" xr:uid="{88D1B26F-E980-44B4-B8CA-C0B5A289AE46}"/>
    <cellStyle name="AutoFormat-Optionen 9" xfId="2320" xr:uid="{C8A17FAB-274F-45F7-AEDC-685BA60266B7}"/>
    <cellStyle name="AutoFormat-Optionen_Results &amp; Sensitivities" xfId="2321" xr:uid="{C8A55771-71DF-46AF-98D9-A24CC00A30EB}"/>
    <cellStyle name="AxeHor" xfId="2322" xr:uid="{8E1DCC5A-D3C6-456F-8C6D-DEE0CFDCB65C}"/>
    <cellStyle name="Bad 10" xfId="2323" xr:uid="{B8314DD9-AEF8-4ECB-934F-09707DCD6C6A}"/>
    <cellStyle name="Bad 11" xfId="2324" xr:uid="{2C2ABDB2-F3DB-4C6A-AF3F-813F8E03983D}"/>
    <cellStyle name="Bad 12" xfId="2325" xr:uid="{7AD536C8-6A62-4870-811D-0D7E45499944}"/>
    <cellStyle name="Bad 13" xfId="2326" xr:uid="{079F204B-A0B1-425A-A32A-1057CF190BD9}"/>
    <cellStyle name="Bad 14" xfId="2327" xr:uid="{E8601F87-38F1-4F3A-AED3-BC041F2440E5}"/>
    <cellStyle name="Bad 15" xfId="2328" xr:uid="{75B2EA79-8294-46EE-B93D-2FD7E9CA8807}"/>
    <cellStyle name="Bad 16" xfId="2329" xr:uid="{65F3FEA9-EEEB-4DAB-8530-7A4079DFA96F}"/>
    <cellStyle name="Bad 17" xfId="2330" xr:uid="{8CBDCDB2-3AA1-45F4-B47A-FF3524966096}"/>
    <cellStyle name="Bad 18" xfId="2331" xr:uid="{0FB48148-652C-45A5-8149-893AD9D254CA}"/>
    <cellStyle name="Bad 19" xfId="2332" xr:uid="{4AE4FED4-A4BC-4C7F-80E5-1E4589695906}"/>
    <cellStyle name="Bad 2" xfId="2333" xr:uid="{E239EEE5-4C2C-4631-9C87-377507C99419}"/>
    <cellStyle name="Bad 2 2" xfId="2334" xr:uid="{6327BCC2-29B3-4567-9473-9B075362015C}"/>
    <cellStyle name="Bad 2 2 2" xfId="2335" xr:uid="{4A46727D-8569-45B2-B80C-3AB5E5DD390E}"/>
    <cellStyle name="Bad 2 2 3" xfId="2336" xr:uid="{63814C19-146A-4276-8AC7-290AFC649744}"/>
    <cellStyle name="Bad 2 3" xfId="2337" xr:uid="{4D0B71D8-5540-463E-8BB7-461CCD379C4C}"/>
    <cellStyle name="Bad 2 4" xfId="2338" xr:uid="{AC159194-CC3C-47C6-B5DA-F721FCE4E56E}"/>
    <cellStyle name="Bad 2 5" xfId="2339" xr:uid="{EA0F395C-A4DA-415C-8A01-E74B2ED459AB}"/>
    <cellStyle name="Bad 20" xfId="2340" xr:uid="{D6CD5571-7F1F-4FD9-8744-6528D73BD851}"/>
    <cellStyle name="Bad 21" xfId="2341" xr:uid="{4485DF0E-F812-4253-99CF-80580F092C07}"/>
    <cellStyle name="Bad 22" xfId="2342" xr:uid="{F58850FE-C980-4B8A-B1A7-E7E84A9B9D70}"/>
    <cellStyle name="Bad 23" xfId="2343" xr:uid="{BEB42CD0-2499-4FA6-B10F-78A8B95A7558}"/>
    <cellStyle name="Bad 24" xfId="2344" xr:uid="{6332D083-1090-499E-ACBA-9902C0749F2E}"/>
    <cellStyle name="Bad 25" xfId="2345" xr:uid="{E72A32D6-F47A-4AC6-A30F-BD5D078ABC63}"/>
    <cellStyle name="Bad 26" xfId="2346" xr:uid="{4A14E4B9-EBF2-4230-AC02-5D2F6693B454}"/>
    <cellStyle name="Bad 27" xfId="2347" xr:uid="{EAF201F7-02F5-4F7E-92FD-653838BB8E51}"/>
    <cellStyle name="Bad 28" xfId="2348" xr:uid="{AE57DC8B-AFE1-41C3-8748-C1C404EB5B18}"/>
    <cellStyle name="Bad 29" xfId="2349" xr:uid="{BF96542A-0001-47B3-9754-42FECF8F10F6}"/>
    <cellStyle name="Bad 3" xfId="2350" xr:uid="{E61F489E-E07A-4085-9330-739DD3E22987}"/>
    <cellStyle name="Bad 3 2" xfId="2351" xr:uid="{FF5CC8F3-1EB2-40E0-894B-ADE6B7CEA2EA}"/>
    <cellStyle name="Bad 3 3" xfId="2352" xr:uid="{9383F668-CE6F-4E0C-BFD7-24F28FE465ED}"/>
    <cellStyle name="Bad 30" xfId="2353" xr:uid="{90838E07-F26B-4936-A47A-EDF1A83B2287}"/>
    <cellStyle name="Bad 31" xfId="2354" xr:uid="{8F004485-A7C4-4CFD-9839-AD14F5B1361A}"/>
    <cellStyle name="Bad 32" xfId="2355" xr:uid="{F87DB08F-8B1B-4891-AA7D-68DBFBF07B2E}"/>
    <cellStyle name="Bad 33" xfId="2356" xr:uid="{5C1754A4-311F-48B5-8A36-32FF98593F2E}"/>
    <cellStyle name="Bad 34" xfId="2357" xr:uid="{C2E193C3-7483-4045-94F9-348403CC1468}"/>
    <cellStyle name="Bad 35" xfId="2358" xr:uid="{0AD6F60C-7BF0-4BDD-A101-A51BEAE6A3E5}"/>
    <cellStyle name="Bad 35 2" xfId="2359" xr:uid="{5987C56A-5285-4F18-8C3E-75750419B0B2}"/>
    <cellStyle name="Bad 35 2 2" xfId="2360" xr:uid="{DB484909-FC10-4B13-8D3D-5244D42998BD}"/>
    <cellStyle name="Bad 35 2 2 2" xfId="2361" xr:uid="{84020C0A-C21A-4431-B85B-A3678E584B34}"/>
    <cellStyle name="Bad 35 3" xfId="2362" xr:uid="{3E524091-9D5A-4B64-B58E-6BF1D9E9640F}"/>
    <cellStyle name="Bad 35 4" xfId="2363" xr:uid="{452285B9-0883-4193-9C5A-C3DDD20EA1B8}"/>
    <cellStyle name="Bad 36" xfId="2364" xr:uid="{B7204ACA-9B05-4DA2-8A66-7C1E658FBBD2}"/>
    <cellStyle name="Bad 37" xfId="2365" xr:uid="{614C7AF2-BA0D-4E71-BDAE-F84F4251C9B9}"/>
    <cellStyle name="Bad 38" xfId="2366" xr:uid="{33D27910-0D0E-4003-B713-FAE481961497}"/>
    <cellStyle name="Bad 39" xfId="2367" xr:uid="{4712B7A6-84F2-4871-9C6A-1A70DA2F2D92}"/>
    <cellStyle name="Bad 4" xfId="2368" xr:uid="{97AA6A1E-959D-4046-9318-B124C4DD4B10}"/>
    <cellStyle name="Bad 40" xfId="2369" xr:uid="{E70314E8-C1E5-4AEA-A20E-4C922D83C069}"/>
    <cellStyle name="Bad 41" xfId="2370" xr:uid="{5A790379-0543-4C04-9791-6B4AE4E63C3E}"/>
    <cellStyle name="Bad 42" xfId="2371" xr:uid="{7B0FA5DF-151E-4917-8855-34A0EF48232F}"/>
    <cellStyle name="Bad 43" xfId="2372" xr:uid="{A0681B73-B844-42C8-8490-6DD88BB2255A}"/>
    <cellStyle name="Bad 44" xfId="2373" xr:uid="{21EEE8B2-3E82-4199-A7B3-6E73359B8B92}"/>
    <cellStyle name="Bad 45" xfId="2374" xr:uid="{AA588F28-491B-461D-A939-CDC544B860E6}"/>
    <cellStyle name="Bad 46" xfId="2375" xr:uid="{E03CEB34-6B20-4107-A7E1-3A9309EC4EDD}"/>
    <cellStyle name="Bad 47" xfId="2376" xr:uid="{9CB4830C-451D-4A3A-AC2F-82C5F418D076}"/>
    <cellStyle name="Bad 48" xfId="2377" xr:uid="{B3B9BE8A-A888-443A-B805-00FE165AA61C}"/>
    <cellStyle name="Bad 49" xfId="2378" xr:uid="{0930293D-D00D-4DBF-A508-6F4B79B78718}"/>
    <cellStyle name="Bad 5" xfId="2379" xr:uid="{38D82B7B-E062-4450-9536-AC54B6DC0CDB}"/>
    <cellStyle name="Bad 50" xfId="2380" xr:uid="{901AE69A-E9C8-4902-B1F3-C2894321BB53}"/>
    <cellStyle name="Bad 51" xfId="2381" xr:uid="{14EE856F-29DB-4371-955B-6A72A0A88FCA}"/>
    <cellStyle name="Bad 52" xfId="2382" xr:uid="{65DC7C8D-BBED-41DA-9ADA-C3E50246DFC1}"/>
    <cellStyle name="Bad 53" xfId="2383" xr:uid="{DA72F5FD-5EA6-49A0-A27B-2681F6671D7A}"/>
    <cellStyle name="Bad 54" xfId="2384" xr:uid="{6BA6C812-3AF5-490E-8604-5D45622E0921}"/>
    <cellStyle name="Bad 55" xfId="2385" xr:uid="{C37270F7-4027-498B-B0FD-58AF90D9093D}"/>
    <cellStyle name="Bad 56" xfId="2386" xr:uid="{CEA0C16E-E0C0-446D-9EFE-FE7CB62E611B}"/>
    <cellStyle name="Bad 57" xfId="2387" xr:uid="{A17B7E2C-C155-4B5D-AA39-8068FD54AEAD}"/>
    <cellStyle name="Bad 58" xfId="2388" xr:uid="{1BD14F1B-FEAB-4568-BAF0-32FE95FA0978}"/>
    <cellStyle name="Bad 59" xfId="2389" xr:uid="{5723C786-5B71-441F-8CF6-FE4A1FD83A97}"/>
    <cellStyle name="Bad 6" xfId="2390" xr:uid="{D5085F3B-8989-4508-A24D-0E7DB4D270C0}"/>
    <cellStyle name="Bad 60" xfId="2391" xr:uid="{D4520692-8463-4DB5-A433-34977C208C2C}"/>
    <cellStyle name="Bad 60 2" xfId="2392" xr:uid="{ED10531D-F246-4A74-B4AA-F0AC85C2AC93}"/>
    <cellStyle name="Bad 60 2 2" xfId="2393" xr:uid="{95AF838A-5E93-4165-A1FD-634B519B6E4D}"/>
    <cellStyle name="Bad 60 2 2 2" xfId="2394" xr:uid="{A4210B6B-8225-416D-B9AB-FD863A9FCE10}"/>
    <cellStyle name="Bad 60 2 3" xfId="2395" xr:uid="{A96FCF35-48AF-4974-9282-7346F0C96F1D}"/>
    <cellStyle name="Bad 61" xfId="2396" xr:uid="{288F8DB3-03A4-4483-918E-6358F251669D}"/>
    <cellStyle name="Bad 62" xfId="2397" xr:uid="{648698A8-49DA-4BDE-B19F-064EF16CFC34}"/>
    <cellStyle name="Bad 63" xfId="2398" xr:uid="{E2EF31E9-71B1-4FA6-AC6F-389405622932}"/>
    <cellStyle name="Bad 64" xfId="2399" xr:uid="{FF00E8EB-D8DF-470F-88A8-7BA772C9577D}"/>
    <cellStyle name="Bad 65" xfId="2400" xr:uid="{6738C9D9-A5EE-431E-BF14-DB4DE5F838A9}"/>
    <cellStyle name="Bad 7" xfId="2401" xr:uid="{AC7E9875-3905-416F-841A-B3283F35082F}"/>
    <cellStyle name="Bad 8" xfId="2402" xr:uid="{6BFB6255-B4D1-4055-B270-FE99DF14CE80}"/>
    <cellStyle name="Bad 9" xfId="2403" xr:uid="{49909984-B272-44E5-BE71-D6F385B3DC0A}"/>
    <cellStyle name="Best" xfId="2404" xr:uid="{D00FB46B-F4E2-461B-923B-B78BA8F54492}"/>
    <cellStyle name="Besuchter Hyperlink" xfId="2405" xr:uid="{1DB24925-DD9B-4EE0-BFF2-2F23ABAEA79E}"/>
    <cellStyle name="Bid £m format" xfId="2406" xr:uid="{A836A0AA-7735-42A6-8676-45E4082D41C3}"/>
    <cellStyle name="Bid £m format 2" xfId="2407" xr:uid="{86EC6F9C-810F-4E01-B5E2-F698C7F15B4B}"/>
    <cellStyle name="Blank" xfId="2408" xr:uid="{865708D2-E68B-4F7C-B829-0A52B7E0D897}"/>
    <cellStyle name="blue" xfId="2409" xr:uid="{C5E80102-C12C-4924-A8DF-14CAC753BE45}"/>
    <cellStyle name="Bold GHG Numbers (0.00)" xfId="2410" xr:uid="{EEF00AA1-82C0-494F-9BF9-05BAA76D6B9E}"/>
    <cellStyle name="Bold GHG Numbers (0.00) 2" xfId="2411" xr:uid="{197C48DD-9AF2-45D4-9C43-5C4874A5A381}"/>
    <cellStyle name="Border" xfId="2412" xr:uid="{F7367E5B-3C6F-4218-BEC3-2EFBF8492222}"/>
    <cellStyle name="Brand Align Left Text" xfId="2413" xr:uid="{02D4058E-5E25-41E0-B0E8-C52AB9DA8530}"/>
    <cellStyle name="Brand Default" xfId="2414" xr:uid="{2EF64576-9196-4408-B890-BC97D6BEE9EE}"/>
    <cellStyle name="Brand Percent" xfId="2415" xr:uid="{2183DCC3-A20F-43A9-BD34-EBBD4B6AF7A8}"/>
    <cellStyle name="Brand Source" xfId="2416" xr:uid="{9166E2CF-09BC-4627-883C-D25EC2F61844}"/>
    <cellStyle name="Brand Subtitle with Underline" xfId="2417" xr:uid="{6B9DB1EE-1FF0-4F34-A6D0-98B642B2F53E}"/>
    <cellStyle name="Brand Subtitle without Underline" xfId="2418" xr:uid="{504F6128-3445-4E5A-9536-A3405C747CF1}"/>
    <cellStyle name="Brand Title" xfId="2419" xr:uid="{3A40DC2D-000D-4FDD-B6B8-5E5AE6214A77}"/>
    <cellStyle name="CALC Amount" xfId="2420" xr:uid="{FDB1D91D-A047-41B9-B9D9-32CA88009BCA}"/>
    <cellStyle name="CALC Amount [1]" xfId="2421" xr:uid="{8E8AC59D-2A93-4271-83F2-C461C4518EEA}"/>
    <cellStyle name="CALC Amount [1] 2" xfId="2422" xr:uid="{906FD0DC-6756-4788-AAB4-21A6731C2030}"/>
    <cellStyle name="CALC Amount [1] 3" xfId="2423" xr:uid="{8FE32550-857B-4528-A33E-A3847E7DD529}"/>
    <cellStyle name="CALC Amount [1] 4" xfId="2424" xr:uid="{22D5D664-72A7-4E71-B575-ECE0419061A9}"/>
    <cellStyle name="CALC Amount [1] 5" xfId="2425" xr:uid="{1A944F9E-000E-4416-A192-3CDEF67604B7}"/>
    <cellStyle name="CALC Amount [1] 6" xfId="2426" xr:uid="{1C70C725-B021-4D50-9D17-EE6926C35A15}"/>
    <cellStyle name="CALC Amount [1] 7" xfId="2427" xr:uid="{F21935A5-ABE6-48CD-B269-75960D4AD124}"/>
    <cellStyle name="CALC Amount [1] 8" xfId="2428" xr:uid="{CB575174-1477-4EBA-8F35-965448571C9D}"/>
    <cellStyle name="CALC Amount [2]" xfId="2429" xr:uid="{C446FA3E-426C-4448-8B6D-67968AD040B6}"/>
    <cellStyle name="CALC Amount [2] 2" xfId="2430" xr:uid="{B4379576-8A5C-4761-9E03-67483C0EE0C8}"/>
    <cellStyle name="CALC Amount [2] 3" xfId="2431" xr:uid="{5604D1BB-A01F-4804-A6C9-7040178C537A}"/>
    <cellStyle name="CALC Amount [2] 4" xfId="2432" xr:uid="{6BC72A6F-9F31-4869-A19B-D31B83E7B415}"/>
    <cellStyle name="CALC Amount [2] 5" xfId="2433" xr:uid="{59DC3C51-C661-41D0-8006-6BE22CA62E68}"/>
    <cellStyle name="CALC Amount [2] 6" xfId="2434" xr:uid="{AD3C970C-7F49-4A0E-9831-9C64384F488A}"/>
    <cellStyle name="CALC Amount [2] 7" xfId="2435" xr:uid="{0805C623-CBA7-47B2-8FCA-2B9831ED3D89}"/>
    <cellStyle name="CALC Amount [2] 8" xfId="2436" xr:uid="{ADEB50A1-B163-47D4-A697-A17E81B63940}"/>
    <cellStyle name="CALC Amount 2" xfId="2437" xr:uid="{C79978AA-5D5B-4271-9FED-58B1DD29D818}"/>
    <cellStyle name="CALC Amount 3" xfId="2438" xr:uid="{1B3CB8A1-D0D0-4209-BDF6-BCDDD7D39F72}"/>
    <cellStyle name="CALC Amount 4" xfId="2439" xr:uid="{AFD330FC-4B33-4C2D-86D6-DFA49A61FF16}"/>
    <cellStyle name="CALC Amount 5" xfId="2440" xr:uid="{68A8BA42-D2F5-4A1D-8542-316213F102BD}"/>
    <cellStyle name="CALC Amount 6" xfId="2441" xr:uid="{447B1D3F-61BB-499C-9665-BDC89D70A1F4}"/>
    <cellStyle name="CALC Amount 7" xfId="2442" xr:uid="{6C3E2CD0-0EB7-4092-B0D6-2DB7705DE00E}"/>
    <cellStyle name="CALC Amount 8" xfId="2443" xr:uid="{8D9F4BD3-6F91-41E6-9552-ED6766331234}"/>
    <cellStyle name="CALC Amount Total" xfId="2444" xr:uid="{39FAD9AE-5368-44D1-8C4E-57B57C70B563}"/>
    <cellStyle name="CALC Amount Total [1]" xfId="2445" xr:uid="{4ECCA233-D8F2-4533-9BC7-9338DF2F8673}"/>
    <cellStyle name="CALC Amount Total [1] 10" xfId="2446" xr:uid="{B7E28BEE-F550-4E1F-AD0C-910A1B79D2F3}"/>
    <cellStyle name="CALC Amount Total [1] 11" xfId="2447" xr:uid="{2DB71C2B-3E89-463E-BB89-5717682E4762}"/>
    <cellStyle name="CALC Amount Total [1] 2" xfId="2448" xr:uid="{E75B36C3-5642-4AB9-A0F2-D3EAC4CF3324}"/>
    <cellStyle name="CALC Amount Total [1] 3" xfId="2449" xr:uid="{26735EEA-CE01-424A-80B5-6FD25F83BB20}"/>
    <cellStyle name="CALC Amount Total [1] 4" xfId="2450" xr:uid="{8FF45F56-25D7-402D-A063-045FC8F6963E}"/>
    <cellStyle name="CALC Amount Total [1] 5" xfId="2451" xr:uid="{290E6B8F-5B3B-46CD-ADD7-166222501BF8}"/>
    <cellStyle name="CALC Amount Total [1] 6" xfId="2452" xr:uid="{1F3B9012-3953-43B6-A765-6F9A664EB4FC}"/>
    <cellStyle name="CALC Amount Total [1] 7" xfId="2453" xr:uid="{5A282ACA-C75D-4269-AD1B-C6847AF90D93}"/>
    <cellStyle name="CALC Amount Total [1] 8" xfId="2454" xr:uid="{16FF9AB2-3CEA-4164-96A0-6FBC20D2D066}"/>
    <cellStyle name="CALC Amount Total [1] 9" xfId="2455" xr:uid="{9175A7CE-20A2-46DB-A336-62C192D2266A}"/>
    <cellStyle name="CALC Amount Total [2]" xfId="2456" xr:uid="{D265FFEC-9440-4B3C-8A3B-DEF1627E176A}"/>
    <cellStyle name="CALC Amount Total [2] 10" xfId="2457" xr:uid="{4DBA9B18-EBF6-4B61-8D64-A0A5A5AA317C}"/>
    <cellStyle name="CALC Amount Total [2] 11" xfId="2458" xr:uid="{6590D3CA-D0D2-44D1-8CB8-46965BD7CAEC}"/>
    <cellStyle name="CALC Amount Total [2] 2" xfId="2459" xr:uid="{6E4DB04C-784C-45BD-908A-BC3526DA9BB4}"/>
    <cellStyle name="CALC Amount Total [2] 3" xfId="2460" xr:uid="{D9922C46-B87A-4220-A8DB-4A621E18A412}"/>
    <cellStyle name="CALC Amount Total [2] 4" xfId="2461" xr:uid="{0A529D5F-CF25-4F84-B517-9124CBC0999D}"/>
    <cellStyle name="CALC Amount Total [2] 5" xfId="2462" xr:uid="{084B1CEB-10EC-4D6D-93AF-C9698FE0C10F}"/>
    <cellStyle name="CALC Amount Total [2] 6" xfId="2463" xr:uid="{3C74DEB7-1502-4719-A9E7-193AEA943F98}"/>
    <cellStyle name="CALC Amount Total [2] 7" xfId="2464" xr:uid="{92742870-AD66-4EA4-A358-0C71918EFA7F}"/>
    <cellStyle name="CALC Amount Total [2] 8" xfId="2465" xr:uid="{07DAE86B-550D-47E2-B313-28712BEF40B0}"/>
    <cellStyle name="CALC Amount Total [2] 9" xfId="2466" xr:uid="{8B6D0A88-08BE-4D9A-B94A-755F188BDE1D}"/>
    <cellStyle name="CALC Amount Total 10" xfId="2467" xr:uid="{6B281136-B7A3-4F64-99EC-E0F2EB9424FB}"/>
    <cellStyle name="CALC Amount Total 11" xfId="2468" xr:uid="{843356E6-4532-41C2-8A3B-F071CAB62AE9}"/>
    <cellStyle name="CALC Amount Total 12" xfId="2469" xr:uid="{1D491C61-FF29-47F6-A557-2ED5671CDA88}"/>
    <cellStyle name="CALC Amount Total 13" xfId="2470" xr:uid="{92E9990F-E11B-44D1-8A63-6C9C0B8B6F97}"/>
    <cellStyle name="CALC Amount Total 2" xfId="2471" xr:uid="{4277EBAE-2B18-4FBD-A2A2-08570728E007}"/>
    <cellStyle name="CALC Amount Total 3" xfId="2472" xr:uid="{6041B90E-45E8-4473-97A8-5851B3467691}"/>
    <cellStyle name="CALC Amount Total 4" xfId="2473" xr:uid="{373FFCE2-D84F-4055-B34F-B866AFB1794F}"/>
    <cellStyle name="CALC Amount Total 5" xfId="2474" xr:uid="{18A0E708-5321-4E56-A46A-3BEE3E138256}"/>
    <cellStyle name="CALC Amount Total 6" xfId="2475" xr:uid="{B130616B-372D-499B-87DD-CAEE6974B05D}"/>
    <cellStyle name="CALC Amount Total 7" xfId="2476" xr:uid="{B8A662AD-3287-4D1B-9E75-8D390BD058E5}"/>
    <cellStyle name="CALC Amount Total 8" xfId="2477" xr:uid="{BDAB207B-A72A-491E-9EBC-DCBBB319D018}"/>
    <cellStyle name="CALC Amount Total 9" xfId="2478" xr:uid="{F8660F9B-E400-428A-A99B-5CC9BF741212}"/>
    <cellStyle name="CALC Amount Total_Sheet1" xfId="2479" xr:uid="{EC70FC68-04CC-447D-82F3-D16F01907ADC}"/>
    <cellStyle name="CALC Currency" xfId="2480" xr:uid="{799D481E-36A4-4819-BE2F-7E64777E950D}"/>
    <cellStyle name="CALC Currency [1]" xfId="2481" xr:uid="{84570979-B0E6-4853-8FAD-61908C10EF9E}"/>
    <cellStyle name="CALC Currency [1] 2" xfId="2482" xr:uid="{E43E8ED8-AC81-47DE-80DC-09A9D69FB915}"/>
    <cellStyle name="CALC Currency [1] 3" xfId="2483" xr:uid="{D670E0CB-D999-4CD9-8607-56215518897A}"/>
    <cellStyle name="CALC Currency [1] 4" xfId="2484" xr:uid="{F3C1E71A-591E-4746-BE63-3BBF405FCA61}"/>
    <cellStyle name="CALC Currency [1] 5" xfId="2485" xr:uid="{7121DB58-9489-468A-9205-C51D6315E648}"/>
    <cellStyle name="CALC Currency [1] 6" xfId="2486" xr:uid="{0729BC58-20FB-4E55-B2F0-6A0619E7CDB1}"/>
    <cellStyle name="CALC Currency [1] 7" xfId="2487" xr:uid="{E900F619-20EA-46F6-9639-D921E22B7832}"/>
    <cellStyle name="CALC Currency [1] 8" xfId="2488" xr:uid="{89EAB518-235F-4402-8161-BBBEE72F5B77}"/>
    <cellStyle name="CALC Currency [2]" xfId="2489" xr:uid="{849CDBD0-8DAD-48BC-81D4-8F57F408EE8F}"/>
    <cellStyle name="CALC Currency [2] 2" xfId="2490" xr:uid="{B5F7A6E5-1E9E-4F35-810A-8795FE2ECFAE}"/>
    <cellStyle name="CALC Currency [2] 3" xfId="2491" xr:uid="{816E25A8-8727-4906-8010-328BFEB40482}"/>
    <cellStyle name="CALC Currency [2] 4" xfId="2492" xr:uid="{34E6B3D4-2C01-48F4-90ED-D267B62CA5E1}"/>
    <cellStyle name="CALC Currency [2] 5" xfId="2493" xr:uid="{4296D9A7-51A5-41A0-9A6B-D8920E3A2607}"/>
    <cellStyle name="CALC Currency [2] 6" xfId="2494" xr:uid="{FE1FA836-E6C7-43D2-AE6D-325CE9EEFD56}"/>
    <cellStyle name="CALC Currency [2] 7" xfId="2495" xr:uid="{96F043B8-CDC3-4919-B7BB-218CA7432024}"/>
    <cellStyle name="CALC Currency [2] 8" xfId="2496" xr:uid="{326A77A0-3796-4EA5-A7B2-3CA0D984824B}"/>
    <cellStyle name="CALC Currency 2" xfId="2497" xr:uid="{CFF1B9C8-B8D9-405D-AA4D-89C4978BEBD9}"/>
    <cellStyle name="CALC Currency 3" xfId="2498" xr:uid="{3EB6002E-9C28-4FD3-B23D-C31126A2F006}"/>
    <cellStyle name="CALC Currency 4" xfId="2499" xr:uid="{37D8E5FB-3FC4-42E5-9EF2-088CC9118FB9}"/>
    <cellStyle name="CALC Currency 5" xfId="2500" xr:uid="{8285F9EA-19D1-40D2-827A-404261DE3BE7}"/>
    <cellStyle name="CALC Currency 6" xfId="2501" xr:uid="{27B52934-A92F-44DC-8350-7AE620D57355}"/>
    <cellStyle name="CALC Currency 7" xfId="2502" xr:uid="{ED7A94FB-36CE-48AB-A9E5-A74EAFDDDCDE}"/>
    <cellStyle name="CALC Currency 8" xfId="2503" xr:uid="{07A7A9AE-A6B7-44D9-A87E-B80AF3EF009F}"/>
    <cellStyle name="CALC Currency Total" xfId="2504" xr:uid="{354BD7D9-2649-4ECC-AFB8-DD6011913D22}"/>
    <cellStyle name="CALC Currency Total [1]" xfId="2505" xr:uid="{FD18442F-11FB-4700-9903-61210B557111}"/>
    <cellStyle name="CALC Currency Total [1] 10" xfId="2506" xr:uid="{5D99F74C-2204-4D73-86DD-EE028FA1AEBA}"/>
    <cellStyle name="CALC Currency Total [1] 11" xfId="2507" xr:uid="{1980825C-E6B0-482B-9A9E-595CEB841DA4}"/>
    <cellStyle name="CALC Currency Total [1] 2" xfId="2508" xr:uid="{9E1231FF-7C96-4EF3-B868-7ADB6F01B16B}"/>
    <cellStyle name="CALC Currency Total [1] 3" xfId="2509" xr:uid="{F1E351A9-E6EA-4E3C-A05E-10945960B8D6}"/>
    <cellStyle name="CALC Currency Total [1] 4" xfId="2510" xr:uid="{CBD56071-2F0F-4B16-8707-43A906C768F6}"/>
    <cellStyle name="CALC Currency Total [1] 5" xfId="2511" xr:uid="{8BA56276-EADD-4904-B059-E1D9C3053635}"/>
    <cellStyle name="CALC Currency Total [1] 6" xfId="2512" xr:uid="{572921D1-04E1-4F46-A1F5-B807E8FCBFB7}"/>
    <cellStyle name="CALC Currency Total [1] 7" xfId="2513" xr:uid="{78E54334-888E-4C1E-A1EA-C09A596AEAA6}"/>
    <cellStyle name="CALC Currency Total [1] 8" xfId="2514" xr:uid="{983B55A3-3DC8-4283-A62F-9F5B79EB8146}"/>
    <cellStyle name="CALC Currency Total [1] 9" xfId="2515" xr:uid="{CF654904-4B32-41F5-8D1A-7B12DA4FC604}"/>
    <cellStyle name="CALC Currency Total [2]" xfId="2516" xr:uid="{973F81C0-FFEC-47F8-A8B2-F55D65C94553}"/>
    <cellStyle name="CALC Currency Total [2] 10" xfId="2517" xr:uid="{BA3C98D9-0454-421F-AD39-526F1614D5DE}"/>
    <cellStyle name="CALC Currency Total [2] 11" xfId="2518" xr:uid="{14F49435-A4D8-4008-86ED-B38087212C77}"/>
    <cellStyle name="CALC Currency Total [2] 2" xfId="2519" xr:uid="{B10A2B5D-D906-4B30-A8EC-091761CF6A37}"/>
    <cellStyle name="CALC Currency Total [2] 3" xfId="2520" xr:uid="{F91348E6-4CDF-49DF-8BEC-4018025376E7}"/>
    <cellStyle name="CALC Currency Total [2] 4" xfId="2521" xr:uid="{7D882C92-37F4-4862-82B3-15D54274E3CC}"/>
    <cellStyle name="CALC Currency Total [2] 5" xfId="2522" xr:uid="{D0D7F2EA-CBDE-47DB-BB28-81CAC9B97E84}"/>
    <cellStyle name="CALC Currency Total [2] 6" xfId="2523" xr:uid="{68181723-D385-4E4B-8513-D4491031C4FB}"/>
    <cellStyle name="CALC Currency Total [2] 7" xfId="2524" xr:uid="{A02BEE1F-5E42-4474-A901-812079EA7E19}"/>
    <cellStyle name="CALC Currency Total [2] 8" xfId="2525" xr:uid="{893E2CAC-48E5-4EF8-9838-5491CE1C2624}"/>
    <cellStyle name="CALC Currency Total [2] 9" xfId="2526" xr:uid="{B9A9E38F-BA5E-43AB-AD70-89C91EC0E6DF}"/>
    <cellStyle name="CALC Currency Total 10" xfId="2527" xr:uid="{A189D17A-9AFE-4C00-8861-6ED55139BE08}"/>
    <cellStyle name="CALC Currency Total 11" xfId="2528" xr:uid="{0B93BBFE-0538-4FEC-88ED-9AD789A0F93E}"/>
    <cellStyle name="CALC Currency Total 12" xfId="2529" xr:uid="{3E262523-E437-4B25-89F4-901CC1DB0C79}"/>
    <cellStyle name="CALC Currency Total 13" xfId="2530" xr:uid="{D88E41A3-0F69-4FA1-B9BC-2CD473206631}"/>
    <cellStyle name="CALC Currency Total 2" xfId="2531" xr:uid="{CE07F7D5-FA48-4663-A85A-F18DEA918A47}"/>
    <cellStyle name="CALC Currency Total 3" xfId="2532" xr:uid="{04E12653-9C1F-4716-8749-6DF0C9AA754B}"/>
    <cellStyle name="CALC Currency Total 4" xfId="2533" xr:uid="{628946CD-0371-4306-A142-A79169AD235B}"/>
    <cellStyle name="CALC Currency Total 5" xfId="2534" xr:uid="{F6BEAA69-199B-46B8-BE69-A976CAC8ED7D}"/>
    <cellStyle name="CALC Currency Total 6" xfId="2535" xr:uid="{6982735B-69FA-47E6-8630-BD332427AF07}"/>
    <cellStyle name="CALC Currency Total 7" xfId="2536" xr:uid="{25A0783A-477A-484D-9EA1-4F4AB38F0C37}"/>
    <cellStyle name="CALC Currency Total 8" xfId="2537" xr:uid="{A69781D0-B23C-4739-A2B3-20CB522FE631}"/>
    <cellStyle name="CALC Currency Total 9" xfId="2538" xr:uid="{001CF469-006B-45E7-B440-23A4F43C1CE7}"/>
    <cellStyle name="CALC Currency Total_Sheet1" xfId="2539" xr:uid="{7349378C-5371-4039-B133-E143FF6303A3}"/>
    <cellStyle name="CALC Date Long" xfId="2540" xr:uid="{C5388C53-27AD-4672-BB5A-3AF2F9373BB9}"/>
    <cellStyle name="CALC Date Long 2" xfId="2541" xr:uid="{0D5A5E12-4167-4FF6-9E39-181180F233D8}"/>
    <cellStyle name="CALC Date Long 3" xfId="2542" xr:uid="{831FA2FC-868F-43BB-B8B4-C85383EBF444}"/>
    <cellStyle name="CALC Date Long 4" xfId="2543" xr:uid="{8AF0631D-2641-4394-A1BF-03FC26C95F85}"/>
    <cellStyle name="CALC Date Long 5" xfId="2544" xr:uid="{577CFBF5-4583-4A93-9AB1-7C43A5FEA78D}"/>
    <cellStyle name="CALC Date Long 6" xfId="2545" xr:uid="{FE895287-3D5C-4828-822A-22589A06BB9E}"/>
    <cellStyle name="CALC Date Long 7" xfId="2546" xr:uid="{A0E67D57-9743-4283-9D66-36603D0952D9}"/>
    <cellStyle name="CALC Date Long 8" xfId="2547" xr:uid="{BD255167-24F1-4E46-9560-C3FBB2B21381}"/>
    <cellStyle name="CALC Date Short" xfId="2548" xr:uid="{7D3D5205-3D26-4C36-BCCF-3284D68722C9}"/>
    <cellStyle name="CALC Date Short 2" xfId="2549" xr:uid="{78594297-ED47-41CE-872C-E6E38BEC256B}"/>
    <cellStyle name="CALC Date Short 3" xfId="2550" xr:uid="{6E3C02E9-3943-4651-B0F6-E77283531A81}"/>
    <cellStyle name="CALC Date Short 4" xfId="2551" xr:uid="{E1CF5EA7-254C-4018-9079-C223D3A569FA}"/>
    <cellStyle name="CALC Date Short 5" xfId="2552" xr:uid="{0E5E1A26-97B1-4986-9C21-9FF83E43E52E}"/>
    <cellStyle name="CALC Date Short 6" xfId="2553" xr:uid="{3CFB0D53-EAA7-4F87-80F6-1261DCAA909E}"/>
    <cellStyle name="CALC Date Short 7" xfId="2554" xr:uid="{DF75D5FC-A302-41B6-BAE0-D74AC18DB4DB}"/>
    <cellStyle name="CALC Date Short 8" xfId="2555" xr:uid="{E7C058E2-446F-4CAA-A908-11B57063B9DE}"/>
    <cellStyle name="CALC Percent" xfId="2556" xr:uid="{C91E8E4D-8EB7-4178-94FF-ADDEF68E3BFC}"/>
    <cellStyle name="CALC Percent [1]" xfId="2557" xr:uid="{4215A97C-EF32-48B8-8C78-FF8D5AFC533B}"/>
    <cellStyle name="CALC Percent [1] 2" xfId="2558" xr:uid="{8A3B6111-1012-4FAA-8C7A-1EDFAE806321}"/>
    <cellStyle name="CALC Percent [1] 3" xfId="2559" xr:uid="{FCC0F140-FF11-4EEF-9B92-797318311B6A}"/>
    <cellStyle name="CALC Percent [1] 4" xfId="2560" xr:uid="{5508A3C8-32E2-4568-BF9D-6E7B4968D154}"/>
    <cellStyle name="CALC Percent [1] 5" xfId="2561" xr:uid="{F65EB2C4-EF26-44D7-BEEE-EF56EDF5E48D}"/>
    <cellStyle name="CALC Percent [1] 6" xfId="2562" xr:uid="{2EAE8237-5BEE-436F-860F-7825C82E0D45}"/>
    <cellStyle name="CALC Percent [1] 7" xfId="2563" xr:uid="{80B6EB8A-8D97-4502-B519-4C851CBACD24}"/>
    <cellStyle name="CALC Percent [1] 8" xfId="2564" xr:uid="{AD29DDA2-EE01-41A3-963C-8CBF88D13147}"/>
    <cellStyle name="CALC Percent [2]" xfId="2565" xr:uid="{A8833A19-DC25-4D02-BA91-1B1E9C9F4F09}"/>
    <cellStyle name="CALC Percent [2] 2" xfId="2566" xr:uid="{10A67FE6-67AA-4CCA-9C61-70CF5668742E}"/>
    <cellStyle name="CALC Percent [2] 3" xfId="2567" xr:uid="{A0A92049-86D4-4080-B973-998ECAE3FAB1}"/>
    <cellStyle name="CALC Percent [2] 4" xfId="2568" xr:uid="{A2D4E405-8B8D-4BE2-B6B0-B84D91818DCB}"/>
    <cellStyle name="CALC Percent [2] 5" xfId="2569" xr:uid="{2D8AF3D5-867F-4B4D-A499-19F20CE25B67}"/>
    <cellStyle name="CALC Percent [2] 6" xfId="2570" xr:uid="{792A3C4A-39DE-4F58-9D64-C01853FB419E}"/>
    <cellStyle name="CALC Percent [2] 7" xfId="2571" xr:uid="{F344186C-1709-4947-9B77-90E1419EA0FD}"/>
    <cellStyle name="CALC Percent [2] 8" xfId="2572" xr:uid="{16532498-CA99-4FD5-957A-34D1596E7FF4}"/>
    <cellStyle name="CALC Percent 2" xfId="2573" xr:uid="{76993659-8C36-4029-AE76-ACB1F7CEF780}"/>
    <cellStyle name="CALC Percent 3" xfId="2574" xr:uid="{1BD0F91D-EE3E-4877-9BF1-421544BE94E9}"/>
    <cellStyle name="CALC Percent 4" xfId="2575" xr:uid="{BACED0D6-2BEE-4D53-BC06-73CAAF6395E2}"/>
    <cellStyle name="CALC Percent 5" xfId="2576" xr:uid="{30A72FBA-EBE1-4939-AB09-2385782ADD61}"/>
    <cellStyle name="CALC Percent 6" xfId="2577" xr:uid="{F20027D9-1C18-4DE7-9D68-724AE4A3D171}"/>
    <cellStyle name="CALC Percent 7" xfId="2578" xr:uid="{314E7119-83F6-4DB6-8554-6E464B9D41E3}"/>
    <cellStyle name="CALC Percent 8" xfId="2579" xr:uid="{489B7745-9BFB-42B9-814E-02299C2ADCD5}"/>
    <cellStyle name="CALC Percent Total" xfId="2580" xr:uid="{53818A15-5A7E-4214-955A-6AEC1E06E1B6}"/>
    <cellStyle name="CALC Percent Total [1]" xfId="2581" xr:uid="{073F5B85-73D1-41CC-832C-4EC4F741D6C7}"/>
    <cellStyle name="CALC Percent Total [1] 10" xfId="2582" xr:uid="{969C801E-8558-4029-8230-CAC8584B9BB0}"/>
    <cellStyle name="CALC Percent Total [1] 11" xfId="2583" xr:uid="{97044270-410D-42A2-98E2-C56ACAB2C6D3}"/>
    <cellStyle name="CALC Percent Total [1] 2" xfId="2584" xr:uid="{64049834-773C-4211-A80E-BEFBECAB6712}"/>
    <cellStyle name="CALC Percent Total [1] 3" xfId="2585" xr:uid="{02296D28-FE30-43EE-9812-70F4756A8E82}"/>
    <cellStyle name="CALC Percent Total [1] 4" xfId="2586" xr:uid="{B3B8113F-4269-4801-9B7A-8FF8DC532CB1}"/>
    <cellStyle name="CALC Percent Total [1] 5" xfId="2587" xr:uid="{8B570793-FB2F-49E6-87CE-90BD20A507C7}"/>
    <cellStyle name="CALC Percent Total [1] 6" xfId="2588" xr:uid="{5991E917-B921-415E-B24B-FFD309529BBC}"/>
    <cellStyle name="CALC Percent Total [1] 7" xfId="2589" xr:uid="{89586B08-FD8A-41D7-92B9-66A000DC215E}"/>
    <cellStyle name="CALC Percent Total [1] 8" xfId="2590" xr:uid="{61D4FEB4-6939-4CC1-AD7D-F4AC4A55B2D1}"/>
    <cellStyle name="CALC Percent Total [1] 9" xfId="2591" xr:uid="{B563D151-3161-4A4F-B5D5-F66F88DF3A27}"/>
    <cellStyle name="CALC Percent Total [2]" xfId="2592" xr:uid="{B1B5842D-8128-4DD1-8488-26AE1EC2D43D}"/>
    <cellStyle name="CALC Percent Total [2] 10" xfId="2593" xr:uid="{C1DD98FA-950D-4739-9C38-BDCF07D5C238}"/>
    <cellStyle name="CALC Percent Total [2] 11" xfId="2594" xr:uid="{DD57C59D-5499-4944-A91B-6C23BAE6675C}"/>
    <cellStyle name="CALC Percent Total [2] 2" xfId="2595" xr:uid="{5250521B-CE30-457A-9DAF-C5C861DAC9E5}"/>
    <cellStyle name="CALC Percent Total [2] 3" xfId="2596" xr:uid="{663E9862-2682-4145-9B4F-8BCDC3AE9CB2}"/>
    <cellStyle name="CALC Percent Total [2] 4" xfId="2597" xr:uid="{A0DEBB4F-BD42-439B-8BF2-C3149C3E2B6D}"/>
    <cellStyle name="CALC Percent Total [2] 5" xfId="2598" xr:uid="{90A485E2-4D38-40DA-A777-0B079D65C826}"/>
    <cellStyle name="CALC Percent Total [2] 6" xfId="2599" xr:uid="{06DAFC1A-F135-4374-BA03-CCAA27699465}"/>
    <cellStyle name="CALC Percent Total [2] 7" xfId="2600" xr:uid="{D808BBC1-17D2-49A6-AAF8-504DE2EEC0A9}"/>
    <cellStyle name="CALC Percent Total [2] 8" xfId="2601" xr:uid="{2DD240E6-B8FC-452D-B717-87CA36B847F5}"/>
    <cellStyle name="CALC Percent Total [2] 9" xfId="2602" xr:uid="{4E133DC1-CD05-413F-ABE9-5128554E5F28}"/>
    <cellStyle name="CALC Percent Total 10" xfId="2603" xr:uid="{4E5DAAC3-85EF-4A4A-AB72-B3D1663600EF}"/>
    <cellStyle name="CALC Percent Total 11" xfId="2604" xr:uid="{C7BE2378-9CB9-45A7-9D53-433AF9C3B5D8}"/>
    <cellStyle name="CALC Percent Total 12" xfId="2605" xr:uid="{22279528-5489-4001-8353-1DA2ED2CE6C8}"/>
    <cellStyle name="CALC Percent Total 13" xfId="2606" xr:uid="{4F16BBE9-70A0-4AAD-8B1D-BB5AA48C900B}"/>
    <cellStyle name="CALC Percent Total 2" xfId="2607" xr:uid="{BEC4B972-5847-436E-A44D-53D3A10CFF1C}"/>
    <cellStyle name="CALC Percent Total 3" xfId="2608" xr:uid="{5B95A1ED-0031-4B7E-AF58-B0926E373EDA}"/>
    <cellStyle name="CALC Percent Total 4" xfId="2609" xr:uid="{121CDF1A-F3E4-4D4A-A10B-64153925C1A9}"/>
    <cellStyle name="CALC Percent Total 5" xfId="2610" xr:uid="{C5FB8E2F-79DC-48E9-9F5E-3C14C5926D77}"/>
    <cellStyle name="CALC Percent Total 6" xfId="2611" xr:uid="{38AE317F-6B7F-4066-A633-36CC8EB47B27}"/>
    <cellStyle name="CALC Percent Total 7" xfId="2612" xr:uid="{861D18F8-76FB-48E0-97FB-2644E82F5AC5}"/>
    <cellStyle name="CALC Percent Total 8" xfId="2613" xr:uid="{F69FC969-0911-4582-8CA8-D821E41E210C}"/>
    <cellStyle name="CALC Percent Total 9" xfId="2614" xr:uid="{418879C3-CB61-4DA9-A0E5-CA909571EB5D}"/>
    <cellStyle name="CALC Percent Total_Sheet1" xfId="2615" xr:uid="{39524ACA-A65B-4127-9443-DCCC34C6BCA8}"/>
    <cellStyle name="Calcolo" xfId="2616" xr:uid="{28573C38-AC0C-4C5D-8794-CC8C3B9C7BC3}"/>
    <cellStyle name="Calcolo 2" xfId="2617" xr:uid="{BAA1A9D3-6261-41E0-A0A5-300E8505EDB1}"/>
    <cellStyle name="Calcolo 3" xfId="2618" xr:uid="{BB367D94-83E5-440E-87A8-2DBFF6FFAD67}"/>
    <cellStyle name="Calcolo 4" xfId="2619" xr:uid="{50E0D7C2-6EB8-4DB1-9D8F-42A48E686223}"/>
    <cellStyle name="Calculation 1" xfId="2620" xr:uid="{A8DF1C86-9D70-4B32-B2D1-AF61E9434701}"/>
    <cellStyle name="Calculation 10" xfId="2621" xr:uid="{20C31920-E2E4-43EB-99CA-5D06472CD2F7}"/>
    <cellStyle name="Calculation 11" xfId="2622" xr:uid="{F059EE0C-CD6F-438F-AFC2-57A586D16CC3}"/>
    <cellStyle name="Calculation 12" xfId="2623" xr:uid="{559CAF34-C971-47F0-AD21-45FF5FB450C6}"/>
    <cellStyle name="Calculation 13" xfId="2624" xr:uid="{4E0186E3-B781-4F67-AA4C-BB40CEBB943F}"/>
    <cellStyle name="Calculation 14" xfId="2625" xr:uid="{E02F5EC3-E5F5-4AC9-A5E6-1FB9673B7914}"/>
    <cellStyle name="Calculation 15" xfId="2626" xr:uid="{9BBA1B2B-7699-41D4-A967-77015AB7ACE6}"/>
    <cellStyle name="Calculation 16" xfId="2627" xr:uid="{708F61BD-C0EA-4594-85A1-1E2AAC53C998}"/>
    <cellStyle name="Calculation 17" xfId="2628" xr:uid="{0D3E9717-3F05-47EF-9CE3-866CFBAEB910}"/>
    <cellStyle name="Calculation 18" xfId="2629" xr:uid="{121918E2-A1DE-4720-A93C-B5E2AB823CBE}"/>
    <cellStyle name="Calculation 19" xfId="2630" xr:uid="{9E639FF4-C167-4A9E-9314-CD6D0B0B7289}"/>
    <cellStyle name="Calculation 2" xfId="2631" xr:uid="{325D3A79-9451-4AB2-A2E1-BAA2A14382B3}"/>
    <cellStyle name="Calculation 2 10" xfId="2632" xr:uid="{495D9B3A-E46C-4B78-89AA-43533DDC3504}"/>
    <cellStyle name="Calculation 2 11" xfId="2633" xr:uid="{FEF1B292-EB6C-47CD-8BAA-78EF83CA9E8E}"/>
    <cellStyle name="Calculation 2 12" xfId="2634" xr:uid="{C53D4DDB-28B2-412F-90B5-6830C693D346}"/>
    <cellStyle name="Calculation 2 13" xfId="2635" xr:uid="{6F1550AA-4263-477D-8D8C-D043357AE22B}"/>
    <cellStyle name="Calculation 2 2" xfId="2636" xr:uid="{D26220BB-9B5E-4114-A212-BD971DD30B1C}"/>
    <cellStyle name="Calculation 2 2 2" xfId="2637" xr:uid="{950452E8-079E-459B-9A61-0934BC899B74}"/>
    <cellStyle name="Calculation 2 2 2 2" xfId="2638" xr:uid="{D53ADCB4-A3DD-4847-8F4B-6214D09C6071}"/>
    <cellStyle name="Calculation 2 2 2 2 2" xfId="2639" xr:uid="{4F7614E6-DDF5-4A12-80AA-535B90950EB1}"/>
    <cellStyle name="Calculation 2 2 2 2 3" xfId="2640" xr:uid="{53DE19EA-7BF0-45F1-AD86-260818A8BDE8}"/>
    <cellStyle name="Calculation 2 2 2 2 4" xfId="2641" xr:uid="{1A143F05-3C4E-417B-A92D-0E2CB413D6BD}"/>
    <cellStyle name="Calculation 2 2 2 3" xfId="2642" xr:uid="{6ED43914-D81A-4AE9-8D39-023DC3A67F22}"/>
    <cellStyle name="Calculation 2 2 2 3 2" xfId="2643" xr:uid="{8542E8E0-800D-4E4E-BB5F-AECB65C46A1F}"/>
    <cellStyle name="Calculation 2 2 2 3 3" xfId="2644" xr:uid="{9B85D370-4EC2-4EFA-9618-149B21946EEB}"/>
    <cellStyle name="Calculation 2 2 2 3 4" xfId="2645" xr:uid="{D5EAB263-7599-4EBB-A865-5BC588697690}"/>
    <cellStyle name="Calculation 2 2 2 4" xfId="2646" xr:uid="{5B09F1EF-E034-43E6-BDC4-B27E3B87A0AE}"/>
    <cellStyle name="Calculation 2 2 2 5" xfId="2647" xr:uid="{F6F619F4-65E9-4B98-A190-97BA119A038E}"/>
    <cellStyle name="Calculation 2 2 2 6" xfId="2648" xr:uid="{C2760EFF-A3F6-44B7-A995-815402C5C5AC}"/>
    <cellStyle name="Calculation 2 2 3" xfId="2649" xr:uid="{DFA64213-70C5-416E-B65B-C0FA50260C33}"/>
    <cellStyle name="Calculation 2 2 4" xfId="2650" xr:uid="{1E7DF340-5070-43C8-BFB1-DF1ED891E72E}"/>
    <cellStyle name="Calculation 2 2 5" xfId="2651" xr:uid="{5A1E288F-F6A1-4E35-9FA2-E240EF1CF437}"/>
    <cellStyle name="Calculation 2 2 6" xfId="2652" xr:uid="{A6E4E13B-1953-4CAC-9418-33716CB4D14D}"/>
    <cellStyle name="Calculation 2 2 7" xfId="2653" xr:uid="{9E532C7B-3A0E-4A5B-BE5C-7EA3CDB22A76}"/>
    <cellStyle name="Calculation 2 3" xfId="2654" xr:uid="{F5FBF5DE-C21A-4617-93DB-391C951AFA79}"/>
    <cellStyle name="Calculation 2 3 2" xfId="2655" xr:uid="{C2F3C2B2-A510-438C-8D2A-811F5322EC7C}"/>
    <cellStyle name="Calculation 2 3 2 2" xfId="2656" xr:uid="{86E13165-EB96-40E2-8683-8DB65EB67158}"/>
    <cellStyle name="Calculation 2 3 2 2 2" xfId="2657" xr:uid="{491F7A24-26EA-4C7A-A86D-37CD48ED96F1}"/>
    <cellStyle name="Calculation 2 3 2 2 3" xfId="2658" xr:uid="{C237E9F5-30CC-4D9B-85EA-41B841A62ECD}"/>
    <cellStyle name="Calculation 2 3 2 2 4" xfId="2659" xr:uid="{18DDC9FE-F2DC-4C37-962E-739A124C6CE5}"/>
    <cellStyle name="Calculation 2 3 2 3" xfId="2660" xr:uid="{7EED3271-DC62-4CE0-9F25-EE7E0B49F824}"/>
    <cellStyle name="Calculation 2 3 2 3 2" xfId="2661" xr:uid="{6F94AF5A-FF68-4E3A-8735-3DDDAEFBA0D5}"/>
    <cellStyle name="Calculation 2 3 2 3 3" xfId="2662" xr:uid="{15EE6909-3A6E-4148-BAC3-CB180A67AF57}"/>
    <cellStyle name="Calculation 2 3 2 3 4" xfId="2663" xr:uid="{6DEF5CC8-1698-46E7-A0B6-86BB320CC918}"/>
    <cellStyle name="Calculation 2 3 2 4" xfId="2664" xr:uid="{D49D93A8-B90B-40F3-890E-F90C32CF2DD3}"/>
    <cellStyle name="Calculation 2 3 2 5" xfId="2665" xr:uid="{BDD14F7E-D080-4108-A067-EECDB8BD92EC}"/>
    <cellStyle name="Calculation 2 3 2 6" xfId="2666" xr:uid="{E69F9AAF-F6B6-44A0-9719-2DD07D7EDFBD}"/>
    <cellStyle name="Calculation 2 3 3" xfId="2667" xr:uid="{501FD209-B978-4442-8158-5F3AD1E0E9EA}"/>
    <cellStyle name="Calculation 2 3 4" xfId="2668" xr:uid="{B4C1AC2C-FC52-4487-8586-D6C4BFF7A60C}"/>
    <cellStyle name="Calculation 2 3 5" xfId="2669" xr:uid="{CF3909CC-DC3E-450C-B4EE-98B63D1F727F}"/>
    <cellStyle name="Calculation 2 4" xfId="2670" xr:uid="{CF454FFC-939D-4BA7-AAAF-950B149DC253}"/>
    <cellStyle name="Calculation 2 4 2" xfId="2671" xr:uid="{C57BC7A9-5BE1-4E11-B867-44AB49304A45}"/>
    <cellStyle name="Calculation 2 4 2 2" xfId="2672" xr:uid="{6F534213-47F2-4DBE-8244-CDCBA7302B72}"/>
    <cellStyle name="Calculation 2 4 2 3" xfId="2673" xr:uid="{75F38A78-262E-4C61-9E5C-EFB6B6422194}"/>
    <cellStyle name="Calculation 2 4 2 4" xfId="2674" xr:uid="{10C6711D-64C6-4C8E-9174-1991D65E76C5}"/>
    <cellStyle name="Calculation 2 4 3" xfId="2675" xr:uid="{C14D3A75-F1D0-413F-9EDC-F8CE7E4D65AB}"/>
    <cellStyle name="Calculation 2 4 3 2" xfId="2676" xr:uid="{EA3A5A61-7A8C-4816-BF96-D7AD19697A7C}"/>
    <cellStyle name="Calculation 2 4 3 3" xfId="2677" xr:uid="{41952389-9A23-4D0B-ADCA-16ED6AD502A6}"/>
    <cellStyle name="Calculation 2 4 3 4" xfId="2678" xr:uid="{14D18431-A67A-416C-87A7-AF30E445BAD1}"/>
    <cellStyle name="Calculation 2 4 4" xfId="2679" xr:uid="{73D4EC72-AB42-4816-AD2D-3B35ADA0BD17}"/>
    <cellStyle name="Calculation 2 4 5" xfId="2680" xr:uid="{1273DD3C-F53C-4025-A39F-5F10E79570F8}"/>
    <cellStyle name="Calculation 2 4 6" xfId="2681" xr:uid="{41D858C1-F40B-46AA-9833-71BC6B0B98ED}"/>
    <cellStyle name="Calculation 2 5" xfId="2682" xr:uid="{E1C25178-9C1C-4273-9978-080E9D163688}"/>
    <cellStyle name="Calculation 2 6" xfId="2683" xr:uid="{20C1ADD4-7D16-4AB8-A955-8721F6BA2CE7}"/>
    <cellStyle name="Calculation 2 7" xfId="2684" xr:uid="{C0001B90-5B76-4C90-843F-E29D41D2BC10}"/>
    <cellStyle name="Calculation 2 8" xfId="2685" xr:uid="{1E63D50F-7182-4D00-8F58-3EAD8F81AFFC}"/>
    <cellStyle name="Calculation 2 9" xfId="2686" xr:uid="{52C905B5-356F-4BF5-84C9-C20EC0F501F3}"/>
    <cellStyle name="Calculation 20" xfId="2687" xr:uid="{29496291-EDB8-4058-A0D5-B7712DB71011}"/>
    <cellStyle name="Calculation 21" xfId="2688" xr:uid="{50631932-3A1B-41DB-B7A8-EE79AF644F08}"/>
    <cellStyle name="Calculation 22" xfId="2689" xr:uid="{600F1669-9DD9-4B93-98C1-5E971F16834E}"/>
    <cellStyle name="Calculation 23" xfId="2690" xr:uid="{1622DDD5-C85A-4359-92AE-FCBF7BB6A914}"/>
    <cellStyle name="Calculation 24" xfId="2691" xr:uid="{EEDB4D85-E72C-46FE-9F47-0DEFE4AF5972}"/>
    <cellStyle name="Calculation 25" xfId="2692" xr:uid="{1E22DB21-4113-48DE-9F94-FBD87823CE91}"/>
    <cellStyle name="Calculation 26" xfId="2693" xr:uid="{6CDE45A1-7CDF-4CDF-9D63-7896DF41D20C}"/>
    <cellStyle name="Calculation 27" xfId="2694" xr:uid="{7F170FD4-E6EF-459F-B6D5-FFD30D39EE7F}"/>
    <cellStyle name="Calculation 28" xfId="2695" xr:uid="{E8266E6D-6443-4958-9ACE-655E1F9FDC50}"/>
    <cellStyle name="Calculation 29" xfId="2696" xr:uid="{75548162-7EBE-424D-B9FF-C134D9E91298}"/>
    <cellStyle name="Calculation 3" xfId="2697" xr:uid="{8CDACB62-3173-498D-85FC-2EEE02B48096}"/>
    <cellStyle name="Calculation 3 10" xfId="2698" xr:uid="{81D3E5DA-4590-4DC2-AD0D-4E8BFDF0C20C}"/>
    <cellStyle name="Calculation 3 11" xfId="2699" xr:uid="{FE345E1A-F8C8-42BA-BD3A-E3416F8E7A78}"/>
    <cellStyle name="Calculation 3 2" xfId="2700" xr:uid="{3FA2B9C2-5708-48C4-AE3D-4588F8384E9F}"/>
    <cellStyle name="Calculation 3 3" xfId="2701" xr:uid="{CB36DAB7-7CB0-4606-98D7-8B2147494AE8}"/>
    <cellStyle name="Calculation 3 4" xfId="2702" xr:uid="{7DA08E88-A471-49DE-974D-B5E2FF1616B4}"/>
    <cellStyle name="Calculation 3 5" xfId="2703" xr:uid="{5DFF3408-5313-4AB9-A685-B071F113BB22}"/>
    <cellStyle name="Calculation 3 6" xfId="2704" xr:uid="{9E474339-4F76-4748-986A-A9F4D62763EA}"/>
    <cellStyle name="Calculation 3 7" xfId="2705" xr:uid="{B0D370E0-D241-4B16-B6AC-5C41E298382A}"/>
    <cellStyle name="Calculation 3 8" xfId="2706" xr:uid="{72753527-EB65-4B1A-83EA-DEC51F8E6E33}"/>
    <cellStyle name="Calculation 3 9" xfId="2707" xr:uid="{B4570DA2-3DEE-48AF-9046-CAA73C9574F4}"/>
    <cellStyle name="Calculation 30" xfId="2708" xr:uid="{FD8248CE-C0C4-4098-B159-B90FD5F5EEF6}"/>
    <cellStyle name="Calculation 31" xfId="2709" xr:uid="{CA97C5F9-7984-486A-8DEC-01237BC3B479}"/>
    <cellStyle name="Calculation 32" xfId="2710" xr:uid="{BE5C7CB5-AA4B-4425-9A8F-2BCFE554476A}"/>
    <cellStyle name="Calculation 33" xfId="2711" xr:uid="{7E1C5390-7DAC-479F-BEB9-80ED167F7F26}"/>
    <cellStyle name="Calculation 34" xfId="2712" xr:uid="{5D8EAE51-91C4-40DF-A60B-A42A14ECE39B}"/>
    <cellStyle name="Calculation 35" xfId="2713" xr:uid="{9084DD19-3023-4B03-B324-3393B6C3102F}"/>
    <cellStyle name="Calculation 35 2" xfId="2714" xr:uid="{EDADD826-FACD-41D3-9421-3AAED3694846}"/>
    <cellStyle name="Calculation 35 2 2" xfId="2715" xr:uid="{D6468F19-D2A4-4293-AF2B-F8B8FE5FD59F}"/>
    <cellStyle name="Calculation 35 2 2 2" xfId="2716" xr:uid="{93C42993-5183-4CF6-8AF9-408EFFD504E1}"/>
    <cellStyle name="Calculation 35 3" xfId="2717" xr:uid="{E27A163F-FDB0-4DA3-A6CA-7C7FB13160E6}"/>
    <cellStyle name="Calculation 35 4" xfId="2718" xr:uid="{F643B854-CAF8-4FB9-A16A-D3F0A641E170}"/>
    <cellStyle name="Calculation 36" xfId="2719" xr:uid="{35CEBCA1-D700-49AD-BE0E-A1062A6A7008}"/>
    <cellStyle name="Calculation 37" xfId="2720" xr:uid="{3310C5E6-3ADB-45DF-8900-2701C5C9F5E5}"/>
    <cellStyle name="Calculation 38" xfId="2721" xr:uid="{4098B830-031B-492D-A14D-E84B955AE9A6}"/>
    <cellStyle name="Calculation 39" xfId="2722" xr:uid="{16A43517-6FB2-4C7E-B13A-0335E8C74A2A}"/>
    <cellStyle name="Calculation 4" xfId="2723" xr:uid="{9DE7DF0D-B8BB-4583-9A71-DBBB56ED3494}"/>
    <cellStyle name="Calculation 4 2" xfId="2724" xr:uid="{9C529904-17C5-4AEE-AE94-928854D66D12}"/>
    <cellStyle name="Calculation 4 3" xfId="2725" xr:uid="{78119F90-CB33-422F-AF07-4360E6A3E4BD}"/>
    <cellStyle name="Calculation 4 4" xfId="2726" xr:uid="{8A7310C3-D85B-4A3E-A1B3-74DE5CD6FAA2}"/>
    <cellStyle name="Calculation 4 5" xfId="2727" xr:uid="{1A31F6FD-084D-42A3-8FFA-6D17ABBE2F0C}"/>
    <cellStyle name="Calculation 40" xfId="2728" xr:uid="{BA33609F-ADBF-42B9-8F89-707C343170B2}"/>
    <cellStyle name="Calculation 41" xfId="2729" xr:uid="{4EE59F18-8EFD-4852-B638-4D54EEC37B70}"/>
    <cellStyle name="Calculation 42" xfId="2730" xr:uid="{262D9CB5-32C3-47A8-8CD8-4DD3F6E37F06}"/>
    <cellStyle name="Calculation 43" xfId="2731" xr:uid="{002EF5EA-B686-4199-9720-8C2F68AD3D5A}"/>
    <cellStyle name="Calculation 44" xfId="2732" xr:uid="{BD800A5B-55F3-4474-BF4A-7A18A5280453}"/>
    <cellStyle name="Calculation 45" xfId="2733" xr:uid="{103A0E73-58F8-402E-BEAB-2FD833A78242}"/>
    <cellStyle name="Calculation 46" xfId="2734" xr:uid="{57285E70-C98D-4BB2-8831-CC3A508A0AC5}"/>
    <cellStyle name="Calculation 47" xfId="2735" xr:uid="{95DCC423-BA77-4738-9174-56D7A68C3CAC}"/>
    <cellStyle name="Calculation 48" xfId="2736" xr:uid="{0C2346B3-1D85-46AE-8E15-A136651BA986}"/>
    <cellStyle name="Calculation 49" xfId="2737" xr:uid="{14D01180-BB09-4F94-AE8B-B27EE26E76CA}"/>
    <cellStyle name="Calculation 5" xfId="2738" xr:uid="{AF988F50-E925-439E-83D4-AEF4184F697C}"/>
    <cellStyle name="Calculation 5 2" xfId="2739" xr:uid="{1D4727C0-039C-4DE6-8764-9047D7ED6A75}"/>
    <cellStyle name="Calculation 50" xfId="2740" xr:uid="{F7471ADC-6B36-4180-BFAF-E759851E7113}"/>
    <cellStyle name="Calculation 51" xfId="2741" xr:uid="{F5DF948C-CADD-49BD-927C-08023B2372B1}"/>
    <cellStyle name="Calculation 52" xfId="2742" xr:uid="{60579B3C-AAC6-412C-B103-1230E7E64E36}"/>
    <cellStyle name="Calculation 53" xfId="2743" xr:uid="{ED362F2D-AB3F-4F63-AF43-BB84B7F67C8C}"/>
    <cellStyle name="Calculation 54" xfId="2744" xr:uid="{B5CEF93D-11D7-4E50-9247-10738A72E994}"/>
    <cellStyle name="Calculation 55" xfId="2745" xr:uid="{D0840273-2013-4783-BEA2-E195A533F471}"/>
    <cellStyle name="Calculation 56" xfId="2746" xr:uid="{766390FE-19A2-4ABA-863B-7C02D9D09B86}"/>
    <cellStyle name="Calculation 57" xfId="2747" xr:uid="{6D00A477-7DB3-4FD9-B664-CA13C5D9DC1A}"/>
    <cellStyle name="Calculation 58" xfId="2748" xr:uid="{3D1201B4-7EAF-4455-B21E-B98144B85B61}"/>
    <cellStyle name="Calculation 59" xfId="2749" xr:uid="{48CF2D97-22EE-431F-8910-281FE2F72716}"/>
    <cellStyle name="Calculation 6" xfId="2750" xr:uid="{F2D86CE6-5676-4F31-9E01-CE124F76F9CD}"/>
    <cellStyle name="Calculation 60" xfId="2751" xr:uid="{2C5CB63B-736D-416B-86BE-76127F632158}"/>
    <cellStyle name="Calculation 60 2" xfId="2752" xr:uid="{EC3D2237-20E8-46BF-AB00-B65464547DDF}"/>
    <cellStyle name="Calculation 60 2 2" xfId="2753" xr:uid="{122D4967-0204-4104-8C44-7A7701714477}"/>
    <cellStyle name="Calculation 60 2 2 2" xfId="2754" xr:uid="{8D367D96-5082-48FC-A598-6BBD3BC6D47D}"/>
    <cellStyle name="Calculation 60 2 3" xfId="2755" xr:uid="{0D9DBD54-F0F5-4638-B874-269ED0EE836A}"/>
    <cellStyle name="Calculation 61" xfId="2756" xr:uid="{8C66FF82-73A5-4F25-9276-AA6DBF011645}"/>
    <cellStyle name="Calculation 62" xfId="2757" xr:uid="{06665317-164E-4DB4-877C-648508842D74}"/>
    <cellStyle name="Calculation 63" xfId="2758" xr:uid="{85D3239B-A809-4A69-AB03-CDBFC324256D}"/>
    <cellStyle name="Calculation 64" xfId="2759" xr:uid="{760BFF4E-ACAB-4D0B-B78C-83746817B8AE}"/>
    <cellStyle name="Calculation 65" xfId="2760" xr:uid="{3D4EFCA9-D081-48CA-9FC4-AEF68A84E50E}"/>
    <cellStyle name="Calculation 66" xfId="2761" xr:uid="{F610FF5C-FCC9-431C-BE04-99817B8FD79F}"/>
    <cellStyle name="Calculation 67" xfId="2762" xr:uid="{0551E066-639C-43B3-90BD-446E8597B7F9}"/>
    <cellStyle name="Calculation 67 2" xfId="2763" xr:uid="{CFC1B08D-2571-4165-8AA4-3548AA9E30B6}"/>
    <cellStyle name="Calculation 68" xfId="2764" xr:uid="{21DA8D58-6699-47E4-A8E9-A4062E2CCF40}"/>
    <cellStyle name="Calculation 69" xfId="2765" xr:uid="{394C7F06-C54F-4EAD-BB7B-8D3C7193C5E1}"/>
    <cellStyle name="Calculation 7" xfId="2766" xr:uid="{C63F9739-ECF4-47C5-B4F8-B45AF69BCD48}"/>
    <cellStyle name="Calculation 70" xfId="2767" xr:uid="{DBF07590-6CC1-46DD-9640-CD404EC06EA3}"/>
    <cellStyle name="Calculation 8" xfId="2768" xr:uid="{6F9959D8-8A48-4B7A-9CE4-EE704DC1FEFE}"/>
    <cellStyle name="Calculation 9" xfId="2769" xr:uid="{C921F23C-473D-4F96-89B4-12E9724DF29F}"/>
    <cellStyle name="Cell Link." xfId="2770" xr:uid="{F02367A5-17FA-4565-A5C2-859D04FA4D18}"/>
    <cellStyle name="Cella collegata" xfId="2771" xr:uid="{28E065F3-ABC3-4CFC-AF9B-476A2BC2DA78}"/>
    <cellStyle name="Cella collegata 2" xfId="2772" xr:uid="{50386D7A-328C-4E6B-9542-E23DD687A04A}"/>
    <cellStyle name="Cella da controllare" xfId="2773" xr:uid="{C5FECA99-2AC4-4DA3-A209-210BD2645D9B}"/>
    <cellStyle name="Cella da controllare 2" xfId="2774" xr:uid="{B2E32660-E3C6-42BC-B8A6-CE1BF22D9274}"/>
    <cellStyle name="Characteristic" xfId="2775" xr:uid="{58811099-E797-4C56-9A57-9C52440C4BE1}"/>
    <cellStyle name="CharactGroup" xfId="2776" xr:uid="{913D9A9E-F600-44BA-B22C-70BA9211A52A}"/>
    <cellStyle name="CharactNote" xfId="2777" xr:uid="{1377E81C-047B-40D2-B2B8-7C4CCD3826B5}"/>
    <cellStyle name="CharactType" xfId="2778" xr:uid="{115F0867-2F6C-4B78-9945-9174580DBDD1}"/>
    <cellStyle name="CharactValue" xfId="2779" xr:uid="{F93FC811-62F4-40F8-9B3E-D85D442B6C0B}"/>
    <cellStyle name="CharactValueNote" xfId="2780" xr:uid="{DA6689F1-111E-4EEA-9592-9CBB007C564A}"/>
    <cellStyle name="CharShortType" xfId="2781" xr:uid="{2F11F5BE-9F70-4294-84D6-7476C82189FB}"/>
    <cellStyle name="Check Cell 10" xfId="2782" xr:uid="{EA9B57D8-48AD-4A82-A2F1-7C8D86C9AA96}"/>
    <cellStyle name="Check Cell 11" xfId="2783" xr:uid="{CE5D824A-53F7-4A5C-B035-240F2CDB1346}"/>
    <cellStyle name="Check Cell 12" xfId="2784" xr:uid="{86294FA6-4C68-4013-B76D-FE9D48B8A284}"/>
    <cellStyle name="Check Cell 13" xfId="2785" xr:uid="{4B2B7F1B-BD6A-44AD-9B78-53391FB59A40}"/>
    <cellStyle name="Check Cell 14" xfId="2786" xr:uid="{A05D60FF-1E5C-435C-AC77-8ED3BEC252FB}"/>
    <cellStyle name="Check Cell 15" xfId="2787" xr:uid="{C35FB673-96A9-47D4-8A30-A11FBD4C5E9A}"/>
    <cellStyle name="Check Cell 16" xfId="2788" xr:uid="{4692D74E-D7A8-4D4D-9DF1-E2F25DB5CCA0}"/>
    <cellStyle name="Check Cell 17" xfId="2789" xr:uid="{B5F44C51-E2CD-42B2-895D-1A015086CFF0}"/>
    <cellStyle name="Check Cell 18" xfId="2790" xr:uid="{CEF030E4-27DD-47EF-AE64-559026BC8C14}"/>
    <cellStyle name="Check Cell 19" xfId="2791" xr:uid="{A419001D-46AA-4A72-8977-D498B5820AE2}"/>
    <cellStyle name="Check Cell 2" xfId="2792" xr:uid="{2B214F77-CA72-4AF7-AFC9-99C230E4754F}"/>
    <cellStyle name="Check Cell 2 2" xfId="2793" xr:uid="{D8F1936B-1FA6-46C9-AD5B-57EEDCE01A36}"/>
    <cellStyle name="Check Cell 2 2 2" xfId="2794" xr:uid="{8347AC56-9F68-45EB-A358-FE300B450E1C}"/>
    <cellStyle name="Check Cell 2 2 3" xfId="2795" xr:uid="{5C7B4480-F3BB-4F02-B76E-20625E5099F4}"/>
    <cellStyle name="Check Cell 2 3" xfId="2796" xr:uid="{017F1FF1-024E-4D0E-9C18-F515F0DFF15E}"/>
    <cellStyle name="Check Cell 2 4" xfId="2797" xr:uid="{5E50F790-F319-4719-9A3D-B00BE747269F}"/>
    <cellStyle name="Check Cell 2 5" xfId="2798" xr:uid="{94C11986-52CC-48E1-AF1C-06D522ABDA24}"/>
    <cellStyle name="Check Cell 20" xfId="2799" xr:uid="{DD5C71EA-12E0-4478-8F4F-DF4F1DDE42D3}"/>
    <cellStyle name="Check Cell 21" xfId="2800" xr:uid="{46BC0A69-2764-48BE-9F1A-FFAE566A6D88}"/>
    <cellStyle name="Check Cell 22" xfId="2801" xr:uid="{B82EE0CB-846B-4C10-ACD6-3987EC0088E2}"/>
    <cellStyle name="Check Cell 23" xfId="2802" xr:uid="{5632EC52-7E8C-4666-9DBF-64005AC54D92}"/>
    <cellStyle name="Check Cell 24" xfId="2803" xr:uid="{2A664E71-77F9-45CB-A769-F7FB9A97C5F5}"/>
    <cellStyle name="Check Cell 25" xfId="2804" xr:uid="{6342CF73-61F2-484A-8A40-28A204F1D107}"/>
    <cellStyle name="Check Cell 26" xfId="2805" xr:uid="{D8C07ABA-EB77-4333-8E5A-E9A2D366D941}"/>
    <cellStyle name="Check Cell 27" xfId="2806" xr:uid="{F4DF81C6-3942-4866-BC17-8A599E2FBD0F}"/>
    <cellStyle name="Check Cell 28" xfId="2807" xr:uid="{66721D26-B69D-4A07-BE1E-D6C4D4271D89}"/>
    <cellStyle name="Check Cell 29" xfId="2808" xr:uid="{8C8A922C-0C57-46E8-B727-5E3995486D4B}"/>
    <cellStyle name="Check Cell 3" xfId="2809" xr:uid="{E364A8B8-1B89-44B1-8935-BC4E4FF879E7}"/>
    <cellStyle name="Check Cell 3 2" xfId="2810" xr:uid="{594DFA50-55F3-440A-9A8A-5AEA6B1EADB7}"/>
    <cellStyle name="Check Cell 30" xfId="2811" xr:uid="{9A0F766A-DEB9-4A42-9BC4-3AE6D2719AA9}"/>
    <cellStyle name="Check Cell 31" xfId="2812" xr:uid="{B17693C5-5BB9-4B00-BF14-7BA2EF2ABDCA}"/>
    <cellStyle name="Check Cell 32" xfId="2813" xr:uid="{FD753440-A6D3-457F-BC87-8FCD7DEBB6B5}"/>
    <cellStyle name="Check Cell 33" xfId="2814" xr:uid="{40DD474D-E65A-40EE-A104-C2C18F79C93D}"/>
    <cellStyle name="Check Cell 34" xfId="2815" xr:uid="{745FED94-630B-4E8A-8D4A-668F29315BBA}"/>
    <cellStyle name="Check Cell 35" xfId="2816" xr:uid="{C5D04E39-B2CC-447E-815C-40C44A3AB619}"/>
    <cellStyle name="Check Cell 35 2" xfId="2817" xr:uid="{F87BB3F5-9AF0-4073-A244-20246964A29F}"/>
    <cellStyle name="Check Cell 35 2 2" xfId="2818" xr:uid="{317BCC2E-C0B8-434C-A8AC-30BE2571583F}"/>
    <cellStyle name="Check Cell 35 2 2 2" xfId="2819" xr:uid="{4EBA924F-76D5-4EA8-B772-5254544B0EAF}"/>
    <cellStyle name="Check Cell 35 3" xfId="2820" xr:uid="{629A9E43-066D-4AEF-AC42-46E8829D477C}"/>
    <cellStyle name="Check Cell 35 4" xfId="2821" xr:uid="{84EC8D0B-90EB-475E-840C-E3F0E677435E}"/>
    <cellStyle name="Check Cell 36" xfId="2822" xr:uid="{8D85AF0A-8442-4783-88E8-9B5E3B8FE443}"/>
    <cellStyle name="Check Cell 37" xfId="2823" xr:uid="{915390C3-BC2C-4806-BE4A-96A40E8AD896}"/>
    <cellStyle name="Check Cell 38" xfId="2824" xr:uid="{EB18D65E-CA97-49C7-AA47-0C79B495432A}"/>
    <cellStyle name="Check Cell 39" xfId="2825" xr:uid="{2BCBD576-052D-4DB4-8A3A-92CE15AAE384}"/>
    <cellStyle name="Check Cell 4" xfId="2826" xr:uid="{857F9E60-6C4B-4157-9998-281D6C47055A}"/>
    <cellStyle name="Check Cell 4 2" xfId="2827" xr:uid="{3A9D1B49-343D-46F4-992D-2BCC620365DC}"/>
    <cellStyle name="Check Cell 40" xfId="2828" xr:uid="{25491F07-49F2-49D4-B3B5-5C356E87C6F8}"/>
    <cellStyle name="Check Cell 41" xfId="2829" xr:uid="{05890071-D9C0-495F-83DF-CD9A4FF1D707}"/>
    <cellStyle name="Check Cell 42" xfId="2830" xr:uid="{C0695E0A-5AE5-42B4-9ADE-7B8E1D2C13CF}"/>
    <cellStyle name="Check Cell 43" xfId="2831" xr:uid="{BE1011BB-AEC8-481B-A0FB-4B021535A4D3}"/>
    <cellStyle name="Check Cell 44" xfId="2832" xr:uid="{34FF0FF0-90B5-4C21-B653-5FA0121EDD24}"/>
    <cellStyle name="Check Cell 45" xfId="2833" xr:uid="{5D10F2EA-7A41-45DC-AA0A-B2CC6EA9808F}"/>
    <cellStyle name="Check Cell 46" xfId="2834" xr:uid="{B5EE0476-C962-4F06-84F8-BD5573DB3BBA}"/>
    <cellStyle name="Check Cell 47" xfId="2835" xr:uid="{3D522712-D807-4679-8026-886C444D9282}"/>
    <cellStyle name="Check Cell 48" xfId="2836" xr:uid="{7532F15A-5428-49D0-B6FB-668B2C158A65}"/>
    <cellStyle name="Check Cell 49" xfId="2837" xr:uid="{22554689-2D3B-4034-B660-81835A76F27B}"/>
    <cellStyle name="Check Cell 5" xfId="2838" xr:uid="{AAFAB0CD-BD7F-4631-B8A0-5EA58710B070}"/>
    <cellStyle name="Check Cell 50" xfId="2839" xr:uid="{9DB9445E-777F-4113-BD54-C1CA09670C42}"/>
    <cellStyle name="Check Cell 51" xfId="2840" xr:uid="{8FD680F9-78A6-4D67-987A-AAC843CE44A0}"/>
    <cellStyle name="Check Cell 52" xfId="2841" xr:uid="{92150301-FC3E-4BBD-93B3-9DBD2B8A6E42}"/>
    <cellStyle name="Check Cell 53" xfId="2842" xr:uid="{88319526-A0EA-4060-9FAA-5950F1FAAF34}"/>
    <cellStyle name="Check Cell 54" xfId="2843" xr:uid="{EE45202C-1A1C-4810-A62C-7F0DD22F865C}"/>
    <cellStyle name="Check Cell 55" xfId="2844" xr:uid="{6DF60154-66FC-4541-AC92-8FFE40B3C5F6}"/>
    <cellStyle name="Check Cell 56" xfId="2845" xr:uid="{183AD2E5-1EB8-4B28-809F-8CA6B57BCDCE}"/>
    <cellStyle name="Check Cell 57" xfId="2846" xr:uid="{268FDEBB-060A-4264-BBDC-BCD9BDCBA323}"/>
    <cellStyle name="Check Cell 58" xfId="2847" xr:uid="{F8417312-B4B8-46EF-86FA-29BA7794BE44}"/>
    <cellStyle name="Check Cell 59" xfId="2848" xr:uid="{5DF85562-4051-40FD-9C45-442CD9372D81}"/>
    <cellStyle name="Check Cell 6" xfId="2849" xr:uid="{E5B716A6-A3F6-443B-80AE-AD30C2E719A5}"/>
    <cellStyle name="Check Cell 60" xfId="2850" xr:uid="{32E5CBBA-D14C-4E58-B841-662A258BAF6F}"/>
    <cellStyle name="Check Cell 60 2" xfId="2851" xr:uid="{DAEC7DD4-E2C8-4A73-8FC9-954A5DE3B9C7}"/>
    <cellStyle name="Check Cell 60 2 2" xfId="2852" xr:uid="{AD66B923-023F-477A-A231-3B973E65BF30}"/>
    <cellStyle name="Check Cell 60 2 2 2" xfId="2853" xr:uid="{D45A8367-BA98-4393-AE0E-6781D04DE334}"/>
    <cellStyle name="Check Cell 60 2 3" xfId="2854" xr:uid="{B910AB65-A7A7-4B28-A416-34694FF2ACEE}"/>
    <cellStyle name="Check Cell 61" xfId="2855" xr:uid="{7D0D6B32-007C-44C7-A9D6-EC99A706FFD1}"/>
    <cellStyle name="Check Cell 62" xfId="2856" xr:uid="{FC968563-FB0D-4FDB-89EB-A36BF0FC4389}"/>
    <cellStyle name="Check Cell 63" xfId="2857" xr:uid="{E9DC2410-5C50-4FB1-BC5C-A371E81771D9}"/>
    <cellStyle name="Check Cell 64" xfId="2858" xr:uid="{0C14C914-6DF9-4537-8748-F49F734E547D}"/>
    <cellStyle name="Check Cell 65" xfId="2859" xr:uid="{F3995D1E-484D-4D26-A579-3F19A357FD60}"/>
    <cellStyle name="Check Cell 7" xfId="2860" xr:uid="{B6509C34-2551-432A-87FD-01FDD637484D}"/>
    <cellStyle name="Check Cell 8" xfId="2861" xr:uid="{CAA37980-FA73-4836-8B32-4CC9EA20FA2A}"/>
    <cellStyle name="Check Cell 9" xfId="2862" xr:uid="{691368F9-141C-47C9-930B-164AAC6747DA}"/>
    <cellStyle name="Check Green" xfId="2863" xr:uid="{71C7694A-ABD9-49A3-A0D2-9F4D0184BB97}"/>
    <cellStyle name="Check Orange" xfId="2864" xr:uid="{675DA4F0-6F94-4527-8BBC-9203D41E5AD4}"/>
    <cellStyle name="Check Red" xfId="2865" xr:uid="{86BC3DF7-064C-4BD8-A603-EB58E26DD100}"/>
    <cellStyle name="Check2_EA" xfId="2866" xr:uid="{18566CD8-FD9C-499E-95C1-F72B4059197C}"/>
    <cellStyle name="CheckCell_RP" xfId="2867" xr:uid="{55E8FA33-A15F-4226-B723-00E39E808D18}"/>
    <cellStyle name="CheckCelLbll_RP" xfId="2868" xr:uid="{A327A8AB-16A4-49CF-A31D-BECBC137A725}"/>
    <cellStyle name="CIL" xfId="2869" xr:uid="{12C11AAC-AF31-4EC5-86B0-341216843517}"/>
    <cellStyle name="CIU" xfId="2870" xr:uid="{A6A5A065-4342-4531-8332-88A8829E4A01}"/>
    <cellStyle name="CodeOutput_RP" xfId="2871" xr:uid="{CC19EF05-F51F-45D4-8D6E-D26DAF59C7C0}"/>
    <cellStyle name="Colore 1" xfId="2872" xr:uid="{186E3841-6942-43FB-8524-5FAC89981C6F}"/>
    <cellStyle name="Colore 1 2" xfId="2873" xr:uid="{AFFAAD13-6966-45FE-B2FF-3BDEBC14F411}"/>
    <cellStyle name="Colore 2" xfId="2874" xr:uid="{DCD7A067-1110-465A-81F5-19F71E5B8BFE}"/>
    <cellStyle name="Colore 2 2" xfId="2875" xr:uid="{14D330B9-1E8C-4B84-AF8D-587DB79516B4}"/>
    <cellStyle name="Colore 3" xfId="2876" xr:uid="{A0FAB30C-29A6-4452-AA3A-C8D4FE9DF44D}"/>
    <cellStyle name="Colore 3 2" xfId="2877" xr:uid="{A89DA55E-DC67-413D-AE82-339F9E3A6606}"/>
    <cellStyle name="Colore 4" xfId="2878" xr:uid="{AE9B799B-82CF-42B4-A0B2-84FD6ECAFA2B}"/>
    <cellStyle name="Colore 4 2" xfId="2879" xr:uid="{6ACC5520-8D2F-4DD0-9079-125177F9D19B}"/>
    <cellStyle name="Colore 5" xfId="2880" xr:uid="{6C8EAB6C-C79E-4BB5-B6A9-1F55528C2E79}"/>
    <cellStyle name="Colore 5 2" xfId="2881" xr:uid="{3FFCA6EF-C095-4577-AF7B-DB77E55D88E9}"/>
    <cellStyle name="Colore 6" xfId="2882" xr:uid="{FF844158-A9ED-4677-912C-991A2F543F80}"/>
    <cellStyle name="Colore 6 2" xfId="2883" xr:uid="{DBF1D289-3E76-460C-BB62-CA4AC36F63A8}"/>
    <cellStyle name="Column_Heading_RP" xfId="2884" xr:uid="{47671394-5254-4778-8950-4E6EE1D26154}"/>
    <cellStyle name="Comma" xfId="4" builtinId="3"/>
    <cellStyle name="Comma -" xfId="2885" xr:uid="{F322F840-FDD6-4A7C-9C10-048E359F28B8}"/>
    <cellStyle name="Comma  - Style1" xfId="2886" xr:uid="{B9395506-AB15-4421-99EC-AAE4C6527E64}"/>
    <cellStyle name="Comma  - Style2" xfId="2887" xr:uid="{72C95BE5-4D03-4406-BB55-D932F19C1422}"/>
    <cellStyle name="Comma  - Style3" xfId="2888" xr:uid="{3FEA54CA-855E-4C59-BE3B-F4B9EA7D0A0A}"/>
    <cellStyle name="Comma  - Style4" xfId="2889" xr:uid="{ECCC88B8-4BB9-42F1-93E7-11A870854AD8}"/>
    <cellStyle name="Comma  - Style5" xfId="2890" xr:uid="{C5D84E8D-B087-4625-97BC-09C2EB99268D}"/>
    <cellStyle name="Comma  - Style6" xfId="2891" xr:uid="{DDB1AADA-6B27-404B-B7D8-E47249595D92}"/>
    <cellStyle name="Comma  - Style7" xfId="2892" xr:uid="{02C75D29-B075-4259-B367-38E0A9FB7D2C}"/>
    <cellStyle name="Comma  - Style8" xfId="2893" xr:uid="{B863F21E-C6F1-4441-90C7-CB3D2D54FF03}"/>
    <cellStyle name="Comma [0] 2" xfId="2894" xr:uid="{6B2773D5-1F96-450A-B200-D35DFEDABDEC}"/>
    <cellStyle name="Comma [0] 3" xfId="2895" xr:uid="{FC9FB53F-C166-4D9B-A59F-FE5D075D94A9}"/>
    <cellStyle name="Comma [1]" xfId="2896" xr:uid="{108B9765-4D89-4B86-90DC-9E5C8C696770}"/>
    <cellStyle name="Comma [1] 2" xfId="2897" xr:uid="{4F4069C9-EECC-4215-8CC9-81096A36175D}"/>
    <cellStyle name="Comma [2]" xfId="2898" xr:uid="{7A1BCA15-22CB-428D-A959-9393900C8387}"/>
    <cellStyle name="Comma [2] 2" xfId="2899" xr:uid="{54D371CE-0937-4825-A1F4-040B831937BA}"/>
    <cellStyle name="Comma [3]" xfId="2900" xr:uid="{04F9CAD6-0E3B-43AA-9A83-84A6E760C5A6}"/>
    <cellStyle name="Comma [3] 2" xfId="2901" xr:uid="{49191A9A-D9C2-4832-AA5C-26D29B35AB97}"/>
    <cellStyle name="Comma 0" xfId="2902" xr:uid="{07817C14-4FC3-4151-8019-AF9A76A19D34}"/>
    <cellStyle name="Comma 0*" xfId="2903" xr:uid="{EAFFE4D1-0965-4C24-8D2C-15EBF55BF5D9}"/>
    <cellStyle name="Comma 0__MasterJRComps" xfId="2904" xr:uid="{954E7B19-7552-436B-8783-4238AE2A53A0}"/>
    <cellStyle name="Comma 10" xfId="2905" xr:uid="{2865F1F7-5BCA-41F7-9264-79095EAD6F59}"/>
    <cellStyle name="Comma 11" xfId="2906" xr:uid="{CB3A411A-FD4F-4AAB-BE48-38794F18EC88}"/>
    <cellStyle name="Comma 12" xfId="2907" xr:uid="{90E6095E-EB3B-4F99-937C-05D867DDF516}"/>
    <cellStyle name="Comma 13" xfId="2908" xr:uid="{D05920F6-5C42-4324-B37B-44AE774EFC9D}"/>
    <cellStyle name="Comma 14" xfId="2909" xr:uid="{0CEDDEA4-0EC3-4FC4-B4F2-45220C82D6CB}"/>
    <cellStyle name="Comma 15" xfId="2910" xr:uid="{7398D179-A9FB-4D54-94AB-8E512C3BBDDE}"/>
    <cellStyle name="Comma 16" xfId="2911" xr:uid="{FC1BBFB5-CE74-4C57-96A7-8029D336374C}"/>
    <cellStyle name="Comma 17" xfId="2912" xr:uid="{3912CABC-3133-48A2-A4E3-68FF25A16502}"/>
    <cellStyle name="Comma 18" xfId="2913" xr:uid="{9992DBFB-73F0-45C7-B7FD-3C11456D4309}"/>
    <cellStyle name="Comma 19" xfId="2914" xr:uid="{D23BA296-AD37-4FB2-8FA0-D3AA7A40CEDC}"/>
    <cellStyle name="Comma 2" xfId="8" xr:uid="{00000000-0005-0000-0000-000001000000}"/>
    <cellStyle name="Comma 2 10" xfId="2915" xr:uid="{B040B7DF-AA2D-4C19-8DC4-19336A34A531}"/>
    <cellStyle name="Comma 2 10 2" xfId="2916" xr:uid="{AFB60B83-3B8A-42AA-BE51-6633B26BA4E7}"/>
    <cellStyle name="Comma 2 11" xfId="2917" xr:uid="{FF1AA9E2-908A-4A79-96F0-8CE2832F9AAD}"/>
    <cellStyle name="Comma 2 11 2" xfId="2918" xr:uid="{40F46CF4-EEE6-46DC-8D91-621E9903A587}"/>
    <cellStyle name="Comma 2 12" xfId="2919" xr:uid="{7F1AB95C-A07F-4A9C-AC5C-B47B445C19FD}"/>
    <cellStyle name="Comma 2 12 2" xfId="2920" xr:uid="{B1546C3F-F7B9-45FA-A76A-46E255971AEB}"/>
    <cellStyle name="Comma 2 13" xfId="2921" xr:uid="{DD9F3718-4B7A-46C9-9EA3-3599009C60C6}"/>
    <cellStyle name="Comma 2 13 2" xfId="2922" xr:uid="{909A8160-F362-4E54-BF03-1B8AE4BDCEBC}"/>
    <cellStyle name="Comma 2 14" xfId="2923" xr:uid="{57C9E4E2-40DB-4EF3-AE21-445D8C8A7060}"/>
    <cellStyle name="Comma 2 14 2" xfId="2924" xr:uid="{D9D059E6-01C6-47C0-98D3-91F41F093602}"/>
    <cellStyle name="Comma 2 15" xfId="2925" xr:uid="{45EC85AE-BCBC-427D-9F24-77D0912FB41F}"/>
    <cellStyle name="Comma 2 15 2" xfId="2926" xr:uid="{8564AD17-8524-4713-A296-EC11AD8BA530}"/>
    <cellStyle name="Comma 2 16" xfId="2927" xr:uid="{95C4043A-2A1A-4361-9EC1-D30826A555B1}"/>
    <cellStyle name="Comma 2 16 2" xfId="2928" xr:uid="{84E7A345-62D1-48E2-AEFF-B41B4D9B7C3C}"/>
    <cellStyle name="Comma 2 17" xfId="2929" xr:uid="{85BD327F-E355-4F4E-A2F0-0CE2BB364A71}"/>
    <cellStyle name="Comma 2 17 2" xfId="2930" xr:uid="{F841C2BD-7DD4-4C9D-9E37-8CEF34CBEBF3}"/>
    <cellStyle name="Comma 2 18" xfId="2931" xr:uid="{42202758-B227-4E59-BFDD-9FD8A297896C}"/>
    <cellStyle name="Comma 2 19" xfId="2932" xr:uid="{EDE20E0B-AE1A-496F-A9B9-8ADD5F78BD37}"/>
    <cellStyle name="Comma 2 2" xfId="2933" xr:uid="{330CFE37-6CB6-4940-A126-7C254A882870}"/>
    <cellStyle name="Comma 2 2 10" xfId="2934" xr:uid="{A68CF34D-F058-4E5C-B92B-98CCB08DE8BE}"/>
    <cellStyle name="Comma 2 2 11" xfId="2935" xr:uid="{F7DFADAB-555E-480E-8562-623AC81E2BBB}"/>
    <cellStyle name="Comma 2 2 12" xfId="2936" xr:uid="{06D9C332-87EA-4225-AF5E-E1027ECF82E4}"/>
    <cellStyle name="Comma 2 2 13" xfId="2937" xr:uid="{F6767063-00DC-4F70-A6F2-42B3041AE3EE}"/>
    <cellStyle name="Comma 2 2 14" xfId="2938" xr:uid="{DF427B14-A550-4CAF-9EBA-4269DEDB62FA}"/>
    <cellStyle name="Comma 2 2 15" xfId="2939" xr:uid="{5935E420-B21A-44EB-8B57-EE16F694C760}"/>
    <cellStyle name="Comma 2 2 16" xfId="2940" xr:uid="{51732840-FEC6-4F49-9CB4-2F8349895C10}"/>
    <cellStyle name="Comma 2 2 17" xfId="2941" xr:uid="{FAABC676-6C63-47CF-8F82-6AEB8E0D20AF}"/>
    <cellStyle name="Comma 2 2 18" xfId="2942" xr:uid="{35615C08-C035-40A7-B81C-87CCB77A2B82}"/>
    <cellStyle name="Comma 2 2 19" xfId="2943" xr:uid="{5770267A-97EB-4E4A-AA41-31A6D30761CF}"/>
    <cellStyle name="Comma 2 2 2" xfId="2944" xr:uid="{6C1DDB5B-4E56-4975-9CD0-B1FBA1BE9C85}"/>
    <cellStyle name="Comma 2 2 2 10" xfId="2945" xr:uid="{5D5C4E93-A8B0-4A22-9110-B4E9CD206C54}"/>
    <cellStyle name="Comma 2 2 2 11" xfId="2946" xr:uid="{CC0B27BE-C487-4577-9ED1-A5C873FABA73}"/>
    <cellStyle name="Comma 2 2 2 12" xfId="2947" xr:uid="{13F93D5A-458D-4A12-AE46-6B9A4F735DA7}"/>
    <cellStyle name="Comma 2 2 2 13" xfId="2948" xr:uid="{F169D45C-62D1-4412-ACD1-EF84A39A9983}"/>
    <cellStyle name="Comma 2 2 2 14" xfId="2949" xr:uid="{1F290247-4F96-4CF1-B34C-09E5A48F80F7}"/>
    <cellStyle name="Comma 2 2 2 15" xfId="2950" xr:uid="{F91E173C-D964-406B-9846-9362ECA1D62F}"/>
    <cellStyle name="Comma 2 2 2 16" xfId="2951" xr:uid="{216FF4F4-BFD9-44B1-9C3E-85DD57BBE488}"/>
    <cellStyle name="Comma 2 2 2 17" xfId="2952" xr:uid="{E5932627-8ED0-4DF5-812C-4CB9C2F2B6E7}"/>
    <cellStyle name="Comma 2 2 2 18" xfId="2953" xr:uid="{22899EBF-1A79-4F72-91CC-F1B55FD62DAB}"/>
    <cellStyle name="Comma 2 2 2 19" xfId="2954" xr:uid="{21B663BA-B464-4BDF-8575-53245183BDCE}"/>
    <cellStyle name="Comma 2 2 2 2" xfId="2955" xr:uid="{92811826-3606-4D67-B759-5DE4A3D4C620}"/>
    <cellStyle name="Comma 2 2 2 2 10" xfId="2956" xr:uid="{67179182-FB48-4995-AAF9-AC39930032FB}"/>
    <cellStyle name="Comma 2 2 2 2 11" xfId="2957" xr:uid="{BA425FDD-98FC-40CA-93F0-A56D26EC56E6}"/>
    <cellStyle name="Comma 2 2 2 2 12" xfId="2958" xr:uid="{F355B631-CED4-4C98-9D37-146A2B0CFFA3}"/>
    <cellStyle name="Comma 2 2 2 2 13" xfId="2959" xr:uid="{A60BF722-60DE-4656-91EC-310ED033D5F0}"/>
    <cellStyle name="Comma 2 2 2 2 14" xfId="2960" xr:uid="{38B07410-4758-4BC1-8F3B-2FE84C50EFF7}"/>
    <cellStyle name="Comma 2 2 2 2 15" xfId="2961" xr:uid="{330DE512-E0F1-4233-AAED-9CFD65E8FA23}"/>
    <cellStyle name="Comma 2 2 2 2 16" xfId="2962" xr:uid="{4EEFE3F6-06B6-4FB5-846F-DC0F4B3C5B19}"/>
    <cellStyle name="Comma 2 2 2 2 17" xfId="2963" xr:uid="{5268752C-F9A6-4CF4-A842-A67E789B72F0}"/>
    <cellStyle name="Comma 2 2 2 2 18" xfId="2964" xr:uid="{14ED5699-2E4F-4669-95AB-0ED68A3D1332}"/>
    <cellStyle name="Comma 2 2 2 2 19" xfId="2965" xr:uid="{1265EA73-F947-4236-BB6A-FB45DE3DADB7}"/>
    <cellStyle name="Comma 2 2 2 2 2" xfId="2966" xr:uid="{8FCB6448-9155-44E9-BE5F-3D84B8A34C98}"/>
    <cellStyle name="Comma 2 2 2 2 2 2" xfId="2967" xr:uid="{D9784F83-C8F3-439D-B01A-2B93BDF552FE}"/>
    <cellStyle name="Comma 2 2 2 2 2 2 2" xfId="2968" xr:uid="{8C4BFA44-3988-4B71-B3C9-40C50048A766}"/>
    <cellStyle name="Comma 2 2 2 2 2 2 2 2" xfId="2969" xr:uid="{42A22DFD-7374-484E-BD31-EC5349886C7C}"/>
    <cellStyle name="Comma 2 2 2 2 2 3" xfId="2970" xr:uid="{5D64A7AE-6D99-49C8-9BC5-39DDC4E23641}"/>
    <cellStyle name="Comma 2 2 2 2 20" xfId="2971" xr:uid="{E667F222-1F0D-41CB-A662-D63832552265}"/>
    <cellStyle name="Comma 2 2 2 2 21" xfId="2972" xr:uid="{F05C4537-3B5C-411A-974A-BE24845827CD}"/>
    <cellStyle name="Comma 2 2 2 2 22" xfId="2973" xr:uid="{15254F00-ABE1-44BD-9FC4-4CB04C95EED4}"/>
    <cellStyle name="Comma 2 2 2 2 23" xfId="2974" xr:uid="{2422E683-353D-4038-8947-30300CDC2606}"/>
    <cellStyle name="Comma 2 2 2 2 24" xfId="2975" xr:uid="{2142DC81-72CC-4519-987A-A28C67D8E786}"/>
    <cellStyle name="Comma 2 2 2 2 25" xfId="2976" xr:uid="{4367561E-CD2C-467A-B365-3327324E6BF9}"/>
    <cellStyle name="Comma 2 2 2 2 26" xfId="2977" xr:uid="{C74C0B83-3415-470C-BF93-9BD9EF9011F4}"/>
    <cellStyle name="Comma 2 2 2 2 27" xfId="2978" xr:uid="{8882F7F1-5A34-465F-B3CE-E6E2062D9B84}"/>
    <cellStyle name="Comma 2 2 2 2 28" xfId="2979" xr:uid="{2621823B-C648-462E-87A6-76948F811561}"/>
    <cellStyle name="Comma 2 2 2 2 28 2" xfId="2980" xr:uid="{99241D8F-A85B-4D60-A563-44C843774566}"/>
    <cellStyle name="Comma 2 2 2 2 29" xfId="2981" xr:uid="{A635DD39-0196-48D0-B8FF-7CEBB65B80DB}"/>
    <cellStyle name="Comma 2 2 2 2 3" xfId="2982" xr:uid="{634D657F-6438-4419-90D3-81D020577AAF}"/>
    <cellStyle name="Comma 2 2 2 2 30" xfId="2983" xr:uid="{7F35D32C-D447-4441-BE9F-6F2A7BFC3518}"/>
    <cellStyle name="Comma 2 2 2 2 4" xfId="2984" xr:uid="{F99C859A-47B3-4638-A131-C80E2316D634}"/>
    <cellStyle name="Comma 2 2 2 2 5" xfId="2985" xr:uid="{EA413149-54BB-484A-BDA9-92BD8D063C9B}"/>
    <cellStyle name="Comma 2 2 2 2 6" xfId="2986" xr:uid="{F3016C3B-61E9-4BAE-8BC0-63C66C625396}"/>
    <cellStyle name="Comma 2 2 2 2 7" xfId="2987" xr:uid="{06E8B5DE-12C0-448C-B3CA-6070ACFD3795}"/>
    <cellStyle name="Comma 2 2 2 2 8" xfId="2988" xr:uid="{4B64FBFB-235D-40FA-B6E8-72EDE1BCAC66}"/>
    <cellStyle name="Comma 2 2 2 2 9" xfId="2989" xr:uid="{81301CA2-E8CA-40DA-B406-7ED4159228FA}"/>
    <cellStyle name="Comma 2 2 2 20" xfId="2990" xr:uid="{0368D5A4-670C-4A3A-8C6D-A41F29008DEC}"/>
    <cellStyle name="Comma 2 2 2 21" xfId="2991" xr:uid="{5050C56A-CB04-4912-B24C-307F0F63838A}"/>
    <cellStyle name="Comma 2 2 2 22" xfId="2992" xr:uid="{4ABC5DFA-ED3A-45CA-8E71-5B9F4C441F08}"/>
    <cellStyle name="Comma 2 2 2 23" xfId="2993" xr:uid="{15025A46-7D1C-4004-B894-3C292808EECE}"/>
    <cellStyle name="Comma 2 2 2 24" xfId="2994" xr:uid="{0043A6C4-9D21-41B7-97E4-C2EBC0DAB766}"/>
    <cellStyle name="Comma 2 2 2 25" xfId="2995" xr:uid="{D4BBAC95-45BC-4DEC-B547-033F6B1030EF}"/>
    <cellStyle name="Comma 2 2 2 26" xfId="2996" xr:uid="{A171C2DD-FC14-40B2-B4AF-838D0F01C782}"/>
    <cellStyle name="Comma 2 2 2 27" xfId="2997" xr:uid="{1C261E98-DA2C-4EEC-9AE0-A7A13C119F66}"/>
    <cellStyle name="Comma 2 2 2 28" xfId="2998" xr:uid="{3E77FEE1-C62A-4254-BF31-1F6E9F0ED4F6}"/>
    <cellStyle name="Comma 2 2 2 29" xfId="2999" xr:uid="{55DF2897-0AB6-4478-8C9E-1EDA5A17D1A8}"/>
    <cellStyle name="Comma 2 2 2 29 2" xfId="3000" xr:uid="{8F116EF7-7E1F-45B9-AB02-53B1EA7F1DF4}"/>
    <cellStyle name="Comma 2 2 2 3" xfId="3001" xr:uid="{3E7F44DD-5CE2-4D8D-ACF4-C56C8490FE38}"/>
    <cellStyle name="Comma 2 2 2 30" xfId="3002" xr:uid="{B16B14FD-CFE6-414A-B27F-1405B76CD9D9}"/>
    <cellStyle name="Comma 2 2 2 31" xfId="3003" xr:uid="{B735BF09-3B05-4DC5-AF90-DF8299BF233A}"/>
    <cellStyle name="Comma 2 2 2 32" xfId="3004" xr:uid="{F9A3A8B7-D9DA-4267-B414-E9953C7F7A87}"/>
    <cellStyle name="Comma 2 2 2 33" xfId="3005" xr:uid="{16463373-8DDB-4BF6-8743-F90FA73F3A7D}"/>
    <cellStyle name="Comma 2 2 2 34" xfId="3006" xr:uid="{BB96480D-30C6-4D69-8122-01C79A31ECCE}"/>
    <cellStyle name="Comma 2 2 2 35" xfId="3007" xr:uid="{FC9B9579-881C-4EFA-956E-9751256C5AE1}"/>
    <cellStyle name="Comma 2 2 2 4" xfId="3008" xr:uid="{CD630382-58DE-4F5B-BAC7-E9DCE8BB3792}"/>
    <cellStyle name="Comma 2 2 2 4 2" xfId="3009" xr:uid="{7A1784F2-9F28-48A4-AB66-B456F6ED7248}"/>
    <cellStyle name="Comma 2 2 2 4 2 2" xfId="3010" xr:uid="{C12A4EE9-2AE4-41C7-8715-6F52F5BA9C12}"/>
    <cellStyle name="Comma 2 2 2 4 2 2 2" xfId="3011" xr:uid="{FF9F6AAB-A804-4A9D-A379-DDC41F01484E}"/>
    <cellStyle name="Comma 2 2 2 4 3" xfId="3012" xr:uid="{7E59DC09-D9E2-42E1-B0B6-56A8BC172F62}"/>
    <cellStyle name="Comma 2 2 2 5" xfId="3013" xr:uid="{1DAD189E-EC07-40B6-80D0-3B13C827279A}"/>
    <cellStyle name="Comma 2 2 2 6" xfId="3014" xr:uid="{3814BAE0-0E99-4D1C-9CA2-61548FC48FA0}"/>
    <cellStyle name="Comma 2 2 2 7" xfId="3015" xr:uid="{21839158-2365-48DE-8FB0-D381DCF56040}"/>
    <cellStyle name="Comma 2 2 2 8" xfId="3016" xr:uid="{C2E5CD55-0E5C-48D3-8C01-4593B74A6266}"/>
    <cellStyle name="Comma 2 2 2 9" xfId="3017" xr:uid="{0FDB103A-CB69-4FF5-BFCD-4F47B725C0BA}"/>
    <cellStyle name="Comma 2 2 20" xfId="3018" xr:uid="{524D3BDB-D929-44EB-8C40-7A6202856853}"/>
    <cellStyle name="Comma 2 2 21" xfId="3019" xr:uid="{7B0795D2-1C1A-4A6E-8339-38B48EAF07F7}"/>
    <cellStyle name="Comma 2 2 22" xfId="3020" xr:uid="{3BF1D7B4-C765-4867-B1ED-439D68C779C7}"/>
    <cellStyle name="Comma 2 2 23" xfId="3021" xr:uid="{F335F9E8-1E94-4D3F-8761-2F0B4A753EF9}"/>
    <cellStyle name="Comma 2 2 24" xfId="3022" xr:uid="{1E40A154-8F41-4BFA-9239-9AEEF6F97DA5}"/>
    <cellStyle name="Comma 2 2 25" xfId="3023" xr:uid="{BACDE926-271B-4A04-BE4B-4E776032525E}"/>
    <cellStyle name="Comma 2 2 26" xfId="3024" xr:uid="{626AB027-B762-4116-B02F-47181E19A73A}"/>
    <cellStyle name="Comma 2 2 27" xfId="3025" xr:uid="{4E0B82A6-03E2-4844-9D5E-102702FF799B}"/>
    <cellStyle name="Comma 2 2 28" xfId="3026" xr:uid="{E7388480-F900-4F8E-A1DA-12825674418F}"/>
    <cellStyle name="Comma 2 2 29" xfId="3027" xr:uid="{55A5EE36-7BA1-4BC3-9D47-A63D8BF9E183}"/>
    <cellStyle name="Comma 2 2 3" xfId="3028" xr:uid="{9EF97966-434D-4176-9C3C-FB3DE98370DD}"/>
    <cellStyle name="Comma 2 2 30" xfId="3029" xr:uid="{1F8EBEF8-3CF8-42C9-9C55-22B5F8215243}"/>
    <cellStyle name="Comma 2 2 31" xfId="3030" xr:uid="{EE139C90-CE2F-4473-8A79-0002225DE386}"/>
    <cellStyle name="Comma 2 2 32" xfId="3031" xr:uid="{FBC76225-A14E-4E47-9DCB-3646A8D50605}"/>
    <cellStyle name="Comma 2 2 33" xfId="3032" xr:uid="{938FCF09-BBE3-4433-8BC4-653C88E6D746}"/>
    <cellStyle name="Comma 2 2 34" xfId="3033" xr:uid="{69E786EC-A4DB-4005-B0B5-8F1068CEBC23}"/>
    <cellStyle name="Comma 2 2 35" xfId="3034" xr:uid="{A3D35F55-94EF-4E81-B669-C9130C13EAB8}"/>
    <cellStyle name="Comma 2 2 36" xfId="3035" xr:uid="{64F2EC29-545C-4448-AB82-6831327E17BA}"/>
    <cellStyle name="Comma 2 2 37" xfId="3036" xr:uid="{3EB9ECFC-EAE6-4FE1-8E4B-D05D1525E5D8}"/>
    <cellStyle name="Comma 2 2 37 2" xfId="3037" xr:uid="{420D1A66-4283-41D9-9D56-F1BEACE1A1CA}"/>
    <cellStyle name="Comma 2 2 37 2 2" xfId="3038" xr:uid="{CFCE855E-4FAC-44F0-B88F-3E40FFF90424}"/>
    <cellStyle name="Comma 2 2 37 2 2 2" xfId="3039" xr:uid="{C7E06910-4B69-48E5-B97D-D95150B8F767}"/>
    <cellStyle name="Comma 2 2 37 3" xfId="3040" xr:uid="{483B247D-FBE2-460D-BF08-2B02A8DF8DF9}"/>
    <cellStyle name="Comma 2 2 38" xfId="3041" xr:uid="{EC028337-4CC4-49B5-95E4-8EED9E156EB9}"/>
    <cellStyle name="Comma 2 2 39" xfId="3042" xr:uid="{BB62F6A2-5918-4991-8079-6539BC52C646}"/>
    <cellStyle name="Comma 2 2 4" xfId="3043" xr:uid="{4F51D469-6D6D-406A-B805-1890972FC376}"/>
    <cellStyle name="Comma 2 2 40" xfId="3044" xr:uid="{684B27CB-B06F-481B-8D2F-16A102636A3F}"/>
    <cellStyle name="Comma 2 2 41" xfId="3045" xr:uid="{91C4E285-FE15-4F35-982B-C4D083930650}"/>
    <cellStyle name="Comma 2 2 42" xfId="3046" xr:uid="{33BCC515-A33D-4696-B8EA-3269AF2E8579}"/>
    <cellStyle name="Comma 2 2 43" xfId="3047" xr:uid="{788B1F30-3E25-4D01-8425-AB49B06497F5}"/>
    <cellStyle name="Comma 2 2 44" xfId="3048" xr:uid="{3470B078-C671-48D4-9439-64BE55C0648E}"/>
    <cellStyle name="Comma 2 2 45" xfId="3049" xr:uid="{1D076499-A07A-415A-A634-9718E34F3916}"/>
    <cellStyle name="Comma 2 2 46" xfId="3050" xr:uid="{DF0CA5E2-BBF9-4027-BB9F-BE1299B63792}"/>
    <cellStyle name="Comma 2 2 47" xfId="3051" xr:uid="{0C293F9A-EAEE-4FB2-BB72-568A5D10E881}"/>
    <cellStyle name="Comma 2 2 48" xfId="3052" xr:uid="{0D58D87D-E033-4873-96B4-036403E6CCA4}"/>
    <cellStyle name="Comma 2 2 49" xfId="3053" xr:uid="{C1D1C621-DC4E-4E27-8FB1-8945461BBE14}"/>
    <cellStyle name="Comma 2 2 5" xfId="3054" xr:uid="{286E9D00-77F9-47AD-8D95-1B98D80DB1A6}"/>
    <cellStyle name="Comma 2 2 50" xfId="3055" xr:uid="{82CBEC77-E368-4D98-BB37-1010DD83403C}"/>
    <cellStyle name="Comma 2 2 51" xfId="3056" xr:uid="{7214C56E-31E5-41D9-A676-B9863699C89B}"/>
    <cellStyle name="Comma 2 2 52" xfId="3057" xr:uid="{9578B6EA-E591-453F-AEFF-4631B7C92A3B}"/>
    <cellStyle name="Comma 2 2 53" xfId="3058" xr:uid="{E21DBC47-D637-4085-B4A2-34568D9BF8AC}"/>
    <cellStyle name="Comma 2 2 54" xfId="3059" xr:uid="{250DB7AA-C705-4B98-8DBB-505B36E28175}"/>
    <cellStyle name="Comma 2 2 55" xfId="3060" xr:uid="{1F8A42E4-DABE-4736-93BE-319294487421}"/>
    <cellStyle name="Comma 2 2 56" xfId="3061" xr:uid="{0E094E55-75D9-40B6-84C6-DA7D8A274217}"/>
    <cellStyle name="Comma 2 2 57" xfId="3062" xr:uid="{E9C438F4-32E2-4AE3-8698-AB0BA6623039}"/>
    <cellStyle name="Comma 2 2 58" xfId="3063" xr:uid="{2B10EA25-2E62-46B2-AE0C-9AC2261738A6}"/>
    <cellStyle name="Comma 2 2 59" xfId="3064" xr:uid="{D768982D-0362-413F-8481-8050D93249EF}"/>
    <cellStyle name="Comma 2 2 6" xfId="3065" xr:uid="{3BB4E2C6-A2E3-4312-B543-342E8AD29CFE}"/>
    <cellStyle name="Comma 2 2 60" xfId="3066" xr:uid="{3CA41D4A-E2F5-4651-A554-6E4E589E24C9}"/>
    <cellStyle name="Comma 2 2 61" xfId="3067" xr:uid="{C732DA49-EA38-4C89-AB14-453BF8125FA3}"/>
    <cellStyle name="Comma 2 2 62" xfId="3068" xr:uid="{0B02AA94-94D7-475A-B355-0D7838B47B51}"/>
    <cellStyle name="Comma 2 2 62 2" xfId="3069" xr:uid="{1C40A16E-042C-49CE-B922-6E9D60E55109}"/>
    <cellStyle name="Comma 2 2 63" xfId="3070" xr:uid="{166C2568-C02D-4DF9-8162-DEDDC495A388}"/>
    <cellStyle name="Comma 2 2 64" xfId="3071" xr:uid="{E646E9C7-0A23-48A5-8B87-318AB408448C}"/>
    <cellStyle name="Comma 2 2 65" xfId="3072" xr:uid="{8A090278-6AE0-45D2-89F9-0A16FC06CF1F}"/>
    <cellStyle name="Comma 2 2 66" xfId="3073" xr:uid="{C2F1E9F1-CB88-4A11-B91E-5CB031CA8B76}"/>
    <cellStyle name="Comma 2 2 7" xfId="3074" xr:uid="{EAAB6440-F597-4072-9247-D0DE6A6F339F}"/>
    <cellStyle name="Comma 2 2 8" xfId="3075" xr:uid="{73B01B5F-9841-439E-A890-36486851CC8A}"/>
    <cellStyle name="Comma 2 2 9" xfId="3076" xr:uid="{23B5730F-2DFC-496C-9191-4F0135FDB1CC}"/>
    <cellStyle name="Comma 2 20" xfId="3077" xr:uid="{CA02E4FD-2199-442D-A593-8BE80A7D33A8}"/>
    <cellStyle name="Comma 2 21" xfId="3078" xr:uid="{618F31C2-DF87-4812-82AA-0285623B9DE0}"/>
    <cellStyle name="Comma 2 22" xfId="3079" xr:uid="{7D9BB1B2-23E4-46B5-96AA-5321DB4DE6F3}"/>
    <cellStyle name="Comma 2 23" xfId="3080" xr:uid="{BD7468F6-D271-4A46-9784-E01CFEFF75EC}"/>
    <cellStyle name="Comma 2 24" xfId="3081" xr:uid="{5002ED4E-CC97-41EF-B9A4-134BECF0F5A0}"/>
    <cellStyle name="Comma 2 25" xfId="3082" xr:uid="{56FD4927-18E0-4C86-A311-F96ACA0EA24B}"/>
    <cellStyle name="Comma 2 26" xfId="3083" xr:uid="{31E493F2-6E1B-4B86-8ED5-764405171C68}"/>
    <cellStyle name="Comma 2 27" xfId="3084" xr:uid="{B282C832-52DB-4308-938E-CDD9A2AEC83B}"/>
    <cellStyle name="Comma 2 28" xfId="3085" xr:uid="{C58D0018-3A25-4F99-A4C8-710C2F7C2FF3}"/>
    <cellStyle name="Comma 2 29" xfId="3086" xr:uid="{4F6F5474-4D40-45A8-827D-7F11B5C8D2AE}"/>
    <cellStyle name="Comma 2 3" xfId="3087" xr:uid="{1824E4F1-B487-41E4-B045-9F35B49AA158}"/>
    <cellStyle name="Comma 2 3 10" xfId="3088" xr:uid="{CFB2CEB2-C050-44D2-B9FE-1A1BC6B2D9BE}"/>
    <cellStyle name="Comma 2 3 11" xfId="3089" xr:uid="{2F3CC656-3143-4968-AE95-5E7A372A5756}"/>
    <cellStyle name="Comma 2 3 12" xfId="3090" xr:uid="{147D6FA0-9EA8-444C-8953-94D63DB479EC}"/>
    <cellStyle name="Comma 2 3 2" xfId="3091" xr:uid="{518E6DF8-9314-4FF5-B384-C6C03D6EB8BF}"/>
    <cellStyle name="Comma 2 3 2 2" xfId="3092" xr:uid="{F263A238-CA3F-4A25-89D6-3A4A2BC0746A}"/>
    <cellStyle name="Comma 2 3 3" xfId="3093" xr:uid="{0B0A373C-FCB2-4166-8CCB-62A2271531CA}"/>
    <cellStyle name="Comma 2 3 3 2" xfId="3094" xr:uid="{6D377CCC-9F0F-4BD1-812E-EA66F2AF1E49}"/>
    <cellStyle name="Comma 2 3 4" xfId="3095" xr:uid="{02D237BB-9A66-420D-AD34-FC194B65CC6B}"/>
    <cellStyle name="Comma 2 3 4 2" xfId="3096" xr:uid="{778539FA-9BA1-4208-8035-E72D53634ABF}"/>
    <cellStyle name="Comma 2 3 5" xfId="3097" xr:uid="{ADB4317A-2FDD-4B00-A785-5333046E3480}"/>
    <cellStyle name="Comma 2 3 5 2" xfId="3098" xr:uid="{91B48547-927C-4ED8-A55E-E3409AADF59A}"/>
    <cellStyle name="Comma 2 3 6" xfId="3099" xr:uid="{CC8670B3-2E15-4A48-95B7-B68CFF18C7BE}"/>
    <cellStyle name="Comma 2 3 6 2" xfId="3100" xr:uid="{3B5272D6-620A-4385-8235-CF57588BA38C}"/>
    <cellStyle name="Comma 2 3 7" xfId="3101" xr:uid="{577F452E-F1B9-4195-B85C-804193208194}"/>
    <cellStyle name="Comma 2 3 7 2" xfId="3102" xr:uid="{85C07DAD-A53D-429E-863F-9DC79A6FB77D}"/>
    <cellStyle name="Comma 2 3 8" xfId="3103" xr:uid="{B55CDBF3-6DA7-4E04-9753-22B9F08CB4AE}"/>
    <cellStyle name="Comma 2 3 8 2" xfId="3104" xr:uid="{5BB37B19-EF0E-4C79-9811-355D266279F1}"/>
    <cellStyle name="Comma 2 3 9" xfId="3105" xr:uid="{05AD2DB1-BC88-4386-BE6C-B9F009FD8D42}"/>
    <cellStyle name="Comma 2 3 9 2" xfId="3106" xr:uid="{3AE20EA0-D441-40FE-80FA-7DFB0F83C45B}"/>
    <cellStyle name="Comma 2 3 9 3" xfId="3107" xr:uid="{1DD268DD-6C2B-4E11-9072-950EFE7C56FE}"/>
    <cellStyle name="Comma 2 30" xfId="3108" xr:uid="{9A52ABE9-AA90-4113-8E56-67C301BF3886}"/>
    <cellStyle name="Comma 2 31" xfId="3109" xr:uid="{F54D02C0-F6EB-4DA6-AABE-2CA3D4881760}"/>
    <cellStyle name="Comma 2 32" xfId="3110" xr:uid="{907019C0-567F-4113-A488-9B5AE4821739}"/>
    <cellStyle name="Comma 2 33" xfId="3111" xr:uid="{56223C92-018D-46FA-A846-CAB9A7FA503E}"/>
    <cellStyle name="Comma 2 34" xfId="3112" xr:uid="{3D0D1429-EC7D-4DBB-94B2-4C06E84CBAB2}"/>
    <cellStyle name="Comma 2 35" xfId="3113" xr:uid="{206572CD-0FBC-4A64-83D5-30524DEC3A5F}"/>
    <cellStyle name="Comma 2 36" xfId="3114" xr:uid="{70BE83E3-0AB3-436A-9E1B-9A62DD6005A9}"/>
    <cellStyle name="Comma 2 37" xfId="3115" xr:uid="{132E0B48-B6CC-41BC-859E-E6D0EFAA6445}"/>
    <cellStyle name="Comma 2 38" xfId="3116" xr:uid="{4D47D785-A181-4A47-ABED-A3973E318370}"/>
    <cellStyle name="Comma 2 39" xfId="3117" xr:uid="{560DF2C7-E1DA-43B2-8710-5BEFBB148101}"/>
    <cellStyle name="Comma 2 4" xfId="3118" xr:uid="{6AE5DE93-F6D9-4D5C-B5D3-3D98B5A5002D}"/>
    <cellStyle name="Comma 2 4 2" xfId="3119" xr:uid="{98683A5E-CC10-462E-8E9F-94B47702BD6A}"/>
    <cellStyle name="Comma 2 4 3" xfId="3120" xr:uid="{E3582118-C9FC-434C-BE92-3E01D2D24536}"/>
    <cellStyle name="Comma 2 4 4" xfId="3121" xr:uid="{002FE0FC-669F-4B73-976E-707364B82097}"/>
    <cellStyle name="Comma 2 40" xfId="3122" xr:uid="{D841C9DE-A591-4DC6-98B1-3BFFC4C64C23}"/>
    <cellStyle name="Comma 2 41" xfId="3123" xr:uid="{756AC786-8368-4FE3-BF8E-1B3222638FB3}"/>
    <cellStyle name="Comma 2 42" xfId="3124" xr:uid="{EE280890-7B91-4D90-927A-868CBBAE48B6}"/>
    <cellStyle name="Comma 2 43" xfId="3125" xr:uid="{E82D5652-0861-4C84-84F9-01F5DD45E658}"/>
    <cellStyle name="Comma 2 44" xfId="3126" xr:uid="{1A24CC41-06D4-4114-A5CD-7DC5F14A2BE2}"/>
    <cellStyle name="Comma 2 45" xfId="3127" xr:uid="{F09E006F-8BCE-4F5C-AA7C-D252C59A639A}"/>
    <cellStyle name="Comma 2 46" xfId="3128" xr:uid="{F49BDDD1-3C6B-46A2-83D7-C76A35FCA49B}"/>
    <cellStyle name="Comma 2 47" xfId="3129" xr:uid="{F8B8480E-CF53-4747-93FB-3ED2489CEB7D}"/>
    <cellStyle name="Comma 2 48" xfId="3130" xr:uid="{06AB2F90-A787-4654-B18A-AF6AD41DB81D}"/>
    <cellStyle name="Comma 2 49" xfId="3131" xr:uid="{C0FBADBF-1ED0-4E74-BBDC-D89C843EFBBB}"/>
    <cellStyle name="Comma 2 5" xfId="3132" xr:uid="{E89ECB13-A752-43BB-8197-8D56B5FEE6A6}"/>
    <cellStyle name="Comma 2 5 2" xfId="3133" xr:uid="{4D4A0C09-E3C0-438F-A177-281B446F440E}"/>
    <cellStyle name="Comma 2 50" xfId="3134" xr:uid="{895EBA2D-FB11-4719-A426-9DB5BC81DAD7}"/>
    <cellStyle name="Comma 2 51" xfId="3135" xr:uid="{B8D56BF2-6DA7-4E4B-A054-F35C25EEDDB9}"/>
    <cellStyle name="Comma 2 52" xfId="3136" xr:uid="{3A27A0FC-75EF-40F9-B55E-C10F7E5C732B}"/>
    <cellStyle name="Comma 2 53" xfId="3137" xr:uid="{BF914F07-009A-4E75-9FD0-1F0B74541CD2}"/>
    <cellStyle name="Comma 2 54" xfId="3138" xr:uid="{E6D4BF76-AFDD-4264-A7D0-17A8CE9A5F40}"/>
    <cellStyle name="Comma 2 55" xfId="3139" xr:uid="{26233EFE-0FAB-4399-A31A-26F15455AB72}"/>
    <cellStyle name="Comma 2 56" xfId="3140" xr:uid="{E76EDC61-CACC-4009-B68E-4D6165FBF27C}"/>
    <cellStyle name="Comma 2 57" xfId="3141" xr:uid="{F3261264-EE56-49B1-A47F-AE024365F416}"/>
    <cellStyle name="Comma 2 58" xfId="3142" xr:uid="{381D9D2C-FD7B-42F3-92EE-7DEAA38DBEF9}"/>
    <cellStyle name="Comma 2 59" xfId="3143" xr:uid="{0C7DF647-521F-4E7C-9BB8-7DECAC3327BC}"/>
    <cellStyle name="Comma 2 6" xfId="3144" xr:uid="{6932A887-43F4-46E4-A102-90C5F43B4FB2}"/>
    <cellStyle name="Comma 2 6 2" xfId="3145" xr:uid="{ACA5A8DF-E912-4C35-9E99-5E4A681223E7}"/>
    <cellStyle name="Comma 2 60" xfId="3146" xr:uid="{12C3FDF6-A592-4296-8EEA-CE09CAC6670E}"/>
    <cellStyle name="Comma 2 61" xfId="3147" xr:uid="{B6E3A5A6-7C69-4C0A-8B0E-397F108257D3}"/>
    <cellStyle name="Comma 2 62" xfId="3148" xr:uid="{5210E469-34BD-4914-9E64-32563528B410}"/>
    <cellStyle name="Comma 2 63" xfId="3149" xr:uid="{3F45A9DA-F05D-420D-A99C-A0F7B3EEE214}"/>
    <cellStyle name="Comma 2 64" xfId="3150" xr:uid="{0540811D-FFD0-4373-8E4F-A291A40CCE94}"/>
    <cellStyle name="Comma 2 65" xfId="3151" xr:uid="{E7B6E284-10A4-4AC7-83EA-421FDB57B5F3}"/>
    <cellStyle name="Comma 2 66" xfId="3152" xr:uid="{73C9FB3D-DDC4-4667-AF95-60A6393DAEE0}"/>
    <cellStyle name="Comma 2 66 2" xfId="3153" xr:uid="{E750555D-E468-4E89-947F-82FF56916FF7}"/>
    <cellStyle name="Comma 2 66 2 2" xfId="3154" xr:uid="{A08B6F17-7CBE-4126-A74D-A554BB0ABBA0}"/>
    <cellStyle name="Comma 2 66 3" xfId="3155" xr:uid="{59EB5C96-180B-4837-9374-8C5074C884EA}"/>
    <cellStyle name="Comma 2 66 4" xfId="3156" xr:uid="{03C75D63-0A22-4A0E-A9A9-AFA6ABD3A339}"/>
    <cellStyle name="Comma 2 67" xfId="3157" xr:uid="{EC516B8A-18BB-4376-9B76-0286BCD0743F}"/>
    <cellStyle name="Comma 2 68" xfId="3158" xr:uid="{24BE0251-0286-4B21-894E-F0ABE1409422}"/>
    <cellStyle name="Comma 2 69" xfId="37861" xr:uid="{DCF0CA3F-62D1-4B6D-9D88-B16551F75737}"/>
    <cellStyle name="Comma 2 7" xfId="3159" xr:uid="{C654F95E-91C8-4B37-8E2E-24B649498DD4}"/>
    <cellStyle name="Comma 2 7 2" xfId="3160" xr:uid="{003B876B-F1CF-48CA-8C72-6AB9167DE2E8}"/>
    <cellStyle name="Comma 2 8" xfId="3161" xr:uid="{C454934B-2B6A-463F-B93E-91E8F7A2CBE0}"/>
    <cellStyle name="Comma 2 8 2" xfId="3162" xr:uid="{A0C76F8A-D910-4BAA-B580-DFA77CE43594}"/>
    <cellStyle name="Comma 2 9" xfId="3163" xr:uid="{E5C4B45C-72D7-4174-B438-06868C2E97D2}"/>
    <cellStyle name="Comma 2 9 2" xfId="3164" xr:uid="{A5C4C9C2-774B-40F3-BD46-5A3D68427983}"/>
    <cellStyle name="Comma 2*" xfId="3165" xr:uid="{37AB50A3-2A65-4709-A435-C3ED36CDCF94}"/>
    <cellStyle name="Comma 2__MasterJRComps" xfId="3166" xr:uid="{5D684B59-91F8-45D3-9108-8AC62E888FD1}"/>
    <cellStyle name="Comma 20" xfId="3167" xr:uid="{54FB0C03-1763-45AD-ACA4-8CFF15BBA7A9}"/>
    <cellStyle name="Comma 21" xfId="3168" xr:uid="{37027215-8F0E-45F4-9E73-6376E97410A4}"/>
    <cellStyle name="Comma 22" xfId="3169" xr:uid="{3CA96281-C5B0-4F2A-BBA4-36DA5A5042E7}"/>
    <cellStyle name="Comma 23" xfId="3170" xr:uid="{D774A727-3639-41C6-BEB2-3DE547E2616C}"/>
    <cellStyle name="Comma 24" xfId="3171" xr:uid="{0F964CF4-A5D1-43EB-BCAB-87EA6C2109D0}"/>
    <cellStyle name="Comma 25" xfId="3172" xr:uid="{2B5D016A-178E-4EB6-A842-2592715447A2}"/>
    <cellStyle name="Comma 26" xfId="3173" xr:uid="{829228CE-1618-4893-988F-2901A550F21E}"/>
    <cellStyle name="Comma 27" xfId="3174" xr:uid="{2DADE9A2-24F5-4642-9846-20D2B51E035B}"/>
    <cellStyle name="Comma 28" xfId="37860" xr:uid="{5EC9ACAA-F465-403B-8F8B-C67746EAB75A}"/>
    <cellStyle name="Comma 29" xfId="37865" xr:uid="{DCF30DA6-2D08-4F00-B342-4189BEDA3CF7}"/>
    <cellStyle name="Comma 3" xfId="3175" xr:uid="{D43F3E52-3A82-42E0-8AF5-27FEAA1A90F5}"/>
    <cellStyle name="Comma 3 10" xfId="3176" xr:uid="{8872A0E2-1843-4339-8924-3D8A6448D334}"/>
    <cellStyle name="Comma 3 11" xfId="3177" xr:uid="{6E756F02-A804-45EE-ADE1-EAF51E54670A}"/>
    <cellStyle name="Comma 3 12" xfId="3178" xr:uid="{84A81037-939F-4B2C-B0AF-B2E43155FAEF}"/>
    <cellStyle name="Comma 3 13" xfId="3179" xr:uid="{D219BA7A-49BA-4F14-B42D-DFB7F8A8DF49}"/>
    <cellStyle name="Comma 3 14" xfId="3180" xr:uid="{22F9FB97-5831-4451-A214-AB7446DD5B6A}"/>
    <cellStyle name="Comma 3 2" xfId="3181" xr:uid="{4283A65A-99C8-4259-835C-0BDB55F35E72}"/>
    <cellStyle name="Comma 3 2 2" xfId="3182" xr:uid="{9B031652-02B3-442B-9609-7B21738AC089}"/>
    <cellStyle name="Comma 3 2 3" xfId="3183" xr:uid="{1A20C110-44D6-4593-9581-F2C99A51BA7F}"/>
    <cellStyle name="Comma 3 2 4" xfId="3184" xr:uid="{3C465E3E-B1C1-4DBD-A3EF-C9BAE298B56D}"/>
    <cellStyle name="Comma 3 3" xfId="3185" xr:uid="{A8F31524-8209-4A3F-9818-12379912F466}"/>
    <cellStyle name="Comma 3 3 2" xfId="3186" xr:uid="{1DD4311E-9C2A-4AB2-BDF1-56C2A74BEA95}"/>
    <cellStyle name="Comma 3 3 3" xfId="3187" xr:uid="{9E66E927-A6EF-4359-A03B-AF0E8144C86F}"/>
    <cellStyle name="Comma 3 4" xfId="3188" xr:uid="{A7B3BDB1-0AFA-462B-9482-0343270C7E9E}"/>
    <cellStyle name="Comma 3 4 2" xfId="3189" xr:uid="{062A986C-69D6-4148-88CC-FBED79A24931}"/>
    <cellStyle name="Comma 3 5" xfId="3190" xr:uid="{DFA32694-D468-4CB3-9741-B08B5D2E9A2D}"/>
    <cellStyle name="Comma 3 5 2" xfId="3191" xr:uid="{BFBFC2A3-96E5-452D-9B57-E8784C060A17}"/>
    <cellStyle name="Comma 3 6" xfId="3192" xr:uid="{3C60C4A5-23B6-4657-B4FB-77287D85C6ED}"/>
    <cellStyle name="Comma 3 6 2" xfId="3193" xr:uid="{AB88626C-3C31-4B0B-8136-507999F08A35}"/>
    <cellStyle name="Comma 3 7" xfId="3194" xr:uid="{2FEE1059-283B-48BB-ABF1-99C6243B3B2A}"/>
    <cellStyle name="Comma 3 7 2" xfId="3195" xr:uid="{23D59494-2CED-47A4-9D88-CBC45F508880}"/>
    <cellStyle name="Comma 3 8" xfId="3196" xr:uid="{4ADA1773-3814-4B5A-8CD3-6C35A6342A99}"/>
    <cellStyle name="Comma 3 8 2" xfId="3197" xr:uid="{CB217560-9542-4A29-A4F0-D271E97DA1DC}"/>
    <cellStyle name="Comma 3 9" xfId="3198" xr:uid="{E92794B9-B0A9-4049-846B-652D41FF3A49}"/>
    <cellStyle name="Comma 3 9 2" xfId="3199" xr:uid="{49527674-5A3F-4AC3-A478-C3317DA398CB}"/>
    <cellStyle name="Comma 3 9 3" xfId="3200" xr:uid="{66A9A100-B434-498A-8944-3BDD7252C9C6}"/>
    <cellStyle name="Comma 3*" xfId="3201" xr:uid="{868816EA-2311-427C-8AF8-F662659ED999}"/>
    <cellStyle name="Comma 3_Ch4 v2" xfId="3202" xr:uid="{4339C2CA-0F5B-430A-82E0-95AF67B04A94}"/>
    <cellStyle name="Comma 30" xfId="37866" xr:uid="{B41EC54B-1B06-4C96-B39E-B15CD8D31A92}"/>
    <cellStyle name="Comma 31" xfId="37868" xr:uid="{7B4F6467-AAC7-4E8A-A646-1A6CDC705E0E}"/>
    <cellStyle name="Comma 32" xfId="37870" xr:uid="{9026EB99-EED6-470C-916E-0419BC404A07}"/>
    <cellStyle name="Comma 33" xfId="37872" xr:uid="{1E987D25-AC38-47A2-A833-C1F6B9D9DED9}"/>
    <cellStyle name="Comma 34" xfId="37874" xr:uid="{71631E3B-E455-4385-9283-A72F2D01B181}"/>
    <cellStyle name="Comma 35" xfId="37876" xr:uid="{5C571022-6FDA-436F-AF98-4B84FB339832}"/>
    <cellStyle name="Comma 36" xfId="37878" xr:uid="{3F477B28-CDEC-49F5-B253-22FC1B7BB23A}"/>
    <cellStyle name="Comma 37" xfId="37880" xr:uid="{FF9078D5-33CE-4298-830B-848BA66CFB86}"/>
    <cellStyle name="Comma 38" xfId="37882" xr:uid="{4B265874-E965-4798-AE32-6712D7F1AA77}"/>
    <cellStyle name="Comma 39" xfId="37884" xr:uid="{19B9D1BE-3486-498D-A3C8-DC07CF2F0BE3}"/>
    <cellStyle name="Comma 4" xfId="3203" xr:uid="{30C6229C-78B8-41BA-94F6-9ECFC5772FC8}"/>
    <cellStyle name="Comma 4 2" xfId="3204" xr:uid="{307179BC-4840-480B-B9AC-E5107ECDD8C4}"/>
    <cellStyle name="Comma 4 3" xfId="3205" xr:uid="{43080B79-A5ED-4108-A0B3-DA51449286B3}"/>
    <cellStyle name="Comma 4 3 2" xfId="3206" xr:uid="{FC3E540F-BCE4-4A5D-B9C6-84FD8C2A35AF}"/>
    <cellStyle name="Comma 40" xfId="37886" xr:uid="{8CA7DBD5-AF26-4D6A-8C7D-C64E8964F154}"/>
    <cellStyle name="Comma 41" xfId="37888" xr:uid="{8EB213AD-8063-4026-A2EB-2DFA25137129}"/>
    <cellStyle name="Comma 42" xfId="37890" xr:uid="{A814DC1D-5F72-40A4-805D-45768ACC9EC9}"/>
    <cellStyle name="Comma 43" xfId="37892" xr:uid="{71A52EDA-3DE0-4750-AE4D-FD7C68F9CD48}"/>
    <cellStyle name="Comma 44" xfId="37894" xr:uid="{011A075F-B201-4559-BF65-2416DEB7DAE2}"/>
    <cellStyle name="Comma 45" xfId="37896" xr:uid="{ED44B42E-B2E7-423C-8DE9-5021FB16F2A8}"/>
    <cellStyle name="Comma 46" xfId="37898" xr:uid="{69F386B6-73FF-4D1D-B189-58746BF34681}"/>
    <cellStyle name="Comma 47" xfId="37900" xr:uid="{D4B99DCB-43DC-464F-8122-A09A889CF966}"/>
    <cellStyle name="Comma 48" xfId="37902" xr:uid="{87860152-F0D0-4FEF-BB31-933761FA1368}"/>
    <cellStyle name="Comma 49" xfId="37904" xr:uid="{63044DED-6F61-459F-91AE-77ACDFB16855}"/>
    <cellStyle name="Comma 5" xfId="3207" xr:uid="{8D65B3F9-7627-444D-89E4-07D6ADF2EE00}"/>
    <cellStyle name="Comma 5 2" xfId="3208" xr:uid="{76EC1CE4-7F89-461D-B327-54F320EA134B}"/>
    <cellStyle name="Comma 5 3" xfId="3209" xr:uid="{BBF0DA0D-56A4-40B3-B573-81BEEEC329EC}"/>
    <cellStyle name="Comma 5 4" xfId="3210" xr:uid="{7F78408E-6602-4F0A-9059-FBFDE9AB65F2}"/>
    <cellStyle name="Comma 50" xfId="37906" xr:uid="{C0058149-BDE0-4C8C-9AC0-9FFC9F136D61}"/>
    <cellStyle name="Comma 51" xfId="37908" xr:uid="{FAC28D64-47E8-460D-B1F0-EC0AFD54A3A5}"/>
    <cellStyle name="Comma 52" xfId="37910" xr:uid="{863D840C-6C85-4974-A7B8-9FC2ACBFBAEE}"/>
    <cellStyle name="Comma 53" xfId="37912" xr:uid="{FD9B321E-E06F-4E65-9D68-A6D5FEF3FAFA}"/>
    <cellStyle name="Comma 54" xfId="37914" xr:uid="{F296222E-0978-470F-A36E-47458C9B73A6}"/>
    <cellStyle name="Comma 6" xfId="3211" xr:uid="{E3C06B07-1CEB-47C6-A160-09B5EFE939B4}"/>
    <cellStyle name="Comma 6 2" xfId="3212" xr:uid="{D8B2525D-41B0-4DC4-A59B-4176CF106EFF}"/>
    <cellStyle name="Comma 6 3" xfId="3213" xr:uid="{B073F84B-B352-4A87-9501-944FB265CE2A}"/>
    <cellStyle name="Comma 6 4" xfId="3214" xr:uid="{D6B2F9AC-F91A-4A15-94CE-FFF174EA8CE8}"/>
    <cellStyle name="Comma 6 5" xfId="3215" xr:uid="{BD52E86A-D12E-43F9-B07A-02D7F6E14480}"/>
    <cellStyle name="Comma 6 6" xfId="3216" xr:uid="{C10C77E5-491C-43CE-BB93-61231429FBB0}"/>
    <cellStyle name="Comma 7" xfId="3217" xr:uid="{204F5E0F-8E16-4FDD-82AB-0BB8D2BD2636}"/>
    <cellStyle name="Comma 7 2" xfId="3218" xr:uid="{E1C03E07-E772-4731-BA28-E1B94C1C5FDE}"/>
    <cellStyle name="Comma 7 2 2" xfId="3219" xr:uid="{32D60E09-E8D8-4AB8-9E18-BC6A6B49F14A}"/>
    <cellStyle name="Comma 7 3" xfId="3220" xr:uid="{9B71E7AA-8DA9-4F2A-9CC8-DB13B563B611}"/>
    <cellStyle name="Comma 7 4" xfId="3221" xr:uid="{EEB10D55-218D-4995-81D2-4811A23C4224}"/>
    <cellStyle name="Comma 7 5" xfId="3222" xr:uid="{AAC5793A-5271-4596-9F3D-115C47CBF921}"/>
    <cellStyle name="Comma 7 6" xfId="3223" xr:uid="{D3C5776D-804D-4E22-8645-46969AEEFA8A}"/>
    <cellStyle name="Comma 8" xfId="3224" xr:uid="{F768497E-07A1-4770-8CB3-FBE8575FFFA3}"/>
    <cellStyle name="Comma 8 2" xfId="3225" xr:uid="{6314A302-13A6-4582-B730-3716BF908FAB}"/>
    <cellStyle name="Comma 8 3" xfId="3226" xr:uid="{73915DE2-C81C-4BDC-BA69-F739FC7B2BF5}"/>
    <cellStyle name="Comma 9" xfId="3227" xr:uid="{81919AAE-DE63-44EC-8A38-810AA3C776A4}"/>
    <cellStyle name="Comma*" xfId="3228" xr:uid="{93406232-0AAB-41E2-9D40-DF6358097B10}"/>
    <cellStyle name="Comma0" xfId="3229" xr:uid="{64B5C6A7-4384-428B-A36C-0724A1F722A2}"/>
    <cellStyle name="Comma0 - Modelo1" xfId="3230" xr:uid="{7172001B-5BCA-48F0-A77B-7C203271F24B}"/>
    <cellStyle name="Comma0 - Style1" xfId="3231" xr:uid="{8C1CAF08-930C-4E23-833B-AC8AB9B16C4E}"/>
    <cellStyle name="Comma0 - Style2" xfId="3232" xr:uid="{AF0A37FD-90A1-4DFE-961F-87E5066B4225}"/>
    <cellStyle name="Comma0_% Change (PW)" xfId="3233" xr:uid="{1F4AC1DB-185E-4D9A-A04A-12A722F1DBB3}"/>
    <cellStyle name="Comma1" xfId="3234" xr:uid="{C403990F-5550-4894-B43A-299A6DCB5A52}"/>
    <cellStyle name="Comma1 - Modelo2" xfId="3235" xr:uid="{4D7F4997-34C1-41BD-8B7E-72CAAF32BC85}"/>
    <cellStyle name="Comma1 - Style2" xfId="3236" xr:uid="{468FFA42-232C-4938-B8C3-FB4CA2F5D255}"/>
    <cellStyle name="Comma1 2" xfId="3237" xr:uid="{9AC68483-5118-40A4-B9F5-300C340DEE66}"/>
    <cellStyle name="Comma1 3" xfId="3238" xr:uid="{F011D2DF-DF77-4A95-B677-CFA8DBFC472B}"/>
    <cellStyle name="Comma1 4" xfId="3239" xr:uid="{58F1C5C6-55BB-4719-AF49-0D64ADC4BB46}"/>
    <cellStyle name="Comma2" xfId="3240" xr:uid="{007111FB-D732-4862-9F6E-0F05790D5BD1}"/>
    <cellStyle name="Comma2 2" xfId="3241" xr:uid="{74F48DB7-27EB-49A8-AB5E-7FC0740BA39F}"/>
    <cellStyle name="Comma2 3" xfId="3242" xr:uid="{96177C72-3883-4FAC-B829-40321C000123}"/>
    <cellStyle name="Comma2 4" xfId="3243" xr:uid="{38650372-D0CB-40FD-A742-6E1B93B4A64C}"/>
    <cellStyle name="Condition" xfId="3244" xr:uid="{2F12B0B3-64C4-42C7-B7F2-01D3FBDB7BD0}"/>
    <cellStyle name="CondMandatory" xfId="3245" xr:uid="{7DB34CCE-D26C-4845-82C4-27CDB3D7E99B}"/>
    <cellStyle name="Constant" xfId="3246" xr:uid="{594D9E1B-8E23-491E-BFFE-70D1DFFA06C8}"/>
    <cellStyle name="ConstantLbl_RP" xfId="3247" xr:uid="{597189FA-DC1B-49CE-864F-0FB1703DC72B}"/>
    <cellStyle name="Content1" xfId="3248" xr:uid="{FD1B15F7-716C-496A-9D7F-EE2297ED8368}"/>
    <cellStyle name="Content2" xfId="3249" xr:uid="{91EF6D11-8413-4AB2-A7AE-F9EC025C8D1A}"/>
    <cellStyle name="Content3" xfId="3250" xr:uid="{031614F3-1F43-41EE-8875-BBC9E9A71FF9}"/>
    <cellStyle name="Cover" xfId="3251" xr:uid="{38111619-BB75-4F5D-8477-B71947D40649}"/>
    <cellStyle name="Cover 2" xfId="3252" xr:uid="{999A19CF-1170-40C0-B052-C867BC3D0AD0}"/>
    <cellStyle name="Cover Date" xfId="3253" xr:uid="{B3EB5D5C-F55D-46D0-8730-451AE252CCF5}"/>
    <cellStyle name="Cover Subtitle" xfId="3254" xr:uid="{69E40730-A3E3-42CB-958F-3FCA8A59E826}"/>
    <cellStyle name="Cover Title" xfId="3255" xr:uid="{3DC5746C-955F-46AF-98EF-3A0A3567150D}"/>
    <cellStyle name="Cur" xfId="3256" xr:uid="{733A5D45-E4C2-4C06-9147-F1830108B14D}"/>
    <cellStyle name="Cur 2" xfId="3257" xr:uid="{7760F018-69BD-4849-9520-DC99A5512817}"/>
    <cellStyle name="Currency [0] 2" xfId="3258" xr:uid="{6D8DC7AC-1F01-42E2-853F-E5EB795795E5}"/>
    <cellStyle name="Currency 0" xfId="3259" xr:uid="{13FDCAC5-24A3-4457-8D27-DF002B1CA658}"/>
    <cellStyle name="Currency 13" xfId="3260" xr:uid="{11940EBE-7B41-4E6B-A827-C52C34043A1F}"/>
    <cellStyle name="Currency 13 2" xfId="3261" xr:uid="{A0462774-3025-4F12-8839-3BDBCBC356CD}"/>
    <cellStyle name="Currency 13 2 2" xfId="3262" xr:uid="{767AD3A7-9545-4F1E-80D8-FBCFFC806EE0}"/>
    <cellStyle name="Currency 13 3" xfId="3263" xr:uid="{BE8D0953-EA77-4126-88AE-C88714A59914}"/>
    <cellStyle name="Currency 13 4" xfId="3264" xr:uid="{B0631DC3-B42A-41A9-A696-633622BEE22E}"/>
    <cellStyle name="Currency 13 5" xfId="3265" xr:uid="{C1C365FA-C6CB-4003-8FD6-DBF70DFF8BD2}"/>
    <cellStyle name="Currency 2" xfId="3266" xr:uid="{30980096-2486-48A3-84EF-91C7035065F4}"/>
    <cellStyle name="Currency 2 2" xfId="3267" xr:uid="{253E2864-488E-4C2B-B186-B8EFB1295FEC}"/>
    <cellStyle name="Currency 2 2 2" xfId="3268" xr:uid="{CA84B989-4FB4-4746-99A2-8366FBD01F88}"/>
    <cellStyle name="Currency 2 3" xfId="3269" xr:uid="{508EF2B0-FF90-42AB-8A14-00A3A1107C25}"/>
    <cellStyle name="Currency 2 3 2" xfId="3270" xr:uid="{E10AF5E3-675D-474B-B427-61EE86D3DBA2}"/>
    <cellStyle name="Currency 2 4" xfId="3271" xr:uid="{10A352DE-8431-4600-B05F-F35C5BBCCEBA}"/>
    <cellStyle name="Currency 2 5" xfId="3272" xr:uid="{5E350191-AD2B-40CF-A713-ADBC8B5F4917}"/>
    <cellStyle name="Currency 2 6" xfId="3273" xr:uid="{8FCDB9C4-CEC2-4233-8C31-4ACA5D68294E}"/>
    <cellStyle name="Currency 2 7" xfId="3274" xr:uid="{1AABC4E9-D52C-44E4-9F5F-519AC4045A64}"/>
    <cellStyle name="Currency 2 8" xfId="3275" xr:uid="{18FB175C-6017-4B47-9444-ABAF01133770}"/>
    <cellStyle name="Currency 2 9" xfId="3276" xr:uid="{ED736FF3-4FFA-4EA1-8020-583236229C96}"/>
    <cellStyle name="Currency 2*" xfId="3277" xr:uid="{03D90AFD-1993-4B0E-A845-EFAD61E0906E}"/>
    <cellStyle name="Currency 2_% Change" xfId="3278" xr:uid="{535C5918-29B3-4FF2-9A2F-C580DD31B5F8}"/>
    <cellStyle name="Currency 3" xfId="3279" xr:uid="{BD0210FF-D847-42B4-B0C0-88D3955B4D40}"/>
    <cellStyle name="Currency 3 2" xfId="3280" xr:uid="{ED41021B-D3B6-41BB-AF4F-9E4D08664F2B}"/>
    <cellStyle name="Currency 3 3" xfId="3281" xr:uid="{8CE33B54-00BE-4444-B4AC-102C97CD320E}"/>
    <cellStyle name="Currency 3*" xfId="3282" xr:uid="{F97F86F3-3553-45B5-9ECE-2ABF13A860B6}"/>
    <cellStyle name="Currency 4" xfId="3283" xr:uid="{4E6F5550-B9A3-456E-9FBE-95407788BFE2}"/>
    <cellStyle name="Currency 4 2" xfId="3284" xr:uid="{3D74582F-2A63-4FFB-AA30-8E55272D6103}"/>
    <cellStyle name="Currency 5" xfId="3285" xr:uid="{D2F79F37-EAB3-4969-8232-7D60C482BA3D}"/>
    <cellStyle name="Currency*" xfId="3286" xr:uid="{80A85ECD-B0C8-45F3-AA1D-5DEB1FCF6144}"/>
    <cellStyle name="Currency0" xfId="3287" xr:uid="{BF4E5CB4-98BF-4760-B421-072FEDED70E4}"/>
    <cellStyle name="Currency-Denomination" xfId="3288" xr:uid="{204F5C57-3DD5-44A4-9F5E-F62D7636AB4E}"/>
    <cellStyle name="D - bottom border" xfId="3289" xr:uid="{AD0271FD-FEAA-460E-BD2D-9547509FBA5D}"/>
    <cellStyle name="D - headers" xfId="3290" xr:uid="{6DDBC7E9-9F40-4DE9-B78E-DEEEF36DC235}"/>
    <cellStyle name="D - normal" xfId="3291" xr:uid="{6B6E8E9A-257B-4F66-884B-BFD6A620BF7E}"/>
    <cellStyle name="Data" xfId="3292" xr:uid="{40CFA413-075F-48DD-A2CD-B5652FCE5478}"/>
    <cellStyle name="DATA Amount" xfId="3293" xr:uid="{2C94DB0D-E579-4E10-82FF-C76BBB3889B7}"/>
    <cellStyle name="DATA Amount [1]" xfId="3294" xr:uid="{5327DF0E-A47D-4E4D-ABB3-ED6225C9ECFB}"/>
    <cellStyle name="DATA Amount [1] 10" xfId="3295" xr:uid="{6C3D230D-82A6-4072-B782-C041DCA98500}"/>
    <cellStyle name="DATA Amount [1] 11" xfId="3296" xr:uid="{7010CA5C-07B9-4099-9F5B-301C8D011322}"/>
    <cellStyle name="DATA Amount [1] 2" xfId="3297" xr:uid="{B3F01198-E9E8-4F03-8668-03A375A6345B}"/>
    <cellStyle name="DATA Amount [1] 3" xfId="3298" xr:uid="{DF7FD713-C27E-4970-B08E-C78888B63657}"/>
    <cellStyle name="DATA Amount [1] 4" xfId="3299" xr:uid="{7D2B57D5-CA53-4CFD-86C8-65D14D414154}"/>
    <cellStyle name="DATA Amount [1] 5" xfId="3300" xr:uid="{3757AEAC-931B-4290-B7F7-6A9821C753E3}"/>
    <cellStyle name="DATA Amount [1] 6" xfId="3301" xr:uid="{AFA61603-4B80-4D86-A05C-29F7CE4FAE54}"/>
    <cellStyle name="DATA Amount [1] 7" xfId="3302" xr:uid="{7128F42A-F27D-4266-827A-974459A6AB95}"/>
    <cellStyle name="DATA Amount [1] 8" xfId="3303" xr:uid="{3FC4D8A7-F00A-4D98-8E14-911BFABC6249}"/>
    <cellStyle name="DATA Amount [1] 9" xfId="3304" xr:uid="{288B9B6B-D91D-4D8F-BA39-BF0B59936709}"/>
    <cellStyle name="DATA Amount [2]" xfId="3305" xr:uid="{B20ADAFB-254B-4150-B813-C110DA3918C0}"/>
    <cellStyle name="DATA Amount [2] 10" xfId="3306" xr:uid="{E3F0991E-C88A-443B-AB23-EDFFDAB9E34D}"/>
    <cellStyle name="DATA Amount [2] 11" xfId="3307" xr:uid="{E1A0DDFB-92B8-435F-B5B4-B075ABB66EAE}"/>
    <cellStyle name="DATA Amount [2] 2" xfId="3308" xr:uid="{9CC7F25F-B55C-40D0-8382-82D3E1700871}"/>
    <cellStyle name="DATA Amount [2] 3" xfId="3309" xr:uid="{76A5F2AE-0A60-4309-8381-62B0E0309DB6}"/>
    <cellStyle name="DATA Amount [2] 4" xfId="3310" xr:uid="{87C52583-2D25-4ECD-9946-D8893CA4BD72}"/>
    <cellStyle name="DATA Amount [2] 5" xfId="3311" xr:uid="{0F31B7E8-4273-4A1A-B8FE-62C3BF7792CA}"/>
    <cellStyle name="DATA Amount [2] 6" xfId="3312" xr:uid="{5814591C-EBF8-4F87-AFD5-8B9C1BA87359}"/>
    <cellStyle name="DATA Amount [2] 7" xfId="3313" xr:uid="{6E458479-6E25-4701-8A5A-436428DDE954}"/>
    <cellStyle name="DATA Amount [2] 8" xfId="3314" xr:uid="{4996C5EB-3762-40A7-B99D-4676CC66369C}"/>
    <cellStyle name="DATA Amount [2] 9" xfId="3315" xr:uid="{AF58C118-724C-4506-9D55-ABB87A57E2E7}"/>
    <cellStyle name="DATA Amount 10" xfId="3316" xr:uid="{F6534C36-FD43-4ADD-9A01-51FC297F385C}"/>
    <cellStyle name="DATA Amount 11" xfId="3317" xr:uid="{CB03858D-2939-465B-BEFC-0E9A25C8EA5A}"/>
    <cellStyle name="DATA Amount 12" xfId="3318" xr:uid="{228CBBCE-B785-4A26-A945-1844E2F8762F}"/>
    <cellStyle name="DATA Amount 13" xfId="3319" xr:uid="{4066974A-D455-41F1-9201-EE29135FB405}"/>
    <cellStyle name="DATA Amount 2" xfId="3320" xr:uid="{3FB60619-7140-49BC-8633-F91D400568DE}"/>
    <cellStyle name="DATA Amount 2 2" xfId="3321" xr:uid="{106E381D-922C-4136-A3C1-20E864D7C053}"/>
    <cellStyle name="DATA Amount 2 2 7" xfId="3322" xr:uid="{569D9A4C-4FB1-480E-8D73-D1C571D94B1F}"/>
    <cellStyle name="DATA Amount 2 2 7 2" xfId="3323" xr:uid="{17E999ED-6AD0-475C-86A4-58D0E5081A1C}"/>
    <cellStyle name="DATA Amount 2 3" xfId="3324" xr:uid="{D9FDA04D-CF0D-438A-8D11-FB6EDE5E8A0A}"/>
    <cellStyle name="DATA Amount 2 4" xfId="3325" xr:uid="{C5B60BE6-B732-4C41-B388-571ADE28E132}"/>
    <cellStyle name="DATA Amount 3" xfId="3326" xr:uid="{5B1257FA-D6FA-454D-A499-0019BFEA2C1C}"/>
    <cellStyle name="DATA Amount 4" xfId="3327" xr:uid="{9CDB58A6-75F7-4142-AF0A-BEA01F24156C}"/>
    <cellStyle name="DATA Amount 5" xfId="3328" xr:uid="{C93FC390-4F83-4A84-9587-4708B6429C0F}"/>
    <cellStyle name="DATA Amount 6" xfId="3329" xr:uid="{4369E3DE-6296-41ED-B7E6-DEC8835396E1}"/>
    <cellStyle name="DATA Amount 7" xfId="3330" xr:uid="{048A8615-90A5-4F3D-8763-845A0BC46AFE}"/>
    <cellStyle name="DATA Amount 8" xfId="3331" xr:uid="{85534679-CE37-4808-A7D7-947EE0E83A03}"/>
    <cellStyle name="DATA Amount 9" xfId="3332" xr:uid="{504F9CAE-B190-480A-9140-FA65EDA994EA}"/>
    <cellStyle name="DATA Amount_Best Practice Model Disclaimer v1.1" xfId="3333" xr:uid="{5B99F167-8ABC-445F-849E-D10685FE345C}"/>
    <cellStyle name="DATA Currency" xfId="3334" xr:uid="{AEDB2068-4C16-453B-83CF-25D2028B24E3}"/>
    <cellStyle name="DATA Currency [1]" xfId="3335" xr:uid="{F6487BA5-2968-478A-8707-4D10B9EF807B}"/>
    <cellStyle name="DATA Currency [1] 10" xfId="3336" xr:uid="{6B9966E0-7F89-46EB-BBE9-AEDE77E2C058}"/>
    <cellStyle name="DATA Currency [1] 11" xfId="3337" xr:uid="{F66B1A56-9E58-4B8D-9C12-364997C610BC}"/>
    <cellStyle name="DATA Currency [1] 2" xfId="3338" xr:uid="{90C19D24-CAE5-49E2-91A7-410BF42DD878}"/>
    <cellStyle name="DATA Currency [1] 3" xfId="3339" xr:uid="{CC423714-DD0F-4DA3-8292-9D3CC33D48FD}"/>
    <cellStyle name="DATA Currency [1] 4" xfId="3340" xr:uid="{59E65703-14AA-48A1-B68C-B4727278E1AE}"/>
    <cellStyle name="DATA Currency [1] 5" xfId="3341" xr:uid="{9D4C2AE3-8B19-4679-96CA-BAB6FB638AB7}"/>
    <cellStyle name="DATA Currency [1] 6" xfId="3342" xr:uid="{F3AC6967-A4DD-43EF-872C-7E606E26B2E2}"/>
    <cellStyle name="DATA Currency [1] 7" xfId="3343" xr:uid="{9215E880-7B48-43CF-A7D1-D07C55F5FFC4}"/>
    <cellStyle name="DATA Currency [1] 8" xfId="3344" xr:uid="{01554A9A-EA02-468A-B571-D66DC094C2F0}"/>
    <cellStyle name="DATA Currency [1] 9" xfId="3345" xr:uid="{8F037975-81BD-4120-870E-67C25FA77FC7}"/>
    <cellStyle name="DATA Currency [2]" xfId="3346" xr:uid="{9FF22CA0-421C-426F-84DA-DCEE51A8E78A}"/>
    <cellStyle name="DATA Currency [2] 10" xfId="3347" xr:uid="{59A9E460-567A-4CCB-9E93-6F3B7D28412C}"/>
    <cellStyle name="DATA Currency [2] 11" xfId="3348" xr:uid="{9AD324D6-4B8D-469D-BE09-17673BF4696F}"/>
    <cellStyle name="DATA Currency [2] 2" xfId="3349" xr:uid="{74A78487-E0EC-40D7-B654-526F4DF9744B}"/>
    <cellStyle name="DATA Currency [2] 3" xfId="3350" xr:uid="{4B860491-C98D-4EF1-BDAF-E6E48E72AD93}"/>
    <cellStyle name="DATA Currency [2] 4" xfId="3351" xr:uid="{78AA4DC1-A79E-4E77-887A-CD3383AEE919}"/>
    <cellStyle name="DATA Currency [2] 5" xfId="3352" xr:uid="{9AA675BF-F555-4EED-8B3A-89E7348B3854}"/>
    <cellStyle name="DATA Currency [2] 6" xfId="3353" xr:uid="{E3C04DB8-4D12-4BC6-B716-6BB897D34E8C}"/>
    <cellStyle name="DATA Currency [2] 7" xfId="3354" xr:uid="{410E94A7-C8DC-4F88-A4E3-45C10E60240C}"/>
    <cellStyle name="DATA Currency [2] 8" xfId="3355" xr:uid="{7CCC9793-7D6E-42A9-9B0D-947AB52A9EAE}"/>
    <cellStyle name="DATA Currency [2] 9" xfId="3356" xr:uid="{2AA35D99-2B7F-4ED9-A7D2-7A050D3C1B87}"/>
    <cellStyle name="DATA Currency 10" xfId="3357" xr:uid="{7BF88E9A-1247-458F-AE35-F30C3E5298BF}"/>
    <cellStyle name="DATA Currency 11" xfId="3358" xr:uid="{ADA33152-0183-4A4C-A2C2-709F77D1F0D1}"/>
    <cellStyle name="DATA Currency 12" xfId="3359" xr:uid="{B8A886A2-0CE6-4F0D-8744-D64AE419C918}"/>
    <cellStyle name="DATA Currency 13" xfId="3360" xr:uid="{AF92D70C-1773-4B5D-BB51-AA9F99217ED2}"/>
    <cellStyle name="DATA Currency 2" xfId="3361" xr:uid="{C970DFFE-08D7-407D-A931-FC001C20E1E1}"/>
    <cellStyle name="DATA Currency 3" xfId="3362" xr:uid="{EE3D8DB3-181D-427C-80FB-5326DDBD309E}"/>
    <cellStyle name="DATA Currency 4" xfId="3363" xr:uid="{3C3C4ED0-3213-4222-B75F-EAEF2982E713}"/>
    <cellStyle name="DATA Currency 5" xfId="3364" xr:uid="{10BBCE6A-378D-4BC7-908B-7D4D60BC73C3}"/>
    <cellStyle name="DATA Currency 6" xfId="3365" xr:uid="{9C66AE50-C481-4809-B759-F3AA8BAF0E0F}"/>
    <cellStyle name="DATA Currency 7" xfId="3366" xr:uid="{04AAB4C2-17AF-4735-BBB7-7514D78218E9}"/>
    <cellStyle name="DATA Currency 8" xfId="3367" xr:uid="{F9F98E32-30B7-4E84-8C72-DAE80A9E6F58}"/>
    <cellStyle name="DATA Currency 9" xfId="3368" xr:uid="{118E87DB-7340-4FAF-9B6B-370557F8B75F}"/>
    <cellStyle name="DATA Currency_Best Practice Model Disclaimer v1.1" xfId="3369" xr:uid="{1D1F30C5-9930-42BB-A8CF-B2D95616EC27}"/>
    <cellStyle name="DATA Date Long" xfId="3370" xr:uid="{46A9469F-2D3A-4982-A6EB-977BC0DE65D7}"/>
    <cellStyle name="DATA Date Long 10" xfId="3371" xr:uid="{71F0D107-DCC6-4913-AE0D-919A36921E72}"/>
    <cellStyle name="DATA Date Long 11" xfId="3372" xr:uid="{4C03B043-C41C-4647-A207-C7B89B2C2755}"/>
    <cellStyle name="DATA Date Long 2" xfId="3373" xr:uid="{631E4085-89DE-41E6-84FC-64D30832E1C9}"/>
    <cellStyle name="DATA Date Long 3" xfId="3374" xr:uid="{76C82F7C-7512-4973-97D0-9DC7F7CB67A6}"/>
    <cellStyle name="DATA Date Long 4" xfId="3375" xr:uid="{9FBF1795-CB5F-4310-BEA9-0BBD28A95B06}"/>
    <cellStyle name="DATA Date Long 5" xfId="3376" xr:uid="{0F285E7B-FFCE-4E34-B9D8-DCB591D8DBFE}"/>
    <cellStyle name="DATA Date Long 6" xfId="3377" xr:uid="{5FBA6B37-7102-4C3C-A8B8-B9CBE10D12E1}"/>
    <cellStyle name="DATA Date Long 7" xfId="3378" xr:uid="{B64BBA68-9868-461A-BF11-2CDA3C7077FB}"/>
    <cellStyle name="DATA Date Long 8" xfId="3379" xr:uid="{5C86669C-ACF4-4F45-BE86-58BFB24218A5}"/>
    <cellStyle name="DATA Date Long 9" xfId="3380" xr:uid="{ECDD531C-6805-4B90-9EE6-B93EAEEFEE45}"/>
    <cellStyle name="DATA Date Short" xfId="3381" xr:uid="{34D7E135-A199-4414-B4C2-984FAC148718}"/>
    <cellStyle name="DATA Date Short 10" xfId="3382" xr:uid="{46A2657D-C5A5-4CDF-BF22-455F53650750}"/>
    <cellStyle name="DATA Date Short 11" xfId="3383" xr:uid="{F09E363F-7F73-4E2B-A2B3-7C152534B07D}"/>
    <cellStyle name="DATA Date Short 2" xfId="3384" xr:uid="{9CB8D03F-42C2-472A-B260-21DFB4A9ECDC}"/>
    <cellStyle name="DATA Date Short 3" xfId="3385" xr:uid="{5F0502FE-1EE3-4A8A-A427-984077459F43}"/>
    <cellStyle name="DATA Date Short 4" xfId="3386" xr:uid="{055949B1-649B-482F-817E-3E1EAB3B3D12}"/>
    <cellStyle name="DATA Date Short 5" xfId="3387" xr:uid="{D2336048-CDB6-41C9-840D-89C5B3D9617C}"/>
    <cellStyle name="DATA Date Short 6" xfId="3388" xr:uid="{DA13D099-6150-40F7-AE66-C90C8A17EB10}"/>
    <cellStyle name="DATA Date Short 7" xfId="3389" xr:uid="{794DFEDF-0FA6-4B0A-9052-D78E36DBA804}"/>
    <cellStyle name="DATA Date Short 8" xfId="3390" xr:uid="{18433DC4-2B34-45E8-99CE-3887CCF7E4DB}"/>
    <cellStyle name="DATA Date Short 9" xfId="3391" xr:uid="{BEBA9772-A881-489A-84E6-82AEFBDC2FA0}"/>
    <cellStyle name="DATA List" xfId="3392" xr:uid="{727A891C-AC6B-4BEF-A03E-8AB6A92007D6}"/>
    <cellStyle name="DATA List 10" xfId="3393" xr:uid="{5B96B7CB-7111-4E81-AC71-1B236E04B936}"/>
    <cellStyle name="DATA List 11" xfId="3394" xr:uid="{EEC9D8AC-2F30-4A4E-AD9E-E33D36026251}"/>
    <cellStyle name="DATA List 12" xfId="3395" xr:uid="{A3B3499B-5EC6-4135-B8AA-9D7111C91F6C}"/>
    <cellStyle name="DATA List 13" xfId="3396" xr:uid="{450F7C11-8C02-4071-8296-9543535484E4}"/>
    <cellStyle name="DATA List 2" xfId="3397" xr:uid="{3DC86001-2958-47A9-B4AA-16FD7880EE0F}"/>
    <cellStyle name="DATA List 2 12" xfId="3398" xr:uid="{9F0792D7-9524-4141-AFD1-C8A7D8DF5485}"/>
    <cellStyle name="DATA List 2 2" xfId="3399" xr:uid="{1CDCA8C4-FC46-4C24-A0AE-6FE6AAD8D5CE}"/>
    <cellStyle name="DATA List 2 3" xfId="3400" xr:uid="{0E66F38D-4F3B-4E5A-98B4-2AE258198D2A}"/>
    <cellStyle name="DATA List 2 4" xfId="3401" xr:uid="{45EFFDBE-1211-4BFD-967F-9C64CC764DA6}"/>
    <cellStyle name="DATA List 2 4 2" xfId="3402" xr:uid="{0838F58E-CD85-40A8-8F34-EC74896DB6E9}"/>
    <cellStyle name="DATA List 2 4 3" xfId="3403" xr:uid="{3B85CCC0-29EC-49EA-A980-7C02059B4A1E}"/>
    <cellStyle name="DATA List 2 5" xfId="3404" xr:uid="{24DAAD43-4010-46ED-8BBB-F4FAEB7A8207}"/>
    <cellStyle name="DATA List 3" xfId="3405" xr:uid="{AFCB94E8-E6B4-4638-A758-C8842FC86A5B}"/>
    <cellStyle name="DATA List 4" xfId="3406" xr:uid="{09B4AD88-3807-4703-BF90-9909A84C3696}"/>
    <cellStyle name="DATA List 5" xfId="3407" xr:uid="{ABEE34D5-6A48-43C4-92A8-E777F6503653}"/>
    <cellStyle name="DATA List 6" xfId="3408" xr:uid="{644FC422-7BF4-448D-BECF-6918E3EBB0C1}"/>
    <cellStyle name="DATA List 7" xfId="3409" xr:uid="{1CBD1934-3442-42E1-858B-4FF4F2F3ED0E}"/>
    <cellStyle name="DATA List 8" xfId="3410" xr:uid="{CC2B32CE-0D6F-464C-9D0C-2896B78637CF}"/>
    <cellStyle name="DATA List 9" xfId="3411" xr:uid="{1C13FB84-5532-4AAD-A705-E1A78459A255}"/>
    <cellStyle name="DATA Memo" xfId="3412" xr:uid="{46F81C1A-3E90-4ABD-AE1C-B82A0BDDA94E}"/>
    <cellStyle name="DATA Memo 10" xfId="3413" xr:uid="{692769AD-5C46-4E2C-9B07-7C2A90811510}"/>
    <cellStyle name="DATA Memo 2" xfId="3414" xr:uid="{33AD1702-087F-4A39-8EA8-60A7AA39FF12}"/>
    <cellStyle name="DATA Memo 3" xfId="3415" xr:uid="{9A6E47B0-247A-414E-B463-0B67361ACBE2}"/>
    <cellStyle name="DATA Memo 4" xfId="3416" xr:uid="{9EF1D90F-1878-4B22-AD26-70610E2C0C01}"/>
    <cellStyle name="DATA Memo 5" xfId="3417" xr:uid="{B02AD05F-F014-4DB5-A1DE-6D0F7DFDB568}"/>
    <cellStyle name="DATA Memo 6" xfId="3418" xr:uid="{26BCD90E-DA70-4592-9952-66C419F8DF88}"/>
    <cellStyle name="DATA Memo 7" xfId="3419" xr:uid="{C9471F20-E3B6-4577-A8D3-042C3FCE4872}"/>
    <cellStyle name="DATA Memo 8" xfId="3420" xr:uid="{6AD45103-C206-4D78-B165-43C9AC83856D}"/>
    <cellStyle name="DATA Memo 9" xfId="3421" xr:uid="{B1BDB659-EE81-4927-A1B9-3B5031F48D11}"/>
    <cellStyle name="DATA Percent" xfId="3422" xr:uid="{FC6BFC8B-B173-4714-80A0-5B0BEBBB8961}"/>
    <cellStyle name="DATA Percent [1]" xfId="3423" xr:uid="{3E1D134D-52EB-4FFC-AE74-4663B66289AF}"/>
    <cellStyle name="DATA Percent [1] 10" xfId="3424" xr:uid="{4959B5DB-B097-4135-94C1-02C4B1311BB4}"/>
    <cellStyle name="DATA Percent [1] 11" xfId="3425" xr:uid="{571478A7-EAED-471A-B47B-0F448EC2190D}"/>
    <cellStyle name="DATA Percent [1] 2" xfId="3426" xr:uid="{22DA8158-7002-459B-AD64-A37D89F68A4C}"/>
    <cellStyle name="DATA Percent [1] 3" xfId="3427" xr:uid="{C05A64F2-B629-4554-B27E-55EF32CC34C3}"/>
    <cellStyle name="DATA Percent [1] 4" xfId="3428" xr:uid="{851F22F2-113C-4DBB-8EF6-547B69FA2940}"/>
    <cellStyle name="DATA Percent [1] 5" xfId="3429" xr:uid="{2C23A605-67C6-4CAF-BEB6-35E8D3AA4046}"/>
    <cellStyle name="DATA Percent [1] 6" xfId="3430" xr:uid="{67D1D6D9-FAEB-4927-B6B1-7D3D708AF88F}"/>
    <cellStyle name="DATA Percent [1] 7" xfId="3431" xr:uid="{209D2EDA-C887-4C35-BAAE-E29ABC195854}"/>
    <cellStyle name="DATA Percent [1] 8" xfId="3432" xr:uid="{C915A530-7109-4481-B975-B7DAC05C394C}"/>
    <cellStyle name="DATA Percent [1] 9" xfId="3433" xr:uid="{2E9B8DB2-39D0-45DB-8229-1D60BC162EDE}"/>
    <cellStyle name="DATA Percent [2]" xfId="3434" xr:uid="{FFB6CCE0-F6F2-4BB5-9078-53F5B97B88D9}"/>
    <cellStyle name="DATA Percent [2] 10" xfId="3435" xr:uid="{24F3A7AD-F38C-4249-A8EB-BA9C945FE491}"/>
    <cellStyle name="DATA Percent [2] 11" xfId="3436" xr:uid="{6BD55E4F-3747-4908-B8C4-A69C587AA19E}"/>
    <cellStyle name="DATA Percent [2] 2" xfId="3437" xr:uid="{596BA024-D71D-4C6F-A968-BC83F3EA4DCD}"/>
    <cellStyle name="DATA Percent [2] 3" xfId="3438" xr:uid="{20EA350E-AD37-4C9F-A786-D96CB61794FF}"/>
    <cellStyle name="DATA Percent [2] 4" xfId="3439" xr:uid="{20BC8CBB-5C18-4179-9632-506E42442E8C}"/>
    <cellStyle name="DATA Percent [2] 5" xfId="3440" xr:uid="{56EDFA3F-E08B-420F-B8E2-58F60C5D2C93}"/>
    <cellStyle name="DATA Percent [2] 6" xfId="3441" xr:uid="{9C940457-230D-4D74-9CD6-233C2406349F}"/>
    <cellStyle name="DATA Percent [2] 7" xfId="3442" xr:uid="{00171E36-B85E-43B4-85E5-BA0C83362C31}"/>
    <cellStyle name="DATA Percent [2] 8" xfId="3443" xr:uid="{0047A841-A30E-43F6-A1BB-C11B43458363}"/>
    <cellStyle name="DATA Percent [2] 9" xfId="3444" xr:uid="{A17E8E1A-206A-40EE-B785-8623837196B9}"/>
    <cellStyle name="DATA Percent 10" xfId="3445" xr:uid="{25E2A2E1-8BE8-4792-93BD-B3BD48DCE690}"/>
    <cellStyle name="DATA Percent 11" xfId="3446" xr:uid="{09174B0B-6B06-4EAE-9DF1-CDBEF145DD35}"/>
    <cellStyle name="DATA Percent 12" xfId="3447" xr:uid="{108AE913-1AF2-4AF7-BF0F-12BD55F02150}"/>
    <cellStyle name="DATA Percent 13" xfId="3448" xr:uid="{A4F3943A-1FBE-402E-89E7-7EA47694A9B1}"/>
    <cellStyle name="DATA Percent 2" xfId="3449" xr:uid="{DDBA319D-ED31-4A46-B3B1-3A15F471C6E5}"/>
    <cellStyle name="DATA Percent 2 2" xfId="3450" xr:uid="{A710DC7D-83BD-4713-BA47-696B0BC62459}"/>
    <cellStyle name="DATA Percent 2 2 7" xfId="3451" xr:uid="{E9E26981-50B0-41B5-9CBD-5FAA201DF259}"/>
    <cellStyle name="DATA Percent 2 2 7 2" xfId="3452" xr:uid="{91254BB0-7C94-4F0E-940D-1E7EBE020E7F}"/>
    <cellStyle name="DATA Percent 2 3" xfId="3453" xr:uid="{7E679A23-1767-4C11-889F-14665B09797B}"/>
    <cellStyle name="DATA Percent 2 4" xfId="3454" xr:uid="{B43506DA-9E31-4464-A17E-3981E66242E6}"/>
    <cellStyle name="DATA Percent 3" xfId="3455" xr:uid="{169AF936-E258-4CD0-A897-810B66AEF7C2}"/>
    <cellStyle name="DATA Percent 4" xfId="3456" xr:uid="{5BE17DA1-52FC-452C-A201-7B103C1998DA}"/>
    <cellStyle name="DATA Percent 44" xfId="3457" xr:uid="{648C9EB1-4EC1-4CB5-942D-4801D907554F}"/>
    <cellStyle name="DATA Percent 44 3" xfId="3458" xr:uid="{26C64BFA-A738-470F-9246-2F50BC4685AD}"/>
    <cellStyle name="DATA Percent 45" xfId="3459" xr:uid="{27A82391-12F6-49D0-B019-BEB0EB131A7A}"/>
    <cellStyle name="DATA Percent 45 3" xfId="3460" xr:uid="{68987DE1-CAB6-4EDE-A717-2360CF96A735}"/>
    <cellStyle name="DATA Percent 46" xfId="3461" xr:uid="{135C39F1-45FE-4D17-9888-52F7F8DBD457}"/>
    <cellStyle name="DATA Percent 46 3" xfId="3462" xr:uid="{84E8815D-9CC5-4524-9AF8-3F7503B384C6}"/>
    <cellStyle name="DATA Percent 5" xfId="3463" xr:uid="{1841D296-91DD-437A-BD6E-8E8C16CAED64}"/>
    <cellStyle name="DATA Percent 6" xfId="3464" xr:uid="{155EA649-30FB-4EA5-96BE-3B123D4BBABC}"/>
    <cellStyle name="DATA Percent 7" xfId="3465" xr:uid="{050ABB86-6FB1-49FC-A916-45C9F633FBFE}"/>
    <cellStyle name="DATA Percent 8" xfId="3466" xr:uid="{D43E4FA4-804F-4F50-883E-6CF167483DA0}"/>
    <cellStyle name="DATA Percent 9" xfId="3467" xr:uid="{4222704B-FEED-45F8-9007-BFEA6AC3E7FD}"/>
    <cellStyle name="DATA Percent_Best Practice Model Disclaimer v1.1" xfId="3468" xr:uid="{9D37D8D4-A580-4713-A3F3-B8BFC11F2A99}"/>
    <cellStyle name="DATA Text" xfId="3469" xr:uid="{421AB3B1-D147-48B1-9E37-B8DD7DEEEDAA}"/>
    <cellStyle name="DATA Text 10" xfId="3470" xr:uid="{B94B8F29-3F05-4A9A-9D55-A3BB16116E0A}"/>
    <cellStyle name="DATA Text 11" xfId="3471" xr:uid="{BDD8B5E8-3DF7-4868-BDE9-E5F4E5CF59BC}"/>
    <cellStyle name="DATA Text 2" xfId="3472" xr:uid="{E691FFC9-5F67-46E8-8C3C-088177D9B1ED}"/>
    <cellStyle name="DATA Text 3" xfId="3473" xr:uid="{257AD004-6128-4682-832B-05047C88B063}"/>
    <cellStyle name="DATA Text 4" xfId="3474" xr:uid="{2218ACF4-BA33-464A-B0AE-DE7A379A427F}"/>
    <cellStyle name="DATA Text 5" xfId="3475" xr:uid="{A07CE5A6-3841-46AB-850C-C07808B23828}"/>
    <cellStyle name="DATA Text 6" xfId="3476" xr:uid="{2EF712CA-7DFC-4F29-9522-998726842369}"/>
    <cellStyle name="DATA Text 7" xfId="3477" xr:uid="{B64714C8-31F8-4FE9-B373-7F885FDA8180}"/>
    <cellStyle name="DATA Text 8" xfId="3478" xr:uid="{E13CC374-F97D-4976-9244-257D9DA79881}"/>
    <cellStyle name="DATA Text 9" xfId="3479" xr:uid="{A0BDE902-772B-46AC-8C42-D2F55BC67E13}"/>
    <cellStyle name="DATA Version" xfId="3480" xr:uid="{139027B3-736A-4DB8-A550-63296D97B754}"/>
    <cellStyle name="DATA Version 10" xfId="3481" xr:uid="{4DA94605-5CEA-4207-8E7B-917852204942}"/>
    <cellStyle name="DATA Version 2" xfId="3482" xr:uid="{C4159551-E099-4C56-9B2C-4FF874F3CCED}"/>
    <cellStyle name="DATA Version 3" xfId="3483" xr:uid="{82BD5749-3C31-4D48-B47C-0BD1E4C365FB}"/>
    <cellStyle name="DATA Version 4" xfId="3484" xr:uid="{59787FDC-853B-4F16-9F47-445BD5D5778B}"/>
    <cellStyle name="DATA Version 5" xfId="3485" xr:uid="{FE1B2422-A292-4852-9D84-8D3E647E9B37}"/>
    <cellStyle name="DATA Version 6" xfId="3486" xr:uid="{5CB7B0B1-76BC-4659-B360-EEE0FDC72E8D}"/>
    <cellStyle name="DATA Version 7" xfId="3487" xr:uid="{4DB031B9-80F1-4BA6-9277-71E345A4901B}"/>
    <cellStyle name="DATA Version 8" xfId="3488" xr:uid="{2A74AE6D-06C1-4C29-ADAB-419A4857ED05}"/>
    <cellStyle name="DATA Version 9" xfId="3489" xr:uid="{B1106825-15DF-412F-B834-617AAC9E2B26}"/>
    <cellStyle name="DATA_Amount" xfId="3490" xr:uid="{126F4617-347F-42F0-B877-E640B0266145}"/>
    <cellStyle name="Date" xfId="3491" xr:uid="{AEBAE2D9-BCED-45FF-9F3D-EC89A175818A}"/>
    <cellStyle name="Date 2" xfId="3492" xr:uid="{2B9FE8CE-BC6E-4EC7-844E-D3FC28B5BB81}"/>
    <cellStyle name="Date Aligned" xfId="3493" xr:uid="{CFCEAE87-14A0-4155-9EF0-49C9E0412ADE}"/>
    <cellStyle name="Date Aligned*" xfId="3494" xr:uid="{69B0EFDA-27AA-4BDE-9CB5-2B87DBBBA294}"/>
    <cellStyle name="Date Aligned__MasterJRComps" xfId="3495" xr:uid="{4534D6C2-73E2-489F-A52B-067C6DDBAF32}"/>
    <cellStyle name="Date dd-mmm" xfId="3496" xr:uid="{2A1E2542-068B-4BE5-84FF-9DDB4B962A46}"/>
    <cellStyle name="Date dd-mmm-yy" xfId="3497" xr:uid="{B0B19AB5-C469-4817-A7EC-CB7D49589E88}"/>
    <cellStyle name="Date mmm-yy" xfId="3498" xr:uid="{860B7298-8BAF-4AE4-860D-57FB3662E307}"/>
    <cellStyle name="Date_Ch4 v2" xfId="3499" xr:uid="{F90F5D11-41FA-4990-ADCF-C2DFD86E7CE1}"/>
    <cellStyle name="DateJL" xfId="3500" xr:uid="{3DA4678A-DF7D-4EDF-BC34-1F1B41A3BF2F}"/>
    <cellStyle name="DateJL 2" xfId="3501" xr:uid="{27BC2B1A-AAB8-446C-83BF-F6A46DBA1A1E}"/>
    <cellStyle name="DateJL 2 2" xfId="3502" xr:uid="{93BA32B0-659C-4D36-BB7C-4C83D070EC36}"/>
    <cellStyle name="DateJL 2 3" xfId="3503" xr:uid="{4BE91936-9CBD-4525-8283-0BC4C779C7CA}"/>
    <cellStyle name="DateJL 2 4" xfId="3504" xr:uid="{79D51693-DF03-4FAA-AC94-A22F7CC2598B}"/>
    <cellStyle name="DateJL 2 5" xfId="3505" xr:uid="{09C9974B-608C-41FD-8226-2E305365A3A8}"/>
    <cellStyle name="DateJL 3" xfId="3506" xr:uid="{DE41BDBA-CE7A-402E-ADA9-CDA40D485269}"/>
    <cellStyle name="DateJL 4" xfId="3507" xr:uid="{5AE7571D-E3EF-47F7-A22D-FB813135F27F}"/>
    <cellStyle name="DateJL 5" xfId="3508" xr:uid="{B4FCB46F-9417-4015-9EC6-C02EBB48D86C}"/>
    <cellStyle name="DateJL 6" xfId="3509" xr:uid="{437C8900-FBC2-439E-82F8-604D2F5E38C3}"/>
    <cellStyle name="DateJL 7" xfId="3510" xr:uid="{FC0AC6AC-7604-4F7D-AD22-0A5D26727F5C}"/>
    <cellStyle name="DateJL 8" xfId="3511" xr:uid="{795D6DD8-4EC7-4B14-8BE0-E20D26C7C653}"/>
    <cellStyle name="DateTime" xfId="3512" xr:uid="{EB5EAEF2-638F-4CA9-B9AA-D6CDE1D53E49}"/>
    <cellStyle name="Dec_EA" xfId="3513" xr:uid="{A06833CA-EFC9-4D3E-BEDC-C9F85F8533AD}"/>
    <cellStyle name="Decimal nos" xfId="3514" xr:uid="{5C64CC5D-A660-476B-9A73-00A2CB979077}"/>
    <cellStyle name="Decimal nos 2" xfId="3515" xr:uid="{9C111AC5-87D0-4AA2-BBA6-99EB646B6330}"/>
    <cellStyle name="Decimal nos 2 2" xfId="3516" xr:uid="{4FB88434-68A1-4753-A8F8-A38207C69A2C}"/>
    <cellStyle name="Decimal nos 2 3" xfId="3517" xr:uid="{62FB56EF-8A65-490F-A968-29F7C3330BEC}"/>
    <cellStyle name="Decimal nos 2 4" xfId="3518" xr:uid="{941FAF53-2DD1-4924-BCB2-5391F3821E95}"/>
    <cellStyle name="Decimal nos 2 5" xfId="3519" xr:uid="{78891530-8BAC-4EBD-A7A8-863A36E2285F}"/>
    <cellStyle name="Decimal nos 3" xfId="3520" xr:uid="{D7D62800-20EF-4318-98E3-E4462A682491}"/>
    <cellStyle name="Decimal nos 4" xfId="3521" xr:uid="{CA96B5AB-52D3-415B-BA2C-987EC0028396}"/>
    <cellStyle name="Decimal nos 5" xfId="3522" xr:uid="{C62EFD43-EB07-4183-8D70-146D9119B65D}"/>
    <cellStyle name="Decimal nos 6" xfId="3523" xr:uid="{348AB026-8F24-40CD-9A72-2244401F91E8}"/>
    <cellStyle name="Decimal nos 7" xfId="3524" xr:uid="{780BA5BB-28BD-4EDB-96F7-DC68CE1BD906}"/>
    <cellStyle name="Decimal nos 8" xfId="3525" xr:uid="{D86874C2-C648-4230-97A5-D67FD13E0DEC}"/>
    <cellStyle name="Decimal nos acct" xfId="3526" xr:uid="{1450DA1E-C906-445C-9F34-984DE55A5909}"/>
    <cellStyle name="Decimal nos acct 2" xfId="3527" xr:uid="{B002B4B8-4347-466B-A913-DE622DD9E142}"/>
    <cellStyle name="Decimal nos acct 2 2" xfId="3528" xr:uid="{009DC20F-A89B-42FB-8396-E41A27B7DED0}"/>
    <cellStyle name="Decimal nos acct 2 3" xfId="3529" xr:uid="{52CE937D-7736-4D87-BB25-A408D60D6C86}"/>
    <cellStyle name="Decimal nos acct 2 4" xfId="3530" xr:uid="{AD2F7A85-75CE-44DB-9789-3A347D0825D4}"/>
    <cellStyle name="Decimal nos acct 2 5" xfId="3531" xr:uid="{28A72EB1-1D54-44E3-8A47-EDECAA424B60}"/>
    <cellStyle name="Decimal nos acct 3" xfId="3532" xr:uid="{D00ECE97-0571-4C7D-9522-73D5CB6E7391}"/>
    <cellStyle name="Decimal nos acct 4" xfId="3533" xr:uid="{B13B533E-83F4-41BD-B8DD-ACBB493A9C14}"/>
    <cellStyle name="Decimal nos acct 5" xfId="3534" xr:uid="{EC4053F9-3FF6-474F-9977-4B8267365F19}"/>
    <cellStyle name="Decimal nos acct 6" xfId="3535" xr:uid="{00451680-780A-438C-9FD3-849C67CEE701}"/>
    <cellStyle name="Decimal nos acct 7" xfId="3536" xr:uid="{216F1518-552F-407E-85F0-913BDEC745AC}"/>
    <cellStyle name="Decimal nos acct 8" xfId="3537" xr:uid="{65FEC233-855E-4C17-80CE-4F1E635D8B6E}"/>
    <cellStyle name="Decimal_0dp" xfId="3538" xr:uid="{8EF40039-9C2E-4027-BEBD-8A47453A4B84}"/>
    <cellStyle name="Description" xfId="3539" xr:uid="{068A6CFB-A169-4DC0-B9E4-AE1EE6541057}"/>
    <cellStyle name="Deviant" xfId="3540" xr:uid="{044542C9-668A-40C4-86D3-0E912EF42D47}"/>
    <cellStyle name="Dezimal [0]_0002VS" xfId="3541" xr:uid="{687EBC1C-4147-423B-A02C-1C5F85602E8A}"/>
    <cellStyle name="Dezimal_0002VS" xfId="3542" xr:uid="{973D691E-1D82-4A3A-B091-403BA8A2835E}"/>
    <cellStyle name="Dia" xfId="3543" xr:uid="{87405CA0-A817-4899-86E0-F9BE8BDB47D0}"/>
    <cellStyle name="DistributionType" xfId="3544" xr:uid="{88ACDBE2-0D86-4A78-9B1E-881D0FD3E750}"/>
    <cellStyle name="données" xfId="3545" xr:uid="{CA3C60F2-B685-4B7B-954A-D88B0298F6AC}"/>
    <cellStyle name="donnéesbord" xfId="3546" xr:uid="{AEA3637B-5234-49B4-9957-043FDF474070}"/>
    <cellStyle name="Dotted Line" xfId="3547" xr:uid="{26D8A4BD-A683-4726-97D5-1104C3412341}"/>
    <cellStyle name="Double" xfId="3548" xr:uid="{0F5F0D52-536D-411C-BC9B-B68F018046F1}"/>
    <cellStyle name="Encabez1" xfId="3549" xr:uid="{0E2566B1-EDB2-4A6A-9C6B-0DBA70FA3499}"/>
    <cellStyle name="Encabez2" xfId="3550" xr:uid="{3FED0751-9B86-4E9C-B372-707A60D2DEC0}"/>
    <cellStyle name="EnVision body" xfId="3551" xr:uid="{8CD60B32-AF08-4516-AB04-071F17D9DE70}"/>
    <cellStyle name="EnVision body 2" xfId="3552" xr:uid="{937E2C7A-2F99-4274-96A2-ACE729AD834D}"/>
    <cellStyle name="EnVision Header" xfId="3553" xr:uid="{52389BD1-703A-42A7-85EA-A4D0039D983A}"/>
    <cellStyle name="EnVision Header 2" xfId="3554" xr:uid="{57EDB261-5DC7-4F59-B781-94E7E89F0858}"/>
    <cellStyle name="EnVision Heading" xfId="3555" xr:uid="{3BE36933-CF97-4C6F-A028-4BD2ABAF1681}"/>
    <cellStyle name="EnVision Sub" xfId="3556" xr:uid="{579DF467-04D0-40A9-9ACA-0837D2C8A7DE}"/>
    <cellStyle name="EnVision table" xfId="3557" xr:uid="{515BE6D8-C08C-4260-9615-49445514986F}"/>
    <cellStyle name="EnVision table 2" xfId="3558" xr:uid="{6B47CE6B-A3AD-4A3A-8617-F12DA5A26A61}"/>
    <cellStyle name="EnVision table 3" xfId="3559" xr:uid="{5A42A335-83A2-4664-A2EA-13335C5AAC6A}"/>
    <cellStyle name="EnVision table 4" xfId="3560" xr:uid="{24D3B9C3-6DFF-4B32-9A15-038F44B0DFA7}"/>
    <cellStyle name="Envision Table Body" xfId="3561" xr:uid="{49836120-09BC-4DC0-BFB1-9E2987CBD2ED}"/>
    <cellStyle name="Envision Table Body 2" xfId="3562" xr:uid="{5EC5B199-5224-4331-AF91-C837BD6D5743}"/>
    <cellStyle name="Envision Table Body 3" xfId="3563" xr:uid="{E578F106-08B6-4E89-918F-14E737A696C3}"/>
    <cellStyle name="Envision Table Body 4" xfId="3564" xr:uid="{95349F56-EB84-4254-B44C-EE6D15157012}"/>
    <cellStyle name="Envision Table Body 5" xfId="3565" xr:uid="{AF947C0D-4687-475C-AF0D-41E3E2C94B0F}"/>
    <cellStyle name="Envision Table Body 6" xfId="3566" xr:uid="{EADA9D30-1A1A-4BE3-A8FE-BDC27AF2E5F7}"/>
    <cellStyle name="Envision Table Body 7" xfId="3567" xr:uid="{78045044-7A38-4610-B125-E3827289EA87}"/>
    <cellStyle name="Envision Table Body 8" xfId="3568" xr:uid="{B2BD1FBF-08A1-41BA-BD61-7127E0638F4F}"/>
    <cellStyle name="EnVision Table Heading" xfId="3569" xr:uid="{DDD7270B-A5A0-4294-9CDA-5D41FEC2CC09}"/>
    <cellStyle name="EnVision Table Heading 2" xfId="3570" xr:uid="{915C5490-ABD5-45D1-BEE1-43C3436275DF}"/>
    <cellStyle name="EnVision Table Heading 3" xfId="3571" xr:uid="{0A819BB7-F2D9-41D6-A6C5-27A4F2BEB654}"/>
    <cellStyle name="EnVision Table Heading 3 2" xfId="3572" xr:uid="{E0D017E0-7E80-49C2-B0C0-7047CFAC9C79}"/>
    <cellStyle name="EnVision Table Heading 4" xfId="3573" xr:uid="{2DBA474F-7E8F-4518-B11F-BFD26EBC0AEE}"/>
    <cellStyle name="EnVision Table Heading 5" xfId="3574" xr:uid="{6CA23728-9D4B-409F-BF14-66D325D313FF}"/>
    <cellStyle name="EnVision Table Heading 6" xfId="3575" xr:uid="{14646EB3-2740-421E-B591-427C7E178307}"/>
    <cellStyle name="EnVision Title" xfId="3576" xr:uid="{7C943FF1-3A6D-4358-85A1-7BF2DE58FAD9}"/>
    <cellStyle name="EnVision Title 2" xfId="3577" xr:uid="{032E8D31-D481-44BC-9A56-E011BA7A701B}"/>
    <cellStyle name="EnVision Title 3" xfId="3578" xr:uid="{C2CB9091-388D-40E1-BC12-1EE07F57C633}"/>
    <cellStyle name="EnVision Title 4" xfId="3579" xr:uid="{486511FD-D98F-410A-9C87-5AF456F2627B}"/>
    <cellStyle name="Euro" xfId="3580" xr:uid="{DEF52854-7030-4FD9-9092-CC320A300B26}"/>
    <cellStyle name="Euro 10" xfId="3581" xr:uid="{3103B94D-F611-4FB5-A2CC-88EA2D77D48D}"/>
    <cellStyle name="Euro 11" xfId="3582" xr:uid="{81A9ED58-A752-4A8D-A1F0-F03D0E1FC86F}"/>
    <cellStyle name="Euro 12" xfId="3583" xr:uid="{DC61D6BE-3A0E-4790-974A-FEE0D2559D42}"/>
    <cellStyle name="Euro 13" xfId="3584" xr:uid="{56B5E8D2-815E-4C5E-A07F-A5AE8FA86B9B}"/>
    <cellStyle name="Euro 14" xfId="3585" xr:uid="{D8517E78-6E48-421C-87DE-3B9BDB0B86AD}"/>
    <cellStyle name="Euro 15" xfId="3586" xr:uid="{FBC402A3-5863-4860-9651-94D3B10C643E}"/>
    <cellStyle name="Euro 16" xfId="3587" xr:uid="{4DEDF04B-5D41-4956-836A-5013A7F93479}"/>
    <cellStyle name="Euro 17" xfId="3588" xr:uid="{CAF48000-72DB-4A6C-9FFC-B6BC7D0F198E}"/>
    <cellStyle name="Euro 18" xfId="3589" xr:uid="{4EA078BD-266C-4DB1-8A5E-73DA0D9B3A24}"/>
    <cellStyle name="Euro 19" xfId="3590" xr:uid="{312BB7A9-7D82-4CBC-BA20-B3FE4E4132F1}"/>
    <cellStyle name="Euro 2" xfId="3591" xr:uid="{AC5AF1FA-D061-47F7-8C18-EAA6344F26B3}"/>
    <cellStyle name="Euro 2 2" xfId="3592" xr:uid="{6E3E37F9-50DA-43DB-AB2E-101B97E072AC}"/>
    <cellStyle name="Euro 2 3" xfId="3593" xr:uid="{8C1EA7CD-B20E-442B-905E-AFF60F1DAFF7}"/>
    <cellStyle name="Euro 2 4" xfId="3594" xr:uid="{3D1B8527-CC14-4446-9EED-04963AD1795B}"/>
    <cellStyle name="Euro 2 5" xfId="3595" xr:uid="{C516DC9A-3B92-4C59-A89C-5282EC042F8E}"/>
    <cellStyle name="Euro 2 6" xfId="3596" xr:uid="{709B0655-EDC6-4C6E-986F-CA0B57931B32}"/>
    <cellStyle name="Euro 2 7" xfId="3597" xr:uid="{5E004BAD-0C3B-47C4-80E8-EBF710DEFC39}"/>
    <cellStyle name="Euro 20" xfId="3598" xr:uid="{FD5E29FD-4FD6-4D72-846B-69253A9857EE}"/>
    <cellStyle name="Euro 21" xfId="3599" xr:uid="{832358BA-9D97-47B3-894A-BFB902449959}"/>
    <cellStyle name="Euro 22" xfId="3600" xr:uid="{06E8F174-99C7-46D9-B492-DBFB1A054FDC}"/>
    <cellStyle name="Euro 23" xfId="3601" xr:uid="{B53DAF07-4ED9-4EBF-B879-50957B3452E0}"/>
    <cellStyle name="Euro 24" xfId="3602" xr:uid="{4A6E6749-B24E-4FDA-805A-FFDAFB8B9779}"/>
    <cellStyle name="Euro 25" xfId="3603" xr:uid="{3FF6A718-9293-4F00-98C5-7955253D9E44}"/>
    <cellStyle name="Euro 26" xfId="3604" xr:uid="{41B0311D-E224-468D-A53B-1482B4125A46}"/>
    <cellStyle name="Euro 27" xfId="3605" xr:uid="{8292A4AE-4C9A-459C-B020-3294314480C0}"/>
    <cellStyle name="Euro 28" xfId="3606" xr:uid="{56993634-2F6B-4224-935B-14E37C17F6AE}"/>
    <cellStyle name="Euro 29" xfId="3607" xr:uid="{3696DB5C-6E7C-4175-89EA-04344A70E31A}"/>
    <cellStyle name="Euro 3" xfId="3608" xr:uid="{684A475D-A5A5-435D-84ED-14517BA202B3}"/>
    <cellStyle name="Euro 4" xfId="3609" xr:uid="{D4420343-E128-4730-B9DB-7447B4C6D5C8}"/>
    <cellStyle name="Euro 5" xfId="3610" xr:uid="{46035CD3-82C3-40B0-BF11-4E7B7CDB23FA}"/>
    <cellStyle name="Euro 6" xfId="3611" xr:uid="{8A5AAF34-DC4F-44EF-BCC4-CB1EA50C0596}"/>
    <cellStyle name="Euro 7" xfId="3612" xr:uid="{C47699AB-C0BA-4E2C-9BCC-3BE1FDA68E49}"/>
    <cellStyle name="Euro 8" xfId="3613" xr:uid="{5C0DA43E-FF41-4A8B-9567-CC1CA3F02BFA}"/>
    <cellStyle name="Euro 9" xfId="3614" xr:uid="{5331EAF3-7335-4536-92E5-3B1C440E85DB}"/>
    <cellStyle name="Explanatory Text 10" xfId="3615" xr:uid="{0D35DD14-9D35-4E5D-A8AC-A0BB0CC4DF00}"/>
    <cellStyle name="Explanatory Text 11" xfId="3616" xr:uid="{DE0B732C-D32A-4346-B130-B4D5620C46A0}"/>
    <cellStyle name="Explanatory Text 12" xfId="3617" xr:uid="{D97B69B0-1747-48F7-BC5A-17C49769B91B}"/>
    <cellStyle name="Explanatory Text 13" xfId="3618" xr:uid="{FB1AE2D6-4BE8-4449-9034-B092EDD25A1E}"/>
    <cellStyle name="Explanatory Text 14" xfId="3619" xr:uid="{AC8C611E-3435-4C4A-9C82-11E9316A38AE}"/>
    <cellStyle name="Explanatory Text 15" xfId="3620" xr:uid="{B89E1B3E-F333-4DF6-BBE7-F2A00D524678}"/>
    <cellStyle name="Explanatory Text 16" xfId="3621" xr:uid="{636CFC0D-6D7B-4949-9372-39AA8E23ABDA}"/>
    <cellStyle name="Explanatory Text 17" xfId="3622" xr:uid="{9F3D3723-9FFD-4EE7-9514-5FC52DD81408}"/>
    <cellStyle name="Explanatory Text 18" xfId="3623" xr:uid="{EED8DEE8-1722-4330-BE3E-7E4002950DAF}"/>
    <cellStyle name="Explanatory Text 19" xfId="3624" xr:uid="{53E93D1A-7B3F-46B8-A9FF-A58CC9B335B1}"/>
    <cellStyle name="Explanatory Text 2" xfId="3625" xr:uid="{80ED154C-8B83-4CDF-A469-36122D7AB63C}"/>
    <cellStyle name="Explanatory Text 2 2" xfId="3626" xr:uid="{05C5D95F-9D61-4616-8802-514592A974A0}"/>
    <cellStyle name="Explanatory Text 2 2 2" xfId="3627" xr:uid="{7E6E5E89-F48B-44B5-97E5-EBCC5752C95B}"/>
    <cellStyle name="Explanatory Text 2 3" xfId="3628" xr:uid="{71F707FC-AE93-449A-9A18-44154B82B0E7}"/>
    <cellStyle name="Explanatory Text 2 4" xfId="3629" xr:uid="{B9321BD4-6D7C-40CE-8BC0-CD4524E242E7}"/>
    <cellStyle name="Explanatory Text 2 5" xfId="3630" xr:uid="{1BA4E75D-2770-4D13-8E1E-8AFB5A1A2B39}"/>
    <cellStyle name="Explanatory Text 20" xfId="3631" xr:uid="{BBF6A98E-1D1F-4EC2-A787-267274CB20E0}"/>
    <cellStyle name="Explanatory Text 21" xfId="3632" xr:uid="{9B172997-4215-465E-9795-590267175A0D}"/>
    <cellStyle name="Explanatory Text 22" xfId="3633" xr:uid="{F789DF2A-C7C6-4C6E-A9A3-A0067EE0725F}"/>
    <cellStyle name="Explanatory Text 23" xfId="3634" xr:uid="{6C5FE23D-6F12-456F-99AE-1BA8312B0338}"/>
    <cellStyle name="Explanatory Text 24" xfId="3635" xr:uid="{22EA1785-75B7-4377-9C42-73D5D144BFAE}"/>
    <cellStyle name="Explanatory Text 25" xfId="3636" xr:uid="{50015133-B2CE-4D1D-B2FD-83F3FBA3616B}"/>
    <cellStyle name="Explanatory Text 26" xfId="3637" xr:uid="{770585DC-996F-420F-9082-02BF74D52AED}"/>
    <cellStyle name="Explanatory Text 27" xfId="3638" xr:uid="{5B19BCA8-134A-41FE-8806-5B34E7F19FFC}"/>
    <cellStyle name="Explanatory Text 28" xfId="3639" xr:uid="{187B5DAB-1415-47E5-8875-6372D343274C}"/>
    <cellStyle name="Explanatory Text 29" xfId="3640" xr:uid="{020193DA-6B04-4356-96BF-5038366D6247}"/>
    <cellStyle name="Explanatory Text 3" xfId="3641" xr:uid="{DC2BDA18-0CF4-43E8-AA59-6D9D19B6D079}"/>
    <cellStyle name="Explanatory Text 3 2" xfId="3642" xr:uid="{45EF88DF-E7B9-48E9-97D3-FD565A726FF4}"/>
    <cellStyle name="Explanatory Text 30" xfId="3643" xr:uid="{0399870B-9922-4093-BBAA-54888DD49087}"/>
    <cellStyle name="Explanatory Text 31" xfId="3644" xr:uid="{6968732F-3C1A-4ED0-A502-CA87393606C9}"/>
    <cellStyle name="Explanatory Text 32" xfId="3645" xr:uid="{EEC797EC-81BA-4D6E-8ACF-0273AC6B1FA3}"/>
    <cellStyle name="Explanatory Text 33" xfId="3646" xr:uid="{36EEE6C2-AB4C-42CF-89C4-6B1EA25DF3A3}"/>
    <cellStyle name="Explanatory Text 34" xfId="3647" xr:uid="{D3FB0E1F-B06C-4203-A3BA-6A27CEE357A7}"/>
    <cellStyle name="Explanatory Text 35" xfId="3648" xr:uid="{ADE58F84-E64C-4ECB-B31C-73A99B41C294}"/>
    <cellStyle name="Explanatory Text 35 2" xfId="3649" xr:uid="{E1B61B7B-8868-4387-8165-BEBC5ED6C8DC}"/>
    <cellStyle name="Explanatory Text 35 2 2" xfId="3650" xr:uid="{AE9108C1-E37B-4161-9AF9-772B6685CB0C}"/>
    <cellStyle name="Explanatory Text 35 2 2 2" xfId="3651" xr:uid="{64FE1506-1325-42CE-8D91-9898E9F83A8A}"/>
    <cellStyle name="Explanatory Text 35 3" xfId="3652" xr:uid="{E3A7040A-4C08-4F32-9DEC-23A032B81616}"/>
    <cellStyle name="Explanatory Text 35 4" xfId="3653" xr:uid="{48FD9CA3-32BC-4BB3-A726-0B87175369A4}"/>
    <cellStyle name="Explanatory Text 36" xfId="3654" xr:uid="{EFD0D90E-3286-48AF-A583-453765BBE384}"/>
    <cellStyle name="Explanatory Text 37" xfId="3655" xr:uid="{2E4817FD-A209-4204-A0C7-3AA413D5D06A}"/>
    <cellStyle name="Explanatory Text 38" xfId="3656" xr:uid="{31953CF7-B2A7-48D8-9FC8-350A30B1AA87}"/>
    <cellStyle name="Explanatory Text 39" xfId="3657" xr:uid="{7F74DB11-E9BF-45AA-B44F-9CE2BB17C356}"/>
    <cellStyle name="Explanatory Text 4" xfId="3658" xr:uid="{8CF61E16-40C2-479A-9D4B-006A1774CD73}"/>
    <cellStyle name="Explanatory Text 40" xfId="3659" xr:uid="{1865B500-9C75-4FF3-9A79-11A5DE2370C7}"/>
    <cellStyle name="Explanatory Text 41" xfId="3660" xr:uid="{802D68D0-CFF9-4338-8A01-4A6755129266}"/>
    <cellStyle name="Explanatory Text 42" xfId="3661" xr:uid="{9A26E88D-FC69-4BF0-B0CC-9DBE7842E38F}"/>
    <cellStyle name="Explanatory Text 43" xfId="3662" xr:uid="{5456DB3C-247C-4F62-A409-73D8F9B1DC35}"/>
    <cellStyle name="Explanatory Text 44" xfId="3663" xr:uid="{FD0FC7D2-7EA8-42D2-AE95-6AFF22F2E272}"/>
    <cellStyle name="Explanatory Text 45" xfId="3664" xr:uid="{BC07CF03-D946-4477-810C-FCDB8C5BD0F2}"/>
    <cellStyle name="Explanatory Text 46" xfId="3665" xr:uid="{6B2C5A2B-7B93-438D-B570-2CF0F2D7BA28}"/>
    <cellStyle name="Explanatory Text 47" xfId="3666" xr:uid="{68829642-2B1A-4DB3-AD16-D159EC5CCA56}"/>
    <cellStyle name="Explanatory Text 48" xfId="3667" xr:uid="{E9605A3A-413E-4D95-99F5-5929D22B912A}"/>
    <cellStyle name="Explanatory Text 49" xfId="3668" xr:uid="{4464296F-720D-4070-ADBC-C93C71BAA2B7}"/>
    <cellStyle name="Explanatory Text 5" xfId="3669" xr:uid="{2DB3A957-1A92-43CE-8251-1B3F86BDAF5B}"/>
    <cellStyle name="Explanatory Text 50" xfId="3670" xr:uid="{30694F36-2127-4E83-BD1E-DA7CCD02E392}"/>
    <cellStyle name="Explanatory Text 51" xfId="3671" xr:uid="{2C8369C6-E0FB-4CF8-9335-1737798F4BBD}"/>
    <cellStyle name="Explanatory Text 52" xfId="3672" xr:uid="{46980188-197F-4060-9D20-234424F19EAA}"/>
    <cellStyle name="Explanatory Text 53" xfId="3673" xr:uid="{CB928E5E-EC0B-4EFC-8E26-3D29D7C52DF1}"/>
    <cellStyle name="Explanatory Text 54" xfId="3674" xr:uid="{74DE6334-B4E0-4990-9757-5C8AA506EE24}"/>
    <cellStyle name="Explanatory Text 55" xfId="3675" xr:uid="{A72C8E39-0287-4F2C-8A25-E8B036C26B1F}"/>
    <cellStyle name="Explanatory Text 56" xfId="3676" xr:uid="{66DAC9F4-C7EA-4A42-84DD-67715ACF14E1}"/>
    <cellStyle name="Explanatory Text 57" xfId="3677" xr:uid="{6B0B8551-5223-41FA-AEF1-393CB09AD1E8}"/>
    <cellStyle name="Explanatory Text 58" xfId="3678" xr:uid="{58F7AD91-183F-441B-B17C-002AAD556AE7}"/>
    <cellStyle name="Explanatory Text 59" xfId="3679" xr:uid="{9CDEC5C7-A4C7-4869-9122-90635A25923D}"/>
    <cellStyle name="Explanatory Text 6" xfId="3680" xr:uid="{0418C7D5-5660-4CA1-BE03-7A2192095CA6}"/>
    <cellStyle name="Explanatory Text 60" xfId="3681" xr:uid="{769D5FEC-A06D-4774-B612-79B02B1FCB72}"/>
    <cellStyle name="Explanatory Text 60 2" xfId="3682" xr:uid="{4514DC65-F405-452A-AEA7-14FD9101E4C5}"/>
    <cellStyle name="Explanatory Text 60 2 2" xfId="3683" xr:uid="{BBB6C38D-1EA2-43B5-A17D-E5B0F271A831}"/>
    <cellStyle name="Explanatory Text 60 2 3" xfId="3684" xr:uid="{7B26175D-F0CC-4DF8-B5CC-4E1CA7F06204}"/>
    <cellStyle name="Explanatory Text 61" xfId="3685" xr:uid="{688E5F76-FF19-48C9-97B0-19CAE8D95144}"/>
    <cellStyle name="Explanatory Text 62" xfId="3686" xr:uid="{1C5E3DA3-73A8-4FE1-A5F0-412AB7A42746}"/>
    <cellStyle name="Explanatory Text 63" xfId="3687" xr:uid="{4EB16573-1FE1-4555-BDA1-3C09B9624012}"/>
    <cellStyle name="Explanatory Text 64" xfId="3688" xr:uid="{E7FBB776-3606-4BD4-A655-7767E32990DC}"/>
    <cellStyle name="Explanatory Text 65" xfId="3689" xr:uid="{9F3BC265-1AD2-4391-BE68-D8BFC4980F55}"/>
    <cellStyle name="Explanatory Text 7" xfId="3690" xr:uid="{502351B7-EB05-4671-B49A-56D131EC4F4E}"/>
    <cellStyle name="Explanatory Text 8" xfId="3691" xr:uid="{31085247-AEEA-4982-9EC6-B71731EE12EF}"/>
    <cellStyle name="Explanatory Text 9" xfId="3692" xr:uid="{09A3843A-2B5D-433F-8CEA-16A180559022}"/>
    <cellStyle name="EYBlocked" xfId="3693" xr:uid="{CBBDABB4-312E-4634-8958-D2C59437D86A}"/>
    <cellStyle name="EYCallUp" xfId="3694" xr:uid="{8C8ABC0B-256A-40D6-BAEF-09B836C4C36A}"/>
    <cellStyle name="EYCheck" xfId="3695" xr:uid="{0619ED0D-E78E-40B8-A9F9-3DFF7DEE90AF}"/>
    <cellStyle name="EYDate" xfId="3696" xr:uid="{EBBBDCC8-07B4-4518-A935-48668011C4FB}"/>
    <cellStyle name="EYDeviant" xfId="3697" xr:uid="{58345C04-C438-465A-97ED-E7678768BD23}"/>
    <cellStyle name="EYFlag" xfId="3698" xr:uid="{AE2C5116-518F-478D-B30C-69E17BF7675E}"/>
    <cellStyle name="EYHeader1" xfId="3699" xr:uid="{8F746707-3F74-4BBE-896E-A840708B3F57}"/>
    <cellStyle name="EYHeader2" xfId="3700" xr:uid="{7D0F4E98-2C20-4851-BBBA-8CFE7A22B5AA}"/>
    <cellStyle name="EYHeader3" xfId="3701" xr:uid="{7B70A25C-A62B-4D66-9207-AC7B3720AA52}"/>
    <cellStyle name="EYInputDate" xfId="3702" xr:uid="{B9E32202-7D3E-4508-9884-0701A1023CB4}"/>
    <cellStyle name="EYInputPercent" xfId="3703" xr:uid="{5BFAF63C-79DB-4701-8D2C-3FF2AC9193E4}"/>
    <cellStyle name="EYInputValue" xfId="3704" xr:uid="{21CCAA43-C6E3-425C-90FB-9EDC0D89AA14}"/>
    <cellStyle name="EYNormal" xfId="3705" xr:uid="{F626F7C0-7DE2-4BF7-BF84-728CE560CCCA}"/>
    <cellStyle name="EYPercent" xfId="3706" xr:uid="{BA98DEFF-C82E-44D3-AD3F-8FB4071A9BB7}"/>
    <cellStyle name="EYPercentCapped" xfId="3707" xr:uid="{4782F154-9E69-4087-BDB6-33D6F44D284B}"/>
    <cellStyle name="EYSubTotal" xfId="3708" xr:uid="{53D1F7E1-7414-4EB0-A2C1-012967F6DCF1}"/>
    <cellStyle name="EYTotal" xfId="3709" xr:uid="{0EF24CA1-7E8A-4C1C-A1F2-9C4E9B5E2C3F}"/>
    <cellStyle name="EYWIP" xfId="3710" xr:uid="{2468A34B-5EE3-4848-B14E-FAD60F886224}"/>
    <cellStyle name="F2" xfId="3711" xr:uid="{C15BB35A-3463-4734-A198-BF6FDF916C82}"/>
    <cellStyle name="F3" xfId="3712" xr:uid="{FE643F5F-BD4E-4A43-A5DB-F6223348CCB7}"/>
    <cellStyle name="F4" xfId="3713" xr:uid="{EEF6B1A4-8A63-4D4E-BB3F-E8611B73723E}"/>
    <cellStyle name="F5" xfId="3714" xr:uid="{C86373B0-83A2-4877-B517-F43A1E458E0F}"/>
    <cellStyle name="F6" xfId="3715" xr:uid="{F262519A-E174-4463-B1B6-407DAB7DC944}"/>
    <cellStyle name="F7" xfId="3716" xr:uid="{17F4EB14-6FD6-4CA7-A3C1-4D2081BBE405}"/>
    <cellStyle name="F8" xfId="3717" xr:uid="{EA43BF3C-470B-4AE0-AB89-9F2F81AB9B83}"/>
    <cellStyle name="Fijo" xfId="3718" xr:uid="{D09ACA16-CB2D-42FF-A52D-3CF065EFEF42}"/>
    <cellStyle name="Filler" xfId="3719" xr:uid="{ED12CEFF-8A42-4D83-A52A-A91928A09854}"/>
    <cellStyle name="Filler 2" xfId="3720" xr:uid="{FFB9E6E7-4D49-4168-8B88-72321B995C60}"/>
    <cellStyle name="Filler 3" xfId="3721" xr:uid="{70FE5F9F-FA26-42A7-A2AA-AB2826C8AAF8}"/>
    <cellStyle name="Filler 4" xfId="3722" xr:uid="{F0A42743-E361-4B2D-950A-D4FA7D63667C}"/>
    <cellStyle name="Filler 5" xfId="3723" xr:uid="{1651460A-A573-4272-B20B-46B1B7F2E09A}"/>
    <cellStyle name="Filler 6" xfId="3724" xr:uid="{B0EA0D63-C8C7-46BF-96CA-34BCEF9B528D}"/>
    <cellStyle name="Financiero" xfId="3725" xr:uid="{8A7E48A1-8499-4704-9E22-9950A873F43F}"/>
    <cellStyle name="Fixed" xfId="3726" xr:uid="{021D8657-BB79-4005-8000-265A343B33FF}"/>
    <cellStyle name="Fixed 2" xfId="3727" xr:uid="{8071011C-0408-44A1-B576-C7BCEED76551}"/>
    <cellStyle name="Fixed1 - Style1" xfId="3728" xr:uid="{C6EBC41A-586B-46CF-A640-2D24C5A7AA53}"/>
    <cellStyle name="Flag" xfId="3729" xr:uid="{B63B8C8E-9CBD-4855-9F31-71B6597769A9}"/>
    <cellStyle name="Flash" xfId="3730" xr:uid="{A654AF2D-465B-4ED2-870E-21D6A2425E0E}"/>
    <cellStyle name="Fonts" xfId="3731" xr:uid="{9E51EFB0-AB7F-483F-BFB5-3CEF47CB1294}"/>
    <cellStyle name="Footer SBILogo1" xfId="3732" xr:uid="{E9FD72E8-3BC7-434D-B578-E6CE5B285EF2}"/>
    <cellStyle name="Footer SBILogo2" xfId="3733" xr:uid="{21871678-60F4-4C6B-A563-AE83851196F9}"/>
    <cellStyle name="Footnote" xfId="3734" xr:uid="{2A79AEF5-4563-4D25-8F22-8D8D8D177007}"/>
    <cellStyle name="footnote ref" xfId="3735" xr:uid="{C2ACACCB-E2A3-4C8C-B36D-4F5C6C2F64BB}"/>
    <cellStyle name="Footnote Reference" xfId="3736" xr:uid="{3288037E-E3B0-4C22-AA3B-1F757145A105}"/>
    <cellStyle name="footnote text" xfId="3737" xr:uid="{9FBE43EC-9C88-49F0-BB5D-891EE143D6C3}"/>
    <cellStyle name="Footnote_% Change" xfId="3738" xr:uid="{9569B68A-C540-44C6-84C2-AA9DF91EA5D2}"/>
    <cellStyle name="Forecast Cell Column Heading" xfId="3739" xr:uid="{BD3DDD83-F193-4157-8C6A-8FCEEA88268E}"/>
    <cellStyle name="Forecast Cell Column Heading 2" xfId="3740" xr:uid="{5F19F9A9-223E-4E74-A58B-837E7B9DBC4B}"/>
    <cellStyle name="Forecast Cell Column Heading 3" xfId="3741" xr:uid="{D0D7351E-47FC-41C5-A929-39346C3C2B5D}"/>
    <cellStyle name="Forecast Cell Column Heading 4" xfId="3742" xr:uid="{5AE87089-7D9D-43DC-8D8C-382283A2DCC4}"/>
    <cellStyle name="Forecast Cell Column Heading 5" xfId="3743" xr:uid="{1534C690-1084-479A-84D2-1A6C81C20501}"/>
    <cellStyle name="Forecast Cell Column Heading 6" xfId="3744" xr:uid="{40DC6A4C-3D2A-4D88-B4CD-38D46D3E8E6F}"/>
    <cellStyle name="Forecast Cell Column Heading 7" xfId="3745" xr:uid="{66B0E597-DD9C-42E6-9C9C-FF01B8A52367}"/>
    <cellStyle name="Forecast Cell Column Heading 8" xfId="3746" xr:uid="{417E679D-EE3C-4530-96DE-72BFAD549CFD}"/>
    <cellStyle name="Forecast Cell Column Heading 9" xfId="3747" xr:uid="{C8B884C6-6930-4366-B02C-D3A8C73CF267}"/>
    <cellStyle name="Formula_RP" xfId="3748" xr:uid="{ABECF6D2-2DBD-4751-A080-0A41D199839F}"/>
    <cellStyle name="FormulaLbl_RP" xfId="3749" xr:uid="{2BA2EBEF-BAED-4A16-B762-3B425E302B8E}"/>
    <cellStyle name="General" xfId="3750" xr:uid="{920AE123-1C63-42B3-9A07-978814092D0F}"/>
    <cellStyle name="General 2" xfId="3751" xr:uid="{5625497B-AC93-4AF1-A7AF-33895C9CC332}"/>
    <cellStyle name="General 2 2" xfId="3752" xr:uid="{B781FAC8-2C05-4FFD-B2B9-BCE6F0F7D1AE}"/>
    <cellStyle name="General 3" xfId="3753" xr:uid="{A1C07B69-56EC-400F-A8FC-F6F67CC8E004}"/>
    <cellStyle name="Good 10" xfId="3754" xr:uid="{2C3AE843-D247-4279-8B6A-D44D01C37DF1}"/>
    <cellStyle name="Good 11" xfId="3755" xr:uid="{834B34EA-49EA-4FB1-A798-956DB906205D}"/>
    <cellStyle name="Good 12" xfId="3756" xr:uid="{3E1725FD-679B-432F-A3A0-106142BDD404}"/>
    <cellStyle name="Good 13" xfId="3757" xr:uid="{60D0E550-F5D0-440F-8B65-997C1A6404E6}"/>
    <cellStyle name="Good 14" xfId="3758" xr:uid="{C8F810D8-ED3F-490A-82BF-8AAC960029AA}"/>
    <cellStyle name="Good 15" xfId="3759" xr:uid="{6EA500E7-627E-4ABC-BBAD-B7D255030873}"/>
    <cellStyle name="Good 16" xfId="3760" xr:uid="{5BB49DA1-2829-403D-A4F8-FB9701EC67CD}"/>
    <cellStyle name="Good 17" xfId="3761" xr:uid="{6323FE9D-97E8-4F10-A1F3-67A386F9ACB8}"/>
    <cellStyle name="Good 18" xfId="3762" xr:uid="{A0D2B041-4C74-4821-8620-8988D55A6D29}"/>
    <cellStyle name="Good 19" xfId="3763" xr:uid="{F21C5FE6-36F0-40A0-909F-F602A8A0C649}"/>
    <cellStyle name="Good 2" xfId="3764" xr:uid="{456D572A-3B37-47AD-9DFB-3A1E3A950C18}"/>
    <cellStyle name="Good 2 2" xfId="3765" xr:uid="{B1B45206-C611-423A-AB87-D402400CBEDF}"/>
    <cellStyle name="Good 2 2 2" xfId="3766" xr:uid="{B6A7CF11-3369-460D-85F6-C1C24CB20E5A}"/>
    <cellStyle name="Good 2 2 3" xfId="3767" xr:uid="{8C7EA45E-637E-4CA4-9EBA-27A78F48EA86}"/>
    <cellStyle name="Good 2 3" xfId="3768" xr:uid="{F58308D9-A8EB-481E-9DCB-60576356BE21}"/>
    <cellStyle name="Good 2 4" xfId="3769" xr:uid="{83A9FCCB-5EA8-406A-BEA5-39F080AC69D2}"/>
    <cellStyle name="Good 2 5" xfId="3770" xr:uid="{8EE421A3-3F4A-4E78-BF83-65D043AC7F94}"/>
    <cellStyle name="Good 20" xfId="3771" xr:uid="{205E7A94-1C9F-4FB6-8016-08A582804AD0}"/>
    <cellStyle name="Good 21" xfId="3772" xr:uid="{8925686A-1017-44EC-B4C8-2DEBF37AE63D}"/>
    <cellStyle name="Good 22" xfId="3773" xr:uid="{A6BB9F51-C274-4494-BB6E-62D681042A92}"/>
    <cellStyle name="Good 23" xfId="3774" xr:uid="{3767D2A5-635C-4B68-BFF0-58D52B8D9D47}"/>
    <cellStyle name="Good 24" xfId="3775" xr:uid="{E21B24A1-A9DF-4FAE-B2AF-B5B382AB9C47}"/>
    <cellStyle name="Good 25" xfId="3776" xr:uid="{971C4882-F342-4BFC-9201-FA3D2B03AC5C}"/>
    <cellStyle name="Good 26" xfId="3777" xr:uid="{639D9B1F-3FB9-4BB6-992F-0F42A1A04634}"/>
    <cellStyle name="Good 27" xfId="3778" xr:uid="{CE6EFBCB-993C-4477-9B0C-400C087B77DC}"/>
    <cellStyle name="Good 28" xfId="3779" xr:uid="{A203DE73-5A99-4A52-9909-6524E467202B}"/>
    <cellStyle name="Good 29" xfId="3780" xr:uid="{6EFDF61B-E93B-4B50-8668-253F55D7BF1F}"/>
    <cellStyle name="Good 3" xfId="3781" xr:uid="{31DD0997-6169-45DC-82C3-5E8CAF73D9FC}"/>
    <cellStyle name="Good 3 2" xfId="3782" xr:uid="{749E3965-0CF7-4A2C-8888-FBEE51CB36C0}"/>
    <cellStyle name="Good 3 3" xfId="3783" xr:uid="{CB2B670A-681E-4BF6-9F37-578544645040}"/>
    <cellStyle name="Good 30" xfId="3784" xr:uid="{58E4D87C-8B57-4366-ACA5-09A20FB49928}"/>
    <cellStyle name="Good 31" xfId="3785" xr:uid="{E5F74E13-5789-4932-B661-5A68CDFB1B9F}"/>
    <cellStyle name="Good 32" xfId="3786" xr:uid="{FB6D9AA8-328B-4180-968D-A126FB144AC5}"/>
    <cellStyle name="Good 33" xfId="3787" xr:uid="{DD5ED0A1-F90B-4353-8D49-3BEEFFF5DA59}"/>
    <cellStyle name="Good 34" xfId="3788" xr:uid="{1FE8870B-8709-45F3-AAEB-ECFD6EE635E7}"/>
    <cellStyle name="Good 35" xfId="3789" xr:uid="{F7354BDF-4C5E-4608-9604-FF3AD34D2EF7}"/>
    <cellStyle name="Good 35 2" xfId="3790" xr:uid="{988C5928-FAD0-4516-9ECE-3947A30AB9C0}"/>
    <cellStyle name="Good 35 2 2" xfId="3791" xr:uid="{B9387FFF-E10D-4FD0-BF81-FB8A566A2D74}"/>
    <cellStyle name="Good 35 2 2 2" xfId="3792" xr:uid="{1123062D-E7C6-4985-AD5C-B3404E178217}"/>
    <cellStyle name="Good 35 3" xfId="3793" xr:uid="{16BDDB62-C6DD-4FE8-82A3-D3C1CCC93308}"/>
    <cellStyle name="Good 35 4" xfId="3794" xr:uid="{F06D8AFD-E029-425C-BC84-F29F3E8EE940}"/>
    <cellStyle name="Good 36" xfId="3795" xr:uid="{4775AD88-C4E1-426D-8222-96E2D420FB94}"/>
    <cellStyle name="Good 37" xfId="3796" xr:uid="{9F80C935-C10A-4BA2-B2A8-057300C20082}"/>
    <cellStyle name="Good 38" xfId="3797" xr:uid="{ECBC31F6-2A6A-4268-800B-DE43749C3416}"/>
    <cellStyle name="Good 39" xfId="3798" xr:uid="{72FBC0CC-6DF0-4C4F-B866-6DD1AB5E817F}"/>
    <cellStyle name="Good 4" xfId="3799" xr:uid="{B3448765-5E4B-4A33-8FB5-D493F7DEDC64}"/>
    <cellStyle name="Good 4 2" xfId="3800" xr:uid="{3F504F07-C129-45D6-8EBB-F594DCA77E49}"/>
    <cellStyle name="Good 40" xfId="3801" xr:uid="{27AF24A4-0A85-46F6-AB12-591C57F594A7}"/>
    <cellStyle name="Good 41" xfId="3802" xr:uid="{14545086-8638-4743-865F-9779E16EEC11}"/>
    <cellStyle name="Good 42" xfId="3803" xr:uid="{FE7A95C3-C8C5-4941-A33F-3140C6D27814}"/>
    <cellStyle name="Good 43" xfId="3804" xr:uid="{5A17E3D2-6C0D-46A7-B704-914FCE519345}"/>
    <cellStyle name="Good 44" xfId="3805" xr:uid="{751BF1EC-9AB6-4B8F-8B91-2BE8DA87C826}"/>
    <cellStyle name="Good 45" xfId="3806" xr:uid="{8484B22C-85B1-4F1B-A99C-6D77976B011B}"/>
    <cellStyle name="Good 46" xfId="3807" xr:uid="{1091C5BB-4F97-4BB1-8F21-E819DFCC8345}"/>
    <cellStyle name="Good 47" xfId="3808" xr:uid="{129A99A0-5DBB-4AC2-8F49-EB58502A4A6D}"/>
    <cellStyle name="Good 48" xfId="3809" xr:uid="{49BE8275-0FDC-464B-96BE-8858BC77DFD9}"/>
    <cellStyle name="Good 49" xfId="3810" xr:uid="{7AB3BADC-0B68-44CE-BAA8-8552C65DD173}"/>
    <cellStyle name="Good 5" xfId="3811" xr:uid="{A833E16E-E824-4EFB-B8D9-8ED30DA39EF3}"/>
    <cellStyle name="Good 50" xfId="3812" xr:uid="{85B6DB09-86E3-416A-B280-2AFD381D556B}"/>
    <cellStyle name="Good 51" xfId="3813" xr:uid="{E93101FC-3A74-4738-8B51-ED95BFDCAE3E}"/>
    <cellStyle name="Good 52" xfId="3814" xr:uid="{56314BC6-32A0-4555-8571-A49A280D12BE}"/>
    <cellStyle name="Good 53" xfId="3815" xr:uid="{E26E179E-08ED-49F8-A0C7-02B926D4DD62}"/>
    <cellStyle name="Good 54" xfId="3816" xr:uid="{39A16A95-BBB3-4602-9DE4-80D3AB4D34F2}"/>
    <cellStyle name="Good 55" xfId="3817" xr:uid="{6F329159-AA8B-415F-B99C-5F9D45E1D3E6}"/>
    <cellStyle name="Good 56" xfId="3818" xr:uid="{B62A5498-1AC6-4B5F-ACA0-D9EEF0FC7852}"/>
    <cellStyle name="Good 57" xfId="3819" xr:uid="{B92BFB88-53BE-40B6-94B1-617183CAB2AC}"/>
    <cellStyle name="Good 58" xfId="3820" xr:uid="{77A9BC05-5895-4382-B697-C6EF08861637}"/>
    <cellStyle name="Good 59" xfId="3821" xr:uid="{7D424283-CF9C-42E0-BAEA-C2DCB6C845D7}"/>
    <cellStyle name="Good 6" xfId="3822" xr:uid="{FA936584-90EB-4008-9B93-92BC17C71BF0}"/>
    <cellStyle name="Good 60" xfId="3823" xr:uid="{DA971F96-343B-4319-A021-DC69CF35E4BB}"/>
    <cellStyle name="Good 60 2" xfId="3824" xr:uid="{C2E1B0C9-2148-4B8F-BB69-8546B66F9AE9}"/>
    <cellStyle name="Good 60 2 2" xfId="3825" xr:uid="{CB884396-8FBE-40C1-A2BA-D2B85F4134B6}"/>
    <cellStyle name="Good 60 2 3" xfId="3826" xr:uid="{F3F28406-A89C-4491-A7AD-D359A62489BB}"/>
    <cellStyle name="Good 61" xfId="3827" xr:uid="{7FD7B74B-8059-493A-9B8B-38AAC42FB708}"/>
    <cellStyle name="Good 62" xfId="3828" xr:uid="{5C8B0904-8BE3-4037-BC73-43E43806FCCF}"/>
    <cellStyle name="Good 63" xfId="3829" xr:uid="{AB3E70F0-F7AE-46D1-B985-E473E8E1708B}"/>
    <cellStyle name="Good 64" xfId="3830" xr:uid="{4E4F1D39-2ABC-4A14-934A-E34193E7AC59}"/>
    <cellStyle name="Good 65" xfId="3831" xr:uid="{7E12244F-AAD5-430E-910E-3E135B7DE274}"/>
    <cellStyle name="Good 7" xfId="3832" xr:uid="{B467B878-03D6-4460-8968-17E9B156902B}"/>
    <cellStyle name="Good 8" xfId="3833" xr:uid="{320CDF36-37CD-4E8E-B6D6-B751DDADA511}"/>
    <cellStyle name="Good 9" xfId="3834" xr:uid="{9DA2B0E7-C0EC-45B6-8EF9-9C68B26839E6}"/>
    <cellStyle name="Grey" xfId="3835" xr:uid="{A44AF56C-0C51-4EFF-9B39-B0D0A99BD022}"/>
    <cellStyle name="Grey 2" xfId="3836" xr:uid="{CF22A0AD-11E4-4011-A09E-22254DC38AD6}"/>
    <cellStyle name="Group" xfId="3837" xr:uid="{6E5B5CD1-C5AC-4ACA-8AA7-80E61E5A3AA1}"/>
    <cellStyle name="GroupNote" xfId="3838" xr:uid="{ABB00944-BFEF-4B62-A384-25EA5565B6E4}"/>
    <cellStyle name="Hard Percent" xfId="3839" xr:uid="{91773DD1-B85D-4F78-A47D-A5BFA0681532}"/>
    <cellStyle name="HardCodeCalc" xfId="3840" xr:uid="{888F972C-30DC-43EA-972E-F4DDF3DC44FD}"/>
    <cellStyle name="head11a" xfId="3841" xr:uid="{4A550BF9-D279-4FB9-9ADC-2AAA9E52E631}"/>
    <cellStyle name="head11b" xfId="3842" xr:uid="{777CF13C-B05D-4059-B32C-4E96D9FBA305}"/>
    <cellStyle name="head11c" xfId="3843" xr:uid="{6EC62821-8484-43F6-B024-222E0AEA38C2}"/>
    <cellStyle name="head14" xfId="3844" xr:uid="{D56778F6-97D4-4A03-8C4D-59E621CCF95E}"/>
    <cellStyle name="headd" xfId="3845" xr:uid="{BB5170C4-ED87-4B93-8234-DAFFCAE5AEE5}"/>
    <cellStyle name="Header" xfId="3846" xr:uid="{5B001EB2-2825-41C6-981A-3CE66DDD53D8}"/>
    <cellStyle name="Header 2" xfId="3847" xr:uid="{CE2EB9E8-6BFB-4AC1-B035-4A9BCEC69EA6}"/>
    <cellStyle name="Header Draft Stamp" xfId="3848" xr:uid="{AE4ED22A-8ECF-44ED-AB47-1F3C35E0CB37}"/>
    <cellStyle name="Header_% Change" xfId="3849" xr:uid="{7F75186C-AC96-471A-9B9E-2C5A3A03DA95}"/>
    <cellStyle name="Header1" xfId="3850" xr:uid="{3F015F82-D8E8-4AA6-86D5-B7A8D1982035}"/>
    <cellStyle name="Header2" xfId="3851" xr:uid="{E5729AC3-93CF-47CE-80A0-E55CD01943AB}"/>
    <cellStyle name="HeaderLabel" xfId="3852" xr:uid="{1EBE5469-206B-46F6-8A8E-4947ED327FBA}"/>
    <cellStyle name="HeaderText" xfId="3853" xr:uid="{07CB53E0-06B8-485B-A898-E25AD06883FC}"/>
    <cellStyle name="Heading" xfId="3854" xr:uid="{7B2EEF1B-CA9F-4066-AF27-BE73B0615171}"/>
    <cellStyle name="Heading 1 10" xfId="3855" xr:uid="{9ADB46A5-3309-48DA-93F6-B3D589D6620C}"/>
    <cellStyle name="Heading 1 11" xfId="3856" xr:uid="{83EFE8DB-CF91-4D68-B4ED-98080FDC14CE}"/>
    <cellStyle name="Heading 1 12" xfId="3857" xr:uid="{53183599-425C-4BB3-98BC-851F6D04BE42}"/>
    <cellStyle name="Heading 1 13" xfId="3858" xr:uid="{A334084D-0126-43FE-9067-90F2D48F28A3}"/>
    <cellStyle name="Heading 1 14" xfId="3859" xr:uid="{825C0818-DBDD-4CBD-A326-665562B95C5E}"/>
    <cellStyle name="Heading 1 15" xfId="3860" xr:uid="{57F84987-5CF0-400E-8EAF-3B2A7927E700}"/>
    <cellStyle name="Heading 1 16" xfId="3861" xr:uid="{FAC18A50-D743-44E5-A35A-454691F62973}"/>
    <cellStyle name="Heading 1 17" xfId="3862" xr:uid="{4F51EAB6-E9FA-4726-B689-CA7532293FA9}"/>
    <cellStyle name="Heading 1 18" xfId="3863" xr:uid="{2FB3A4FB-862C-4772-97F2-97A63AD248E8}"/>
    <cellStyle name="Heading 1 19" xfId="3864" xr:uid="{B2965B1D-B1A5-4419-BAD1-5C3F131622AC}"/>
    <cellStyle name="Heading 1 2" xfId="3865" xr:uid="{CAB92DBD-2566-41D4-A92C-86938C5AA2F9}"/>
    <cellStyle name="HEADING 1 2 10" xfId="3866" xr:uid="{12724869-C877-40D9-8379-68EC17420641}"/>
    <cellStyle name="Heading 1 2 11" xfId="3867" xr:uid="{21C40D0D-3AE4-479A-9A56-DCD926E86A24}"/>
    <cellStyle name="Heading 1 2 12" xfId="3868" xr:uid="{ADD810EC-6A86-4E9C-8352-EDC0A7515FB8}"/>
    <cellStyle name="Heading 1 2 13" xfId="3869" xr:uid="{0E17DE5F-6C50-4480-A127-2DA5DB5801F4}"/>
    <cellStyle name="Heading 1 2 14" xfId="3870" xr:uid="{01903799-5CB0-48F2-AB46-0729F555FAB0}"/>
    <cellStyle name="Heading 1 2 15" xfId="3871" xr:uid="{6E352A4D-B3AE-48A0-9FEC-90F7ECA8FECF}"/>
    <cellStyle name="Heading 1 2 16" xfId="3872" xr:uid="{801A12BB-BCF8-461C-AFDC-640616A72273}"/>
    <cellStyle name="Heading 1 2 17" xfId="3873" xr:uid="{F8C5AC28-A1AB-460D-B96F-D3441AD64353}"/>
    <cellStyle name="Heading 1 2 18" xfId="3874" xr:uid="{40B19BBC-9F08-49F2-995C-1043515B2B2E}"/>
    <cellStyle name="Heading 1 2 19" xfId="3875" xr:uid="{46A54064-CD50-41C9-83B0-D4E13F520BE4}"/>
    <cellStyle name="Heading 1 2 2" xfId="3876" xr:uid="{23F35DC7-47A1-49BB-9C9C-26B9A7434AB0}"/>
    <cellStyle name="Heading 1 2 2 2" xfId="3877" xr:uid="{5F299EF1-1EB8-4358-BA1C-13CCD3786231}"/>
    <cellStyle name="Heading 1 2 3" xfId="3878" xr:uid="{EB7E8F2F-EA21-4AFE-87EE-B18E5627CE62}"/>
    <cellStyle name="Heading 1 2 3 2" xfId="3879" xr:uid="{BC96FEB5-3FD0-462F-A45D-E60269FAF3BC}"/>
    <cellStyle name="Heading 1 2 4" xfId="3880" xr:uid="{35D400DB-2091-462F-AD94-86FBB7D26585}"/>
    <cellStyle name="Heading 1 2 4 2" xfId="3881" xr:uid="{4F6ADF53-E14E-4A9C-80E0-844E4E676AD3}"/>
    <cellStyle name="Heading 1 2 5" xfId="3882" xr:uid="{A2CFCF0E-084C-4138-B805-4FBA7ABDCF2C}"/>
    <cellStyle name="Heading 1 2 5 2" xfId="3883" xr:uid="{872DCFE8-4C95-4B8D-88A0-788B83FF93E9}"/>
    <cellStyle name="Heading 1 2 6" xfId="3884" xr:uid="{E6F37C19-1430-465E-9A19-2CCE86B6F2E6}"/>
    <cellStyle name="Heading 1 2 6 2" xfId="3885" xr:uid="{F375913E-AE37-49FC-A821-E126E5566A1D}"/>
    <cellStyle name="HEADING 1 2 7" xfId="3886" xr:uid="{BA0349A1-E70B-42E5-9EF9-C28D46E1BB66}"/>
    <cellStyle name="HEADING 1 2 8" xfId="3887" xr:uid="{0504F06B-6C5F-4F02-B5D3-5C487CECF572}"/>
    <cellStyle name="HEADING 1 2 9" xfId="3888" xr:uid="{DE17EE75-3F13-4DBB-9DC1-C269B61454FB}"/>
    <cellStyle name="Heading 1 2_asset sales" xfId="3889" xr:uid="{089AE607-ED81-47CC-9B67-34C014EAC7A2}"/>
    <cellStyle name="Heading 1 20" xfId="3890" xr:uid="{A19ABE8F-BC8A-4579-90AC-D77DE8798AE5}"/>
    <cellStyle name="Heading 1 21" xfId="3891" xr:uid="{C81807F2-A164-488B-967D-951BE47F6A2B}"/>
    <cellStyle name="Heading 1 22" xfId="3892" xr:uid="{E29274FC-4282-4962-B1D4-14F3735BE078}"/>
    <cellStyle name="Heading 1 23" xfId="3893" xr:uid="{9570D423-5607-4456-8876-73F293951426}"/>
    <cellStyle name="Heading 1 24" xfId="3894" xr:uid="{032BDF86-D6C6-4B0F-8ADA-64CB5F7F2CDF}"/>
    <cellStyle name="Heading 1 25" xfId="3895" xr:uid="{56AC7E51-0B37-45B2-9BA0-501B3FC92A65}"/>
    <cellStyle name="Heading 1 26" xfId="3896" xr:uid="{BD404F28-02AA-4A52-95E5-8A70D5B101FF}"/>
    <cellStyle name="Heading 1 27" xfId="3897" xr:uid="{1A9CEA98-948E-43C0-9E2B-537A7C4CFCAE}"/>
    <cellStyle name="Heading 1 28" xfId="3898" xr:uid="{C873D509-FE8D-4C90-811E-C10DA998091A}"/>
    <cellStyle name="Heading 1 29" xfId="3899" xr:uid="{34FD7B01-6F64-4A53-87F5-5CF15BD4276B}"/>
    <cellStyle name="Heading 1 3" xfId="3900" xr:uid="{1FAADB69-B4BF-465E-8FCC-2ABBB3762033}"/>
    <cellStyle name="HEADING 1 3 2" xfId="3901" xr:uid="{EF50C98C-B109-4F9E-ABB5-319952046A44}"/>
    <cellStyle name="Heading 1 30" xfId="3902" xr:uid="{215090F3-6466-4A27-8170-EA2356C7CDB8}"/>
    <cellStyle name="Heading 1 31" xfId="3903" xr:uid="{4FA7F770-C84C-40ED-8F39-A88659AF0C5A}"/>
    <cellStyle name="Heading 1 32" xfId="3904" xr:uid="{7C9EDB7F-4716-4AF1-95F1-4EE676A88D21}"/>
    <cellStyle name="Heading 1 33" xfId="3905" xr:uid="{98F68DE4-E476-4F0F-890D-46A7D4B110BA}"/>
    <cellStyle name="Heading 1 34" xfId="3906" xr:uid="{28891EBF-2705-4A40-B0F7-29CF32BB5717}"/>
    <cellStyle name="Heading 1 35" xfId="3907" xr:uid="{125A9C30-D93D-4686-908F-740FA5159F49}"/>
    <cellStyle name="Heading 1 35 2" xfId="3908" xr:uid="{F3BB6071-4A79-4493-A083-0AD0159C4FCF}"/>
    <cellStyle name="Heading 1 35 2 2" xfId="3909" xr:uid="{354FEA7C-1164-492D-BFD8-31C777AE2812}"/>
    <cellStyle name="Heading 1 35 2 2 2" xfId="3910" xr:uid="{AF2B72BF-D9A8-46DB-857D-6C2DA39E4BE7}"/>
    <cellStyle name="Heading 1 35 3" xfId="3911" xr:uid="{C01D8BE9-2EB2-4E91-AFFD-66254E44503E}"/>
    <cellStyle name="Heading 1 35 4" xfId="3912" xr:uid="{E3FBE80E-78A0-4283-9E6F-292F3B1E212A}"/>
    <cellStyle name="Heading 1 36" xfId="3913" xr:uid="{F80FFDAE-E25C-49C7-804E-F4D646B57EC7}"/>
    <cellStyle name="Heading 1 37" xfId="3914" xr:uid="{01E3A95F-7F89-49D4-A568-4ACCF2011BA9}"/>
    <cellStyle name="Heading 1 38" xfId="3915" xr:uid="{35BF7E36-31F6-4F68-8D3A-C726A8F350D0}"/>
    <cellStyle name="Heading 1 39" xfId="3916" xr:uid="{30819B49-152B-4C89-8DE3-5E8AE0FE4262}"/>
    <cellStyle name="Heading 1 4" xfId="3917" xr:uid="{6AC462FE-9281-49A1-ABCB-CFEE64CBC83C}"/>
    <cellStyle name="Heading 1 4 2" xfId="3918" xr:uid="{0B5653D8-0A5D-4F57-8BD6-9B35B402C0D2}"/>
    <cellStyle name="HEADING 1 4 3" xfId="3919" xr:uid="{B10E78CC-F26B-4B42-A5A6-78C1485B68AE}"/>
    <cellStyle name="HEADING 1 4 4" xfId="3920" xr:uid="{015F276B-3231-4D9B-A343-756FD748FC77}"/>
    <cellStyle name="HEADING 1 4 5" xfId="3921" xr:uid="{E485FFFD-AE97-4B5C-AF2A-06080A1420A3}"/>
    <cellStyle name="HEADING 1 4 6" xfId="3922" xr:uid="{4BACE854-2AD0-4855-92B7-F45C1D5D2E73}"/>
    <cellStyle name="HEADING 1 4 7" xfId="3923" xr:uid="{74E0D7AA-8B52-4826-9895-891A82F83778}"/>
    <cellStyle name="Heading 1 40" xfId="3924" xr:uid="{EBAF38EB-DCFF-4F09-9D76-9828BAD38557}"/>
    <cellStyle name="Heading 1 41" xfId="3925" xr:uid="{7B815B02-CB3D-4ADE-BF1D-406A220F1606}"/>
    <cellStyle name="Heading 1 42" xfId="3926" xr:uid="{DF1B4914-56A2-4BAA-94BF-037393905BC4}"/>
    <cellStyle name="Heading 1 43" xfId="3927" xr:uid="{AE0A0B80-7093-4E3E-BA18-9410B2348730}"/>
    <cellStyle name="Heading 1 44" xfId="3928" xr:uid="{75AFC91B-88D0-49B8-A771-C2CACFD530FC}"/>
    <cellStyle name="Heading 1 45" xfId="3929" xr:uid="{06B30A3F-D300-445F-83BA-C82A3C0716B7}"/>
    <cellStyle name="Heading 1 46" xfId="3930" xr:uid="{C2396E57-F855-4FB7-87B7-1962778815F1}"/>
    <cellStyle name="Heading 1 47" xfId="3931" xr:uid="{3FD4AC17-8635-46ED-A3AC-C3D2A6D586FF}"/>
    <cellStyle name="Heading 1 48" xfId="3932" xr:uid="{79B10203-632D-43F8-98BF-CE6EF6FB6246}"/>
    <cellStyle name="Heading 1 49" xfId="3933" xr:uid="{CAFB2284-C63F-4D2F-A19B-DC20EA2CEFF8}"/>
    <cellStyle name="Heading 1 5" xfId="3934" xr:uid="{2E5CA9D9-8AB7-430E-A4D3-41447C04862A}"/>
    <cellStyle name="Heading 1 50" xfId="3935" xr:uid="{BD63D481-F1BA-4EA7-802C-003A32D4A2C5}"/>
    <cellStyle name="Heading 1 51" xfId="3936" xr:uid="{7EA128F5-5BF3-4822-ACE0-811D5F0EFEC5}"/>
    <cellStyle name="Heading 1 52" xfId="3937" xr:uid="{860E1A36-FBF8-4BFF-A620-4F2B266A0799}"/>
    <cellStyle name="Heading 1 53" xfId="3938" xr:uid="{04E945B9-718F-43E0-8A09-FC3B560398E2}"/>
    <cellStyle name="Heading 1 54" xfId="3939" xr:uid="{130AFCC6-9035-455A-990C-064CA434DDFA}"/>
    <cellStyle name="Heading 1 55" xfId="3940" xr:uid="{C5585466-70B2-4E3E-AFA4-329FD51C1D63}"/>
    <cellStyle name="Heading 1 56" xfId="3941" xr:uid="{BE57F709-5816-45F1-BACE-9FB2194EDFE8}"/>
    <cellStyle name="Heading 1 57" xfId="3942" xr:uid="{3E485737-0742-41F5-8AAA-9D6AF10F7782}"/>
    <cellStyle name="Heading 1 58" xfId="3943" xr:uid="{35054232-B1A9-48C8-BDA6-91D64F492BF7}"/>
    <cellStyle name="Heading 1 59" xfId="3944" xr:uid="{DC6484B7-8B75-4187-8011-41CBA18F2202}"/>
    <cellStyle name="Heading 1 6" xfId="3945" xr:uid="{F66733C8-22BD-4977-ADF2-92F6F1ED7ACB}"/>
    <cellStyle name="Heading 1 60" xfId="3946" xr:uid="{1B16031D-F1D9-43A3-9522-D81629FC89B9}"/>
    <cellStyle name="Heading 1 60 2" xfId="3947" xr:uid="{94DC2414-88B7-43C4-99EB-871CF6AE6809}"/>
    <cellStyle name="Heading 1 60 2 2" xfId="3948" xr:uid="{C98DD750-48A5-4BBA-950E-B89EC36E0013}"/>
    <cellStyle name="Heading 1 60 2 2 2" xfId="3949" xr:uid="{9FCAB513-AFC6-4300-8C3F-F515B90050FD}"/>
    <cellStyle name="Heading 1 60 2 3" xfId="3950" xr:uid="{8DD2096A-8746-411F-93C7-9234C26F78D9}"/>
    <cellStyle name="Heading 1 61" xfId="3951" xr:uid="{577A6048-62EE-49F3-AE94-9BC972BB2A3E}"/>
    <cellStyle name="Heading 1 62" xfId="3952" xr:uid="{E54275A0-7AC0-402A-A5EF-602C595241FF}"/>
    <cellStyle name="Heading 1 63" xfId="3953" xr:uid="{309A76DD-4192-4EA7-BB11-BFA042848CE6}"/>
    <cellStyle name="Heading 1 64" xfId="3954" xr:uid="{B7E0C3BF-C620-486E-9715-13A630DF62B7}"/>
    <cellStyle name="Heading 1 65" xfId="3955" xr:uid="{02295B15-8702-43B5-83C1-09A23A789E87}"/>
    <cellStyle name="Heading 1 7" xfId="3956" xr:uid="{4714E068-7915-4E80-B8E3-019E9499092C}"/>
    <cellStyle name="Heading 1 8" xfId="3957" xr:uid="{06C46A18-B65C-47C5-BB87-E930FA87C261}"/>
    <cellStyle name="Heading 1 9" xfId="3958" xr:uid="{C23464D4-9AD9-4F37-B872-BAE2A25811B1}"/>
    <cellStyle name="Heading 1 Above" xfId="3959" xr:uid="{653752AD-600C-47AC-9C7E-3900C9397E25}"/>
    <cellStyle name="Heading 1." xfId="3960" xr:uid="{45843BBF-2E28-4655-8CD1-CA092EF6CD3E}"/>
    <cellStyle name="Heading 1+" xfId="3961" xr:uid="{B87ABDEE-7D7C-4AC7-AAF2-675748DFCD11}"/>
    <cellStyle name="heading 10" xfId="3962" xr:uid="{8571ACA2-A810-42EF-ABF3-64F9A47B5242}"/>
    <cellStyle name="Heading 2 10" xfId="3963" xr:uid="{A9727543-61D1-4B64-AB4A-2CE808741D6B}"/>
    <cellStyle name="Heading 2 11" xfId="3964" xr:uid="{6051A581-F4D0-4AB8-A347-EBAEC6FC364F}"/>
    <cellStyle name="Heading 2 12" xfId="3965" xr:uid="{8AD78A1D-F90B-487A-A1B4-A02371A365D6}"/>
    <cellStyle name="Heading 2 13" xfId="3966" xr:uid="{96EDF326-592C-48C4-8A3F-69DBE5CEF5C6}"/>
    <cellStyle name="Heading 2 14" xfId="3967" xr:uid="{B57A54B8-D332-4E32-B418-2691EE5127F8}"/>
    <cellStyle name="Heading 2 15" xfId="3968" xr:uid="{27FE1DE1-22D5-47CE-92F0-36C559266508}"/>
    <cellStyle name="Heading 2 16" xfId="3969" xr:uid="{E658D2A7-1772-4E96-9835-8032EF80D938}"/>
    <cellStyle name="Heading 2 17" xfId="3970" xr:uid="{C494F253-CF96-4A61-A31C-7130AC6889AA}"/>
    <cellStyle name="Heading 2 18" xfId="3971" xr:uid="{CB33FD91-A41A-4A05-A186-A86854471C9E}"/>
    <cellStyle name="Heading 2 19" xfId="3972" xr:uid="{AE59825B-1B52-4A0E-8EEA-259E621DEB79}"/>
    <cellStyle name="Heading 2 2" xfId="3973" xr:uid="{7373036A-6D1B-43F3-B1E3-50D12DE9BCD0}"/>
    <cellStyle name="HEADING 2 2 10" xfId="3974" xr:uid="{55248B3D-8AA9-405D-AB2A-3B9E41202CAE}"/>
    <cellStyle name="Heading 2 2 11" xfId="3975" xr:uid="{9C6F1AFD-4DD0-4615-94B2-B18BB52A1A20}"/>
    <cellStyle name="Heading 2 2 12" xfId="3976" xr:uid="{6A878F51-FB70-48CB-A3DC-929F30E1EF2A}"/>
    <cellStyle name="Heading 2 2 13" xfId="3977" xr:uid="{3B6F83EF-E011-433F-A878-1F82ED143396}"/>
    <cellStyle name="Heading 2 2 14" xfId="3978" xr:uid="{701D2C75-45CD-4925-A5F2-104E366D2979}"/>
    <cellStyle name="Heading 2 2 15" xfId="3979" xr:uid="{24CE4DD9-F4A2-461E-A370-C35928C2EF0C}"/>
    <cellStyle name="Heading 2 2 16" xfId="3980" xr:uid="{781CEFA8-D9D7-42F0-A53E-DE22878D1D7B}"/>
    <cellStyle name="Heading 2 2 17" xfId="3981" xr:uid="{9AC005C3-C8AA-4953-AF09-5FD9CEE3B035}"/>
    <cellStyle name="Heading 2 2 18" xfId="3982" xr:uid="{DAD50004-DA24-4040-B4C5-E0B8B0E53589}"/>
    <cellStyle name="Heading 2 2 2" xfId="3983" xr:uid="{517068C8-40B4-456A-B291-D501DC5CCBEE}"/>
    <cellStyle name="Heading 2 2 2 2" xfId="3984" xr:uid="{31C83383-59C6-4C7B-9630-ECBECA7D7688}"/>
    <cellStyle name="Heading 2 2 3" xfId="3985" xr:uid="{24644C30-E1B3-4857-9BB4-37F7E6C4A9DA}"/>
    <cellStyle name="HEADING 2 2 4" xfId="3986" xr:uid="{B9732567-F987-4D97-B094-B28768961697}"/>
    <cellStyle name="HEADING 2 2 5" xfId="3987" xr:uid="{A013F34D-8F8B-4A2D-B36C-C54CC5D66E38}"/>
    <cellStyle name="HEADING 2 2 6" xfId="3988" xr:uid="{57661412-7DBD-4362-893F-565DADAE338D}"/>
    <cellStyle name="HEADING 2 2 7" xfId="3989" xr:uid="{8A79D56E-5C4A-4EF7-A714-CE7477E2B2B8}"/>
    <cellStyle name="HEADING 2 2 8" xfId="3990" xr:uid="{38E1DE74-A229-43A8-83D9-CF5EFA3B8697}"/>
    <cellStyle name="HEADING 2 2 9" xfId="3991" xr:uid="{1B41AB8A-03E5-4BBE-A8D9-B47A6A5EDECE}"/>
    <cellStyle name="Heading 2 20" xfId="3992" xr:uid="{FF561CC5-966C-46AF-81FC-AE34B1FD989D}"/>
    <cellStyle name="Heading 2 21" xfId="3993" xr:uid="{767D1E15-9837-420E-8E0D-30BA89FE7FAD}"/>
    <cellStyle name="Heading 2 22" xfId="3994" xr:uid="{BCA7EDB6-58D7-432A-B531-9D7EF4152080}"/>
    <cellStyle name="Heading 2 23" xfId="3995" xr:uid="{C92D706E-6FA6-4003-8158-ACCF8F2702EB}"/>
    <cellStyle name="Heading 2 24" xfId="3996" xr:uid="{AF21D119-EEEA-4EA6-877D-DC8588624AF0}"/>
    <cellStyle name="Heading 2 25" xfId="3997" xr:uid="{29F04916-6954-4501-93A7-2D6EDB62CBFD}"/>
    <cellStyle name="Heading 2 26" xfId="3998" xr:uid="{C9BB8E9D-9DD4-4548-BFD7-4A79288DACAD}"/>
    <cellStyle name="Heading 2 27" xfId="3999" xr:uid="{B403FE86-B64C-4F9D-81B1-3D37B0808813}"/>
    <cellStyle name="Heading 2 28" xfId="4000" xr:uid="{52AA856F-70A7-4AF1-9605-F2757CE6CD35}"/>
    <cellStyle name="Heading 2 29" xfId="4001" xr:uid="{F0E04D9D-482B-409B-B155-FA1F8327C6AF}"/>
    <cellStyle name="Heading 2 3" xfId="4002" xr:uid="{68BDB5A8-FA2F-472B-9EF6-8F0206A626D7}"/>
    <cellStyle name="HEADING 2 3 2" xfId="4003" xr:uid="{D9366110-AC4B-4231-A704-0BE21415B430}"/>
    <cellStyle name="Heading 2 30" xfId="4004" xr:uid="{2F3EC4D4-656A-4577-8B29-E074CF7D570F}"/>
    <cellStyle name="Heading 2 31" xfId="4005" xr:uid="{9A595F91-6713-45C0-97B2-8CFDA5A6EF20}"/>
    <cellStyle name="Heading 2 32" xfId="4006" xr:uid="{59AABFBF-6DA8-4557-B08B-38FDCD124F9C}"/>
    <cellStyle name="Heading 2 33" xfId="4007" xr:uid="{2C9049D8-618D-42FB-B215-F02221A66532}"/>
    <cellStyle name="Heading 2 34" xfId="4008" xr:uid="{C8BEB75A-F1B4-475F-A5E6-8CDACAFAE7BF}"/>
    <cellStyle name="Heading 2 35" xfId="4009" xr:uid="{75AD0B03-BAC4-4304-8E19-99A2EF4ADD33}"/>
    <cellStyle name="Heading 2 35 2" xfId="4010" xr:uid="{EAFD40B3-F4EA-4AFB-8EDC-7526DD3C3AB7}"/>
    <cellStyle name="Heading 2 35 2 2" xfId="4011" xr:uid="{68D97961-070E-4B48-8978-6D52951A93F1}"/>
    <cellStyle name="Heading 2 35 2 2 2" xfId="4012" xr:uid="{8773D8A9-51C4-49BF-B789-A96A3075660E}"/>
    <cellStyle name="Heading 2 35 3" xfId="4013" xr:uid="{60C5597E-D298-474F-BB68-1E501EA04C3D}"/>
    <cellStyle name="Heading 2 35 4" xfId="4014" xr:uid="{3BBF13AA-4F31-43D6-A5DE-A345E1A2C9C3}"/>
    <cellStyle name="Heading 2 36" xfId="4015" xr:uid="{6D879A52-2A89-4CEC-AE99-BC528295FA62}"/>
    <cellStyle name="Heading 2 37" xfId="4016" xr:uid="{7C6F1A7D-A657-4B93-95C0-406FFDD75DB2}"/>
    <cellStyle name="Heading 2 38" xfId="4017" xr:uid="{7E5EE3EB-9E08-4ABE-8C0D-42452643EFC7}"/>
    <cellStyle name="Heading 2 39" xfId="4018" xr:uid="{FDDA1ABD-A411-4E48-BE92-8586A02BDB6B}"/>
    <cellStyle name="Heading 2 4" xfId="4019" xr:uid="{363E197F-8013-460E-864B-5F8EA5B49630}"/>
    <cellStyle name="Heading 2 4 2" xfId="4020" xr:uid="{19E2AF94-431C-4B37-A809-01FE2911251F}"/>
    <cellStyle name="HEADING 2 4 3" xfId="4021" xr:uid="{84A4BC49-1191-4617-8BD9-9C93E6B93518}"/>
    <cellStyle name="HEADING 2 4 4" xfId="4022" xr:uid="{1CA84521-EA65-4467-9E55-6C03B7D1BEC4}"/>
    <cellStyle name="HEADING 2 4 5" xfId="4023" xr:uid="{87A89DA3-39CE-43FD-B70C-9FA2FB94211F}"/>
    <cellStyle name="HEADING 2 4 6" xfId="4024" xr:uid="{E47BC3B4-1E49-47BA-A71A-533B8D719A3D}"/>
    <cellStyle name="HEADING 2 4 7" xfId="4025" xr:uid="{4D4D9F0E-D1D2-4BE1-A2B4-B66E6BB4C83F}"/>
    <cellStyle name="Heading 2 40" xfId="4026" xr:uid="{0CF7D337-0745-448B-877E-66E254FA7783}"/>
    <cellStyle name="Heading 2 41" xfId="4027" xr:uid="{B959F274-1ABF-4AE6-B2BB-980765A307F9}"/>
    <cellStyle name="Heading 2 42" xfId="4028" xr:uid="{9599E75E-FB95-4BE9-954F-CAC82926FD6A}"/>
    <cellStyle name="Heading 2 43" xfId="4029" xr:uid="{AD525CDE-4257-46A4-A5DF-05DB03767D74}"/>
    <cellStyle name="Heading 2 44" xfId="4030" xr:uid="{57D38E90-8C40-4A51-A58A-FA0394806B4A}"/>
    <cellStyle name="Heading 2 45" xfId="4031" xr:uid="{A4198831-1CDD-4AD5-8C49-DE594A45C216}"/>
    <cellStyle name="Heading 2 46" xfId="4032" xr:uid="{F304C57A-4C58-47BA-B00A-A6443B9377DD}"/>
    <cellStyle name="Heading 2 47" xfId="4033" xr:uid="{7507CC75-231D-4EB1-8314-CB48B6F910F1}"/>
    <cellStyle name="Heading 2 48" xfId="4034" xr:uid="{65785D80-D545-4B95-8BBD-9A322A4F465E}"/>
    <cellStyle name="Heading 2 49" xfId="4035" xr:uid="{1D4DD125-0D8D-4427-9A57-83BD8DEE670D}"/>
    <cellStyle name="Heading 2 5" xfId="4036" xr:uid="{5515B6E0-B634-4431-A1EE-5D2D65DF669E}"/>
    <cellStyle name="Heading 2 50" xfId="4037" xr:uid="{F1324706-9E22-403E-919F-D060EB6E5250}"/>
    <cellStyle name="Heading 2 51" xfId="4038" xr:uid="{DB0368E2-BAF1-4E20-B011-88D3A6CF161E}"/>
    <cellStyle name="Heading 2 52" xfId="4039" xr:uid="{81838254-A9AE-4B43-B081-5498A2C4EF26}"/>
    <cellStyle name="Heading 2 53" xfId="4040" xr:uid="{401EC637-7F1D-4322-AAD4-DA0C50792D94}"/>
    <cellStyle name="Heading 2 54" xfId="4041" xr:uid="{824D115A-5953-46F7-9557-40D034D779D1}"/>
    <cellStyle name="Heading 2 55" xfId="4042" xr:uid="{0B114F4F-7FB5-4352-BA76-EE0B53E2AA52}"/>
    <cellStyle name="Heading 2 56" xfId="4043" xr:uid="{56990679-75E0-4E8C-A87A-0E4557D0165E}"/>
    <cellStyle name="Heading 2 57" xfId="4044" xr:uid="{2D64A0F3-77B4-45E2-8F81-810195801F6A}"/>
    <cellStyle name="Heading 2 58" xfId="4045" xr:uid="{D9300056-A8C5-4E0C-AC97-50BB58A0E250}"/>
    <cellStyle name="Heading 2 59" xfId="4046" xr:uid="{562CDF84-225A-41FE-8E31-1E2E7F0E6F05}"/>
    <cellStyle name="Heading 2 6" xfId="4047" xr:uid="{89E14450-59DA-45B0-9AD8-34DB2E05F00C}"/>
    <cellStyle name="Heading 2 60" xfId="4048" xr:uid="{978F5E3D-2FB8-43B0-B578-8F7FAEC263A0}"/>
    <cellStyle name="Heading 2 60 2" xfId="4049" xr:uid="{EDB0ED45-2D07-4D00-B384-6773C61005EF}"/>
    <cellStyle name="Heading 2 60 2 2" xfId="4050" xr:uid="{0A6628F6-D687-4D46-A3C6-25F31716CEFD}"/>
    <cellStyle name="Heading 2 60 2 2 2" xfId="4051" xr:uid="{14CCFD2E-5C69-4318-83EE-D1C36D12CBD6}"/>
    <cellStyle name="Heading 2 60 2 3" xfId="4052" xr:uid="{7CD8B7F5-F245-46D4-AC9D-0D6F167655DE}"/>
    <cellStyle name="Heading 2 61" xfId="4053" xr:uid="{B64F421F-92D8-4F2D-90FD-0EA00A3593EE}"/>
    <cellStyle name="Heading 2 62" xfId="4054" xr:uid="{B56B95C9-914B-4651-9824-344AF515EF2D}"/>
    <cellStyle name="Heading 2 63" xfId="4055" xr:uid="{A09536D3-74A2-44C3-95A8-ED3DA623D40F}"/>
    <cellStyle name="Heading 2 64" xfId="4056" xr:uid="{B0E9226D-D816-4FB8-B418-F74AFEF1B0C4}"/>
    <cellStyle name="Heading 2 65" xfId="4057" xr:uid="{CDC38C3C-1188-42FC-949E-0C8FE4FFFF49}"/>
    <cellStyle name="Heading 2 7" xfId="4058" xr:uid="{089D3C70-0FD8-4F2C-B211-475D89424D48}"/>
    <cellStyle name="Heading 2 8" xfId="4059" xr:uid="{A060038E-C9C0-4572-84F9-75085CFA2F47}"/>
    <cellStyle name="Heading 2 9" xfId="4060" xr:uid="{83DE4191-2A20-4C9E-BBA3-F231F84D2B15}"/>
    <cellStyle name="Heading 2 Below" xfId="4061" xr:uid="{680C312D-F32E-434E-BF84-CF781FB9AF23}"/>
    <cellStyle name="Heading 2." xfId="4062" xr:uid="{B8CD3F78-49D4-483D-AC10-99D30D914B46}"/>
    <cellStyle name="Heading 2+" xfId="4063" xr:uid="{3B754D5A-3785-491F-A5FB-3D94ADA73F0C}"/>
    <cellStyle name="Heading 3 10" xfId="4064" xr:uid="{80496CC7-4A6B-4296-9EE9-6795563512C6}"/>
    <cellStyle name="Heading 3 11" xfId="4065" xr:uid="{776AE64A-8413-4B8F-93CF-954F4A7AC5B2}"/>
    <cellStyle name="Heading 3 12" xfId="4066" xr:uid="{879B2C8E-CB7E-4448-9053-448A159733E6}"/>
    <cellStyle name="Heading 3 13" xfId="4067" xr:uid="{0538BCAE-616B-475B-8EA3-02DEBBAA682E}"/>
    <cellStyle name="Heading 3 14" xfId="4068" xr:uid="{89599978-19C1-40A1-B375-D22C30F3EEC9}"/>
    <cellStyle name="Heading 3 15" xfId="4069" xr:uid="{F747CF89-5EB1-40E4-B5D3-8C59065DE630}"/>
    <cellStyle name="Heading 3 16" xfId="4070" xr:uid="{C704CFE1-3C29-4FE1-A4E1-AF4C7E12E891}"/>
    <cellStyle name="Heading 3 17" xfId="4071" xr:uid="{418FC2FB-8B31-4099-BE20-91AA2387BDEE}"/>
    <cellStyle name="Heading 3 18" xfId="4072" xr:uid="{E85F6D26-A04E-4BF0-BF73-5929BCFF11E8}"/>
    <cellStyle name="Heading 3 19" xfId="4073" xr:uid="{8E9E9115-CC0B-4E85-861C-A7C43B0A869F}"/>
    <cellStyle name="Heading 3 2" xfId="4074" xr:uid="{588CDCFE-4A74-4940-A3FC-B0570B65FF3C}"/>
    <cellStyle name="HEADING 3 2 10" xfId="4075" xr:uid="{6FA5B40E-97BC-4823-AB36-C85DA73DE6C3}"/>
    <cellStyle name="Heading 3 2 11" xfId="4076" xr:uid="{8EFA9910-0B81-4FDB-845F-83F3E664F52F}"/>
    <cellStyle name="Heading 3 2 12" xfId="4077" xr:uid="{BD5EDED0-F32E-43BA-97F0-4BFA3E5FC046}"/>
    <cellStyle name="Heading 3 2 13" xfId="4078" xr:uid="{7BB752D7-2B80-4283-908F-F4CD33173672}"/>
    <cellStyle name="Heading 3 2 14" xfId="4079" xr:uid="{AA8570A4-AC34-4357-9912-B5F3E2226228}"/>
    <cellStyle name="Heading 3 2 15" xfId="4080" xr:uid="{087E3C35-61E4-430B-AEAB-58A6C23CB233}"/>
    <cellStyle name="Heading 3 2 16" xfId="4081" xr:uid="{2A47AD9C-D744-4DFA-B524-C89760481557}"/>
    <cellStyle name="Heading 3 2 17" xfId="4082" xr:uid="{CE814E5E-BC6A-4B85-BB13-0521F0FA1E98}"/>
    <cellStyle name="Heading 3 2 18" xfId="4083" xr:uid="{3DBBF2B7-E88E-49A7-AE9D-28C0BC55AEEC}"/>
    <cellStyle name="HEADING 3 2 2" xfId="4084" xr:uid="{03E82E4D-40DE-48E4-A17F-0E17B6A1B8C7}"/>
    <cellStyle name="Heading 3 2 2 2" xfId="4085" xr:uid="{62E0C7C0-EB4E-42F9-ACDF-3A4EAEB55279}"/>
    <cellStyle name="Heading 3 2 3" xfId="4086" xr:uid="{9D73FD4E-D4B4-4B10-B1AB-4C2764EBBC52}"/>
    <cellStyle name="Heading 3 2 3 2" xfId="4087" xr:uid="{6818A9C8-0A7D-43C9-A275-1E2475B5819F}"/>
    <cellStyle name="Heading 3 2 4" xfId="4088" xr:uid="{C2AB6B46-EA36-4793-B72B-777E6A41C9E4}"/>
    <cellStyle name="Heading 3 2 4 2" xfId="4089" xr:uid="{3DFEF14A-BCAD-4580-AE23-9777F9B8EE7A}"/>
    <cellStyle name="Heading 3 2 5" xfId="4090" xr:uid="{0BA6D60D-43A9-4AEB-A7B0-8815CEC2242A}"/>
    <cellStyle name="Heading 3 2 5 2" xfId="4091" xr:uid="{6CEBDD85-DE43-4FE7-AC4D-F348E0CCE6A8}"/>
    <cellStyle name="Heading 3 2 6" xfId="4092" xr:uid="{A9F4FAB5-6B7E-43C1-AF49-5C6D7C9A0C0A}"/>
    <cellStyle name="Heading 3 2 6 2" xfId="4093" xr:uid="{1AD26B34-92D4-48A8-80AC-25DD4652B8CD}"/>
    <cellStyle name="HEADING 3 2 7" xfId="4094" xr:uid="{AEB836DC-0BA4-4E69-9D8D-FF5DA558DD23}"/>
    <cellStyle name="HEADING 3 2 8" xfId="4095" xr:uid="{D2B47A2E-6C60-4712-AC03-5DB07E72DEAF}"/>
    <cellStyle name="HEADING 3 2 9" xfId="4096" xr:uid="{2BCEE196-0E43-468E-831C-0C83E3C1AE68}"/>
    <cellStyle name="Heading 3 20" xfId="4097" xr:uid="{C7165D3B-3857-4941-A311-3D5DAD4B2D10}"/>
    <cellStyle name="Heading 3 21" xfId="4098" xr:uid="{A77D5A43-D453-48CA-A2F9-1DB0C9FDB55F}"/>
    <cellStyle name="Heading 3 22" xfId="4099" xr:uid="{79D59115-5E0A-4BFF-B097-012D39B28853}"/>
    <cellStyle name="Heading 3 23" xfId="4100" xr:uid="{BB9F198A-2D88-4CB5-92F8-7F3A743CC670}"/>
    <cellStyle name="Heading 3 24" xfId="4101" xr:uid="{BA2F8052-3248-4E9F-AAC8-1AE9BA0590EF}"/>
    <cellStyle name="Heading 3 25" xfId="4102" xr:uid="{15C1172F-B18C-48DB-A1D0-924850DDDCEF}"/>
    <cellStyle name="Heading 3 26" xfId="4103" xr:uid="{9B1278EB-7C5B-462A-ABD1-F129477B8989}"/>
    <cellStyle name="Heading 3 27" xfId="4104" xr:uid="{6776FADB-DDB7-4DEA-813E-4C8DEF16A2C2}"/>
    <cellStyle name="Heading 3 28" xfId="4105" xr:uid="{293B577E-893D-4F3C-966F-EA4DBDC97050}"/>
    <cellStyle name="Heading 3 29" xfId="4106" xr:uid="{D12059E6-7115-4607-BCB2-32448DE3C176}"/>
    <cellStyle name="Heading 3 3" xfId="4107" xr:uid="{333E3E98-1098-46AE-81E0-D339DA98D190}"/>
    <cellStyle name="Heading 3 3 2" xfId="4108" xr:uid="{BAAF5ACB-933C-4079-81A3-05D1481FAC4F}"/>
    <cellStyle name="HEADING 3 3 3" xfId="4109" xr:uid="{BDD6E438-3FED-416F-9190-654A14EC2454}"/>
    <cellStyle name="HEADING 3 3 4" xfId="4110" xr:uid="{8A2C079E-6842-411D-9454-58787ADF4236}"/>
    <cellStyle name="HEADING 3 3 5" xfId="4111" xr:uid="{E8AC3F51-48DB-40BD-9F04-8A8540CA2BB1}"/>
    <cellStyle name="HEADING 3 3 6" xfId="4112" xr:uid="{2DF6FF44-AEB0-495F-B1F4-7BBE2F49C7A5}"/>
    <cellStyle name="HEADING 3 3 7" xfId="4113" xr:uid="{88C7FA09-6954-43C0-8FE3-46E5C045F92C}"/>
    <cellStyle name="Heading 3 30" xfId="4114" xr:uid="{77F439CC-8B26-4774-977F-AF7D5A3095F4}"/>
    <cellStyle name="Heading 3 31" xfId="4115" xr:uid="{33AEFCE8-4968-4B5B-BC35-47FB0D0E34C7}"/>
    <cellStyle name="Heading 3 32" xfId="4116" xr:uid="{4DB3CA5D-8A47-492D-9564-0D79310699C9}"/>
    <cellStyle name="Heading 3 33" xfId="4117" xr:uid="{82D46821-CA2A-447F-AF56-6C0C6B118920}"/>
    <cellStyle name="Heading 3 34" xfId="4118" xr:uid="{40072790-09F0-4C52-9635-2C06AA0290BC}"/>
    <cellStyle name="Heading 3 35" xfId="4119" xr:uid="{64324516-8AD1-4DB1-9BC3-7340900C3E12}"/>
    <cellStyle name="Heading 3 35 2" xfId="4120" xr:uid="{07EEA484-5945-453D-A2F0-CDA561EDF133}"/>
    <cellStyle name="Heading 3 35 2 2" xfId="4121" xr:uid="{88103FCA-96BF-46C2-B860-A25DA42DF54F}"/>
    <cellStyle name="Heading 3 35 2 2 2" xfId="4122" xr:uid="{67C3737F-1531-4AEC-AB7E-563A0D3CAF5A}"/>
    <cellStyle name="Heading 3 35 3" xfId="4123" xr:uid="{1B27CAC2-98C5-4570-AD57-46E4986E2DBE}"/>
    <cellStyle name="Heading 3 35 4" xfId="4124" xr:uid="{38F83B9C-72F3-48B3-878F-CDC70C3F6D43}"/>
    <cellStyle name="Heading 3 36" xfId="4125" xr:uid="{721BAF53-A5CA-4E04-9B90-CD7DB59913B3}"/>
    <cellStyle name="Heading 3 37" xfId="4126" xr:uid="{B072D0CA-549E-440D-B669-3C33CED63031}"/>
    <cellStyle name="Heading 3 38" xfId="4127" xr:uid="{1DF29C64-86D7-4467-A3D8-F3578BDD7665}"/>
    <cellStyle name="Heading 3 39" xfId="4128" xr:uid="{6EDFF941-288D-4B34-85A9-550F243A923D}"/>
    <cellStyle name="Heading 3 4" xfId="4129" xr:uid="{C25013F0-AB99-4628-8036-0BF655859AF5}"/>
    <cellStyle name="Heading 3 4 2" xfId="4130" xr:uid="{CFE89552-4CA6-49C5-A1B1-F830BA01B240}"/>
    <cellStyle name="HEADING 3 4 3" xfId="4131" xr:uid="{7159F9E3-0A6E-4706-866D-E1E9EFE566CD}"/>
    <cellStyle name="HEADING 3 4 4" xfId="4132" xr:uid="{42B4D9BE-1180-4DE0-82F9-D0AA85444B00}"/>
    <cellStyle name="HEADING 3 4 5" xfId="4133" xr:uid="{82C92925-86BE-4722-975D-E2905C76151F}"/>
    <cellStyle name="HEADING 3 4 6" xfId="4134" xr:uid="{F3B6D2C7-4BB5-4E35-B581-710A035B059F}"/>
    <cellStyle name="HEADING 3 4 7" xfId="4135" xr:uid="{1A152DC7-5F65-41E4-A3B5-034E9273B97F}"/>
    <cellStyle name="Heading 3 40" xfId="4136" xr:uid="{B9B12827-F970-4E81-880B-7B1C842DB102}"/>
    <cellStyle name="Heading 3 41" xfId="4137" xr:uid="{A754147F-4EE2-4C19-96CA-211CA71A5EEF}"/>
    <cellStyle name="Heading 3 42" xfId="4138" xr:uid="{E0FA1D4D-A0DC-4735-878B-08FB2804B249}"/>
    <cellStyle name="Heading 3 43" xfId="4139" xr:uid="{8D354783-1E93-4D94-887B-2E7235B8AA8B}"/>
    <cellStyle name="Heading 3 44" xfId="4140" xr:uid="{93F3D175-6641-43D2-9C4E-A3E5A2207620}"/>
    <cellStyle name="Heading 3 45" xfId="4141" xr:uid="{BA888271-3F01-45C8-A1CD-BB121CF9661A}"/>
    <cellStyle name="Heading 3 46" xfId="4142" xr:uid="{C609F2F8-5104-4910-A455-22627C78E617}"/>
    <cellStyle name="Heading 3 47" xfId="4143" xr:uid="{AD90C7CE-5050-4FC3-868D-20C889B749AD}"/>
    <cellStyle name="Heading 3 48" xfId="4144" xr:uid="{9FE76D23-2BEE-4BAD-91F1-06A33EFD4DF8}"/>
    <cellStyle name="Heading 3 49" xfId="4145" xr:uid="{3BE4FC67-B1B4-49AC-9EC3-D750D9D81A8D}"/>
    <cellStyle name="Heading 3 5" xfId="4146" xr:uid="{1954CC83-F38F-4468-9A65-752F3FEA2E31}"/>
    <cellStyle name="Heading 3 50" xfId="4147" xr:uid="{9E51AA7E-FF13-4D71-8565-83A1E6A85E62}"/>
    <cellStyle name="Heading 3 51" xfId="4148" xr:uid="{7BAD98F5-E830-4889-84BA-6D006B9A8C5A}"/>
    <cellStyle name="Heading 3 52" xfId="4149" xr:uid="{B8552DA5-9CE3-4312-9542-642EC8B35C9B}"/>
    <cellStyle name="Heading 3 53" xfId="4150" xr:uid="{6B6145E7-6FA6-4FC1-9E0B-92A1768CE202}"/>
    <cellStyle name="Heading 3 54" xfId="4151" xr:uid="{A04B9DC4-4351-497D-ADBD-5D87849C81DF}"/>
    <cellStyle name="Heading 3 55" xfId="4152" xr:uid="{39375911-845F-45B3-B4ED-4F67C1EAE372}"/>
    <cellStyle name="Heading 3 56" xfId="4153" xr:uid="{F4A5257B-1244-40EC-A93C-3245DD194C7F}"/>
    <cellStyle name="Heading 3 57" xfId="4154" xr:uid="{0B2E6D49-B414-4DF6-A5BE-BEB1035DB121}"/>
    <cellStyle name="Heading 3 58" xfId="4155" xr:uid="{5F0824BF-51CC-45C4-B220-942827BECF98}"/>
    <cellStyle name="Heading 3 59" xfId="4156" xr:uid="{D6689AA9-6430-41F7-8F9F-FF02A2502F4C}"/>
    <cellStyle name="Heading 3 6" xfId="4157" xr:uid="{8D4F1ED3-0711-4CB7-B08F-79B50A046830}"/>
    <cellStyle name="Heading 3 60" xfId="4158" xr:uid="{49A0726F-27E3-44A7-943B-4833615F1B13}"/>
    <cellStyle name="Heading 3 60 2" xfId="4159" xr:uid="{CC5DC065-B87A-46C2-B3F5-109B1436CEA2}"/>
    <cellStyle name="Heading 3 60 2 2" xfId="4160" xr:uid="{6A0796C2-36D0-4800-B98C-6F6991B94931}"/>
    <cellStyle name="Heading 3 60 2 2 2" xfId="4161" xr:uid="{03DC3EAC-4242-41F3-AB3D-E90287E50EE2}"/>
    <cellStyle name="Heading 3 60 2 3" xfId="4162" xr:uid="{54BD0932-C968-42A5-A93D-FE7C78E0BD72}"/>
    <cellStyle name="Heading 3 61" xfId="4163" xr:uid="{E6685536-033D-408C-A85C-E95E4A9F84D1}"/>
    <cellStyle name="Heading 3 62" xfId="4164" xr:uid="{D3C18A89-D945-407E-A36D-6C9966920188}"/>
    <cellStyle name="Heading 3 63" xfId="4165" xr:uid="{1F8DCE97-0285-4B2A-8EEA-B8FAF10724CB}"/>
    <cellStyle name="Heading 3 64" xfId="4166" xr:uid="{B8663C4E-2148-42BC-B624-AA8004B17D22}"/>
    <cellStyle name="Heading 3 65" xfId="4167" xr:uid="{14AFC1DF-2D76-46AB-B784-845D9A956E24}"/>
    <cellStyle name="Heading 3 7" xfId="4168" xr:uid="{E9CC7C16-C813-4E08-A082-CD6912D70E2E}"/>
    <cellStyle name="Heading 3 8" xfId="4169" xr:uid="{58298F02-4F96-49DA-A3E4-89DDEAED40B0}"/>
    <cellStyle name="Heading 3 9" xfId="4170" xr:uid="{521D26AB-5A6A-43B2-8797-5D732DF70A87}"/>
    <cellStyle name="Heading 3." xfId="4171" xr:uid="{AB515087-5AFD-4416-8839-935C4D4A9143}"/>
    <cellStyle name="Heading 3+" xfId="4172" xr:uid="{1F6581AE-8AE3-4D15-8F2B-1F7F82FE83E0}"/>
    <cellStyle name="Heading 4 10" xfId="4173" xr:uid="{6462387D-747D-4F56-824F-0288F2C1659D}"/>
    <cellStyle name="Heading 4 11" xfId="4174" xr:uid="{87356419-71F5-486D-93CC-5A27184D5B05}"/>
    <cellStyle name="Heading 4 12" xfId="4175" xr:uid="{4BD67F17-BB69-4636-B3B9-76450E7A7EBF}"/>
    <cellStyle name="Heading 4 13" xfId="4176" xr:uid="{93FEF0B8-1E29-4BB4-8E85-BEA6B991CF27}"/>
    <cellStyle name="Heading 4 14" xfId="4177" xr:uid="{85012B9E-F70C-4754-AFEB-A8DE97C71D9E}"/>
    <cellStyle name="Heading 4 15" xfId="4178" xr:uid="{1B9B75BD-3493-437D-93D4-8B6C44A7E63D}"/>
    <cellStyle name="Heading 4 16" xfId="4179" xr:uid="{A00A4479-39B3-4AD5-A034-C7BDADAA0F43}"/>
    <cellStyle name="Heading 4 17" xfId="4180" xr:uid="{814E974E-2B89-45B6-B5A3-4FD8F107C44F}"/>
    <cellStyle name="Heading 4 18" xfId="4181" xr:uid="{0F034000-78D5-43C0-9F2E-81EA8A27AC32}"/>
    <cellStyle name="Heading 4 19" xfId="4182" xr:uid="{E80D19D4-4D32-426B-9F38-BD0EB34F74DF}"/>
    <cellStyle name="Heading 4 2" xfId="4183" xr:uid="{A16BE82A-3B4B-456C-A894-422539A3DECB}"/>
    <cellStyle name="Heading 4 2 2" xfId="4184" xr:uid="{88768F7A-54A5-4E18-B50D-7CF6C021E440}"/>
    <cellStyle name="Heading 4 2 2 2" xfId="4185" xr:uid="{3B3DC857-BD5A-4B1D-9C5D-D6E47D19B156}"/>
    <cellStyle name="Heading 4 2 3" xfId="4186" xr:uid="{092F2C08-D8FC-4B18-A58B-B481785AD413}"/>
    <cellStyle name="Heading 4 2 4" xfId="4187" xr:uid="{93912335-BBE2-4314-A38B-8C1C475644A5}"/>
    <cellStyle name="Heading 4 2 5" xfId="4188" xr:uid="{89C0BF75-4B0B-4F8F-BB60-BEE51E30C697}"/>
    <cellStyle name="Heading 4 20" xfId="4189" xr:uid="{D1ED1D60-AD63-45A2-ACEB-7C9064DEDCE9}"/>
    <cellStyle name="Heading 4 21" xfId="4190" xr:uid="{C9A5394B-FE75-414E-B2F5-71C80DDDBA89}"/>
    <cellStyle name="Heading 4 22" xfId="4191" xr:uid="{829E2E7B-2263-4647-8EC6-D2A385ABF985}"/>
    <cellStyle name="Heading 4 23" xfId="4192" xr:uid="{F75938F8-E264-4527-AA14-4D42AE7ECBE8}"/>
    <cellStyle name="Heading 4 24" xfId="4193" xr:uid="{887F39F8-435F-42F5-8C54-3FE5531AF586}"/>
    <cellStyle name="Heading 4 25" xfId="4194" xr:uid="{C8264250-D9A1-4D81-BC5D-0E8151049F29}"/>
    <cellStyle name="Heading 4 26" xfId="4195" xr:uid="{9BD25C89-FCD3-4229-BF37-D23EA4EE7F5A}"/>
    <cellStyle name="Heading 4 27" xfId="4196" xr:uid="{E86012A1-7DB9-4467-A41A-F5CCCABB38C9}"/>
    <cellStyle name="Heading 4 28" xfId="4197" xr:uid="{E1A7ED32-4AAC-4993-8EF3-9F4B5272347B}"/>
    <cellStyle name="Heading 4 29" xfId="4198" xr:uid="{E5D80CD9-C38C-471D-9FB3-E4725206AA8A}"/>
    <cellStyle name="Heading 4 3" xfId="4199" xr:uid="{9CF2ED5C-8844-4468-8C84-0279A7023261}"/>
    <cellStyle name="Heading 4 3 2" xfId="4200" xr:uid="{2ADADDD8-D503-4E27-8AFC-B79254F49B1D}"/>
    <cellStyle name="Heading 4 30" xfId="4201" xr:uid="{03EA0DFE-0D9A-4516-A80E-42E9DF3AC776}"/>
    <cellStyle name="Heading 4 31" xfId="4202" xr:uid="{BF899C96-D600-4B0C-8472-73546496FE01}"/>
    <cellStyle name="Heading 4 32" xfId="4203" xr:uid="{7FE97D1F-1ACE-44A8-8C03-AE0CB880AEA4}"/>
    <cellStyle name="Heading 4 33" xfId="4204" xr:uid="{08E139B6-85FD-415F-A793-B4616E49883E}"/>
    <cellStyle name="Heading 4 34" xfId="4205" xr:uid="{578C1209-7738-4F23-B238-C9A1A92CD1BA}"/>
    <cellStyle name="Heading 4 35" xfId="4206" xr:uid="{C1939296-5D64-4306-AE14-7FD5F877CDDA}"/>
    <cellStyle name="Heading 4 35 2" xfId="4207" xr:uid="{B51093EE-70D2-45BC-9125-E21B6A06BE4C}"/>
    <cellStyle name="Heading 4 35 2 2" xfId="4208" xr:uid="{926F0CD2-6681-45A9-97F0-BF64906C9DA2}"/>
    <cellStyle name="Heading 4 35 2 2 2" xfId="4209" xr:uid="{8D53001E-1A6A-4CC9-8A0A-ECCFC768FFC8}"/>
    <cellStyle name="Heading 4 35 3" xfId="4210" xr:uid="{57D7A10D-6511-4B88-AFDD-1908BB8981B2}"/>
    <cellStyle name="Heading 4 35 4" xfId="4211" xr:uid="{277734E7-A86E-49B9-B4D8-3CB53C27CAB7}"/>
    <cellStyle name="Heading 4 36" xfId="4212" xr:uid="{D098B64F-2F9F-451F-BDC2-797821EFEC1A}"/>
    <cellStyle name="Heading 4 37" xfId="4213" xr:uid="{67AD53C5-D454-4D84-8656-3DE3E9860F85}"/>
    <cellStyle name="Heading 4 38" xfId="4214" xr:uid="{308DF37B-1C6A-4074-8214-6CC62CF19CC0}"/>
    <cellStyle name="Heading 4 39" xfId="4215" xr:uid="{F58E3E3C-220E-408B-8F94-B0DF80C58F52}"/>
    <cellStyle name="Heading 4 4" xfId="4216" xr:uid="{2CCEBD75-62C2-4968-8325-27179DE68507}"/>
    <cellStyle name="Heading 4 4 2" xfId="4217" xr:uid="{41D3832E-A461-46CE-8573-352B8AFD4A32}"/>
    <cellStyle name="Heading 4 40" xfId="4218" xr:uid="{A7D522CA-AB82-474D-BC50-F758A485B90A}"/>
    <cellStyle name="Heading 4 41" xfId="4219" xr:uid="{A4AC2A97-9B44-4269-84BC-F86E42774B61}"/>
    <cellStyle name="Heading 4 42" xfId="4220" xr:uid="{2210BBAC-2B03-409D-985B-76750FD7F46C}"/>
    <cellStyle name="Heading 4 43" xfId="4221" xr:uid="{E3989C08-03B2-4591-A439-C7C4254827D4}"/>
    <cellStyle name="Heading 4 44" xfId="4222" xr:uid="{F4214B55-7C44-4D63-A58F-E82B8FFCF5E5}"/>
    <cellStyle name="Heading 4 45" xfId="4223" xr:uid="{05EAC556-D521-4DC7-A3C1-30477CBAFCAF}"/>
    <cellStyle name="Heading 4 46" xfId="4224" xr:uid="{E6731F62-D20B-478E-A7F9-7DB8D2194F38}"/>
    <cellStyle name="Heading 4 47" xfId="4225" xr:uid="{4DD62D50-3FD7-4CCF-9AAD-A67832F37599}"/>
    <cellStyle name="Heading 4 48" xfId="4226" xr:uid="{AADAF176-6DB9-4059-B209-95058A039013}"/>
    <cellStyle name="Heading 4 49" xfId="4227" xr:uid="{42F64B06-54D5-4C62-9B8C-64BA80AF121F}"/>
    <cellStyle name="Heading 4 5" xfId="4228" xr:uid="{29DDA58E-C40B-4F38-84F0-1FAC04BBEE30}"/>
    <cellStyle name="Heading 4 50" xfId="4229" xr:uid="{0CEABDB2-8979-444B-B063-E2B0F4D1F28E}"/>
    <cellStyle name="Heading 4 51" xfId="4230" xr:uid="{1396EEBB-AC4F-4071-BCEA-9BEF72CB4468}"/>
    <cellStyle name="Heading 4 52" xfId="4231" xr:uid="{A07C4982-AD1B-47D1-9B6C-AA03FD7AD564}"/>
    <cellStyle name="Heading 4 53" xfId="4232" xr:uid="{0430AF55-01E1-4831-A366-F115265415CA}"/>
    <cellStyle name="Heading 4 54" xfId="4233" xr:uid="{C3120B82-59BB-4F25-87A1-0E504FBD8C07}"/>
    <cellStyle name="Heading 4 55" xfId="4234" xr:uid="{560CFF16-577E-4A49-A450-136703E64D53}"/>
    <cellStyle name="Heading 4 56" xfId="4235" xr:uid="{6CB99B25-FD85-4931-AF98-50717D58A910}"/>
    <cellStyle name="Heading 4 57" xfId="4236" xr:uid="{E8517FC9-DA10-4520-B1A2-C1C78E16C3F2}"/>
    <cellStyle name="Heading 4 58" xfId="4237" xr:uid="{E56052F8-3FDA-4AAD-95E4-41BAFFC9268E}"/>
    <cellStyle name="Heading 4 59" xfId="4238" xr:uid="{9FD0820A-8284-4323-A0D8-D8C937A6526A}"/>
    <cellStyle name="Heading 4 6" xfId="4239" xr:uid="{984849E0-E177-41A7-A1AF-C026E6A3373A}"/>
    <cellStyle name="Heading 4 60" xfId="4240" xr:uid="{AF5BA1DD-6AD6-4075-8BDD-A3F959B8517D}"/>
    <cellStyle name="Heading 4 60 2" xfId="4241" xr:uid="{95EC4C61-2E82-49A8-A29E-A0B0575A619D}"/>
    <cellStyle name="Heading 4 60 2 2" xfId="4242" xr:uid="{F14F652B-7947-40B7-9785-B22E2F94F592}"/>
    <cellStyle name="Heading 4 60 2 2 2" xfId="4243" xr:uid="{D06E3988-F1F4-479D-A60D-7E1B152E20E5}"/>
    <cellStyle name="Heading 4 60 2 3" xfId="4244" xr:uid="{1E879BF3-34AC-45AC-B385-735A7F97E8A0}"/>
    <cellStyle name="Heading 4 61" xfId="4245" xr:uid="{64414C59-CD88-47C5-B37A-80CDB0E1C190}"/>
    <cellStyle name="Heading 4 62" xfId="4246" xr:uid="{6B035BBA-155A-4524-BA40-23B35918C338}"/>
    <cellStyle name="Heading 4 63" xfId="4247" xr:uid="{54FCB490-8BB8-443C-BC45-1F476BE5805D}"/>
    <cellStyle name="Heading 4 64" xfId="4248" xr:uid="{45903774-61CF-476D-83D6-9479D3AC317B}"/>
    <cellStyle name="Heading 4 65" xfId="4249" xr:uid="{0CDA50A4-F2C6-46AF-B66C-2823D86193FD}"/>
    <cellStyle name="Heading 4 7" xfId="4250" xr:uid="{59943FA6-F178-4F6F-B04C-513B64DCDDAF}"/>
    <cellStyle name="Heading 4 8" xfId="4251" xr:uid="{B456F24D-821F-496E-9ACA-9C9CFA6C371A}"/>
    <cellStyle name="Heading 4 9" xfId="4252" xr:uid="{F2C68629-F84E-447A-9303-07EDBB97C560}"/>
    <cellStyle name="Heading 4." xfId="4253" xr:uid="{191914A0-9737-4A5F-803B-3AC5197CC138}"/>
    <cellStyle name="Heading 5" xfId="4254" xr:uid="{0B86EB39-1CA6-4660-867F-1F39EED3F7E6}"/>
    <cellStyle name="Heading 6" xfId="4255" xr:uid="{E2FCE303-A173-449B-A4A5-D65717FBF6F8}"/>
    <cellStyle name="Heading 7" xfId="4256" xr:uid="{3738B64E-77DD-4C2E-A39E-B32F86CFC741}"/>
    <cellStyle name="Heading 8" xfId="4257" xr:uid="{775E0E05-5CD3-4CB5-8237-232F175BC550}"/>
    <cellStyle name="Heading 9" xfId="4258" xr:uid="{666DD1A0-3E8F-41DD-9F71-097F1B7010A1}"/>
    <cellStyle name="heading info" xfId="4259" xr:uid="{A2B5E37A-EC8B-4FB6-8BAC-4588B15AFB95}"/>
    <cellStyle name="Heading Title" xfId="4260" xr:uid="{BE76E46F-C033-4D59-8EFE-B04870CB7A71}"/>
    <cellStyle name="HEADING1" xfId="4261" xr:uid="{7A90F19D-F3A1-4980-95FE-EBCF93029AEA}"/>
    <cellStyle name="Heading1 2" xfId="4262" xr:uid="{8D8A5E89-DFF7-4416-A97C-8D2BED99BDA7}"/>
    <cellStyle name="HEADING2" xfId="4263" xr:uid="{2207E52B-8FA0-4110-A77D-C86DAF78E702}"/>
    <cellStyle name="Heading2 2" xfId="4264" xr:uid="{D42DA1F3-3C96-4D03-BE67-E01DD0B7D26D}"/>
    <cellStyle name="Heading3" xfId="4265" xr:uid="{C647B09F-E72B-4AD9-AB57-CE0759E90692}"/>
    <cellStyle name="Heading4" xfId="4266" xr:uid="{08D0BAD9-BF53-4584-AB8F-4AFEC06D9DDB}"/>
    <cellStyle name="Heading5" xfId="4267" xr:uid="{87A0E24E-792D-435C-8D4A-DF65AF2374AB}"/>
    <cellStyle name="Headings" xfId="4268" xr:uid="{3651A766-DA20-4ED8-AE88-27D8CD86D1BA}"/>
    <cellStyle name="Headings 2" xfId="4269" xr:uid="{CD655860-5B5F-4AF9-ABFF-7B767C332150}"/>
    <cellStyle name="Headline" xfId="4270" xr:uid="{0EFEA437-0163-48AF-BC28-30A830991C05}"/>
    <cellStyle name="HIGHLIGHT" xfId="4271" xr:uid="{ACF45485-00BF-470D-8409-CBB24BF8C26F}"/>
    <cellStyle name="Horizontal" xfId="4272" xr:uid="{CBF1F6CE-1BD4-4591-8ADE-D38B58699C05}"/>
    <cellStyle name="Hyperlink" xfId="2" builtinId="8"/>
    <cellStyle name="Hyperlink 10" xfId="4273" xr:uid="{7B4188D4-E982-4A82-8D4E-4A7AC0F004A9}"/>
    <cellStyle name="Hyperlink 11" xfId="4274" xr:uid="{89359EF4-84E0-47CE-BB5F-991080227A2C}"/>
    <cellStyle name="Hyperlink 12" xfId="4275" xr:uid="{2BFA0165-FF1A-4C69-924B-A001E85F2318}"/>
    <cellStyle name="Hyperlink 13" xfId="19" xr:uid="{0AF2E52C-DAF9-45B3-9708-29797EAF63BC}"/>
    <cellStyle name="Hyperlink 14" xfId="37862" xr:uid="{8DB98495-86CE-4D5B-B8FE-3C4BF523B127}"/>
    <cellStyle name="Hyperlink 2" xfId="9" xr:uid="{00000000-0005-0000-0000-000003000000}"/>
    <cellStyle name="Hyperlink 2 2" xfId="4277" xr:uid="{3FEC5F2F-9582-41A1-8145-DBAD6DEEBAEF}"/>
    <cellStyle name="Hyperlink 2 2 2" xfId="4278" xr:uid="{D86FFD42-4256-4B51-A66A-7E824A036F54}"/>
    <cellStyle name="Hyperlink 2 3" xfId="4279" xr:uid="{17B93959-AC44-4E35-8E68-D703538815CA}"/>
    <cellStyle name="Hyperlink 2 4" xfId="4280" xr:uid="{3DEB1AE2-939E-42FB-A287-5B41722BD6F7}"/>
    <cellStyle name="Hyperlink 2 5" xfId="4281" xr:uid="{534E2D6C-D2C8-4047-B56B-2F7BAC402BF8}"/>
    <cellStyle name="Hyperlink 2 6" xfId="4282" xr:uid="{F08999E4-9BDF-4757-9112-4DE8569D7877}"/>
    <cellStyle name="Hyperlink 2 7" xfId="4283" xr:uid="{764B27B2-3988-470B-8652-8AA1BCE9EB4B}"/>
    <cellStyle name="Hyperlink 2 8" xfId="4284" xr:uid="{E5CC57B4-ED0E-4659-B1BC-43211F19F32F}"/>
    <cellStyle name="Hyperlink 2 9" xfId="4276" xr:uid="{22DB8C99-504B-4796-84D6-BE45F7BD11FE}"/>
    <cellStyle name="Hyperlink 2_Ch4 v2" xfId="4285" xr:uid="{D5FF7FF9-6152-434B-9E3A-79CE97834786}"/>
    <cellStyle name="Hyperlink 3" xfId="15" xr:uid="{00000000-0005-0000-0000-000004000000}"/>
    <cellStyle name="Hyperlink 3 2" xfId="4287" xr:uid="{0D2C898F-A3D1-461D-B6B4-12342370C1E4}"/>
    <cellStyle name="Hyperlink 3 3" xfId="4288" xr:uid="{CD9FC263-0837-442F-9060-FF7E01C20659}"/>
    <cellStyle name="Hyperlink 3 4" xfId="4289" xr:uid="{27380996-7DDA-41CA-94BC-51D1EACDD0F2}"/>
    <cellStyle name="Hyperlink 3 5" xfId="4286" xr:uid="{0719A36C-222A-401C-8F58-1008AD2E55B1}"/>
    <cellStyle name="Hyperlink 4" xfId="4290" xr:uid="{6C8B4CA6-98CA-482A-80F0-720308DC160D}"/>
    <cellStyle name="Hyperlink 4 2" xfId="4291" xr:uid="{A2BFFBFB-C893-45E9-9597-942186FFD6D7}"/>
    <cellStyle name="Hyperlink 4 3" xfId="4292" xr:uid="{EBE6091B-A6FB-46FE-80AB-FF1A8B75819A}"/>
    <cellStyle name="Hyperlink 4 4" xfId="4293" xr:uid="{2C7B11CD-1594-4C15-8C7F-3644BCC92670}"/>
    <cellStyle name="Hyperlink 5" xfId="4294" xr:uid="{5B441331-9949-4AC0-95B3-4D3E3AF8BB87}"/>
    <cellStyle name="Hyperlink 5 2" xfId="4295" xr:uid="{250CFA82-740C-4929-A585-575A27EE39B9}"/>
    <cellStyle name="Hyperlink 5 3" xfId="4296" xr:uid="{20752986-3CBF-4077-9412-521DB07C8386}"/>
    <cellStyle name="Hyperlink 6" xfId="4297" xr:uid="{23AAAEDD-00BC-4B79-8F96-BE40565BA31E}"/>
    <cellStyle name="Hyperlink 6 2" xfId="4298" xr:uid="{3A98242D-F900-4CE4-B373-0FF8218BFBAB}"/>
    <cellStyle name="Hyperlink 7" xfId="4299" xr:uid="{8D82E549-CBC7-4026-B299-78F9D8A017F5}"/>
    <cellStyle name="Hyperlink 8" xfId="4300" xr:uid="{294C2B56-5C4E-447A-B7A8-3EAB554CC75D}"/>
    <cellStyle name="Hyperlink 8 2" xfId="4301" xr:uid="{F01ED1F2-2479-41E9-8B43-C21F69DDCB07}"/>
    <cellStyle name="Hyperlink 9" xfId="4302" xr:uid="{B57344E2-2E4F-4D82-BAC5-26C4A26C7BD6}"/>
    <cellStyle name="Hyperlink Arrow." xfId="4303" xr:uid="{90A4B07B-5E8B-4A7A-8CF3-D7F879B94C89}"/>
    <cellStyle name="Hyperlink Check." xfId="4304" xr:uid="{965E6F4B-F225-43D6-BC8F-8A50CDAAC03E}"/>
    <cellStyle name="Hyperlink Text." xfId="4305" xr:uid="{E2D6BD24-AA70-46F6-A3AF-6DB10776E52D}"/>
    <cellStyle name="Information" xfId="4306" xr:uid="{194EFD2F-B0AA-43FD-8ADF-0C0445C2A5DD}"/>
    <cellStyle name="Input [yellow]" xfId="4307" xr:uid="{C2F1C436-4E55-4ABC-8786-00ED6AB3B46E}"/>
    <cellStyle name="Input [yellow] 2" xfId="4308" xr:uid="{29FB5888-DC8D-41C7-AB9D-89B8CF4B81B8}"/>
    <cellStyle name="Input [yellow] 3" xfId="4309" xr:uid="{2E0EE585-B3C4-4049-BFF2-FFC87ED453D0}"/>
    <cellStyle name="Input 10" xfId="4310" xr:uid="{465A2846-2D39-45FA-84FD-46BA743148B2}"/>
    <cellStyle name="Input 10 2" xfId="4311" xr:uid="{2E858CA8-84D4-4F41-B13F-51D972C8436A}"/>
    <cellStyle name="Input 11" xfId="4312" xr:uid="{402917AB-2C3A-4A5D-9F9F-192C30F8939E}"/>
    <cellStyle name="Input 11 2" xfId="4313" xr:uid="{336A786A-DE1E-43DC-953E-52B61C00E3B0}"/>
    <cellStyle name="Input 12" xfId="4314" xr:uid="{DBEF39DD-9B69-46D8-895D-A48640B9EE4B}"/>
    <cellStyle name="Input 12 2" xfId="4315" xr:uid="{00AA5BAF-8DA3-4134-ADE8-AE0D120A44C0}"/>
    <cellStyle name="Input 13" xfId="4316" xr:uid="{537D580B-EFCB-4449-9C3B-B260300A5757}"/>
    <cellStyle name="Input 13 2" xfId="4317" xr:uid="{9B4E70E6-EEC1-47F2-88BB-7967F50F058E}"/>
    <cellStyle name="Input 14" xfId="4318" xr:uid="{EF73A0CC-DB72-4430-95CB-411899A1E88B}"/>
    <cellStyle name="Input 14 2" xfId="4319" xr:uid="{3D6AE4B0-C1B5-4AE3-8A70-5962C76356E9}"/>
    <cellStyle name="Input 15" xfId="4320" xr:uid="{31B9AFEF-794A-4E72-AE18-FC9311EC1CF6}"/>
    <cellStyle name="Input 15 2" xfId="4321" xr:uid="{147800F9-3474-493D-82C9-B1A8978266A8}"/>
    <cellStyle name="Input 16" xfId="4322" xr:uid="{18BEA603-94F4-4003-8C13-2D0ED4E8A9A1}"/>
    <cellStyle name="Input 16 2" xfId="4323" xr:uid="{34D46C72-7999-4B55-BEE9-FF6F990588FC}"/>
    <cellStyle name="Input 17" xfId="4324" xr:uid="{8B854FC9-E547-4544-9E03-71219F797DE5}"/>
    <cellStyle name="Input 17 2" xfId="4325" xr:uid="{861C9A6B-A0C3-4FED-A943-403AE59B3C95}"/>
    <cellStyle name="Input 18" xfId="4326" xr:uid="{7064C982-B835-4034-8000-578782119DD9}"/>
    <cellStyle name="Input 18 2" xfId="4327" xr:uid="{31DB31EC-691E-4CB5-8700-C99BC23377F6}"/>
    <cellStyle name="Input 19" xfId="4328" xr:uid="{7D28A04B-A723-4876-919A-EC1FFB0095C1}"/>
    <cellStyle name="Input 19 2" xfId="4329" xr:uid="{0C5F98C7-92B4-4CD0-98D4-5E6F3DF89FBB}"/>
    <cellStyle name="Input 2" xfId="4330" xr:uid="{E599D019-3418-449B-A7D5-4C2E0F0AF80A}"/>
    <cellStyle name="Input 2 10" xfId="4331" xr:uid="{E26FD7B3-FAB6-4933-8F81-340F9D27C0A3}"/>
    <cellStyle name="Input 2 11" xfId="4332" xr:uid="{CC15C3AF-3924-43ED-B376-B8C0707A168C}"/>
    <cellStyle name="Input 2 12" xfId="4333" xr:uid="{B94BD492-216A-47FE-9ED1-B263D21A0B3A}"/>
    <cellStyle name="Input 2 13" xfId="4334" xr:uid="{D6EA52A0-AB72-4457-AB32-0BD7C55E6D04}"/>
    <cellStyle name="Input 2 2" xfId="4335" xr:uid="{C19E9959-BB0E-4C28-BCC2-9FF955F0DFA7}"/>
    <cellStyle name="Input 2 2 2" xfId="4336" xr:uid="{ED63C446-BD7E-4924-AE9A-B2D5BC257F81}"/>
    <cellStyle name="Input 2 2 2 2" xfId="4337" xr:uid="{89CEDC03-CE67-4368-934D-286DE55941B8}"/>
    <cellStyle name="Input 2 2 2 2 2" xfId="4338" xr:uid="{57520470-53EE-4FD7-B746-EFBDD3D4C1B6}"/>
    <cellStyle name="Input 2 2 2 2 3" xfId="4339" xr:uid="{150F1C81-A682-4003-9030-A6BE9EEDCD13}"/>
    <cellStyle name="Input 2 2 2 2 4" xfId="4340" xr:uid="{E6B72D1D-0250-452F-B445-028B2840E2D1}"/>
    <cellStyle name="Input 2 2 2 3" xfId="4341" xr:uid="{040D30E3-BF9F-43DD-B83B-9CC0C44255CE}"/>
    <cellStyle name="Input 2 2 2 3 2" xfId="4342" xr:uid="{EEF250CC-4778-4E64-B994-B9093D200497}"/>
    <cellStyle name="Input 2 2 2 3 3" xfId="4343" xr:uid="{13A92221-00C1-4E8C-B4C4-EB029F844938}"/>
    <cellStyle name="Input 2 2 2 3 4" xfId="4344" xr:uid="{7164F962-49AF-4BE8-804A-4D14A7FAE666}"/>
    <cellStyle name="Input 2 2 2 4" xfId="4345" xr:uid="{7401CE53-C4B1-46E1-8B43-3369090A414C}"/>
    <cellStyle name="Input 2 2 2 5" xfId="4346" xr:uid="{DF725047-00C5-4876-BFA0-3C9B7CFECC0A}"/>
    <cellStyle name="Input 2 2 2 6" xfId="4347" xr:uid="{1D344851-5A70-4A25-ABFC-9831B1907304}"/>
    <cellStyle name="Input 2 2 3" xfId="4348" xr:uid="{2063B742-DF39-4277-8257-B8D85AC7850F}"/>
    <cellStyle name="Input 2 2 4" xfId="4349" xr:uid="{BA42A28E-2F00-4702-BF86-88AD01457E31}"/>
    <cellStyle name="Input 2 2 5" xfId="4350" xr:uid="{40598336-7ACE-4828-9ABC-BBA33E6EAC70}"/>
    <cellStyle name="Input 2 2 6" xfId="4351" xr:uid="{76B28474-7329-4F7A-82E4-65F3D7AEA3A7}"/>
    <cellStyle name="Input 2 3" xfId="4352" xr:uid="{940E1B22-5929-4455-97C3-C2DE486EFD91}"/>
    <cellStyle name="Input 2 3 2" xfId="4353" xr:uid="{95507ADE-782D-4323-9695-43EB593EB0C1}"/>
    <cellStyle name="Input 2 3 2 2" xfId="4354" xr:uid="{AAB9EA05-3F6C-49BE-AA5B-820CD9EA6500}"/>
    <cellStyle name="Input 2 3 2 2 2" xfId="4355" xr:uid="{67CF13F6-54AD-4B6E-9389-51354B80C8C6}"/>
    <cellStyle name="Input 2 3 2 2 3" xfId="4356" xr:uid="{846FE65D-52BD-495F-867E-247DA868C389}"/>
    <cellStyle name="Input 2 3 2 2 4" xfId="4357" xr:uid="{B821AC78-08D7-4E91-966A-8C3CEF99688C}"/>
    <cellStyle name="Input 2 3 2 3" xfId="4358" xr:uid="{4B4AB228-42D1-4709-BA9B-A10C2F5E6330}"/>
    <cellStyle name="Input 2 3 2 3 2" xfId="4359" xr:uid="{63024F48-C864-4AC0-BFA9-93B8B9DDD5F3}"/>
    <cellStyle name="Input 2 3 2 3 3" xfId="4360" xr:uid="{ADF8D455-61A4-4346-977E-4A2A08B5AEED}"/>
    <cellStyle name="Input 2 3 2 3 4" xfId="4361" xr:uid="{78CD278B-81D3-4997-A946-78F114D87696}"/>
    <cellStyle name="Input 2 3 2 4" xfId="4362" xr:uid="{06E2A26F-E33A-45C9-AC20-59A7CD780119}"/>
    <cellStyle name="Input 2 3 2 5" xfId="4363" xr:uid="{647C633F-0257-4AD6-B2C3-F659C7F7CE64}"/>
    <cellStyle name="Input 2 3 2 6" xfId="4364" xr:uid="{78FEBDEB-F568-4554-A6DC-1CB8BABCA998}"/>
    <cellStyle name="Input 2 3 3" xfId="4365" xr:uid="{656727BA-0004-4F5D-80C1-F81C5222A4C1}"/>
    <cellStyle name="Input 2 3 4" xfId="4366" xr:uid="{B0D89C2B-5125-4FEB-9E72-54FFE5CBDCE3}"/>
    <cellStyle name="Input 2 3 5" xfId="4367" xr:uid="{69D2B690-6600-4B28-AA9B-41FFB67FF73D}"/>
    <cellStyle name="Input 2 4" xfId="4368" xr:uid="{31AE5673-D697-439F-B28E-6572B6DF15A5}"/>
    <cellStyle name="Input 2 4 2" xfId="4369" xr:uid="{98DFB264-AF7A-4508-B092-835FC803C964}"/>
    <cellStyle name="Input 2 4 2 2" xfId="4370" xr:uid="{AD7013BF-39D0-4639-8EEC-855A3D835E26}"/>
    <cellStyle name="Input 2 4 2 3" xfId="4371" xr:uid="{6EF6E49B-5EB6-46C7-8542-C77407126D41}"/>
    <cellStyle name="Input 2 4 2 4" xfId="4372" xr:uid="{7099EC70-E8F8-4ED8-98E5-5D656F9AE57F}"/>
    <cellStyle name="Input 2 4 3" xfId="4373" xr:uid="{EB6707B8-D578-4979-8C43-3B13F6F299E6}"/>
    <cellStyle name="Input 2 4 3 2" xfId="4374" xr:uid="{8C68AE58-9B55-4081-93DA-262454A50B58}"/>
    <cellStyle name="Input 2 4 3 3" xfId="4375" xr:uid="{AD03964C-3346-49B3-9DEB-A7CCA5682484}"/>
    <cellStyle name="Input 2 4 3 4" xfId="4376" xr:uid="{D858A974-9B69-4360-A827-C99D36AA3104}"/>
    <cellStyle name="Input 2 4 4" xfId="4377" xr:uid="{E1CF81CD-3746-474F-9B79-F2BBD113C68E}"/>
    <cellStyle name="Input 2 4 5" xfId="4378" xr:uid="{2A1CEA39-F09F-42BD-8C89-E6E2C64A911E}"/>
    <cellStyle name="Input 2 4 6" xfId="4379" xr:uid="{AFFAAA6A-FD04-4666-914B-97D90637A818}"/>
    <cellStyle name="Input 2 5" xfId="4380" xr:uid="{D01C5161-37AF-42AE-972D-3545DE6D4832}"/>
    <cellStyle name="Input 2 6" xfId="4381" xr:uid="{1DB4AABE-526C-424B-9F6F-FEFE36081A99}"/>
    <cellStyle name="Input 2 7" xfId="4382" xr:uid="{F13746F5-3B47-4877-B46C-5AE5132E80E2}"/>
    <cellStyle name="Input 2 8" xfId="4383" xr:uid="{B2604A86-F933-4E4B-B2B0-EA80D2A1A95A}"/>
    <cellStyle name="Input 2 9" xfId="4384" xr:uid="{01A222B7-CA69-4470-A243-E60B64A7E0C4}"/>
    <cellStyle name="Input 20" xfId="4385" xr:uid="{44EF2CE1-60F7-4B4F-BC21-08B8CE043AB0}"/>
    <cellStyle name="Input 21" xfId="4386" xr:uid="{6642AB3C-EE29-4C83-BAF7-3F46EE5AC0CD}"/>
    <cellStyle name="Input 22" xfId="4387" xr:uid="{36F2CDBB-9DBE-4B33-9940-EA551FB99FB0}"/>
    <cellStyle name="Input 23" xfId="4388" xr:uid="{9D753D3A-8B41-4E4F-8164-D8763EBF5A4D}"/>
    <cellStyle name="Input 24" xfId="4389" xr:uid="{4645C939-F546-4AE1-82E8-0B15CC7059C9}"/>
    <cellStyle name="Input 25" xfId="4390" xr:uid="{F2798F08-0CA8-4A74-A5D3-03DBE6271847}"/>
    <cellStyle name="Input 26" xfId="4391" xr:uid="{A93C06CA-FD3D-44EF-ABC7-320BECE5E56E}"/>
    <cellStyle name="Input 27" xfId="4392" xr:uid="{501A988F-F150-44A5-981B-2FF8421F488C}"/>
    <cellStyle name="Input 28" xfId="4393" xr:uid="{BA15C33A-09E1-43BD-83EA-8583E4A27197}"/>
    <cellStyle name="Input 29" xfId="4394" xr:uid="{97C12919-C9CA-48B2-9E44-399A29D33702}"/>
    <cellStyle name="Input 3" xfId="4395" xr:uid="{58534124-F691-400B-88E5-3583C8852A0C}"/>
    <cellStyle name="Input 3 2" xfId="4396" xr:uid="{AC67916A-3260-49A6-9AF7-6B1341E7B7E4}"/>
    <cellStyle name="Input 3 3" xfId="4397" xr:uid="{E94F436F-8394-4C7F-AEFE-B0D9FC3C5B52}"/>
    <cellStyle name="Input 3 4" xfId="4398" xr:uid="{1D75CC25-9BCD-481E-81D8-0356927A2559}"/>
    <cellStyle name="Input 3 5" xfId="4399" xr:uid="{B1E389BB-6737-4566-8E84-3DF9E49B1F9D}"/>
    <cellStyle name="Input 30" xfId="4400" xr:uid="{234CC2E0-9D18-498C-BAC1-8A94655B37B5}"/>
    <cellStyle name="Input 31" xfId="4401" xr:uid="{C9108DD1-7943-4047-A814-8967960B1FEA}"/>
    <cellStyle name="Input 32" xfId="4402" xr:uid="{D713C252-DFA1-4364-8BCC-34142316AED7}"/>
    <cellStyle name="Input 33" xfId="4403" xr:uid="{72C36739-DD2B-4AC8-906C-F125F671A96B}"/>
    <cellStyle name="Input 34" xfId="4404" xr:uid="{5C7DC7D5-01BD-441C-8662-D2F787E0321A}"/>
    <cellStyle name="Input 35" xfId="4405" xr:uid="{93EF5877-1AAD-414F-BEAB-F00CE842317B}"/>
    <cellStyle name="Input 35 2" xfId="4406" xr:uid="{63B7229A-56C4-49CC-99C2-4A8296C21B9B}"/>
    <cellStyle name="Input 35 2 2" xfId="4407" xr:uid="{AD622FA2-EF2F-4AF0-A0F9-A81702812BED}"/>
    <cellStyle name="Input 35 2 2 2" xfId="4408" xr:uid="{133FEB58-72EF-45EA-BF78-FE6E48AC8DB9}"/>
    <cellStyle name="Input 35 3" xfId="4409" xr:uid="{23B1EA3A-3F51-4A87-AA43-D7EC87280855}"/>
    <cellStyle name="Input 35 4" xfId="4410" xr:uid="{F3C1F7B7-78AA-4039-A75D-59BE060EA876}"/>
    <cellStyle name="Input 36" xfId="4411" xr:uid="{D2BB960E-CE99-48B5-9A21-A69DD5CA7F91}"/>
    <cellStyle name="Input 37" xfId="4412" xr:uid="{E3179252-0CB0-4A02-BE27-C891D3DB4773}"/>
    <cellStyle name="Input 38" xfId="4413" xr:uid="{65EDA4F3-C5EF-41B3-9331-145FD0CECBED}"/>
    <cellStyle name="Input 39" xfId="4414" xr:uid="{4B56053B-298D-4ABA-80D2-D512A50D050D}"/>
    <cellStyle name="Input 4" xfId="4415" xr:uid="{4A147472-212A-4D81-8123-C17CADD9880F}"/>
    <cellStyle name="Input 4 2" xfId="4416" xr:uid="{755B6B17-4B72-45CA-A192-9CF82AE21A07}"/>
    <cellStyle name="Input 4 3" xfId="4417" xr:uid="{DC8CAAC2-E56C-40AB-A46F-7949551F8649}"/>
    <cellStyle name="Input 4 4" xfId="4418" xr:uid="{601CBE95-9DC3-4421-8D99-73092B50C877}"/>
    <cellStyle name="Input 40" xfId="4419" xr:uid="{2A00FD0C-2545-459F-B80C-D6F15A45A950}"/>
    <cellStyle name="Input 41" xfId="4420" xr:uid="{AFE35564-3831-4911-84DF-9CDB664DA448}"/>
    <cellStyle name="Input 42" xfId="4421" xr:uid="{0CEA99CF-6903-47E6-A565-CA0F27052920}"/>
    <cellStyle name="Input 43" xfId="4422" xr:uid="{939C7EA5-9B6E-42D1-A62E-C6DD14442370}"/>
    <cellStyle name="Input 44" xfId="4423" xr:uid="{34455BC0-2B83-4CB7-AF2D-B4AAACFECDF1}"/>
    <cellStyle name="Input 45" xfId="4424" xr:uid="{E5B8D574-06D7-4900-BEC8-29ABA92E0352}"/>
    <cellStyle name="Input 46" xfId="4425" xr:uid="{D5282116-0B23-42F5-A828-A772961C7DC3}"/>
    <cellStyle name="Input 47" xfId="4426" xr:uid="{720D4BE2-7D64-4560-9C28-163E3932FF59}"/>
    <cellStyle name="Input 48" xfId="4427" xr:uid="{83CD4C6A-CA07-43C8-B97C-D43ED438E9DC}"/>
    <cellStyle name="Input 49" xfId="4428" xr:uid="{30C1A37C-AB76-4B32-A4B9-007516CCEFC2}"/>
    <cellStyle name="Input 5" xfId="4429" xr:uid="{FBA1DB0E-D37F-4B19-944F-C9FFA7A48673}"/>
    <cellStyle name="Input 5 2" xfId="4430" xr:uid="{010B9B50-7DBE-4900-9EC3-A405F36809A4}"/>
    <cellStyle name="Input 50" xfId="4431" xr:uid="{8BA7693A-CA99-4B44-AE4E-6576C93246D5}"/>
    <cellStyle name="Input 51" xfId="4432" xr:uid="{479BE433-25E7-4AE9-AB90-9065213D33B0}"/>
    <cellStyle name="Input 52" xfId="4433" xr:uid="{62B67F2B-3498-444A-BA7D-937A9ACF545C}"/>
    <cellStyle name="Input 53" xfId="4434" xr:uid="{71F71491-5F17-4622-A7CB-F024523BBC14}"/>
    <cellStyle name="Input 54" xfId="4435" xr:uid="{52A6732A-5B1F-4412-A1A4-1D868FDF7931}"/>
    <cellStyle name="Input 55" xfId="4436" xr:uid="{FF356DD1-FF66-4EA7-93FA-E9A9C6879A32}"/>
    <cellStyle name="Input 56" xfId="4437" xr:uid="{184256D7-B860-4C53-8DDC-634CD1B6755D}"/>
    <cellStyle name="Input 57" xfId="4438" xr:uid="{B44EF763-8501-411F-BFDF-DBCD622F830A}"/>
    <cellStyle name="Input 58" xfId="4439" xr:uid="{F3FB2BF3-703B-4343-8B8C-872F5E1EAFA3}"/>
    <cellStyle name="Input 59" xfId="4440" xr:uid="{797D752B-881A-46ED-BF32-F3F8B8913102}"/>
    <cellStyle name="Input 6" xfId="4441" xr:uid="{45C4A68A-D39D-4132-BB99-8B2B6344A07E}"/>
    <cellStyle name="Input 6 2" xfId="4442" xr:uid="{3F0E1AF8-27C6-4B67-B5AD-EEDBF6B63E2A}"/>
    <cellStyle name="Input 60" xfId="4443" xr:uid="{4E0DF574-8492-47B5-AB61-1D59F43DFB8B}"/>
    <cellStyle name="Input 60 2" xfId="4444" xr:uid="{C78659FA-A63E-4A4D-926D-D86167CC6FC6}"/>
    <cellStyle name="Input 60 2 2" xfId="4445" xr:uid="{22A22B02-5F48-4E05-97E9-56B24FAE9C47}"/>
    <cellStyle name="Input 60 2 3" xfId="4446" xr:uid="{7164AE58-9101-4766-AEFE-822DF6FEEA9B}"/>
    <cellStyle name="Input 61" xfId="4447" xr:uid="{A8C5CD7F-04C0-4263-A0D0-D65D365452A6}"/>
    <cellStyle name="Input 62" xfId="4448" xr:uid="{5C2C8B72-7D4A-4F60-9B1F-43A61611C1E2}"/>
    <cellStyle name="Input 63" xfId="4449" xr:uid="{953EF396-6F17-427E-97F4-AEC8EAF867FB}"/>
    <cellStyle name="Input 64" xfId="4450" xr:uid="{713C50C6-0FB7-41B6-A9C9-F59CEFDD3D04}"/>
    <cellStyle name="Input 65" xfId="4451" xr:uid="{2DC9277D-2FE4-48DD-B768-B8C97D45103A}"/>
    <cellStyle name="Input 66" xfId="4452" xr:uid="{C42CD02C-D9AD-461A-91BB-27F9F21EC3F3}"/>
    <cellStyle name="Input 67" xfId="4453" xr:uid="{4F993BEA-75FF-4D71-AF65-E220C47B3E45}"/>
    <cellStyle name="Input 7" xfId="4454" xr:uid="{0A17D506-38FC-4E08-BAEB-0AAEC98FD6BB}"/>
    <cellStyle name="Input 7 2" xfId="4455" xr:uid="{E76A2EEC-74D3-4406-BBC1-4C26FA9B425A}"/>
    <cellStyle name="Input 8" xfId="4456" xr:uid="{BE0BF61C-DF75-4140-B64F-DC643978CE05}"/>
    <cellStyle name="Input 8 2" xfId="4457" xr:uid="{AD02D341-FE0E-4356-85E9-75F4BE6EDC9F}"/>
    <cellStyle name="Input 9" xfId="4458" xr:uid="{B81CFD9E-91D5-4BF7-BCBD-D0EC6417391E}"/>
    <cellStyle name="Input 9 2" xfId="4459" xr:uid="{AD3B9B24-3EBA-4832-AA87-4BF4003D0253}"/>
    <cellStyle name="Input Currency" xfId="4460" xr:uid="{F4DFE0E1-84E9-4357-8B67-EEDCFF089723}"/>
    <cellStyle name="Input Currency 2" xfId="4461" xr:uid="{CB18AEA2-7369-4D9D-B334-CD4F050AF140}"/>
    <cellStyle name="Input data" xfId="4462" xr:uid="{DDBD09B7-DFB5-4827-B9B1-6ACE04A70851}"/>
    <cellStyle name="Input Multiple" xfId="4463" xr:uid="{EF1451F7-3A91-4D1E-9E50-07FA33E053B4}"/>
    <cellStyle name="Input Percent" xfId="4464" xr:uid="{B76A6EFF-5B90-4DB8-8692-4381A82A3DC9}"/>
    <cellStyle name="InputCell" xfId="4465" xr:uid="{B7428BF8-9D67-4340-9525-EA290ED74A20}"/>
    <cellStyle name="InputCell 10" xfId="4466" xr:uid="{D258D00D-BF40-432E-A8CD-D54A72F3702C}"/>
    <cellStyle name="InputCell 2" xfId="4467" xr:uid="{07AB789E-0CAF-44A7-A38A-91D8D6C8C22C}"/>
    <cellStyle name="InputCell 2 2" xfId="4468" xr:uid="{F4F1E27C-9163-464E-8610-B266EE2443EB}"/>
    <cellStyle name="InputCell 2 2 2" xfId="4469" xr:uid="{CFFA8286-0CFE-4F83-8AE6-C130040BCA36}"/>
    <cellStyle name="InputCell 2 2 3" xfId="4470" xr:uid="{78B55FEF-8014-4C71-B8CC-A991448166DE}"/>
    <cellStyle name="InputCell 2 3" xfId="4471" xr:uid="{91CA1A93-3B0E-4DA3-A6A5-0D6F29F13776}"/>
    <cellStyle name="InputCell 2 4" xfId="4472" xr:uid="{84C18BC3-798B-4E57-AFA9-DB890232422B}"/>
    <cellStyle name="InputCell 3" xfId="4473" xr:uid="{F75BF493-7D8F-436F-9CCF-3CB6B03121CB}"/>
    <cellStyle name="InputCell 3 2" xfId="4474" xr:uid="{6846111A-3418-4BE5-AAEE-A0EFE928E810}"/>
    <cellStyle name="InputCell 3 2 2" xfId="4475" xr:uid="{FA38D6C8-C620-4BCD-A744-326063248591}"/>
    <cellStyle name="InputCell 3 2 3" xfId="4476" xr:uid="{8342E40E-EA6C-4012-956F-EC1774CDD5EB}"/>
    <cellStyle name="InputCell 3 3" xfId="4477" xr:uid="{55126637-B63B-4D37-8FD4-D5BC9368A927}"/>
    <cellStyle name="InputCell 3 4" xfId="4478" xr:uid="{34C537FD-24B0-4094-912A-E133953C276E}"/>
    <cellStyle name="InputCell 4" xfId="4479" xr:uid="{A4560F73-BAEF-4F37-8858-EE9FCA3C2CC3}"/>
    <cellStyle name="InputCell 4 2" xfId="4480" xr:uid="{445DBF73-52FF-4E31-9D09-209D56D92AE4}"/>
    <cellStyle name="InputCell 4 2 2" xfId="4481" xr:uid="{C3B0F833-86AA-42AB-9CF9-ABF9521A55EB}"/>
    <cellStyle name="InputCell 4 2 3" xfId="4482" xr:uid="{E1BAF96E-A79D-4A2F-8364-E1FFCCC88662}"/>
    <cellStyle name="InputCell 4 3" xfId="4483" xr:uid="{09A3619C-75B9-4F8E-A905-6CDFAC30935A}"/>
    <cellStyle name="InputCell 4 4" xfId="4484" xr:uid="{413935F1-6B06-4F75-A8DC-9645E1B3C515}"/>
    <cellStyle name="InputCell 5" xfId="4485" xr:uid="{14FBA44D-CA66-42F5-9E10-2CA9612AB91D}"/>
    <cellStyle name="InputCell 5 2" xfId="4486" xr:uid="{C53A0B36-E2A9-43EF-BE92-EBEA6B01A498}"/>
    <cellStyle name="InputCell 5 2 2" xfId="4487" xr:uid="{0C4E746D-6D84-468E-8C12-5E0BC1CF95E8}"/>
    <cellStyle name="InputCell 5 2 3" xfId="4488" xr:uid="{19D1253D-1034-4E5B-A0CE-444CD179C21B}"/>
    <cellStyle name="InputCell 5 3" xfId="4489" xr:uid="{52F59BDD-1CBF-4B5E-AAF7-874E182D7369}"/>
    <cellStyle name="InputCell 5 4" xfId="4490" xr:uid="{2BCC3F64-F3AE-4615-B759-3F5D46F1AC26}"/>
    <cellStyle name="InputCell 6" xfId="4491" xr:uid="{F6BE930D-B0AE-4A21-906E-956394C44900}"/>
    <cellStyle name="InputCell 6 2" xfId="4492" xr:uid="{2E80ED65-5CBB-45CA-AAE3-80A518643FC5}"/>
    <cellStyle name="InputCell 6 2 2" xfId="4493" xr:uid="{4E7604F9-D868-41BB-9F62-AFF9BD78D7EA}"/>
    <cellStyle name="InputCell 6 2 3" xfId="4494" xr:uid="{0D6D38D0-5068-4A4A-9F40-8705DD621EEB}"/>
    <cellStyle name="InputCell 6 3" xfId="4495" xr:uid="{6AB60862-F902-41C6-924C-B19053916E51}"/>
    <cellStyle name="InputCell 6 4" xfId="4496" xr:uid="{961314D9-9969-4B3D-A919-6C708ED13683}"/>
    <cellStyle name="InputCell 7" xfId="4497" xr:uid="{FADADF65-DE1E-4162-B037-483F68ECB4EE}"/>
    <cellStyle name="InputCell 7 2" xfId="4498" xr:uid="{EEB03BC6-5187-44E8-AA52-8ECEE19B8FBC}"/>
    <cellStyle name="InputCell 7 2 2" xfId="4499" xr:uid="{2B78CB1A-AFE1-42AC-85DF-A7C8B9B6EADF}"/>
    <cellStyle name="InputCell 7 2 3" xfId="4500" xr:uid="{06911700-188E-4802-8ED2-D1D307F1D4F4}"/>
    <cellStyle name="InputCell 7 3" xfId="4501" xr:uid="{FD8231A9-822E-4FB2-A59D-1DAB633C6739}"/>
    <cellStyle name="InputCell 7 4" xfId="4502" xr:uid="{1C1F97FC-96B7-4004-806F-64E60A0E1325}"/>
    <cellStyle name="InputCell 8" xfId="4503" xr:uid="{C9CFE36E-CA71-46E2-9754-7783FBF985BE}"/>
    <cellStyle name="InputCell 8 2" xfId="4504" xr:uid="{BDF40330-7B8C-4894-966B-15D04850CD05}"/>
    <cellStyle name="InputCell 8 3" xfId="4505" xr:uid="{17D2A2FD-5935-4D0D-9076-378E4AE905F0}"/>
    <cellStyle name="InputCell 9" xfId="4506" xr:uid="{AB8BF1EE-5D10-4952-90AE-00B2D7866361}"/>
    <cellStyle name="InputCells" xfId="4507" xr:uid="{2D0B06BC-20E7-44D2-9254-24C33CA923B3}"/>
    <cellStyle name="InputCells 2" xfId="4508" xr:uid="{B3972073-CDD2-46DF-A82D-86BBDDC7B74B}"/>
    <cellStyle name="InputCells12_BBorder_CRFReport-template" xfId="4509" xr:uid="{A451D2F0-6B7A-4FC9-AB47-D789E7765789}"/>
    <cellStyle name="InputJL" xfId="4510" xr:uid="{9D67F232-81D6-499A-861E-F45F7C8D960F}"/>
    <cellStyle name="InputJL 2" xfId="4511" xr:uid="{BBF12DDC-848E-4E5F-A67E-03D1239F6E56}"/>
    <cellStyle name="InputJL 2 2" xfId="4512" xr:uid="{4EFB1707-236C-4E20-9077-9EC52590380B}"/>
    <cellStyle name="InputJL 2 3" xfId="4513" xr:uid="{8F36F985-3F1B-4C80-BB72-0E04E010D83D}"/>
    <cellStyle name="InputJL 2 4" xfId="4514" xr:uid="{21CE6826-DB94-4482-8483-49FBA02399D5}"/>
    <cellStyle name="InputJL 2 5" xfId="4515" xr:uid="{2C2EEF2D-8045-4B31-8185-7A0C75228A43}"/>
    <cellStyle name="InputJL 3" xfId="4516" xr:uid="{5B4C9FAA-4EC7-418B-8CE2-7A3CCA3270AF}"/>
    <cellStyle name="InputJL 4" xfId="4517" xr:uid="{5021C1E9-DC1E-4FE7-82E7-442DE5344673}"/>
    <cellStyle name="InputJL 5" xfId="4518" xr:uid="{E93CB52D-613A-4EF9-8A73-425B9584D8DE}"/>
    <cellStyle name="InputJL 6" xfId="4519" xr:uid="{3C41E9B6-5326-4DAE-89DD-D92AA5062442}"/>
    <cellStyle name="InputJL 7" xfId="4520" xr:uid="{1A5EE7D9-309B-43BA-AB62-0B1A4F6BE7F0}"/>
    <cellStyle name="InputJL 8" xfId="4521" xr:uid="{E076A5BE-12F7-47B6-8A42-F6182BAA2C4A}"/>
    <cellStyle name="Int_EA" xfId="4522" xr:uid="{93E3D615-CB39-41A3-A017-C229B0F95ECA}"/>
    <cellStyle name="IntermediateCalc_RP" xfId="4523" xr:uid="{9E099A31-DDA2-42E1-9064-48869C7B4A61}"/>
    <cellStyle name="Label" xfId="4524" xr:uid="{2F6D91EE-BEA8-4E03-A369-9957E2B281EF}"/>
    <cellStyle name="LABEL Normal" xfId="4525" xr:uid="{324AF191-8E1F-4772-8245-AB950D0ECDBE}"/>
    <cellStyle name="LABEL Normal 2" xfId="4526" xr:uid="{94E2E5D8-0916-462C-91F2-370E50ABCB43}"/>
    <cellStyle name="LABEL Normal 2 2" xfId="4527" xr:uid="{79149682-6794-4D03-8CCC-681D84E997EF}"/>
    <cellStyle name="LABEL Normal 3" xfId="4528" xr:uid="{3CC83ECB-8AF3-43D4-9F5C-BA4F8E9175C8}"/>
    <cellStyle name="LABEL Note" xfId="4529" xr:uid="{771EE070-29E7-4DAB-BBAC-2ECEED5C9481}"/>
    <cellStyle name="LABEL Note 2" xfId="4530" xr:uid="{FD49763E-1FFB-4856-B7CB-C82088E21073}"/>
    <cellStyle name="LABEL Units" xfId="4531" xr:uid="{726BB198-C4DE-477C-8190-28BE08A11F17}"/>
    <cellStyle name="LABEL Units 2" xfId="4532" xr:uid="{6F648C2A-FF1E-44B9-BF46-B71351343033}"/>
    <cellStyle name="LABEL Units 2 2" xfId="4533" xr:uid="{5DDFBC60-4795-415D-BC81-73FF20D083B9}"/>
    <cellStyle name="LABEL Units 3" xfId="4534" xr:uid="{D2384811-8830-4E9F-8F35-6849DB6895EF}"/>
    <cellStyle name="LABEL Units 3 2" xfId="4535" xr:uid="{3F0FBDA1-C204-4805-8C38-BCBD98389239}"/>
    <cellStyle name="LABEL Units 4" xfId="4536" xr:uid="{E7608FA2-26EB-44FB-8146-62E3766336F7}"/>
    <cellStyle name="Label_RP" xfId="4537" xr:uid="{989B36A3-A4AA-45DE-989F-1BD0226D84F8}"/>
    <cellStyle name="LabelIntersect" xfId="4538" xr:uid="{956CADB0-552E-44D5-AB2F-2FD6D89550A8}"/>
    <cellStyle name="LabelLeft" xfId="4539" xr:uid="{96140645-876A-47C8-9752-66D117D21FA1}"/>
    <cellStyle name="LabelTop" xfId="4540" xr:uid="{961A17B4-637C-416F-A960-C0AB6611C8DE}"/>
    <cellStyle name="Level" xfId="4541" xr:uid="{84FF1E21-9FDC-46D9-B74F-08765F7F3288}"/>
    <cellStyle name="Linked Cell 10" xfId="4542" xr:uid="{3141405C-F9AA-42C6-8BC3-8F010DC6DF99}"/>
    <cellStyle name="Linked Cell 11" xfId="4543" xr:uid="{54B7C65C-AE5F-4BC7-8169-B038CBC7EE8B}"/>
    <cellStyle name="Linked Cell 12" xfId="4544" xr:uid="{C55CEA8D-1D1B-4777-BAAE-9291A55D63B5}"/>
    <cellStyle name="Linked Cell 13" xfId="4545" xr:uid="{1C30C4AD-5080-473D-A46C-6F6D696114B4}"/>
    <cellStyle name="Linked Cell 14" xfId="4546" xr:uid="{D206E743-0C29-48C7-9CD2-AC5FAAE6A1FC}"/>
    <cellStyle name="Linked Cell 15" xfId="4547" xr:uid="{A143C8A1-3F85-4217-8687-BE32BFD62D9A}"/>
    <cellStyle name="Linked Cell 16" xfId="4548" xr:uid="{C8AB1905-5F44-49CA-9A83-4C54251B45ED}"/>
    <cellStyle name="Linked Cell 17" xfId="4549" xr:uid="{8E1B4811-2111-42D6-AA32-EBA573F7250E}"/>
    <cellStyle name="Linked Cell 18" xfId="4550" xr:uid="{CEA30915-C195-44A3-BCC6-CFA650429551}"/>
    <cellStyle name="Linked Cell 19" xfId="4551" xr:uid="{418B86B9-A029-4A83-8421-8E92AE33B856}"/>
    <cellStyle name="Linked Cell 2" xfId="4552" xr:uid="{6BCCBBB3-CBEE-45F6-959C-0A5A9E88C49B}"/>
    <cellStyle name="Linked Cell 2 2" xfId="4553" xr:uid="{4023DFB6-1D0C-4844-8D54-C14DB934D54F}"/>
    <cellStyle name="Linked Cell 2 2 2" xfId="4554" xr:uid="{1EC0CC36-5961-4FC1-B042-C2171E6FAF57}"/>
    <cellStyle name="Linked Cell 2 3" xfId="4555" xr:uid="{431EB1BC-373B-4E7A-913A-3AE8D4A8CE22}"/>
    <cellStyle name="Linked Cell 2 4" xfId="4556" xr:uid="{E48B8105-8828-4EB2-BE1A-BA0AEF653875}"/>
    <cellStyle name="Linked Cell 2 5" xfId="4557" xr:uid="{712C8EC1-0B06-4AD5-B652-77E5856CAA64}"/>
    <cellStyle name="Linked Cell 20" xfId="4558" xr:uid="{757DCEAF-1C7C-4CE8-AFFF-62CD9A61439B}"/>
    <cellStyle name="Linked Cell 21" xfId="4559" xr:uid="{7C125610-DA4C-4099-B0C5-A6AF26F83ACC}"/>
    <cellStyle name="Linked Cell 22" xfId="4560" xr:uid="{BC74A028-EF57-4D38-B07D-5DDCDE6E2B6C}"/>
    <cellStyle name="Linked Cell 23" xfId="4561" xr:uid="{4A3D05B4-0ED4-4FD3-ADAD-D85AF153517D}"/>
    <cellStyle name="Linked Cell 24" xfId="4562" xr:uid="{E4A5A7A5-5C60-476D-A029-278900F9905E}"/>
    <cellStyle name="Linked Cell 25" xfId="4563" xr:uid="{CDF57450-AD53-4E3F-996E-08537EFF3164}"/>
    <cellStyle name="Linked Cell 26" xfId="4564" xr:uid="{51E7A018-DD0F-418B-9D4A-C75751E570A9}"/>
    <cellStyle name="Linked Cell 27" xfId="4565" xr:uid="{5FEC85AA-FEC0-498D-83D9-61525CE03D4C}"/>
    <cellStyle name="Linked Cell 28" xfId="4566" xr:uid="{F3872BA9-B165-498C-A749-CE8095D914B4}"/>
    <cellStyle name="Linked Cell 29" xfId="4567" xr:uid="{F05FDF90-1250-4AD2-8EC5-88EA2F8E9CC6}"/>
    <cellStyle name="Linked Cell 3" xfId="4568" xr:uid="{CCF8098E-C8D0-4D79-93F7-E0879297DF0E}"/>
    <cellStyle name="Linked Cell 3 2" xfId="4569" xr:uid="{1C6C93C7-2AFB-4391-9D8F-79ED9E5C37A7}"/>
    <cellStyle name="Linked Cell 3 3" xfId="4570" xr:uid="{07F16D0E-9B81-4ADA-952D-ABD1AF58FE0F}"/>
    <cellStyle name="Linked Cell 30" xfId="4571" xr:uid="{43AF84B1-F12F-4C37-BD17-E380D048994C}"/>
    <cellStyle name="Linked Cell 31" xfId="4572" xr:uid="{AD8ADD98-2EBE-4036-A63C-8E1217A42768}"/>
    <cellStyle name="Linked Cell 32" xfId="4573" xr:uid="{FC5EBC93-F768-4974-8F3A-3EFC1565B8A6}"/>
    <cellStyle name="Linked Cell 33" xfId="4574" xr:uid="{DD35E3A8-D0CE-428F-8BEF-15878FFACABF}"/>
    <cellStyle name="Linked Cell 34" xfId="4575" xr:uid="{F5A4F545-435A-4986-9F59-BB210391D2B1}"/>
    <cellStyle name="Linked Cell 35" xfId="4576" xr:uid="{C2224E80-CC44-4C64-B96F-BF56F066F0B8}"/>
    <cellStyle name="Linked Cell 35 2" xfId="4577" xr:uid="{327BFF67-F7BC-45D8-930F-05AB41B54EB3}"/>
    <cellStyle name="Linked Cell 35 2 2" xfId="4578" xr:uid="{A09A37CA-C68C-4699-A70A-010F7FE90A60}"/>
    <cellStyle name="Linked Cell 35 2 2 2" xfId="4579" xr:uid="{621CA420-37E1-4A00-94BB-A37D6E071A35}"/>
    <cellStyle name="Linked Cell 35 3" xfId="4580" xr:uid="{3BE1A01E-0F1E-44BB-B7BD-D0D08A970AAD}"/>
    <cellStyle name="Linked Cell 35 4" xfId="4581" xr:uid="{547F2EDB-5F9E-48EB-AF35-35971968CF54}"/>
    <cellStyle name="Linked Cell 36" xfId="4582" xr:uid="{A958EC82-1047-43F1-9B20-6F24A8B03494}"/>
    <cellStyle name="Linked Cell 37" xfId="4583" xr:uid="{CC351FAF-33E4-4AB4-AB21-E8F1ED69AD1C}"/>
    <cellStyle name="Linked Cell 38" xfId="4584" xr:uid="{0629E7FE-DC44-48DC-ABF0-29B51B781CAB}"/>
    <cellStyle name="Linked Cell 39" xfId="4585" xr:uid="{3F33256D-3222-4F3F-8464-C95FAB767318}"/>
    <cellStyle name="Linked Cell 4" xfId="4586" xr:uid="{F15B3B73-4FA3-4DAB-8118-D53124956BAC}"/>
    <cellStyle name="Linked Cell 40" xfId="4587" xr:uid="{270AC841-76BB-4C84-AAB5-84A4C14A106A}"/>
    <cellStyle name="Linked Cell 41" xfId="4588" xr:uid="{F22DA25B-B082-486C-8261-0BD345FFDBD5}"/>
    <cellStyle name="Linked Cell 42" xfId="4589" xr:uid="{55427DAF-5A55-4D05-BCBB-A39D9EC16031}"/>
    <cellStyle name="Linked Cell 43" xfId="4590" xr:uid="{CAF365F1-AB8B-46CA-9A78-B8E9A84A4022}"/>
    <cellStyle name="Linked Cell 44" xfId="4591" xr:uid="{9B499C19-4D25-462E-B65D-0366B74164FB}"/>
    <cellStyle name="Linked Cell 45" xfId="4592" xr:uid="{CDB6868D-9B92-4AF6-BB74-CA0CC7C021EC}"/>
    <cellStyle name="Linked Cell 46" xfId="4593" xr:uid="{F1111EFB-C520-4CD6-9569-ABEE6625185F}"/>
    <cellStyle name="Linked Cell 47" xfId="4594" xr:uid="{3FB51456-5DCC-43A3-81CA-D2234C3ECC96}"/>
    <cellStyle name="Linked Cell 48" xfId="4595" xr:uid="{A863C84E-6D52-40AD-A879-2A1AC4D0966C}"/>
    <cellStyle name="Linked Cell 49" xfId="4596" xr:uid="{DAB4DC8F-FCCA-4D48-9801-DB56572F4ECA}"/>
    <cellStyle name="Linked Cell 5" xfId="4597" xr:uid="{B3C8F201-0780-4855-B2E4-40B92995C1DA}"/>
    <cellStyle name="Linked Cell 50" xfId="4598" xr:uid="{206AA104-4B39-4856-A1E9-ADC4E958F9A1}"/>
    <cellStyle name="Linked Cell 51" xfId="4599" xr:uid="{05F1C558-E768-46EF-90E2-962B03E4A66B}"/>
    <cellStyle name="Linked Cell 52" xfId="4600" xr:uid="{F40A2B4E-141A-4750-A637-C136808B744D}"/>
    <cellStyle name="Linked Cell 53" xfId="4601" xr:uid="{39103BE3-BE9E-4CFE-8656-A34851AA4C4E}"/>
    <cellStyle name="Linked Cell 54" xfId="4602" xr:uid="{E4666209-3C23-492E-9D87-EBD289BA15E8}"/>
    <cellStyle name="Linked Cell 55" xfId="4603" xr:uid="{F63C0301-3E19-4E8F-882E-FCEDB57E31F0}"/>
    <cellStyle name="Linked Cell 56" xfId="4604" xr:uid="{8F6283C8-6374-4459-8A24-FA3F948E4E0D}"/>
    <cellStyle name="Linked Cell 57" xfId="4605" xr:uid="{AF6F1738-8A2A-4E63-A1E0-F8DF7678A19B}"/>
    <cellStyle name="Linked Cell 58" xfId="4606" xr:uid="{8C388EB3-8161-4B8A-A6CE-B73B0F324A59}"/>
    <cellStyle name="Linked Cell 59" xfId="4607" xr:uid="{007470D9-2320-4E83-8813-3970D69087B2}"/>
    <cellStyle name="Linked Cell 6" xfId="4608" xr:uid="{EB451E00-A33A-4C76-9970-30DC14A81E24}"/>
    <cellStyle name="Linked Cell 60" xfId="4609" xr:uid="{1FC329A8-0E2E-4085-997B-80F8356FF493}"/>
    <cellStyle name="Linked Cell 60 2" xfId="4610" xr:uid="{BDEBDBB8-D14B-4BC6-BA33-553D981BB0CB}"/>
    <cellStyle name="Linked Cell 60 2 2" xfId="4611" xr:uid="{8D6C803E-305E-4486-B25F-F403116EDB97}"/>
    <cellStyle name="Linked Cell 60 2 3" xfId="4612" xr:uid="{C24FB852-1387-4A4F-B4F7-1588A1799BF5}"/>
    <cellStyle name="Linked Cell 61" xfId="4613" xr:uid="{7B7C4777-97D0-46FF-AA50-79C8A05B0A0B}"/>
    <cellStyle name="Linked Cell 62" xfId="4614" xr:uid="{1576C376-7E16-480E-8CA9-B1D937F9E509}"/>
    <cellStyle name="Linked Cell 63" xfId="4615" xr:uid="{2D20F699-B530-4DDD-B6E4-87AA09D6EC6C}"/>
    <cellStyle name="Linked Cell 64" xfId="4616" xr:uid="{06AAB5D1-DC45-4BE4-A539-3E00E2D60525}"/>
    <cellStyle name="Linked Cell 65" xfId="4617" xr:uid="{9590D8B5-E8A3-4B0E-A602-383EE0B444EA}"/>
    <cellStyle name="Linked Cell 7" xfId="4618" xr:uid="{A4BB14E7-4B9C-4A85-9DC6-32C11BE9B6CE}"/>
    <cellStyle name="Linked Cell 8" xfId="4619" xr:uid="{42D7C359-4294-41BE-9573-38356FF3234E}"/>
    <cellStyle name="Linked Cell 9" xfId="4620" xr:uid="{5972B485-9EFA-4734-A7FF-A0CDBA514FDF}"/>
    <cellStyle name="LinkedCell_RP" xfId="4621" xr:uid="{5E957EBB-5566-4015-A418-F59A70ADB65B}"/>
    <cellStyle name="LinkedCellLbl_RP" xfId="4622" xr:uid="{0ED7F81F-E38E-4EB4-9EF7-ACF0A2D2D363}"/>
    <cellStyle name="LTM Cell Column Heading" xfId="4623" xr:uid="{FAD8C734-10CC-4023-B6DF-CFF32032FD29}"/>
    <cellStyle name="LTM Cell Column Heading 2" xfId="4624" xr:uid="{528CA595-A1B0-44F4-8563-5B23D60CBFC6}"/>
    <cellStyle name="LTM Cell Column Heading 3" xfId="4625" xr:uid="{5B4C6EC4-77D0-4B12-96B6-BAB848FB758E}"/>
    <cellStyle name="LTM Cell Column Heading 4" xfId="4626" xr:uid="{A97B1445-2D1E-4BF7-ADAF-E1BB99E1F185}"/>
    <cellStyle name="LTM Cell Column Heading 5" xfId="4627" xr:uid="{CAD3D277-CD4D-4FF5-A4CE-743B88FC0C7F}"/>
    <cellStyle name="LTM Cell Column Heading 6" xfId="4628" xr:uid="{028542F7-E049-48E9-9EE7-4D757F492703}"/>
    <cellStyle name="LTM Cell Column Heading 7" xfId="4629" xr:uid="{B0B82696-C370-4708-862D-3138BDBFC41B}"/>
    <cellStyle name="LTM Cell Column Heading 8" xfId="4630" xr:uid="{20F22A9A-61C8-48E1-82E6-6BAF604576EA}"/>
    <cellStyle name="LTM Cell Column Heading 9" xfId="4631" xr:uid="{BD55F30C-3784-421E-AF9C-45E211F6A89C}"/>
    <cellStyle name="Menu" xfId="4632" xr:uid="{94C9C39B-8285-40BF-B3AA-C1343C09158E}"/>
    <cellStyle name="Menu 2" xfId="4633" xr:uid="{EE25C3FF-597B-453A-B594-8A811179252A}"/>
    <cellStyle name="Meta_RHI Model Results-091211-055438" xfId="4634" xr:uid="{E9FF11E8-9406-48BB-A2A2-B916F92E6ADC}"/>
    <cellStyle name="Migliaia 2" xfId="4635" xr:uid="{C6E3C55C-BCD4-47FA-90B1-E47595CEACC2}"/>
    <cellStyle name="Migliaia 2 2" xfId="4636" xr:uid="{9002CD15-88B5-4B0D-95D9-45B948AEDD90}"/>
    <cellStyle name="Mik" xfId="4637" xr:uid="{A1547C6A-463D-4E80-80E3-34D84F5BC0C6}"/>
    <cellStyle name="Mik 2" xfId="4638" xr:uid="{6A9CECE0-B78D-4AFB-A62D-7DEE42CF1503}"/>
    <cellStyle name="Mik 2 2" xfId="4639" xr:uid="{5DADE918-69FE-469B-8EDC-AE35B32CAA9A}"/>
    <cellStyle name="Mik 3" xfId="4640" xr:uid="{42B875C7-A577-4A53-970F-AAFBC3C649CA}"/>
    <cellStyle name="Mik_Additional charts" xfId="4641" xr:uid="{B017BF8A-BCE6-41D2-A9A9-2FDC0C160FA9}"/>
    <cellStyle name="Millares [0]_10 AVERIAS MASIVAS + ANT" xfId="4642" xr:uid="{1C983702-F915-4FF2-AB02-744BC6BE0B8C}"/>
    <cellStyle name="Millares_10 AVERIAS MASIVAS + ANT" xfId="4643" xr:uid="{0FF77B72-F7B3-4073-971E-05C03160DAAB}"/>
    <cellStyle name="Milliers [0]_03tabmat" xfId="4644" xr:uid="{34E077C8-8AEF-492F-A695-2EE0C95B9775}"/>
    <cellStyle name="Milliers_03tabmat" xfId="4645" xr:uid="{32998ADB-5170-495A-A149-01D61F4C5197}"/>
    <cellStyle name="Model Name." xfId="4646" xr:uid="{E272948D-CD12-4610-A4DB-3C36AACAC4E2}"/>
    <cellStyle name="Moneda [0]_Clasif por Diferencial" xfId="4647" xr:uid="{C4E71265-6043-4176-8AAC-2C2330EEC5AF}"/>
    <cellStyle name="Moneda_Clasif por Diferencial" xfId="4648" xr:uid="{BEF16F39-7629-4077-9C23-91E0BAD04C49}"/>
    <cellStyle name="Monétaire [0]_03tabmat" xfId="4649" xr:uid="{D2F8DFD4-FB60-417C-8975-E5731F2C32D4}"/>
    <cellStyle name="Monétaire_03tabmat" xfId="4650" xr:uid="{DD2D8568-52AC-462D-AC8C-2B84D7A16738}"/>
    <cellStyle name="MS_English" xfId="4651" xr:uid="{84FB2F1F-38C9-4388-970A-460DEE1888D3}"/>
    <cellStyle name="Multiple" xfId="4652" xr:uid="{4B9C4EDA-BD4C-49D2-BD39-AF34D0B70513}"/>
    <cellStyle name="Multiple Cell Column Heading" xfId="4653" xr:uid="{91E9F3D2-1A31-4166-929A-78CF23353188}"/>
    <cellStyle name="MultipleBelow" xfId="4654" xr:uid="{DF3CC2E0-8C47-487A-A6CA-646D2B4784EB}"/>
    <cellStyle name="N" xfId="4655" xr:uid="{86648AA9-80B1-4527-9672-227690412ADF}"/>
    <cellStyle name="N 2" xfId="4656" xr:uid="{29A3C483-441A-4DD0-8AF5-53B7EFCDB67A}"/>
    <cellStyle name="N 2 2" xfId="4657" xr:uid="{5BD52CE5-171C-45B1-BFF7-D6C330B823F7}"/>
    <cellStyle name="N 3" xfId="4658" xr:uid="{8E851904-9FC5-40A1-B5C8-F1D5E677B1E5}"/>
    <cellStyle name="Neutral 10" xfId="4659" xr:uid="{01DBCEF8-121A-4D1D-B04C-512A77873B30}"/>
    <cellStyle name="Neutral 11" xfId="4660" xr:uid="{B9BD59E2-51FA-47D1-9C72-ED628837A1B7}"/>
    <cellStyle name="Neutral 12" xfId="4661" xr:uid="{8375EC00-9268-4F96-B395-B0D2666E4A4C}"/>
    <cellStyle name="Neutral 13" xfId="4662" xr:uid="{76686A14-F2D2-4EE2-9BBE-7E9DA6B08531}"/>
    <cellStyle name="Neutral 14" xfId="4663" xr:uid="{C31814D2-BBA5-4420-857E-8BF8FB7A4043}"/>
    <cellStyle name="Neutral 15" xfId="4664" xr:uid="{029440FF-EDA4-4E01-83BA-19A6B8917C79}"/>
    <cellStyle name="Neutral 16" xfId="4665" xr:uid="{BB487FD8-ED4C-4CAC-86BC-386C1FDAC60F}"/>
    <cellStyle name="Neutral 17" xfId="4666" xr:uid="{B9FD3B88-AFA0-4A73-90E1-90A7D54FC573}"/>
    <cellStyle name="Neutral 18" xfId="4667" xr:uid="{BC5E89CD-9034-4F2E-B418-379A213FC31A}"/>
    <cellStyle name="Neutral 19" xfId="4668" xr:uid="{A3C99831-7E38-4E33-B7DB-C7B684370BB0}"/>
    <cellStyle name="Neutral 2" xfId="4669" xr:uid="{8D6F91B7-0DF8-42A2-B441-DBF57A7CC4A4}"/>
    <cellStyle name="Neutral 2 2" xfId="4670" xr:uid="{A3139BFA-43FF-41CB-BDCC-107EAD2785AC}"/>
    <cellStyle name="Neutral 2 2 2" xfId="4671" xr:uid="{7F802B92-6FDA-491F-B5F0-36A67204C7AC}"/>
    <cellStyle name="Neutral 2 2 3" xfId="4672" xr:uid="{7925E82A-C269-4A91-B0D9-86E0A8F97C41}"/>
    <cellStyle name="Neutral 2 3" xfId="4673" xr:uid="{93C05917-A22C-48E5-83FB-C6C827C91D5B}"/>
    <cellStyle name="Neutral 2 4" xfId="4674" xr:uid="{A73F31F9-600B-4FFC-8849-F8E1FA63D931}"/>
    <cellStyle name="Neutral 2 5" xfId="4675" xr:uid="{A647747A-4A3C-436A-B460-2C39EB6769AB}"/>
    <cellStyle name="Neutral 20" xfId="4676" xr:uid="{6917A8BD-0CA8-4E95-83C0-DBF681784A7A}"/>
    <cellStyle name="Neutral 21" xfId="4677" xr:uid="{562C2A88-99F1-43CE-AAEC-6983ADEB5B52}"/>
    <cellStyle name="Neutral 22" xfId="4678" xr:uid="{F638E5C5-0A6C-48F9-B8FE-CA75363E5C2E}"/>
    <cellStyle name="Neutral 23" xfId="4679" xr:uid="{5949C870-B8A3-4B03-9595-A1EC7A4576AF}"/>
    <cellStyle name="Neutral 24" xfId="4680" xr:uid="{F3ADB53A-8ECA-4DBC-A072-14376D929768}"/>
    <cellStyle name="Neutral 25" xfId="4681" xr:uid="{7B852071-E17B-422B-9D47-47588D0277E3}"/>
    <cellStyle name="Neutral 26" xfId="4682" xr:uid="{E5BF1666-15CB-4361-822E-3629C5B3716D}"/>
    <cellStyle name="Neutral 27" xfId="4683" xr:uid="{34ADDB0B-8EDB-47B8-B45E-EB7AB11DB22F}"/>
    <cellStyle name="Neutral 28" xfId="4684" xr:uid="{EC2A0B27-853A-4C53-AC9E-B8EC7EFEC5D9}"/>
    <cellStyle name="Neutral 29" xfId="4685" xr:uid="{6FEEF569-DBFA-43D4-931B-3BAE354399F0}"/>
    <cellStyle name="Neutral 3" xfId="4686" xr:uid="{4777D0DB-45DF-45CE-8BE9-96D811315EEF}"/>
    <cellStyle name="Neutral 3 2" xfId="4687" xr:uid="{AD077C74-D7C8-4455-BD7A-1304B94A661F}"/>
    <cellStyle name="Neutral 3 3" xfId="4688" xr:uid="{556AE4F6-F73D-4C1C-A252-3284CD97B8A8}"/>
    <cellStyle name="Neutral 30" xfId="4689" xr:uid="{9D184ED6-3812-4511-A4F7-BB86497EA4AC}"/>
    <cellStyle name="Neutral 31" xfId="4690" xr:uid="{1023BFFC-BE86-4CF2-9B6A-1AB62DAD554D}"/>
    <cellStyle name="Neutral 32" xfId="4691" xr:uid="{8A4746AD-C84B-4EF0-A730-B77ADB0F25B6}"/>
    <cellStyle name="Neutral 33" xfId="4692" xr:uid="{98E67AC9-731E-4923-B64F-05E5CE9BEACB}"/>
    <cellStyle name="Neutral 34" xfId="4693" xr:uid="{40F5788A-64E7-4400-8705-88606EB6DC49}"/>
    <cellStyle name="Neutral 35" xfId="4694" xr:uid="{A35BF198-35E7-4B88-BFBC-22EDD9B1112A}"/>
    <cellStyle name="Neutral 35 2" xfId="4695" xr:uid="{711AFB96-0611-4BAC-8B73-D99D72E8BB69}"/>
    <cellStyle name="Neutral 35 2 2" xfId="4696" xr:uid="{6693E341-7814-4A0E-A237-C195A36D2E54}"/>
    <cellStyle name="Neutral 35 2 2 2" xfId="4697" xr:uid="{82427039-1BEE-4E82-814B-93173340806F}"/>
    <cellStyle name="Neutral 35 3" xfId="4698" xr:uid="{A062D62B-58E9-4309-953A-F6DDEF4574F6}"/>
    <cellStyle name="Neutral 35 4" xfId="4699" xr:uid="{20D7BA58-2203-480B-B6A6-A31852D996B6}"/>
    <cellStyle name="Neutral 36" xfId="4700" xr:uid="{7172EC16-A9EB-489B-BB56-E70F636684EF}"/>
    <cellStyle name="Neutral 37" xfId="4701" xr:uid="{58BED136-DA96-4D05-BD5B-503E0D2C40A8}"/>
    <cellStyle name="Neutral 38" xfId="4702" xr:uid="{F8452E7F-4F9D-48D4-AAEB-DE119EC7C3D2}"/>
    <cellStyle name="Neutral 39" xfId="4703" xr:uid="{E02510B1-E123-4995-8C9E-D5C17B065F21}"/>
    <cellStyle name="Neutral 4" xfId="4704" xr:uid="{86335302-8131-4989-966F-3DAB12E45B6C}"/>
    <cellStyle name="Neutral 4 2" xfId="4705" xr:uid="{ECC86137-444E-4372-9E96-E8B0A69BE480}"/>
    <cellStyle name="Neutral 40" xfId="4706" xr:uid="{791507ED-72AA-462F-B01E-A5113174CA95}"/>
    <cellStyle name="Neutral 41" xfId="4707" xr:uid="{EF28D1D5-27B6-444A-9F0C-F12924A60430}"/>
    <cellStyle name="Neutral 42" xfId="4708" xr:uid="{5DA33006-263F-444D-A1A0-5C45A496DEA4}"/>
    <cellStyle name="Neutral 43" xfId="4709" xr:uid="{81ED6543-69BA-4C34-AF7E-D73341AB9EF2}"/>
    <cellStyle name="Neutral 44" xfId="4710" xr:uid="{5F413006-B3D0-430F-ABAE-A32A22F431E4}"/>
    <cellStyle name="Neutral 45" xfId="4711" xr:uid="{0833B2F4-6EDC-43C7-8237-77A4CA5DF80D}"/>
    <cellStyle name="Neutral 46" xfId="4712" xr:uid="{89E47F01-28B1-4C7E-BD33-97371CFC1040}"/>
    <cellStyle name="Neutral 47" xfId="4713" xr:uid="{ED96B513-DAC6-4779-9504-693CAE955159}"/>
    <cellStyle name="Neutral 48" xfId="4714" xr:uid="{B00EFB60-1A8B-4760-B5B8-73A1AB78ECE7}"/>
    <cellStyle name="Neutral 49" xfId="4715" xr:uid="{7B9C8500-D99E-4C35-9BB6-FBFC22924DD8}"/>
    <cellStyle name="Neutral 5" xfId="4716" xr:uid="{CD359E11-F95B-4A84-833A-F9AE4B78F8D2}"/>
    <cellStyle name="Neutral 50" xfId="4717" xr:uid="{157E6AF3-19AB-45F4-9B06-8FE8030E39C5}"/>
    <cellStyle name="Neutral 51" xfId="4718" xr:uid="{4B736F24-6929-4EA6-BC93-C8AEAF8C2769}"/>
    <cellStyle name="Neutral 52" xfId="4719" xr:uid="{A467A943-6046-4A2C-90F3-CFA72FF8CEED}"/>
    <cellStyle name="Neutral 53" xfId="4720" xr:uid="{CB467228-F6FE-4E69-9612-C0D3346737A7}"/>
    <cellStyle name="Neutral 54" xfId="4721" xr:uid="{ECF12048-F4D1-4217-A6EB-779EF462E42A}"/>
    <cellStyle name="Neutral 55" xfId="4722" xr:uid="{804F45A3-26C0-4408-BE1F-97535F9DD78A}"/>
    <cellStyle name="Neutral 56" xfId="4723" xr:uid="{BA77416F-4D46-43DB-B5C0-0F866A3F14E4}"/>
    <cellStyle name="Neutral 57" xfId="4724" xr:uid="{CF5ACF7D-59CE-4B84-B293-22F09300C033}"/>
    <cellStyle name="Neutral 58" xfId="4725" xr:uid="{6548C805-961B-4017-9C46-4C15CEF1A307}"/>
    <cellStyle name="Neutral 59" xfId="4726" xr:uid="{18D478E6-7A14-4226-878B-A56B2E81B290}"/>
    <cellStyle name="Neutral 6" xfId="4727" xr:uid="{8B8A68F9-2DBB-4761-BABB-67E61906463E}"/>
    <cellStyle name="Neutral 60" xfId="4728" xr:uid="{12F4DB50-7A75-427A-BE67-1B50A8D8B108}"/>
    <cellStyle name="Neutral 60 2" xfId="4729" xr:uid="{3F0B0344-76A8-47B1-BDEF-58AC2C8BDA46}"/>
    <cellStyle name="Neutral 60 2 2" xfId="4730" xr:uid="{A1E505F9-89F8-4325-BC63-B9D27D395830}"/>
    <cellStyle name="Neutral 60 2 3" xfId="4731" xr:uid="{75B167DA-0B8C-4B64-835C-7AF733CF7FEC}"/>
    <cellStyle name="Neutral 61" xfId="4732" xr:uid="{64B7A6A5-930D-4BA7-883E-9B5FEDF2CBC7}"/>
    <cellStyle name="Neutral 62" xfId="4733" xr:uid="{59A04485-F7FD-4C6C-AC6C-4178A5EE6691}"/>
    <cellStyle name="Neutral 63" xfId="4734" xr:uid="{55024FA5-B57E-43E2-9B86-ED7B16C3DBFB}"/>
    <cellStyle name="Neutral 64" xfId="4735" xr:uid="{14C81E77-B9F2-4446-B50F-E6465829E9AF}"/>
    <cellStyle name="Neutral 65" xfId="4736" xr:uid="{CA437977-1A29-4FA7-B466-607CE7702C4E}"/>
    <cellStyle name="Neutral 7" xfId="4737" xr:uid="{C9D7EFF0-A634-4DB0-89E0-F5EA6F26B300}"/>
    <cellStyle name="Neutral 8" xfId="4738" xr:uid="{FAE44F8A-CF7B-40D9-AB4E-D95BA6C73D62}"/>
    <cellStyle name="Neutral 9" xfId="4739" xr:uid="{FA9210E9-5C6F-46B4-B0B9-9DB5541CBEFB}"/>
    <cellStyle name="Neutrale" xfId="4740" xr:uid="{2A153B52-6C49-461D-94B7-49A22063654F}"/>
    <cellStyle name="Neutrale 2" xfId="4741" xr:uid="{C27F72CC-B3CF-468B-B911-727B8AE322FC}"/>
    <cellStyle name="no dec" xfId="4742" xr:uid="{C088BDF3-0576-4001-8A0A-E9905644644A}"/>
    <cellStyle name="Non Standard Formula" xfId="4743" xr:uid="{17AB0F33-57F2-43CD-ACD2-99BB8DAC8FA3}"/>
    <cellStyle name="Non User Input" xfId="4744" xr:uid="{4F87C2B0-EE81-480A-8248-3C2B731AAF45}"/>
    <cellStyle name="None" xfId="4745" xr:uid="{2EAA7B8C-01FB-4264-A94C-CB1B8F359A36}"/>
    <cellStyle name="None 2" xfId="4746" xr:uid="{6F30AF85-F3FC-4749-9D9C-7EB216274899}"/>
    <cellStyle name="Normal" xfId="0" builtinId="0"/>
    <cellStyle name="Normal - Style1" xfId="4747" xr:uid="{A37ADA54-E372-4D31-9D74-292020BA40C2}"/>
    <cellStyle name="Normal - Style1 2" xfId="4748" xr:uid="{E47C161A-75A6-4959-8CEB-1A663BCFD467}"/>
    <cellStyle name="Normal - Style1_Ch4 v2" xfId="4749" xr:uid="{AC58457D-3CC8-45CC-A24A-FD5FA1B8BBFF}"/>
    <cellStyle name="Normal - Style2" xfId="4750" xr:uid="{1FDA1F42-6FE6-44E9-8FB0-5E433A58AE68}"/>
    <cellStyle name="Normal - Style3" xfId="4751" xr:uid="{8E87AE93-AFB2-421E-A078-F187BEDD9B10}"/>
    <cellStyle name="Normal - Style4" xfId="4752" xr:uid="{6F27B089-1869-48DD-ACCE-84EF98F96C68}"/>
    <cellStyle name="Normal - Style5" xfId="4753" xr:uid="{DDE56D95-6404-4CFC-9211-5867BD8FC60C}"/>
    <cellStyle name="Normal 0" xfId="4754" xr:uid="{213E76B9-7335-40B1-96C6-B430F0F06656}"/>
    <cellStyle name="Normal 10" xfId="4755" xr:uid="{3AAADE6C-A706-4AE1-9AD7-CB9781B00513}"/>
    <cellStyle name="Normal 10 10" xfId="20" xr:uid="{8A39380E-B847-48D6-9F9D-1C755383F86E}"/>
    <cellStyle name="Normal 10 10 2" xfId="4756" xr:uid="{8A903E0B-B5FD-40CD-91CB-27FFE968FE61}"/>
    <cellStyle name="Normal 10 10 3" xfId="4757" xr:uid="{29CFC7DE-87FC-44A9-B3B4-1EDD50F229DF}"/>
    <cellStyle name="Normal 10 10 4" xfId="4758" xr:uid="{C9111ADA-01B9-465D-9280-2AA28B4092B6}"/>
    <cellStyle name="Normal 10 11" xfId="4759" xr:uid="{546966D1-5B3A-4CCE-900A-711DB5BB43F9}"/>
    <cellStyle name="Normal 10 12" xfId="4760" xr:uid="{9E4176AD-EEBC-4A2A-8DB9-51CAFFAC4B2E}"/>
    <cellStyle name="Normal 10 13" xfId="4761" xr:uid="{C9437A46-4C33-4C7C-9405-8B33A3C395F7}"/>
    <cellStyle name="Normal 10 14" xfId="4762" xr:uid="{EE72D939-49CB-40C7-B983-78348CE14AE6}"/>
    <cellStyle name="Normal 10 15" xfId="4763" xr:uid="{3C753B72-3C25-4FA1-9121-74A5F7627E16}"/>
    <cellStyle name="Normal 10 16" xfId="4764" xr:uid="{9734DDBE-8AB7-42F7-BD97-D77B0240A968}"/>
    <cellStyle name="Normal 10 17" xfId="4765" xr:uid="{9CF05931-3535-4DEC-B14E-6BDD898B8DE5}"/>
    <cellStyle name="Normal 10 18" xfId="4766" xr:uid="{A055E55E-6A50-4C46-A173-73874CBCFD38}"/>
    <cellStyle name="Normal 10 19" xfId="4767" xr:uid="{8CF7FEFD-9BE4-4031-8302-48C831508813}"/>
    <cellStyle name="Normal 10 2" xfId="4768" xr:uid="{5EE697D0-4FB0-4E6B-95D3-89D3BA21A3AD}"/>
    <cellStyle name="Normal 10 2 2" xfId="4769" xr:uid="{841FADC0-AD40-4C7C-BDD7-120349432E58}"/>
    <cellStyle name="Normal 10 2 2 2" xfId="4770" xr:uid="{63D847DF-1048-4841-868E-0B442124DBAD}"/>
    <cellStyle name="Normal 10 2 2 3" xfId="4771" xr:uid="{3AEEA17A-FE23-470D-B4C6-9BA407FC77C0}"/>
    <cellStyle name="Normal 10 2 2 4" xfId="4772" xr:uid="{D163DB24-E71B-4586-993C-F595896899FA}"/>
    <cellStyle name="Normal 10 2 3" xfId="4773" xr:uid="{FA34FAA3-BB60-4AD7-BB00-64C78CE47AED}"/>
    <cellStyle name="Normal 10 2 4" xfId="4774" xr:uid="{D53AA9A3-8D97-4298-8098-0E91E1CAE8E5}"/>
    <cellStyle name="Normal 10 20" xfId="4775" xr:uid="{5AEBEC34-63E2-467E-9AFD-CC9B79E003F3}"/>
    <cellStyle name="Normal 10 21" xfId="4776" xr:uid="{CE93F18E-43D3-48B3-BACB-1AD5B26891DE}"/>
    <cellStyle name="Normal 10 22" xfId="4777" xr:uid="{CCB98DA8-B9D5-43D5-A53F-3A017A9A41CE}"/>
    <cellStyle name="Normal 10 23" xfId="4778" xr:uid="{05866B44-CD93-4AB4-88FC-41B4402FF574}"/>
    <cellStyle name="Normal 10 24" xfId="4779" xr:uid="{8F8B012B-9B3B-4480-8877-B7EAE2F26D2A}"/>
    <cellStyle name="Normal 10 25" xfId="4780" xr:uid="{4148AAA2-D161-48AA-B1DF-6367B313A422}"/>
    <cellStyle name="Normal 10 26" xfId="4781" xr:uid="{0456EC6D-C01C-48F0-9B1F-03970C52A95A}"/>
    <cellStyle name="Normal 10 27" xfId="4782" xr:uid="{248C99D6-93E7-494C-916F-5145B465CB05}"/>
    <cellStyle name="Normal 10 3" xfId="4783" xr:uid="{D90F137E-55CF-47CB-BA1B-0ACBAF5E8F5F}"/>
    <cellStyle name="Normal 10 3 2" xfId="4784" xr:uid="{A7BD6DF7-0916-4EE0-B975-5BE1BD326D7E}"/>
    <cellStyle name="Normal 10 3 2 2" xfId="4785" xr:uid="{8EC9F723-83DE-476D-8D50-327EAD9A0F4C}"/>
    <cellStyle name="Normal 10 3 2 3" xfId="4786" xr:uid="{7BC78F1A-E264-43AD-AD08-EF31463FF00E}"/>
    <cellStyle name="Normal 10 3 3" xfId="4787" xr:uid="{B3F926AA-CA4B-49FB-9988-BD6711F58E22}"/>
    <cellStyle name="Normal 10 3 4" xfId="4788" xr:uid="{0F355129-2CA4-46B7-8079-E7C96DCEF30B}"/>
    <cellStyle name="Normal 10 4" xfId="4789" xr:uid="{D28F1EAF-CD8A-4468-8068-0224F99E214C}"/>
    <cellStyle name="Normal 10 4 2" xfId="4790" xr:uid="{31B3FB61-CADF-427E-8301-CF1EDE69A3BC}"/>
    <cellStyle name="Normal 10 4 3" xfId="4791" xr:uid="{2B7E28E2-ACFF-4B78-AFC1-CC5949C314E8}"/>
    <cellStyle name="Normal 10 5" xfId="4792" xr:uid="{2E9F082A-F708-46ED-B312-A225BE9C2A35}"/>
    <cellStyle name="Normal 10 6" xfId="4793" xr:uid="{0CDC0CC7-F1BE-428D-B430-08143A8B000D}"/>
    <cellStyle name="Normal 10 7" xfId="4794" xr:uid="{E8B947CB-F37B-49B6-AFE8-56E9EC22FD12}"/>
    <cellStyle name="Normal 10 8" xfId="4795" xr:uid="{96745725-A271-4E44-B1A1-801ED49D2C05}"/>
    <cellStyle name="Normal 10 9" xfId="4796" xr:uid="{F7F804B1-3C6B-43FD-BB21-89C47C0C3E1F}"/>
    <cellStyle name="Normal 100" xfId="4797" xr:uid="{A4F07E36-AA1C-40D9-A8CA-3E9E733B21FC}"/>
    <cellStyle name="Normal 101" xfId="4798" xr:uid="{6995AC68-5CE8-422C-B1B0-610545A692AC}"/>
    <cellStyle name="Normal 102" xfId="4799" xr:uid="{153B739B-62DA-4DAB-ACEE-6723119AAA9B}"/>
    <cellStyle name="Normal 103" xfId="4800" xr:uid="{9DF4FB78-F7A8-4BFD-8E73-E62C41713876}"/>
    <cellStyle name="Normal 104" xfId="4801" xr:uid="{600F3DDB-B065-4569-B40C-B5BCB808448E}"/>
    <cellStyle name="Normal 105" xfId="4802" xr:uid="{41E39E03-7428-45A0-A58A-DFFE168066D3}"/>
    <cellStyle name="Normal 106" xfId="4803" xr:uid="{FBD17B1D-4B74-4AE0-9C94-8496F8ADAE90}"/>
    <cellStyle name="Normal 107" xfId="4804" xr:uid="{C02F2F56-7638-44C2-8B42-7CF5AD4BE45C}"/>
    <cellStyle name="Normal 108" xfId="4805" xr:uid="{B91EF550-F625-4216-9D09-2550E9170476}"/>
    <cellStyle name="Normal 108 2" xfId="4806" xr:uid="{BB0B292A-E120-4E85-9BE7-A7AAD9B816D2}"/>
    <cellStyle name="Normal 108 3" xfId="4807" xr:uid="{C812C90A-0FCA-48AB-8921-3F9BCECFB08C}"/>
    <cellStyle name="Normal 108 4" xfId="4808" xr:uid="{5A3593DF-6ACA-4F59-A4D5-6F1A6A98C86A}"/>
    <cellStyle name="Normal 108 5" xfId="4809" xr:uid="{B56CC3A0-7DAB-4DC5-8355-6C5FA5664D81}"/>
    <cellStyle name="Normal 108 6" xfId="4810" xr:uid="{AAA6C7FA-5EAD-4C0E-A153-0C06EFB39787}"/>
    <cellStyle name="Normal 108 7" xfId="4811" xr:uid="{331DC093-0563-4AE6-A09E-3542B9EE9F44}"/>
    <cellStyle name="Normal 108 8" xfId="4812" xr:uid="{FB1EAEBB-CB4B-43BD-981A-DD546A9A3963}"/>
    <cellStyle name="Normal 108 9" xfId="4813" xr:uid="{E3C605F3-3DA7-410C-9712-0F1C04E5E35B}"/>
    <cellStyle name="Normal 109" xfId="4814" xr:uid="{A0F268CE-C0E8-486E-813F-73C09BD90BBA}"/>
    <cellStyle name="Normal 109 2" xfId="4815" xr:uid="{B3DA797F-324C-4F0C-92DC-12D81EBD71D5}"/>
    <cellStyle name="Normal 109 3" xfId="4816" xr:uid="{AA761202-2110-4FA2-B004-5E5BA751AC08}"/>
    <cellStyle name="Normal 109 4" xfId="4817" xr:uid="{C852D23D-C215-437B-9C45-55A74619B6AC}"/>
    <cellStyle name="Normal 109 5" xfId="4818" xr:uid="{AD0DDD5B-1323-415E-8AC5-487AB0F49B0D}"/>
    <cellStyle name="Normal 109 6" xfId="4819" xr:uid="{314DB8E4-63B1-4323-A3B3-C060A6C473D6}"/>
    <cellStyle name="Normal 109 7" xfId="4820" xr:uid="{78E13C86-FD34-4AD2-BE02-CBF43BA4B963}"/>
    <cellStyle name="Normal 109 8" xfId="4821" xr:uid="{55BA44B1-2D9C-4BD5-B2D7-3B5BD42102D9}"/>
    <cellStyle name="Normal 109 9" xfId="4822" xr:uid="{77322CAD-A6F4-4FD2-8A4E-F5FF011707D0}"/>
    <cellStyle name="Normal 11" xfId="4823" xr:uid="{BE282730-59C5-42C9-A18D-6DC7D29CA23D}"/>
    <cellStyle name="Normal 11 10" xfId="4824" xr:uid="{2842C59B-2BD2-4D8B-93AD-85F61E3F0F7C}"/>
    <cellStyle name="Normal 11 11" xfId="4825" xr:uid="{07D47F87-A1A0-4EFF-9FCE-9B3F21A0868D}"/>
    <cellStyle name="Normal 11 12" xfId="4826" xr:uid="{4F018C5D-8869-4BFB-A6FB-8345C19E4FD0}"/>
    <cellStyle name="Normal 11 13" xfId="4827" xr:uid="{65378670-9B38-4184-BBC7-6B68641EA8AC}"/>
    <cellStyle name="Normal 11 14" xfId="4828" xr:uid="{043CEE4E-424F-4A1C-9D9E-71FBD21CBEAF}"/>
    <cellStyle name="Normal 11 15" xfId="4829" xr:uid="{D4940891-99CB-4433-9780-ABBE5F311408}"/>
    <cellStyle name="Normal 11 16" xfId="4830" xr:uid="{01A8366D-8080-462F-8DCF-FE17FE929F4D}"/>
    <cellStyle name="Normal 11 17" xfId="4831" xr:uid="{DEE3A6BD-0874-4D4A-9628-DEB404665F9A}"/>
    <cellStyle name="Normal 11 18" xfId="4832" xr:uid="{4BCFAD94-308D-4172-9AD1-01319B711A21}"/>
    <cellStyle name="Normal 11 19" xfId="4833" xr:uid="{5878AF04-120B-46E9-8E9F-5BC2BA858709}"/>
    <cellStyle name="Normal 11 2" xfId="4834" xr:uid="{18532798-E80A-4D12-9749-6480DF8374A2}"/>
    <cellStyle name="Normal 11 2 2" xfId="4835" xr:uid="{ACA88304-2C0E-4A80-96D5-D96970A62642}"/>
    <cellStyle name="Normal 11 2 3" xfId="4836" xr:uid="{ABB35F34-FD9F-4818-9856-EE27E18C9E93}"/>
    <cellStyle name="Normal 11 20" xfId="4837" xr:uid="{0B83802B-A4A9-41E1-A1D8-224CDF8CED5C}"/>
    <cellStyle name="Normal 11 21" xfId="4838" xr:uid="{FECBB5F6-B750-4A0D-BE19-F0E760E845D2}"/>
    <cellStyle name="Normal 11 22" xfId="4839" xr:uid="{19295A2E-532E-4DBF-9A27-0C14E37264C9}"/>
    <cellStyle name="Normal 11 23" xfId="4840" xr:uid="{AF5E7E9D-1C82-411F-8229-8895CFCF336D}"/>
    <cellStyle name="Normal 11 24" xfId="4841" xr:uid="{CF3DE7D1-7946-4781-B960-23EB1B19AFDE}"/>
    <cellStyle name="Normal 11 25" xfId="4842" xr:uid="{79B1DC31-46E8-4EAE-834F-A86A4F4B50D2}"/>
    <cellStyle name="Normal 11 26" xfId="4843" xr:uid="{8229A1F3-E82E-4BC0-A6D1-3D2450A02E6A}"/>
    <cellStyle name="Normal 11 3" xfId="4844" xr:uid="{52E087E5-8A77-46F2-B5A4-CB38B90F36F4}"/>
    <cellStyle name="Normal 11 3 2" xfId="4845" xr:uid="{EA3625E7-23B6-49AA-95FA-E2DBBDC8AC52}"/>
    <cellStyle name="Normal 11 4" xfId="4846" xr:uid="{7A6AA32D-E949-4935-B30D-BE02C78ECAE8}"/>
    <cellStyle name="Normal 11 5" xfId="4847" xr:uid="{77C98133-0531-4B9A-8B85-AA794D4BADDF}"/>
    <cellStyle name="Normal 11 6" xfId="4848" xr:uid="{75EA1E5B-78C5-4ED9-B8CD-1AFF51A310EC}"/>
    <cellStyle name="Normal 11 7" xfId="4849" xr:uid="{4245F947-F065-4BE2-B998-27E8AB724E32}"/>
    <cellStyle name="Normal 11 8" xfId="4850" xr:uid="{2337FD47-CDF3-4C7C-9633-C7F5BE81F698}"/>
    <cellStyle name="Normal 11 9" xfId="4851" xr:uid="{0EB7E41B-8798-42DD-90A6-BA84346741CF}"/>
    <cellStyle name="Normal 110" xfId="4852" xr:uid="{A267E1B5-FE64-4B4F-A097-821F4566E434}"/>
    <cellStyle name="Normal 111" xfId="4853" xr:uid="{77DA59B1-FF7A-485B-B528-6B119EE537A1}"/>
    <cellStyle name="Normal 112" xfId="4854" xr:uid="{5656E2A1-B99A-4F84-9DB3-0C2F795C7F5D}"/>
    <cellStyle name="Normal 113" xfId="4855" xr:uid="{B0F2C243-96D2-4730-9C9D-032DED35DDC3}"/>
    <cellStyle name="Normal 114" xfId="4856" xr:uid="{DBD945F8-94C3-4DEB-AA7A-C04992537B61}"/>
    <cellStyle name="Normal 115" xfId="4857" xr:uid="{10FC2C31-5CFD-4C75-8CF2-E5576EE936F5}"/>
    <cellStyle name="Normal 116" xfId="4858" xr:uid="{098AD7F9-5CAB-443E-B697-1B16731A30F6}"/>
    <cellStyle name="Normal 117" xfId="4859" xr:uid="{0A2BA54F-09CD-4485-8044-5AC07FA29EC8}"/>
    <cellStyle name="Normal 118" xfId="4860" xr:uid="{38E550E8-A760-4205-9295-0374DD8D229D}"/>
    <cellStyle name="Normal 119" xfId="4861" xr:uid="{CD58AA1F-E94C-411A-8E1C-ED38F9F81925}"/>
    <cellStyle name="Normal 12" xfId="4862" xr:uid="{7FBB39F9-48A0-4506-8D08-BE4892D48B3E}"/>
    <cellStyle name="Normal 12 10" xfId="4863" xr:uid="{DFF93116-5FA7-47E3-87C7-6CAA8585894A}"/>
    <cellStyle name="Normal 12 11" xfId="4864" xr:uid="{6C042C24-BE5B-4C81-93C5-2505705BE1CD}"/>
    <cellStyle name="Normal 12 12" xfId="4865" xr:uid="{8F0A93A9-1A87-4751-AB43-26F49B19DA95}"/>
    <cellStyle name="Normal 12 13" xfId="4866" xr:uid="{9860845F-4A2A-480F-B272-4954D97954C5}"/>
    <cellStyle name="Normal 12 14" xfId="4867" xr:uid="{783B9454-3155-430A-981F-178F30F40948}"/>
    <cellStyle name="Normal 12 15" xfId="4868" xr:uid="{722F8B0A-0BEA-400F-BB7F-987E6850D36D}"/>
    <cellStyle name="Normal 12 16" xfId="4869" xr:uid="{19AD8F06-C9E7-4B5B-8445-D0C5ACEF777A}"/>
    <cellStyle name="Normal 12 17" xfId="4870" xr:uid="{E2900658-3079-4E66-A15C-3E6FA1E927A0}"/>
    <cellStyle name="Normal 12 18" xfId="4871" xr:uid="{0D3FEF32-F9D6-43D9-B3E2-E139ED9D6602}"/>
    <cellStyle name="Normal 12 19" xfId="4872" xr:uid="{39EF6F03-0077-467D-802B-2CF84C77E463}"/>
    <cellStyle name="Normal 12 2" xfId="4873" xr:uid="{BA1171F9-B7A9-4445-B9EE-0CFB98BAB566}"/>
    <cellStyle name="Normal 12 2 2" xfId="4874" xr:uid="{946FE42B-E060-41DF-903E-D76B39F5FF03}"/>
    <cellStyle name="Normal 12 20" xfId="4875" xr:uid="{1DC237A1-DCA1-4EB4-9A1C-AE6D6585C0AF}"/>
    <cellStyle name="Normal 12 21" xfId="4876" xr:uid="{12C846C3-06C5-4241-9A67-5C16CCDBD52C}"/>
    <cellStyle name="Normal 12 22" xfId="4877" xr:uid="{A97A4179-EC8C-4CB8-B2EC-5118A663DB5B}"/>
    <cellStyle name="Normal 12 23" xfId="4878" xr:uid="{AC838053-EF1F-4281-BD28-E0355E7278BC}"/>
    <cellStyle name="Normal 12 24" xfId="4879" xr:uid="{6504465E-FA58-404C-9F8B-408DCCABC427}"/>
    <cellStyle name="Normal 12 3" xfId="4880" xr:uid="{B3CACD9C-34BC-4581-92DD-AD71BE0D8DDF}"/>
    <cellStyle name="Normal 12 4" xfId="4881" xr:uid="{BB779032-AC8E-4B79-AE53-C5C32A4FEFF1}"/>
    <cellStyle name="Normal 12 5" xfId="4882" xr:uid="{09F3974A-9EDD-442B-A2C5-568FBE08F25C}"/>
    <cellStyle name="Normal 12 6" xfId="4883" xr:uid="{648B36EC-4FAC-44F2-8C54-BF051C78125C}"/>
    <cellStyle name="Normal 12 7" xfId="4884" xr:uid="{B16591E6-06E2-4EE5-B770-756BFC93351A}"/>
    <cellStyle name="Normal 12 8" xfId="4885" xr:uid="{A33A2B21-B297-403E-9657-0660B9621C52}"/>
    <cellStyle name="Normal 12 9" xfId="4886" xr:uid="{FB6E811F-DC95-4EBE-9BC2-FBBA5A841A2A}"/>
    <cellStyle name="Normal 120" xfId="4887" xr:uid="{28D364DF-063D-453E-BFB4-C933F74D0588}"/>
    <cellStyle name="Normal 121" xfId="4888" xr:uid="{2C4D14AA-ACA3-416D-ABF7-0BA485290655}"/>
    <cellStyle name="Normal 122" xfId="4889" xr:uid="{1CD7584D-F710-4A65-8934-2A18CE33B1A5}"/>
    <cellStyle name="Normal 123" xfId="4890" xr:uid="{A1AF8FE6-BB5E-4C7E-839A-E7E12E3BA736}"/>
    <cellStyle name="Normal 124" xfId="4891" xr:uid="{491A2C5A-80C1-4BAE-B27F-26029BE0B00A}"/>
    <cellStyle name="Normal 125" xfId="4892" xr:uid="{BA74D459-87ED-4DDE-926F-0DE5ED65B0E7}"/>
    <cellStyle name="Normal 126" xfId="4893" xr:uid="{96B4B19F-3765-4666-9C0C-0C1753A79AE9}"/>
    <cellStyle name="Normal 127" xfId="4894" xr:uid="{203D9E95-06A7-4304-A459-799D2FDF6BC1}"/>
    <cellStyle name="Normal 128" xfId="4895" xr:uid="{4F777E56-5B84-4244-9467-9C87AFC1BDCF}"/>
    <cellStyle name="Normal 128 2" xfId="4896" xr:uid="{87E85E40-420E-441A-B626-26EBB7BFC05E}"/>
    <cellStyle name="Normal 128 3" xfId="4897" xr:uid="{00ACBB92-A96B-48E4-A6A4-B9E19A369EA3}"/>
    <cellStyle name="Normal 128 4" xfId="4898" xr:uid="{F7B4C1E2-FC3D-4F6C-B371-16092E6F2951}"/>
    <cellStyle name="Normal 128 5" xfId="4899" xr:uid="{0430A725-52A1-437D-BC0D-78DF85605087}"/>
    <cellStyle name="Normal 129" xfId="4900" xr:uid="{4E381FDF-D8F1-4089-8CFE-1CE192F0F1AB}"/>
    <cellStyle name="Normal 129 2" xfId="4901" xr:uid="{2A473E15-1660-4811-8EA4-EFC21B6918B4}"/>
    <cellStyle name="Normal 129 3" xfId="4902" xr:uid="{B3E794B4-2AD0-49B3-87D9-29550EBFC03C}"/>
    <cellStyle name="Normal 129 4" xfId="4903" xr:uid="{8F5E7B54-FD88-4BC0-A71C-9CCF85E09FC5}"/>
    <cellStyle name="Normal 129 5" xfId="4904" xr:uid="{61288728-EA41-4838-8C56-0A8FB31134FF}"/>
    <cellStyle name="Normal 13" xfId="4905" xr:uid="{812B0B3F-6C9E-4787-94DF-54B820E39CF5}"/>
    <cellStyle name="Normal 13 10" xfId="4906" xr:uid="{4453833A-FA47-4BCB-88BA-B52A82202D7A}"/>
    <cellStyle name="Normal 13 11" xfId="4907" xr:uid="{1E29B16C-CB66-49A2-A7AD-6868D492F453}"/>
    <cellStyle name="Normal 13 12" xfId="4908" xr:uid="{C69B774E-9686-43C0-BDD5-E29A16732140}"/>
    <cellStyle name="Normal 13 13" xfId="4909" xr:uid="{AB81C537-168E-4CE5-BFA2-074E2B634752}"/>
    <cellStyle name="Normal 13 14" xfId="4910" xr:uid="{96860B31-6943-446D-8ADB-165F9045C6F9}"/>
    <cellStyle name="Normal 13 15" xfId="4911" xr:uid="{1182937D-5B30-42E6-BF30-EE872232ED32}"/>
    <cellStyle name="Normal 13 16" xfId="4912" xr:uid="{E6498180-AE48-4954-A0E6-8653B0C3EBDE}"/>
    <cellStyle name="Normal 13 17" xfId="4913" xr:uid="{317A994F-E9CB-4779-9880-F032C0098A84}"/>
    <cellStyle name="Normal 13 18" xfId="4914" xr:uid="{67C5A247-5AF8-45BE-A22B-9E1614F94A7E}"/>
    <cellStyle name="Normal 13 19" xfId="4915" xr:uid="{5580444C-F852-42AF-ACDD-7FBB9755CEA6}"/>
    <cellStyle name="Normal 13 2" xfId="4916" xr:uid="{EFD6F6DE-1B17-4E40-9559-FD8A4B35D889}"/>
    <cellStyle name="Normal 13 2 2" xfId="4917" xr:uid="{A5E475EF-E8B5-41C2-BAB9-C186688D2334}"/>
    <cellStyle name="Normal 13 2 3" xfId="4918" xr:uid="{AE00E707-AE1A-484B-B0C3-39843569A491}"/>
    <cellStyle name="Normal 13 2 3 2" xfId="4919" xr:uid="{F956C61E-0F09-4ABF-9236-96E30DFE65F2}"/>
    <cellStyle name="Normal 13 2 4" xfId="4920" xr:uid="{F295BC0B-12BD-4373-A942-59EB37B48BD6}"/>
    <cellStyle name="Normal 13 2 5" xfId="4921" xr:uid="{BAA4729C-34D7-444B-B1AA-2842031E9070}"/>
    <cellStyle name="Normal 13 2 6" xfId="4922" xr:uid="{EBACFEA8-D6BD-493C-BD7D-657CDBDC3F27}"/>
    <cellStyle name="Normal 13 20" xfId="4923" xr:uid="{F92FCC2E-BA82-4A45-9AA0-44D3236F817D}"/>
    <cellStyle name="Normal 13 21" xfId="4924" xr:uid="{8755E9BE-8D6D-406B-92C9-7CE6C58BD379}"/>
    <cellStyle name="Normal 13 22" xfId="4925" xr:uid="{E2C21FD1-0823-44D3-9C42-77CA7D658DB3}"/>
    <cellStyle name="Normal 13 23" xfId="4926" xr:uid="{3944300A-2ACA-4549-970D-9968393EFBED}"/>
    <cellStyle name="Normal 13 24" xfId="4927" xr:uid="{BB2B4639-56A4-4F74-8267-2D13788145D6}"/>
    <cellStyle name="Normal 13 25" xfId="4928" xr:uid="{F7A554FB-5E6A-4209-AC87-C215BB0FA096}"/>
    <cellStyle name="Normal 13 3" xfId="4929" xr:uid="{321648E9-DF83-49B2-8CF5-F45D320769F1}"/>
    <cellStyle name="Normal 13 3 2" xfId="4930" xr:uid="{BD1CA1FD-1728-49B9-9060-AD0E872CCA49}"/>
    <cellStyle name="Normal 13 3 3" xfId="4931" xr:uid="{61B7F657-76A0-4F1C-91F0-29E9E625FD88}"/>
    <cellStyle name="Normal 13 3 4" xfId="4932" xr:uid="{22717C47-1D20-4C7F-AF96-C02DED204C19}"/>
    <cellStyle name="Normal 13 4" xfId="4933" xr:uid="{75BFC9DD-C0FC-4136-A9D3-90FEC5BF78B7}"/>
    <cellStyle name="Normal 13 4 2" xfId="4934" xr:uid="{46F15B6C-7617-4465-8317-184DF1052D04}"/>
    <cellStyle name="Normal 13 5" xfId="4935" xr:uid="{6F29A2EE-008E-448B-A450-A54CDFD0B362}"/>
    <cellStyle name="Normal 13 5 2" xfId="4936" xr:uid="{848C0FCF-E270-4D72-AAC4-B47E243C1409}"/>
    <cellStyle name="Normal 13 6" xfId="4937" xr:uid="{1A8B1413-B0A8-4DA5-9264-C0DCB4432DB7}"/>
    <cellStyle name="Normal 13 6 2" xfId="4938" xr:uid="{C351ADD9-7061-4690-9DAB-944BCB66F0FD}"/>
    <cellStyle name="Normal 13 7" xfId="4939" xr:uid="{1F9B0CA0-BE89-4626-906C-68FE6E3D6FA7}"/>
    <cellStyle name="Normal 13 8" xfId="4940" xr:uid="{CBA2DAA7-3F18-4EAB-A018-57B5172DBFEC}"/>
    <cellStyle name="Normal 13 9" xfId="4941" xr:uid="{F2BA0A9B-4D2F-4BA9-8FD5-E50DBB0DBA8C}"/>
    <cellStyle name="Normal 130" xfId="4942" xr:uid="{828E9675-6F07-4723-8FCA-F200566477A6}"/>
    <cellStyle name="Normal 131" xfId="4943" xr:uid="{5A165546-DDAC-474B-B276-FDAE51C0C08A}"/>
    <cellStyle name="Normal 132" xfId="4944" xr:uid="{46442C2F-BC2F-4301-AAA3-FA1C4DEF34D9}"/>
    <cellStyle name="Normal 133" xfId="4945" xr:uid="{2AA87993-B43E-4139-9BE1-DB4171E0F7E9}"/>
    <cellStyle name="Normal 134" xfId="4946" xr:uid="{91C6C058-06EE-45CF-A7DF-29A98D096966}"/>
    <cellStyle name="Normal 135" xfId="4947" xr:uid="{75889E05-4104-4CF1-BC93-EBDD5AD5C553}"/>
    <cellStyle name="Normal 136" xfId="4948" xr:uid="{780F373A-6865-4AA8-AB60-C56814002436}"/>
    <cellStyle name="Normal 137" xfId="4949" xr:uid="{C867E792-92E5-43EE-8DD8-41A6BA988183}"/>
    <cellStyle name="Normal 138" xfId="4950" xr:uid="{3CFF9E57-04CC-49FA-AAD6-85CAB7B2F291}"/>
    <cellStyle name="Normal 139" xfId="4951" xr:uid="{D75D4115-9965-4B2A-AC95-2F2AD2A77A55}"/>
    <cellStyle name="Normal 14" xfId="21" xr:uid="{C0D234BB-0B30-4A67-87C1-C86CDE2CBDFF}"/>
    <cellStyle name="Normal 14 10" xfId="4952" xr:uid="{A223DDCE-5F3B-48E2-9FAF-B9CCA488869D}"/>
    <cellStyle name="Normal 14 11" xfId="4953" xr:uid="{96A4BFFB-F96D-48F7-B5A8-E8A1AA45B84A}"/>
    <cellStyle name="Normal 14 12" xfId="4954" xr:uid="{CCB5D1BF-35CC-4C5D-9511-DE804BD2AEEE}"/>
    <cellStyle name="Normal 14 13" xfId="4955" xr:uid="{F2A0A8E5-0B53-4A98-9A6B-7D6FC9731C05}"/>
    <cellStyle name="Normal 14 14" xfId="4956" xr:uid="{82DDD665-0AB1-4FDE-9B7B-92F9AC40C650}"/>
    <cellStyle name="Normal 14 15" xfId="4957" xr:uid="{AAF9A14B-8A74-4EFA-96C8-AF1B46C63CEB}"/>
    <cellStyle name="Normal 14 16" xfId="4958" xr:uid="{E83A1C4F-5D49-491D-9099-F95AF1C9B06D}"/>
    <cellStyle name="Normal 14 17" xfId="4959" xr:uid="{5417817A-23FF-4D34-8563-081D5F0CF289}"/>
    <cellStyle name="Normal 14 18" xfId="4960" xr:uid="{3ED263EF-F647-4C81-B77B-C4636943B7B4}"/>
    <cellStyle name="Normal 14 19" xfId="4961" xr:uid="{7DB4DD21-7C2A-4A08-8124-BF66011C41AB}"/>
    <cellStyle name="Normal 14 2" xfId="4962" xr:uid="{CA3EC688-ADE3-4DF8-9FE5-3180F2CF1185}"/>
    <cellStyle name="Normal 14 2 2" xfId="4963" xr:uid="{0E44D3CE-B7A7-49AF-B2D5-76C1F46C0501}"/>
    <cellStyle name="Normal 14 2 2 2" xfId="4964" xr:uid="{0F8A7765-91BE-4FA3-98EB-276D5EC4B20C}"/>
    <cellStyle name="Normal 14 2 2 2 2" xfId="4965" xr:uid="{DD5DDD05-4D2F-4C61-B94F-CE7B25E1D220}"/>
    <cellStyle name="Normal 14 2 2 2 3" xfId="4966" xr:uid="{8D04EF0C-E01B-4863-9478-947910288C41}"/>
    <cellStyle name="Normal 14 2 2 3" xfId="4967" xr:uid="{DC952A31-4D50-4EF7-B80F-31870AF28384}"/>
    <cellStyle name="Normal 14 2 2 4" xfId="4968" xr:uid="{FF9B1713-8729-4D99-82FC-8A3BAD6742F6}"/>
    <cellStyle name="Normal 14 2 3" xfId="4969" xr:uid="{44AB9395-C926-49D4-B360-2D358E31B08E}"/>
    <cellStyle name="Normal 14 20" xfId="4970" xr:uid="{1783FA44-494E-4511-9608-8B041E8790EA}"/>
    <cellStyle name="Normal 14 21" xfId="4971" xr:uid="{E1A48C40-BA66-4D91-B758-A44744846269}"/>
    <cellStyle name="Normal 14 22" xfId="4972" xr:uid="{E99B5E6C-80F3-4321-874E-927A2353B3EA}"/>
    <cellStyle name="Normal 14 23" xfId="4973" xr:uid="{55EBFD02-6CDC-40AB-AA70-AC1827805CDB}"/>
    <cellStyle name="Normal 14 24" xfId="4974" xr:uid="{D2589129-47BD-4272-8D4B-F23ACC8DBFD4}"/>
    <cellStyle name="Normal 14 25" xfId="4975" xr:uid="{5A09390D-E5FE-4E9B-8B86-8D9356495948}"/>
    <cellStyle name="Normal 14 26" xfId="4976" xr:uid="{3788346D-AD97-47D4-BF62-CE4C0EFF6B6C}"/>
    <cellStyle name="Normal 14 3" xfId="4977" xr:uid="{F605972F-12E2-4A44-B12E-31D34016BD80}"/>
    <cellStyle name="Normal 14 3 2" xfId="4978" xr:uid="{3BB5A617-5D25-49EB-9E83-16721C0D6D8C}"/>
    <cellStyle name="Normal 14 4" xfId="4979" xr:uid="{301B8350-128F-48BB-9FEA-B9C02DD05ABA}"/>
    <cellStyle name="Normal 14 4 2" xfId="4980" xr:uid="{DE26BC57-10CC-45DD-9547-19B0BCCE919B}"/>
    <cellStyle name="Normal 14 4 3" xfId="4981" xr:uid="{20E3A64F-8904-44E6-B5F2-895E7FBD708E}"/>
    <cellStyle name="Normal 14 5" xfId="4982" xr:uid="{57E6A55C-E7EC-4568-A762-1246AD4AE6CC}"/>
    <cellStyle name="Normal 14 5 2" xfId="4983" xr:uid="{F5EB2DF0-40B4-4D2B-B78F-72C8E792B049}"/>
    <cellStyle name="Normal 14 5 3" xfId="4984" xr:uid="{076A474B-90B8-4474-BCEE-5DD21B47793F}"/>
    <cellStyle name="Normal 14 6" xfId="4985" xr:uid="{5E1DAE79-C118-404D-A57B-94614CF8AED3}"/>
    <cellStyle name="Normal 14 7" xfId="4986" xr:uid="{FF79CD8B-414A-4040-BEB9-4776F7634098}"/>
    <cellStyle name="Normal 14 8" xfId="4987" xr:uid="{4F9C0597-E278-4E1F-ACA4-D60BF6C7C8F1}"/>
    <cellStyle name="Normal 14 9" xfId="4988" xr:uid="{6D19ECAF-8AC7-4579-A6A1-14A6D4797AD7}"/>
    <cellStyle name="Normal 140" xfId="4989" xr:uid="{466D0DFB-0BDF-402B-B0E3-4FC403748AE4}"/>
    <cellStyle name="Normal 141" xfId="4990" xr:uid="{1BA7FACE-5E07-4E77-9103-960F083C6C68}"/>
    <cellStyle name="Normal 142" xfId="4991" xr:uid="{31E3DC41-36A0-4E26-8E0A-E24D1FA9EDFD}"/>
    <cellStyle name="Normal 143" xfId="4992" xr:uid="{F29CEEEC-7C0B-460F-A717-2A19B982C245}"/>
    <cellStyle name="Normal 144" xfId="4993" xr:uid="{1AEDC678-A368-4B7E-9924-448B620B76ED}"/>
    <cellStyle name="Normal 145" xfId="4994" xr:uid="{ED2B1A3F-8073-4A0C-9B2D-7BC66991D072}"/>
    <cellStyle name="Normal 146" xfId="4995" xr:uid="{08E6202E-D137-4406-B767-9277173032EE}"/>
    <cellStyle name="Normal 147" xfId="4996" xr:uid="{C154279B-31BC-4161-87D7-DA28F81B90E7}"/>
    <cellStyle name="Normal 147 2" xfId="4997" xr:uid="{7E719988-C0CE-49ED-B3F7-770D365E42C3}"/>
    <cellStyle name="Normal 147 3" xfId="4998" xr:uid="{64537C31-2A9A-4DB4-8295-4BBC64D03A7B}"/>
    <cellStyle name="Normal 147 4" xfId="4999" xr:uid="{FE2F6627-FA5D-4831-B9CE-A27D3EC07B36}"/>
    <cellStyle name="Normal 148" xfId="5000" xr:uid="{D5296856-CBB9-4CFA-A7F7-BBD70AA5EAF0}"/>
    <cellStyle name="Normal 149" xfId="5001" xr:uid="{7FC7DC21-C501-4D1E-9A5E-0233C785BCF8}"/>
    <cellStyle name="Normal 15" xfId="5002" xr:uid="{51DEE252-16EE-42ED-BE86-1045CC8141D3}"/>
    <cellStyle name="Normal 15 10" xfId="5003" xr:uid="{559546BF-2490-4D92-863C-C792579728D9}"/>
    <cellStyle name="Normal 15 11" xfId="5004" xr:uid="{13811AA0-FCED-43F3-B23B-282CB4BE18E0}"/>
    <cellStyle name="Normal 15 12" xfId="5005" xr:uid="{F000CDA3-D0D4-4848-84E9-07A6D6DE178A}"/>
    <cellStyle name="Normal 15 13" xfId="5006" xr:uid="{5D31861E-E977-4958-9340-FADC696D6C75}"/>
    <cellStyle name="Normal 15 14" xfId="5007" xr:uid="{56909AF5-FAAA-448C-BC79-764B31A829C2}"/>
    <cellStyle name="Normal 15 15" xfId="5008" xr:uid="{A8324104-ACF8-42C1-8511-8F9703E72755}"/>
    <cellStyle name="Normal 15 16" xfId="5009" xr:uid="{C593F783-DA6C-4A19-8635-BD6F9572F3C9}"/>
    <cellStyle name="Normal 15 17" xfId="5010" xr:uid="{2DCD096A-28BF-4BE6-993F-CC49E7D3D4AD}"/>
    <cellStyle name="Normal 15 18" xfId="5011" xr:uid="{7B966EA7-C6D7-44F5-A9CF-F88FAF029B02}"/>
    <cellStyle name="Normal 15 19" xfId="5012" xr:uid="{E6781684-ABD7-4E04-849E-39B2805700D0}"/>
    <cellStyle name="Normal 15 2" xfId="5013" xr:uid="{92DB8160-D3E7-4F3B-BA07-4208A0D007E2}"/>
    <cellStyle name="Normal 15 2 2" xfId="5014" xr:uid="{7AA6A52A-E8CB-496A-92CA-1B3697B81506}"/>
    <cellStyle name="Normal 15 2 2 2" xfId="5015" xr:uid="{5E53E204-66CB-4F45-ADF0-4C80399F48B0}"/>
    <cellStyle name="Normal 15 2 3" xfId="5016" xr:uid="{55642C78-8DE1-4F50-B49E-F76996F24361}"/>
    <cellStyle name="Normal 15 20" xfId="5017" xr:uid="{402ACF6A-DDBF-4B1F-9B05-4BCE2FC15806}"/>
    <cellStyle name="Normal 15 21" xfId="5018" xr:uid="{22F0D67A-6AD5-4383-AC4D-454452E9F694}"/>
    <cellStyle name="Normal 15 22" xfId="5019" xr:uid="{9CD81D9B-08EF-4C2C-9945-EEFAE441F65A}"/>
    <cellStyle name="Normal 15 23" xfId="5020" xr:uid="{FBF048E1-C5CB-4C1B-AD2A-AB5B46C4E2F0}"/>
    <cellStyle name="Normal 15 24" xfId="5021" xr:uid="{EFAB17BF-4F4C-4173-82D9-A6AA3DE159FB}"/>
    <cellStyle name="Normal 15 25" xfId="5022" xr:uid="{8DF2C0C3-78BA-43B3-A663-7D25CBC47602}"/>
    <cellStyle name="Normal 15 3" xfId="5023" xr:uid="{197D061A-C5F8-4D09-B5C4-4E67A358A0CC}"/>
    <cellStyle name="Normal 15 3 2" xfId="5024" xr:uid="{B98F1AA7-54E3-402F-B2B3-3694A98D3BEB}"/>
    <cellStyle name="Normal 15 4" xfId="5025" xr:uid="{06F70E66-A531-4222-A2D6-130887706262}"/>
    <cellStyle name="Normal 15 5" xfId="5026" xr:uid="{F10D0C74-EFDA-4AB8-9CB5-435CF9523740}"/>
    <cellStyle name="Normal 15 6" xfId="5027" xr:uid="{182D63C6-B712-4841-AD32-D075518F2712}"/>
    <cellStyle name="Normal 15 7" xfId="5028" xr:uid="{D592D179-51FA-44E2-90F2-295F0EA37B3D}"/>
    <cellStyle name="Normal 15 8" xfId="5029" xr:uid="{0CD25676-016D-40A6-A26A-B3A9E9690728}"/>
    <cellStyle name="Normal 15 9" xfId="5030" xr:uid="{A67E024F-0AF0-404A-AC55-DC643F3E8BE3}"/>
    <cellStyle name="Normal 15_Ch4 v2" xfId="5031" xr:uid="{ADC53393-F757-4F21-90CA-30B2899CFCE5}"/>
    <cellStyle name="Normal 150" xfId="5032" xr:uid="{A0B23A8E-FA07-476B-9ECC-6B78458B28B2}"/>
    <cellStyle name="Normal 151" xfId="5033" xr:uid="{EE013DF3-04AF-45C0-83C7-4C6B188B93D0}"/>
    <cellStyle name="Normal 152" xfId="5034" xr:uid="{5A9D6C4D-A09C-4D85-94F2-991BB92A3C04}"/>
    <cellStyle name="Normal 153" xfId="5035" xr:uid="{D08FEE4E-A299-4E9B-B943-04EF4FF4424C}"/>
    <cellStyle name="Normal 154" xfId="5036" xr:uid="{2313608C-CE32-4CA4-BBA3-46CC584033A2}"/>
    <cellStyle name="Normal 155" xfId="5037" xr:uid="{5230FC09-50B2-4BAF-BAC6-C983C45F05CD}"/>
    <cellStyle name="Normal 156" xfId="5038" xr:uid="{993EE9D7-4205-4030-9081-3FFDEC109F5F}"/>
    <cellStyle name="Normal 157" xfId="5039" xr:uid="{77A1410E-0B66-4B53-87DB-D7F95569EE80}"/>
    <cellStyle name="Normal 158" xfId="5040" xr:uid="{88FC0BFF-8914-48AD-9A21-797AA4937533}"/>
    <cellStyle name="Normal 159" xfId="5041" xr:uid="{D913EAA8-1555-4D65-A9F1-BC97294C3DC1}"/>
    <cellStyle name="Normal 16" xfId="5042" xr:uid="{F05235BE-DFDA-4C07-9C5E-9546F65520F8}"/>
    <cellStyle name="Normal 16 10" xfId="5043" xr:uid="{D41ECCE6-C76F-4CB0-A111-BCBD57F5B735}"/>
    <cellStyle name="Normal 16 11" xfId="5044" xr:uid="{66C887FF-6751-41EF-9CC8-EC627DCD6BBA}"/>
    <cellStyle name="Normal 16 12" xfId="5045" xr:uid="{2660C503-E3F4-474E-8687-2F66DD64BA81}"/>
    <cellStyle name="Normal 16 13" xfId="5046" xr:uid="{0A45E1A6-29AB-4A8C-BFD7-A8F8632B4F50}"/>
    <cellStyle name="Normal 16 14" xfId="5047" xr:uid="{0B2F45F0-529C-420C-9147-D37739B01100}"/>
    <cellStyle name="Normal 16 15" xfId="5048" xr:uid="{72807039-6709-40E2-AD15-E1D0019CF6C4}"/>
    <cellStyle name="Normal 16 16" xfId="5049" xr:uid="{C04D2876-11D9-4A17-9EA7-89A4FE20E518}"/>
    <cellStyle name="Normal 16 17" xfId="5050" xr:uid="{1C91FBA1-AEB8-4698-B2EB-6929B216453F}"/>
    <cellStyle name="Normal 16 18" xfId="5051" xr:uid="{6F2CF78C-4864-4559-8444-2151A81F1844}"/>
    <cellStyle name="Normal 16 19" xfId="5052" xr:uid="{A8B0CF9F-9C63-4879-92BF-E94CFEF42EC0}"/>
    <cellStyle name="Normal 16 2" xfId="5053" xr:uid="{9B7C3F8C-3E2E-45C8-A2F7-1C03EFDF33B8}"/>
    <cellStyle name="Normal 16 2 2" xfId="5054" xr:uid="{A7C683C5-F36D-4E9A-8486-4FA76CD644D5}"/>
    <cellStyle name="Normal 16 20" xfId="5055" xr:uid="{FB8DE7F1-4333-4C0D-AF8C-3AFBD78FB5B4}"/>
    <cellStyle name="Normal 16 21" xfId="5056" xr:uid="{342C9879-D121-4A77-B938-D350F7F56251}"/>
    <cellStyle name="Normal 16 22" xfId="5057" xr:uid="{61F7B4BC-0E76-47D9-9E16-C4A1999F7862}"/>
    <cellStyle name="Normal 16 23" xfId="5058" xr:uid="{2272050E-D981-4AEC-8103-48F912D6DEC8}"/>
    <cellStyle name="Normal 16 3" xfId="5059" xr:uid="{28D36386-F013-40F4-BBD4-4B68BA5BF5C6}"/>
    <cellStyle name="Normal 16 4" xfId="5060" xr:uid="{5E42BAC4-C1A4-468C-8522-534807D408C3}"/>
    <cellStyle name="Normal 16 5" xfId="5061" xr:uid="{0C00F05D-FC95-49F2-A625-09D12B28F0E7}"/>
    <cellStyle name="Normal 16 6" xfId="5062" xr:uid="{CC9931E8-E6D0-4BEA-9959-22CB27791AE4}"/>
    <cellStyle name="Normal 16 7" xfId="5063" xr:uid="{CA22D5B6-BFDA-484A-8D15-C876368DA822}"/>
    <cellStyle name="Normal 16 8" xfId="5064" xr:uid="{6428D570-D70C-419E-B8AE-C4AE1DAFC871}"/>
    <cellStyle name="Normal 16 9" xfId="5065" xr:uid="{AC7004F5-3779-4F5C-9D39-4B46BE5D0603}"/>
    <cellStyle name="Normal 160" xfId="5066" xr:uid="{63A51D22-D284-42E9-B2E9-BDFBD1B34F19}"/>
    <cellStyle name="Normal 161" xfId="5067" xr:uid="{09A47BC2-3E94-4534-BDF8-FEBD5D640685}"/>
    <cellStyle name="Normal 162" xfId="5068" xr:uid="{0C3915B7-BD86-481A-84C8-0E5AAB1B848E}"/>
    <cellStyle name="Normal 163" xfId="5069" xr:uid="{3C8B5F88-FEC6-4F69-8FA6-2AA8243A54AA}"/>
    <cellStyle name="Normal 164" xfId="5070" xr:uid="{E6B04667-3EF3-4695-B4CF-E917CA8A72AA}"/>
    <cellStyle name="Normal 165" xfId="5071" xr:uid="{E47A66B9-A99B-497C-852A-06E6A9788481}"/>
    <cellStyle name="Normal 166" xfId="5072" xr:uid="{77123A84-12CC-450E-A6C7-BD6899CE9B4A}"/>
    <cellStyle name="Normal 167" xfId="5073" xr:uid="{357E1B9B-61E7-4434-A5D2-B025723DE2BB}"/>
    <cellStyle name="Normal 168" xfId="5074" xr:uid="{34D1D9D5-08AE-41CE-B8B0-41F27549C153}"/>
    <cellStyle name="Normal 169" xfId="5075" xr:uid="{4DC87BD7-B963-41B1-929C-A34FCB8EB0FF}"/>
    <cellStyle name="Normal 17" xfId="5076" xr:uid="{9B4050FA-C3E4-4C18-8C91-5C225412A39E}"/>
    <cellStyle name="Normal 17 10" xfId="5077" xr:uid="{65FFCDF8-6D72-4D44-B87F-8BF051AA86AD}"/>
    <cellStyle name="Normal 17 11" xfId="5078" xr:uid="{8195D398-784D-46F6-834B-EF59D7A80F08}"/>
    <cellStyle name="Normal 17 12" xfId="5079" xr:uid="{163FFA2E-2DAB-46CA-91C5-32F2E1702742}"/>
    <cellStyle name="Normal 17 13" xfId="5080" xr:uid="{4690D93B-37BF-44A7-9290-4342A0B64140}"/>
    <cellStyle name="Normal 17 14" xfId="5081" xr:uid="{12086152-3318-4508-A29A-FEF338578F12}"/>
    <cellStyle name="Normal 17 15" xfId="5082" xr:uid="{BB7601F9-97F0-47A3-99B7-2F9C49F17040}"/>
    <cellStyle name="Normal 17 16" xfId="5083" xr:uid="{CE3BF5D5-4EC6-4C4D-8668-040EEAA9C683}"/>
    <cellStyle name="Normal 17 17" xfId="5084" xr:uid="{7CAA0AFF-571A-4B0F-BC1E-566AAF38F8BC}"/>
    <cellStyle name="Normal 17 18" xfId="5085" xr:uid="{6F2F585F-E128-47E2-ADB7-93C82DC809FF}"/>
    <cellStyle name="Normal 17 19" xfId="5086" xr:uid="{6011A07E-8307-4325-B9B4-A28AC29DE6A7}"/>
    <cellStyle name="Normal 17 2" xfId="5087" xr:uid="{F981463F-51C6-438C-AE76-6FFC23F37F25}"/>
    <cellStyle name="Normal 17 2 2" xfId="5088" xr:uid="{F7C8C168-1904-4FFF-9A47-B1ACE11A40D4}"/>
    <cellStyle name="Normal 17 2 3" xfId="5089" xr:uid="{19D8BFAD-44F5-4750-B6DE-5AA705EA8095}"/>
    <cellStyle name="Normal 17 20" xfId="5090" xr:uid="{478E1D0F-BEFE-4501-899F-CAAE63D2263A}"/>
    <cellStyle name="Normal 17 21" xfId="5091" xr:uid="{0AF7F49F-7D4E-4885-9815-F29EEDE17465}"/>
    <cellStyle name="Normal 17 22" xfId="5092" xr:uid="{3E784BD3-5254-4874-A9A6-76CAFA540E3D}"/>
    <cellStyle name="Normal 17 23" xfId="5093" xr:uid="{B439F3BD-729E-4AAF-88EF-2439504AA984}"/>
    <cellStyle name="Normal 17 24" xfId="5094" xr:uid="{D1D8BDDD-A481-46DB-AEE2-EA96A4E58995}"/>
    <cellStyle name="Normal 17 25" xfId="5095" xr:uid="{E469A939-E8C4-4248-BBB3-EE899674A6A4}"/>
    <cellStyle name="Normal 17 3" xfId="5096" xr:uid="{68290F2D-D2F8-4E9C-9D0D-4D4CE32569A6}"/>
    <cellStyle name="Normal 17 4" xfId="5097" xr:uid="{9A188FF0-3A3A-4D32-8054-42D1B5AD8203}"/>
    <cellStyle name="Normal 17 5" xfId="5098" xr:uid="{4BA26F70-28F2-472E-987D-F8CE739E6052}"/>
    <cellStyle name="Normal 17 6" xfId="5099" xr:uid="{2E516760-038D-4D09-AC97-F6BB22C9BD65}"/>
    <cellStyle name="Normal 17 7" xfId="5100" xr:uid="{B18C4487-7471-4F7F-88A7-FBE6067B4F4D}"/>
    <cellStyle name="Normal 17 8" xfId="5101" xr:uid="{3856E1FE-6F00-4FF4-86CE-70B43C9970EB}"/>
    <cellStyle name="Normal 17 9" xfId="5102" xr:uid="{07D4B01B-DF04-4ECD-8ED4-3E7C2F20D20B}"/>
    <cellStyle name="Normal 170" xfId="5103" xr:uid="{68933601-8F3D-4D17-BCD2-144F14E8FAC2}"/>
    <cellStyle name="Normal 171" xfId="5104" xr:uid="{0C74FD57-0CCF-4502-8063-30BA63A9AB0B}"/>
    <cellStyle name="Normal 172" xfId="5105" xr:uid="{364B8AFA-96D4-4829-81E4-0DBE748492DB}"/>
    <cellStyle name="Normal 173" xfId="5106" xr:uid="{39A8EA1D-31FE-4EE0-8236-4D1ED415469B}"/>
    <cellStyle name="Normal 174" xfId="5107" xr:uid="{026F5FCB-B0B8-4EC2-8F11-358BBBDB0CF0}"/>
    <cellStyle name="Normal 175" xfId="5108" xr:uid="{1C80A297-35BC-4C8D-A12B-3E700E61585F}"/>
    <cellStyle name="Normal 176" xfId="5109" xr:uid="{AAC260B8-6CF1-4AAC-AB52-A22A5254B09A}"/>
    <cellStyle name="Normal 177" xfId="5110" xr:uid="{BF0C4337-338A-4E9A-AC02-23827D38E2D2}"/>
    <cellStyle name="Normal 178" xfId="5111" xr:uid="{88357F96-2E32-4E2F-A582-37AC44911121}"/>
    <cellStyle name="Normal 179" xfId="5112" xr:uid="{6015B31C-C8A1-41C9-A617-0854D345AD72}"/>
    <cellStyle name="Normal 18" xfId="5113" xr:uid="{4B992D2A-713D-4779-B43B-59774A18177F}"/>
    <cellStyle name="Normal 18 2" xfId="5114" xr:uid="{E4F22BBA-78F2-4A1A-A599-3E6F91EA2804}"/>
    <cellStyle name="Normal 18 2 2" xfId="5115" xr:uid="{C3FD6B69-6DDC-4C36-B640-EEA67D4F1D17}"/>
    <cellStyle name="Normal 18 3" xfId="5116" xr:uid="{9676DE59-4A58-4231-A4A3-540C5565EEBB}"/>
    <cellStyle name="Normal 18 4" xfId="5117" xr:uid="{9BD3303F-AAE3-493D-BE9E-53E02D3CB3FA}"/>
    <cellStyle name="Normal 18 5" xfId="5118" xr:uid="{135B1D81-84DF-446D-A221-D04F22C50263}"/>
    <cellStyle name="Normal 18 6" xfId="5119" xr:uid="{D12D266D-D09A-4380-B034-EB68D71CD948}"/>
    <cellStyle name="Normal 180" xfId="5120" xr:uid="{98921193-7C2F-4969-8133-47952670CD3E}"/>
    <cellStyle name="Normal 181" xfId="5121" xr:uid="{74AB95AD-FB8B-4806-AF90-3B2348D89ECF}"/>
    <cellStyle name="Normal 182" xfId="5122" xr:uid="{93A0A409-C618-4C81-8420-9044AA33A6A3}"/>
    <cellStyle name="Normal 183" xfId="5123" xr:uid="{AE6209F9-E60A-457D-84CB-408CD9820A29}"/>
    <cellStyle name="Normal 184" xfId="5124" xr:uid="{04291788-8E72-4949-9176-801FCE184676}"/>
    <cellStyle name="Normal 185" xfId="5125" xr:uid="{B8D1483E-B47F-4DFF-B107-BD853A2A1450}"/>
    <cellStyle name="Normal 186" xfId="5126" xr:uid="{731414A4-B3FA-47E3-B841-4EAC48986D38}"/>
    <cellStyle name="Normal 187" xfId="5127" xr:uid="{441CCB58-1306-4E9E-9D91-7D61D987FB09}"/>
    <cellStyle name="Normal 188" xfId="5128" xr:uid="{3587EB7B-F08B-46D7-B227-33FFBA0DBA11}"/>
    <cellStyle name="Normal 189" xfId="5129" xr:uid="{57A9F3BD-A718-441E-92C6-5247C2482FFD}"/>
    <cellStyle name="Normal 19" xfId="5130" xr:uid="{BEA3EFA5-D4E5-45BC-85B2-FFBA23DBFB82}"/>
    <cellStyle name="Normal 19 10" xfId="5131" xr:uid="{BAE52AE0-A536-40CC-8583-81F5A6B3C7BC}"/>
    <cellStyle name="Normal 19 11" xfId="5132" xr:uid="{E02201A4-9DA7-4C29-A66F-2D721D8733DC}"/>
    <cellStyle name="Normal 19 12" xfId="5133" xr:uid="{626D5A1D-6FAA-4F46-AECD-EB9760CCDE2B}"/>
    <cellStyle name="Normal 19 13" xfId="5134" xr:uid="{BF891BAB-F863-48F0-A8C0-E09AEB943BAD}"/>
    <cellStyle name="Normal 19 14" xfId="5135" xr:uid="{6F736EE8-2DA9-4EFE-98FB-75E7CBFB3170}"/>
    <cellStyle name="Normal 19 15" xfId="5136" xr:uid="{25B008A6-E046-4A9D-AD64-1B6B4E708082}"/>
    <cellStyle name="Normal 19 16" xfId="5137" xr:uid="{B5CA0EFC-D686-4E9A-A752-EC4E1DFD7FD7}"/>
    <cellStyle name="Normal 19 17" xfId="5138" xr:uid="{8E760B95-0853-4AC7-B8A2-D1FBDECC6F5D}"/>
    <cellStyle name="Normal 19 18" xfId="5139" xr:uid="{527437D1-3BE1-4CA4-A8D1-F9A7E4BF090C}"/>
    <cellStyle name="Normal 19 19" xfId="5140" xr:uid="{8802DADF-98D6-44C5-B04A-AC9E8812C85F}"/>
    <cellStyle name="Normal 19 2" xfId="5141" xr:uid="{B9EBA0E6-242E-4748-B52B-CC8B118A52B9}"/>
    <cellStyle name="Normal 19 2 2" xfId="5142" xr:uid="{311BECEA-4FF3-41A2-B5D5-EF292C212A1D}"/>
    <cellStyle name="Normal 19 2 2 2" xfId="5143" xr:uid="{9281EDAC-38FB-4705-8122-118F4064A81A}"/>
    <cellStyle name="Normal 19 2 3" xfId="5144" xr:uid="{AEADB437-435C-42F9-8E1A-7C1645FA2DB7}"/>
    <cellStyle name="Normal 19 20" xfId="5145" xr:uid="{E8616206-D3E2-4D84-A01E-67C09B8FF4D1}"/>
    <cellStyle name="Normal 19 21" xfId="5146" xr:uid="{8A03E250-303A-4BC3-823A-A1E1BD64CC51}"/>
    <cellStyle name="Normal 19 22" xfId="5147" xr:uid="{6F96096A-0D12-4D09-9A6F-903CAFDC66A8}"/>
    <cellStyle name="Normal 19 23" xfId="5148" xr:uid="{62F6DA5D-A9E0-41AE-B061-265527E27C8B}"/>
    <cellStyle name="Normal 19 3" xfId="5149" xr:uid="{2537292F-019A-4D6C-9B94-8D5BA8FEBE68}"/>
    <cellStyle name="Normal 19 3 2" xfId="5150" xr:uid="{CC3A24DC-26D1-41D0-A112-DAF7E805C67C}"/>
    <cellStyle name="Normal 19 4" xfId="5151" xr:uid="{7376E451-EE40-4696-AB4C-331A99534FF4}"/>
    <cellStyle name="Normal 19 5" xfId="5152" xr:uid="{1C15A68A-DA68-4518-B7F7-8AA6483686E2}"/>
    <cellStyle name="Normal 19 6" xfId="5153" xr:uid="{E780AB77-3DAF-4814-9996-09B6C1737AA6}"/>
    <cellStyle name="Normal 19 7" xfId="5154" xr:uid="{774A3CDF-AD66-4FEC-AE6D-089EE056667C}"/>
    <cellStyle name="Normal 19 8" xfId="5155" xr:uid="{4FB3F820-CD5D-40DC-A71B-8A167327F677}"/>
    <cellStyle name="Normal 19 9" xfId="5156" xr:uid="{8EF90FBC-1AFC-42E5-B58C-4A932AA57CB4}"/>
    <cellStyle name="Normal 190" xfId="5157" xr:uid="{DF2496DF-5BFD-44D8-B089-EBC238CDC1B2}"/>
    <cellStyle name="Normal 191" xfId="5158" xr:uid="{B388BDC2-64E0-4796-A1B9-07B050ACD0F6}"/>
    <cellStyle name="Normal 192" xfId="5159" xr:uid="{CD3FAE09-D957-4366-BBB1-1A440130DEF4}"/>
    <cellStyle name="Normal 193" xfId="5160" xr:uid="{ABB0AE5D-6B71-40B3-9D06-B2541EB5294F}"/>
    <cellStyle name="Normal 194" xfId="5161" xr:uid="{80CECBA2-4DE2-4BF8-BE4D-7D41461974E8}"/>
    <cellStyle name="Normal 195" xfId="5162" xr:uid="{92B8E83C-8448-4504-90EE-780FF6B6D94B}"/>
    <cellStyle name="Normal 196" xfId="5163" xr:uid="{9911B397-0F7F-48A8-B070-F2D6F54C1CFB}"/>
    <cellStyle name="Normal 196 2" xfId="5164" xr:uid="{CB3F0AE9-1498-4661-A4DD-39A95CE0FBB5}"/>
    <cellStyle name="Normal 196 3" xfId="5165" xr:uid="{CDC5D223-2481-4115-A700-8FC532E28F1A}"/>
    <cellStyle name="Normal 197" xfId="5166" xr:uid="{BB7E2CFB-5B42-4D3A-8CEE-16C520302724}"/>
    <cellStyle name="Normal 198" xfId="5167" xr:uid="{B78A369E-3EEA-436B-8EBC-E2D0D3159BD5}"/>
    <cellStyle name="Normal 199" xfId="5168" xr:uid="{0A6E9918-78D1-4B77-AEDF-BA0B5EF8F7DF}"/>
    <cellStyle name="Normal 199 2" xfId="5169" xr:uid="{00DB06CB-3085-4A91-8312-283FF36114D9}"/>
    <cellStyle name="Normal 2" xfId="3" xr:uid="{00000000-0005-0000-0000-000006000000}"/>
    <cellStyle name="Normal 2 10" xfId="5171" xr:uid="{92756A8D-E3B6-4CEB-8904-556D40934E47}"/>
    <cellStyle name="Normal 2 10 2" xfId="5172" xr:uid="{A503293D-12F0-4234-B5CA-739D9F1A1B0A}"/>
    <cellStyle name="Normal 2 10 3" xfId="5173" xr:uid="{E1FC87D3-4C0B-4297-8A59-5B5F07ECBCF1}"/>
    <cellStyle name="Normal 2 100" xfId="5174" xr:uid="{CAFB40D4-42B1-4CE3-8BD5-6BD35F8EB6D7}"/>
    <cellStyle name="Normal 2 101" xfId="5175" xr:uid="{7327C8FD-4E86-4AF2-A71E-4D0AFA1FCED4}"/>
    <cellStyle name="Normal 2 102" xfId="5176" xr:uid="{4B30685C-A0B9-4FFD-94E8-62D4667947DC}"/>
    <cellStyle name="Normal 2 103" xfId="5177" xr:uid="{74DAB92F-07E1-4FAA-A43E-706523017F52}"/>
    <cellStyle name="Normal 2 104" xfId="5178" xr:uid="{39F4C531-20AC-4532-B46E-BD62E258E7B9}"/>
    <cellStyle name="Normal 2 105" xfId="5179" xr:uid="{6F0E7096-7A4E-4322-81AF-C6015732D8FB}"/>
    <cellStyle name="Normal 2 106" xfId="5180" xr:uid="{5369DD3E-EBC7-4414-BDEC-41B682011A06}"/>
    <cellStyle name="Normal 2 107" xfId="5181" xr:uid="{5696587F-50ED-4C74-BC4B-23437A889B3C}"/>
    <cellStyle name="Normal 2 108" xfId="5182" xr:uid="{3D8D669B-AD49-4F45-8721-4C4E133145F6}"/>
    <cellStyle name="Normal 2 109" xfId="5183" xr:uid="{A7F329A8-9DAA-4297-B29E-718028F04AD9}"/>
    <cellStyle name="Normal 2 11" xfId="5184" xr:uid="{61CBF2A8-4B39-463D-A6B5-6D10C16D61CF}"/>
    <cellStyle name="Normal 2 11 2" xfId="5185" xr:uid="{097B091E-A17F-4ADE-AF65-F3279A6DA740}"/>
    <cellStyle name="Normal 2 11 3" xfId="5186" xr:uid="{AA970935-3718-4602-9CDB-800547F5CE6A}"/>
    <cellStyle name="Normal 2 110" xfId="5187" xr:uid="{CCD074C0-FED7-4B7A-B5EE-BF2434435935}"/>
    <cellStyle name="Normal 2 111" xfId="5188" xr:uid="{15F7D25F-C608-4289-922D-A08CDDD0B2A8}"/>
    <cellStyle name="Normal 2 112" xfId="5189" xr:uid="{901EC665-36EA-45B6-A863-C8F71218ABFE}"/>
    <cellStyle name="Normal 2 113" xfId="5190" xr:uid="{EDE9AF15-6156-439F-9579-89D858BF85FF}"/>
    <cellStyle name="Normal 2 113 2" xfId="5191" xr:uid="{FE0BABF2-C4E0-408E-811B-0A2546CE8FFD}"/>
    <cellStyle name="Normal 2 113 3" xfId="5192" xr:uid="{B93E2EEC-35EA-4D25-91BD-A28D39FEA43B}"/>
    <cellStyle name="Normal 2 113 4" xfId="5193" xr:uid="{3533A2A2-21CD-4C95-B6C2-BB2569726DA6}"/>
    <cellStyle name="Normal 2 113 5" xfId="5194" xr:uid="{6397E67D-9728-41EC-A655-C46FE1087BA9}"/>
    <cellStyle name="Normal 2 113 6" xfId="5195" xr:uid="{2295C7B7-0277-4B0A-B925-4A3B6CBC5B0D}"/>
    <cellStyle name="Normal 2 113 7" xfId="5196" xr:uid="{F8970CE0-B45B-4E25-818B-7E66B9FCF0B7}"/>
    <cellStyle name="Normal 2 114" xfId="5197" xr:uid="{E2270B55-FBDD-4D8C-AC40-99C55A5569CC}"/>
    <cellStyle name="Normal 2 115" xfId="5198" xr:uid="{DDE96112-A16A-4AD3-A074-B25F90212F7B}"/>
    <cellStyle name="Normal 2 116" xfId="5199" xr:uid="{429E1763-9C68-4CBA-993A-DD61362CB00B}"/>
    <cellStyle name="Normal 2 117" xfId="5200" xr:uid="{5CE7A375-ED47-4258-907B-E121930743CE}"/>
    <cellStyle name="Normal 2 118" xfId="5201" xr:uid="{B94CF5A5-6A77-4EDB-B00F-092B103C28A3}"/>
    <cellStyle name="Normal 2 119" xfId="5202" xr:uid="{92320CDE-FE1B-42E4-9177-171AD17CB36E}"/>
    <cellStyle name="Normal 2 12" xfId="5203" xr:uid="{35A1636E-FDAC-49C5-B96D-D11137D2BC43}"/>
    <cellStyle name="Normal 2 12 2" xfId="5204" xr:uid="{75CC8121-F50A-41F3-982A-2055514026D0}"/>
    <cellStyle name="Normal 2 12 3" xfId="5205" xr:uid="{ED5BB3E0-95DE-4826-8D87-30B3C5E12851}"/>
    <cellStyle name="Normal 2 12 4" xfId="5206" xr:uid="{87105882-BDA9-440E-B212-EDF016C05176}"/>
    <cellStyle name="Normal 2 12 5" xfId="5207" xr:uid="{9B7B55B4-BDA7-4CBE-8669-B77EDD3FF6B7}"/>
    <cellStyle name="Normal 2 12 6" xfId="5208" xr:uid="{07EC5E20-3380-4EF7-B18B-D0EC1559D007}"/>
    <cellStyle name="Normal 2 12 7" xfId="5209" xr:uid="{5658FB29-9A97-4E9E-A1D3-811B4E070541}"/>
    <cellStyle name="Normal 2 120" xfId="5210" xr:uid="{EBD138F1-9B9E-4E45-A975-14702D8AE7B3}"/>
    <cellStyle name="Normal 2 121" xfId="5211" xr:uid="{5FDC3D73-1281-4692-A1AA-DF00CA387FAF}"/>
    <cellStyle name="Normal 2 122" xfId="5212" xr:uid="{56E808CC-D310-4B32-A38D-9F0DBE0E6BD5}"/>
    <cellStyle name="Normal 2 123" xfId="5213" xr:uid="{EA968082-9818-4D90-A013-61046A955BF6}"/>
    <cellStyle name="Normal 2 124" xfId="5214" xr:uid="{773060D4-C8A6-4ECF-9993-4B195B905594}"/>
    <cellStyle name="Normal 2 125" xfId="5215" xr:uid="{DB153DAE-3F41-4D4D-9BA7-B580052FF9A4}"/>
    <cellStyle name="Normal 2 126" xfId="5216" xr:uid="{7FA82426-1611-4477-AA8D-9C21CB0297E5}"/>
    <cellStyle name="Normal 2 127" xfId="5217" xr:uid="{A91F2B99-5D4D-4DD4-AF68-3DA09228133B}"/>
    <cellStyle name="Normal 2 128" xfId="5218" xr:uid="{5D0BDBE4-A01F-4AC7-B9E4-ED94FAF343BD}"/>
    <cellStyle name="Normal 2 129" xfId="5219" xr:uid="{CB512DAA-B84F-40B7-A42A-C3B1986CEBF3}"/>
    <cellStyle name="Normal 2 129 2" xfId="5220" xr:uid="{D2C92FF0-D292-4920-867A-64BD720B9A0B}"/>
    <cellStyle name="Normal 2 129 3" xfId="5221" xr:uid="{68CC824C-B124-4850-990E-9990DC64F680}"/>
    <cellStyle name="Normal 2 129 4" xfId="5222" xr:uid="{FF0F1016-3FD7-4E73-AB7E-47EC76AF4C00}"/>
    <cellStyle name="Normal 2 129 5" xfId="5223" xr:uid="{B77D53EF-9395-4917-865B-61C8606B4313}"/>
    <cellStyle name="Normal 2 13" xfId="5224" xr:uid="{BF12C72A-B229-4FE0-A723-AAB677D736FC}"/>
    <cellStyle name="Normal 2 13 2" xfId="5225" xr:uid="{3D4CC0D3-C72B-43D9-BC0E-9A4632437BEC}"/>
    <cellStyle name="Normal 2 13 3" xfId="5226" xr:uid="{28F15DB2-44F0-4250-A259-7D49A36EC786}"/>
    <cellStyle name="Normal 2 130" xfId="5227" xr:uid="{2983BA8B-B3ED-4989-AC27-616E3373F56F}"/>
    <cellStyle name="Normal 2 131" xfId="5228" xr:uid="{1D7FDFFC-70DD-42C9-821E-D579C888A48F}"/>
    <cellStyle name="Normal 2 132" xfId="5229" xr:uid="{8020D0AD-C3BD-4617-827B-791B3083B81F}"/>
    <cellStyle name="Normal 2 133" xfId="5230" xr:uid="{C3B7643F-5893-431D-9357-F9054083B8CE}"/>
    <cellStyle name="Normal 2 134" xfId="5231" xr:uid="{E1F6DCA3-2551-46DB-A07A-CF7469C86B18}"/>
    <cellStyle name="Normal 2 135" xfId="5232" xr:uid="{5407DF70-0A87-4CDA-A4D6-ED9AE2D47AA6}"/>
    <cellStyle name="Normal 2 136" xfId="5233" xr:uid="{AB809143-714A-4ADE-BF5C-9DA6FC1679E9}"/>
    <cellStyle name="Normal 2 137" xfId="5234" xr:uid="{46350EDE-084A-4EC1-8486-D2F7D34AA552}"/>
    <cellStyle name="Normal 2 138" xfId="5235" xr:uid="{A81097F5-7645-4252-B65F-9FAF61449ECC}"/>
    <cellStyle name="Normal 2 139" xfId="5236" xr:uid="{62B7CFE2-939C-4DB3-B169-D6F6D13EA8A6}"/>
    <cellStyle name="Normal 2 14" xfId="5237" xr:uid="{1C6C839B-49BA-43C5-A96A-F8C6D1A717CC}"/>
    <cellStyle name="Normal 2 14 2" xfId="5238" xr:uid="{C81187D6-E91B-4868-8576-ABEDEECB37E2}"/>
    <cellStyle name="Normal 2 14 3" xfId="5239" xr:uid="{F488382B-B705-4FAA-85ED-8C4A44E0FF13}"/>
    <cellStyle name="Normal 2 140" xfId="5240" xr:uid="{36161DC9-2969-4726-A59C-C613974458C0}"/>
    <cellStyle name="Normal 2 141" xfId="5241" xr:uid="{DF322E81-BBED-485C-BDFC-C53081D98478}"/>
    <cellStyle name="Normal 2 142" xfId="5242" xr:uid="{451AA913-802A-4EB8-AF6F-51DF99355D27}"/>
    <cellStyle name="Normal 2 143" xfId="5243" xr:uid="{A6F44D0F-9963-4994-8E78-DBBD70082007}"/>
    <cellStyle name="Normal 2 144" xfId="5244" xr:uid="{96DBB7F7-4717-449E-B7FA-72428BE3A85B}"/>
    <cellStyle name="Normal 2 145" xfId="5245" xr:uid="{8D611C74-9B8B-49BA-BD50-436763EFDE4E}"/>
    <cellStyle name="Normal 2 145 10" xfId="5246" xr:uid="{9587EC70-A312-491A-85CB-E372A752BC62}"/>
    <cellStyle name="Normal 2 145 11" xfId="5247" xr:uid="{BC990BB6-4EE3-43D6-910C-84A370EF8C36}"/>
    <cellStyle name="Normal 2 145 12" xfId="5248" xr:uid="{2EADB909-43B1-4F84-8C4B-DA52B4B60088}"/>
    <cellStyle name="Normal 2 145 13" xfId="5249" xr:uid="{EB046D8D-B523-416B-9B75-F89EDBCBE078}"/>
    <cellStyle name="Normal 2 145 14" xfId="5250" xr:uid="{CCEB21A5-2E1B-4C07-AB8E-2117727F3E0F}"/>
    <cellStyle name="Normal 2 145 15" xfId="5251" xr:uid="{9AE2C0F8-F9D3-4586-8FAA-B6A030581F82}"/>
    <cellStyle name="Normal 2 145 16" xfId="5252" xr:uid="{3315CFEF-02CA-42E0-8D99-55CFD31281A3}"/>
    <cellStyle name="Normal 2 145 17" xfId="5253" xr:uid="{CE447737-B36A-496B-928C-5310259F9AE3}"/>
    <cellStyle name="Normal 2 145 18" xfId="5254" xr:uid="{2BA8C770-1BEF-4CCA-B98D-C8D8C47A7929}"/>
    <cellStyle name="Normal 2 145 19" xfId="5255" xr:uid="{F6CA992C-FAF1-4440-9DB8-3782696B7E00}"/>
    <cellStyle name="Normal 2 145 2" xfId="5256" xr:uid="{B64BACA9-949E-4388-8C79-143C46629C1A}"/>
    <cellStyle name="Normal 2 145 20" xfId="5257" xr:uid="{8821C6A1-2DD5-40C0-85AD-7A23127FEDBF}"/>
    <cellStyle name="Normal 2 145 3" xfId="5258" xr:uid="{B2E3692D-8020-4BB7-AEEE-17C57FD82164}"/>
    <cellStyle name="Normal 2 145 4" xfId="5259" xr:uid="{1908EFCB-45A0-43C9-9EAE-5117B6AE5446}"/>
    <cellStyle name="Normal 2 145 5" xfId="5260" xr:uid="{4474C814-FE6A-418A-84D5-891713543DB9}"/>
    <cellStyle name="Normal 2 145 6" xfId="5261" xr:uid="{44508235-E5F3-4E78-BB24-B129F39AF262}"/>
    <cellStyle name="Normal 2 145 7" xfId="5262" xr:uid="{3E2BA5F6-79E8-4BAF-9AA7-C55AC0FDE2F1}"/>
    <cellStyle name="Normal 2 145 8" xfId="5263" xr:uid="{16EBAF37-3977-4363-B468-6083FFA980F8}"/>
    <cellStyle name="Normal 2 145 9" xfId="5264" xr:uid="{22C2867B-161D-4FCD-AF1B-3F3C731340C0}"/>
    <cellStyle name="Normal 2 146" xfId="5265" xr:uid="{6C7F0CE3-288E-4707-834A-247241DD8FED}"/>
    <cellStyle name="Normal 2 146 10" xfId="5266" xr:uid="{C023BF7A-2A64-4D7C-8AD6-70276BA7A0A1}"/>
    <cellStyle name="Normal 2 146 11" xfId="5267" xr:uid="{9A8AC469-3403-4AC9-97A9-24D982A446DF}"/>
    <cellStyle name="Normal 2 146 12" xfId="5268" xr:uid="{C8F7E002-B72E-4C4F-A477-0DE030F2D91C}"/>
    <cellStyle name="Normal 2 146 13" xfId="5269" xr:uid="{61348F90-18BC-4D34-8E51-D369F84DFBF6}"/>
    <cellStyle name="Normal 2 146 14" xfId="5270" xr:uid="{4DA11AC5-F9E2-47E7-A0BF-59ABA215B6E3}"/>
    <cellStyle name="Normal 2 146 15" xfId="5271" xr:uid="{6E272805-5176-4438-A348-9822937A5FF3}"/>
    <cellStyle name="Normal 2 146 16" xfId="5272" xr:uid="{3ACC822B-5B84-424F-BAA4-BF958BAC0AD2}"/>
    <cellStyle name="Normal 2 146 17" xfId="5273" xr:uid="{75A293C2-83F9-458D-AC06-77866B374BEE}"/>
    <cellStyle name="Normal 2 146 2" xfId="5274" xr:uid="{086CC626-EB8E-49B0-B3B5-C84BC20D13CB}"/>
    <cellStyle name="Normal 2 146 3" xfId="5275" xr:uid="{9BBBFCF7-023F-4C6B-B903-06A0BC054CC5}"/>
    <cellStyle name="Normal 2 146 4" xfId="5276" xr:uid="{6EEA483B-2E95-4657-8A95-DEB71E8B6C70}"/>
    <cellStyle name="Normal 2 146 5" xfId="5277" xr:uid="{03E01E08-EC45-4596-AF2B-5C53063141B7}"/>
    <cellStyle name="Normal 2 146 6" xfId="5278" xr:uid="{307162AD-CF86-4A25-A231-8027D4593FBB}"/>
    <cellStyle name="Normal 2 146 7" xfId="5279" xr:uid="{BB80FF7C-3324-4AE3-960A-7E72FE5419AA}"/>
    <cellStyle name="Normal 2 146 8" xfId="5280" xr:uid="{5F2A73D8-CA08-4504-AEF9-A21146AA1662}"/>
    <cellStyle name="Normal 2 146 9" xfId="5281" xr:uid="{2AA6C0DF-E377-4882-971B-B1A21FBD1794}"/>
    <cellStyle name="Normal 2 147" xfId="5282" xr:uid="{52F16B8C-1ABB-42F1-A1E0-E1E6C228F5F7}"/>
    <cellStyle name="Normal 2 147 10" xfId="5283" xr:uid="{1444AB89-04EA-4DA3-8627-56A355ADCBEB}"/>
    <cellStyle name="Normal 2 147 11" xfId="5284" xr:uid="{CF8865E0-36D8-48BD-ABF8-5FBBE15E7F3D}"/>
    <cellStyle name="Normal 2 147 12" xfId="5285" xr:uid="{42795770-3EEB-41D9-9C86-548E5C547DC6}"/>
    <cellStyle name="Normal 2 147 13" xfId="5286" xr:uid="{FC211682-53DF-41C4-B7B5-2A74E3733047}"/>
    <cellStyle name="Normal 2 147 14" xfId="5287" xr:uid="{AB8E6B36-9DA3-4D24-869D-2485054A0679}"/>
    <cellStyle name="Normal 2 147 15" xfId="5288" xr:uid="{ADA5E314-D392-40A1-A49E-43BDD740E48B}"/>
    <cellStyle name="Normal 2 147 16" xfId="5289" xr:uid="{76426A7A-4797-4E13-840F-44AFB1E079A9}"/>
    <cellStyle name="Normal 2 147 17" xfId="5290" xr:uid="{661D9C5D-CB4B-4CB2-80AA-4435EFAD84D8}"/>
    <cellStyle name="Normal 2 147 2" xfId="5291" xr:uid="{E00F22DC-F5BF-4CDB-8937-D3C5419B4ADA}"/>
    <cellStyle name="Normal 2 147 3" xfId="5292" xr:uid="{2A5FF058-375F-4F1B-BD11-64A350C9E84C}"/>
    <cellStyle name="Normal 2 147 4" xfId="5293" xr:uid="{313CE7DE-BEDC-40C1-8873-095C3F2CDDFF}"/>
    <cellStyle name="Normal 2 147 5" xfId="5294" xr:uid="{0152FDE6-015B-4C15-A99B-EF167CE33DC1}"/>
    <cellStyle name="Normal 2 147 6" xfId="5295" xr:uid="{4738DC19-D55C-432E-8990-333A49163E0D}"/>
    <cellStyle name="Normal 2 147 7" xfId="5296" xr:uid="{9323010C-148F-469A-856E-BB7151896F52}"/>
    <cellStyle name="Normal 2 147 8" xfId="5297" xr:uid="{0595E37A-447D-474A-9253-F5E19CB489E1}"/>
    <cellStyle name="Normal 2 147 9" xfId="5298" xr:uid="{7878B3BA-8D3A-4912-A67A-A556321CEB61}"/>
    <cellStyle name="Normal 2 148" xfId="5299" xr:uid="{13E97029-FEB5-4A73-A556-F076377BB1C1}"/>
    <cellStyle name="Normal 2 148 10" xfId="5300" xr:uid="{446DCA12-C416-4B2C-9BFE-1C7730D03426}"/>
    <cellStyle name="Normal 2 148 11" xfId="5301" xr:uid="{DDE3C90F-161F-4EBB-8AAD-66088DAF7051}"/>
    <cellStyle name="Normal 2 148 12" xfId="5302" xr:uid="{9EA77777-3F2E-4C0A-A39C-44952A138DF4}"/>
    <cellStyle name="Normal 2 148 13" xfId="5303" xr:uid="{A21197D4-CDE1-4579-B4C7-10036A03A161}"/>
    <cellStyle name="Normal 2 148 2" xfId="5304" xr:uid="{7EB2AC42-CA95-44B8-902E-3B0634B76D7D}"/>
    <cellStyle name="Normal 2 148 3" xfId="5305" xr:uid="{9D739D7D-C071-4110-81F8-4A57C2A8356F}"/>
    <cellStyle name="Normal 2 148 4" xfId="5306" xr:uid="{3C5F49FE-BD2F-4893-A0E2-0915A430D697}"/>
    <cellStyle name="Normal 2 148 5" xfId="5307" xr:uid="{17D5B4EE-53B5-4247-8EC5-5E88D3478152}"/>
    <cellStyle name="Normal 2 148 6" xfId="5308" xr:uid="{7BDDCDC8-E607-4895-8A8F-970261B2ABC5}"/>
    <cellStyle name="Normal 2 148 7" xfId="5309" xr:uid="{552E94F9-FCE5-49A4-AC22-E35F4CD4D6D0}"/>
    <cellStyle name="Normal 2 148 8" xfId="5310" xr:uid="{B14E4416-9AC7-4098-9F35-F9EF5CF73577}"/>
    <cellStyle name="Normal 2 148 9" xfId="5311" xr:uid="{6A0A0CCC-0783-451F-9E23-6483E5481E21}"/>
    <cellStyle name="Normal 2 149" xfId="5312" xr:uid="{023F08CB-061D-4D61-A2F5-FC53FB095944}"/>
    <cellStyle name="Normal 2 15" xfId="5313" xr:uid="{AD05937B-42E9-45E7-9157-77BD19E9DCC0}"/>
    <cellStyle name="Normal 2 15 2" xfId="5314" xr:uid="{66C258AA-2819-4B99-BB5E-191305B13C7C}"/>
    <cellStyle name="Normal 2 15 3" xfId="5315" xr:uid="{D031F31B-946D-480F-93FA-E67C877A62E0}"/>
    <cellStyle name="Normal 2 150" xfId="5316" xr:uid="{538B0AAC-E753-443E-8EAC-C942852AE6CC}"/>
    <cellStyle name="Normal 2 151" xfId="5317" xr:uid="{9AFBF2CE-54D3-46A3-94CF-7BDA9069EE5E}"/>
    <cellStyle name="Normal 2 152" xfId="5318" xr:uid="{FA30BD5F-0F49-4CF9-83D1-906794AE1400}"/>
    <cellStyle name="Normal 2 153" xfId="5319" xr:uid="{802CE777-886C-4D22-ACAE-FF732DCD4FF8}"/>
    <cellStyle name="Normal 2 154" xfId="5320" xr:uid="{AA6EE53F-FFA7-4542-AB5F-286894253EAD}"/>
    <cellStyle name="Normal 2 155" xfId="5321" xr:uid="{052C563C-D704-4039-AA19-E0FCA8BA59FA}"/>
    <cellStyle name="Normal 2 156" xfId="5322" xr:uid="{FAFDD868-9FF5-497C-A970-5ECB295D33DD}"/>
    <cellStyle name="Normal 2 157" xfId="5323" xr:uid="{52598A93-9720-40A5-9AA8-A83734F43C25}"/>
    <cellStyle name="Normal 2 158" xfId="5324" xr:uid="{B8522073-AB81-4C84-9167-C0730E8A25B2}"/>
    <cellStyle name="Normal 2 159" xfId="5325" xr:uid="{AFE42A32-6D97-41A3-A455-908F4C4BD74C}"/>
    <cellStyle name="Normal 2 16" xfId="5326" xr:uid="{D6F16079-D744-44F3-87D0-840E8A7C950D}"/>
    <cellStyle name="Normal 2 16 2" xfId="5327" xr:uid="{DBE0BA40-7C20-4974-B9CD-15312178569E}"/>
    <cellStyle name="Normal 2 16 3" xfId="5328" xr:uid="{74D62A51-DBC4-41F8-B696-06957F8CD54F}"/>
    <cellStyle name="Normal 2 160" xfId="5329" xr:uid="{0CDF6A4A-46F0-4E06-9076-7DB763327C4E}"/>
    <cellStyle name="Normal 2 161" xfId="5330" xr:uid="{E380CB24-A72C-4E66-995C-EC703D220661}"/>
    <cellStyle name="Normal 2 162" xfId="5331" xr:uid="{4E0892D2-C3E9-49BD-8260-8A68A6EFFA92}"/>
    <cellStyle name="Normal 2 163" xfId="5332" xr:uid="{610F989F-1E35-499D-9418-F452ABCE75A3}"/>
    <cellStyle name="Normal 2 164" xfId="5333" xr:uid="{91D94BEA-2CF3-4F38-8657-C386B639A363}"/>
    <cellStyle name="Normal 2 165" xfId="5334" xr:uid="{1BFA7DE7-0DF0-4C4B-970B-0202FA7CB494}"/>
    <cellStyle name="Normal 2 166" xfId="5335" xr:uid="{761658B1-172C-41E7-9818-EFEC1179FC90}"/>
    <cellStyle name="Normal 2 167" xfId="5336" xr:uid="{25E46ED6-2FA1-4D11-8736-55B839030C31}"/>
    <cellStyle name="Normal 2 168" xfId="5337" xr:uid="{7F8DA773-8639-4937-BAF2-68E4D7552F5A}"/>
    <cellStyle name="Normal 2 168 2" xfId="5338" xr:uid="{2FB42EFE-8768-4866-B03A-06361D2D96E4}"/>
    <cellStyle name="Normal 2 168 3" xfId="5339" xr:uid="{9EDA6E29-FC9D-46D6-87C4-DAACE00CAC63}"/>
    <cellStyle name="Normal 2 168 4" xfId="5340" xr:uid="{12C2E118-FC19-48D8-8B1A-37655858E885}"/>
    <cellStyle name="Normal 2 169" xfId="5341" xr:uid="{A050989D-3FDB-4C1D-AA85-D94F0662E6F0}"/>
    <cellStyle name="Normal 2 17" xfId="5342" xr:uid="{6801AE05-CFC5-4411-8141-183B8543ECEF}"/>
    <cellStyle name="Normal 2 17 2" xfId="5343" xr:uid="{015B227D-460F-44C5-8CDE-5989BDDBCDF8}"/>
    <cellStyle name="Normal 2 17 3" xfId="5344" xr:uid="{07D6FE4F-8F81-4AE4-85C4-82FB07D94CFC}"/>
    <cellStyle name="Normal 2 170" xfId="5345" xr:uid="{8FF704F5-2E43-474F-8721-7A2964444272}"/>
    <cellStyle name="Normal 2 171" xfId="5346" xr:uid="{9FA1B823-C758-4DC7-B210-B4ED2CAE3D29}"/>
    <cellStyle name="Normal 2 172" xfId="5347" xr:uid="{DD112E7A-D0CC-4BA7-98BC-52F6809B28E6}"/>
    <cellStyle name="Normal 2 173" xfId="5348" xr:uid="{216FFFCE-DA26-48CB-BE9C-4280424A03D2}"/>
    <cellStyle name="Normal 2 174" xfId="5349" xr:uid="{92A17045-CF6D-45C4-A307-68D18417E45B}"/>
    <cellStyle name="Normal 2 175" xfId="5350" xr:uid="{6D3DB0D3-7F95-41E7-85ED-0E0450BF1843}"/>
    <cellStyle name="Normal 2 176" xfId="5351" xr:uid="{F9D4ACAC-702D-4C4D-ABB0-E791C221CBEC}"/>
    <cellStyle name="Normal 2 177" xfId="5352" xr:uid="{C6E39B56-EB95-4DF4-B45F-38FE2DF80498}"/>
    <cellStyle name="Normal 2 178" xfId="5353" xr:uid="{8E18327A-273A-4CD1-AA27-C2132C3C2A4B}"/>
    <cellStyle name="Normal 2 179" xfId="5354" xr:uid="{92E252E0-A63A-40B6-BA3A-08910C2D9E6A}"/>
    <cellStyle name="Normal 2 18" xfId="5355" xr:uid="{D286C29C-C927-4EB4-8E2F-E947F0C3FB69}"/>
    <cellStyle name="Normal 2 18 2" xfId="5356" xr:uid="{080D5A9F-9CC1-4407-B1A8-0D52A13AC333}"/>
    <cellStyle name="Normal 2 18 3" xfId="5357" xr:uid="{6083AE03-9B4C-433D-AD0D-C68C54242B04}"/>
    <cellStyle name="Normal 2 180" xfId="5358" xr:uid="{86B9EFDC-6FC9-431C-989B-FC18CB2E940D}"/>
    <cellStyle name="Normal 2 181" xfId="5359" xr:uid="{12708188-1AD8-480A-B16A-AC74C05F74EB}"/>
    <cellStyle name="Normal 2 182" xfId="5360" xr:uid="{A6C85D5D-E409-4100-9C4C-B96B278FB8CC}"/>
    <cellStyle name="Normal 2 183" xfId="5361" xr:uid="{4710A618-CE35-48FD-850A-C0BBA5D8DB9C}"/>
    <cellStyle name="Normal 2 184" xfId="5362" xr:uid="{DE67F06D-8C67-4DB6-A556-9D06803B8BAA}"/>
    <cellStyle name="Normal 2 185" xfId="5363" xr:uid="{E2ABB3B8-5F70-43E8-96CC-B7BB7ABB8B47}"/>
    <cellStyle name="Normal 2 186" xfId="5364" xr:uid="{75D7062D-1E4D-4ECD-BDCD-7103C899806E}"/>
    <cellStyle name="Normal 2 187" xfId="5365" xr:uid="{098B298B-4A78-4DBE-8E67-0E18BE520A1A}"/>
    <cellStyle name="Normal 2 188" xfId="5366" xr:uid="{09540FA5-CAF3-422D-A48E-B7AB904A43BB}"/>
    <cellStyle name="Normal 2 189" xfId="5367" xr:uid="{F0CF4CAF-3ADF-406D-9630-CB23CD8EC6B3}"/>
    <cellStyle name="Normal 2 19" xfId="5368" xr:uid="{B57267C6-2F9B-4BE2-BD68-D93271341604}"/>
    <cellStyle name="Normal 2 19 2" xfId="5369" xr:uid="{10811F37-54F0-4A4D-8504-610FE03E7E7C}"/>
    <cellStyle name="Normal 2 19 3" xfId="5370" xr:uid="{37CF0349-FB76-46FA-B7B2-1D75E019E952}"/>
    <cellStyle name="Normal 2 190" xfId="5371" xr:uid="{939DBCF3-8BB2-4813-968C-D8AE248F677A}"/>
    <cellStyle name="Normal 2 191" xfId="5372" xr:uid="{A3CF04D1-BCF2-4B2A-8DDD-4720511F00D1}"/>
    <cellStyle name="Normal 2 192" xfId="5373" xr:uid="{FC39D966-4C23-4B9D-B726-2A83713091C5}"/>
    <cellStyle name="Normal 2 193" xfId="5374" xr:uid="{9612A842-BE55-47E5-BEED-E0A7420F7EBA}"/>
    <cellStyle name="Normal 2 194" xfId="5375" xr:uid="{5B98264F-8ED2-4A00-9F4F-B26BC0D51DCB}"/>
    <cellStyle name="Normal 2 195" xfId="5376" xr:uid="{F54440A2-F371-48FA-A12E-4C4F482210DD}"/>
    <cellStyle name="Normal 2 196" xfId="5377" xr:uid="{144C10F1-2CD4-4533-A0E5-0AF12AE0372A}"/>
    <cellStyle name="Normal 2 197" xfId="5378" xr:uid="{399056E4-B73F-4B8E-A957-6FA15F379F7E}"/>
    <cellStyle name="Normal 2 198" xfId="5379" xr:uid="{343582BB-33BD-47CE-A738-0C32EFD87187}"/>
    <cellStyle name="Normal 2 199" xfId="5380" xr:uid="{D6D86FC1-D82E-44F2-AFA9-096BC038FD2A}"/>
    <cellStyle name="Normal 2 2" xfId="10" xr:uid="{00000000-0005-0000-0000-000007000000}"/>
    <cellStyle name="Normal 2 2 10" xfId="5382" xr:uid="{BDCD6899-5F2F-4DE3-9992-1A5C403E3755}"/>
    <cellStyle name="Normal 2 2 10 2" xfId="5383" xr:uid="{078E6359-28BA-49E6-8A47-090088C626D4}"/>
    <cellStyle name="Normal 2 2 100" xfId="5384" xr:uid="{C9DCA31F-309F-4797-B4AB-DF51F2DBD315}"/>
    <cellStyle name="Normal 2 2 101" xfId="5385" xr:uid="{63740DBF-B49A-4ACF-862B-6BA552D13071}"/>
    <cellStyle name="Normal 2 2 102" xfId="5386" xr:uid="{6D30CA63-F327-46A7-B574-ED1B47F1C848}"/>
    <cellStyle name="Normal 2 2 103" xfId="5387" xr:uid="{F24F2BD7-E8BB-4EC7-AE2B-2B7FBBCC374E}"/>
    <cellStyle name="Normal 2 2 104" xfId="5388" xr:uid="{20032586-A5D6-46E6-89AE-5B3200608C04}"/>
    <cellStyle name="Normal 2 2 105" xfId="5389" xr:uid="{03586FE3-9ECA-49D7-A7B2-C090ED7E23C2}"/>
    <cellStyle name="Normal 2 2 106" xfId="5390" xr:uid="{D397B939-509D-49B9-9054-8CF814CA3796}"/>
    <cellStyle name="Normal 2 2 107" xfId="5391" xr:uid="{02BEAB00-24E7-41DC-820E-D8B8051C108C}"/>
    <cellStyle name="Normal 2 2 108" xfId="5392" xr:uid="{6C660D70-D37E-42BA-8838-913A4EDA3724}"/>
    <cellStyle name="Normal 2 2 109" xfId="5393" xr:uid="{3E739211-871C-471B-9693-F9B93DAE8DBD}"/>
    <cellStyle name="Normal 2 2 11" xfId="5394" xr:uid="{133CACE3-DD27-49DB-84F8-53D77E35803F}"/>
    <cellStyle name="Normal 2 2 11 2" xfId="5395" xr:uid="{29BC1170-95A3-4F14-888D-84F3BE274013}"/>
    <cellStyle name="Normal 2 2 110" xfId="5396" xr:uid="{B3478FA3-475B-4598-96C1-FCA8DD079D36}"/>
    <cellStyle name="Normal 2 2 111" xfId="5397" xr:uid="{43BFA53D-3D52-45DA-B9D2-EF16206AB3EA}"/>
    <cellStyle name="Normal 2 2 111 2" xfId="5398" xr:uid="{B92F3D09-F6F2-4ECC-974A-5ACE714F6117}"/>
    <cellStyle name="Normal 2 2 111 3" xfId="5399" xr:uid="{BADC4F8C-C7A5-4839-8F78-B28B88C9967E}"/>
    <cellStyle name="Normal 2 2 111 4" xfId="5400" xr:uid="{2D09A8F4-E7DD-487C-BA66-D5F339557831}"/>
    <cellStyle name="Normal 2 2 111 5" xfId="5401" xr:uid="{D328E38B-650A-4926-9128-497004E905B7}"/>
    <cellStyle name="Normal 2 2 111 6" xfId="5402" xr:uid="{4915DD60-64E1-409B-96B5-8BAA910B6AA3}"/>
    <cellStyle name="Normal 2 2 111 7" xfId="5403" xr:uid="{64576D11-2373-4AA0-843D-9CF55A907FD1}"/>
    <cellStyle name="Normal 2 2 112" xfId="5404" xr:uid="{A4F49721-5BAF-4C88-A2CC-B06FB4774E8B}"/>
    <cellStyle name="Normal 2 2 113" xfId="5405" xr:uid="{5194F5D6-8133-464A-A403-CCC5D67D3093}"/>
    <cellStyle name="Normal 2 2 114" xfId="5406" xr:uid="{77F025A1-3B0B-4675-B9D1-0D94A95854DE}"/>
    <cellStyle name="Normal 2 2 115" xfId="5407" xr:uid="{9225CD89-AA78-4B34-8459-6E0DE75DFAAD}"/>
    <cellStyle name="Normal 2 2 116" xfId="5408" xr:uid="{940AA9E4-3D73-429A-8D10-8454F6778547}"/>
    <cellStyle name="Normal 2 2 117" xfId="5409" xr:uid="{F21E6B96-A2EB-47CD-88F9-9402D11BF3F7}"/>
    <cellStyle name="Normal 2 2 118" xfId="5410" xr:uid="{FA132D91-F209-40A4-BF38-E177992CA577}"/>
    <cellStyle name="Normal 2 2 119" xfId="5411" xr:uid="{3886AFC7-B459-47B2-98C5-CB14E6475C9F}"/>
    <cellStyle name="Normal 2 2 12" xfId="5412" xr:uid="{395BA73F-7715-4050-9611-F71D001A39EA}"/>
    <cellStyle name="Normal 2 2 12 2" xfId="5413" xr:uid="{1CA8F506-B065-4E68-A3E7-0EC064A69C6F}"/>
    <cellStyle name="Normal 2 2 120" xfId="5414" xr:uid="{EE684ED6-64E5-43ED-8B42-704E0D2279EE}"/>
    <cellStyle name="Normal 2 2 121" xfId="5415" xr:uid="{C64BA6CD-04B3-4D9E-A3DD-2B0A8027CC5C}"/>
    <cellStyle name="Normal 2 2 122" xfId="5416" xr:uid="{51CE73CB-C770-47BA-9117-FD9AE5E30C92}"/>
    <cellStyle name="Normal 2 2 123" xfId="5417" xr:uid="{5AA77D9B-87A8-4889-86FC-655A7C06883C}"/>
    <cellStyle name="Normal 2 2 124" xfId="5418" xr:uid="{71755CD3-7343-40CA-8943-B50072E46812}"/>
    <cellStyle name="Normal 2 2 125" xfId="5419" xr:uid="{F607041E-80E3-45F9-A3B7-D16F6FA459D0}"/>
    <cellStyle name="Normal 2 2 126" xfId="5420" xr:uid="{3150711D-EDE4-44CD-89AE-0B17D5100B82}"/>
    <cellStyle name="Normal 2 2 127" xfId="5421" xr:uid="{3C018E69-C9F5-4D7E-A890-C4A34297EA05}"/>
    <cellStyle name="Normal 2 2 128" xfId="5422" xr:uid="{7103225D-68ED-4851-BF36-8560DA790642}"/>
    <cellStyle name="Normal 2 2 129" xfId="5423" xr:uid="{C14F9F63-0F73-4234-830E-AD9C38733BCC}"/>
    <cellStyle name="Normal 2 2 13" xfId="5424" xr:uid="{2CAF6D34-2D66-4906-A498-C5CDB30ECC97}"/>
    <cellStyle name="Normal 2 2 13 2" xfId="5425" xr:uid="{92C14117-D070-4E06-9A31-6AE8F62E9700}"/>
    <cellStyle name="Normal 2 2 130" xfId="5426" xr:uid="{B94BC421-BA24-4A55-B61B-CC29A80B43EC}"/>
    <cellStyle name="Normal 2 2 131" xfId="5427" xr:uid="{C6097DE8-22B0-428B-9222-FBC8FB70FF0B}"/>
    <cellStyle name="Normal 2 2 132" xfId="5428" xr:uid="{477E77F5-FCD7-4165-85D6-3A97BC60207E}"/>
    <cellStyle name="Normal 2 2 133" xfId="5429" xr:uid="{E0916329-95C4-4E70-AE8A-DAF2F9B93168}"/>
    <cellStyle name="Normal 2 2 134" xfId="5430" xr:uid="{C4B867F2-D88F-4FF5-B305-FCBB10D6B2DA}"/>
    <cellStyle name="Normal 2 2 135" xfId="5431" xr:uid="{678D9389-F0F1-4B64-858B-DBBD7F2FA03C}"/>
    <cellStyle name="Normal 2 2 136" xfId="5432" xr:uid="{751C45BC-96EB-402B-ADA9-03BCE3D047FE}"/>
    <cellStyle name="Normal 2 2 137" xfId="5433" xr:uid="{BFC4AB1E-344C-45B5-ABAA-5B238DB504F4}"/>
    <cellStyle name="Normal 2 2 138" xfId="5434" xr:uid="{5E4D5063-D49B-40D0-AFC0-0E8A581D60BF}"/>
    <cellStyle name="Normal 2 2 139" xfId="5435" xr:uid="{F7DE63B6-5316-4522-A5BD-2B1AF105B5ED}"/>
    <cellStyle name="Normal 2 2 14" xfId="5436" xr:uid="{AF3F82B0-DDB4-4254-ABD8-198D43D7C5CE}"/>
    <cellStyle name="Normal 2 2 14 2" xfId="5437" xr:uid="{464297F2-DC27-4FD6-8444-EB8F9DC6D8FC}"/>
    <cellStyle name="Normal 2 2 140" xfId="5438" xr:uid="{34F8C160-CA0F-476B-B888-089725FFF29A}"/>
    <cellStyle name="Normal 2 2 141" xfId="5439" xr:uid="{DE1BAA4F-0C43-4EE8-B1FB-66F65E4D845E}"/>
    <cellStyle name="Normal 2 2 142" xfId="5440" xr:uid="{DCAB755B-4EE3-42B6-B885-48E3B6DC0F41}"/>
    <cellStyle name="Normal 2 2 143" xfId="5441" xr:uid="{519597FA-66B7-4B26-8257-15B87B762DF1}"/>
    <cellStyle name="Normal 2 2 144" xfId="5442" xr:uid="{1EDBA12D-E668-4CF3-823D-3575C53A5DD5}"/>
    <cellStyle name="Normal 2 2 145" xfId="5443" xr:uid="{EA501AD2-2FCB-4C9F-9B60-BAF3D141CEA8}"/>
    <cellStyle name="Normal 2 2 146" xfId="5444" xr:uid="{7855ED08-D723-45A9-B93D-2005AA7A1B54}"/>
    <cellStyle name="Normal 2 2 147" xfId="5445" xr:uid="{8B64D87E-8436-4C68-9AC9-CFF761075B5C}"/>
    <cellStyle name="Normal 2 2 148" xfId="5446" xr:uid="{9C57D432-B660-41F8-BBFF-3600C0AE318A}"/>
    <cellStyle name="Normal 2 2 149" xfId="5447" xr:uid="{6FC9CE42-E3D2-4EEC-AFEA-B77505C6621E}"/>
    <cellStyle name="Normal 2 2 15" xfId="5448" xr:uid="{734ECB55-AC8F-401D-BBEC-38931DCE5C90}"/>
    <cellStyle name="Normal 2 2 15 2" xfId="5449" xr:uid="{9AFEAEDB-5A75-4AC2-A25C-F7F8A9B4E289}"/>
    <cellStyle name="Normal 2 2 150" xfId="5450" xr:uid="{731BB88B-DE34-44A2-88F5-0EC31B7EF7DD}"/>
    <cellStyle name="Normal 2 2 151" xfId="5451" xr:uid="{F7E75962-692A-4B3A-BD4E-133DFE5E94F6}"/>
    <cellStyle name="Normal 2 2 152" xfId="5452" xr:uid="{38B4F5B9-3B28-492B-B689-94F2EDBAD99E}"/>
    <cellStyle name="Normal 2 2 153" xfId="5453" xr:uid="{E00C8433-2DCB-4F69-BFA7-CA5A828806A4}"/>
    <cellStyle name="Normal 2 2 154" xfId="5454" xr:uid="{6F8BAF9F-CE62-497D-8BDD-43B22EB6202E}"/>
    <cellStyle name="Normal 2 2 155" xfId="5455" xr:uid="{3776EC97-9D7E-46B4-9582-F530E16095BA}"/>
    <cellStyle name="Normal 2 2 156" xfId="5456" xr:uid="{563CC319-6D2A-48CF-9547-A7F33CA7556A}"/>
    <cellStyle name="Normal 2 2 157" xfId="5457" xr:uid="{0BFF3C90-8B41-4799-95B0-B2F788B11ADA}"/>
    <cellStyle name="Normal 2 2 158" xfId="5458" xr:uid="{20B9D3F5-11A7-4E4C-8B14-8C77E0FD5E10}"/>
    <cellStyle name="Normal 2 2 159" xfId="5459" xr:uid="{25870154-9F7E-451B-A068-DADC756A81F0}"/>
    <cellStyle name="Normal 2 2 16" xfId="5460" xr:uid="{91587828-1C0F-4744-A79A-FD3B81926BEB}"/>
    <cellStyle name="Normal 2 2 16 2" xfId="5461" xr:uid="{AB71BD15-3622-4AA6-8694-46A8E7B566E3}"/>
    <cellStyle name="Normal 2 2 160" xfId="5462" xr:uid="{0726EEE7-05F4-43A7-975C-27C9869EF223}"/>
    <cellStyle name="Normal 2 2 161" xfId="5463" xr:uid="{DB774E43-F580-44C7-8850-8F4AD6880A6A}"/>
    <cellStyle name="Normal 2 2 161 2" xfId="5464" xr:uid="{38D01FF6-E2FF-4505-B354-AE7A392F3B5D}"/>
    <cellStyle name="Normal 2 2 161 3" xfId="5465" xr:uid="{2C014FE5-1C3A-4021-B0AD-926CB6ED5563}"/>
    <cellStyle name="Normal 2 2 161 4" xfId="5466" xr:uid="{BCC38678-9C2C-4B8C-B42A-C742C6A71D56}"/>
    <cellStyle name="Normal 2 2 162" xfId="5467" xr:uid="{398EBF98-02D7-41A2-9F53-B03D727BEC2A}"/>
    <cellStyle name="Normal 2 2 163" xfId="5468" xr:uid="{9A95F0AB-2CB1-4C52-B992-6B4CCE2999C5}"/>
    <cellStyle name="Normal 2 2 164" xfId="5469" xr:uid="{F1EC6FF2-86C8-4181-AD81-8DD724F94438}"/>
    <cellStyle name="Normal 2 2 165" xfId="5470" xr:uid="{9CD878A5-29B6-45B7-98AB-EA83E66DBF15}"/>
    <cellStyle name="Normal 2 2 166" xfId="5471" xr:uid="{E158D7D9-1731-46C5-B951-E61FE69582F5}"/>
    <cellStyle name="Normal 2 2 167" xfId="5472" xr:uid="{2E7052C9-67F0-4011-AE89-310DE5C2092D}"/>
    <cellStyle name="Normal 2 2 168" xfId="5473" xr:uid="{48C87B68-5307-4410-A8F4-4D27E7FB3A39}"/>
    <cellStyle name="Normal 2 2 169" xfId="5474" xr:uid="{2F4AD511-DF70-432F-A697-E57E8E588728}"/>
    <cellStyle name="Normal 2 2 17" xfId="5475" xr:uid="{F94C6DBB-5EB5-4A60-A1C4-745DDB83EB0B}"/>
    <cellStyle name="Normal 2 2 17 2" xfId="5476" xr:uid="{944CD7E6-37ED-4956-AE7B-12D3CB459ED7}"/>
    <cellStyle name="Normal 2 2 170" xfId="5477" xr:uid="{0B954692-9639-4732-B9AD-17553E85E29C}"/>
    <cellStyle name="Normal 2 2 171" xfId="5478" xr:uid="{1E5E5BFA-C921-45EA-98F3-7CF07FF3BE5B}"/>
    <cellStyle name="Normal 2 2 172" xfId="5479" xr:uid="{50C1A5B8-22F2-422A-B607-AC6D57A995D7}"/>
    <cellStyle name="Normal 2 2 173" xfId="5480" xr:uid="{54622443-3FA1-425D-AC3F-C521C80F6D66}"/>
    <cellStyle name="Normal 2 2 174" xfId="5481" xr:uid="{7F5119A3-C8F9-415E-A2BA-76865B825E68}"/>
    <cellStyle name="Normal 2 2 175" xfId="5482" xr:uid="{48A395F4-788C-4ABA-8FB4-16657EF97DA5}"/>
    <cellStyle name="Normal 2 2 176" xfId="5483" xr:uid="{920B8B01-066E-4C25-BA22-9A578C104743}"/>
    <cellStyle name="Normal 2 2 177" xfId="5484" xr:uid="{A916B0B6-9B2C-417D-A2E1-2C3CDA38EC2F}"/>
    <cellStyle name="Normal 2 2 178" xfId="5485" xr:uid="{A9B48A57-37A7-4BB0-A5D2-55B6193A1AD2}"/>
    <cellStyle name="Normal 2 2 179" xfId="5486" xr:uid="{AEEA7896-8010-4CF7-9ED3-F258D9DF9906}"/>
    <cellStyle name="Normal 2 2 18" xfId="5487" xr:uid="{F1A1A93C-8CD8-4E87-A35C-4E9524CC70B4}"/>
    <cellStyle name="Normal 2 2 18 2" xfId="5488" xr:uid="{D9C46A91-0184-4412-A9EE-1F80C42C8BF1}"/>
    <cellStyle name="Normal 2 2 180" xfId="5489" xr:uid="{04891708-2F5D-4607-A0A3-378F42CDCCBF}"/>
    <cellStyle name="Normal 2 2 181" xfId="5490" xr:uid="{1B40E808-781F-4738-9366-4B2F933B4670}"/>
    <cellStyle name="Normal 2 2 182" xfId="5491" xr:uid="{D203E6B9-A995-4A2C-ACEF-5EBCEB574D7A}"/>
    <cellStyle name="Normal 2 2 183" xfId="5492" xr:uid="{CF0854E4-D6ED-420B-892B-5E034017033C}"/>
    <cellStyle name="Normal 2 2 184" xfId="5493" xr:uid="{D6881CA5-DE05-4EB4-83E3-DD22E628D3BC}"/>
    <cellStyle name="Normal 2 2 185" xfId="5494" xr:uid="{C49AFD3A-9E9A-4A8B-84D0-BBF4F8EAFBC0}"/>
    <cellStyle name="Normal 2 2 186" xfId="5495" xr:uid="{70E8A050-D04D-44C7-95A6-875F568AD975}"/>
    <cellStyle name="Normal 2 2 187" xfId="5496" xr:uid="{A633A2AE-3EE6-451B-A2F7-42A4AD8B082D}"/>
    <cellStyle name="Normal 2 2 188" xfId="5497" xr:uid="{75C22849-ACEE-41F8-A51A-501EAED05302}"/>
    <cellStyle name="Normal 2 2 189" xfId="5498" xr:uid="{5E2C4CFF-DFE6-4E30-9809-136E4CF8A1D4}"/>
    <cellStyle name="Normal 2 2 19" xfId="5499" xr:uid="{3F008D8C-CB12-4023-B60D-E53BC6588C29}"/>
    <cellStyle name="Normal 2 2 19 2" xfId="5500" xr:uid="{A2B4729C-CD01-4CB2-A16F-A47958AFAA4A}"/>
    <cellStyle name="Normal 2 2 190" xfId="5501" xr:uid="{0E90A243-234D-4268-9A01-E7E7442DDB1B}"/>
    <cellStyle name="Normal 2 2 191" xfId="5502" xr:uid="{09D56FC5-C7DD-4E20-A417-802BB66143C7}"/>
    <cellStyle name="Normal 2 2 192" xfId="5503" xr:uid="{E162A1F7-11BF-408B-98F3-DDBE62608FD8}"/>
    <cellStyle name="Normal 2 2 193" xfId="5504" xr:uid="{E2522EDC-11F3-4C9D-8810-F44E3059379B}"/>
    <cellStyle name="Normal 2 2 194" xfId="5505" xr:uid="{4E679AC2-BDA6-44F1-B412-BB48EF37CB4D}"/>
    <cellStyle name="Normal 2 2 195" xfId="5506" xr:uid="{53506824-3727-40B5-ABD3-F4B0F6D71472}"/>
    <cellStyle name="Normal 2 2 196" xfId="5507" xr:uid="{8D104325-35D4-48D4-97FC-E721E780155F}"/>
    <cellStyle name="Normal 2 2 197" xfId="5508" xr:uid="{EB078C5B-967A-4914-ACA5-FA56DC442E87}"/>
    <cellStyle name="Normal 2 2 198" xfId="5509" xr:uid="{A2EAF5A9-279A-4127-9A04-9B8DC1C5CFF3}"/>
    <cellStyle name="Normal 2 2 199" xfId="5510" xr:uid="{C27B3D57-9145-43B2-ACF0-E0C1A26671C1}"/>
    <cellStyle name="Normal 2 2 2" xfId="5511" xr:uid="{6A12594F-8767-43F4-9B23-EDB210D21D2D}"/>
    <cellStyle name="Normal 2 2 2 10" xfId="5512" xr:uid="{EC152812-D92D-4923-B275-8D596095785D}"/>
    <cellStyle name="Normal 2 2 2 10 2" xfId="5513" xr:uid="{22B90275-E87F-4450-B94E-1879B5ED4ABC}"/>
    <cellStyle name="Normal 2 2 2 100" xfId="5514" xr:uid="{385EDDFF-6B9A-4D9A-8990-CD1F2A7CF85C}"/>
    <cellStyle name="Normal 2 2 2 101" xfId="5515" xr:uid="{0936526D-A685-4F4B-B3AC-7B93BA0DFDEE}"/>
    <cellStyle name="Normal 2 2 2 102" xfId="5516" xr:uid="{1DFBA127-E6A3-4D11-A73E-307F31805A25}"/>
    <cellStyle name="Normal 2 2 2 103" xfId="5517" xr:uid="{41B88E98-A35D-4400-8A7F-636CD8286A9D}"/>
    <cellStyle name="Normal 2 2 2 104" xfId="5518" xr:uid="{94DFF2DD-3D94-4E9B-9954-698470A67D59}"/>
    <cellStyle name="Normal 2 2 2 105" xfId="5519" xr:uid="{728CDF54-3BC3-4286-9C60-936AC47527E5}"/>
    <cellStyle name="Normal 2 2 2 106" xfId="5520" xr:uid="{4F7DBDE9-1FC5-48F5-969C-E83AF9894214}"/>
    <cellStyle name="Normal 2 2 2 107" xfId="5521" xr:uid="{EDD4EA59-FB24-43BA-A95F-08B89D649B2A}"/>
    <cellStyle name="Normal 2 2 2 108" xfId="5522" xr:uid="{E51FA397-7979-4E6E-B8B6-C2A080CF1D19}"/>
    <cellStyle name="Normal 2 2 2 109" xfId="5523" xr:uid="{86C7650E-0FB1-46AC-9A6A-9EF3A316F84C}"/>
    <cellStyle name="Normal 2 2 2 11" xfId="5524" xr:uid="{53965A64-C538-4560-B7BE-A363222C11A1}"/>
    <cellStyle name="Normal 2 2 2 11 2" xfId="5525" xr:uid="{E9F0BD15-4236-4422-80AA-711135F56068}"/>
    <cellStyle name="Normal 2 2 2 110" xfId="5526" xr:uid="{5F465F6B-41FE-4C56-B7C5-04A62DA822E8}"/>
    <cellStyle name="Normal 2 2 2 111" xfId="5527" xr:uid="{02DA1AFF-E0C5-4A50-B3E8-6AFDE7B4A49D}"/>
    <cellStyle name="Normal 2 2 2 112" xfId="5528" xr:uid="{87A60F4B-B7A6-4537-AD39-2BC2F0C603D6}"/>
    <cellStyle name="Normal 2 2 2 113" xfId="5529" xr:uid="{977CC9B0-25E9-4CBE-A45D-8319800D2A66}"/>
    <cellStyle name="Normal 2 2 2 114" xfId="5530" xr:uid="{B4F9DC6E-BDAE-4A8B-8512-6D3F31FA8208}"/>
    <cellStyle name="Normal 2 2 2 115" xfId="5531" xr:uid="{D60EA6F7-799E-4621-B763-C01517191A13}"/>
    <cellStyle name="Normal 2 2 2 116" xfId="5532" xr:uid="{493524D7-1386-4567-A049-94C66F616FB8}"/>
    <cellStyle name="Normal 2 2 2 117" xfId="5533" xr:uid="{E17D299E-B543-419E-9845-FBD2FB4E508D}"/>
    <cellStyle name="Normal 2 2 2 118" xfId="5534" xr:uid="{45649FF3-2526-4F16-BD27-1DBB6F2EF6A8}"/>
    <cellStyle name="Normal 2 2 2 119" xfId="5535" xr:uid="{C3EA723C-0FCA-412F-AB9A-B7AA887FE355}"/>
    <cellStyle name="Normal 2 2 2 119 2" xfId="5536" xr:uid="{7A82741C-EDD4-46FF-9832-30A026B3D2F2}"/>
    <cellStyle name="Normal 2 2 2 119 3" xfId="5537" xr:uid="{780843F2-1C51-4DBD-8614-B940C490B742}"/>
    <cellStyle name="Normal 2 2 2 119 4" xfId="5538" xr:uid="{3707A715-D49E-49C1-BEC3-C7678F17FEC7}"/>
    <cellStyle name="Normal 2 2 2 12" xfId="5539" xr:uid="{7DC1044C-58FE-46CD-BE9C-B72A0A059770}"/>
    <cellStyle name="Normal 2 2 2 12 10" xfId="5540" xr:uid="{E59CCDD7-59EE-430C-B4BC-E1E76C0B5E4E}"/>
    <cellStyle name="Normal 2 2 2 12 2" xfId="5541" xr:uid="{DB14A5F8-52CB-486B-82F4-3208AD1C03BB}"/>
    <cellStyle name="Normal 2 2 2 12 2 2" xfId="5542" xr:uid="{1F9E9837-C15F-43F0-A61E-C88D5325CB49}"/>
    <cellStyle name="Normal 2 2 2 12 2 3" xfId="5543" xr:uid="{297701D6-E885-4F1F-8209-41909169CFAA}"/>
    <cellStyle name="Normal 2 2 2 12 2 4" xfId="5544" xr:uid="{BE4712E3-2251-4589-BD9C-13A79786897B}"/>
    <cellStyle name="Normal 2 2 2 12 2 5" xfId="5545" xr:uid="{AE55BBF9-709D-447E-8D3A-4F604ABC8373}"/>
    <cellStyle name="Normal 2 2 2 12 2 6" xfId="5546" xr:uid="{B0732344-5B82-4D09-9D68-60808F90845B}"/>
    <cellStyle name="Normal 2 2 2 12 2 7" xfId="5547" xr:uid="{FAAE36F5-40BF-44A9-BED8-A40AC3AAC34C}"/>
    <cellStyle name="Normal 2 2 2 12 2 8" xfId="5548" xr:uid="{D0EDCBA2-CF94-4072-BC19-C9C042E321BD}"/>
    <cellStyle name="Normal 2 2 2 12 2 9" xfId="5549" xr:uid="{20FAB312-AB14-498F-9688-175FE3E2F7D7}"/>
    <cellStyle name="Normal 2 2 2 12 3" xfId="5550" xr:uid="{C82BE31A-0E9B-4318-AD62-839BD9B71D27}"/>
    <cellStyle name="Normal 2 2 2 12 4" xfId="5551" xr:uid="{C484873C-7BC9-4ACF-A060-10F270201543}"/>
    <cellStyle name="Normal 2 2 2 12 5" xfId="5552" xr:uid="{34957FC3-3BAF-46FF-91DF-495BF56E199B}"/>
    <cellStyle name="Normal 2 2 2 12 6" xfId="5553" xr:uid="{762F9199-B808-41F7-8069-88DCBB8DED51}"/>
    <cellStyle name="Normal 2 2 2 12 7" xfId="5554" xr:uid="{5C366C31-3FD2-47B8-B27D-AB844F247EA1}"/>
    <cellStyle name="Normal 2 2 2 12 8" xfId="5555" xr:uid="{1AC2F5EA-34C7-4131-8F5A-12DE85A5969E}"/>
    <cellStyle name="Normal 2 2 2 12 9" xfId="5556" xr:uid="{599A158C-9411-44AD-A141-5414B93BF3FD}"/>
    <cellStyle name="Normal 2 2 2 120" xfId="5557" xr:uid="{CCE6DEF9-BF30-4EF7-A2AC-7A750B9FAA78}"/>
    <cellStyle name="Normal 2 2 2 121" xfId="5558" xr:uid="{2C3C35FD-A784-41B9-8941-6B656014DBBA}"/>
    <cellStyle name="Normal 2 2 2 122" xfId="5559" xr:uid="{C1CC3AB2-6296-4859-BAEF-F52FA7444971}"/>
    <cellStyle name="Normal 2 2 2 13" xfId="5560" xr:uid="{411299C3-CA34-4EF3-A779-2A1694CF4C60}"/>
    <cellStyle name="Normal 2 2 2 13 2" xfId="5561" xr:uid="{439550B8-BDEF-440B-83C9-AEBCD27E13E7}"/>
    <cellStyle name="Normal 2 2 2 14" xfId="5562" xr:uid="{4B8BDAB1-981D-4DE3-960A-002F7A5DCF96}"/>
    <cellStyle name="Normal 2 2 2 14 2" xfId="5563" xr:uid="{4C857A60-8192-43E5-BE83-6EE0DDCC9760}"/>
    <cellStyle name="Normal 2 2 2 15" xfId="5564" xr:uid="{84D39189-B3B5-4406-9CA4-6EDD96B11EF5}"/>
    <cellStyle name="Normal 2 2 2 15 2" xfId="5565" xr:uid="{1CE5DEE7-95B8-472C-AE7E-56E4A899A232}"/>
    <cellStyle name="Normal 2 2 2 16" xfId="5566" xr:uid="{37DC4D2E-2F9B-4279-BF51-C4E04AD3DDC7}"/>
    <cellStyle name="Normal 2 2 2 16 2" xfId="5567" xr:uid="{183B2C80-AC11-4878-BC0C-2EFF51FF388B}"/>
    <cellStyle name="Normal 2 2 2 17" xfId="5568" xr:uid="{DC8EFA57-DF5D-4789-BB29-5B55FB483FE5}"/>
    <cellStyle name="Normal 2 2 2 17 2" xfId="5569" xr:uid="{11CD593E-31B2-432B-AB01-33DFC2DA8F9C}"/>
    <cellStyle name="Normal 2 2 2 18" xfId="5570" xr:uid="{65492179-302C-4A45-9C2D-3895A6FCC86B}"/>
    <cellStyle name="Normal 2 2 2 18 2" xfId="5571" xr:uid="{51EA5DB6-F069-45BE-BD91-8921AA20D327}"/>
    <cellStyle name="Normal 2 2 2 19" xfId="5572" xr:uid="{34334B33-94EC-4284-BF15-43B165BEF629}"/>
    <cellStyle name="Normal 2 2 2 19 2" xfId="5573" xr:uid="{FFD2BF63-F339-4E60-A72D-546613CC818B}"/>
    <cellStyle name="Normal 2 2 2 2" xfId="5574" xr:uid="{25E97291-DCC0-4D55-823C-8353FFF952AA}"/>
    <cellStyle name="Normal 2 2 2 2 10" xfId="5575" xr:uid="{5D5155AF-B86E-473C-B250-075B4523B13C}"/>
    <cellStyle name="Normal 2 2 2 2 10 2" xfId="5576" xr:uid="{F7F6DFBF-3E79-4CC2-A7B2-4CF2D060496D}"/>
    <cellStyle name="Normal 2 2 2 2 100" xfId="5577" xr:uid="{5A22B39B-2791-471D-9612-E4949787606E}"/>
    <cellStyle name="Normal 2 2 2 2 101" xfId="5578" xr:uid="{3BCE2913-9FA3-4344-9BB3-14E09A772344}"/>
    <cellStyle name="Normal 2 2 2 2 102" xfId="5579" xr:uid="{B0799658-0C73-40BC-8FA3-8789D3C351DA}"/>
    <cellStyle name="Normal 2 2 2 2 103" xfId="5580" xr:uid="{07CC0A15-AD5F-443E-AA84-294121A7BC41}"/>
    <cellStyle name="Normal 2 2 2 2 104" xfId="5581" xr:uid="{82F997DF-AA70-4927-A6E8-F50ED3FB68D1}"/>
    <cellStyle name="Normal 2 2 2 2 105" xfId="5582" xr:uid="{9562D655-34AC-4B1F-8B5F-3B57F7836BD0}"/>
    <cellStyle name="Normal 2 2 2 2 106" xfId="5583" xr:uid="{363CF415-C628-462B-AAA6-EEBBD26DDA5F}"/>
    <cellStyle name="Normal 2 2 2 2 107" xfId="5584" xr:uid="{ED2269FC-A0B0-4A5D-93C7-F6ADF3939949}"/>
    <cellStyle name="Normal 2 2 2 2 108" xfId="5585" xr:uid="{109355BA-2FFB-4454-A0C8-5D4E232353DE}"/>
    <cellStyle name="Normal 2 2 2 2 109" xfId="5586" xr:uid="{3F734154-4A1A-4C29-995F-72F1220B9DE0}"/>
    <cellStyle name="Normal 2 2 2 2 11" xfId="5587" xr:uid="{73797C9D-C2F9-4BC5-B78E-FA7C0CF8D991}"/>
    <cellStyle name="Normal 2 2 2 2 11 2" xfId="5588" xr:uid="{C7DF84F7-F04B-41CE-86F0-EC4645977BCF}"/>
    <cellStyle name="Normal 2 2 2 2 110" xfId="5589" xr:uid="{EE34CBA5-66ED-4CDD-B884-736229F7E07D}"/>
    <cellStyle name="Normal 2 2 2 2 111" xfId="5590" xr:uid="{74374DC8-18D7-4FE0-A7DB-B4FC882AA14C}"/>
    <cellStyle name="Normal 2 2 2 2 112" xfId="5591" xr:uid="{766D23F1-97FF-4461-80B4-682145E30971}"/>
    <cellStyle name="Normal 2 2 2 2 113" xfId="5592" xr:uid="{E373D50A-63BA-4AAC-AAE3-74E0EA32AABE}"/>
    <cellStyle name="Normal 2 2 2 2 114" xfId="5593" xr:uid="{5835C9E4-9600-4A64-9288-A44439A006D1}"/>
    <cellStyle name="Normal 2 2 2 2 115" xfId="5594" xr:uid="{587C7E89-C94C-4A80-9436-4893D2C60752}"/>
    <cellStyle name="Normal 2 2 2 2 116" xfId="5595" xr:uid="{D2331BC4-A02D-4FC2-B53B-887B917E11DD}"/>
    <cellStyle name="Normal 2 2 2 2 117" xfId="5596" xr:uid="{C582700E-C8E6-4A23-AE16-FCD8554D244B}"/>
    <cellStyle name="Normal 2 2 2 2 118" xfId="5597" xr:uid="{FEC18AA5-2059-4A94-B5A3-9118A48790E5}"/>
    <cellStyle name="Normal 2 2 2 2 119" xfId="5598" xr:uid="{A8690C2C-215B-4639-AD13-340B131F5E6D}"/>
    <cellStyle name="Normal 2 2 2 2 119 2" xfId="5599" xr:uid="{97A21ACB-5102-4ABB-9746-5D9DB1E69D57}"/>
    <cellStyle name="Normal 2 2 2 2 119 3" xfId="5600" xr:uid="{5C38DE40-C701-4646-9E40-4CDB2275C381}"/>
    <cellStyle name="Normal 2 2 2 2 119 4" xfId="5601" xr:uid="{441FD2C2-48DF-41F1-9D5B-67E8EE120BCE}"/>
    <cellStyle name="Normal 2 2 2 2 12" xfId="5602" xr:uid="{92F9DDE3-F80F-4027-913D-FD4902398533}"/>
    <cellStyle name="Normal 2 2 2 2 12 10" xfId="5603" xr:uid="{04E6749D-4768-4406-90B4-87D46FC9AE80}"/>
    <cellStyle name="Normal 2 2 2 2 12 2" xfId="5604" xr:uid="{CD5D5BE8-C247-4DD0-90CA-3502E1D1FE4C}"/>
    <cellStyle name="Normal 2 2 2 2 12 2 2" xfId="5605" xr:uid="{E07491B2-A8A3-47E9-903D-0FC6054B4FE9}"/>
    <cellStyle name="Normal 2 2 2 2 12 2 3" xfId="5606" xr:uid="{4B2240B3-7695-4670-8C85-6E884E13B063}"/>
    <cellStyle name="Normal 2 2 2 2 12 2 4" xfId="5607" xr:uid="{FF6605F3-792E-4704-A844-EA9B289AAF15}"/>
    <cellStyle name="Normal 2 2 2 2 12 2 5" xfId="5608" xr:uid="{FF01E6AB-43A2-49A0-941B-9888F762350B}"/>
    <cellStyle name="Normal 2 2 2 2 12 2 6" xfId="5609" xr:uid="{4ACD9E6C-97E8-49E7-BE4C-1AC09EFABF03}"/>
    <cellStyle name="Normal 2 2 2 2 12 2 7" xfId="5610" xr:uid="{FAD4163F-BA63-47C4-BA8B-F2EE8566BFA6}"/>
    <cellStyle name="Normal 2 2 2 2 12 2 8" xfId="5611" xr:uid="{2832051D-40C2-4125-95E5-E8A86E99B913}"/>
    <cellStyle name="Normal 2 2 2 2 12 2 9" xfId="5612" xr:uid="{9C678528-D2BF-4FCE-8C88-F86EA88EBA38}"/>
    <cellStyle name="Normal 2 2 2 2 12 3" xfId="5613" xr:uid="{3D693C1A-7B3E-45E7-A720-94573FF1BFDF}"/>
    <cellStyle name="Normal 2 2 2 2 12 4" xfId="5614" xr:uid="{92AFA86E-4742-4C34-8275-C43091311C26}"/>
    <cellStyle name="Normal 2 2 2 2 12 5" xfId="5615" xr:uid="{F06E1B4E-B4B5-4EBA-BDE8-7529AFD05AC5}"/>
    <cellStyle name="Normal 2 2 2 2 12 6" xfId="5616" xr:uid="{2CC64D92-C082-498A-8E6B-FC1B2732FBCC}"/>
    <cellStyle name="Normal 2 2 2 2 12 7" xfId="5617" xr:uid="{CB42D021-59B2-4B56-9F78-338CA868A738}"/>
    <cellStyle name="Normal 2 2 2 2 12 8" xfId="5618" xr:uid="{032E4A48-D266-4B6E-BF27-963660383D1A}"/>
    <cellStyle name="Normal 2 2 2 2 12 9" xfId="5619" xr:uid="{D5B20816-41B5-4977-8422-70CB0483D486}"/>
    <cellStyle name="Normal 2 2 2 2 120" xfId="5620" xr:uid="{3AE52568-3C5B-4A41-A347-98F8C4A422EA}"/>
    <cellStyle name="Normal 2 2 2 2 121" xfId="5621" xr:uid="{55AC6AF4-D312-493F-9740-074F2C970097}"/>
    <cellStyle name="Normal 2 2 2 2 122" xfId="5622" xr:uid="{E1A2602B-DAE3-4BC5-AE35-D43FB564D2FB}"/>
    <cellStyle name="Normal 2 2 2 2 13" xfId="5623" xr:uid="{CB1BB36D-3482-4FC9-B3B6-5471B6E4E72C}"/>
    <cellStyle name="Normal 2 2 2 2 13 2" xfId="5624" xr:uid="{1A952B98-DE0D-4244-975A-AF4CF56740C6}"/>
    <cellStyle name="Normal 2 2 2 2 14" xfId="5625" xr:uid="{E982AEDB-4C69-4F69-AA2C-AAB4521C3D34}"/>
    <cellStyle name="Normal 2 2 2 2 14 2" xfId="5626" xr:uid="{DECC6781-BEAC-46E5-9F79-46E418B30413}"/>
    <cellStyle name="Normal 2 2 2 2 15" xfId="5627" xr:uid="{3AC18342-0E28-49D8-9035-E416127D4CA0}"/>
    <cellStyle name="Normal 2 2 2 2 15 2" xfId="5628" xr:uid="{CA79AA27-C823-48D5-A0DE-72716222141D}"/>
    <cellStyle name="Normal 2 2 2 2 16" xfId="5629" xr:uid="{30A479D2-AE34-4F1F-B89F-65330DD3C7DB}"/>
    <cellStyle name="Normal 2 2 2 2 16 2" xfId="5630" xr:uid="{ECC9463D-F0C8-4A3F-8D70-5F1AEE75065F}"/>
    <cellStyle name="Normal 2 2 2 2 17" xfId="5631" xr:uid="{034961FF-6AF8-4205-AAF3-915EF2147193}"/>
    <cellStyle name="Normal 2 2 2 2 17 2" xfId="5632" xr:uid="{F8A664D2-43F8-481A-9DF2-963B95473B5B}"/>
    <cellStyle name="Normal 2 2 2 2 18" xfId="5633" xr:uid="{D53C87CA-9496-43F3-88AF-55E9E9340BD5}"/>
    <cellStyle name="Normal 2 2 2 2 18 2" xfId="5634" xr:uid="{96437C8D-F81C-48E0-BFE1-09A065656534}"/>
    <cellStyle name="Normal 2 2 2 2 19" xfId="5635" xr:uid="{219053FE-36ED-4B78-B109-6819AE725B5E}"/>
    <cellStyle name="Normal 2 2 2 2 19 2" xfId="5636" xr:uid="{191DEF4F-4AB1-4058-B99D-653DA8ACC1C1}"/>
    <cellStyle name="Normal 2 2 2 2 2" xfId="5637" xr:uid="{91F4C299-1F86-42E0-822F-8EF4BBE1B344}"/>
    <cellStyle name="Normal 2 2 2 2 2 10" xfId="5638" xr:uid="{F899B0DF-3193-42C7-97FB-A0A04D686707}"/>
    <cellStyle name="Normal 2 2 2 2 2 100" xfId="5639" xr:uid="{187A4201-34F6-4AD6-A669-68F27C84F172}"/>
    <cellStyle name="Normal 2 2 2 2 2 101" xfId="5640" xr:uid="{E3A21E60-8ED1-45F6-B4CA-8C601FC26185}"/>
    <cellStyle name="Normal 2 2 2 2 2 102" xfId="5641" xr:uid="{02987D13-2D5F-4E48-B323-BA92ADDFC1BF}"/>
    <cellStyle name="Normal 2 2 2 2 2 103" xfId="5642" xr:uid="{5B69515A-F1D2-4D5A-8CA5-E1CF86219894}"/>
    <cellStyle name="Normal 2 2 2 2 2 104" xfId="5643" xr:uid="{327CAA83-EF5F-416E-BCA8-5BE560F925C5}"/>
    <cellStyle name="Normal 2 2 2 2 2 105" xfId="5644" xr:uid="{E58E174F-59EE-46F1-81A8-E678D0882DCD}"/>
    <cellStyle name="Normal 2 2 2 2 2 106" xfId="5645" xr:uid="{CE48A59C-7559-44BA-9155-B5D2952BE471}"/>
    <cellStyle name="Normal 2 2 2 2 2 107" xfId="5646" xr:uid="{34D8D3E5-8921-4391-AD9F-3130BF7860AE}"/>
    <cellStyle name="Normal 2 2 2 2 2 108" xfId="5647" xr:uid="{BA4C8FC7-97B6-41C1-83E2-BC68E8138E72}"/>
    <cellStyle name="Normal 2 2 2 2 2 109" xfId="5648" xr:uid="{4904B22A-7A36-4B9D-ABDC-A6D275335E9F}"/>
    <cellStyle name="Normal 2 2 2 2 2 109 2" xfId="5649" xr:uid="{84D54520-EE0C-4F28-A969-527F11C2BCA0}"/>
    <cellStyle name="Normal 2 2 2 2 2 109 3" xfId="5650" xr:uid="{CBF6F737-4308-41D2-8BF2-FD178C3C5653}"/>
    <cellStyle name="Normal 2 2 2 2 2 109 4" xfId="5651" xr:uid="{9A279ADC-4C74-4A39-B112-8A4ADEA78BC9}"/>
    <cellStyle name="Normal 2 2 2 2 2 11" xfId="5652" xr:uid="{DA14ABC4-9CF2-447E-BA1C-79776E14A9BE}"/>
    <cellStyle name="Normal 2 2 2 2 2 110" xfId="5653" xr:uid="{749734CB-EF72-45B2-9D33-163FCC15BA7B}"/>
    <cellStyle name="Normal 2 2 2 2 2 111" xfId="5654" xr:uid="{AC530FFD-86FD-48C8-8F6B-22E99EAE81A9}"/>
    <cellStyle name="Normal 2 2 2 2 2 112" xfId="5655" xr:uid="{F5EF8BAB-8DA6-41B9-8F12-23CFB088E6DA}"/>
    <cellStyle name="Normal 2 2 2 2 2 12" xfId="5656" xr:uid="{AB5F6C83-5575-48E1-B524-5E577FC2AB59}"/>
    <cellStyle name="Normal 2 2 2 2 2 13" xfId="5657" xr:uid="{305C43F9-C254-4C99-BCA5-6D930BE7722A}"/>
    <cellStyle name="Normal 2 2 2 2 2 14" xfId="5658" xr:uid="{6CBDB9F6-B915-4DE8-88E8-925F87678EC4}"/>
    <cellStyle name="Normal 2 2 2 2 2 15" xfId="5659" xr:uid="{F881F6B4-22EB-4454-B737-37BB1C1BDAAC}"/>
    <cellStyle name="Normal 2 2 2 2 2 16" xfId="5660" xr:uid="{81B29E3E-FE71-4EB5-873D-D6A1946D2108}"/>
    <cellStyle name="Normal 2 2 2 2 2 17" xfId="5661" xr:uid="{DF855A34-91EF-45C1-A8FA-AF170EA36CA3}"/>
    <cellStyle name="Normal 2 2 2 2 2 18" xfId="5662" xr:uid="{F85F8FF5-FAAB-44D9-ABDE-9AEAF9CE1E72}"/>
    <cellStyle name="Normal 2 2 2 2 2 18 2" xfId="5663" xr:uid="{ED57FF85-6D44-4C90-BA2F-601AD8CF1C6E}"/>
    <cellStyle name="Normal 2 2 2 2 2 18 2 2" xfId="5664" xr:uid="{2CA573C0-F22B-42B2-AAAC-816AA010C592}"/>
    <cellStyle name="Normal 2 2 2 2 2 18 2 2 2" xfId="5665" xr:uid="{EC370673-763F-4943-9B27-7AB36E271D2D}"/>
    <cellStyle name="Normal 2 2 2 2 2 18 3" xfId="5666" xr:uid="{DEB229F7-E6FD-4379-8B2F-37BE7E5F0509}"/>
    <cellStyle name="Normal 2 2 2 2 2 18 4" xfId="5667" xr:uid="{F0B924C2-0B46-4A77-BEAA-04BF88393A87}"/>
    <cellStyle name="Normal 2 2 2 2 2 18 5" xfId="5668" xr:uid="{3DCCBE55-EA83-410C-B07B-A8482E6FDB8E}"/>
    <cellStyle name="Normal 2 2 2 2 2 18 6" xfId="5669" xr:uid="{B2FC742C-B9FB-489B-AE09-8DFB3D81574F}"/>
    <cellStyle name="Normal 2 2 2 2 2 19" xfId="5670" xr:uid="{639CDAA0-5673-4350-9ABF-ADBEEEE6653C}"/>
    <cellStyle name="Normal 2 2 2 2 2 19 2" xfId="5671" xr:uid="{3EBEBE7B-57D5-47F2-8376-39CD5DDBF392}"/>
    <cellStyle name="Normal 2 2 2 2 2 19 2 2" xfId="5672" xr:uid="{AFA3F9F9-0D43-4462-B003-269BF3660045}"/>
    <cellStyle name="Normal 2 2 2 2 2 2" xfId="5673" xr:uid="{41B51476-2A1D-46D1-954B-02D2CBBB1E3B}"/>
    <cellStyle name="Normal 2 2 2 2 2 2 10" xfId="5674" xr:uid="{C98E745D-067A-41DB-BB04-87BDF6C49FDA}"/>
    <cellStyle name="Normal 2 2 2 2 2 2 100" xfId="5675" xr:uid="{63E4369F-1CEC-441D-BEDA-A534200961C2}"/>
    <cellStyle name="Normal 2 2 2 2 2 2 101" xfId="5676" xr:uid="{91972A54-98F8-4FF9-9D4C-6C9CBED04C9E}"/>
    <cellStyle name="Normal 2 2 2 2 2 2 102" xfId="5677" xr:uid="{D91083C5-E7E7-4921-8CAC-76BA22400147}"/>
    <cellStyle name="Normal 2 2 2 2 2 2 103" xfId="5678" xr:uid="{29813D20-C6F1-497E-B8DA-5DC407783EA2}"/>
    <cellStyle name="Normal 2 2 2 2 2 2 104" xfId="5679" xr:uid="{63093FE2-9A48-4FD2-883C-97EF3E6FE67C}"/>
    <cellStyle name="Normal 2 2 2 2 2 2 105" xfId="5680" xr:uid="{CC05C1A7-6839-4A59-8B4F-1F716288EB69}"/>
    <cellStyle name="Normal 2 2 2 2 2 2 106" xfId="5681" xr:uid="{C2299175-1C25-488A-98E3-DF9943A8C49C}"/>
    <cellStyle name="Normal 2 2 2 2 2 2 107" xfId="5682" xr:uid="{F9AAE07A-4FC9-455B-98F3-AAA59E0A6432}"/>
    <cellStyle name="Normal 2 2 2 2 2 2 108" xfId="5683" xr:uid="{D9BC3BAC-31F9-4B83-A80F-4B2B607B183F}"/>
    <cellStyle name="Normal 2 2 2 2 2 2 109" xfId="5684" xr:uid="{67E1D628-204B-4467-BC85-822054B2CADC}"/>
    <cellStyle name="Normal 2 2 2 2 2 2 109 2" xfId="5685" xr:uid="{0C8D405C-C9ED-459B-87C1-08EB23F94F2E}"/>
    <cellStyle name="Normal 2 2 2 2 2 2 109 3" xfId="5686" xr:uid="{8B5E21A0-DE64-4231-BC9A-F4FC6E5B4066}"/>
    <cellStyle name="Normal 2 2 2 2 2 2 109 4" xfId="5687" xr:uid="{242B89E3-38E2-4B2A-BFE6-0532CEAF9875}"/>
    <cellStyle name="Normal 2 2 2 2 2 2 11" xfId="5688" xr:uid="{C59B1A6D-E929-42CD-8C6A-F7A423D79134}"/>
    <cellStyle name="Normal 2 2 2 2 2 2 110" xfId="5689" xr:uid="{357B2D80-5FB0-4AA2-8EE9-826D5537342A}"/>
    <cellStyle name="Normal 2 2 2 2 2 2 111" xfId="5690" xr:uid="{4B8CD88C-FC9D-4D91-AA9C-4D540EDE4E5F}"/>
    <cellStyle name="Normal 2 2 2 2 2 2 112" xfId="5691" xr:uid="{689E71EC-6A03-4FD9-A678-0BB6EC0A6143}"/>
    <cellStyle name="Normal 2 2 2 2 2 2 12" xfId="5692" xr:uid="{349B9BE0-1EAC-4B79-9956-F05938D229F8}"/>
    <cellStyle name="Normal 2 2 2 2 2 2 13" xfId="5693" xr:uid="{076A92DD-027C-4D7F-83B5-C3E5213D6377}"/>
    <cellStyle name="Normal 2 2 2 2 2 2 14" xfId="5694" xr:uid="{DDBDE67A-BC80-4641-8D9C-4C0FA01D30F6}"/>
    <cellStyle name="Normal 2 2 2 2 2 2 15" xfId="5695" xr:uid="{E2079CF5-D014-42B2-BD48-90B9826C39EB}"/>
    <cellStyle name="Normal 2 2 2 2 2 2 16" xfId="5696" xr:uid="{A958C0EC-4EF8-41C4-B42A-8342FD66AB37}"/>
    <cellStyle name="Normal 2 2 2 2 2 2 17" xfId="5697" xr:uid="{49D33D6D-52EE-4B31-B330-5B08246BD423}"/>
    <cellStyle name="Normal 2 2 2 2 2 2 18" xfId="5698" xr:uid="{AD67C632-FDB9-40D9-9D37-CEF414D0B2F8}"/>
    <cellStyle name="Normal 2 2 2 2 2 2 18 2" xfId="5699" xr:uid="{C643D685-E557-4744-B0DF-0DCF2360C41F}"/>
    <cellStyle name="Normal 2 2 2 2 2 2 18 2 2" xfId="5700" xr:uid="{1EA430BA-BECB-4E66-9B93-81BA71DBB9DC}"/>
    <cellStyle name="Normal 2 2 2 2 2 2 18 2 2 2" xfId="5701" xr:uid="{E8148E8A-1AF5-430F-B655-2E439F636E48}"/>
    <cellStyle name="Normal 2 2 2 2 2 2 18 3" xfId="5702" xr:uid="{8C68065C-C458-4E5A-9241-C4D278424ADE}"/>
    <cellStyle name="Normal 2 2 2 2 2 2 18 4" xfId="5703" xr:uid="{84445FF1-868C-431D-800C-A8C0B79CE8A6}"/>
    <cellStyle name="Normal 2 2 2 2 2 2 18 5" xfId="5704" xr:uid="{4E296331-EA49-4A9A-82DC-17670453ACCE}"/>
    <cellStyle name="Normal 2 2 2 2 2 2 18 6" xfId="5705" xr:uid="{7CF3F48E-3625-4EAB-8774-2B25137DB7DB}"/>
    <cellStyle name="Normal 2 2 2 2 2 2 19" xfId="5706" xr:uid="{0B384B9D-8781-4338-829A-7015049F6E04}"/>
    <cellStyle name="Normal 2 2 2 2 2 2 19 2" xfId="5707" xr:uid="{2A528C13-2426-4568-841B-A234FD9F9EE6}"/>
    <cellStyle name="Normal 2 2 2 2 2 2 19 2 2" xfId="5708" xr:uid="{BD4403FE-0E5B-4875-A544-0A9D1046C0C0}"/>
    <cellStyle name="Normal 2 2 2 2 2 2 2" xfId="5709" xr:uid="{896D3146-0A2E-4949-A4C1-5C77CEC289FD}"/>
    <cellStyle name="Normal 2 2 2 2 2 2 2 10" xfId="5710" xr:uid="{96B915E6-9173-4FBE-897A-21408BC83FE8}"/>
    <cellStyle name="Normal 2 2 2 2 2 2 2 10 2" xfId="5711" xr:uid="{B2D90CB6-19FA-44A8-B31D-3B333D2EB349}"/>
    <cellStyle name="Normal 2 2 2 2 2 2 2 10 2 2" xfId="5712" xr:uid="{DF9CA823-D04E-4EB2-8B49-B91B22AD8C85}"/>
    <cellStyle name="Normal 2 2 2 2 2 2 2 10 2 2 2" xfId="5713" xr:uid="{C917212E-34DD-4505-8F6B-08CFFA086B20}"/>
    <cellStyle name="Normal 2 2 2 2 2 2 2 10 3" xfId="5714" xr:uid="{69C06D77-B961-47AA-8B7C-2CE7A8EFEA94}"/>
    <cellStyle name="Normal 2 2 2 2 2 2 2 10 4" xfId="5715" xr:uid="{23549CCB-4A76-4E82-8D52-C111A881AA17}"/>
    <cellStyle name="Normal 2 2 2 2 2 2 2 10 5" xfId="5716" xr:uid="{C222B77B-3776-43B6-853C-B1743118AC38}"/>
    <cellStyle name="Normal 2 2 2 2 2 2 2 10 6" xfId="5717" xr:uid="{5F730E23-27F9-46F7-8ACF-C657BC665174}"/>
    <cellStyle name="Normal 2 2 2 2 2 2 2 100" xfId="5718" xr:uid="{D8C49377-2FC8-4980-9582-F432536F051B}"/>
    <cellStyle name="Normal 2 2 2 2 2 2 2 101" xfId="5719" xr:uid="{E43D839B-BFF0-472B-871D-7A642689F212}"/>
    <cellStyle name="Normal 2 2 2 2 2 2 2 101 2" xfId="5720" xr:uid="{B7863215-054C-4E80-8CC7-9B2BBFCCAAC9}"/>
    <cellStyle name="Normal 2 2 2 2 2 2 2 101 3" xfId="5721" xr:uid="{D93C303F-E761-43FA-9F9B-0321DBA91A07}"/>
    <cellStyle name="Normal 2 2 2 2 2 2 2 101 4" xfId="5722" xr:uid="{7145F56E-99C4-42C2-B931-F2E3B1643213}"/>
    <cellStyle name="Normal 2 2 2 2 2 2 2 102" xfId="5723" xr:uid="{F1DF92F1-EDF5-40DA-A0F7-A52DA9A442E3}"/>
    <cellStyle name="Normal 2 2 2 2 2 2 2 103" xfId="5724" xr:uid="{ECE70571-F730-40E4-9B46-656AD04BDA36}"/>
    <cellStyle name="Normal 2 2 2 2 2 2 2 104" xfId="5725" xr:uid="{292D6F53-9555-4E7D-81CF-2EF112088974}"/>
    <cellStyle name="Normal 2 2 2 2 2 2 2 11" xfId="5726" xr:uid="{98652CD7-61DC-486E-BC86-2547A97B26E4}"/>
    <cellStyle name="Normal 2 2 2 2 2 2 2 11 2" xfId="5727" xr:uid="{6B027DF3-68A2-43BE-B77D-A29B34AE7E43}"/>
    <cellStyle name="Normal 2 2 2 2 2 2 2 11 2 2" xfId="5728" xr:uid="{D237ADD8-E9CC-4BB1-B066-54BA23E3D85A}"/>
    <cellStyle name="Normal 2 2 2 2 2 2 2 12" xfId="5729" xr:uid="{5F49CC8B-7912-48AE-8E0A-9668D8F3AC22}"/>
    <cellStyle name="Normal 2 2 2 2 2 2 2 13" xfId="5730" xr:uid="{27444E9A-692A-4A82-98B7-82953C582BF6}"/>
    <cellStyle name="Normal 2 2 2 2 2 2 2 14" xfId="5731" xr:uid="{E8723A04-1024-4F14-BCA6-44B1AC551F56}"/>
    <cellStyle name="Normal 2 2 2 2 2 2 2 15" xfId="5732" xr:uid="{8EE8A76B-405A-4B83-8D66-BD2938E9923E}"/>
    <cellStyle name="Normal 2 2 2 2 2 2 2 16" xfId="5733" xr:uid="{F8612798-4CDF-42A7-AD23-74BAEEB945AD}"/>
    <cellStyle name="Normal 2 2 2 2 2 2 2 17" xfId="5734" xr:uid="{ADDFB21D-33B9-4D7E-ABBA-66F13714D852}"/>
    <cellStyle name="Normal 2 2 2 2 2 2 2 18" xfId="5735" xr:uid="{D0E1E703-5777-43AA-92F1-66AFB18D19EB}"/>
    <cellStyle name="Normal 2 2 2 2 2 2 2 19" xfId="5736" xr:uid="{497056DA-DE8D-4584-93B2-18B2DE659E43}"/>
    <cellStyle name="Normal 2 2 2 2 2 2 2 2" xfId="5737" xr:uid="{F8AB3EB6-A3E2-43F8-AF90-44AC0E57E5D4}"/>
    <cellStyle name="Normal 2 2 2 2 2 2 2 2 10" xfId="5738" xr:uid="{6F08B27A-D64A-4000-833F-7CE070265366}"/>
    <cellStyle name="Normal 2 2 2 2 2 2 2 2 10 2" xfId="5739" xr:uid="{2FBE4B82-CE19-4D92-B126-212D469EB015}"/>
    <cellStyle name="Normal 2 2 2 2 2 2 2 2 10 2 2" xfId="5740" xr:uid="{5A16C0F0-013B-4E4C-8851-B53DE8EAB5D9}"/>
    <cellStyle name="Normal 2 2 2 2 2 2 2 2 10 2 2 2" xfId="5741" xr:uid="{9D8B5A3C-58EE-4EEF-8262-0BEFBF6773F4}"/>
    <cellStyle name="Normal 2 2 2 2 2 2 2 2 10 3" xfId="5742" xr:uid="{8428497E-9C54-4F73-A597-0D8115C52F84}"/>
    <cellStyle name="Normal 2 2 2 2 2 2 2 2 10 4" xfId="5743" xr:uid="{6F4E2556-CFFE-44A4-AFD7-45338AC2EDE9}"/>
    <cellStyle name="Normal 2 2 2 2 2 2 2 2 10 5" xfId="5744" xr:uid="{C09956D2-AC6D-445F-8917-64891A70E82B}"/>
    <cellStyle name="Normal 2 2 2 2 2 2 2 2 10 6" xfId="5745" xr:uid="{02FDB9C7-A1E8-42B9-8B65-CF52EC1FC3EA}"/>
    <cellStyle name="Normal 2 2 2 2 2 2 2 2 100" xfId="5746" xr:uid="{CF92E00E-6790-4036-96A2-E62114C0C03E}"/>
    <cellStyle name="Normal 2 2 2 2 2 2 2 2 101" xfId="5747" xr:uid="{907D0995-C963-42D8-90B6-ABD3A5F1C9C8}"/>
    <cellStyle name="Normal 2 2 2 2 2 2 2 2 101 2" xfId="5748" xr:uid="{C4F1B106-8C33-46E2-85A0-4DAD234C2AE6}"/>
    <cellStyle name="Normal 2 2 2 2 2 2 2 2 101 3" xfId="5749" xr:uid="{267296D2-E22F-44C2-853A-3D5FDA34CD6D}"/>
    <cellStyle name="Normal 2 2 2 2 2 2 2 2 101 4" xfId="5750" xr:uid="{6D33398A-0A6C-4D09-BA22-AF17B21FEF8A}"/>
    <cellStyle name="Normal 2 2 2 2 2 2 2 2 102" xfId="5751" xr:uid="{B884BE62-5658-46E4-AA29-C7A05538FE02}"/>
    <cellStyle name="Normal 2 2 2 2 2 2 2 2 103" xfId="5752" xr:uid="{33770D93-CDCD-43E1-809A-074F55756A3F}"/>
    <cellStyle name="Normal 2 2 2 2 2 2 2 2 104" xfId="5753" xr:uid="{491E1C45-F075-4E5D-A0C1-828AF827287E}"/>
    <cellStyle name="Normal 2 2 2 2 2 2 2 2 11" xfId="5754" xr:uid="{A7971557-DF05-4113-A502-F99310366AAC}"/>
    <cellStyle name="Normal 2 2 2 2 2 2 2 2 11 2" xfId="5755" xr:uid="{19280D68-47C8-4AF6-BB5E-1659E4E79A1E}"/>
    <cellStyle name="Normal 2 2 2 2 2 2 2 2 11 2 2" xfId="5756" xr:uid="{0B76FD5C-25A8-4395-BD4C-64628B42E9BC}"/>
    <cellStyle name="Normal 2 2 2 2 2 2 2 2 12" xfId="5757" xr:uid="{C1C37E6F-C99D-4B47-A6E1-60B4F52BCD07}"/>
    <cellStyle name="Normal 2 2 2 2 2 2 2 2 13" xfId="5758" xr:uid="{44AF550E-849B-4DDE-A221-1F22B8ABA276}"/>
    <cellStyle name="Normal 2 2 2 2 2 2 2 2 14" xfId="5759" xr:uid="{14B17D43-FB2F-469E-9C95-57C0D37F42BF}"/>
    <cellStyle name="Normal 2 2 2 2 2 2 2 2 15" xfId="5760" xr:uid="{B4332D45-13D6-470D-89FC-C7243BEEC6B6}"/>
    <cellStyle name="Normal 2 2 2 2 2 2 2 2 16" xfId="5761" xr:uid="{67C648AE-3BD1-491F-AEFF-58B6C3FE4B0F}"/>
    <cellStyle name="Normal 2 2 2 2 2 2 2 2 17" xfId="5762" xr:uid="{204A1C4B-901E-45C2-AE8D-1477DDFAA980}"/>
    <cellStyle name="Normal 2 2 2 2 2 2 2 2 18" xfId="5763" xr:uid="{DCCD4D20-83C7-4918-A341-AB8F16C21915}"/>
    <cellStyle name="Normal 2 2 2 2 2 2 2 2 19" xfId="5764" xr:uid="{798925CB-BC34-47C8-A16D-012B2556D434}"/>
    <cellStyle name="Normal 2 2 2 2 2 2 2 2 2" xfId="5765" xr:uid="{EEA23EBE-EFA2-44F3-A975-C2A76DA5760F}"/>
    <cellStyle name="Normal 2 2 2 2 2 2 2 2 2 10" xfId="5766" xr:uid="{6265CA37-685E-4CBD-83E0-A070BCA9439D}"/>
    <cellStyle name="Normal 2 2 2 2 2 2 2 2 2 11" xfId="5767" xr:uid="{AD55DC42-32D2-459A-9243-5CBDFE19E282}"/>
    <cellStyle name="Normal 2 2 2 2 2 2 2 2 2 12" xfId="5768" xr:uid="{E14EE5A6-1C74-4A0C-B8C8-6630CB4E07AD}"/>
    <cellStyle name="Normal 2 2 2 2 2 2 2 2 2 13" xfId="5769" xr:uid="{6E8E48EC-F719-40A7-ABAE-03341700B8FF}"/>
    <cellStyle name="Normal 2 2 2 2 2 2 2 2 2 13 10" xfId="5770" xr:uid="{93F11A60-FA30-4F9F-9E9B-235BE581532E}"/>
    <cellStyle name="Normal 2 2 2 2 2 2 2 2 2 13 11" xfId="5771" xr:uid="{39A5A839-0949-42AF-B136-6983E9465F62}"/>
    <cellStyle name="Normal 2 2 2 2 2 2 2 2 2 13 11 10" xfId="5772" xr:uid="{790FCBE9-06D6-459F-A841-8A24893D23BB}"/>
    <cellStyle name="Normal 2 2 2 2 2 2 2 2 2 13 11 11" xfId="5773" xr:uid="{09D01A55-7A72-4381-AF17-466E57B6814A}"/>
    <cellStyle name="Normal 2 2 2 2 2 2 2 2 2 13 11 11 2" xfId="5774" xr:uid="{754DCCDD-5566-4596-89B0-2146D294720F}"/>
    <cellStyle name="Normal 2 2 2 2 2 2 2 2 2 13 11 11 3" xfId="5775" xr:uid="{51C0D78B-5963-48EC-B100-4B8948B11CCF}"/>
    <cellStyle name="Normal 2 2 2 2 2 2 2 2 2 13 11 11 4" xfId="5776" xr:uid="{F86A6889-78AB-434B-BC92-ED60FB98F1F0}"/>
    <cellStyle name="Normal 2 2 2 2 2 2 2 2 2 13 11 12" xfId="5777" xr:uid="{79D5B743-0344-43DD-9197-43BBB6B4FFC9}"/>
    <cellStyle name="Normal 2 2 2 2 2 2 2 2 2 13 11 13" xfId="5778" xr:uid="{B898E64F-B648-4D80-AE3F-4A737CA4A6A1}"/>
    <cellStyle name="Normal 2 2 2 2 2 2 2 2 2 13 11 14" xfId="5779" xr:uid="{D41267C3-054B-40D5-B3E1-3563E1724D93}"/>
    <cellStyle name="Normal 2 2 2 2 2 2 2 2 2 13 11 2" xfId="5780" xr:uid="{CE08E131-BEAF-466F-968C-19ADFB32C884}"/>
    <cellStyle name="Normal 2 2 2 2 2 2 2 2 2 13 11 2 10" xfId="5781" xr:uid="{A872D204-DB4E-489E-ADEF-6934665EA786}"/>
    <cellStyle name="Normal 2 2 2 2 2 2 2 2 2 13 11 2 11" xfId="5782" xr:uid="{85232B37-6622-4CB1-9A0C-BBF3EF77C17C}"/>
    <cellStyle name="Normal 2 2 2 2 2 2 2 2 2 13 11 2 2" xfId="5783" xr:uid="{85FCF8AD-EA0D-402F-A2BE-BA6C71E6777C}"/>
    <cellStyle name="Normal 2 2 2 2 2 2 2 2 2 13 11 2 2 10" xfId="5784" xr:uid="{0AA1EB20-099D-441F-BA0A-C684FF6F587A}"/>
    <cellStyle name="Normal 2 2 2 2 2 2 2 2 2 13 11 2 2 11" xfId="5785" xr:uid="{119995E2-E4B4-4463-A9AE-BB7195CA1038}"/>
    <cellStyle name="Normal 2 2 2 2 2 2 2 2 2 13 11 2 2 2" xfId="5786" xr:uid="{460B93B6-B9DF-4C9F-B5A6-9669F9080E0C}"/>
    <cellStyle name="Normal 2 2 2 2 2 2 2 2 2 13 11 2 2 2 2" xfId="5787" xr:uid="{DB857555-052F-48E4-87BF-3766CF25D400}"/>
    <cellStyle name="Normal 2 2 2 2 2 2 2 2 2 13 11 2 2 2 2 2" xfId="5788" xr:uid="{88E131B2-A9F3-4111-AE07-F2C357EF636F}"/>
    <cellStyle name="Normal 2 2 2 2 2 2 2 2 2 13 11 2 2 2 2 3" xfId="5789" xr:uid="{53B76472-6D2F-40C1-858B-104E99FE301E}"/>
    <cellStyle name="Normal 2 2 2 2 2 2 2 2 2 13 11 2 2 2 2 4" xfId="5790" xr:uid="{58CC4D1D-7158-4E04-96EA-3C455B55C0CC}"/>
    <cellStyle name="Normal 2 2 2 2 2 2 2 2 2 13 11 2 2 2 3" xfId="5791" xr:uid="{674B0CE9-68E7-4D60-9C9B-4C9FDC69C9AE}"/>
    <cellStyle name="Normal 2 2 2 2 2 2 2 2 2 13 11 2 2 2 4" xfId="5792" xr:uid="{CC0572A3-C45A-47A3-9A0B-13729756CDC7}"/>
    <cellStyle name="Normal 2 2 2 2 2 2 2 2 2 13 11 2 2 2 5" xfId="5793" xr:uid="{302A7D94-0C37-4DB1-B402-2522AB708DBE}"/>
    <cellStyle name="Normal 2 2 2 2 2 2 2 2 2 13 11 2 2 2 6" xfId="5794" xr:uid="{D8B815DA-2708-4C18-9E6F-20E5A215D780}"/>
    <cellStyle name="Normal 2 2 2 2 2 2 2 2 2 13 11 2 2 3" xfId="5795" xr:uid="{A3E67608-C431-49DF-BDC4-A563AB770920}"/>
    <cellStyle name="Normal 2 2 2 2 2 2 2 2 2 13 11 2 2 4" xfId="5796" xr:uid="{BC0674F0-345A-4B00-BD7A-8695835B717F}"/>
    <cellStyle name="Normal 2 2 2 2 2 2 2 2 2 13 11 2 2 5" xfId="5797" xr:uid="{218164B2-9F70-4FB9-BBFE-A8A216907FF2}"/>
    <cellStyle name="Normal 2 2 2 2 2 2 2 2 2 13 11 2 2 6" xfId="5798" xr:uid="{0A3ED714-D1B3-4E43-BF25-9E581AE2A196}"/>
    <cellStyle name="Normal 2 2 2 2 2 2 2 2 2 13 11 2 2 7" xfId="5799" xr:uid="{6C518A6F-2013-4612-8989-A928AC0743E8}"/>
    <cellStyle name="Normal 2 2 2 2 2 2 2 2 2 13 11 2 2 8" xfId="5800" xr:uid="{14CD1030-7045-4CD2-9802-201A0BC65553}"/>
    <cellStyle name="Normal 2 2 2 2 2 2 2 2 2 13 11 2 2 8 2" xfId="5801" xr:uid="{5CE1A48D-7087-44CC-B3CC-4C1EE9E92E3A}"/>
    <cellStyle name="Normal 2 2 2 2 2 2 2 2 2 13 11 2 2 8 3" xfId="5802" xr:uid="{F6EB7BAA-7EFD-428D-99EC-8BE5E37288EE}"/>
    <cellStyle name="Normal 2 2 2 2 2 2 2 2 2 13 11 2 2 8 4" xfId="5803" xr:uid="{DDAAB73B-0F95-4D8E-B1CE-506E31FC29BF}"/>
    <cellStyle name="Normal 2 2 2 2 2 2 2 2 2 13 11 2 2 9" xfId="5804" xr:uid="{87434189-77FC-41C0-A3B2-2E8A4985BD35}"/>
    <cellStyle name="Normal 2 2 2 2 2 2 2 2 2 13 11 2 3" xfId="5805" xr:uid="{69A909D6-018B-4892-91A3-593637610B76}"/>
    <cellStyle name="Normal 2 2 2 2 2 2 2 2 2 13 11 2 3 2" xfId="5806" xr:uid="{D2C6C810-FF7C-4A94-BE9A-807728FAD5BD}"/>
    <cellStyle name="Normal 2 2 2 2 2 2 2 2 2 13 11 2 3 2 2" xfId="5807" xr:uid="{58D90602-D022-4D42-A2FF-AF453C726645}"/>
    <cellStyle name="Normal 2 2 2 2 2 2 2 2 2 13 11 2 3 2 3" xfId="5808" xr:uid="{A3A7CA24-00A5-47D4-B4C8-7E88EC4E7D26}"/>
    <cellStyle name="Normal 2 2 2 2 2 2 2 2 2 13 11 2 3 2 4" xfId="5809" xr:uid="{FA6774D3-519B-4798-88FE-43BA47EF6733}"/>
    <cellStyle name="Normal 2 2 2 2 2 2 2 2 2 13 11 2 3 3" xfId="5810" xr:uid="{1E304160-8EA4-4CB1-8AF5-A185BDB62F2D}"/>
    <cellStyle name="Normal 2 2 2 2 2 2 2 2 2 13 11 2 3 4" xfId="5811" xr:uid="{1DE4F0E7-B964-4003-B827-DF25EA031B74}"/>
    <cellStyle name="Normal 2 2 2 2 2 2 2 2 2 13 11 2 3 5" xfId="5812" xr:uid="{681CAE6F-9301-4DF6-90A1-4115A4849311}"/>
    <cellStyle name="Normal 2 2 2 2 2 2 2 2 2 13 11 2 3 6" xfId="5813" xr:uid="{B08684D3-C522-4E52-A4F0-35A97F8245F4}"/>
    <cellStyle name="Normal 2 2 2 2 2 2 2 2 2 13 11 2 4" xfId="5814" xr:uid="{4CB9008D-C016-4CDA-9D9E-4BC02DC539E8}"/>
    <cellStyle name="Normal 2 2 2 2 2 2 2 2 2 13 11 2 5" xfId="5815" xr:uid="{0BE084D1-D16C-409A-8D47-38E791FE43EA}"/>
    <cellStyle name="Normal 2 2 2 2 2 2 2 2 2 13 11 2 6" xfId="5816" xr:uid="{5851303A-F354-43C8-BDAC-BD707DF2ADF9}"/>
    <cellStyle name="Normal 2 2 2 2 2 2 2 2 2 13 11 2 7" xfId="5817" xr:uid="{C71C9275-32F9-48A8-9680-B8914EC10AAA}"/>
    <cellStyle name="Normal 2 2 2 2 2 2 2 2 2 13 11 2 8" xfId="5818" xr:uid="{5DFAC902-B2F5-4C2F-BF63-2E039E5F533F}"/>
    <cellStyle name="Normal 2 2 2 2 2 2 2 2 2 13 11 2 8 2" xfId="5819" xr:uid="{7C2B68B5-3E2A-4AA0-8D7F-AF580FA280EA}"/>
    <cellStyle name="Normal 2 2 2 2 2 2 2 2 2 13 11 2 8 3" xfId="5820" xr:uid="{D5589538-0593-4968-91C3-E1C2097997A5}"/>
    <cellStyle name="Normal 2 2 2 2 2 2 2 2 2 13 11 2 8 4" xfId="5821" xr:uid="{5A757DBB-21AB-49E2-8B44-B845890A6EBC}"/>
    <cellStyle name="Normal 2 2 2 2 2 2 2 2 2 13 11 2 9" xfId="5822" xr:uid="{FE6981B1-0598-4324-8E67-79F04D03977D}"/>
    <cellStyle name="Normal 2 2 2 2 2 2 2 2 2 13 11 3" xfId="5823" xr:uid="{45B16952-45AB-496D-BC57-18F06D2000FE}"/>
    <cellStyle name="Normal 2 2 2 2 2 2 2 2 2 13 11 4" xfId="5824" xr:uid="{4A41E3DA-F02D-468D-9513-1CD8E8183FCE}"/>
    <cellStyle name="Normal 2 2 2 2 2 2 2 2 2 13 11 5" xfId="5825" xr:uid="{6BB44962-AED1-47A0-9F6B-9C5BD87AB0BF}"/>
    <cellStyle name="Normal 2 2 2 2 2 2 2 2 2 13 11 5 2" xfId="5826" xr:uid="{32B73852-4CF8-485B-9C32-60AB3CDF06AA}"/>
    <cellStyle name="Normal 2 2 2 2 2 2 2 2 2 13 11 5 2 2" xfId="5827" xr:uid="{8CF2766E-17CC-4D61-B500-F122C55F1729}"/>
    <cellStyle name="Normal 2 2 2 2 2 2 2 2 2 13 11 5 2 3" xfId="5828" xr:uid="{AD911FB3-F78F-449E-BDDB-F439CA653631}"/>
    <cellStyle name="Normal 2 2 2 2 2 2 2 2 2 13 11 5 2 4" xfId="5829" xr:uid="{1FBE6FF0-F6C3-4C6C-AC8D-AD4E35E6C567}"/>
    <cellStyle name="Normal 2 2 2 2 2 2 2 2 2 13 11 5 3" xfId="5830" xr:uid="{67FEE3BB-4817-468F-96F9-24932ABB2087}"/>
    <cellStyle name="Normal 2 2 2 2 2 2 2 2 2 13 11 5 4" xfId="5831" xr:uid="{DE3E24E3-9E1A-4C29-A76D-15A9A58759DC}"/>
    <cellStyle name="Normal 2 2 2 2 2 2 2 2 2 13 11 5 5" xfId="5832" xr:uid="{7FE254A5-F17C-4FA4-A713-17B26ACCBF9C}"/>
    <cellStyle name="Normal 2 2 2 2 2 2 2 2 2 13 11 5 6" xfId="5833" xr:uid="{7616FA61-FEA6-45FF-AD0C-3D30F179C47A}"/>
    <cellStyle name="Normal 2 2 2 2 2 2 2 2 2 13 11 6" xfId="5834" xr:uid="{8D54873F-17CB-4BED-9992-476F8F93295E}"/>
    <cellStyle name="Normal 2 2 2 2 2 2 2 2 2 13 11 7" xfId="5835" xr:uid="{5BB545A6-8BD8-44FC-892A-4915A3925599}"/>
    <cellStyle name="Normal 2 2 2 2 2 2 2 2 2 13 11 8" xfId="5836" xr:uid="{C07CD114-EF64-40B3-AB73-ACE9628A00A1}"/>
    <cellStyle name="Normal 2 2 2 2 2 2 2 2 2 13 11 9" xfId="5837" xr:uid="{AA1EC7AF-3537-4BFA-8C46-D628D4196376}"/>
    <cellStyle name="Normal 2 2 2 2 2 2 2 2 2 13 12" xfId="5838" xr:uid="{0D6EE032-332C-4309-8638-CB7CF7E4FC08}"/>
    <cellStyle name="Normal 2 2 2 2 2 2 2 2 2 13 13" xfId="5839" xr:uid="{F141104B-3C47-414F-9B41-8E1D316531C0}"/>
    <cellStyle name="Normal 2 2 2 2 2 2 2 2 2 13 13 10" xfId="5840" xr:uid="{F9234530-940C-46A9-B1C9-B4BA3AB04956}"/>
    <cellStyle name="Normal 2 2 2 2 2 2 2 2 2 13 13 11" xfId="5841" xr:uid="{11CFE673-C412-4271-AF84-7CE014CC21F8}"/>
    <cellStyle name="Normal 2 2 2 2 2 2 2 2 2 13 13 2" xfId="5842" xr:uid="{83293B00-DEE3-46FB-B76A-3425C9F2E4BE}"/>
    <cellStyle name="Normal 2 2 2 2 2 2 2 2 2 13 13 2 10" xfId="5843" xr:uid="{79116F86-4899-4053-886C-051456790814}"/>
    <cellStyle name="Normal 2 2 2 2 2 2 2 2 2 13 13 2 11" xfId="5844" xr:uid="{6FD3E429-C998-483C-A488-000189905F54}"/>
    <cellStyle name="Normal 2 2 2 2 2 2 2 2 2 13 13 2 2" xfId="5845" xr:uid="{7785C328-C8F6-4998-BCC3-51688A6FDE4B}"/>
    <cellStyle name="Normal 2 2 2 2 2 2 2 2 2 13 13 2 2 2" xfId="5846" xr:uid="{CC3B4953-ACD0-4ADB-890E-DC3D6809D9CF}"/>
    <cellStyle name="Normal 2 2 2 2 2 2 2 2 2 13 13 2 2 2 2" xfId="5847" xr:uid="{042B9045-A67C-4A2C-9801-74725503FB72}"/>
    <cellStyle name="Normal 2 2 2 2 2 2 2 2 2 13 13 2 2 2 3" xfId="5848" xr:uid="{F34A5194-E7AA-4C1F-AE96-2AE554D70C1B}"/>
    <cellStyle name="Normal 2 2 2 2 2 2 2 2 2 13 13 2 2 2 4" xfId="5849" xr:uid="{B4EB6936-BF08-49F5-B945-3D46F498F6EC}"/>
    <cellStyle name="Normal 2 2 2 2 2 2 2 2 2 13 13 2 2 3" xfId="5850" xr:uid="{FA024B7D-AF6A-4DFD-B3F7-CBFC250B864E}"/>
    <cellStyle name="Normal 2 2 2 2 2 2 2 2 2 13 13 2 2 4" xfId="5851" xr:uid="{3A80DB15-E8D2-41A8-BCB9-6EED0E4D9822}"/>
    <cellStyle name="Normal 2 2 2 2 2 2 2 2 2 13 13 2 2 5" xfId="5852" xr:uid="{7C0CA6C8-B151-4EBA-8DFA-B231393DBEE6}"/>
    <cellStyle name="Normal 2 2 2 2 2 2 2 2 2 13 13 2 2 6" xfId="5853" xr:uid="{CA5901EF-F249-40D9-83E0-21A983E150AB}"/>
    <cellStyle name="Normal 2 2 2 2 2 2 2 2 2 13 13 2 3" xfId="5854" xr:uid="{5391A8FF-68CA-49C9-89CC-FDD0624373F2}"/>
    <cellStyle name="Normal 2 2 2 2 2 2 2 2 2 13 13 2 4" xfId="5855" xr:uid="{03545015-A2EA-4646-9358-C4ED56DC2F1C}"/>
    <cellStyle name="Normal 2 2 2 2 2 2 2 2 2 13 13 2 5" xfId="5856" xr:uid="{6FBE61A1-E118-455E-B8DE-45491B671F2E}"/>
    <cellStyle name="Normal 2 2 2 2 2 2 2 2 2 13 13 2 6" xfId="5857" xr:uid="{F2835262-C677-45BD-8277-6D9A65360106}"/>
    <cellStyle name="Normal 2 2 2 2 2 2 2 2 2 13 13 2 7" xfId="5858" xr:uid="{853035F1-B015-41D8-B988-69E7E8976DBE}"/>
    <cellStyle name="Normal 2 2 2 2 2 2 2 2 2 13 13 2 8" xfId="5859" xr:uid="{03414247-5FA4-4265-B12B-68B299CC5D93}"/>
    <cellStyle name="Normal 2 2 2 2 2 2 2 2 2 13 13 2 8 2" xfId="5860" xr:uid="{AA9283C5-D41C-449E-8084-7D02B52BCD98}"/>
    <cellStyle name="Normal 2 2 2 2 2 2 2 2 2 13 13 2 8 3" xfId="5861" xr:uid="{C58B0497-8B5E-483B-AA19-A0B29DA94C67}"/>
    <cellStyle name="Normal 2 2 2 2 2 2 2 2 2 13 13 2 8 4" xfId="5862" xr:uid="{8E994E9D-DF34-440B-992A-8E90548CD28A}"/>
    <cellStyle name="Normal 2 2 2 2 2 2 2 2 2 13 13 2 9" xfId="5863" xr:uid="{5EFBBE21-FE14-492E-9FC6-A477ABAE6856}"/>
    <cellStyle name="Normal 2 2 2 2 2 2 2 2 2 13 13 3" xfId="5864" xr:uid="{C982AC5B-BC37-4DCA-881E-0583E06A66DE}"/>
    <cellStyle name="Normal 2 2 2 2 2 2 2 2 2 13 13 3 2" xfId="5865" xr:uid="{02554248-A751-415D-989B-64F040A23413}"/>
    <cellStyle name="Normal 2 2 2 2 2 2 2 2 2 13 13 3 2 2" xfId="5866" xr:uid="{9CE9FA1C-2566-4C63-A665-35420F92522D}"/>
    <cellStyle name="Normal 2 2 2 2 2 2 2 2 2 13 13 3 2 3" xfId="5867" xr:uid="{834E9FD9-39CE-410C-AB96-872FF7AC9B14}"/>
    <cellStyle name="Normal 2 2 2 2 2 2 2 2 2 13 13 3 2 4" xfId="5868" xr:uid="{F0B7AB92-626C-47AA-9F5F-E840A5802DB6}"/>
    <cellStyle name="Normal 2 2 2 2 2 2 2 2 2 13 13 3 3" xfId="5869" xr:uid="{2044C5A7-23E9-4465-A435-927701C7E348}"/>
    <cellStyle name="Normal 2 2 2 2 2 2 2 2 2 13 13 3 4" xfId="5870" xr:uid="{7BC90278-9A14-4366-8BD1-79ED6797D24E}"/>
    <cellStyle name="Normal 2 2 2 2 2 2 2 2 2 13 13 3 5" xfId="5871" xr:uid="{830D8DA5-9801-470F-A6AD-7B54FFDFD73C}"/>
    <cellStyle name="Normal 2 2 2 2 2 2 2 2 2 13 13 3 6" xfId="5872" xr:uid="{B1A6E78A-202D-485C-844E-EC5959910701}"/>
    <cellStyle name="Normal 2 2 2 2 2 2 2 2 2 13 13 4" xfId="5873" xr:uid="{C25BB17C-B6F6-4558-8340-E6A6F4C24E58}"/>
    <cellStyle name="Normal 2 2 2 2 2 2 2 2 2 13 13 5" xfId="5874" xr:uid="{2D8D539C-017D-41F1-A78A-4A40F9065B66}"/>
    <cellStyle name="Normal 2 2 2 2 2 2 2 2 2 13 13 6" xfId="5875" xr:uid="{6928292E-A40B-4F77-9237-F1C5426719E9}"/>
    <cellStyle name="Normal 2 2 2 2 2 2 2 2 2 13 13 7" xfId="5876" xr:uid="{59404608-8BAB-4752-8518-B1994E5B34A8}"/>
    <cellStyle name="Normal 2 2 2 2 2 2 2 2 2 13 13 8" xfId="5877" xr:uid="{8C86CACD-B469-4E98-82EE-AA797FF7B0BC}"/>
    <cellStyle name="Normal 2 2 2 2 2 2 2 2 2 13 13 8 2" xfId="5878" xr:uid="{F17FCD2C-DC35-470E-9F59-579093FF0036}"/>
    <cellStyle name="Normal 2 2 2 2 2 2 2 2 2 13 13 8 3" xfId="5879" xr:uid="{91887418-7839-4F16-96AA-95B6B2400829}"/>
    <cellStyle name="Normal 2 2 2 2 2 2 2 2 2 13 13 8 4" xfId="5880" xr:uid="{37E13B0F-2535-460D-950C-40BB538D2F11}"/>
    <cellStyle name="Normal 2 2 2 2 2 2 2 2 2 13 13 9" xfId="5881" xr:uid="{8365C860-109D-4391-AAB8-2F9BC563684C}"/>
    <cellStyle name="Normal 2 2 2 2 2 2 2 2 2 13 14" xfId="5882" xr:uid="{0DFC8675-62A1-46DC-9D3C-FB9699A4A34C}"/>
    <cellStyle name="Normal 2 2 2 2 2 2 2 2 2 13 15" xfId="5883" xr:uid="{C5FCEB92-637A-4F5C-B6C5-EE02BEB6BCBE}"/>
    <cellStyle name="Normal 2 2 2 2 2 2 2 2 2 13 15 2" xfId="5884" xr:uid="{14DC1D67-ABFE-43FD-B6CC-8C7C8B2977CA}"/>
    <cellStyle name="Normal 2 2 2 2 2 2 2 2 2 13 15 2 2" xfId="5885" xr:uid="{707D89DE-B05A-4A54-987C-C7BB2EB733F8}"/>
    <cellStyle name="Normal 2 2 2 2 2 2 2 2 2 13 15 2 3" xfId="5886" xr:uid="{BBFA53A1-8338-44C4-82A6-4ED5F72AFE13}"/>
    <cellStyle name="Normal 2 2 2 2 2 2 2 2 2 13 15 2 4" xfId="5887" xr:uid="{4D7E997A-225E-4759-BD7C-E788E43CE546}"/>
    <cellStyle name="Normal 2 2 2 2 2 2 2 2 2 13 15 3" xfId="5888" xr:uid="{053F2014-9299-439E-A538-466BEF74658A}"/>
    <cellStyle name="Normal 2 2 2 2 2 2 2 2 2 13 15 4" xfId="5889" xr:uid="{82B083B5-D13F-4E07-BA5D-441E9323E1E5}"/>
    <cellStyle name="Normal 2 2 2 2 2 2 2 2 2 13 15 5" xfId="5890" xr:uid="{CD4D9D08-F4E2-4433-8DD8-15E019B09B31}"/>
    <cellStyle name="Normal 2 2 2 2 2 2 2 2 2 13 15 6" xfId="5891" xr:uid="{4CCD4423-2553-4AFD-810C-C6FB5674D70D}"/>
    <cellStyle name="Normal 2 2 2 2 2 2 2 2 2 13 16" xfId="5892" xr:uid="{AEF7E6C2-8326-4454-A31B-AC29FE7BC47B}"/>
    <cellStyle name="Normal 2 2 2 2 2 2 2 2 2 13 17" xfId="5893" xr:uid="{B4F4BCB6-E956-4CC1-B683-133C5CF5B49B}"/>
    <cellStyle name="Normal 2 2 2 2 2 2 2 2 2 13 18" xfId="5894" xr:uid="{DD43EF40-9642-4A21-9D89-9A544E6611FE}"/>
    <cellStyle name="Normal 2 2 2 2 2 2 2 2 2 13 19" xfId="5895" xr:uid="{A786F9AC-71EE-4B18-9B55-A5C010A98EC0}"/>
    <cellStyle name="Normal 2 2 2 2 2 2 2 2 2 13 2" xfId="5896" xr:uid="{181FF090-8AD6-4A83-A45D-7F43183B2AB0}"/>
    <cellStyle name="Normal 2 2 2 2 2 2 2 2 2 13 2 10" xfId="5897" xr:uid="{83288F56-5A5F-4D40-BD54-398F19ACE75D}"/>
    <cellStyle name="Normal 2 2 2 2 2 2 2 2 2 13 2 11" xfId="5898" xr:uid="{9EC514FC-54A0-4696-9E5E-59635AF75FC6}"/>
    <cellStyle name="Normal 2 2 2 2 2 2 2 2 2 13 2 12" xfId="5899" xr:uid="{CF7B0635-67AB-4E47-849F-6AB54FECDBCC}"/>
    <cellStyle name="Normal 2 2 2 2 2 2 2 2 2 13 2 13" xfId="5900" xr:uid="{FE28DCB0-93CA-404D-A111-7BEE8195CE39}"/>
    <cellStyle name="Normal 2 2 2 2 2 2 2 2 2 13 2 13 2" xfId="5901" xr:uid="{5518E315-88BB-451C-AD86-7D98CFB8E7FB}"/>
    <cellStyle name="Normal 2 2 2 2 2 2 2 2 2 13 2 13 3" xfId="5902" xr:uid="{5347B239-DF8D-4FD0-8C7D-D809EB2ADB17}"/>
    <cellStyle name="Normal 2 2 2 2 2 2 2 2 2 13 2 13 4" xfId="5903" xr:uid="{68A60E1C-B6DF-4960-8589-E95C6AE34D4A}"/>
    <cellStyle name="Normal 2 2 2 2 2 2 2 2 2 13 2 14" xfId="5904" xr:uid="{F986E47D-E984-4C62-969C-03EDC9D3402A}"/>
    <cellStyle name="Normal 2 2 2 2 2 2 2 2 2 13 2 15" xfId="5905" xr:uid="{17338DCE-229B-4EA0-814E-D56978FA4F1C}"/>
    <cellStyle name="Normal 2 2 2 2 2 2 2 2 2 13 2 16" xfId="5906" xr:uid="{58BFBA8F-6419-4215-ACDB-A4733B008EBB}"/>
    <cellStyle name="Normal 2 2 2 2 2 2 2 2 2 13 2 2" xfId="5907" xr:uid="{F888CA6F-FAF8-4E42-B51F-728C1597AE72}"/>
    <cellStyle name="Normal 2 2 2 2 2 2 2 2 2 13 2 2 10" xfId="5908" xr:uid="{2ABFA901-DB1B-4D5E-8420-78DC83BDAFED}"/>
    <cellStyle name="Normal 2 2 2 2 2 2 2 2 2 13 2 2 11" xfId="5909" xr:uid="{6281720B-D0DB-4DBD-82A6-62B87EFFB00F}"/>
    <cellStyle name="Normal 2 2 2 2 2 2 2 2 2 13 2 2 11 2" xfId="5910" xr:uid="{BE2B1368-8C9D-44F6-9B0A-40758D05A8EC}"/>
    <cellStyle name="Normal 2 2 2 2 2 2 2 2 2 13 2 2 11 3" xfId="5911" xr:uid="{DB62B159-3437-498E-914B-00F19585711D}"/>
    <cellStyle name="Normal 2 2 2 2 2 2 2 2 2 13 2 2 11 4" xfId="5912" xr:uid="{883A948D-106C-47D6-BE12-E7C31ACF4780}"/>
    <cellStyle name="Normal 2 2 2 2 2 2 2 2 2 13 2 2 12" xfId="5913" xr:uid="{B8A5F9B7-B4BD-4421-948C-DC1F6CBF3C32}"/>
    <cellStyle name="Normal 2 2 2 2 2 2 2 2 2 13 2 2 13" xfId="5914" xr:uid="{E0478189-E1C8-4E65-9657-38EA6049A170}"/>
    <cellStyle name="Normal 2 2 2 2 2 2 2 2 2 13 2 2 14" xfId="5915" xr:uid="{689C7DBC-B91D-4695-998B-6C80B2D314A6}"/>
    <cellStyle name="Normal 2 2 2 2 2 2 2 2 2 13 2 2 2" xfId="5916" xr:uid="{4B11FC60-9C08-42C4-B7DE-A601F09CEC86}"/>
    <cellStyle name="Normal 2 2 2 2 2 2 2 2 2 13 2 2 2 10" xfId="5917" xr:uid="{73CC814F-5462-491D-831F-E87BCAC4EEBC}"/>
    <cellStyle name="Normal 2 2 2 2 2 2 2 2 2 13 2 2 2 11" xfId="5918" xr:uid="{134BBCF6-4E1D-45C5-95D8-89FF4ECDA0B6}"/>
    <cellStyle name="Normal 2 2 2 2 2 2 2 2 2 13 2 2 2 2" xfId="5919" xr:uid="{868FAB32-553C-4D10-96B0-CB3ACF1E5232}"/>
    <cellStyle name="Normal 2 2 2 2 2 2 2 2 2 13 2 2 2 2 10" xfId="5920" xr:uid="{CB4E76BA-1034-41A4-9732-1AA59F64FB0D}"/>
    <cellStyle name="Normal 2 2 2 2 2 2 2 2 2 13 2 2 2 2 11" xfId="5921" xr:uid="{340204E9-BC27-4C56-B35D-96C13ACEB6F4}"/>
    <cellStyle name="Normal 2 2 2 2 2 2 2 2 2 13 2 2 2 2 2" xfId="5922" xr:uid="{194E9E4C-29EA-4C25-BE72-39DDEE97581D}"/>
    <cellStyle name="Normal 2 2 2 2 2 2 2 2 2 13 2 2 2 2 2 2" xfId="5923" xr:uid="{83DC4252-C6E5-4882-B11D-839B4D02C9C3}"/>
    <cellStyle name="Normal 2 2 2 2 2 2 2 2 2 13 2 2 2 2 2 2 2" xfId="5924" xr:uid="{AA5ADB90-A513-4F43-8946-C88BBAC57B47}"/>
    <cellStyle name="Normal 2 2 2 2 2 2 2 2 2 13 2 2 2 2 2 2 3" xfId="5925" xr:uid="{39CDD6E1-FD9D-4C54-86C5-288DDBD4D21E}"/>
    <cellStyle name="Normal 2 2 2 2 2 2 2 2 2 13 2 2 2 2 2 2 4" xfId="5926" xr:uid="{33863B7B-7A37-42DA-BE10-E11952C70FF3}"/>
    <cellStyle name="Normal 2 2 2 2 2 2 2 2 2 13 2 2 2 2 2 3" xfId="5927" xr:uid="{3A46E858-33E3-407A-BEBF-7FD25E4F7B4E}"/>
    <cellStyle name="Normal 2 2 2 2 2 2 2 2 2 13 2 2 2 2 2 4" xfId="5928" xr:uid="{A5B189E3-F755-4A37-AA5D-AF744F666C53}"/>
    <cellStyle name="Normal 2 2 2 2 2 2 2 2 2 13 2 2 2 2 2 5" xfId="5929" xr:uid="{929035BB-A1C1-480E-B8B9-61CE33F932F7}"/>
    <cellStyle name="Normal 2 2 2 2 2 2 2 2 2 13 2 2 2 2 2 6" xfId="5930" xr:uid="{87E8886B-91F3-422E-B974-9694E1CF3259}"/>
    <cellStyle name="Normal 2 2 2 2 2 2 2 2 2 13 2 2 2 2 3" xfId="5931" xr:uid="{B75DC355-FE96-444E-BAB5-CE92EBE35BE6}"/>
    <cellStyle name="Normal 2 2 2 2 2 2 2 2 2 13 2 2 2 2 4" xfId="5932" xr:uid="{962E0962-4B37-4B79-A88D-392297A54D6B}"/>
    <cellStyle name="Normal 2 2 2 2 2 2 2 2 2 13 2 2 2 2 5" xfId="5933" xr:uid="{37C66138-4AB2-4DEC-BD72-2B6AD910B708}"/>
    <cellStyle name="Normal 2 2 2 2 2 2 2 2 2 13 2 2 2 2 6" xfId="5934" xr:uid="{AF6D1E57-08FE-4536-8486-4FE53E7FF055}"/>
    <cellStyle name="Normal 2 2 2 2 2 2 2 2 2 13 2 2 2 2 7" xfId="5935" xr:uid="{B3EBBFFF-8287-4D67-AE2D-E71FB5FA1369}"/>
    <cellStyle name="Normal 2 2 2 2 2 2 2 2 2 13 2 2 2 2 8" xfId="5936" xr:uid="{04A736AD-C8C6-45D5-8B84-D494AD0F9476}"/>
    <cellStyle name="Normal 2 2 2 2 2 2 2 2 2 13 2 2 2 2 8 2" xfId="5937" xr:uid="{14B10B5D-4F58-4DAE-9016-D0A21C7361AB}"/>
    <cellStyle name="Normal 2 2 2 2 2 2 2 2 2 13 2 2 2 2 8 3" xfId="5938" xr:uid="{0101B4EB-7135-4481-94AF-BE8A5804F6D1}"/>
    <cellStyle name="Normal 2 2 2 2 2 2 2 2 2 13 2 2 2 2 8 4" xfId="5939" xr:uid="{4DA3DB42-E851-4052-96DC-B74F692278E1}"/>
    <cellStyle name="Normal 2 2 2 2 2 2 2 2 2 13 2 2 2 2 9" xfId="5940" xr:uid="{2D50E1F3-E093-409B-8DF1-58FF59180183}"/>
    <cellStyle name="Normal 2 2 2 2 2 2 2 2 2 13 2 2 2 3" xfId="5941" xr:uid="{7D12D798-36EB-4F82-857C-AAB801D4001A}"/>
    <cellStyle name="Normal 2 2 2 2 2 2 2 2 2 13 2 2 2 3 2" xfId="5942" xr:uid="{652E07B2-BF72-43DA-811C-DB1A8E097E8B}"/>
    <cellStyle name="Normal 2 2 2 2 2 2 2 2 2 13 2 2 2 3 2 2" xfId="5943" xr:uid="{A06AC90F-A4BF-4D4D-A469-D30B3D1A25BA}"/>
    <cellStyle name="Normal 2 2 2 2 2 2 2 2 2 13 2 2 2 3 2 3" xfId="5944" xr:uid="{73A7F67C-1EDE-4E6E-9F85-64A798E811BE}"/>
    <cellStyle name="Normal 2 2 2 2 2 2 2 2 2 13 2 2 2 3 2 4" xfId="5945" xr:uid="{B7E2485C-45A6-4E83-BF2C-A0D342E6A43A}"/>
    <cellStyle name="Normal 2 2 2 2 2 2 2 2 2 13 2 2 2 3 3" xfId="5946" xr:uid="{331C31B7-56E8-4439-839C-9B47D5CCE87F}"/>
    <cellStyle name="Normal 2 2 2 2 2 2 2 2 2 13 2 2 2 3 4" xfId="5947" xr:uid="{EA4B8898-51A8-47C9-B4BA-A0165EDFD8C5}"/>
    <cellStyle name="Normal 2 2 2 2 2 2 2 2 2 13 2 2 2 3 5" xfId="5948" xr:uid="{435FFD39-044E-4E07-9E36-5BA71607B768}"/>
    <cellStyle name="Normal 2 2 2 2 2 2 2 2 2 13 2 2 2 3 6" xfId="5949" xr:uid="{29277960-24EC-4588-874B-0A6401B0C69D}"/>
    <cellStyle name="Normal 2 2 2 2 2 2 2 2 2 13 2 2 2 4" xfId="5950" xr:uid="{125E273D-7630-4F8C-A3F2-328CEAFD3DC0}"/>
    <cellStyle name="Normal 2 2 2 2 2 2 2 2 2 13 2 2 2 5" xfId="5951" xr:uid="{EA89CB58-3AC5-4CF6-8E53-AE1AB985A6D9}"/>
    <cellStyle name="Normal 2 2 2 2 2 2 2 2 2 13 2 2 2 6" xfId="5952" xr:uid="{72B81F1D-2BD9-45A8-9E6B-6F5D80FF63C8}"/>
    <cellStyle name="Normal 2 2 2 2 2 2 2 2 2 13 2 2 2 7" xfId="5953" xr:uid="{7EFF4829-1492-4FCF-BDA8-23DEC4F4B120}"/>
    <cellStyle name="Normal 2 2 2 2 2 2 2 2 2 13 2 2 2 8" xfId="5954" xr:uid="{E3A09C33-DDF4-497B-AEC0-875CDF749DB1}"/>
    <cellStyle name="Normal 2 2 2 2 2 2 2 2 2 13 2 2 2 8 2" xfId="5955" xr:uid="{FEBB7499-E169-4B03-BB13-5477F4AE6DF0}"/>
    <cellStyle name="Normal 2 2 2 2 2 2 2 2 2 13 2 2 2 8 3" xfId="5956" xr:uid="{BE3A51AC-33E7-4608-AF59-6429984D06A1}"/>
    <cellStyle name="Normal 2 2 2 2 2 2 2 2 2 13 2 2 2 8 4" xfId="5957" xr:uid="{FB38DEF1-163D-4A13-AF89-7E0DA1BE6053}"/>
    <cellStyle name="Normal 2 2 2 2 2 2 2 2 2 13 2 2 2 9" xfId="5958" xr:uid="{37E6BB7A-932F-480D-9F86-DC0D3937ACDA}"/>
    <cellStyle name="Normal 2 2 2 2 2 2 2 2 2 13 2 2 3" xfId="5959" xr:uid="{B1F63507-8A64-4DB5-921F-33D09A21F7DE}"/>
    <cellStyle name="Normal 2 2 2 2 2 2 2 2 2 13 2 2 4" xfId="5960" xr:uid="{F33E8819-C4A7-4F0D-B731-9023DE18845F}"/>
    <cellStyle name="Normal 2 2 2 2 2 2 2 2 2 13 2 2 5" xfId="5961" xr:uid="{FE56E742-2775-4B34-AC66-ED008252FF6E}"/>
    <cellStyle name="Normal 2 2 2 2 2 2 2 2 2 13 2 2 5 2" xfId="5962" xr:uid="{7672875A-827B-4605-9589-9C50CDD8434D}"/>
    <cellStyle name="Normal 2 2 2 2 2 2 2 2 2 13 2 2 5 2 2" xfId="5963" xr:uid="{D97B2A0B-6F03-42E9-B128-C06EBEFCA755}"/>
    <cellStyle name="Normal 2 2 2 2 2 2 2 2 2 13 2 2 5 2 3" xfId="5964" xr:uid="{D26CEB13-0568-42EA-8409-75CF283C94CC}"/>
    <cellStyle name="Normal 2 2 2 2 2 2 2 2 2 13 2 2 5 2 4" xfId="5965" xr:uid="{4165173C-DC0F-4489-B3EF-6E02265E62E9}"/>
    <cellStyle name="Normal 2 2 2 2 2 2 2 2 2 13 2 2 5 3" xfId="5966" xr:uid="{D01B2F16-D1FF-42DC-B0CF-321EFD6500B5}"/>
    <cellStyle name="Normal 2 2 2 2 2 2 2 2 2 13 2 2 5 4" xfId="5967" xr:uid="{0C32FEEB-5B72-46F8-9BD1-59BA7F3FFCD3}"/>
    <cellStyle name="Normal 2 2 2 2 2 2 2 2 2 13 2 2 5 5" xfId="5968" xr:uid="{FFFD7B84-93F0-4B2A-B68D-EF6A2E7A7DB4}"/>
    <cellStyle name="Normal 2 2 2 2 2 2 2 2 2 13 2 2 5 6" xfId="5969" xr:uid="{210F4B9A-BF1E-4DD6-A8FB-B44A002A211B}"/>
    <cellStyle name="Normal 2 2 2 2 2 2 2 2 2 13 2 2 6" xfId="5970" xr:uid="{2AE0C695-7BBE-4884-BE7C-2E5C18A18B96}"/>
    <cellStyle name="Normal 2 2 2 2 2 2 2 2 2 13 2 2 7" xfId="5971" xr:uid="{D6E6BE72-4BDF-4D20-AA94-FE02ACB3782C}"/>
    <cellStyle name="Normal 2 2 2 2 2 2 2 2 2 13 2 2 8" xfId="5972" xr:uid="{7FCB029B-50A8-46AD-B2FC-C8257F92F54C}"/>
    <cellStyle name="Normal 2 2 2 2 2 2 2 2 2 13 2 2 9" xfId="5973" xr:uid="{A0A47A45-E569-4D07-AE0B-EF4306EC1E9D}"/>
    <cellStyle name="Normal 2 2 2 2 2 2 2 2 2 13 2 3" xfId="5974" xr:uid="{28202F3C-CE1A-44A9-BBE6-C4106CE57228}"/>
    <cellStyle name="Normal 2 2 2 2 2 2 2 2 2 13 2 4" xfId="5975" xr:uid="{A8C4A3A5-E561-4598-8ADF-710B4AECF169}"/>
    <cellStyle name="Normal 2 2 2 2 2 2 2 2 2 13 2 5" xfId="5976" xr:uid="{8132E6D3-1095-46DC-AE6F-45D09F9D7A23}"/>
    <cellStyle name="Normal 2 2 2 2 2 2 2 2 2 13 2 5 10" xfId="5977" xr:uid="{3310D50C-7C27-4A6D-8D67-58A78E5C5B86}"/>
    <cellStyle name="Normal 2 2 2 2 2 2 2 2 2 13 2 5 11" xfId="5978" xr:uid="{6AB33559-1871-4208-AE20-DB060EFCE280}"/>
    <cellStyle name="Normal 2 2 2 2 2 2 2 2 2 13 2 5 2" xfId="5979" xr:uid="{5148E84C-C6BE-490C-8F63-5E3C8852183A}"/>
    <cellStyle name="Normal 2 2 2 2 2 2 2 2 2 13 2 5 2 10" xfId="5980" xr:uid="{E1D66C43-5ECE-4044-A2E0-9611E0FEED0B}"/>
    <cellStyle name="Normal 2 2 2 2 2 2 2 2 2 13 2 5 2 11" xfId="5981" xr:uid="{0D8474E5-9EA4-45B9-9085-708203E2E685}"/>
    <cellStyle name="Normal 2 2 2 2 2 2 2 2 2 13 2 5 2 2" xfId="5982" xr:uid="{4AC2A86E-7D1C-49D7-9025-D82325A12864}"/>
    <cellStyle name="Normal 2 2 2 2 2 2 2 2 2 13 2 5 2 2 2" xfId="5983" xr:uid="{7C315E3D-B397-47A0-86CC-C81796D4730E}"/>
    <cellStyle name="Normal 2 2 2 2 2 2 2 2 2 13 2 5 2 2 2 2" xfId="5984" xr:uid="{90802727-1B25-4E31-8F30-0D7ADF038742}"/>
    <cellStyle name="Normal 2 2 2 2 2 2 2 2 2 13 2 5 2 2 2 3" xfId="5985" xr:uid="{1334C477-C0AC-412E-9D76-030280D5CA0E}"/>
    <cellStyle name="Normal 2 2 2 2 2 2 2 2 2 13 2 5 2 2 2 4" xfId="5986" xr:uid="{DA532102-6F3D-45AE-ADAD-952898750281}"/>
    <cellStyle name="Normal 2 2 2 2 2 2 2 2 2 13 2 5 2 2 3" xfId="5987" xr:uid="{A09974EA-4DF3-465C-A614-9E781A6A5734}"/>
    <cellStyle name="Normal 2 2 2 2 2 2 2 2 2 13 2 5 2 2 4" xfId="5988" xr:uid="{71AD094B-8D19-44C0-9130-A0A3FA31284F}"/>
    <cellStyle name="Normal 2 2 2 2 2 2 2 2 2 13 2 5 2 2 5" xfId="5989" xr:uid="{B149BC64-F78C-4B8C-AE2C-D2CB2796B2A1}"/>
    <cellStyle name="Normal 2 2 2 2 2 2 2 2 2 13 2 5 2 2 6" xfId="5990" xr:uid="{6D410EA1-1260-4C99-A18F-FDAB093D79CA}"/>
    <cellStyle name="Normal 2 2 2 2 2 2 2 2 2 13 2 5 2 3" xfId="5991" xr:uid="{410D5CDA-4A4F-4A11-A9E6-B96759E29396}"/>
    <cellStyle name="Normal 2 2 2 2 2 2 2 2 2 13 2 5 2 4" xfId="5992" xr:uid="{05E0AB06-46C7-4DD1-A98D-6F0507D4A0A7}"/>
    <cellStyle name="Normal 2 2 2 2 2 2 2 2 2 13 2 5 2 5" xfId="5993" xr:uid="{3EE69A53-BF4B-479C-8654-F2363164896A}"/>
    <cellStyle name="Normal 2 2 2 2 2 2 2 2 2 13 2 5 2 6" xfId="5994" xr:uid="{C783035B-F06C-4A62-B9CC-F315000CC5CE}"/>
    <cellStyle name="Normal 2 2 2 2 2 2 2 2 2 13 2 5 2 7" xfId="5995" xr:uid="{567B4F0A-9E47-47F3-A789-CFC7AB53F909}"/>
    <cellStyle name="Normal 2 2 2 2 2 2 2 2 2 13 2 5 2 8" xfId="5996" xr:uid="{9AFF4A55-2C79-4791-BF7B-1F594BF70D76}"/>
    <cellStyle name="Normal 2 2 2 2 2 2 2 2 2 13 2 5 2 8 2" xfId="5997" xr:uid="{1FCDDEB2-9393-412D-BF78-61CD7FE00074}"/>
    <cellStyle name="Normal 2 2 2 2 2 2 2 2 2 13 2 5 2 8 3" xfId="5998" xr:uid="{F35979D0-E0BA-4321-8972-5339C19A16A0}"/>
    <cellStyle name="Normal 2 2 2 2 2 2 2 2 2 13 2 5 2 8 4" xfId="5999" xr:uid="{E82FE442-F85D-4825-AEF0-B371C55E746C}"/>
    <cellStyle name="Normal 2 2 2 2 2 2 2 2 2 13 2 5 2 9" xfId="6000" xr:uid="{F66E1EC8-1F3C-4861-A04B-6CAB9F7533D3}"/>
    <cellStyle name="Normal 2 2 2 2 2 2 2 2 2 13 2 5 3" xfId="6001" xr:uid="{41A27F99-E2EC-4C1C-93FE-57D493B77ED3}"/>
    <cellStyle name="Normal 2 2 2 2 2 2 2 2 2 13 2 5 3 2" xfId="6002" xr:uid="{20252996-8788-4D65-8EE3-E8EA727807C9}"/>
    <cellStyle name="Normal 2 2 2 2 2 2 2 2 2 13 2 5 3 2 2" xfId="6003" xr:uid="{ABA12CB3-1D57-4B62-A7EB-2A8AF3133B0E}"/>
    <cellStyle name="Normal 2 2 2 2 2 2 2 2 2 13 2 5 3 2 3" xfId="6004" xr:uid="{507F1614-BA6B-4892-8936-EFEA2362A01E}"/>
    <cellStyle name="Normal 2 2 2 2 2 2 2 2 2 13 2 5 3 2 4" xfId="6005" xr:uid="{9DC0F9DB-9BF8-4D4B-8092-055DFB725582}"/>
    <cellStyle name="Normal 2 2 2 2 2 2 2 2 2 13 2 5 3 3" xfId="6006" xr:uid="{C96F8205-3ABE-4AE1-A1DD-C3B334F9FFBA}"/>
    <cellStyle name="Normal 2 2 2 2 2 2 2 2 2 13 2 5 3 4" xfId="6007" xr:uid="{BE78E5C6-57A9-4E25-81E6-ACD48E4B462C}"/>
    <cellStyle name="Normal 2 2 2 2 2 2 2 2 2 13 2 5 3 5" xfId="6008" xr:uid="{ADC80566-C492-4C1E-B146-465C12583641}"/>
    <cellStyle name="Normal 2 2 2 2 2 2 2 2 2 13 2 5 3 6" xfId="6009" xr:uid="{54995939-919F-4A1A-B541-9CED242001DF}"/>
    <cellStyle name="Normal 2 2 2 2 2 2 2 2 2 13 2 5 4" xfId="6010" xr:uid="{A90A263A-72F0-4444-B9BC-52B685A62AFC}"/>
    <cellStyle name="Normal 2 2 2 2 2 2 2 2 2 13 2 5 5" xfId="6011" xr:uid="{A9236DA6-DFAE-4348-97E8-1EB9B5D9C7C1}"/>
    <cellStyle name="Normal 2 2 2 2 2 2 2 2 2 13 2 5 6" xfId="6012" xr:uid="{0544C36F-CB46-4697-A1C5-F1D8327A4079}"/>
    <cellStyle name="Normal 2 2 2 2 2 2 2 2 2 13 2 5 7" xfId="6013" xr:uid="{395F3CFB-3F71-4D1B-A039-570F65D4A7EA}"/>
    <cellStyle name="Normal 2 2 2 2 2 2 2 2 2 13 2 5 8" xfId="6014" xr:uid="{12CB0474-1C7D-4B10-8651-1FDA646E89A0}"/>
    <cellStyle name="Normal 2 2 2 2 2 2 2 2 2 13 2 5 8 2" xfId="6015" xr:uid="{AAEE6575-AD0E-4FD8-B3FC-A3B11C5AAEBE}"/>
    <cellStyle name="Normal 2 2 2 2 2 2 2 2 2 13 2 5 8 3" xfId="6016" xr:uid="{1483A6AE-1968-4ADF-B871-0FC55BC4BDB1}"/>
    <cellStyle name="Normal 2 2 2 2 2 2 2 2 2 13 2 5 8 4" xfId="6017" xr:uid="{5BAE311C-F71D-4032-94E6-A5A485C8AAAE}"/>
    <cellStyle name="Normal 2 2 2 2 2 2 2 2 2 13 2 5 9" xfId="6018" xr:uid="{7BADCF75-CA10-4338-8B2E-CB8D61BF1698}"/>
    <cellStyle name="Normal 2 2 2 2 2 2 2 2 2 13 2 6" xfId="6019" xr:uid="{D6C13CD1-9144-4710-AC35-B2DD3998B246}"/>
    <cellStyle name="Normal 2 2 2 2 2 2 2 2 2 13 2 7" xfId="6020" xr:uid="{C186980A-B8B3-4636-ACCF-F7280557B47F}"/>
    <cellStyle name="Normal 2 2 2 2 2 2 2 2 2 13 2 7 2" xfId="6021" xr:uid="{D76758C9-E05D-4DAB-807D-9F05235B355F}"/>
    <cellStyle name="Normal 2 2 2 2 2 2 2 2 2 13 2 7 2 2" xfId="6022" xr:uid="{8B8C98BD-666D-4AE0-A196-F023358A0F43}"/>
    <cellStyle name="Normal 2 2 2 2 2 2 2 2 2 13 2 7 2 3" xfId="6023" xr:uid="{B9669580-0C71-4A6D-98F2-320803D913F1}"/>
    <cellStyle name="Normal 2 2 2 2 2 2 2 2 2 13 2 7 2 4" xfId="6024" xr:uid="{7CE5D2BF-E84B-4923-9B52-C4EAEFED1F9D}"/>
    <cellStyle name="Normal 2 2 2 2 2 2 2 2 2 13 2 7 3" xfId="6025" xr:uid="{7196AA63-249D-4B3F-BF28-3BBF47D8F2B4}"/>
    <cellStyle name="Normal 2 2 2 2 2 2 2 2 2 13 2 7 4" xfId="6026" xr:uid="{31E5FDAA-BFA5-43F7-925C-C6EEC6D559CB}"/>
    <cellStyle name="Normal 2 2 2 2 2 2 2 2 2 13 2 7 5" xfId="6027" xr:uid="{30CEB0BB-498E-4DED-8171-44A119514146}"/>
    <cellStyle name="Normal 2 2 2 2 2 2 2 2 2 13 2 7 6" xfId="6028" xr:uid="{D0183828-39E5-4A08-8DA7-911D6D414CA5}"/>
    <cellStyle name="Normal 2 2 2 2 2 2 2 2 2 13 2 8" xfId="6029" xr:uid="{A14690C0-7022-44A9-9B8A-D5490E42BD64}"/>
    <cellStyle name="Normal 2 2 2 2 2 2 2 2 2 13 2 9" xfId="6030" xr:uid="{1216C4A8-9806-48EF-AB2D-A56C2B1217C3}"/>
    <cellStyle name="Normal 2 2 2 2 2 2 2 2 2 13 20" xfId="6031" xr:uid="{62359155-AC55-4551-8157-66CEE9A428ED}"/>
    <cellStyle name="Normal 2 2 2 2 2 2 2 2 2 13 21" xfId="6032" xr:uid="{D61683E2-622C-4DF9-AB11-07116AAB2E75}"/>
    <cellStyle name="Normal 2 2 2 2 2 2 2 2 2 13 21 2" xfId="6033" xr:uid="{D4D3DF2C-FA87-4731-8CF0-A0E8063D90BA}"/>
    <cellStyle name="Normal 2 2 2 2 2 2 2 2 2 13 21 3" xfId="6034" xr:uid="{4467090C-6AA6-4A32-98D6-277013CA0DC1}"/>
    <cellStyle name="Normal 2 2 2 2 2 2 2 2 2 13 21 4" xfId="6035" xr:uid="{339ADE84-EDCB-4CD5-804B-A51D5970A846}"/>
    <cellStyle name="Normal 2 2 2 2 2 2 2 2 2 13 22" xfId="6036" xr:uid="{6B759639-FD3F-4BA6-98E2-D9B803BA980F}"/>
    <cellStyle name="Normal 2 2 2 2 2 2 2 2 2 13 23" xfId="6037" xr:uid="{5EAAEF4F-8B05-48CE-BAD9-F4C04F42CE0C}"/>
    <cellStyle name="Normal 2 2 2 2 2 2 2 2 2 13 24" xfId="6038" xr:uid="{B42331FE-BB2C-494C-AE7C-C022846D1888}"/>
    <cellStyle name="Normal 2 2 2 2 2 2 2 2 2 13 3" xfId="6039" xr:uid="{71490EF9-3C3B-4985-A7DF-4C729F257E86}"/>
    <cellStyle name="Normal 2 2 2 2 2 2 2 2 2 13 4" xfId="6040" xr:uid="{B745CE84-0EE6-4F31-A321-4BAA8B99096D}"/>
    <cellStyle name="Normal 2 2 2 2 2 2 2 2 2 13 5" xfId="6041" xr:uid="{3F0D6583-E64A-49CE-9411-371DF95E8CBC}"/>
    <cellStyle name="Normal 2 2 2 2 2 2 2 2 2 13 6" xfId="6042" xr:uid="{09B81FE6-0E4B-4599-94DF-848A59EB3479}"/>
    <cellStyle name="Normal 2 2 2 2 2 2 2 2 2 13 7" xfId="6043" xr:uid="{3753160E-6B36-44AB-A69F-0C8C563B933D}"/>
    <cellStyle name="Normal 2 2 2 2 2 2 2 2 2 13 8" xfId="6044" xr:uid="{E731313C-2D13-4C09-AF3A-E45CC3F4058A}"/>
    <cellStyle name="Normal 2 2 2 2 2 2 2 2 2 13 9" xfId="6045" xr:uid="{48A200B3-C662-4746-9620-FD70673BB596}"/>
    <cellStyle name="Normal 2 2 2 2 2 2 2 2 2 14" xfId="6046" xr:uid="{CC0AC498-5D7D-4C52-9BE4-1036525B8CAE}"/>
    <cellStyle name="Normal 2 2 2 2 2 2 2 2 2 14 10" xfId="6047" xr:uid="{C86E771C-4FFC-4704-B841-7B62AD7F44DD}"/>
    <cellStyle name="Normal 2 2 2 2 2 2 2 2 2 14 11" xfId="6048" xr:uid="{E80B0FD0-AAA1-4142-8ABB-9D70B85F75BA}"/>
    <cellStyle name="Normal 2 2 2 2 2 2 2 2 2 14 12" xfId="6049" xr:uid="{DE3C8026-B8D8-4A8B-B983-3B010D71454F}"/>
    <cellStyle name="Normal 2 2 2 2 2 2 2 2 2 14 13" xfId="6050" xr:uid="{7768AA9B-B40A-4412-8BE6-341ABFB1E969}"/>
    <cellStyle name="Normal 2 2 2 2 2 2 2 2 2 14 13 2" xfId="6051" xr:uid="{4B8D40DC-3893-4103-9715-711B0DD1F8F8}"/>
    <cellStyle name="Normal 2 2 2 2 2 2 2 2 2 14 13 3" xfId="6052" xr:uid="{46968AFE-635C-4CC6-AA0B-B2CF9C6FE158}"/>
    <cellStyle name="Normal 2 2 2 2 2 2 2 2 2 14 13 4" xfId="6053" xr:uid="{008CD58C-B10F-4062-83A4-E2341AFDC2D1}"/>
    <cellStyle name="Normal 2 2 2 2 2 2 2 2 2 14 14" xfId="6054" xr:uid="{E02F66FC-7C58-4EC7-B1EB-3DB43474EB7D}"/>
    <cellStyle name="Normal 2 2 2 2 2 2 2 2 2 14 15" xfId="6055" xr:uid="{19062AFE-BEBE-4C56-AB16-8596287C4F88}"/>
    <cellStyle name="Normal 2 2 2 2 2 2 2 2 2 14 16" xfId="6056" xr:uid="{CDDBC01D-54BE-4B21-A4A4-9B0882ED4A76}"/>
    <cellStyle name="Normal 2 2 2 2 2 2 2 2 2 14 2" xfId="6057" xr:uid="{B0C01571-340A-49BD-8B4A-EB3DDDF0F490}"/>
    <cellStyle name="Normal 2 2 2 2 2 2 2 2 2 14 2 10" xfId="6058" xr:uid="{12B8C757-243D-46AB-BA82-5273D55C4D4A}"/>
    <cellStyle name="Normal 2 2 2 2 2 2 2 2 2 14 2 11" xfId="6059" xr:uid="{5F9E9AFE-8F07-4F67-B4DA-FDEB5607E0AE}"/>
    <cellStyle name="Normal 2 2 2 2 2 2 2 2 2 14 2 11 2" xfId="6060" xr:uid="{0168549A-27AE-4B8B-8367-460B60488AB6}"/>
    <cellStyle name="Normal 2 2 2 2 2 2 2 2 2 14 2 11 3" xfId="6061" xr:uid="{FC0B30E8-4034-403A-B571-5D87B188DDE6}"/>
    <cellStyle name="Normal 2 2 2 2 2 2 2 2 2 14 2 11 4" xfId="6062" xr:uid="{32AFCD5C-FE23-4B62-9FB3-C9608FC164F3}"/>
    <cellStyle name="Normal 2 2 2 2 2 2 2 2 2 14 2 12" xfId="6063" xr:uid="{61D46430-E1A3-4FB7-87A2-46FB7A43A260}"/>
    <cellStyle name="Normal 2 2 2 2 2 2 2 2 2 14 2 13" xfId="6064" xr:uid="{9643E46C-9204-4007-A9D8-34A8BBF11589}"/>
    <cellStyle name="Normal 2 2 2 2 2 2 2 2 2 14 2 14" xfId="6065" xr:uid="{058A1F63-C104-46F5-B8D4-CECA4EFB3C39}"/>
    <cellStyle name="Normal 2 2 2 2 2 2 2 2 2 14 2 2" xfId="6066" xr:uid="{373B89C9-7A6E-4E06-ACF1-AB97971C23BF}"/>
    <cellStyle name="Normal 2 2 2 2 2 2 2 2 2 14 2 2 10" xfId="6067" xr:uid="{46093844-F408-480B-BFE9-A527403CAB3F}"/>
    <cellStyle name="Normal 2 2 2 2 2 2 2 2 2 14 2 2 11" xfId="6068" xr:uid="{370364DB-A8CE-465B-A388-B58C49084546}"/>
    <cellStyle name="Normal 2 2 2 2 2 2 2 2 2 14 2 2 2" xfId="6069" xr:uid="{201EFB36-F629-44A7-90A2-362A9D112290}"/>
    <cellStyle name="Normal 2 2 2 2 2 2 2 2 2 14 2 2 2 10" xfId="6070" xr:uid="{6D2604E6-F17E-4F8F-BB86-5FB3550E8D3F}"/>
    <cellStyle name="Normal 2 2 2 2 2 2 2 2 2 14 2 2 2 11" xfId="6071" xr:uid="{F22005E4-0C5B-4596-9B5B-2214E02AD8D3}"/>
    <cellStyle name="Normal 2 2 2 2 2 2 2 2 2 14 2 2 2 2" xfId="6072" xr:uid="{C10F010F-0757-4F8A-B35D-1B31CAFF12AB}"/>
    <cellStyle name="Normal 2 2 2 2 2 2 2 2 2 14 2 2 2 2 2" xfId="6073" xr:uid="{0A703EC7-0B5C-4AF1-97D1-67990C17BE68}"/>
    <cellStyle name="Normal 2 2 2 2 2 2 2 2 2 14 2 2 2 2 2 2" xfId="6074" xr:uid="{1B8A3570-9463-4CC8-93D1-A12F58FA8388}"/>
    <cellStyle name="Normal 2 2 2 2 2 2 2 2 2 14 2 2 2 2 2 3" xfId="6075" xr:uid="{E11AC3D3-1DB0-4C65-937A-22F0072711F9}"/>
    <cellStyle name="Normal 2 2 2 2 2 2 2 2 2 14 2 2 2 2 2 4" xfId="6076" xr:uid="{5BF51C6F-22E1-4E0C-A34F-89CA1FAD5F35}"/>
    <cellStyle name="Normal 2 2 2 2 2 2 2 2 2 14 2 2 2 2 3" xfId="6077" xr:uid="{070F7A7B-0358-4A97-8716-FEAAAA6CFF77}"/>
    <cellStyle name="Normal 2 2 2 2 2 2 2 2 2 14 2 2 2 2 4" xfId="6078" xr:uid="{FFD73C69-AD0F-4F28-B600-9D4F797B8956}"/>
    <cellStyle name="Normal 2 2 2 2 2 2 2 2 2 14 2 2 2 2 5" xfId="6079" xr:uid="{AEB11BF9-A58D-4FC0-8B4A-F1F62B5C403F}"/>
    <cellStyle name="Normal 2 2 2 2 2 2 2 2 2 14 2 2 2 2 6" xfId="6080" xr:uid="{22FA716B-2261-417B-AF3A-A97369119672}"/>
    <cellStyle name="Normal 2 2 2 2 2 2 2 2 2 14 2 2 2 3" xfId="6081" xr:uid="{06256FE4-7CCE-45F5-BFC4-333E36757FD3}"/>
    <cellStyle name="Normal 2 2 2 2 2 2 2 2 2 14 2 2 2 4" xfId="6082" xr:uid="{656847CA-BCFF-4FB9-8ADC-78DDCDCE2EF3}"/>
    <cellStyle name="Normal 2 2 2 2 2 2 2 2 2 14 2 2 2 5" xfId="6083" xr:uid="{D00BD622-6CDC-4434-8A1C-51889DE29ABE}"/>
    <cellStyle name="Normal 2 2 2 2 2 2 2 2 2 14 2 2 2 6" xfId="6084" xr:uid="{CE508D20-A2A4-4BCB-A43D-A670E0E54F8B}"/>
    <cellStyle name="Normal 2 2 2 2 2 2 2 2 2 14 2 2 2 7" xfId="6085" xr:uid="{D0C57B22-60B5-4CBF-8D61-F983C9536B39}"/>
    <cellStyle name="Normal 2 2 2 2 2 2 2 2 2 14 2 2 2 8" xfId="6086" xr:uid="{C301DB3C-DD0B-4F1C-8AE3-9059F1B76020}"/>
    <cellStyle name="Normal 2 2 2 2 2 2 2 2 2 14 2 2 2 8 2" xfId="6087" xr:uid="{641E3FC0-B401-4E42-A007-36CF0D79C812}"/>
    <cellStyle name="Normal 2 2 2 2 2 2 2 2 2 14 2 2 2 8 3" xfId="6088" xr:uid="{72AE20C1-78AD-4BC2-97B7-EE6FF839FF7D}"/>
    <cellStyle name="Normal 2 2 2 2 2 2 2 2 2 14 2 2 2 8 4" xfId="6089" xr:uid="{03761EF4-D05A-4EC6-BDC5-60A4D2EB0F99}"/>
    <cellStyle name="Normal 2 2 2 2 2 2 2 2 2 14 2 2 2 9" xfId="6090" xr:uid="{E73F7160-38C3-4140-A5CB-47809DEC2B89}"/>
    <cellStyle name="Normal 2 2 2 2 2 2 2 2 2 14 2 2 3" xfId="6091" xr:uid="{6E321ED7-5F52-4EB7-BDA1-035467649D99}"/>
    <cellStyle name="Normal 2 2 2 2 2 2 2 2 2 14 2 2 3 2" xfId="6092" xr:uid="{EEB5D6E7-04AF-4C79-ADA3-FA4683FA86BE}"/>
    <cellStyle name="Normal 2 2 2 2 2 2 2 2 2 14 2 2 3 2 2" xfId="6093" xr:uid="{F17A7C84-AFB0-4F75-86E5-303F266CDE46}"/>
    <cellStyle name="Normal 2 2 2 2 2 2 2 2 2 14 2 2 3 2 3" xfId="6094" xr:uid="{B786F279-62D3-41FA-AB36-FB92E0253346}"/>
    <cellStyle name="Normal 2 2 2 2 2 2 2 2 2 14 2 2 3 2 4" xfId="6095" xr:uid="{0580D262-A2DA-4C5A-891C-E27D251517C5}"/>
    <cellStyle name="Normal 2 2 2 2 2 2 2 2 2 14 2 2 3 3" xfId="6096" xr:uid="{35EC1415-4253-4BE4-8BCA-9747ED810AD6}"/>
    <cellStyle name="Normal 2 2 2 2 2 2 2 2 2 14 2 2 3 4" xfId="6097" xr:uid="{034DD169-888A-4849-89AE-CB26A56C7CFC}"/>
    <cellStyle name="Normal 2 2 2 2 2 2 2 2 2 14 2 2 3 5" xfId="6098" xr:uid="{CA95E9E3-9A81-4335-88EE-874552C9FF6F}"/>
    <cellStyle name="Normal 2 2 2 2 2 2 2 2 2 14 2 2 3 6" xfId="6099" xr:uid="{35F13FB3-6CBF-4304-B83A-40D6C66339F9}"/>
    <cellStyle name="Normal 2 2 2 2 2 2 2 2 2 14 2 2 4" xfId="6100" xr:uid="{D1449308-8FA9-4A59-93BC-F58DD241A710}"/>
    <cellStyle name="Normal 2 2 2 2 2 2 2 2 2 14 2 2 5" xfId="6101" xr:uid="{A42C6CF4-C7EC-4A64-B10D-A0239A883F88}"/>
    <cellStyle name="Normal 2 2 2 2 2 2 2 2 2 14 2 2 6" xfId="6102" xr:uid="{ACC04443-0F01-4F13-AD06-8506E07C1E9E}"/>
    <cellStyle name="Normal 2 2 2 2 2 2 2 2 2 14 2 2 7" xfId="6103" xr:uid="{26AC95DD-8C0A-445D-9E20-81A787504D7D}"/>
    <cellStyle name="Normal 2 2 2 2 2 2 2 2 2 14 2 2 8" xfId="6104" xr:uid="{C5AF50D2-119B-43AA-9744-45645331C3FB}"/>
    <cellStyle name="Normal 2 2 2 2 2 2 2 2 2 14 2 2 8 2" xfId="6105" xr:uid="{F0E83008-485D-4BC7-8516-BDC98E9C1C5E}"/>
    <cellStyle name="Normal 2 2 2 2 2 2 2 2 2 14 2 2 8 3" xfId="6106" xr:uid="{97E5440C-3D3B-4FC4-B2E6-A01C7E650D74}"/>
    <cellStyle name="Normal 2 2 2 2 2 2 2 2 2 14 2 2 8 4" xfId="6107" xr:uid="{788E2970-58D2-4F8B-AAEF-4558F629E9F7}"/>
    <cellStyle name="Normal 2 2 2 2 2 2 2 2 2 14 2 2 9" xfId="6108" xr:uid="{9D2FE8B4-62D0-4CD2-936E-37B98AF6987C}"/>
    <cellStyle name="Normal 2 2 2 2 2 2 2 2 2 14 2 3" xfId="6109" xr:uid="{0059A1B0-A19C-4BDE-9CE9-748654B6B4AD}"/>
    <cellStyle name="Normal 2 2 2 2 2 2 2 2 2 14 2 4" xfId="6110" xr:uid="{245BAAD2-8911-432D-B879-95A5712E2712}"/>
    <cellStyle name="Normal 2 2 2 2 2 2 2 2 2 14 2 5" xfId="6111" xr:uid="{4E1D4DC8-65DF-4FBE-961E-DD6CFD81DF29}"/>
    <cellStyle name="Normal 2 2 2 2 2 2 2 2 2 14 2 5 2" xfId="6112" xr:uid="{727E189E-0513-48F5-AA38-6F1BE3386CF9}"/>
    <cellStyle name="Normal 2 2 2 2 2 2 2 2 2 14 2 5 2 2" xfId="6113" xr:uid="{F137CDE9-AEF3-4D61-B7E7-4E690DD13C65}"/>
    <cellStyle name="Normal 2 2 2 2 2 2 2 2 2 14 2 5 2 3" xfId="6114" xr:uid="{033729CD-E2B0-479F-A587-22F2365E1C0C}"/>
    <cellStyle name="Normal 2 2 2 2 2 2 2 2 2 14 2 5 2 4" xfId="6115" xr:uid="{9E553BE9-CB04-4999-B9DA-EB9D615257D3}"/>
    <cellStyle name="Normal 2 2 2 2 2 2 2 2 2 14 2 5 3" xfId="6116" xr:uid="{ADC9C9F6-939B-494B-AAB9-B31D9654A605}"/>
    <cellStyle name="Normal 2 2 2 2 2 2 2 2 2 14 2 5 4" xfId="6117" xr:uid="{95E21908-2932-40F6-901D-29AC4E7BA1E9}"/>
    <cellStyle name="Normal 2 2 2 2 2 2 2 2 2 14 2 5 5" xfId="6118" xr:uid="{1D809087-E173-4D77-9B6C-37E595C99546}"/>
    <cellStyle name="Normal 2 2 2 2 2 2 2 2 2 14 2 5 6" xfId="6119" xr:uid="{AAB60FCD-AA5F-47B8-B283-182461579095}"/>
    <cellStyle name="Normal 2 2 2 2 2 2 2 2 2 14 2 6" xfId="6120" xr:uid="{828FBAEB-F5D3-4702-AF50-5FC707618B5D}"/>
    <cellStyle name="Normal 2 2 2 2 2 2 2 2 2 14 2 7" xfId="6121" xr:uid="{A04D82A9-D5C6-42D2-8CB3-81EA2095D671}"/>
    <cellStyle name="Normal 2 2 2 2 2 2 2 2 2 14 2 8" xfId="6122" xr:uid="{9A67EAA6-60D5-40E2-8F31-6900EE36F8F1}"/>
    <cellStyle name="Normal 2 2 2 2 2 2 2 2 2 14 2 9" xfId="6123" xr:uid="{AAE23015-1D9F-40E4-817A-ECA06D222847}"/>
    <cellStyle name="Normal 2 2 2 2 2 2 2 2 2 14 3" xfId="6124" xr:uid="{BC449886-27F1-4CAA-A31C-8296B9C6F700}"/>
    <cellStyle name="Normal 2 2 2 2 2 2 2 2 2 14 4" xfId="6125" xr:uid="{23A3CB4F-C9D6-401E-B58E-933E17F2BB58}"/>
    <cellStyle name="Normal 2 2 2 2 2 2 2 2 2 14 5" xfId="6126" xr:uid="{2EF0F7FA-C5D2-42F2-93A9-CD813118C52D}"/>
    <cellStyle name="Normal 2 2 2 2 2 2 2 2 2 14 5 10" xfId="6127" xr:uid="{A74B3278-FF05-46A4-A7A6-B0F6DE6C1EF2}"/>
    <cellStyle name="Normal 2 2 2 2 2 2 2 2 2 14 5 11" xfId="6128" xr:uid="{BC2175ED-468D-409C-A956-CC70661F830F}"/>
    <cellStyle name="Normal 2 2 2 2 2 2 2 2 2 14 5 2" xfId="6129" xr:uid="{04108F01-482F-46DE-936C-BDD53597F682}"/>
    <cellStyle name="Normal 2 2 2 2 2 2 2 2 2 14 5 2 10" xfId="6130" xr:uid="{4E363C84-284D-44C9-A589-FC7CFFBCA712}"/>
    <cellStyle name="Normal 2 2 2 2 2 2 2 2 2 14 5 2 11" xfId="6131" xr:uid="{0506987D-1868-4FBA-BD94-067A788381D0}"/>
    <cellStyle name="Normal 2 2 2 2 2 2 2 2 2 14 5 2 2" xfId="6132" xr:uid="{4523C69B-9DC8-4815-B90F-B504A5EE70B4}"/>
    <cellStyle name="Normal 2 2 2 2 2 2 2 2 2 14 5 2 2 2" xfId="6133" xr:uid="{4473A964-8C7D-4EC1-8A9E-8EC04D6DC43E}"/>
    <cellStyle name="Normal 2 2 2 2 2 2 2 2 2 14 5 2 2 2 2" xfId="6134" xr:uid="{74223C7C-D0F8-4381-A2F8-5A8C13851BFF}"/>
    <cellStyle name="Normal 2 2 2 2 2 2 2 2 2 14 5 2 2 2 3" xfId="6135" xr:uid="{D362A655-6E1F-4F72-B28F-9954F2706180}"/>
    <cellStyle name="Normal 2 2 2 2 2 2 2 2 2 14 5 2 2 2 4" xfId="6136" xr:uid="{DF94766C-BA8B-420E-9E05-F6C0E676921C}"/>
    <cellStyle name="Normal 2 2 2 2 2 2 2 2 2 14 5 2 2 3" xfId="6137" xr:uid="{B90BC40A-FC3E-4FCC-903E-658B8B818EAB}"/>
    <cellStyle name="Normal 2 2 2 2 2 2 2 2 2 14 5 2 2 4" xfId="6138" xr:uid="{F51EA062-262A-46FB-9F83-128FC8FA5FC6}"/>
    <cellStyle name="Normal 2 2 2 2 2 2 2 2 2 14 5 2 2 5" xfId="6139" xr:uid="{7C0DF3A7-37BD-428E-B920-49C4F2F7E302}"/>
    <cellStyle name="Normal 2 2 2 2 2 2 2 2 2 14 5 2 2 6" xfId="6140" xr:uid="{273D8A61-C6C2-497C-91AB-1EF92F1E131E}"/>
    <cellStyle name="Normal 2 2 2 2 2 2 2 2 2 14 5 2 3" xfId="6141" xr:uid="{8ADA0AE0-4FE6-4249-AF9F-823398BC5DFA}"/>
    <cellStyle name="Normal 2 2 2 2 2 2 2 2 2 14 5 2 4" xfId="6142" xr:uid="{6192BB59-5EEF-4E68-9F1E-6BC10D56F0BE}"/>
    <cellStyle name="Normal 2 2 2 2 2 2 2 2 2 14 5 2 5" xfId="6143" xr:uid="{89A18243-2241-42D2-A4F5-1020BD6ABCEC}"/>
    <cellStyle name="Normal 2 2 2 2 2 2 2 2 2 14 5 2 6" xfId="6144" xr:uid="{5483E024-9AEA-4DFE-8FC4-5253C3393D6C}"/>
    <cellStyle name="Normal 2 2 2 2 2 2 2 2 2 14 5 2 7" xfId="6145" xr:uid="{9E474747-BFB4-4425-A8A1-B502BE5F665B}"/>
    <cellStyle name="Normal 2 2 2 2 2 2 2 2 2 14 5 2 8" xfId="6146" xr:uid="{9C4717BE-36D9-4F0A-97FE-F8A3C9B752AB}"/>
    <cellStyle name="Normal 2 2 2 2 2 2 2 2 2 14 5 2 8 2" xfId="6147" xr:uid="{FFDDEBD8-A7A1-4084-B7F9-653685917071}"/>
    <cellStyle name="Normal 2 2 2 2 2 2 2 2 2 14 5 2 8 3" xfId="6148" xr:uid="{70E8C46E-5EAB-471B-B0BB-8313D29222E0}"/>
    <cellStyle name="Normal 2 2 2 2 2 2 2 2 2 14 5 2 8 4" xfId="6149" xr:uid="{D97E2523-ED48-4AA5-9BA2-64F67D410327}"/>
    <cellStyle name="Normal 2 2 2 2 2 2 2 2 2 14 5 2 9" xfId="6150" xr:uid="{348A0192-224D-4223-A5ED-2DCFE465DFBB}"/>
    <cellStyle name="Normal 2 2 2 2 2 2 2 2 2 14 5 3" xfId="6151" xr:uid="{09F6D533-1CB9-43AE-BF5B-0E518643ACD9}"/>
    <cellStyle name="Normal 2 2 2 2 2 2 2 2 2 14 5 3 2" xfId="6152" xr:uid="{D2D1D0CB-A1CF-4209-B6F8-11E417A21558}"/>
    <cellStyle name="Normal 2 2 2 2 2 2 2 2 2 14 5 3 2 2" xfId="6153" xr:uid="{0304615C-7A67-4991-A70E-4A1A1594DC96}"/>
    <cellStyle name="Normal 2 2 2 2 2 2 2 2 2 14 5 3 2 3" xfId="6154" xr:uid="{74F20683-D60E-49EE-BE04-7B54566A6E38}"/>
    <cellStyle name="Normal 2 2 2 2 2 2 2 2 2 14 5 3 2 4" xfId="6155" xr:uid="{4506A26E-4599-44BB-9E56-47640E58BBF2}"/>
    <cellStyle name="Normal 2 2 2 2 2 2 2 2 2 14 5 3 3" xfId="6156" xr:uid="{492BC175-63E5-46D6-A7BB-1CA241BC14FF}"/>
    <cellStyle name="Normal 2 2 2 2 2 2 2 2 2 14 5 3 4" xfId="6157" xr:uid="{896178F6-E82D-4E08-BDF0-9CF483C06999}"/>
    <cellStyle name="Normal 2 2 2 2 2 2 2 2 2 14 5 3 5" xfId="6158" xr:uid="{5DDB0E62-2969-4745-8FD2-97B9D07AF4A3}"/>
    <cellStyle name="Normal 2 2 2 2 2 2 2 2 2 14 5 3 6" xfId="6159" xr:uid="{FA1CC934-6B9F-4EED-BB7E-D064F2D427E2}"/>
    <cellStyle name="Normal 2 2 2 2 2 2 2 2 2 14 5 4" xfId="6160" xr:uid="{BCC090A9-F3BB-4D39-8C5B-69D70CB66698}"/>
    <cellStyle name="Normal 2 2 2 2 2 2 2 2 2 14 5 5" xfId="6161" xr:uid="{E9B68AA3-B5C6-4B4B-AA09-07DD55D3524B}"/>
    <cellStyle name="Normal 2 2 2 2 2 2 2 2 2 14 5 6" xfId="6162" xr:uid="{D54D6EB6-DDDA-48D7-A873-009239EA6B1D}"/>
    <cellStyle name="Normal 2 2 2 2 2 2 2 2 2 14 5 7" xfId="6163" xr:uid="{2C46F7A1-C5F3-4677-A030-8E2FDAADA984}"/>
    <cellStyle name="Normal 2 2 2 2 2 2 2 2 2 14 5 8" xfId="6164" xr:uid="{8BA63F5A-755B-4319-8262-B9BCA173AF88}"/>
    <cellStyle name="Normal 2 2 2 2 2 2 2 2 2 14 5 8 2" xfId="6165" xr:uid="{9FA9A0C9-62CC-455F-A229-025A5A64A88C}"/>
    <cellStyle name="Normal 2 2 2 2 2 2 2 2 2 14 5 8 3" xfId="6166" xr:uid="{C4F04C18-01F5-47C6-8E04-4569E7AEFA1F}"/>
    <cellStyle name="Normal 2 2 2 2 2 2 2 2 2 14 5 8 4" xfId="6167" xr:uid="{AAACDB6D-64FD-4FD5-B2A6-27C00F6833AF}"/>
    <cellStyle name="Normal 2 2 2 2 2 2 2 2 2 14 5 9" xfId="6168" xr:uid="{15549882-C5D4-4A44-B3C7-4611187DD58E}"/>
    <cellStyle name="Normal 2 2 2 2 2 2 2 2 2 14 6" xfId="6169" xr:uid="{CC4A6201-00A5-4BA0-9683-CD874CCE3182}"/>
    <cellStyle name="Normal 2 2 2 2 2 2 2 2 2 14 7" xfId="6170" xr:uid="{DE46071D-5713-4558-8D03-645D7DD86CAF}"/>
    <cellStyle name="Normal 2 2 2 2 2 2 2 2 2 14 7 2" xfId="6171" xr:uid="{7900AA04-70A7-4D36-9A01-9107C4657B40}"/>
    <cellStyle name="Normal 2 2 2 2 2 2 2 2 2 14 7 2 2" xfId="6172" xr:uid="{BB9F927B-3FC0-41EA-A100-9E0BD9685D82}"/>
    <cellStyle name="Normal 2 2 2 2 2 2 2 2 2 14 7 2 3" xfId="6173" xr:uid="{A64BABAB-7DE4-4320-BB8F-B72B40C57012}"/>
    <cellStyle name="Normal 2 2 2 2 2 2 2 2 2 14 7 2 4" xfId="6174" xr:uid="{3B5771F2-C3D7-4D1E-8A00-47FC52EA5B7C}"/>
    <cellStyle name="Normal 2 2 2 2 2 2 2 2 2 14 7 3" xfId="6175" xr:uid="{94B60FEF-D8D2-4CC7-8FF7-78B58B6D0E7A}"/>
    <cellStyle name="Normal 2 2 2 2 2 2 2 2 2 14 7 4" xfId="6176" xr:uid="{101116D1-5517-480A-9DCE-73CF2A28E08C}"/>
    <cellStyle name="Normal 2 2 2 2 2 2 2 2 2 14 7 5" xfId="6177" xr:uid="{9FEEBB54-6F55-4F89-AB3C-E4E775D25D83}"/>
    <cellStyle name="Normal 2 2 2 2 2 2 2 2 2 14 7 6" xfId="6178" xr:uid="{C9E2E467-9DC8-4C55-B085-41C772E9FF24}"/>
    <cellStyle name="Normal 2 2 2 2 2 2 2 2 2 14 8" xfId="6179" xr:uid="{21842A7F-8FDF-49E9-BF03-90BDBD8C5CF7}"/>
    <cellStyle name="Normal 2 2 2 2 2 2 2 2 2 14 9" xfId="6180" xr:uid="{D16BA5B8-177C-4ED3-B5A8-5CA814A852D1}"/>
    <cellStyle name="Normal 2 2 2 2 2 2 2 2 2 15" xfId="6181" xr:uid="{D9C60038-3096-4877-8CEC-E36C46789CA3}"/>
    <cellStyle name="Normal 2 2 2 2 2 2 2 2 2 16" xfId="6182" xr:uid="{B51F62A4-65DE-4943-8DED-533072935D12}"/>
    <cellStyle name="Normal 2 2 2 2 2 2 2 2 2 17" xfId="6183" xr:uid="{4D5934D4-B1A9-4DE9-8E7E-D779165797BA}"/>
    <cellStyle name="Normal 2 2 2 2 2 2 2 2 2 18" xfId="6184" xr:uid="{66300FE4-A744-4DE5-ADEF-0DBC9373095B}"/>
    <cellStyle name="Normal 2 2 2 2 2 2 2 2 2 19" xfId="6185" xr:uid="{62DDC60C-51C1-4183-8F00-463D913E853A}"/>
    <cellStyle name="Normal 2 2 2 2 2 2 2 2 2 2" xfId="6186" xr:uid="{C5FBD79F-E53E-44F0-BB09-F75D8C4C2BB1}"/>
    <cellStyle name="Normal 2 2 2 2 2 2 2 2 2 2 10" xfId="6187" xr:uid="{48D8F3E8-1ADA-407D-86D4-C2EF9DF0E42F}"/>
    <cellStyle name="Normal 2 2 2 2 2 2 2 2 2 2 11" xfId="6188" xr:uid="{D9B83861-E064-4A2E-8EA7-9C2A4DE6C272}"/>
    <cellStyle name="Normal 2 2 2 2 2 2 2 2 2 2 12" xfId="6189" xr:uid="{3C1C1908-1B0A-4848-937B-5C779FB3BAD3}"/>
    <cellStyle name="Normal 2 2 2 2 2 2 2 2 2 2 12 10" xfId="6190" xr:uid="{2A33677F-BBF2-4DC3-84AD-1274B37E781D}"/>
    <cellStyle name="Normal 2 2 2 2 2 2 2 2 2 2 12 11" xfId="6191" xr:uid="{BFB5B4E0-5B8C-40A5-9C5C-216106BE37EB}"/>
    <cellStyle name="Normal 2 2 2 2 2 2 2 2 2 2 12 11 10" xfId="6192" xr:uid="{6FAC0101-4E2E-42C4-9ECE-320226FCD147}"/>
    <cellStyle name="Normal 2 2 2 2 2 2 2 2 2 2 12 11 11" xfId="6193" xr:uid="{E5C34325-2C3E-4A08-84A7-720DE3D233F3}"/>
    <cellStyle name="Normal 2 2 2 2 2 2 2 2 2 2 12 11 11 2" xfId="6194" xr:uid="{D6A9B534-A122-4C93-A42B-37CF70C54F8D}"/>
    <cellStyle name="Normal 2 2 2 2 2 2 2 2 2 2 12 11 11 3" xfId="6195" xr:uid="{B29285FA-2754-4B9A-91A4-417CEF9CF476}"/>
    <cellStyle name="Normal 2 2 2 2 2 2 2 2 2 2 12 11 11 4" xfId="6196" xr:uid="{6A120E63-6049-47E7-9ACB-D426939FAF9B}"/>
    <cellStyle name="Normal 2 2 2 2 2 2 2 2 2 2 12 11 12" xfId="6197" xr:uid="{F0016A75-6357-484A-8FBE-D21A843A2C50}"/>
    <cellStyle name="Normal 2 2 2 2 2 2 2 2 2 2 12 11 13" xfId="6198" xr:uid="{717F8884-EFC4-4E40-BD6A-2633C8518718}"/>
    <cellStyle name="Normal 2 2 2 2 2 2 2 2 2 2 12 11 14" xfId="6199" xr:uid="{F03BB8C3-E980-4701-A395-8932C88A689A}"/>
    <cellStyle name="Normal 2 2 2 2 2 2 2 2 2 2 12 11 2" xfId="6200" xr:uid="{C8F635AA-DACF-484F-9096-20C1B669C547}"/>
    <cellStyle name="Normal 2 2 2 2 2 2 2 2 2 2 12 11 2 10" xfId="6201" xr:uid="{4E67F04F-3E73-4AF4-93C0-576010119998}"/>
    <cellStyle name="Normal 2 2 2 2 2 2 2 2 2 2 12 11 2 11" xfId="6202" xr:uid="{76E10138-E9C5-493E-BBF4-FF49A4F8AE52}"/>
    <cellStyle name="Normal 2 2 2 2 2 2 2 2 2 2 12 11 2 2" xfId="6203" xr:uid="{3B0589F3-B634-43CE-B5B7-4BE69D0DE753}"/>
    <cellStyle name="Normal 2 2 2 2 2 2 2 2 2 2 12 11 2 2 10" xfId="6204" xr:uid="{80A4355D-A182-4763-AED1-296029BEFF82}"/>
    <cellStyle name="Normal 2 2 2 2 2 2 2 2 2 2 12 11 2 2 11" xfId="6205" xr:uid="{F7BD9FEF-7520-48B7-B06E-0B3A9C2901CA}"/>
    <cellStyle name="Normal 2 2 2 2 2 2 2 2 2 2 12 11 2 2 2" xfId="6206" xr:uid="{37AA6F48-C652-4A66-A198-416639F2DC42}"/>
    <cellStyle name="Normal 2 2 2 2 2 2 2 2 2 2 12 11 2 2 2 2" xfId="6207" xr:uid="{127E9063-E3DB-4F6A-A1A9-3214C9199004}"/>
    <cellStyle name="Normal 2 2 2 2 2 2 2 2 2 2 12 11 2 2 2 2 2" xfId="6208" xr:uid="{C2235EF6-15AB-45F2-AF19-E06452F5698E}"/>
    <cellStyle name="Normal 2 2 2 2 2 2 2 2 2 2 12 11 2 2 2 2 3" xfId="6209" xr:uid="{BB2A70D2-ADDE-4E5C-A4D3-AF793DC7EE69}"/>
    <cellStyle name="Normal 2 2 2 2 2 2 2 2 2 2 12 11 2 2 2 2 4" xfId="6210" xr:uid="{ACE7E503-55AD-45D9-8D24-C7A84A3BAC5A}"/>
    <cellStyle name="Normal 2 2 2 2 2 2 2 2 2 2 12 11 2 2 2 3" xfId="6211" xr:uid="{2592D641-FA7C-4035-98E5-C5F899C54706}"/>
    <cellStyle name="Normal 2 2 2 2 2 2 2 2 2 2 12 11 2 2 2 4" xfId="6212" xr:uid="{4C3944EB-0CDC-4921-AA9B-F18D62671466}"/>
    <cellStyle name="Normal 2 2 2 2 2 2 2 2 2 2 12 11 2 2 2 5" xfId="6213" xr:uid="{7469C456-14E9-40F9-A60F-82374AA8E423}"/>
    <cellStyle name="Normal 2 2 2 2 2 2 2 2 2 2 12 11 2 2 2 6" xfId="6214" xr:uid="{9D6FA56D-410C-4BF2-A200-1D1421EF34FB}"/>
    <cellStyle name="Normal 2 2 2 2 2 2 2 2 2 2 12 11 2 2 3" xfId="6215" xr:uid="{3FA660B6-66F7-45F6-94EC-6A0D1DDC0567}"/>
    <cellStyle name="Normal 2 2 2 2 2 2 2 2 2 2 12 11 2 2 4" xfId="6216" xr:uid="{09858CED-BDC8-4A1F-990D-BE53C8A29045}"/>
    <cellStyle name="Normal 2 2 2 2 2 2 2 2 2 2 12 11 2 2 5" xfId="6217" xr:uid="{2CAFA397-BCAC-4977-A722-948C96B29093}"/>
    <cellStyle name="Normal 2 2 2 2 2 2 2 2 2 2 12 11 2 2 6" xfId="6218" xr:uid="{2FB98CD6-7BF0-486D-A7C1-0BF44CA8BDFE}"/>
    <cellStyle name="Normal 2 2 2 2 2 2 2 2 2 2 12 11 2 2 7" xfId="6219" xr:uid="{51214DE8-D343-4E3B-8CB3-D24692BEB619}"/>
    <cellStyle name="Normal 2 2 2 2 2 2 2 2 2 2 12 11 2 2 8" xfId="6220" xr:uid="{ACEEFF9E-CC95-4A37-96EA-2F7101B48530}"/>
    <cellStyle name="Normal 2 2 2 2 2 2 2 2 2 2 12 11 2 2 8 2" xfId="6221" xr:uid="{AD622748-F269-4DCF-9865-32BE25DCA9DA}"/>
    <cellStyle name="Normal 2 2 2 2 2 2 2 2 2 2 12 11 2 2 8 3" xfId="6222" xr:uid="{FE1C7B71-99AA-42F6-B1F4-4FFFBCEAE81C}"/>
    <cellStyle name="Normal 2 2 2 2 2 2 2 2 2 2 12 11 2 2 8 4" xfId="6223" xr:uid="{480DD068-2B7C-4C17-9309-D7D5C159D8E2}"/>
    <cellStyle name="Normal 2 2 2 2 2 2 2 2 2 2 12 11 2 2 9" xfId="6224" xr:uid="{C220FB6B-1BEB-4D91-A868-EFE2E7A56231}"/>
    <cellStyle name="Normal 2 2 2 2 2 2 2 2 2 2 12 11 2 3" xfId="6225" xr:uid="{B6F1DB1D-A081-4D01-AB40-56684F5D3D15}"/>
    <cellStyle name="Normal 2 2 2 2 2 2 2 2 2 2 12 11 2 3 2" xfId="6226" xr:uid="{56FCCACC-C8F0-4CB7-988F-597F68A5A494}"/>
    <cellStyle name="Normal 2 2 2 2 2 2 2 2 2 2 12 11 2 3 2 2" xfId="6227" xr:uid="{B428F05D-75C3-4960-899D-E94B5B8EDC55}"/>
    <cellStyle name="Normal 2 2 2 2 2 2 2 2 2 2 12 11 2 3 2 3" xfId="6228" xr:uid="{99185B4D-FF26-41A9-8973-76EE9702B00F}"/>
    <cellStyle name="Normal 2 2 2 2 2 2 2 2 2 2 12 11 2 3 2 4" xfId="6229" xr:uid="{10613B29-BB3B-4383-9E44-4C03F64F5C73}"/>
    <cellStyle name="Normal 2 2 2 2 2 2 2 2 2 2 12 11 2 3 3" xfId="6230" xr:uid="{8C91A5DD-ABDB-47EF-B8A9-C2DB99344126}"/>
    <cellStyle name="Normal 2 2 2 2 2 2 2 2 2 2 12 11 2 3 4" xfId="6231" xr:uid="{BBC56A81-51E7-4338-B9D3-F76AB5B229F5}"/>
    <cellStyle name="Normal 2 2 2 2 2 2 2 2 2 2 12 11 2 3 5" xfId="6232" xr:uid="{6DCE8E1E-8292-4E14-B3CE-8C7935152143}"/>
    <cellStyle name="Normal 2 2 2 2 2 2 2 2 2 2 12 11 2 3 6" xfId="6233" xr:uid="{05B42437-B2A9-4924-B67A-5652FD8E3BED}"/>
    <cellStyle name="Normal 2 2 2 2 2 2 2 2 2 2 12 11 2 4" xfId="6234" xr:uid="{B989946B-2DF2-4B4F-8617-55146B2621CC}"/>
    <cellStyle name="Normal 2 2 2 2 2 2 2 2 2 2 12 11 2 5" xfId="6235" xr:uid="{F54D7886-A875-49EE-A5C3-0E502F5EF17D}"/>
    <cellStyle name="Normal 2 2 2 2 2 2 2 2 2 2 12 11 2 6" xfId="6236" xr:uid="{11BA0417-8756-4C3C-AB74-79DFCF7F87FE}"/>
    <cellStyle name="Normal 2 2 2 2 2 2 2 2 2 2 12 11 2 7" xfId="6237" xr:uid="{7EF81482-760A-4436-B4DE-6DDC81ED0C22}"/>
    <cellStyle name="Normal 2 2 2 2 2 2 2 2 2 2 12 11 2 8" xfId="6238" xr:uid="{D23E364E-BCBE-447E-BD6A-7AB7A811A39D}"/>
    <cellStyle name="Normal 2 2 2 2 2 2 2 2 2 2 12 11 2 8 2" xfId="6239" xr:uid="{A10B2A7F-2AB0-4129-9845-8A7A7EABF0CB}"/>
    <cellStyle name="Normal 2 2 2 2 2 2 2 2 2 2 12 11 2 8 3" xfId="6240" xr:uid="{03E470C2-D88F-49B0-A8D4-30EF22BE9F80}"/>
    <cellStyle name="Normal 2 2 2 2 2 2 2 2 2 2 12 11 2 8 4" xfId="6241" xr:uid="{62919467-7957-457A-8DDD-9861D043AB1F}"/>
    <cellStyle name="Normal 2 2 2 2 2 2 2 2 2 2 12 11 2 9" xfId="6242" xr:uid="{9F9192DA-24AF-4F7C-B978-6D057A8BE628}"/>
    <cellStyle name="Normal 2 2 2 2 2 2 2 2 2 2 12 11 3" xfId="6243" xr:uid="{704D81CC-8872-4CF7-8104-11F270D1AA73}"/>
    <cellStyle name="Normal 2 2 2 2 2 2 2 2 2 2 12 11 4" xfId="6244" xr:uid="{82DD0B70-6738-4ACF-9779-C37EC0B06030}"/>
    <cellStyle name="Normal 2 2 2 2 2 2 2 2 2 2 12 11 5" xfId="6245" xr:uid="{73D9EB60-0E8C-45C3-9FE3-66D0473503EF}"/>
    <cellStyle name="Normal 2 2 2 2 2 2 2 2 2 2 12 11 5 2" xfId="6246" xr:uid="{090DDBD1-5585-43B5-9C8E-D26EB71608C2}"/>
    <cellStyle name="Normal 2 2 2 2 2 2 2 2 2 2 12 11 5 2 2" xfId="6247" xr:uid="{0FA358C8-19BF-44F1-A82F-6010FF6F3D27}"/>
    <cellStyle name="Normal 2 2 2 2 2 2 2 2 2 2 12 11 5 2 3" xfId="6248" xr:uid="{5642B78D-B137-4917-BD5F-59542FF1B5D2}"/>
    <cellStyle name="Normal 2 2 2 2 2 2 2 2 2 2 12 11 5 2 4" xfId="6249" xr:uid="{555F2126-B689-4A9C-AEC9-AE1E21C20A27}"/>
    <cellStyle name="Normal 2 2 2 2 2 2 2 2 2 2 12 11 5 3" xfId="6250" xr:uid="{7DFFEC6F-BF5C-4954-802C-B410BDB661D6}"/>
    <cellStyle name="Normal 2 2 2 2 2 2 2 2 2 2 12 11 5 4" xfId="6251" xr:uid="{9A2C0B5E-E96D-41B1-844C-DDB2ADA5B721}"/>
    <cellStyle name="Normal 2 2 2 2 2 2 2 2 2 2 12 11 5 5" xfId="6252" xr:uid="{D431DE32-4035-4BC1-9748-05A05DF2CF2E}"/>
    <cellStyle name="Normal 2 2 2 2 2 2 2 2 2 2 12 11 5 6" xfId="6253" xr:uid="{8A69BC31-807E-42FA-9E69-7FB72A510D9F}"/>
    <cellStyle name="Normal 2 2 2 2 2 2 2 2 2 2 12 11 6" xfId="6254" xr:uid="{73477F89-E8A2-466D-AA7F-65ED13F820FD}"/>
    <cellStyle name="Normal 2 2 2 2 2 2 2 2 2 2 12 11 7" xfId="6255" xr:uid="{840E0718-FEA1-41F3-938D-A2CD7C3F6998}"/>
    <cellStyle name="Normal 2 2 2 2 2 2 2 2 2 2 12 11 8" xfId="6256" xr:uid="{E34A8521-659C-4DDF-9CB6-E8B4369B3474}"/>
    <cellStyle name="Normal 2 2 2 2 2 2 2 2 2 2 12 11 9" xfId="6257" xr:uid="{654C89A0-A5DA-4D85-A063-36BEE1CA2EC6}"/>
    <cellStyle name="Normal 2 2 2 2 2 2 2 2 2 2 12 12" xfId="6258" xr:uid="{A11E21ED-8611-40E2-AAA7-7B957E787F3A}"/>
    <cellStyle name="Normal 2 2 2 2 2 2 2 2 2 2 12 13" xfId="6259" xr:uid="{F274578B-FC41-42B6-97E6-39E903E32944}"/>
    <cellStyle name="Normal 2 2 2 2 2 2 2 2 2 2 12 13 10" xfId="6260" xr:uid="{2826460A-4E1A-4C4C-8BDB-C64A6FEAF89F}"/>
    <cellStyle name="Normal 2 2 2 2 2 2 2 2 2 2 12 13 11" xfId="6261" xr:uid="{39DB11DD-CD58-431D-9779-6D49D7A45FFF}"/>
    <cellStyle name="Normal 2 2 2 2 2 2 2 2 2 2 12 13 2" xfId="6262" xr:uid="{00A39C22-0C58-49CB-8D9C-32730F37BB05}"/>
    <cellStyle name="Normal 2 2 2 2 2 2 2 2 2 2 12 13 2 10" xfId="6263" xr:uid="{B15D5F10-1B2C-4D64-BA00-4F7079FC1BD0}"/>
    <cellStyle name="Normal 2 2 2 2 2 2 2 2 2 2 12 13 2 11" xfId="6264" xr:uid="{12B26E28-CED3-4FE4-80CA-B9204FD8AD5B}"/>
    <cellStyle name="Normal 2 2 2 2 2 2 2 2 2 2 12 13 2 2" xfId="6265" xr:uid="{94A4C730-58CA-4795-B806-1F94B8F6115A}"/>
    <cellStyle name="Normal 2 2 2 2 2 2 2 2 2 2 12 13 2 2 2" xfId="6266" xr:uid="{AE42C2E6-5ECD-4B3D-841E-31F69758D6A6}"/>
    <cellStyle name="Normal 2 2 2 2 2 2 2 2 2 2 12 13 2 2 2 2" xfId="6267" xr:uid="{DA51CD9F-C057-4902-9A2B-F7EDAADCBF26}"/>
    <cellStyle name="Normal 2 2 2 2 2 2 2 2 2 2 12 13 2 2 2 3" xfId="6268" xr:uid="{622D98FA-FDDD-436F-8093-3A73BEBEA4CD}"/>
    <cellStyle name="Normal 2 2 2 2 2 2 2 2 2 2 12 13 2 2 2 4" xfId="6269" xr:uid="{1F7A7C94-B71F-4AEF-9520-650309BB6537}"/>
    <cellStyle name="Normal 2 2 2 2 2 2 2 2 2 2 12 13 2 2 3" xfId="6270" xr:uid="{E7BA4837-EAFA-4CCC-9F57-0EFFD730791C}"/>
    <cellStyle name="Normal 2 2 2 2 2 2 2 2 2 2 12 13 2 2 4" xfId="6271" xr:uid="{C6B4AE32-5DA4-4F42-8353-46B415834BCC}"/>
    <cellStyle name="Normal 2 2 2 2 2 2 2 2 2 2 12 13 2 2 5" xfId="6272" xr:uid="{CADF9CAD-2791-43C5-85CF-376532AAEE25}"/>
    <cellStyle name="Normal 2 2 2 2 2 2 2 2 2 2 12 13 2 2 6" xfId="6273" xr:uid="{1A96CAEF-9FD9-4458-A6DB-ECC2804BF733}"/>
    <cellStyle name="Normal 2 2 2 2 2 2 2 2 2 2 12 13 2 3" xfId="6274" xr:uid="{6E466B14-1314-4643-8403-58DBBB27E0F7}"/>
    <cellStyle name="Normal 2 2 2 2 2 2 2 2 2 2 12 13 2 4" xfId="6275" xr:uid="{AC1A2C21-A197-4FAA-A7B4-3C7028B35BFA}"/>
    <cellStyle name="Normal 2 2 2 2 2 2 2 2 2 2 12 13 2 5" xfId="6276" xr:uid="{272234B8-9CAC-4F05-BD23-17C702744BCB}"/>
    <cellStyle name="Normal 2 2 2 2 2 2 2 2 2 2 12 13 2 6" xfId="6277" xr:uid="{23ACC5A2-C87C-47A1-A3A1-F371A63034D6}"/>
    <cellStyle name="Normal 2 2 2 2 2 2 2 2 2 2 12 13 2 7" xfId="6278" xr:uid="{270FF08A-B1D2-466F-BC6E-6030BBA335CA}"/>
    <cellStyle name="Normal 2 2 2 2 2 2 2 2 2 2 12 13 2 8" xfId="6279" xr:uid="{688E6FC3-3F66-4A31-AEF9-FD8F2E55CDAA}"/>
    <cellStyle name="Normal 2 2 2 2 2 2 2 2 2 2 12 13 2 8 2" xfId="6280" xr:uid="{69643AC3-F282-4D41-89C0-FEAD560C44A9}"/>
    <cellStyle name="Normal 2 2 2 2 2 2 2 2 2 2 12 13 2 8 3" xfId="6281" xr:uid="{1283FB3A-3BB1-4E77-8327-3548D9ADE656}"/>
    <cellStyle name="Normal 2 2 2 2 2 2 2 2 2 2 12 13 2 8 4" xfId="6282" xr:uid="{997BD372-A21B-4F58-87E9-0D592F82645F}"/>
    <cellStyle name="Normal 2 2 2 2 2 2 2 2 2 2 12 13 2 9" xfId="6283" xr:uid="{D01A1791-5B97-4F28-BEBF-666EF65C39B4}"/>
    <cellStyle name="Normal 2 2 2 2 2 2 2 2 2 2 12 13 3" xfId="6284" xr:uid="{12465B61-330E-454F-BA3D-5E8B3D439592}"/>
    <cellStyle name="Normal 2 2 2 2 2 2 2 2 2 2 12 13 3 2" xfId="6285" xr:uid="{CB074F9E-8A16-474D-B23B-37B509DF0BB4}"/>
    <cellStyle name="Normal 2 2 2 2 2 2 2 2 2 2 12 13 3 2 2" xfId="6286" xr:uid="{C2E73B98-8C55-45DE-97F4-49F6C88FF56A}"/>
    <cellStyle name="Normal 2 2 2 2 2 2 2 2 2 2 12 13 3 2 3" xfId="6287" xr:uid="{51B3839E-4D9B-4D69-9003-59AF57E70B03}"/>
    <cellStyle name="Normal 2 2 2 2 2 2 2 2 2 2 12 13 3 2 4" xfId="6288" xr:uid="{2D40E114-6643-4B24-87D4-8396CC1C98FA}"/>
    <cellStyle name="Normal 2 2 2 2 2 2 2 2 2 2 12 13 3 3" xfId="6289" xr:uid="{49E5134D-587A-4EC0-A478-3DDA45C1FD3B}"/>
    <cellStyle name="Normal 2 2 2 2 2 2 2 2 2 2 12 13 3 4" xfId="6290" xr:uid="{D710F917-7995-4B6E-B82D-AED58E0D11C5}"/>
    <cellStyle name="Normal 2 2 2 2 2 2 2 2 2 2 12 13 3 5" xfId="6291" xr:uid="{EE65241C-ED83-4BB9-8C93-FE4B855F95DA}"/>
    <cellStyle name="Normal 2 2 2 2 2 2 2 2 2 2 12 13 3 6" xfId="6292" xr:uid="{D38A8001-54CF-4D47-A848-46A5A0DB5077}"/>
    <cellStyle name="Normal 2 2 2 2 2 2 2 2 2 2 12 13 4" xfId="6293" xr:uid="{4DFA84C1-6285-4D94-87AE-E4E8FCFB746F}"/>
    <cellStyle name="Normal 2 2 2 2 2 2 2 2 2 2 12 13 5" xfId="6294" xr:uid="{AA58EE04-8D3A-4CC6-9767-3DD1EDD067CC}"/>
    <cellStyle name="Normal 2 2 2 2 2 2 2 2 2 2 12 13 6" xfId="6295" xr:uid="{74A0FB80-8378-444F-8A45-1AC762527E86}"/>
    <cellStyle name="Normal 2 2 2 2 2 2 2 2 2 2 12 13 7" xfId="6296" xr:uid="{DDF42392-26D3-4275-A08B-E2423834FF61}"/>
    <cellStyle name="Normal 2 2 2 2 2 2 2 2 2 2 12 13 8" xfId="6297" xr:uid="{D5CB0168-1B8A-4C84-8BC4-3C0120957083}"/>
    <cellStyle name="Normal 2 2 2 2 2 2 2 2 2 2 12 13 8 2" xfId="6298" xr:uid="{A54B24C3-176A-4571-90FD-2A4E7C9891EB}"/>
    <cellStyle name="Normal 2 2 2 2 2 2 2 2 2 2 12 13 8 3" xfId="6299" xr:uid="{694E45BB-AC1A-429E-82A8-C283178ECE14}"/>
    <cellStyle name="Normal 2 2 2 2 2 2 2 2 2 2 12 13 8 4" xfId="6300" xr:uid="{41FABB6A-47CC-49E4-89D1-BF36A34584BF}"/>
    <cellStyle name="Normal 2 2 2 2 2 2 2 2 2 2 12 13 9" xfId="6301" xr:uid="{57F852F6-1D46-4280-B8DB-24387E94EFD2}"/>
    <cellStyle name="Normal 2 2 2 2 2 2 2 2 2 2 12 14" xfId="6302" xr:uid="{15905439-C3A1-4C1A-BDE0-9986C82DF7DE}"/>
    <cellStyle name="Normal 2 2 2 2 2 2 2 2 2 2 12 15" xfId="6303" xr:uid="{B5C9F4ED-2AF9-4C5A-BB97-979CE64FBFC2}"/>
    <cellStyle name="Normal 2 2 2 2 2 2 2 2 2 2 12 15 2" xfId="6304" xr:uid="{0693CD67-15DE-4005-B364-AA3BD3281716}"/>
    <cellStyle name="Normal 2 2 2 2 2 2 2 2 2 2 12 15 2 2" xfId="6305" xr:uid="{4FF0E4FE-D232-4D08-AF4F-286E59598731}"/>
    <cellStyle name="Normal 2 2 2 2 2 2 2 2 2 2 12 15 2 3" xfId="6306" xr:uid="{662FB00E-5198-4479-8B6D-70EC8FA9A8EC}"/>
    <cellStyle name="Normal 2 2 2 2 2 2 2 2 2 2 12 15 2 4" xfId="6307" xr:uid="{A3EB1938-4DEC-415A-88B7-3FB81761A05D}"/>
    <cellStyle name="Normal 2 2 2 2 2 2 2 2 2 2 12 15 3" xfId="6308" xr:uid="{69DE521D-70DB-47AE-A382-EFCF4155C251}"/>
    <cellStyle name="Normal 2 2 2 2 2 2 2 2 2 2 12 15 4" xfId="6309" xr:uid="{1100EA36-C9A8-437B-8450-5E11ABFE6093}"/>
    <cellStyle name="Normal 2 2 2 2 2 2 2 2 2 2 12 15 5" xfId="6310" xr:uid="{6EC808DA-E5EF-4287-9954-EE2DF62042CE}"/>
    <cellStyle name="Normal 2 2 2 2 2 2 2 2 2 2 12 15 6" xfId="6311" xr:uid="{2E5D9BED-CB50-465F-8BFD-1B0D87C503DE}"/>
    <cellStyle name="Normal 2 2 2 2 2 2 2 2 2 2 12 16" xfId="6312" xr:uid="{3225F755-E0C5-4B33-A274-87A204088E82}"/>
    <cellStyle name="Normal 2 2 2 2 2 2 2 2 2 2 12 17" xfId="6313" xr:uid="{AFB55863-8FC0-449A-B2A7-FC7BBDBEB61D}"/>
    <cellStyle name="Normal 2 2 2 2 2 2 2 2 2 2 12 18" xfId="6314" xr:uid="{30274872-DDD5-417C-AEA9-BD0DB02DE2D7}"/>
    <cellStyle name="Normal 2 2 2 2 2 2 2 2 2 2 12 19" xfId="6315" xr:uid="{22189467-EE35-498F-94EB-E9B7B48FC9A3}"/>
    <cellStyle name="Normal 2 2 2 2 2 2 2 2 2 2 12 2" xfId="6316" xr:uid="{B9B43F3C-A13D-45D5-B61C-EF90517517C0}"/>
    <cellStyle name="Normal 2 2 2 2 2 2 2 2 2 2 12 2 10" xfId="6317" xr:uid="{7B99F453-3B66-4F36-9C1F-9B3DA8ECDA4E}"/>
    <cellStyle name="Normal 2 2 2 2 2 2 2 2 2 2 12 2 11" xfId="6318" xr:uid="{9D7D019E-17DB-4476-88A4-BA642E095641}"/>
    <cellStyle name="Normal 2 2 2 2 2 2 2 2 2 2 12 2 12" xfId="6319" xr:uid="{D9F22C21-52D4-4761-94AD-7538D8A9F7CD}"/>
    <cellStyle name="Normal 2 2 2 2 2 2 2 2 2 2 12 2 13" xfId="6320" xr:uid="{4418D239-966C-41D1-888A-3806EBF4B704}"/>
    <cellStyle name="Normal 2 2 2 2 2 2 2 2 2 2 12 2 13 2" xfId="6321" xr:uid="{A5305B20-B210-4593-A58F-FE24D6535FCA}"/>
    <cellStyle name="Normal 2 2 2 2 2 2 2 2 2 2 12 2 13 3" xfId="6322" xr:uid="{7AB34AC7-A5CD-4ED1-B18B-73223F14A115}"/>
    <cellStyle name="Normal 2 2 2 2 2 2 2 2 2 2 12 2 13 4" xfId="6323" xr:uid="{7A8F408F-BC88-4B91-971A-2597F633AF95}"/>
    <cellStyle name="Normal 2 2 2 2 2 2 2 2 2 2 12 2 14" xfId="6324" xr:uid="{70D5154C-EB00-4661-B55F-9CB4B88E9E32}"/>
    <cellStyle name="Normal 2 2 2 2 2 2 2 2 2 2 12 2 15" xfId="6325" xr:uid="{ABCC81C8-8A91-4731-B80F-C456A316A431}"/>
    <cellStyle name="Normal 2 2 2 2 2 2 2 2 2 2 12 2 16" xfId="6326" xr:uid="{61112FF6-3628-4E37-A6BF-9601F8E56FB1}"/>
    <cellStyle name="Normal 2 2 2 2 2 2 2 2 2 2 12 2 2" xfId="6327" xr:uid="{174E2950-C523-40B6-97BA-C699F20462FD}"/>
    <cellStyle name="Normal 2 2 2 2 2 2 2 2 2 2 12 2 2 10" xfId="6328" xr:uid="{70775CBB-B8CC-487E-8F37-61D8D6D367E6}"/>
    <cellStyle name="Normal 2 2 2 2 2 2 2 2 2 2 12 2 2 11" xfId="6329" xr:uid="{49BB5CFE-1137-46F6-940D-EC74C6F4740C}"/>
    <cellStyle name="Normal 2 2 2 2 2 2 2 2 2 2 12 2 2 11 2" xfId="6330" xr:uid="{8415AFB4-CAEA-42EC-8CF1-BD0CCE5B923D}"/>
    <cellStyle name="Normal 2 2 2 2 2 2 2 2 2 2 12 2 2 11 3" xfId="6331" xr:uid="{9E847DD1-89AA-40A6-AE9B-3E454F5FE7A3}"/>
    <cellStyle name="Normal 2 2 2 2 2 2 2 2 2 2 12 2 2 11 4" xfId="6332" xr:uid="{94C733B0-95EC-4CDF-8655-99F6B6C5DE22}"/>
    <cellStyle name="Normal 2 2 2 2 2 2 2 2 2 2 12 2 2 12" xfId="6333" xr:uid="{7C99B4B6-86B5-49A1-8980-54681D050D22}"/>
    <cellStyle name="Normal 2 2 2 2 2 2 2 2 2 2 12 2 2 13" xfId="6334" xr:uid="{D8447C72-314D-445E-9E91-BD79734E1EB5}"/>
    <cellStyle name="Normal 2 2 2 2 2 2 2 2 2 2 12 2 2 14" xfId="6335" xr:uid="{21B824A2-B9FD-4DCC-8618-31A8E0845395}"/>
    <cellStyle name="Normal 2 2 2 2 2 2 2 2 2 2 12 2 2 2" xfId="6336" xr:uid="{482B59C5-0C32-4735-9690-FC7B573C1298}"/>
    <cellStyle name="Normal 2 2 2 2 2 2 2 2 2 2 12 2 2 2 10" xfId="6337" xr:uid="{E7550EDA-EE5D-4625-A453-9EF487A3A1CF}"/>
    <cellStyle name="Normal 2 2 2 2 2 2 2 2 2 2 12 2 2 2 11" xfId="6338" xr:uid="{18F0B592-1DA5-4610-9F4F-19087348949F}"/>
    <cellStyle name="Normal 2 2 2 2 2 2 2 2 2 2 12 2 2 2 2" xfId="6339" xr:uid="{656E7F4B-A39F-4EAC-B5F4-88760AD96122}"/>
    <cellStyle name="Normal 2 2 2 2 2 2 2 2 2 2 12 2 2 2 2 10" xfId="6340" xr:uid="{1FF74748-1FC0-40B6-ACA4-9D8EE8184BCC}"/>
    <cellStyle name="Normal 2 2 2 2 2 2 2 2 2 2 12 2 2 2 2 11" xfId="6341" xr:uid="{840CB9D1-6A54-459A-B6F6-EC7B05B31362}"/>
    <cellStyle name="Normal 2 2 2 2 2 2 2 2 2 2 12 2 2 2 2 2" xfId="6342" xr:uid="{76C744F3-C81F-4B9F-BD37-660F2B82D124}"/>
    <cellStyle name="Normal 2 2 2 2 2 2 2 2 2 2 12 2 2 2 2 2 2" xfId="6343" xr:uid="{3DD7F2BF-CC9A-4632-B949-F001DA09941B}"/>
    <cellStyle name="Normal 2 2 2 2 2 2 2 2 2 2 12 2 2 2 2 2 2 2" xfId="6344" xr:uid="{444AFBED-49E4-48CA-B5A8-1B4FC3C5943A}"/>
    <cellStyle name="Normal 2 2 2 2 2 2 2 2 2 2 12 2 2 2 2 2 2 3" xfId="6345" xr:uid="{FC00419D-BB59-4336-891C-F15ACFEF32CB}"/>
    <cellStyle name="Normal 2 2 2 2 2 2 2 2 2 2 12 2 2 2 2 2 2 4" xfId="6346" xr:uid="{227EFE69-545A-4A14-9911-8BD4704A2793}"/>
    <cellStyle name="Normal 2 2 2 2 2 2 2 2 2 2 12 2 2 2 2 2 3" xfId="6347" xr:uid="{AB4D64C1-3562-4D40-AC95-5645AE5B2377}"/>
    <cellStyle name="Normal 2 2 2 2 2 2 2 2 2 2 12 2 2 2 2 2 4" xfId="6348" xr:uid="{7B300F5B-4B67-4C37-B73E-E058BC56B129}"/>
    <cellStyle name="Normal 2 2 2 2 2 2 2 2 2 2 12 2 2 2 2 2 5" xfId="6349" xr:uid="{EDA552AD-F581-45CA-B535-236507E2ECD9}"/>
    <cellStyle name="Normal 2 2 2 2 2 2 2 2 2 2 12 2 2 2 2 2 6" xfId="6350" xr:uid="{67BEC069-6A4C-4813-AB6F-57B2A3F570C9}"/>
    <cellStyle name="Normal 2 2 2 2 2 2 2 2 2 2 12 2 2 2 2 3" xfId="6351" xr:uid="{CC1855B3-A9EE-44C5-8F43-BD549B20221A}"/>
    <cellStyle name="Normal 2 2 2 2 2 2 2 2 2 2 12 2 2 2 2 4" xfId="6352" xr:uid="{71A6E462-250E-48D1-951C-59774B7B1910}"/>
    <cellStyle name="Normal 2 2 2 2 2 2 2 2 2 2 12 2 2 2 2 5" xfId="6353" xr:uid="{A90E7B90-7DBB-4D5B-BC72-E485D00596BF}"/>
    <cellStyle name="Normal 2 2 2 2 2 2 2 2 2 2 12 2 2 2 2 6" xfId="6354" xr:uid="{0EF17376-5981-4165-B46F-0B5A785B2730}"/>
    <cellStyle name="Normal 2 2 2 2 2 2 2 2 2 2 12 2 2 2 2 7" xfId="6355" xr:uid="{55798BF5-41AE-45A6-A81E-A2CE4E7BA587}"/>
    <cellStyle name="Normal 2 2 2 2 2 2 2 2 2 2 12 2 2 2 2 8" xfId="6356" xr:uid="{5E09A3C8-8C11-46AC-B6BB-41A9CB098A3D}"/>
    <cellStyle name="Normal 2 2 2 2 2 2 2 2 2 2 12 2 2 2 2 8 2" xfId="6357" xr:uid="{16947D6F-E6CD-4C5E-ADC7-695085B183CC}"/>
    <cellStyle name="Normal 2 2 2 2 2 2 2 2 2 2 12 2 2 2 2 8 3" xfId="6358" xr:uid="{87919040-3E38-4147-8DF0-226B12D57111}"/>
    <cellStyle name="Normal 2 2 2 2 2 2 2 2 2 2 12 2 2 2 2 8 4" xfId="6359" xr:uid="{96E7CE7B-77D2-4951-AD67-B42644D2A9F4}"/>
    <cellStyle name="Normal 2 2 2 2 2 2 2 2 2 2 12 2 2 2 2 9" xfId="6360" xr:uid="{F6CCABDE-9B87-4DB3-8B9B-66222001B691}"/>
    <cellStyle name="Normal 2 2 2 2 2 2 2 2 2 2 12 2 2 2 3" xfId="6361" xr:uid="{F8305BC0-EEDD-444F-911C-96395503605A}"/>
    <cellStyle name="Normal 2 2 2 2 2 2 2 2 2 2 12 2 2 2 3 2" xfId="6362" xr:uid="{58F06F1E-3FEC-48F9-AFE5-0258201816E7}"/>
    <cellStyle name="Normal 2 2 2 2 2 2 2 2 2 2 12 2 2 2 3 2 2" xfId="6363" xr:uid="{C929EC0D-EE83-4966-BDE3-A0DB4810F762}"/>
    <cellStyle name="Normal 2 2 2 2 2 2 2 2 2 2 12 2 2 2 3 2 3" xfId="6364" xr:uid="{1B110C59-A032-46DA-AFB2-57729C8EC915}"/>
    <cellStyle name="Normal 2 2 2 2 2 2 2 2 2 2 12 2 2 2 3 2 4" xfId="6365" xr:uid="{4F16C188-5448-408A-92AE-882F6B3A1D1B}"/>
    <cellStyle name="Normal 2 2 2 2 2 2 2 2 2 2 12 2 2 2 3 3" xfId="6366" xr:uid="{109C7DDC-F30E-46BF-A6AC-E113C8B45898}"/>
    <cellStyle name="Normal 2 2 2 2 2 2 2 2 2 2 12 2 2 2 3 4" xfId="6367" xr:uid="{4B48A34B-B4F5-4B45-8E19-EC23908738F9}"/>
    <cellStyle name="Normal 2 2 2 2 2 2 2 2 2 2 12 2 2 2 3 5" xfId="6368" xr:uid="{C297B449-4751-4BDD-AACD-78D545DE99F4}"/>
    <cellStyle name="Normal 2 2 2 2 2 2 2 2 2 2 12 2 2 2 3 6" xfId="6369" xr:uid="{C5952C88-FF72-4847-A34E-BEE7EAF4321B}"/>
    <cellStyle name="Normal 2 2 2 2 2 2 2 2 2 2 12 2 2 2 4" xfId="6370" xr:uid="{1EDE42AC-4BB1-44BE-ACE0-04D38B19333E}"/>
    <cellStyle name="Normal 2 2 2 2 2 2 2 2 2 2 12 2 2 2 5" xfId="6371" xr:uid="{B1C7765A-B0B3-417C-AB4B-AF25ED346D8B}"/>
    <cellStyle name="Normal 2 2 2 2 2 2 2 2 2 2 12 2 2 2 6" xfId="6372" xr:uid="{BA0089AA-9693-4246-B172-04790B3CAC65}"/>
    <cellStyle name="Normal 2 2 2 2 2 2 2 2 2 2 12 2 2 2 7" xfId="6373" xr:uid="{7AA09BB7-86CC-4C97-ADDE-23D7025394E9}"/>
    <cellStyle name="Normal 2 2 2 2 2 2 2 2 2 2 12 2 2 2 8" xfId="6374" xr:uid="{459948D2-4B36-445C-9053-6CA3F7551761}"/>
    <cellStyle name="Normal 2 2 2 2 2 2 2 2 2 2 12 2 2 2 8 2" xfId="6375" xr:uid="{2696EC5C-7BD7-4A95-8CFB-3FB0C0B3BD64}"/>
    <cellStyle name="Normal 2 2 2 2 2 2 2 2 2 2 12 2 2 2 8 3" xfId="6376" xr:uid="{1B4C4982-DF5D-44A9-A1A8-6DF2AC2A6515}"/>
    <cellStyle name="Normal 2 2 2 2 2 2 2 2 2 2 12 2 2 2 8 4" xfId="6377" xr:uid="{089E637C-5C3B-4000-B374-C2BD8775E28A}"/>
    <cellStyle name="Normal 2 2 2 2 2 2 2 2 2 2 12 2 2 2 9" xfId="6378" xr:uid="{C67779E3-6B7A-45E5-A87C-621084AD052C}"/>
    <cellStyle name="Normal 2 2 2 2 2 2 2 2 2 2 12 2 2 3" xfId="6379" xr:uid="{F47F6517-6D23-497D-A058-075007BFFF8E}"/>
    <cellStyle name="Normal 2 2 2 2 2 2 2 2 2 2 12 2 2 4" xfId="6380" xr:uid="{B74789A4-2AAC-4570-8887-FA8054D5B832}"/>
    <cellStyle name="Normal 2 2 2 2 2 2 2 2 2 2 12 2 2 5" xfId="6381" xr:uid="{2BFD40F6-0620-41BB-A96A-15164878F395}"/>
    <cellStyle name="Normal 2 2 2 2 2 2 2 2 2 2 12 2 2 5 2" xfId="6382" xr:uid="{B4623FDD-BEEA-47F6-A829-AE23E2B74266}"/>
    <cellStyle name="Normal 2 2 2 2 2 2 2 2 2 2 12 2 2 5 2 2" xfId="6383" xr:uid="{3FA72CB5-7CB4-4B68-BCE2-C522CBB65B33}"/>
    <cellStyle name="Normal 2 2 2 2 2 2 2 2 2 2 12 2 2 5 2 3" xfId="6384" xr:uid="{4CDF06EF-F2B5-4D3A-AA6C-A06842FDE720}"/>
    <cellStyle name="Normal 2 2 2 2 2 2 2 2 2 2 12 2 2 5 2 4" xfId="6385" xr:uid="{E9D7D5A8-DB6F-46AD-8B58-366C59152E10}"/>
    <cellStyle name="Normal 2 2 2 2 2 2 2 2 2 2 12 2 2 5 3" xfId="6386" xr:uid="{8084EE96-B4F4-4E92-B993-4EE3F6003BFA}"/>
    <cellStyle name="Normal 2 2 2 2 2 2 2 2 2 2 12 2 2 5 4" xfId="6387" xr:uid="{D371B650-5834-4A4B-A83F-9A69433E5960}"/>
    <cellStyle name="Normal 2 2 2 2 2 2 2 2 2 2 12 2 2 5 5" xfId="6388" xr:uid="{C3E393B4-B36E-4500-AEE4-973A901D25F3}"/>
    <cellStyle name="Normal 2 2 2 2 2 2 2 2 2 2 12 2 2 5 6" xfId="6389" xr:uid="{F8BBCDCC-75E3-46D3-A486-DF509EC11473}"/>
    <cellStyle name="Normal 2 2 2 2 2 2 2 2 2 2 12 2 2 6" xfId="6390" xr:uid="{B967A749-A70C-4F29-BB31-FC3D7844CE65}"/>
    <cellStyle name="Normal 2 2 2 2 2 2 2 2 2 2 12 2 2 7" xfId="6391" xr:uid="{8AE9058D-A60F-4AFF-9687-15AB49BE3ACE}"/>
    <cellStyle name="Normal 2 2 2 2 2 2 2 2 2 2 12 2 2 8" xfId="6392" xr:uid="{9B91A645-6612-413B-9854-234C3C0F4CFE}"/>
    <cellStyle name="Normal 2 2 2 2 2 2 2 2 2 2 12 2 2 9" xfId="6393" xr:uid="{A48EF951-7232-4079-A863-C913D443F21E}"/>
    <cellStyle name="Normal 2 2 2 2 2 2 2 2 2 2 12 2 3" xfId="6394" xr:uid="{F2A48E72-7120-4135-A971-DAF09F0DF191}"/>
    <cellStyle name="Normal 2 2 2 2 2 2 2 2 2 2 12 2 4" xfId="6395" xr:uid="{6C76E25C-5EBE-4E01-AEA1-468A0E434908}"/>
    <cellStyle name="Normal 2 2 2 2 2 2 2 2 2 2 12 2 5" xfId="6396" xr:uid="{C7A50684-DEAE-4094-BEBD-E42AB926C701}"/>
    <cellStyle name="Normal 2 2 2 2 2 2 2 2 2 2 12 2 5 10" xfId="6397" xr:uid="{9219A465-27C4-4525-89AA-A117A23CBC92}"/>
    <cellStyle name="Normal 2 2 2 2 2 2 2 2 2 2 12 2 5 11" xfId="6398" xr:uid="{0ECCEF23-37E6-4245-B8F8-D23ACA37BC54}"/>
    <cellStyle name="Normal 2 2 2 2 2 2 2 2 2 2 12 2 5 2" xfId="6399" xr:uid="{91A91D41-B203-45A1-846F-572C91E1C7F9}"/>
    <cellStyle name="Normal 2 2 2 2 2 2 2 2 2 2 12 2 5 2 10" xfId="6400" xr:uid="{7CE3DD1D-496F-4B16-B7A4-FEEDBF0095F5}"/>
    <cellStyle name="Normal 2 2 2 2 2 2 2 2 2 2 12 2 5 2 11" xfId="6401" xr:uid="{8B0BB012-9C96-456A-A29E-4B31CFECA072}"/>
    <cellStyle name="Normal 2 2 2 2 2 2 2 2 2 2 12 2 5 2 2" xfId="6402" xr:uid="{232082E7-4D85-4CA8-BBF5-9FBDBC4E98ED}"/>
    <cellStyle name="Normal 2 2 2 2 2 2 2 2 2 2 12 2 5 2 2 2" xfId="6403" xr:uid="{E504E168-425C-451D-937B-49B33F3A48FB}"/>
    <cellStyle name="Normal 2 2 2 2 2 2 2 2 2 2 12 2 5 2 2 2 2" xfId="6404" xr:uid="{16EA4BCB-F61F-4DFE-9881-C7156B593364}"/>
    <cellStyle name="Normal 2 2 2 2 2 2 2 2 2 2 12 2 5 2 2 2 3" xfId="6405" xr:uid="{87F837B9-62CD-4B17-97A9-EC7E57D3AA82}"/>
    <cellStyle name="Normal 2 2 2 2 2 2 2 2 2 2 12 2 5 2 2 2 4" xfId="6406" xr:uid="{75F601CB-BDBC-4641-858F-13E2E157D774}"/>
    <cellStyle name="Normal 2 2 2 2 2 2 2 2 2 2 12 2 5 2 2 3" xfId="6407" xr:uid="{58785A71-7EC8-4AC6-AD55-C4801A421D7D}"/>
    <cellStyle name="Normal 2 2 2 2 2 2 2 2 2 2 12 2 5 2 2 4" xfId="6408" xr:uid="{D30BB306-32DB-49C7-8B94-9B6385DC1D93}"/>
    <cellStyle name="Normal 2 2 2 2 2 2 2 2 2 2 12 2 5 2 2 5" xfId="6409" xr:uid="{D3F2F3DD-0418-4579-84E9-2B729F8287DE}"/>
    <cellStyle name="Normal 2 2 2 2 2 2 2 2 2 2 12 2 5 2 2 6" xfId="6410" xr:uid="{A276780D-6029-4708-B0D6-D3F517EDAEFC}"/>
    <cellStyle name="Normal 2 2 2 2 2 2 2 2 2 2 12 2 5 2 3" xfId="6411" xr:uid="{D64BA972-6AE4-4680-92EC-889573E749CE}"/>
    <cellStyle name="Normal 2 2 2 2 2 2 2 2 2 2 12 2 5 2 4" xfId="6412" xr:uid="{0EDEF914-F3D7-4ABD-9192-BFA06BF5D883}"/>
    <cellStyle name="Normal 2 2 2 2 2 2 2 2 2 2 12 2 5 2 5" xfId="6413" xr:uid="{2C7D04A2-B6F6-46B0-8800-FA86719BE4E6}"/>
    <cellStyle name="Normal 2 2 2 2 2 2 2 2 2 2 12 2 5 2 6" xfId="6414" xr:uid="{65E0F719-E264-479F-B4A6-60E2AFA04643}"/>
    <cellStyle name="Normal 2 2 2 2 2 2 2 2 2 2 12 2 5 2 7" xfId="6415" xr:uid="{11F8E86A-7D9D-4D9F-8812-94739571465F}"/>
    <cellStyle name="Normal 2 2 2 2 2 2 2 2 2 2 12 2 5 2 8" xfId="6416" xr:uid="{E6B057E2-96E4-4E0E-A7EA-A4492C2E8862}"/>
    <cellStyle name="Normal 2 2 2 2 2 2 2 2 2 2 12 2 5 2 8 2" xfId="6417" xr:uid="{AFC4BA60-C511-412D-B25D-4EA2A7EF93F8}"/>
    <cellStyle name="Normal 2 2 2 2 2 2 2 2 2 2 12 2 5 2 8 3" xfId="6418" xr:uid="{FC730255-2B81-48A3-A08B-B7D06A4E38ED}"/>
    <cellStyle name="Normal 2 2 2 2 2 2 2 2 2 2 12 2 5 2 8 4" xfId="6419" xr:uid="{A1AAA006-75CE-4A43-80CE-68FF355CCCA8}"/>
    <cellStyle name="Normal 2 2 2 2 2 2 2 2 2 2 12 2 5 2 9" xfId="6420" xr:uid="{17725337-6181-4D7E-95E5-54373611D97D}"/>
    <cellStyle name="Normal 2 2 2 2 2 2 2 2 2 2 12 2 5 3" xfId="6421" xr:uid="{0C4C74F0-C7A7-4F63-B30C-676C6387D40D}"/>
    <cellStyle name="Normal 2 2 2 2 2 2 2 2 2 2 12 2 5 3 2" xfId="6422" xr:uid="{A5B2C573-5A21-4491-8336-59040F9F5ECB}"/>
    <cellStyle name="Normal 2 2 2 2 2 2 2 2 2 2 12 2 5 3 2 2" xfId="6423" xr:uid="{933D9803-847D-44D8-B7FC-D8B0812494ED}"/>
    <cellStyle name="Normal 2 2 2 2 2 2 2 2 2 2 12 2 5 3 2 3" xfId="6424" xr:uid="{145CC3A6-8616-4FF4-AB2B-932D6968E5DF}"/>
    <cellStyle name="Normal 2 2 2 2 2 2 2 2 2 2 12 2 5 3 2 4" xfId="6425" xr:uid="{6C21DE54-9C10-4629-BFD5-238434AC4755}"/>
    <cellStyle name="Normal 2 2 2 2 2 2 2 2 2 2 12 2 5 3 3" xfId="6426" xr:uid="{A1581912-376B-4E18-BC9C-E6EA677896AE}"/>
    <cellStyle name="Normal 2 2 2 2 2 2 2 2 2 2 12 2 5 3 4" xfId="6427" xr:uid="{9BFAF9B5-7350-4F47-9544-42646A832D75}"/>
    <cellStyle name="Normal 2 2 2 2 2 2 2 2 2 2 12 2 5 3 5" xfId="6428" xr:uid="{6B185B44-D53C-4D3E-B916-67314B1DED9B}"/>
    <cellStyle name="Normal 2 2 2 2 2 2 2 2 2 2 12 2 5 3 6" xfId="6429" xr:uid="{6E092E41-699B-4572-9CED-D7A99ACDECD5}"/>
    <cellStyle name="Normal 2 2 2 2 2 2 2 2 2 2 12 2 5 4" xfId="6430" xr:uid="{B44FA0F8-0280-46C8-9F44-4F2D75DC3315}"/>
    <cellStyle name="Normal 2 2 2 2 2 2 2 2 2 2 12 2 5 5" xfId="6431" xr:uid="{068905DF-01F6-417A-A98F-34BFD16C48B3}"/>
    <cellStyle name="Normal 2 2 2 2 2 2 2 2 2 2 12 2 5 6" xfId="6432" xr:uid="{BB41EFD3-E1CD-4160-BC23-45BA652017ED}"/>
    <cellStyle name="Normal 2 2 2 2 2 2 2 2 2 2 12 2 5 7" xfId="6433" xr:uid="{6AE26CF7-966F-4158-8F9C-3A528EECA4C1}"/>
    <cellStyle name="Normal 2 2 2 2 2 2 2 2 2 2 12 2 5 8" xfId="6434" xr:uid="{06B0A2EA-D24B-4947-8EED-5BA9B38A0E3E}"/>
    <cellStyle name="Normal 2 2 2 2 2 2 2 2 2 2 12 2 5 8 2" xfId="6435" xr:uid="{1972028F-0D26-46A3-9299-2DF307D226DD}"/>
    <cellStyle name="Normal 2 2 2 2 2 2 2 2 2 2 12 2 5 8 3" xfId="6436" xr:uid="{7959ADA2-6287-4C48-A3AD-46D129655F20}"/>
    <cellStyle name="Normal 2 2 2 2 2 2 2 2 2 2 12 2 5 8 4" xfId="6437" xr:uid="{F9CBD208-EE35-4EDC-9770-3551E9BB4D7C}"/>
    <cellStyle name="Normal 2 2 2 2 2 2 2 2 2 2 12 2 5 9" xfId="6438" xr:uid="{733B9E0E-6085-4358-AEDD-B47FC916DFBF}"/>
    <cellStyle name="Normal 2 2 2 2 2 2 2 2 2 2 12 2 6" xfId="6439" xr:uid="{A6D3E2FB-C185-4C2B-B07A-CE774BA657F9}"/>
    <cellStyle name="Normal 2 2 2 2 2 2 2 2 2 2 12 2 7" xfId="6440" xr:uid="{CAE178EA-0C8F-4E36-80F8-6578C9A7BDE7}"/>
    <cellStyle name="Normal 2 2 2 2 2 2 2 2 2 2 12 2 7 2" xfId="6441" xr:uid="{D1D04CB6-C3DD-4E69-866F-C4E78A0F4ED0}"/>
    <cellStyle name="Normal 2 2 2 2 2 2 2 2 2 2 12 2 7 2 2" xfId="6442" xr:uid="{F80F1F1E-EF84-4E24-AA9B-B917D4618D5D}"/>
    <cellStyle name="Normal 2 2 2 2 2 2 2 2 2 2 12 2 7 2 3" xfId="6443" xr:uid="{0153CC49-8C50-48DC-8A35-F2FCB7649F58}"/>
    <cellStyle name="Normal 2 2 2 2 2 2 2 2 2 2 12 2 7 2 4" xfId="6444" xr:uid="{2CB779EE-849A-4405-A5B6-6543D2C5ED33}"/>
    <cellStyle name="Normal 2 2 2 2 2 2 2 2 2 2 12 2 7 3" xfId="6445" xr:uid="{1F5C1E65-1579-4747-9443-B34287A2CA47}"/>
    <cellStyle name="Normal 2 2 2 2 2 2 2 2 2 2 12 2 7 4" xfId="6446" xr:uid="{1DE07B65-FA0B-4EBA-9559-36CD349FFECE}"/>
    <cellStyle name="Normal 2 2 2 2 2 2 2 2 2 2 12 2 7 5" xfId="6447" xr:uid="{FDB38479-3DEB-4727-8AD9-9D63262317E7}"/>
    <cellStyle name="Normal 2 2 2 2 2 2 2 2 2 2 12 2 7 6" xfId="6448" xr:uid="{D10D9F6E-554D-4ACA-95FB-2E37FC477495}"/>
    <cellStyle name="Normal 2 2 2 2 2 2 2 2 2 2 12 2 8" xfId="6449" xr:uid="{45DA04E5-BC66-4199-A6FC-BB49E1189E19}"/>
    <cellStyle name="Normal 2 2 2 2 2 2 2 2 2 2 12 2 9" xfId="6450" xr:uid="{78E4B4F6-FAB7-4567-BDB7-4EAC85464249}"/>
    <cellStyle name="Normal 2 2 2 2 2 2 2 2 2 2 12 20" xfId="6451" xr:uid="{9253DC02-C13D-4392-85D6-6A763CA0E9AA}"/>
    <cellStyle name="Normal 2 2 2 2 2 2 2 2 2 2 12 21" xfId="6452" xr:uid="{0B22A4A6-CE24-451A-97BE-E370174B1077}"/>
    <cellStyle name="Normal 2 2 2 2 2 2 2 2 2 2 12 21 2" xfId="6453" xr:uid="{0358A798-D711-4B5E-B327-5FF18FF20069}"/>
    <cellStyle name="Normal 2 2 2 2 2 2 2 2 2 2 12 21 3" xfId="6454" xr:uid="{AE9F5B22-6E62-489A-9332-8C8F81842962}"/>
    <cellStyle name="Normal 2 2 2 2 2 2 2 2 2 2 12 21 4" xfId="6455" xr:uid="{4D84DD96-B1B7-44D8-9056-249D33599CB3}"/>
    <cellStyle name="Normal 2 2 2 2 2 2 2 2 2 2 12 22" xfId="6456" xr:uid="{8A5A114B-6A7E-4A97-BF1B-0A0CADF60366}"/>
    <cellStyle name="Normal 2 2 2 2 2 2 2 2 2 2 12 23" xfId="6457" xr:uid="{3B3278DD-96A6-4BF4-A52F-2A9FF6D7A140}"/>
    <cellStyle name="Normal 2 2 2 2 2 2 2 2 2 2 12 24" xfId="6458" xr:uid="{348FFD71-003F-47B6-A985-A51C04F6BCE7}"/>
    <cellStyle name="Normal 2 2 2 2 2 2 2 2 2 2 12 3" xfId="6459" xr:uid="{8C026186-6D75-400F-B175-F0CF0EB4E01B}"/>
    <cellStyle name="Normal 2 2 2 2 2 2 2 2 2 2 12 4" xfId="6460" xr:uid="{D0710A04-788F-4B32-97D6-5426EFC77AEE}"/>
    <cellStyle name="Normal 2 2 2 2 2 2 2 2 2 2 12 5" xfId="6461" xr:uid="{D72EE5AD-B6F6-468D-B22A-2CFC4CDDA425}"/>
    <cellStyle name="Normal 2 2 2 2 2 2 2 2 2 2 12 6" xfId="6462" xr:uid="{B6CC43C8-71B3-49DC-B964-743B2ED4339B}"/>
    <cellStyle name="Normal 2 2 2 2 2 2 2 2 2 2 12 7" xfId="6463" xr:uid="{6787B7DA-0531-4AC4-A604-D3F4CD22381A}"/>
    <cellStyle name="Normal 2 2 2 2 2 2 2 2 2 2 12 8" xfId="6464" xr:uid="{AFA80E2D-0AB0-4379-A80E-A1E6B8815C7A}"/>
    <cellStyle name="Normal 2 2 2 2 2 2 2 2 2 2 12 9" xfId="6465" xr:uid="{8256BC81-C83D-488E-B63B-4AE37887FFB8}"/>
    <cellStyle name="Normal 2 2 2 2 2 2 2 2 2 2 13" xfId="6466" xr:uid="{D83B84FE-2525-4D63-8E20-E6C25A9B944E}"/>
    <cellStyle name="Normal 2 2 2 2 2 2 2 2 2 2 13 10" xfId="6467" xr:uid="{D57FEC55-641B-4D23-BA6E-CC83AE08C15B}"/>
    <cellStyle name="Normal 2 2 2 2 2 2 2 2 2 2 13 11" xfId="6468" xr:uid="{2B0777BC-9DF0-4FCB-9214-5A97067BED21}"/>
    <cellStyle name="Normal 2 2 2 2 2 2 2 2 2 2 13 12" xfId="6469" xr:uid="{EFA69753-B828-4CB0-A86D-94ED0FD7E493}"/>
    <cellStyle name="Normal 2 2 2 2 2 2 2 2 2 2 13 13" xfId="6470" xr:uid="{410F6173-DFE2-4902-A5C6-57E54CD70862}"/>
    <cellStyle name="Normal 2 2 2 2 2 2 2 2 2 2 13 13 2" xfId="6471" xr:uid="{3AE808FE-A8B8-452D-9DDE-28E120CBE301}"/>
    <cellStyle name="Normal 2 2 2 2 2 2 2 2 2 2 13 13 3" xfId="6472" xr:uid="{006730F9-4775-4BD6-A34E-C692B6263DB7}"/>
    <cellStyle name="Normal 2 2 2 2 2 2 2 2 2 2 13 13 4" xfId="6473" xr:uid="{F9E3C067-28CB-42FB-9003-CCB2FB66A6DC}"/>
    <cellStyle name="Normal 2 2 2 2 2 2 2 2 2 2 13 14" xfId="6474" xr:uid="{BCDD4B97-AD3A-4C5A-B153-E16944B52142}"/>
    <cellStyle name="Normal 2 2 2 2 2 2 2 2 2 2 13 15" xfId="6475" xr:uid="{0BF98D3D-937D-42B5-8A5D-91B65C72C5BA}"/>
    <cellStyle name="Normal 2 2 2 2 2 2 2 2 2 2 13 16" xfId="6476" xr:uid="{8A0F4BD3-1A05-429D-966B-F6C2B703BB6B}"/>
    <cellStyle name="Normal 2 2 2 2 2 2 2 2 2 2 13 2" xfId="6477" xr:uid="{053A1426-C308-44AE-8004-9D094B76A069}"/>
    <cellStyle name="Normal 2 2 2 2 2 2 2 2 2 2 13 2 10" xfId="6478" xr:uid="{AD2F18A0-013E-4052-9C69-353E3B2D7CAC}"/>
    <cellStyle name="Normal 2 2 2 2 2 2 2 2 2 2 13 2 11" xfId="6479" xr:uid="{474404ED-E6F0-462E-A975-2BA425A311CC}"/>
    <cellStyle name="Normal 2 2 2 2 2 2 2 2 2 2 13 2 11 2" xfId="6480" xr:uid="{78A96DA6-8846-4A26-BFD4-A7570E9658A4}"/>
    <cellStyle name="Normal 2 2 2 2 2 2 2 2 2 2 13 2 11 3" xfId="6481" xr:uid="{03446874-E497-41EC-BCD1-915718894119}"/>
    <cellStyle name="Normal 2 2 2 2 2 2 2 2 2 2 13 2 11 4" xfId="6482" xr:uid="{5AC4ED85-9A09-416B-99A8-72DFBB344481}"/>
    <cellStyle name="Normal 2 2 2 2 2 2 2 2 2 2 13 2 12" xfId="6483" xr:uid="{0EC6910C-3916-474F-AB1B-ADB2503C283F}"/>
    <cellStyle name="Normal 2 2 2 2 2 2 2 2 2 2 13 2 13" xfId="6484" xr:uid="{12E1D1BC-F3B8-4FBF-A3C8-0E9C478BDB1F}"/>
    <cellStyle name="Normal 2 2 2 2 2 2 2 2 2 2 13 2 14" xfId="6485" xr:uid="{967B0B96-757A-48C6-8EFF-60449E04ADD6}"/>
    <cellStyle name="Normal 2 2 2 2 2 2 2 2 2 2 13 2 2" xfId="6486" xr:uid="{2E49E173-7E52-4357-AD45-5B83995C4EDF}"/>
    <cellStyle name="Normal 2 2 2 2 2 2 2 2 2 2 13 2 2 10" xfId="6487" xr:uid="{94A9DD59-5966-49AD-B35E-65BAB44C80D0}"/>
    <cellStyle name="Normal 2 2 2 2 2 2 2 2 2 2 13 2 2 11" xfId="6488" xr:uid="{78102EFE-4F62-46DF-9858-850D5A011BC8}"/>
    <cellStyle name="Normal 2 2 2 2 2 2 2 2 2 2 13 2 2 2" xfId="6489" xr:uid="{493C3EAF-DCF9-4327-9C24-9523C4F0AB81}"/>
    <cellStyle name="Normal 2 2 2 2 2 2 2 2 2 2 13 2 2 2 10" xfId="6490" xr:uid="{7B90C492-BD7A-4158-BB7F-124D7B7E1E94}"/>
    <cellStyle name="Normal 2 2 2 2 2 2 2 2 2 2 13 2 2 2 11" xfId="6491" xr:uid="{DF798DAA-6A2B-49E9-B4D0-F2748FD74E6A}"/>
    <cellStyle name="Normal 2 2 2 2 2 2 2 2 2 2 13 2 2 2 2" xfId="6492" xr:uid="{237F522D-ED5B-47D9-9FDD-FA8CF9AD9505}"/>
    <cellStyle name="Normal 2 2 2 2 2 2 2 2 2 2 13 2 2 2 2 2" xfId="6493" xr:uid="{7AB963C2-44A7-460D-9F6F-67CC108312BB}"/>
    <cellStyle name="Normal 2 2 2 2 2 2 2 2 2 2 13 2 2 2 2 2 2" xfId="6494" xr:uid="{D6A40A7A-43EE-457A-B906-7A7465EF2E50}"/>
    <cellStyle name="Normal 2 2 2 2 2 2 2 2 2 2 13 2 2 2 2 2 3" xfId="6495" xr:uid="{3DD96330-B056-4812-A810-BA86ECDF230C}"/>
    <cellStyle name="Normal 2 2 2 2 2 2 2 2 2 2 13 2 2 2 2 2 4" xfId="6496" xr:uid="{395E74B6-4366-4C8F-9094-C71410090E92}"/>
    <cellStyle name="Normal 2 2 2 2 2 2 2 2 2 2 13 2 2 2 2 3" xfId="6497" xr:uid="{396EE2AE-97A0-4D4F-A11E-2009163D37DF}"/>
    <cellStyle name="Normal 2 2 2 2 2 2 2 2 2 2 13 2 2 2 2 4" xfId="6498" xr:uid="{39E3C03D-15F1-4791-8AF0-5F1EC4514C93}"/>
    <cellStyle name="Normal 2 2 2 2 2 2 2 2 2 2 13 2 2 2 2 5" xfId="6499" xr:uid="{F759EE17-B225-4B3D-82F5-98EC0914D096}"/>
    <cellStyle name="Normal 2 2 2 2 2 2 2 2 2 2 13 2 2 2 2 6" xfId="6500" xr:uid="{40A45C52-5498-423A-B70D-7B063A42A419}"/>
    <cellStyle name="Normal 2 2 2 2 2 2 2 2 2 2 13 2 2 2 3" xfId="6501" xr:uid="{BB9519E2-D080-4C9B-94D1-551C55ECBB65}"/>
    <cellStyle name="Normal 2 2 2 2 2 2 2 2 2 2 13 2 2 2 4" xfId="6502" xr:uid="{3EEF9F64-602B-45F9-A7B9-6486DA7F9CBE}"/>
    <cellStyle name="Normal 2 2 2 2 2 2 2 2 2 2 13 2 2 2 5" xfId="6503" xr:uid="{60CA44C8-4186-496F-96D1-55F5D84037AB}"/>
    <cellStyle name="Normal 2 2 2 2 2 2 2 2 2 2 13 2 2 2 6" xfId="6504" xr:uid="{33D47B10-BF69-43AA-AF02-C2B681A99B8E}"/>
    <cellStyle name="Normal 2 2 2 2 2 2 2 2 2 2 13 2 2 2 7" xfId="6505" xr:uid="{950424F7-0B1D-43B8-9C29-DD5B94F0300E}"/>
    <cellStyle name="Normal 2 2 2 2 2 2 2 2 2 2 13 2 2 2 8" xfId="6506" xr:uid="{F2CB3D6A-2E60-45E0-BF7F-F5B132E4089E}"/>
    <cellStyle name="Normal 2 2 2 2 2 2 2 2 2 2 13 2 2 2 8 2" xfId="6507" xr:uid="{40200C54-73D3-468B-B501-FC31CB2AB3F2}"/>
    <cellStyle name="Normal 2 2 2 2 2 2 2 2 2 2 13 2 2 2 8 3" xfId="6508" xr:uid="{4BE233C7-96C3-4995-A0E3-072A08D871F5}"/>
    <cellStyle name="Normal 2 2 2 2 2 2 2 2 2 2 13 2 2 2 8 4" xfId="6509" xr:uid="{BF82100D-7BC5-4CD3-85AF-47F15C80B3CC}"/>
    <cellStyle name="Normal 2 2 2 2 2 2 2 2 2 2 13 2 2 2 9" xfId="6510" xr:uid="{BA6CAE0F-55F1-407E-B42E-802420D00D4A}"/>
    <cellStyle name="Normal 2 2 2 2 2 2 2 2 2 2 13 2 2 3" xfId="6511" xr:uid="{19EF7DC7-44CD-4D28-8563-52EE69A21F0B}"/>
    <cellStyle name="Normal 2 2 2 2 2 2 2 2 2 2 13 2 2 3 2" xfId="6512" xr:uid="{A92A4D6F-0803-42F1-B904-C52DE7665002}"/>
    <cellStyle name="Normal 2 2 2 2 2 2 2 2 2 2 13 2 2 3 2 2" xfId="6513" xr:uid="{0FC6226B-9AA2-4E85-810F-E2E5E914B307}"/>
    <cellStyle name="Normal 2 2 2 2 2 2 2 2 2 2 13 2 2 3 2 3" xfId="6514" xr:uid="{397B63E8-89D5-45AA-8C4D-1530E09C3058}"/>
    <cellStyle name="Normal 2 2 2 2 2 2 2 2 2 2 13 2 2 3 2 4" xfId="6515" xr:uid="{C16B7FD7-854A-4857-B906-2F0F95C2667D}"/>
    <cellStyle name="Normal 2 2 2 2 2 2 2 2 2 2 13 2 2 3 3" xfId="6516" xr:uid="{C446879F-B71C-4A6D-82F8-ABE5DCD8AE52}"/>
    <cellStyle name="Normal 2 2 2 2 2 2 2 2 2 2 13 2 2 3 4" xfId="6517" xr:uid="{31410DCD-8323-4D49-B691-67B6176585FF}"/>
    <cellStyle name="Normal 2 2 2 2 2 2 2 2 2 2 13 2 2 3 5" xfId="6518" xr:uid="{AE3FA5CE-91A5-491E-B1DB-2FF7B9A2AA46}"/>
    <cellStyle name="Normal 2 2 2 2 2 2 2 2 2 2 13 2 2 3 6" xfId="6519" xr:uid="{1FA14E81-B388-4281-AB54-AE1ED1B4B136}"/>
    <cellStyle name="Normal 2 2 2 2 2 2 2 2 2 2 13 2 2 4" xfId="6520" xr:uid="{8796328E-5555-489B-AB5E-5ECD1DFED1BA}"/>
    <cellStyle name="Normal 2 2 2 2 2 2 2 2 2 2 13 2 2 5" xfId="6521" xr:uid="{2DFEB2EC-6430-4474-8557-33EAE86A4C50}"/>
    <cellStyle name="Normal 2 2 2 2 2 2 2 2 2 2 13 2 2 6" xfId="6522" xr:uid="{7D44313C-56F0-4342-9D0D-DA3BA0433C97}"/>
    <cellStyle name="Normal 2 2 2 2 2 2 2 2 2 2 13 2 2 7" xfId="6523" xr:uid="{54F3490C-B80D-4AA6-8250-2550F6A9568D}"/>
    <cellStyle name="Normal 2 2 2 2 2 2 2 2 2 2 13 2 2 8" xfId="6524" xr:uid="{62FC903F-28A0-4593-BC2B-7BEDBD22394C}"/>
    <cellStyle name="Normal 2 2 2 2 2 2 2 2 2 2 13 2 2 8 2" xfId="6525" xr:uid="{9B366C3D-E1B2-488B-8F8D-4DEB513D5C5E}"/>
    <cellStyle name="Normal 2 2 2 2 2 2 2 2 2 2 13 2 2 8 3" xfId="6526" xr:uid="{A723C017-8015-4FC1-8559-920C198CB8DE}"/>
    <cellStyle name="Normal 2 2 2 2 2 2 2 2 2 2 13 2 2 8 4" xfId="6527" xr:uid="{C78CE328-9B76-455F-94B0-EA3874DE7E56}"/>
    <cellStyle name="Normal 2 2 2 2 2 2 2 2 2 2 13 2 2 9" xfId="6528" xr:uid="{8A5DEB9D-73C2-40BB-A17A-FFE620F51D42}"/>
    <cellStyle name="Normal 2 2 2 2 2 2 2 2 2 2 13 2 3" xfId="6529" xr:uid="{CE2AFA46-2D44-49FA-9087-03552DB3161F}"/>
    <cellStyle name="Normal 2 2 2 2 2 2 2 2 2 2 13 2 4" xfId="6530" xr:uid="{BACAB728-9F91-4D0E-97EA-929D777E554C}"/>
    <cellStyle name="Normal 2 2 2 2 2 2 2 2 2 2 13 2 5" xfId="6531" xr:uid="{85797837-F14A-4D70-A607-548D97E0F859}"/>
    <cellStyle name="Normal 2 2 2 2 2 2 2 2 2 2 13 2 5 2" xfId="6532" xr:uid="{74E17BBE-E5DE-49EA-9D9C-F3517A453341}"/>
    <cellStyle name="Normal 2 2 2 2 2 2 2 2 2 2 13 2 5 2 2" xfId="6533" xr:uid="{778FDF99-9FFC-4DC6-8436-F6F4269D25E3}"/>
    <cellStyle name="Normal 2 2 2 2 2 2 2 2 2 2 13 2 5 2 3" xfId="6534" xr:uid="{6849BD8E-0933-43CD-8780-9D6B86D0A59D}"/>
    <cellStyle name="Normal 2 2 2 2 2 2 2 2 2 2 13 2 5 2 4" xfId="6535" xr:uid="{8D26AD72-1FBA-4A3F-A65B-9C6FD1FD3D1A}"/>
    <cellStyle name="Normal 2 2 2 2 2 2 2 2 2 2 13 2 5 3" xfId="6536" xr:uid="{437E7D9A-E77D-4052-8C25-ACD52A52DDD0}"/>
    <cellStyle name="Normal 2 2 2 2 2 2 2 2 2 2 13 2 5 4" xfId="6537" xr:uid="{4D47AD9F-8AB5-458B-9882-0FE71592538E}"/>
    <cellStyle name="Normal 2 2 2 2 2 2 2 2 2 2 13 2 5 5" xfId="6538" xr:uid="{8CCE56FF-EA13-4B67-BE84-0E0D317F5D6F}"/>
    <cellStyle name="Normal 2 2 2 2 2 2 2 2 2 2 13 2 5 6" xfId="6539" xr:uid="{15973CFC-0836-4691-9141-4CE3148495AE}"/>
    <cellStyle name="Normal 2 2 2 2 2 2 2 2 2 2 13 2 6" xfId="6540" xr:uid="{67FD427A-C6B6-41C5-9555-28499FBFD5EF}"/>
    <cellStyle name="Normal 2 2 2 2 2 2 2 2 2 2 13 2 7" xfId="6541" xr:uid="{A94E26C2-61DD-4D61-99A1-CE767FB841FB}"/>
    <cellStyle name="Normal 2 2 2 2 2 2 2 2 2 2 13 2 8" xfId="6542" xr:uid="{27779896-8E27-40F6-A802-D5E21908053F}"/>
    <cellStyle name="Normal 2 2 2 2 2 2 2 2 2 2 13 2 9" xfId="6543" xr:uid="{B36A1E94-CAB0-47AD-802A-F97B51203BA9}"/>
    <cellStyle name="Normal 2 2 2 2 2 2 2 2 2 2 13 3" xfId="6544" xr:uid="{CE33D0BC-3AAB-4124-987D-5E1C492D6E6A}"/>
    <cellStyle name="Normal 2 2 2 2 2 2 2 2 2 2 13 4" xfId="6545" xr:uid="{4A411D2E-A060-4F22-BD0A-40B28218EFE0}"/>
    <cellStyle name="Normal 2 2 2 2 2 2 2 2 2 2 13 5" xfId="6546" xr:uid="{43705861-A6BE-4D7F-BE19-C9F39DB5952D}"/>
    <cellStyle name="Normal 2 2 2 2 2 2 2 2 2 2 13 5 10" xfId="6547" xr:uid="{037592FA-1A53-4798-AD98-3C07C69A182C}"/>
    <cellStyle name="Normal 2 2 2 2 2 2 2 2 2 2 13 5 11" xfId="6548" xr:uid="{6A9F7D1E-1425-4395-91A0-A70D36995DF6}"/>
    <cellStyle name="Normal 2 2 2 2 2 2 2 2 2 2 13 5 2" xfId="6549" xr:uid="{E6A52FEA-F7FA-4AF4-A217-A71A9C1E8D05}"/>
    <cellStyle name="Normal 2 2 2 2 2 2 2 2 2 2 13 5 2 10" xfId="6550" xr:uid="{5B1F7D9F-91D6-4791-AA1A-515B2C81915B}"/>
    <cellStyle name="Normal 2 2 2 2 2 2 2 2 2 2 13 5 2 11" xfId="6551" xr:uid="{21B05BA7-5D83-4208-8FF4-27C81C5BB93F}"/>
    <cellStyle name="Normal 2 2 2 2 2 2 2 2 2 2 13 5 2 2" xfId="6552" xr:uid="{F47BE8D5-87FB-4391-94C0-0FE49D238F3E}"/>
    <cellStyle name="Normal 2 2 2 2 2 2 2 2 2 2 13 5 2 2 2" xfId="6553" xr:uid="{A17D6B3A-F2D8-4986-B743-B26A698A5B46}"/>
    <cellStyle name="Normal 2 2 2 2 2 2 2 2 2 2 13 5 2 2 2 2" xfId="6554" xr:uid="{C74E52F1-3463-4253-9A27-19CD62C122DE}"/>
    <cellStyle name="Normal 2 2 2 2 2 2 2 2 2 2 13 5 2 2 2 3" xfId="6555" xr:uid="{2664964A-DCF1-494D-A399-A25B9715DF85}"/>
    <cellStyle name="Normal 2 2 2 2 2 2 2 2 2 2 13 5 2 2 2 4" xfId="6556" xr:uid="{6BCDC177-AC72-45C1-82EC-70B98CD8DC7B}"/>
    <cellStyle name="Normal 2 2 2 2 2 2 2 2 2 2 13 5 2 2 3" xfId="6557" xr:uid="{716F2BD7-57CC-417F-9F49-0F6BAE6F38EB}"/>
    <cellStyle name="Normal 2 2 2 2 2 2 2 2 2 2 13 5 2 2 4" xfId="6558" xr:uid="{C5A01512-A81D-434A-B922-FC2B8F90C8C0}"/>
    <cellStyle name="Normal 2 2 2 2 2 2 2 2 2 2 13 5 2 2 5" xfId="6559" xr:uid="{B24866E5-01FA-4CE2-BF87-57F11665A31B}"/>
    <cellStyle name="Normal 2 2 2 2 2 2 2 2 2 2 13 5 2 2 6" xfId="6560" xr:uid="{D485027D-B8F0-4389-9F3B-5E922AE001AE}"/>
    <cellStyle name="Normal 2 2 2 2 2 2 2 2 2 2 13 5 2 3" xfId="6561" xr:uid="{EF36F585-7C12-4A45-B745-449105CB2237}"/>
    <cellStyle name="Normal 2 2 2 2 2 2 2 2 2 2 13 5 2 4" xfId="6562" xr:uid="{B574C5A3-8661-4493-8FE1-602BB8351E5A}"/>
    <cellStyle name="Normal 2 2 2 2 2 2 2 2 2 2 13 5 2 5" xfId="6563" xr:uid="{C1E29957-3243-4EFA-8839-6D9DB1A8EE91}"/>
    <cellStyle name="Normal 2 2 2 2 2 2 2 2 2 2 13 5 2 6" xfId="6564" xr:uid="{10FE27CB-98CB-4C7E-BA6B-9EB816FD2CAD}"/>
    <cellStyle name="Normal 2 2 2 2 2 2 2 2 2 2 13 5 2 7" xfId="6565" xr:uid="{97274968-3667-4DA2-B3AD-9BFF5D73FB02}"/>
    <cellStyle name="Normal 2 2 2 2 2 2 2 2 2 2 13 5 2 8" xfId="6566" xr:uid="{527D00D6-2E88-4A75-859D-011EABCDB5E5}"/>
    <cellStyle name="Normal 2 2 2 2 2 2 2 2 2 2 13 5 2 8 2" xfId="6567" xr:uid="{53339396-1D26-4960-9475-964AA7FA8203}"/>
    <cellStyle name="Normal 2 2 2 2 2 2 2 2 2 2 13 5 2 8 3" xfId="6568" xr:uid="{4D6B5EF3-97A0-4DDB-86AF-9964B8448047}"/>
    <cellStyle name="Normal 2 2 2 2 2 2 2 2 2 2 13 5 2 8 4" xfId="6569" xr:uid="{8736B01E-14E0-4C7A-BABB-5742E16231E2}"/>
    <cellStyle name="Normal 2 2 2 2 2 2 2 2 2 2 13 5 2 9" xfId="6570" xr:uid="{1E4999B4-532F-498C-BD6F-149BCCC5B747}"/>
    <cellStyle name="Normal 2 2 2 2 2 2 2 2 2 2 13 5 3" xfId="6571" xr:uid="{38DBA81E-40A2-4A8E-9719-4B707BFE6043}"/>
    <cellStyle name="Normal 2 2 2 2 2 2 2 2 2 2 13 5 3 2" xfId="6572" xr:uid="{80BD22E8-2DE9-4BAE-A878-58D5B854DE4C}"/>
    <cellStyle name="Normal 2 2 2 2 2 2 2 2 2 2 13 5 3 2 2" xfId="6573" xr:uid="{481B62B5-2E45-4C17-9311-66C682694AD4}"/>
    <cellStyle name="Normal 2 2 2 2 2 2 2 2 2 2 13 5 3 2 3" xfId="6574" xr:uid="{880595EE-3600-4489-9F4C-1C68F917D0F9}"/>
    <cellStyle name="Normal 2 2 2 2 2 2 2 2 2 2 13 5 3 2 4" xfId="6575" xr:uid="{3AC69B55-D762-4D72-BB36-DAA5E389F944}"/>
    <cellStyle name="Normal 2 2 2 2 2 2 2 2 2 2 13 5 3 3" xfId="6576" xr:uid="{DA3B6C06-21AD-45F6-805F-FD45749F1CB8}"/>
    <cellStyle name="Normal 2 2 2 2 2 2 2 2 2 2 13 5 3 4" xfId="6577" xr:uid="{65AAB608-427D-4B37-AEDD-07D950A03468}"/>
    <cellStyle name="Normal 2 2 2 2 2 2 2 2 2 2 13 5 3 5" xfId="6578" xr:uid="{350DDDC7-0AFE-47E1-8F58-D31BDB5B8B17}"/>
    <cellStyle name="Normal 2 2 2 2 2 2 2 2 2 2 13 5 3 6" xfId="6579" xr:uid="{8EE7C969-8264-4271-9232-9F62C1EAE880}"/>
    <cellStyle name="Normal 2 2 2 2 2 2 2 2 2 2 13 5 4" xfId="6580" xr:uid="{483DA418-0D30-41E1-BECC-34B9EE858F20}"/>
    <cellStyle name="Normal 2 2 2 2 2 2 2 2 2 2 13 5 5" xfId="6581" xr:uid="{E3A97C1E-428F-42D9-A689-E341DCA32C26}"/>
    <cellStyle name="Normal 2 2 2 2 2 2 2 2 2 2 13 5 6" xfId="6582" xr:uid="{C8F0A39B-546B-4706-A8A6-13D1274DA0F6}"/>
    <cellStyle name="Normal 2 2 2 2 2 2 2 2 2 2 13 5 7" xfId="6583" xr:uid="{BD190084-DA5E-4106-99C4-B07BA74E3B2C}"/>
    <cellStyle name="Normal 2 2 2 2 2 2 2 2 2 2 13 5 8" xfId="6584" xr:uid="{821D6CE8-9E8E-4CCC-84D5-3F3EDB4C3512}"/>
    <cellStyle name="Normal 2 2 2 2 2 2 2 2 2 2 13 5 8 2" xfId="6585" xr:uid="{221BFCF5-8DBB-4CD1-8A74-3B278F3DFE0D}"/>
    <cellStyle name="Normal 2 2 2 2 2 2 2 2 2 2 13 5 8 3" xfId="6586" xr:uid="{3781D09F-7245-40AF-A9C0-A024766AA7CC}"/>
    <cellStyle name="Normal 2 2 2 2 2 2 2 2 2 2 13 5 8 4" xfId="6587" xr:uid="{C537AF58-C148-412F-B7A3-B06D10C766A9}"/>
    <cellStyle name="Normal 2 2 2 2 2 2 2 2 2 2 13 5 9" xfId="6588" xr:uid="{E0AF7135-F7DF-42AE-8D95-F6C48712CB8E}"/>
    <cellStyle name="Normal 2 2 2 2 2 2 2 2 2 2 13 6" xfId="6589" xr:uid="{DBD85CBA-6E54-461D-A74A-D98193A2BD79}"/>
    <cellStyle name="Normal 2 2 2 2 2 2 2 2 2 2 13 7" xfId="6590" xr:uid="{37E4B2B1-77CD-4B11-8F92-4DC554850CD1}"/>
    <cellStyle name="Normal 2 2 2 2 2 2 2 2 2 2 13 7 2" xfId="6591" xr:uid="{118BC41D-95A1-40DC-981D-28331DC1EEF8}"/>
    <cellStyle name="Normal 2 2 2 2 2 2 2 2 2 2 13 7 2 2" xfId="6592" xr:uid="{89BD518E-7055-408A-842B-AABD4D2CD38F}"/>
    <cellStyle name="Normal 2 2 2 2 2 2 2 2 2 2 13 7 2 3" xfId="6593" xr:uid="{53FB49F3-4782-4E94-9B5F-3EAC85C8FC1D}"/>
    <cellStyle name="Normal 2 2 2 2 2 2 2 2 2 2 13 7 2 4" xfId="6594" xr:uid="{25210E58-54A4-4633-B207-9F5766C3217B}"/>
    <cellStyle name="Normal 2 2 2 2 2 2 2 2 2 2 13 7 3" xfId="6595" xr:uid="{C6E180FE-6461-4277-B11D-875EFE67D2F9}"/>
    <cellStyle name="Normal 2 2 2 2 2 2 2 2 2 2 13 7 4" xfId="6596" xr:uid="{772DF867-C759-458C-AF0B-C34E8891D41D}"/>
    <cellStyle name="Normal 2 2 2 2 2 2 2 2 2 2 13 7 5" xfId="6597" xr:uid="{08822F83-0793-46BC-A22F-A6424964022C}"/>
    <cellStyle name="Normal 2 2 2 2 2 2 2 2 2 2 13 7 6" xfId="6598" xr:uid="{8726354B-F91F-4A2A-81A7-FEFD35B1604F}"/>
    <cellStyle name="Normal 2 2 2 2 2 2 2 2 2 2 13 8" xfId="6599" xr:uid="{67774995-9BA9-48AF-B1E9-119BA41F3C4C}"/>
    <cellStyle name="Normal 2 2 2 2 2 2 2 2 2 2 13 9" xfId="6600" xr:uid="{6FCC9E5A-ECFA-4588-BB2A-8601FFF6CA4E}"/>
    <cellStyle name="Normal 2 2 2 2 2 2 2 2 2 2 14" xfId="6601" xr:uid="{2768C1D2-A9D9-4A75-81D2-7690DCE9DD07}"/>
    <cellStyle name="Normal 2 2 2 2 2 2 2 2 2 2 15" xfId="6602" xr:uid="{8BF9E055-22FB-4554-8125-30BB481E8B19}"/>
    <cellStyle name="Normal 2 2 2 2 2 2 2 2 2 2 16" xfId="6603" xr:uid="{358D4921-E489-46AB-962B-6FE7393B214D}"/>
    <cellStyle name="Normal 2 2 2 2 2 2 2 2 2 2 17" xfId="6604" xr:uid="{B084E461-46C1-449E-B339-967BF84E3751}"/>
    <cellStyle name="Normal 2 2 2 2 2 2 2 2 2 2 18" xfId="6605" xr:uid="{58BBE078-8BD8-4736-A370-1A73DA2403C0}"/>
    <cellStyle name="Normal 2 2 2 2 2 2 2 2 2 2 19" xfId="6606" xr:uid="{DDE404FF-2C5E-4325-8787-3BE63214A74C}"/>
    <cellStyle name="Normal 2 2 2 2 2 2 2 2 2 2 2" xfId="6607" xr:uid="{9C6954BF-ABFA-48C0-B9EC-2CC14D0093E5}"/>
    <cellStyle name="Normal 2 2 2 2 2 2 2 2 2 2 2 10" xfId="6608" xr:uid="{47E843BA-3754-4E42-B7F3-8419E9A20488}"/>
    <cellStyle name="Normal 2 2 2 2 2 2 2 2 2 2 2 11" xfId="6609" xr:uid="{2F28D264-90E5-4418-B4ED-877AAC0154D6}"/>
    <cellStyle name="Normal 2 2 2 2 2 2 2 2 2 2 2 12" xfId="6610" xr:uid="{8598A8B3-9F4B-4210-8F20-839F2A89FE20}"/>
    <cellStyle name="Normal 2 2 2 2 2 2 2 2 2 2 2 13" xfId="6611" xr:uid="{B4C1BEC2-2C2B-4F33-BAA1-CE36DAA30C9F}"/>
    <cellStyle name="Normal 2 2 2 2 2 2 2 2 2 2 2 14" xfId="6612" xr:uid="{4ACB107F-024C-4B45-AB3F-3913F9B70AD8}"/>
    <cellStyle name="Normal 2 2 2 2 2 2 2 2 2 2 2 15" xfId="6613" xr:uid="{47407D13-61E1-4409-AB64-BDC5C020CAE2}"/>
    <cellStyle name="Normal 2 2 2 2 2 2 2 2 2 2 2 16" xfId="6614" xr:uid="{290CF1EE-5269-4107-8D38-E0A22CB559E3}"/>
    <cellStyle name="Normal 2 2 2 2 2 2 2 2 2 2 2 17" xfId="6615" xr:uid="{58EE9632-8609-4128-A8E0-B71D2C694DF3}"/>
    <cellStyle name="Normal 2 2 2 2 2 2 2 2 2 2 2 17 10" xfId="6616" xr:uid="{2A618B08-0C6F-4154-A30A-0B1BBC1D1354}"/>
    <cellStyle name="Normal 2 2 2 2 2 2 2 2 2 2 2 17 11" xfId="6617" xr:uid="{B2581B28-0F38-4F36-884A-4A5CC3E6262B}"/>
    <cellStyle name="Normal 2 2 2 2 2 2 2 2 2 2 2 17 11 2" xfId="6618" xr:uid="{3EA2832F-21CC-462F-90DF-2BD83DD196E9}"/>
    <cellStyle name="Normal 2 2 2 2 2 2 2 2 2 2 2 17 11 3" xfId="6619" xr:uid="{F84AD781-89D4-421D-A8C7-1108D35B1E4E}"/>
    <cellStyle name="Normal 2 2 2 2 2 2 2 2 2 2 2 17 11 4" xfId="6620" xr:uid="{8DDA3F28-AC0D-467E-8FEF-16A29A52A34B}"/>
    <cellStyle name="Normal 2 2 2 2 2 2 2 2 2 2 2 17 12" xfId="6621" xr:uid="{237BFCF4-42BF-466A-BEB4-23427249E25E}"/>
    <cellStyle name="Normal 2 2 2 2 2 2 2 2 2 2 2 17 13" xfId="6622" xr:uid="{1AA8C30C-28AB-4088-BA67-8F4A61E7E045}"/>
    <cellStyle name="Normal 2 2 2 2 2 2 2 2 2 2 2 17 14" xfId="6623" xr:uid="{50BEC6F1-2E88-43BE-9843-9DDAD9CF290A}"/>
    <cellStyle name="Normal 2 2 2 2 2 2 2 2 2 2 2 17 2" xfId="6624" xr:uid="{A0D700B2-40E9-408A-A62B-D1E24709FF61}"/>
    <cellStyle name="Normal 2 2 2 2 2 2 2 2 2 2 2 17 2 10" xfId="6625" xr:uid="{363A01CA-1DB3-4A39-922E-B0625E4984DB}"/>
    <cellStyle name="Normal 2 2 2 2 2 2 2 2 2 2 2 17 2 11" xfId="6626" xr:uid="{0D7E3132-4338-4E28-B2D1-D553DCE89A5D}"/>
    <cellStyle name="Normal 2 2 2 2 2 2 2 2 2 2 2 17 2 2" xfId="6627" xr:uid="{D138D050-192E-4932-B0D0-45348E09DE84}"/>
    <cellStyle name="Normal 2 2 2 2 2 2 2 2 2 2 2 17 2 2 10" xfId="6628" xr:uid="{75C03720-F005-42DC-BDE9-53CBCEB02863}"/>
    <cellStyle name="Normal 2 2 2 2 2 2 2 2 2 2 2 17 2 2 11" xfId="6629" xr:uid="{355BCF61-429A-44AE-9007-FD8752E3ED65}"/>
    <cellStyle name="Normal 2 2 2 2 2 2 2 2 2 2 2 17 2 2 2" xfId="6630" xr:uid="{C28BF83B-8B75-493D-854E-FF93281E544C}"/>
    <cellStyle name="Normal 2 2 2 2 2 2 2 2 2 2 2 17 2 2 2 2" xfId="6631" xr:uid="{7E5BB81C-B0F4-4853-BBF3-49C400E12EC0}"/>
    <cellStyle name="Normal 2 2 2 2 2 2 2 2 2 2 2 17 2 2 2 2 2" xfId="6632" xr:uid="{CD0249A2-5FA2-441C-B40B-628CB748B41D}"/>
    <cellStyle name="Normal 2 2 2 2 2 2 2 2 2 2 2 17 2 2 2 2 3" xfId="6633" xr:uid="{3E5E6951-B616-481C-8B40-8FAB1FEC3136}"/>
    <cellStyle name="Normal 2 2 2 2 2 2 2 2 2 2 2 17 2 2 2 2 4" xfId="6634" xr:uid="{165252CE-1A21-447D-A13C-0466D7080523}"/>
    <cellStyle name="Normal 2 2 2 2 2 2 2 2 2 2 2 17 2 2 2 3" xfId="6635" xr:uid="{D2B4AC23-CF80-4691-ABB5-2B3CA86E17CC}"/>
    <cellStyle name="Normal 2 2 2 2 2 2 2 2 2 2 2 17 2 2 2 4" xfId="6636" xr:uid="{B011611A-D6F6-4F6B-A029-26C092ACC784}"/>
    <cellStyle name="Normal 2 2 2 2 2 2 2 2 2 2 2 17 2 2 2 5" xfId="6637" xr:uid="{2CCFFAF5-AC89-4CF6-A497-18468CE07A09}"/>
    <cellStyle name="Normal 2 2 2 2 2 2 2 2 2 2 2 17 2 2 2 6" xfId="6638" xr:uid="{19AD311A-8940-4C1D-88AC-48F9ACA18AF3}"/>
    <cellStyle name="Normal 2 2 2 2 2 2 2 2 2 2 2 17 2 2 3" xfId="6639" xr:uid="{FE8F7880-9D3F-47DA-85A8-10C0E1AA42AF}"/>
    <cellStyle name="Normal 2 2 2 2 2 2 2 2 2 2 2 17 2 2 4" xfId="6640" xr:uid="{8A45D8E7-7C4E-4C51-BE05-6DCBA9FD25B3}"/>
    <cellStyle name="Normal 2 2 2 2 2 2 2 2 2 2 2 17 2 2 5" xfId="6641" xr:uid="{A49F7D63-58F7-4FAA-BEEC-808777B7B094}"/>
    <cellStyle name="Normal 2 2 2 2 2 2 2 2 2 2 2 17 2 2 6" xfId="6642" xr:uid="{F2A523B9-EB11-4E45-9503-22C447E2F284}"/>
    <cellStyle name="Normal 2 2 2 2 2 2 2 2 2 2 2 17 2 2 7" xfId="6643" xr:uid="{2755540D-9897-4C07-AB57-A4FA9E0978E9}"/>
    <cellStyle name="Normal 2 2 2 2 2 2 2 2 2 2 2 17 2 2 8" xfId="6644" xr:uid="{06EDC9B8-BF23-42A3-AE63-B2095EAE9675}"/>
    <cellStyle name="Normal 2 2 2 2 2 2 2 2 2 2 2 17 2 2 8 2" xfId="6645" xr:uid="{49C2F97F-152D-405E-8953-EE1D6EF25E61}"/>
    <cellStyle name="Normal 2 2 2 2 2 2 2 2 2 2 2 17 2 2 8 3" xfId="6646" xr:uid="{599AE52E-2C38-4BAF-A0C2-DD8D89C3A939}"/>
    <cellStyle name="Normal 2 2 2 2 2 2 2 2 2 2 2 17 2 2 8 4" xfId="6647" xr:uid="{A70DD245-CB31-46F1-AB5B-BB7787DE341B}"/>
    <cellStyle name="Normal 2 2 2 2 2 2 2 2 2 2 2 17 2 2 9" xfId="6648" xr:uid="{A64EBD17-133D-428A-9A7D-F28B2C701FCB}"/>
    <cellStyle name="Normal 2 2 2 2 2 2 2 2 2 2 2 17 2 3" xfId="6649" xr:uid="{E9B807A4-9A03-4E8E-9673-D736D17B96A4}"/>
    <cellStyle name="Normal 2 2 2 2 2 2 2 2 2 2 2 17 2 3 2" xfId="6650" xr:uid="{D1861DEB-58AB-480B-8F0C-8AF7D43F845E}"/>
    <cellStyle name="Normal 2 2 2 2 2 2 2 2 2 2 2 17 2 3 2 2" xfId="6651" xr:uid="{7967FD58-4832-4C69-AAB3-272CA9A92232}"/>
    <cellStyle name="Normal 2 2 2 2 2 2 2 2 2 2 2 17 2 3 2 3" xfId="6652" xr:uid="{025960AD-C3C8-4B09-9C6F-D64FAB5950D3}"/>
    <cellStyle name="Normal 2 2 2 2 2 2 2 2 2 2 2 17 2 3 2 4" xfId="6653" xr:uid="{00247791-C167-4EEF-BABB-2DEFEC36CDF9}"/>
    <cellStyle name="Normal 2 2 2 2 2 2 2 2 2 2 2 17 2 3 3" xfId="6654" xr:uid="{E30C0165-D557-4E33-B936-ACCA63B0333A}"/>
    <cellStyle name="Normal 2 2 2 2 2 2 2 2 2 2 2 17 2 3 4" xfId="6655" xr:uid="{2564CA4F-9BAB-4A5A-BE4C-2216C3B42F70}"/>
    <cellStyle name="Normal 2 2 2 2 2 2 2 2 2 2 2 17 2 3 5" xfId="6656" xr:uid="{45C3CC6E-563C-4C69-BDD1-D612F0D029EA}"/>
    <cellStyle name="Normal 2 2 2 2 2 2 2 2 2 2 2 17 2 3 6" xfId="6657" xr:uid="{9E05D9D4-F5C3-42DF-A010-C15FE7C6E8FC}"/>
    <cellStyle name="Normal 2 2 2 2 2 2 2 2 2 2 2 17 2 4" xfId="6658" xr:uid="{BC5AE4C5-AFB7-4FB0-99D4-6C969D76FE1D}"/>
    <cellStyle name="Normal 2 2 2 2 2 2 2 2 2 2 2 17 2 5" xfId="6659" xr:uid="{E480362B-74ED-48E0-9646-0854295D46BF}"/>
    <cellStyle name="Normal 2 2 2 2 2 2 2 2 2 2 2 17 2 6" xfId="6660" xr:uid="{17C0CDE8-945F-4E23-96E2-7AF509AFA6F7}"/>
    <cellStyle name="Normal 2 2 2 2 2 2 2 2 2 2 2 17 2 7" xfId="6661" xr:uid="{2EB1A385-6402-42F5-927F-718A2C43EFBD}"/>
    <cellStyle name="Normal 2 2 2 2 2 2 2 2 2 2 2 17 2 8" xfId="6662" xr:uid="{895F5EC1-AD47-40CD-8B34-E88E7895A511}"/>
    <cellStyle name="Normal 2 2 2 2 2 2 2 2 2 2 2 17 2 8 2" xfId="6663" xr:uid="{8A8E1D9F-C557-460E-B90E-5C3946771FB4}"/>
    <cellStyle name="Normal 2 2 2 2 2 2 2 2 2 2 2 17 2 8 3" xfId="6664" xr:uid="{6FB25972-3A96-4AC3-99B8-B81CDF672F16}"/>
    <cellStyle name="Normal 2 2 2 2 2 2 2 2 2 2 2 17 2 8 4" xfId="6665" xr:uid="{2121D1F0-C084-4E77-BD54-02C3573BEE60}"/>
    <cellStyle name="Normal 2 2 2 2 2 2 2 2 2 2 2 17 2 9" xfId="6666" xr:uid="{7D8E711A-C2EA-4A30-9C4D-1CB5AFA53361}"/>
    <cellStyle name="Normal 2 2 2 2 2 2 2 2 2 2 2 17 3" xfId="6667" xr:uid="{C41A470E-59C9-4F39-A054-8DE89A7CCB83}"/>
    <cellStyle name="Normal 2 2 2 2 2 2 2 2 2 2 2 17 4" xfId="6668" xr:uid="{DA353FE9-3D14-4578-B13A-3AD29543BD7A}"/>
    <cellStyle name="Normal 2 2 2 2 2 2 2 2 2 2 2 17 5" xfId="6669" xr:uid="{52051715-837F-4E2D-B11E-11E4C355CD07}"/>
    <cellStyle name="Normal 2 2 2 2 2 2 2 2 2 2 2 17 5 2" xfId="6670" xr:uid="{F50D4FFA-64CD-4436-9676-05BA95E909BE}"/>
    <cellStyle name="Normal 2 2 2 2 2 2 2 2 2 2 2 17 5 2 2" xfId="6671" xr:uid="{037A99D2-8487-41DF-BF43-9646EAFE60BB}"/>
    <cellStyle name="Normal 2 2 2 2 2 2 2 2 2 2 2 17 5 2 3" xfId="6672" xr:uid="{CA4D77F3-0C72-4C8B-B26D-0090EBC6164B}"/>
    <cellStyle name="Normal 2 2 2 2 2 2 2 2 2 2 2 17 5 2 4" xfId="6673" xr:uid="{BF507837-4198-4B73-9162-B32CBD97FAB7}"/>
    <cellStyle name="Normal 2 2 2 2 2 2 2 2 2 2 2 17 5 3" xfId="6674" xr:uid="{4B84C7C4-EE26-4F84-87B2-0077ADED0F53}"/>
    <cellStyle name="Normal 2 2 2 2 2 2 2 2 2 2 2 17 5 4" xfId="6675" xr:uid="{26CCE706-0680-4840-B882-13A75606907A}"/>
    <cellStyle name="Normal 2 2 2 2 2 2 2 2 2 2 2 17 5 5" xfId="6676" xr:uid="{48BF325F-1C8A-4BEA-B479-7307A2EC57BE}"/>
    <cellStyle name="Normal 2 2 2 2 2 2 2 2 2 2 2 17 5 6" xfId="6677" xr:uid="{69C1A4D3-3398-4F92-87B0-B335E621F196}"/>
    <cellStyle name="Normal 2 2 2 2 2 2 2 2 2 2 2 17 6" xfId="6678" xr:uid="{1E55A660-508C-40C2-AE4B-EC4AFCFC86D3}"/>
    <cellStyle name="Normal 2 2 2 2 2 2 2 2 2 2 2 17 7" xfId="6679" xr:uid="{60DC5AAF-7723-4B7A-8F5E-D8B9A7F291AB}"/>
    <cellStyle name="Normal 2 2 2 2 2 2 2 2 2 2 2 17 8" xfId="6680" xr:uid="{8E6D7AB9-43B8-420D-B26B-91E5886CD869}"/>
    <cellStyle name="Normal 2 2 2 2 2 2 2 2 2 2 2 17 9" xfId="6681" xr:uid="{567FE398-D577-4EBC-99B5-1E388C7B068E}"/>
    <cellStyle name="Normal 2 2 2 2 2 2 2 2 2 2 2 18" xfId="6682" xr:uid="{556BCB1E-7994-4992-ACEB-2781D4CCBFFE}"/>
    <cellStyle name="Normal 2 2 2 2 2 2 2 2 2 2 2 19" xfId="6683" xr:uid="{DA82DE09-7AF0-403D-8A48-7D0140A2A60C}"/>
    <cellStyle name="Normal 2 2 2 2 2 2 2 2 2 2 2 19 10" xfId="6684" xr:uid="{DABD6A5E-BCB9-4FDD-8E31-D79D6DAB88E3}"/>
    <cellStyle name="Normal 2 2 2 2 2 2 2 2 2 2 2 19 11" xfId="6685" xr:uid="{0655FE31-0DC2-4A30-846F-EEDF13213038}"/>
    <cellStyle name="Normal 2 2 2 2 2 2 2 2 2 2 2 19 2" xfId="6686" xr:uid="{D9D57CA2-02E5-48A2-A557-66C43CE324C8}"/>
    <cellStyle name="Normal 2 2 2 2 2 2 2 2 2 2 2 19 2 10" xfId="6687" xr:uid="{3D5D93EB-5EAC-4027-B2C3-02E743C92E10}"/>
    <cellStyle name="Normal 2 2 2 2 2 2 2 2 2 2 2 19 2 11" xfId="6688" xr:uid="{B7B51A6D-0D23-47BD-AE7E-FB7B5285B7DA}"/>
    <cellStyle name="Normal 2 2 2 2 2 2 2 2 2 2 2 19 2 2" xfId="6689" xr:uid="{299D5040-C3B5-4529-ABC8-5FB1AD625B50}"/>
    <cellStyle name="Normal 2 2 2 2 2 2 2 2 2 2 2 19 2 2 2" xfId="6690" xr:uid="{77D9303E-A712-4588-81C7-A7FA20CE2372}"/>
    <cellStyle name="Normal 2 2 2 2 2 2 2 2 2 2 2 19 2 2 2 2" xfId="6691" xr:uid="{3C90ADF1-47E0-45C5-8106-85D7CEBF7604}"/>
    <cellStyle name="Normal 2 2 2 2 2 2 2 2 2 2 2 19 2 2 2 3" xfId="6692" xr:uid="{C857134B-BD77-455E-9C79-7B4D9E0F55BC}"/>
    <cellStyle name="Normal 2 2 2 2 2 2 2 2 2 2 2 19 2 2 2 4" xfId="6693" xr:uid="{8D867B91-4DED-47DD-A9C2-F7D55162CA0D}"/>
    <cellStyle name="Normal 2 2 2 2 2 2 2 2 2 2 2 19 2 2 3" xfId="6694" xr:uid="{F4F1521E-9000-4FD3-93DB-104EB5C3C817}"/>
    <cellStyle name="Normal 2 2 2 2 2 2 2 2 2 2 2 19 2 2 4" xfId="6695" xr:uid="{C3BDFD50-3D5D-40D5-BC70-1C2A840ECE2C}"/>
    <cellStyle name="Normal 2 2 2 2 2 2 2 2 2 2 2 19 2 2 5" xfId="6696" xr:uid="{FB81B14B-3ADF-4843-BC36-913298AA96E4}"/>
    <cellStyle name="Normal 2 2 2 2 2 2 2 2 2 2 2 19 2 2 6" xfId="6697" xr:uid="{A35B1782-EA91-4309-A0C9-0A6D3ACFFEA3}"/>
    <cellStyle name="Normal 2 2 2 2 2 2 2 2 2 2 2 19 2 3" xfId="6698" xr:uid="{7EFCF0C2-BE3A-4E30-80A6-E5C7F2097CF6}"/>
    <cellStyle name="Normal 2 2 2 2 2 2 2 2 2 2 2 19 2 4" xfId="6699" xr:uid="{ECFCF8A7-B8B7-4D79-B035-4E57ADE6EBBF}"/>
    <cellStyle name="Normal 2 2 2 2 2 2 2 2 2 2 2 19 2 5" xfId="6700" xr:uid="{2103A89B-C16D-424E-B993-EFF9D35FABCA}"/>
    <cellStyle name="Normal 2 2 2 2 2 2 2 2 2 2 2 19 2 6" xfId="6701" xr:uid="{F9953512-156C-4525-A99D-E2876E62F4CE}"/>
    <cellStyle name="Normal 2 2 2 2 2 2 2 2 2 2 2 19 2 7" xfId="6702" xr:uid="{0B1F5D5C-642D-439B-B76B-9DB404B4EEE5}"/>
    <cellStyle name="Normal 2 2 2 2 2 2 2 2 2 2 2 19 2 8" xfId="6703" xr:uid="{6B3A1582-92A8-4E24-A0F7-22B57503C32D}"/>
    <cellStyle name="Normal 2 2 2 2 2 2 2 2 2 2 2 19 2 8 2" xfId="6704" xr:uid="{4CD05C35-E847-4861-A814-C85CEB7C337C}"/>
    <cellStyle name="Normal 2 2 2 2 2 2 2 2 2 2 2 19 2 8 3" xfId="6705" xr:uid="{A752803F-66C7-4E82-AEF3-8D849E9BF4BA}"/>
    <cellStyle name="Normal 2 2 2 2 2 2 2 2 2 2 2 19 2 8 4" xfId="6706" xr:uid="{272F668F-F038-4C16-A0CA-36A6E788BE52}"/>
    <cellStyle name="Normal 2 2 2 2 2 2 2 2 2 2 2 19 2 9" xfId="6707" xr:uid="{EB940227-B425-4FBA-8620-3B82F1979F3A}"/>
    <cellStyle name="Normal 2 2 2 2 2 2 2 2 2 2 2 19 3" xfId="6708" xr:uid="{9CAFF4F0-ED03-44E1-99CE-84F6B43FA49E}"/>
    <cellStyle name="Normal 2 2 2 2 2 2 2 2 2 2 2 19 3 2" xfId="6709" xr:uid="{6E36740D-9759-4A4E-9C3D-0FABA974985A}"/>
    <cellStyle name="Normal 2 2 2 2 2 2 2 2 2 2 2 19 3 2 2" xfId="6710" xr:uid="{9C280B6E-4301-4D19-B51C-10FA62845F87}"/>
    <cellStyle name="Normal 2 2 2 2 2 2 2 2 2 2 2 19 3 2 3" xfId="6711" xr:uid="{291D96D6-364C-42F1-8C9B-DDE80AA80670}"/>
    <cellStyle name="Normal 2 2 2 2 2 2 2 2 2 2 2 19 3 2 4" xfId="6712" xr:uid="{A705905C-EFAD-47D2-8A4D-5C042AF1BA9C}"/>
    <cellStyle name="Normal 2 2 2 2 2 2 2 2 2 2 2 19 3 3" xfId="6713" xr:uid="{D3907434-D5BE-409B-A98A-010088418C30}"/>
    <cellStyle name="Normal 2 2 2 2 2 2 2 2 2 2 2 19 3 4" xfId="6714" xr:uid="{968DD271-F34C-4522-9E20-47568074D9AF}"/>
    <cellStyle name="Normal 2 2 2 2 2 2 2 2 2 2 2 19 3 5" xfId="6715" xr:uid="{0CBE8573-52BD-40DF-8FEB-2777FC79BC81}"/>
    <cellStyle name="Normal 2 2 2 2 2 2 2 2 2 2 2 19 3 6" xfId="6716" xr:uid="{F47C63F3-ED2C-4D95-8CE5-4405244EE35A}"/>
    <cellStyle name="Normal 2 2 2 2 2 2 2 2 2 2 2 19 4" xfId="6717" xr:uid="{FD3C8963-C936-4636-9290-0F6EE4DC4C26}"/>
    <cellStyle name="Normal 2 2 2 2 2 2 2 2 2 2 2 19 5" xfId="6718" xr:uid="{F4F736DD-95B3-4127-8209-1611DFECD8F5}"/>
    <cellStyle name="Normal 2 2 2 2 2 2 2 2 2 2 2 19 6" xfId="6719" xr:uid="{CB437654-B3A1-4D3A-92C6-3405FA25E6CE}"/>
    <cellStyle name="Normal 2 2 2 2 2 2 2 2 2 2 2 19 7" xfId="6720" xr:uid="{8A500B90-CE32-400A-AD28-EA1FC532704C}"/>
    <cellStyle name="Normal 2 2 2 2 2 2 2 2 2 2 2 19 8" xfId="6721" xr:uid="{A7697CE8-BE97-44FC-8AF7-DD08CA60619B}"/>
    <cellStyle name="Normal 2 2 2 2 2 2 2 2 2 2 2 19 8 2" xfId="6722" xr:uid="{5F1A3365-DB9C-4BDF-A7AF-066E29909E1E}"/>
    <cellStyle name="Normal 2 2 2 2 2 2 2 2 2 2 2 19 8 3" xfId="6723" xr:uid="{37EE92F6-7063-4D08-BB4D-7015E1B48313}"/>
    <cellStyle name="Normal 2 2 2 2 2 2 2 2 2 2 2 19 8 4" xfId="6724" xr:uid="{63E80785-5357-437C-9161-BBBC5A717B29}"/>
    <cellStyle name="Normal 2 2 2 2 2 2 2 2 2 2 2 19 9" xfId="6725" xr:uid="{7E7E0880-06C4-4488-9E4E-7AE9D34B8AD1}"/>
    <cellStyle name="Normal 2 2 2 2 2 2 2 2 2 2 2 2" xfId="6726" xr:uid="{602D6A87-0B60-4ECD-B848-87F1362B379B}"/>
    <cellStyle name="Normal 2 2 2 2 2 2 2 2 2 2 2 2 10" xfId="6727" xr:uid="{1501AC79-165F-4882-BE7D-4C1D6CCC9CB1}"/>
    <cellStyle name="Normal 2 2 2 2 2 2 2 2 2 2 2 2 11" xfId="6728" xr:uid="{CF8D95CC-1ABA-4AEB-8CEB-C29DE848F668}"/>
    <cellStyle name="Normal 2 2 2 2 2 2 2 2 2 2 2 2 12" xfId="6729" xr:uid="{C7A32101-D00B-46BE-A242-F6D5DED28C5C}"/>
    <cellStyle name="Normal 2 2 2 2 2 2 2 2 2 2 2 2 13" xfId="6730" xr:uid="{F2D0F4A6-CC22-4736-9D26-C9857D2AA24B}"/>
    <cellStyle name="Normal 2 2 2 2 2 2 2 2 2 2 2 2 14" xfId="6731" xr:uid="{347E3846-A82D-4D1B-ADF1-C2E2713AAF4F}"/>
    <cellStyle name="Normal 2 2 2 2 2 2 2 2 2 2 2 2 15" xfId="6732" xr:uid="{E5F39BD9-D43A-41A7-9E51-9901701A77D7}"/>
    <cellStyle name="Normal 2 2 2 2 2 2 2 2 2 2 2 2 16" xfId="6733" xr:uid="{D1DF9F3B-86AB-4376-8264-9134D98CF0B1}"/>
    <cellStyle name="Normal 2 2 2 2 2 2 2 2 2 2 2 2 17" xfId="6734" xr:uid="{D69F75E4-19AE-4FED-81C4-E59B075AB56D}"/>
    <cellStyle name="Normal 2 2 2 2 2 2 2 2 2 2 2 2 17 10" xfId="6735" xr:uid="{24136358-CE31-4221-A556-DEC3E659ACAD}"/>
    <cellStyle name="Normal 2 2 2 2 2 2 2 2 2 2 2 2 17 11" xfId="6736" xr:uid="{C08926AB-925D-4D82-84EC-1068B14923E7}"/>
    <cellStyle name="Normal 2 2 2 2 2 2 2 2 2 2 2 2 17 11 2" xfId="6737" xr:uid="{93AA76F3-30C3-4D0E-9AE8-706C99DA7DF9}"/>
    <cellStyle name="Normal 2 2 2 2 2 2 2 2 2 2 2 2 17 11 3" xfId="6738" xr:uid="{107C898E-A6C0-4D08-88CB-0B47CD437BD4}"/>
    <cellStyle name="Normal 2 2 2 2 2 2 2 2 2 2 2 2 17 11 4" xfId="6739" xr:uid="{710AE53B-79A5-4C46-B2CF-4CD262837102}"/>
    <cellStyle name="Normal 2 2 2 2 2 2 2 2 2 2 2 2 17 12" xfId="6740" xr:uid="{9AD22D2C-E860-4A65-939C-55DADC7BB1E5}"/>
    <cellStyle name="Normal 2 2 2 2 2 2 2 2 2 2 2 2 17 13" xfId="6741" xr:uid="{3D6B7A43-950F-4534-82EB-9FE5C8E076CA}"/>
    <cellStyle name="Normal 2 2 2 2 2 2 2 2 2 2 2 2 17 14" xfId="6742" xr:uid="{D9EFEEDC-8CE4-4DEB-8BF6-D47FD4A6530B}"/>
    <cellStyle name="Normal 2 2 2 2 2 2 2 2 2 2 2 2 17 2" xfId="6743" xr:uid="{BCDADC8B-B10C-438E-AA0E-51EE68193770}"/>
    <cellStyle name="Normal 2 2 2 2 2 2 2 2 2 2 2 2 17 2 10" xfId="6744" xr:uid="{3B1B7A27-6785-4EF8-92C2-7A5BDE234500}"/>
    <cellStyle name="Normal 2 2 2 2 2 2 2 2 2 2 2 2 17 2 11" xfId="6745" xr:uid="{CC2B11E6-B7D0-4F13-B60B-67F6D5937052}"/>
    <cellStyle name="Normal 2 2 2 2 2 2 2 2 2 2 2 2 17 2 2" xfId="6746" xr:uid="{80B677B3-48AB-4C2E-83F1-DD3505960B27}"/>
    <cellStyle name="Normal 2 2 2 2 2 2 2 2 2 2 2 2 17 2 2 10" xfId="6747" xr:uid="{CB9F7784-0039-4184-989B-680FB53881BA}"/>
    <cellStyle name="Normal 2 2 2 2 2 2 2 2 2 2 2 2 17 2 2 11" xfId="6748" xr:uid="{AA1721D4-6FBF-4ED2-A428-E6F88B7A16C6}"/>
    <cellStyle name="Normal 2 2 2 2 2 2 2 2 2 2 2 2 17 2 2 2" xfId="6749" xr:uid="{54F54AC6-855F-4EA3-B7A7-2EA13DE147D5}"/>
    <cellStyle name="Normal 2 2 2 2 2 2 2 2 2 2 2 2 17 2 2 2 2" xfId="6750" xr:uid="{C56FF1BF-6B4A-4D45-8176-F61159DC35AF}"/>
    <cellStyle name="Normal 2 2 2 2 2 2 2 2 2 2 2 2 17 2 2 2 2 2" xfId="6751" xr:uid="{74F265F5-AF67-48E5-A146-441794C9FF40}"/>
    <cellStyle name="Normal 2 2 2 2 2 2 2 2 2 2 2 2 17 2 2 2 2 3" xfId="6752" xr:uid="{C1207B0E-FD96-474B-B850-67A1DFE38AA7}"/>
    <cellStyle name="Normal 2 2 2 2 2 2 2 2 2 2 2 2 17 2 2 2 2 4" xfId="6753" xr:uid="{1D9C2F94-313E-4320-848D-4CE107C19C6E}"/>
    <cellStyle name="Normal 2 2 2 2 2 2 2 2 2 2 2 2 17 2 2 2 3" xfId="6754" xr:uid="{3E78D2BE-3050-4A73-80C2-91CAB2374D9A}"/>
    <cellStyle name="Normal 2 2 2 2 2 2 2 2 2 2 2 2 17 2 2 2 4" xfId="6755" xr:uid="{DC8295E8-3DB1-49C3-9025-F19FC0D8E87D}"/>
    <cellStyle name="Normal 2 2 2 2 2 2 2 2 2 2 2 2 17 2 2 2 5" xfId="6756" xr:uid="{55539E32-239B-4C05-9671-EAEA728BF72C}"/>
    <cellStyle name="Normal 2 2 2 2 2 2 2 2 2 2 2 2 17 2 2 2 6" xfId="6757" xr:uid="{B6C8F6D0-676B-472A-ACF3-B065D1EB1214}"/>
    <cellStyle name="Normal 2 2 2 2 2 2 2 2 2 2 2 2 17 2 2 3" xfId="6758" xr:uid="{3B08DDB3-76A2-4FD5-A382-99EAC91EE1DB}"/>
    <cellStyle name="Normal 2 2 2 2 2 2 2 2 2 2 2 2 17 2 2 4" xfId="6759" xr:uid="{3800BE16-B4C1-486B-915E-3A2933656C8F}"/>
    <cellStyle name="Normal 2 2 2 2 2 2 2 2 2 2 2 2 17 2 2 5" xfId="6760" xr:uid="{F612CE70-32C4-4C0A-8525-14A611C08D46}"/>
    <cellStyle name="Normal 2 2 2 2 2 2 2 2 2 2 2 2 17 2 2 6" xfId="6761" xr:uid="{47F5884C-3EE6-48B5-8C27-7943E2326251}"/>
    <cellStyle name="Normal 2 2 2 2 2 2 2 2 2 2 2 2 17 2 2 7" xfId="6762" xr:uid="{4CFB58FA-4C7A-4F8D-9CD3-47BD2F39B6A8}"/>
    <cellStyle name="Normal 2 2 2 2 2 2 2 2 2 2 2 2 17 2 2 8" xfId="6763" xr:uid="{A18EF0B6-E9A3-427F-B6AE-1DC8D414C615}"/>
    <cellStyle name="Normal 2 2 2 2 2 2 2 2 2 2 2 2 17 2 2 8 2" xfId="6764" xr:uid="{1F81A697-549D-4AAF-994A-2299AC7F8DFA}"/>
    <cellStyle name="Normal 2 2 2 2 2 2 2 2 2 2 2 2 17 2 2 8 3" xfId="6765" xr:uid="{F23B8FB5-F4FC-491B-A074-12429CE1603A}"/>
    <cellStyle name="Normal 2 2 2 2 2 2 2 2 2 2 2 2 17 2 2 8 4" xfId="6766" xr:uid="{BBE1C42A-EF77-4343-9154-83397FB4005F}"/>
    <cellStyle name="Normal 2 2 2 2 2 2 2 2 2 2 2 2 17 2 2 9" xfId="6767" xr:uid="{7FC0B2EE-A465-4B40-B773-430788535065}"/>
    <cellStyle name="Normal 2 2 2 2 2 2 2 2 2 2 2 2 17 2 3" xfId="6768" xr:uid="{1058936B-D357-4F90-A82C-B2CB9CEE3821}"/>
    <cellStyle name="Normal 2 2 2 2 2 2 2 2 2 2 2 2 17 2 3 2" xfId="6769" xr:uid="{14C22EE2-03FE-4A03-BC2B-5731FC42FC54}"/>
    <cellStyle name="Normal 2 2 2 2 2 2 2 2 2 2 2 2 17 2 3 2 2" xfId="6770" xr:uid="{02F2A77B-67CA-43E4-B685-63BD9AB91359}"/>
    <cellStyle name="Normal 2 2 2 2 2 2 2 2 2 2 2 2 17 2 3 2 3" xfId="6771" xr:uid="{DB04ADC6-4396-4D1E-850A-68FC13AF5F1D}"/>
    <cellStyle name="Normal 2 2 2 2 2 2 2 2 2 2 2 2 17 2 3 2 4" xfId="6772" xr:uid="{3189C72D-BE9B-4444-89BB-5D030C81A523}"/>
    <cellStyle name="Normal 2 2 2 2 2 2 2 2 2 2 2 2 17 2 3 3" xfId="6773" xr:uid="{5DE9597F-FA0C-46B9-9085-ABB9B3F4753E}"/>
    <cellStyle name="Normal 2 2 2 2 2 2 2 2 2 2 2 2 17 2 3 4" xfId="6774" xr:uid="{8DB525C7-9BA8-43F4-96F6-BBF229B1E36B}"/>
    <cellStyle name="Normal 2 2 2 2 2 2 2 2 2 2 2 2 17 2 3 5" xfId="6775" xr:uid="{37666DFC-7AA6-4CC1-80E7-12DB480C7E71}"/>
    <cellStyle name="Normal 2 2 2 2 2 2 2 2 2 2 2 2 17 2 3 6" xfId="6776" xr:uid="{2A562CF0-7177-4444-80C7-0800F664784F}"/>
    <cellStyle name="Normal 2 2 2 2 2 2 2 2 2 2 2 2 17 2 4" xfId="6777" xr:uid="{3EEB2720-D33C-40FD-BDF8-8507C640506F}"/>
    <cellStyle name="Normal 2 2 2 2 2 2 2 2 2 2 2 2 17 2 5" xfId="6778" xr:uid="{C8A96DD9-6699-41FD-926D-CBEE8A538847}"/>
    <cellStyle name="Normal 2 2 2 2 2 2 2 2 2 2 2 2 17 2 6" xfId="6779" xr:uid="{6A246311-6869-41C4-AABA-928C4E3A44D7}"/>
    <cellStyle name="Normal 2 2 2 2 2 2 2 2 2 2 2 2 17 2 7" xfId="6780" xr:uid="{B6A3B9BC-F941-4A0C-94DD-BE43D32E0552}"/>
    <cellStyle name="Normal 2 2 2 2 2 2 2 2 2 2 2 2 17 2 8" xfId="6781" xr:uid="{572C8867-52F4-4246-8296-CDF1179989A5}"/>
    <cellStyle name="Normal 2 2 2 2 2 2 2 2 2 2 2 2 17 2 8 2" xfId="6782" xr:uid="{55D1F958-91ED-4D82-9365-0C0085727CD0}"/>
    <cellStyle name="Normal 2 2 2 2 2 2 2 2 2 2 2 2 17 2 8 3" xfId="6783" xr:uid="{95BEF986-623C-44B6-BA94-63E9E8B8055E}"/>
    <cellStyle name="Normal 2 2 2 2 2 2 2 2 2 2 2 2 17 2 8 4" xfId="6784" xr:uid="{8B1CA660-9668-4041-B748-21C6869097DA}"/>
    <cellStyle name="Normal 2 2 2 2 2 2 2 2 2 2 2 2 17 2 9" xfId="6785" xr:uid="{10288689-E0CB-4DEA-ABF2-DC3BAD6B8B14}"/>
    <cellStyle name="Normal 2 2 2 2 2 2 2 2 2 2 2 2 17 3" xfId="6786" xr:uid="{6924C7D4-4E3A-4D87-88DB-EE884015CD04}"/>
    <cellStyle name="Normal 2 2 2 2 2 2 2 2 2 2 2 2 17 4" xfId="6787" xr:uid="{B252030F-5ECE-490B-9200-605C3E68B677}"/>
    <cellStyle name="Normal 2 2 2 2 2 2 2 2 2 2 2 2 17 5" xfId="6788" xr:uid="{E500F3AF-420E-4058-A403-C2FDA6774D32}"/>
    <cellStyle name="Normal 2 2 2 2 2 2 2 2 2 2 2 2 17 5 2" xfId="6789" xr:uid="{3DB4F680-8DDD-495B-9E7B-8BF43CB739FB}"/>
    <cellStyle name="Normal 2 2 2 2 2 2 2 2 2 2 2 2 17 5 2 2" xfId="6790" xr:uid="{58DDF55B-4627-44DD-8E6D-93BCF231B32D}"/>
    <cellStyle name="Normal 2 2 2 2 2 2 2 2 2 2 2 2 17 5 2 3" xfId="6791" xr:uid="{A9E1D55E-592A-4A30-9914-6B02321ED65E}"/>
    <cellStyle name="Normal 2 2 2 2 2 2 2 2 2 2 2 2 17 5 2 4" xfId="6792" xr:uid="{D6FB5283-B741-4C26-BD5F-D61EC1033449}"/>
    <cellStyle name="Normal 2 2 2 2 2 2 2 2 2 2 2 2 17 5 3" xfId="6793" xr:uid="{2D6416E7-075F-4E29-9066-37DB9EECAB79}"/>
    <cellStyle name="Normal 2 2 2 2 2 2 2 2 2 2 2 2 17 5 4" xfId="6794" xr:uid="{3E048483-20EB-4BE8-BB33-59B5409E064C}"/>
    <cellStyle name="Normal 2 2 2 2 2 2 2 2 2 2 2 2 17 5 5" xfId="6795" xr:uid="{CFC7A91B-2E81-4024-A539-1AB3A176C88A}"/>
    <cellStyle name="Normal 2 2 2 2 2 2 2 2 2 2 2 2 17 5 6" xfId="6796" xr:uid="{01E630AF-7D23-4D7B-8A2F-D53276EA6663}"/>
    <cellStyle name="Normal 2 2 2 2 2 2 2 2 2 2 2 2 17 6" xfId="6797" xr:uid="{63F5F3F2-F99E-45E7-B3A0-D78731DBCAD2}"/>
    <cellStyle name="Normal 2 2 2 2 2 2 2 2 2 2 2 2 17 7" xfId="6798" xr:uid="{074C699C-8E71-4F8F-9C2C-2FF5F91642B5}"/>
    <cellStyle name="Normal 2 2 2 2 2 2 2 2 2 2 2 2 17 8" xfId="6799" xr:uid="{F590F691-E614-4BE9-A557-202321704542}"/>
    <cellStyle name="Normal 2 2 2 2 2 2 2 2 2 2 2 2 17 9" xfId="6800" xr:uid="{0F9E77CE-7632-44BD-8423-0B1EA21EAE0E}"/>
    <cellStyle name="Normal 2 2 2 2 2 2 2 2 2 2 2 2 18" xfId="6801" xr:uid="{E8F6E0D8-4F5D-4A94-A253-971589448124}"/>
    <cellStyle name="Normal 2 2 2 2 2 2 2 2 2 2 2 2 19" xfId="6802" xr:uid="{AAA77FD3-E483-43E2-8094-F79FE4ED678D}"/>
    <cellStyle name="Normal 2 2 2 2 2 2 2 2 2 2 2 2 19 10" xfId="6803" xr:uid="{60B1F720-6ACC-4439-900B-265E5B326091}"/>
    <cellStyle name="Normal 2 2 2 2 2 2 2 2 2 2 2 2 19 11" xfId="6804" xr:uid="{2564968B-CBB5-4157-9249-C9A5CD949E6D}"/>
    <cellStyle name="Normal 2 2 2 2 2 2 2 2 2 2 2 2 19 2" xfId="6805" xr:uid="{D6D2954D-012D-43C2-94A9-3A193570394D}"/>
    <cellStyle name="Normal 2 2 2 2 2 2 2 2 2 2 2 2 19 2 10" xfId="6806" xr:uid="{80E6A43A-BAF0-4341-8C94-740DA366C6DD}"/>
    <cellStyle name="Normal 2 2 2 2 2 2 2 2 2 2 2 2 19 2 11" xfId="6807" xr:uid="{74C09C5C-1218-4C95-B90F-C588ED8DEFC4}"/>
    <cellStyle name="Normal 2 2 2 2 2 2 2 2 2 2 2 2 19 2 2" xfId="6808" xr:uid="{A9D6AA72-615F-4E72-AE17-20065C359576}"/>
    <cellStyle name="Normal 2 2 2 2 2 2 2 2 2 2 2 2 19 2 2 2" xfId="6809" xr:uid="{A19002FC-0959-4F6F-90EA-F0734E26B287}"/>
    <cellStyle name="Normal 2 2 2 2 2 2 2 2 2 2 2 2 19 2 2 2 2" xfId="6810" xr:uid="{46AFA0EA-D891-4561-8888-315C4EC6A4A9}"/>
    <cellStyle name="Normal 2 2 2 2 2 2 2 2 2 2 2 2 19 2 2 2 3" xfId="6811" xr:uid="{1890B971-2C64-499D-8F82-A52567B45185}"/>
    <cellStyle name="Normal 2 2 2 2 2 2 2 2 2 2 2 2 19 2 2 2 4" xfId="6812" xr:uid="{EB2344A0-1DED-4B3E-BE4D-C9364F10E21A}"/>
    <cellStyle name="Normal 2 2 2 2 2 2 2 2 2 2 2 2 19 2 2 3" xfId="6813" xr:uid="{9558A9D9-5782-449B-A6B6-4685BC88DC9B}"/>
    <cellStyle name="Normal 2 2 2 2 2 2 2 2 2 2 2 2 19 2 2 4" xfId="6814" xr:uid="{49C67B3C-76B0-4F2E-9568-DEC46256EFFF}"/>
    <cellStyle name="Normal 2 2 2 2 2 2 2 2 2 2 2 2 19 2 2 5" xfId="6815" xr:uid="{3F8B49C0-55C9-4A5F-912A-7FE6441CA1DB}"/>
    <cellStyle name="Normal 2 2 2 2 2 2 2 2 2 2 2 2 19 2 2 6" xfId="6816" xr:uid="{84A6BE90-7223-48F8-BD16-27AE4D9088DE}"/>
    <cellStyle name="Normal 2 2 2 2 2 2 2 2 2 2 2 2 19 2 3" xfId="6817" xr:uid="{74E2DF08-51DD-448B-A3DD-126F2E4D85B1}"/>
    <cellStyle name="Normal 2 2 2 2 2 2 2 2 2 2 2 2 19 2 4" xfId="6818" xr:uid="{F5E519B8-5B8B-45FD-8BE8-31F78C07D23B}"/>
    <cellStyle name="Normal 2 2 2 2 2 2 2 2 2 2 2 2 19 2 5" xfId="6819" xr:uid="{EA200A9B-F9B2-4C8D-A65D-A9FDB9EA95BB}"/>
    <cellStyle name="Normal 2 2 2 2 2 2 2 2 2 2 2 2 19 2 6" xfId="6820" xr:uid="{67FFA299-E56D-4C13-9359-A0E9A30DD178}"/>
    <cellStyle name="Normal 2 2 2 2 2 2 2 2 2 2 2 2 19 2 7" xfId="6821" xr:uid="{04EFEB75-5A64-4F44-8722-57852B25D427}"/>
    <cellStyle name="Normal 2 2 2 2 2 2 2 2 2 2 2 2 19 2 8" xfId="6822" xr:uid="{8C9E86A6-76AD-43AD-8E1A-D590551ABCEB}"/>
    <cellStyle name="Normal 2 2 2 2 2 2 2 2 2 2 2 2 19 2 8 2" xfId="6823" xr:uid="{8E68628D-AC67-4973-8086-28EC5342674A}"/>
    <cellStyle name="Normal 2 2 2 2 2 2 2 2 2 2 2 2 19 2 8 3" xfId="6824" xr:uid="{EC000A03-6835-42A6-B7FE-C58DC8B0C942}"/>
    <cellStyle name="Normal 2 2 2 2 2 2 2 2 2 2 2 2 19 2 8 4" xfId="6825" xr:uid="{1E8DEB8A-EC73-4C59-9E2E-785A0940424D}"/>
    <cellStyle name="Normal 2 2 2 2 2 2 2 2 2 2 2 2 19 2 9" xfId="6826" xr:uid="{C6D8C3C0-819E-4477-9A1C-A0FD71CD1B0A}"/>
    <cellStyle name="Normal 2 2 2 2 2 2 2 2 2 2 2 2 19 3" xfId="6827" xr:uid="{9D587F5D-6990-47F6-B6A2-AB0E0AFA5FD1}"/>
    <cellStyle name="Normal 2 2 2 2 2 2 2 2 2 2 2 2 19 3 2" xfId="6828" xr:uid="{0392B3CD-5A3A-4CD4-A8D1-6171E9C5AAD5}"/>
    <cellStyle name="Normal 2 2 2 2 2 2 2 2 2 2 2 2 19 3 2 2" xfId="6829" xr:uid="{69F317CC-DA10-48D9-835F-8EDD7B944F9B}"/>
    <cellStyle name="Normal 2 2 2 2 2 2 2 2 2 2 2 2 19 3 2 3" xfId="6830" xr:uid="{244F78EE-38BB-4A66-9731-197E43308A88}"/>
    <cellStyle name="Normal 2 2 2 2 2 2 2 2 2 2 2 2 19 3 2 4" xfId="6831" xr:uid="{A18D4D98-4385-4D5A-A798-AC37F0FAE8E4}"/>
    <cellStyle name="Normal 2 2 2 2 2 2 2 2 2 2 2 2 19 3 3" xfId="6832" xr:uid="{E80FFF52-C147-4E9B-98B2-E8779C8EB585}"/>
    <cellStyle name="Normal 2 2 2 2 2 2 2 2 2 2 2 2 19 3 4" xfId="6833" xr:uid="{FC88A3C0-0FB0-496D-91C8-35C6C6A0DED4}"/>
    <cellStyle name="Normal 2 2 2 2 2 2 2 2 2 2 2 2 19 3 5" xfId="6834" xr:uid="{8ADB337A-656B-4C17-8536-46724C3FEB50}"/>
    <cellStyle name="Normal 2 2 2 2 2 2 2 2 2 2 2 2 19 3 6" xfId="6835" xr:uid="{A887B904-6013-4D39-92EA-156ED939A35B}"/>
    <cellStyle name="Normal 2 2 2 2 2 2 2 2 2 2 2 2 19 4" xfId="6836" xr:uid="{E79A117C-25A5-4444-BFB0-1B1D5CEE487F}"/>
    <cellStyle name="Normal 2 2 2 2 2 2 2 2 2 2 2 2 19 5" xfId="6837" xr:uid="{BB478B94-5661-46AB-8B62-F8D178D9EB99}"/>
    <cellStyle name="Normal 2 2 2 2 2 2 2 2 2 2 2 2 19 6" xfId="6838" xr:uid="{2E87FEF1-36FE-48D3-9E26-D9631D3BF5F3}"/>
    <cellStyle name="Normal 2 2 2 2 2 2 2 2 2 2 2 2 19 7" xfId="6839" xr:uid="{4405A797-A959-4EDA-8210-F9A383795859}"/>
    <cellStyle name="Normal 2 2 2 2 2 2 2 2 2 2 2 2 19 8" xfId="6840" xr:uid="{A981E68E-0327-42D7-9F12-1C5BB9BB35F2}"/>
    <cellStyle name="Normal 2 2 2 2 2 2 2 2 2 2 2 2 19 8 2" xfId="6841" xr:uid="{AED33C99-4F38-4EDC-802C-8AE7CB654F4F}"/>
    <cellStyle name="Normal 2 2 2 2 2 2 2 2 2 2 2 2 19 8 3" xfId="6842" xr:uid="{A2D18DE3-0816-4A7D-9758-8CE626D12498}"/>
    <cellStyle name="Normal 2 2 2 2 2 2 2 2 2 2 2 2 19 8 4" xfId="6843" xr:uid="{AEED8573-B3F8-49D0-A4FA-9AB4F202D83C}"/>
    <cellStyle name="Normal 2 2 2 2 2 2 2 2 2 2 2 2 19 9" xfId="6844" xr:uid="{6D0505D0-1CE9-4516-B51C-C6F3A8818D6D}"/>
    <cellStyle name="Normal 2 2 2 2 2 2 2 2 2 2 2 2 2" xfId="6845" xr:uid="{46EB37DD-7BFD-4892-9C58-B1DF77FEB88A}"/>
    <cellStyle name="Normal 2 2 2 2 2 2 2 2 2 2 2 2 2 10" xfId="6846" xr:uid="{E7565627-F1C3-4F97-BECA-38F14CF98396}"/>
    <cellStyle name="Normal 2 2 2 2 2 2 2 2 2 2 2 2 2 11" xfId="6847" xr:uid="{1BD4F1AD-987B-477D-BEC1-C8F1EBCCA6ED}"/>
    <cellStyle name="Normal 2 2 2 2 2 2 2 2 2 2 2 2 2 12" xfId="6848" xr:uid="{3E38B3EB-87B0-402D-81B7-DB59D7EFFA05}"/>
    <cellStyle name="Normal 2 2 2 2 2 2 2 2 2 2 2 2 2 13" xfId="6849" xr:uid="{5C55C40E-B6B8-4B2A-BC81-F010CF561864}"/>
    <cellStyle name="Normal 2 2 2 2 2 2 2 2 2 2 2 2 2 14" xfId="6850" xr:uid="{1BE438F3-7EB8-47DB-A0D3-EF955008F3D7}"/>
    <cellStyle name="Normal 2 2 2 2 2 2 2 2 2 2 2 2 2 15" xfId="6851" xr:uid="{99418F7F-892E-413B-A7F5-12B859088130}"/>
    <cellStyle name="Normal 2 2 2 2 2 2 2 2 2 2 2 2 2 16" xfId="6852" xr:uid="{9818A0D7-49F9-4558-9EE9-4F2B2958FF7F}"/>
    <cellStyle name="Normal 2 2 2 2 2 2 2 2 2 2 2 2 2 16 10" xfId="6853" xr:uid="{BC1FACFF-E2CF-4E1C-9253-B0B68E85ED85}"/>
    <cellStyle name="Normal 2 2 2 2 2 2 2 2 2 2 2 2 2 16 11" xfId="6854" xr:uid="{93EE104D-6A6F-4BBB-B1BA-90FE8B13EA25}"/>
    <cellStyle name="Normal 2 2 2 2 2 2 2 2 2 2 2 2 2 16 11 2" xfId="6855" xr:uid="{F615253C-7A1C-4C49-8759-C07CE138EF89}"/>
    <cellStyle name="Normal 2 2 2 2 2 2 2 2 2 2 2 2 2 16 11 3" xfId="6856" xr:uid="{0D92E52F-A43C-4AF9-8340-982F8ADB3AA9}"/>
    <cellStyle name="Normal 2 2 2 2 2 2 2 2 2 2 2 2 2 16 11 4" xfId="6857" xr:uid="{2D12CC1E-52DB-46FC-BC84-F663222C6A8B}"/>
    <cellStyle name="Normal 2 2 2 2 2 2 2 2 2 2 2 2 2 16 12" xfId="6858" xr:uid="{23C9FD55-6347-4581-845F-50FB1981F8A8}"/>
    <cellStyle name="Normal 2 2 2 2 2 2 2 2 2 2 2 2 2 16 13" xfId="6859" xr:uid="{D756BF02-86E0-4EF9-8FF0-8C03C679298E}"/>
    <cellStyle name="Normal 2 2 2 2 2 2 2 2 2 2 2 2 2 16 14" xfId="6860" xr:uid="{CC24AD8D-7F24-4F17-9DD2-8508E3DD0AC5}"/>
    <cellStyle name="Normal 2 2 2 2 2 2 2 2 2 2 2 2 2 16 2" xfId="6861" xr:uid="{FDE6DD47-C4E9-43F7-892A-738957699534}"/>
    <cellStyle name="Normal 2 2 2 2 2 2 2 2 2 2 2 2 2 16 2 10" xfId="6862" xr:uid="{457FB377-78CE-4CC4-AB7E-75579C39571F}"/>
    <cellStyle name="Normal 2 2 2 2 2 2 2 2 2 2 2 2 2 16 2 11" xfId="6863" xr:uid="{AE213C4F-C865-4D84-B818-ABEB86368484}"/>
    <cellStyle name="Normal 2 2 2 2 2 2 2 2 2 2 2 2 2 16 2 2" xfId="6864" xr:uid="{A0A8BE24-B9F2-4C91-BDCD-D2F821052629}"/>
    <cellStyle name="Normal 2 2 2 2 2 2 2 2 2 2 2 2 2 16 2 2 10" xfId="6865" xr:uid="{4A88224B-6911-48CF-A04E-A2BDFC82A170}"/>
    <cellStyle name="Normal 2 2 2 2 2 2 2 2 2 2 2 2 2 16 2 2 11" xfId="6866" xr:uid="{61057F12-99F4-4585-B6EA-2FE74E8600DD}"/>
    <cellStyle name="Normal 2 2 2 2 2 2 2 2 2 2 2 2 2 16 2 2 2" xfId="6867" xr:uid="{3D2915B2-A834-42BF-9644-7F609B6CE075}"/>
    <cellStyle name="Normal 2 2 2 2 2 2 2 2 2 2 2 2 2 16 2 2 2 2" xfId="6868" xr:uid="{D977A4B9-6CFE-4C81-A6AF-3965711EA8A6}"/>
    <cellStyle name="Normal 2 2 2 2 2 2 2 2 2 2 2 2 2 16 2 2 2 2 2" xfId="6869" xr:uid="{8BA6C037-3D6D-49A0-B42A-7AB0A5D75AEB}"/>
    <cellStyle name="Normal 2 2 2 2 2 2 2 2 2 2 2 2 2 16 2 2 2 2 3" xfId="6870" xr:uid="{47155BDD-BD27-4CB6-AA4B-DC562AD67F32}"/>
    <cellStyle name="Normal 2 2 2 2 2 2 2 2 2 2 2 2 2 16 2 2 2 2 4" xfId="6871" xr:uid="{5A3ADE1D-80D3-4083-88DA-919F4A11091B}"/>
    <cellStyle name="Normal 2 2 2 2 2 2 2 2 2 2 2 2 2 16 2 2 2 3" xfId="6872" xr:uid="{BFE855D0-B25E-4C8B-AFDB-30A5CBDE6082}"/>
    <cellStyle name="Normal 2 2 2 2 2 2 2 2 2 2 2 2 2 16 2 2 2 4" xfId="6873" xr:uid="{6165A21A-37D3-4261-97E3-D1E64E802F1D}"/>
    <cellStyle name="Normal 2 2 2 2 2 2 2 2 2 2 2 2 2 16 2 2 2 5" xfId="6874" xr:uid="{7C703769-416B-4B04-8352-0F983CAD20B1}"/>
    <cellStyle name="Normal 2 2 2 2 2 2 2 2 2 2 2 2 2 16 2 2 2 6" xfId="6875" xr:uid="{2A82063A-F624-429C-A0FA-EC1AE5643F2B}"/>
    <cellStyle name="Normal 2 2 2 2 2 2 2 2 2 2 2 2 2 16 2 2 3" xfId="6876" xr:uid="{D78BFE1E-016A-4049-8165-35F86D5DD336}"/>
    <cellStyle name="Normal 2 2 2 2 2 2 2 2 2 2 2 2 2 16 2 2 4" xfId="6877" xr:uid="{C7278548-28C7-4388-B706-3FBD6E1E9B70}"/>
    <cellStyle name="Normal 2 2 2 2 2 2 2 2 2 2 2 2 2 16 2 2 5" xfId="6878" xr:uid="{2FAEC1E9-A3D8-488D-8E32-768F2161550B}"/>
    <cellStyle name="Normal 2 2 2 2 2 2 2 2 2 2 2 2 2 16 2 2 6" xfId="6879" xr:uid="{B8381900-4FC9-4773-BB43-412CA59D4DAE}"/>
    <cellStyle name="Normal 2 2 2 2 2 2 2 2 2 2 2 2 2 16 2 2 7" xfId="6880" xr:uid="{9DF5F65F-2A0F-4C22-AC85-2EA0B1851A20}"/>
    <cellStyle name="Normal 2 2 2 2 2 2 2 2 2 2 2 2 2 16 2 2 8" xfId="6881" xr:uid="{B1E7AD93-534E-4AEA-86B8-D0C86DC63B14}"/>
    <cellStyle name="Normal 2 2 2 2 2 2 2 2 2 2 2 2 2 16 2 2 8 2" xfId="6882" xr:uid="{47D7AED1-4A2A-4129-BDC1-958E2E78E93A}"/>
    <cellStyle name="Normal 2 2 2 2 2 2 2 2 2 2 2 2 2 16 2 2 8 3" xfId="6883" xr:uid="{5AABE85B-5B9F-46A2-8C89-AD2A5A45201A}"/>
    <cellStyle name="Normal 2 2 2 2 2 2 2 2 2 2 2 2 2 16 2 2 8 4" xfId="6884" xr:uid="{FD99A4DC-F2D8-40CF-97BE-090EBBDBBE7A}"/>
    <cellStyle name="Normal 2 2 2 2 2 2 2 2 2 2 2 2 2 16 2 2 9" xfId="6885" xr:uid="{5B35C095-167B-4062-B21A-5626111AFC96}"/>
    <cellStyle name="Normal 2 2 2 2 2 2 2 2 2 2 2 2 2 16 2 3" xfId="6886" xr:uid="{D443C94B-D85D-4871-A400-1DA331C38444}"/>
    <cellStyle name="Normal 2 2 2 2 2 2 2 2 2 2 2 2 2 16 2 3 2" xfId="6887" xr:uid="{5B698E84-135D-40D9-9586-105C2842D8F8}"/>
    <cellStyle name="Normal 2 2 2 2 2 2 2 2 2 2 2 2 2 16 2 3 2 2" xfId="6888" xr:uid="{F6C448D9-65E9-42A9-81A5-C8977A406679}"/>
    <cellStyle name="Normal 2 2 2 2 2 2 2 2 2 2 2 2 2 16 2 3 2 3" xfId="6889" xr:uid="{E3157D93-C5AE-446C-B440-8DF1670CFF1A}"/>
    <cellStyle name="Normal 2 2 2 2 2 2 2 2 2 2 2 2 2 16 2 3 2 4" xfId="6890" xr:uid="{F9CC5BFE-4A2D-46E9-926D-60DBF9656F15}"/>
    <cellStyle name="Normal 2 2 2 2 2 2 2 2 2 2 2 2 2 16 2 3 3" xfId="6891" xr:uid="{1B0FD264-A059-475C-B312-E5586E8C99CB}"/>
    <cellStyle name="Normal 2 2 2 2 2 2 2 2 2 2 2 2 2 16 2 3 4" xfId="6892" xr:uid="{628D1A3E-5EEA-436E-A3EC-85E784E0C2CB}"/>
    <cellStyle name="Normal 2 2 2 2 2 2 2 2 2 2 2 2 2 16 2 3 5" xfId="6893" xr:uid="{6714C0DA-DFDE-480D-92E5-538DB2E88AE7}"/>
    <cellStyle name="Normal 2 2 2 2 2 2 2 2 2 2 2 2 2 16 2 3 6" xfId="6894" xr:uid="{F6A04BBB-D01B-4671-BB7D-1F7C9F049A3A}"/>
    <cellStyle name="Normal 2 2 2 2 2 2 2 2 2 2 2 2 2 16 2 4" xfId="6895" xr:uid="{839BB461-7680-4B5D-98B1-649B8FD3D5E0}"/>
    <cellStyle name="Normal 2 2 2 2 2 2 2 2 2 2 2 2 2 16 2 5" xfId="6896" xr:uid="{8A14E2BF-FF75-451D-8F2B-C7618D857FDF}"/>
    <cellStyle name="Normal 2 2 2 2 2 2 2 2 2 2 2 2 2 16 2 6" xfId="6897" xr:uid="{378A606F-6B79-4E62-B041-E8D9EDE5D913}"/>
    <cellStyle name="Normal 2 2 2 2 2 2 2 2 2 2 2 2 2 16 2 7" xfId="6898" xr:uid="{8F103C4E-8A74-4B5F-AF06-83A0F5A1971A}"/>
    <cellStyle name="Normal 2 2 2 2 2 2 2 2 2 2 2 2 2 16 2 8" xfId="6899" xr:uid="{E2A2A8FC-55CA-48D0-AED9-C9F16EFB387D}"/>
    <cellStyle name="Normal 2 2 2 2 2 2 2 2 2 2 2 2 2 16 2 8 2" xfId="6900" xr:uid="{E89B42EC-B461-4EFD-A07B-948A566C2D97}"/>
    <cellStyle name="Normal 2 2 2 2 2 2 2 2 2 2 2 2 2 16 2 8 3" xfId="6901" xr:uid="{7A6FBB00-C32E-47F0-A77F-4C303EE48816}"/>
    <cellStyle name="Normal 2 2 2 2 2 2 2 2 2 2 2 2 2 16 2 8 4" xfId="6902" xr:uid="{3FBB668A-0C54-494C-BFAB-C85FF8C38555}"/>
    <cellStyle name="Normal 2 2 2 2 2 2 2 2 2 2 2 2 2 16 2 9" xfId="6903" xr:uid="{8D2E92D1-CCF3-4BAA-9FED-59F59173131D}"/>
    <cellStyle name="Normal 2 2 2 2 2 2 2 2 2 2 2 2 2 16 3" xfId="6904" xr:uid="{035457FE-B643-462E-B484-1D8BDEF9AE5B}"/>
    <cellStyle name="Normal 2 2 2 2 2 2 2 2 2 2 2 2 2 16 4" xfId="6905" xr:uid="{511CC8AB-7B29-4D40-A119-9E632F984C24}"/>
    <cellStyle name="Normal 2 2 2 2 2 2 2 2 2 2 2 2 2 16 5" xfId="6906" xr:uid="{E26808F5-5EBA-4883-9454-961BD1C1E061}"/>
    <cellStyle name="Normal 2 2 2 2 2 2 2 2 2 2 2 2 2 16 5 2" xfId="6907" xr:uid="{510C9C82-6264-43AD-9624-C09D43B29F9B}"/>
    <cellStyle name="Normal 2 2 2 2 2 2 2 2 2 2 2 2 2 16 5 2 2" xfId="6908" xr:uid="{F3ED19C0-8A4D-4D9B-BA2E-2CCF75FF1461}"/>
    <cellStyle name="Normal 2 2 2 2 2 2 2 2 2 2 2 2 2 16 5 2 3" xfId="6909" xr:uid="{FA36134E-B2BA-48C9-9EAF-6A05AB2213E5}"/>
    <cellStyle name="Normal 2 2 2 2 2 2 2 2 2 2 2 2 2 16 5 2 4" xfId="6910" xr:uid="{9EBF8D10-A2F4-42CD-8E97-B28E204E12E0}"/>
    <cellStyle name="Normal 2 2 2 2 2 2 2 2 2 2 2 2 2 16 5 3" xfId="6911" xr:uid="{CA649505-146B-4447-9E15-F5D14C2DEEEF}"/>
    <cellStyle name="Normal 2 2 2 2 2 2 2 2 2 2 2 2 2 16 5 4" xfId="6912" xr:uid="{76E0FF30-ABC2-4600-A5BB-F70EAC5532C8}"/>
    <cellStyle name="Normal 2 2 2 2 2 2 2 2 2 2 2 2 2 16 5 5" xfId="6913" xr:uid="{FE87321F-3E76-4D23-8A02-291D73E7992F}"/>
    <cellStyle name="Normal 2 2 2 2 2 2 2 2 2 2 2 2 2 16 5 6" xfId="6914" xr:uid="{637F8721-69DC-4332-817D-00BA12D495A6}"/>
    <cellStyle name="Normal 2 2 2 2 2 2 2 2 2 2 2 2 2 16 6" xfId="6915" xr:uid="{94F95365-1A43-4D0F-84DA-114262527AB9}"/>
    <cellStyle name="Normal 2 2 2 2 2 2 2 2 2 2 2 2 2 16 7" xfId="6916" xr:uid="{79BAFBE4-3AE4-446E-B5A8-809DD2E78212}"/>
    <cellStyle name="Normal 2 2 2 2 2 2 2 2 2 2 2 2 2 16 8" xfId="6917" xr:uid="{80BB08A8-13C0-4FD8-B633-F2F7DFB673AD}"/>
    <cellStyle name="Normal 2 2 2 2 2 2 2 2 2 2 2 2 2 16 9" xfId="6918" xr:uid="{B7086240-6EFB-4BD7-BEA5-6E05FF5FA9C8}"/>
    <cellStyle name="Normal 2 2 2 2 2 2 2 2 2 2 2 2 2 17" xfId="6919" xr:uid="{873C531B-90AF-4B28-8054-DDBE360D9A6D}"/>
    <cellStyle name="Normal 2 2 2 2 2 2 2 2 2 2 2 2 2 18" xfId="6920" xr:uid="{36FE3798-2AEB-49A5-BE66-A6811DB47486}"/>
    <cellStyle name="Normal 2 2 2 2 2 2 2 2 2 2 2 2 2 18 10" xfId="6921" xr:uid="{7F9E9899-66D5-4118-943B-4555A56BB13C}"/>
    <cellStyle name="Normal 2 2 2 2 2 2 2 2 2 2 2 2 2 18 11" xfId="6922" xr:uid="{3EC2125F-072E-46A7-86C6-61CCA6831900}"/>
    <cellStyle name="Normal 2 2 2 2 2 2 2 2 2 2 2 2 2 18 2" xfId="6923" xr:uid="{333E93EB-BD94-40D7-B42A-B3CF3E2F2DBB}"/>
    <cellStyle name="Normal 2 2 2 2 2 2 2 2 2 2 2 2 2 18 2 10" xfId="6924" xr:uid="{E875EF35-6F77-4F75-9850-D9455168E513}"/>
    <cellStyle name="Normal 2 2 2 2 2 2 2 2 2 2 2 2 2 18 2 11" xfId="6925" xr:uid="{AE28A966-AC14-4443-93E1-6C4666DEAAAD}"/>
    <cellStyle name="Normal 2 2 2 2 2 2 2 2 2 2 2 2 2 18 2 2" xfId="6926" xr:uid="{2AC4B548-8A4D-4D04-B2DF-384C4928616D}"/>
    <cellStyle name="Normal 2 2 2 2 2 2 2 2 2 2 2 2 2 18 2 2 2" xfId="6927" xr:uid="{B3F6FAB2-1D96-4986-A373-9C3640AE091A}"/>
    <cellStyle name="Normal 2 2 2 2 2 2 2 2 2 2 2 2 2 18 2 2 2 2" xfId="6928" xr:uid="{6A10A027-603D-4C8D-96ED-3A69A9192CED}"/>
    <cellStyle name="Normal 2 2 2 2 2 2 2 2 2 2 2 2 2 18 2 2 2 3" xfId="6929" xr:uid="{28B806A7-496B-4218-A894-84EE8FAB7DB8}"/>
    <cellStyle name="Normal 2 2 2 2 2 2 2 2 2 2 2 2 2 18 2 2 2 4" xfId="6930" xr:uid="{82D2360C-8ACB-4C03-80B5-4C64BFC8E132}"/>
    <cellStyle name="Normal 2 2 2 2 2 2 2 2 2 2 2 2 2 18 2 2 3" xfId="6931" xr:uid="{81434243-A88B-48D2-B19F-EDF427BB85A2}"/>
    <cellStyle name="Normal 2 2 2 2 2 2 2 2 2 2 2 2 2 18 2 2 4" xfId="6932" xr:uid="{57D1CAC7-E956-4798-8A62-E4732C38C592}"/>
    <cellStyle name="Normal 2 2 2 2 2 2 2 2 2 2 2 2 2 18 2 2 5" xfId="6933" xr:uid="{670C21AC-63C8-45C6-AF26-A5B9E6E126BA}"/>
    <cellStyle name="Normal 2 2 2 2 2 2 2 2 2 2 2 2 2 18 2 2 6" xfId="6934" xr:uid="{E43C6D96-4B01-4C2D-B4B9-3004A18BD324}"/>
    <cellStyle name="Normal 2 2 2 2 2 2 2 2 2 2 2 2 2 18 2 3" xfId="6935" xr:uid="{9F5257C7-43A4-4398-8EBC-DA0CEAB6CC37}"/>
    <cellStyle name="Normal 2 2 2 2 2 2 2 2 2 2 2 2 2 18 2 4" xfId="6936" xr:uid="{65810F50-840D-4887-8626-92F6DE31E5BB}"/>
    <cellStyle name="Normal 2 2 2 2 2 2 2 2 2 2 2 2 2 18 2 5" xfId="6937" xr:uid="{CAF3692E-87DD-4B78-B742-426608EBB8BD}"/>
    <cellStyle name="Normal 2 2 2 2 2 2 2 2 2 2 2 2 2 18 2 6" xfId="6938" xr:uid="{F50B05DA-AF9D-48A6-9CE1-534F9C1B1CA6}"/>
    <cellStyle name="Normal 2 2 2 2 2 2 2 2 2 2 2 2 2 18 2 7" xfId="6939" xr:uid="{3697A340-8901-4060-90CD-80B8CD0A6B33}"/>
    <cellStyle name="Normal 2 2 2 2 2 2 2 2 2 2 2 2 2 18 2 8" xfId="6940" xr:uid="{64507C9A-5A43-4797-83D0-318ACA80E49E}"/>
    <cellStyle name="Normal 2 2 2 2 2 2 2 2 2 2 2 2 2 18 2 8 2" xfId="6941" xr:uid="{4A742273-7F32-4B77-8A0A-371B535047BE}"/>
    <cellStyle name="Normal 2 2 2 2 2 2 2 2 2 2 2 2 2 18 2 8 3" xfId="6942" xr:uid="{5CB7716D-EF74-4855-8D50-49F55B96C571}"/>
    <cellStyle name="Normal 2 2 2 2 2 2 2 2 2 2 2 2 2 18 2 8 4" xfId="6943" xr:uid="{033D42E5-FE06-4D1C-AC8A-296474832E5D}"/>
    <cellStyle name="Normal 2 2 2 2 2 2 2 2 2 2 2 2 2 18 2 9" xfId="6944" xr:uid="{99D9EBDA-8426-4947-8A85-FFBD19847E45}"/>
    <cellStyle name="Normal 2 2 2 2 2 2 2 2 2 2 2 2 2 18 3" xfId="6945" xr:uid="{8BED1C29-60EB-4DAE-BEA2-0D679EEA1D9C}"/>
    <cellStyle name="Normal 2 2 2 2 2 2 2 2 2 2 2 2 2 18 3 2" xfId="6946" xr:uid="{EE43C2A0-B2E9-4BD4-A39F-DC9B5B0E7686}"/>
    <cellStyle name="Normal 2 2 2 2 2 2 2 2 2 2 2 2 2 18 3 2 2" xfId="6947" xr:uid="{20EAF1CB-1E7A-43AF-966D-9E832937B9CF}"/>
    <cellStyle name="Normal 2 2 2 2 2 2 2 2 2 2 2 2 2 18 3 2 3" xfId="6948" xr:uid="{FD1EF59C-0C88-4564-9FF6-1B34692FF11D}"/>
    <cellStyle name="Normal 2 2 2 2 2 2 2 2 2 2 2 2 2 18 3 2 4" xfId="6949" xr:uid="{6EF43EDE-B1E0-413F-9F69-40899F8E5D1A}"/>
    <cellStyle name="Normal 2 2 2 2 2 2 2 2 2 2 2 2 2 18 3 3" xfId="6950" xr:uid="{761685B9-F641-4FE0-88D2-1049D3DBF438}"/>
    <cellStyle name="Normal 2 2 2 2 2 2 2 2 2 2 2 2 2 18 3 4" xfId="6951" xr:uid="{4CE76202-71F8-462D-9320-367C2862285A}"/>
    <cellStyle name="Normal 2 2 2 2 2 2 2 2 2 2 2 2 2 18 3 5" xfId="6952" xr:uid="{8695D775-1305-4A80-8462-E67C3DF9C214}"/>
    <cellStyle name="Normal 2 2 2 2 2 2 2 2 2 2 2 2 2 18 3 6" xfId="6953" xr:uid="{46CBF292-25B0-49F5-BF1D-73B26B323790}"/>
    <cellStyle name="Normal 2 2 2 2 2 2 2 2 2 2 2 2 2 18 4" xfId="6954" xr:uid="{F7BDE0D5-59B6-46D8-83CF-8D885B8D24BE}"/>
    <cellStyle name="Normal 2 2 2 2 2 2 2 2 2 2 2 2 2 18 5" xfId="6955" xr:uid="{B5462FE4-CC97-4E76-A7AC-0F273022333F}"/>
    <cellStyle name="Normal 2 2 2 2 2 2 2 2 2 2 2 2 2 18 6" xfId="6956" xr:uid="{4411C77D-1F43-41D1-8089-9F7EB93D02AD}"/>
    <cellStyle name="Normal 2 2 2 2 2 2 2 2 2 2 2 2 2 18 7" xfId="6957" xr:uid="{C812F6BB-502A-4EB9-9554-EB7749CE70D0}"/>
    <cellStyle name="Normal 2 2 2 2 2 2 2 2 2 2 2 2 2 18 8" xfId="6958" xr:uid="{56DA8A67-A5F1-4237-9140-E1A69EDE7D09}"/>
    <cellStyle name="Normal 2 2 2 2 2 2 2 2 2 2 2 2 2 18 8 2" xfId="6959" xr:uid="{840F230B-0234-44B8-B25E-13BE85C9A4A7}"/>
    <cellStyle name="Normal 2 2 2 2 2 2 2 2 2 2 2 2 2 18 8 3" xfId="6960" xr:uid="{3C24424A-1676-4BEA-990A-71BFE36B91CF}"/>
    <cellStyle name="Normal 2 2 2 2 2 2 2 2 2 2 2 2 2 18 8 4" xfId="6961" xr:uid="{7CC7EA5B-CD6C-44AA-B628-29B8D7DEBBFD}"/>
    <cellStyle name="Normal 2 2 2 2 2 2 2 2 2 2 2 2 2 18 9" xfId="6962" xr:uid="{67489DFD-A4EE-4B89-8738-D8A610A37BBB}"/>
    <cellStyle name="Normal 2 2 2 2 2 2 2 2 2 2 2 2 2 19" xfId="6963" xr:uid="{B95FBB57-6FAB-4FAB-817E-08456AC2BE24}"/>
    <cellStyle name="Normal 2 2 2 2 2 2 2 2 2 2 2 2 2 2" xfId="6964" xr:uid="{35B59D2D-0EDD-4221-815E-9EFA68F2582F}"/>
    <cellStyle name="Normal 2 2 2 2 2 2 2 2 2 2 2 2 2 2 10" xfId="6965" xr:uid="{85D78974-5D5A-4682-AF09-2E9FA9DDC140}"/>
    <cellStyle name="Normal 2 2 2 2 2 2 2 2 2 2 2 2 2 2 11" xfId="6966" xr:uid="{E1025754-D01C-44E3-83B4-4BC6F02C7759}"/>
    <cellStyle name="Normal 2 2 2 2 2 2 2 2 2 2 2 2 2 2 12" xfId="6967" xr:uid="{B87F5092-F578-4AD3-99DA-7590990AB34C}"/>
    <cellStyle name="Normal 2 2 2 2 2 2 2 2 2 2 2 2 2 2 13" xfId="6968" xr:uid="{F3099426-0621-4E7D-A745-84F6958FEA78}"/>
    <cellStyle name="Normal 2 2 2 2 2 2 2 2 2 2 2 2 2 2 14" xfId="6969" xr:uid="{80C9D693-E856-47CE-8CA4-E3EC82293EB4}"/>
    <cellStyle name="Normal 2 2 2 2 2 2 2 2 2 2 2 2 2 2 15" xfId="6970" xr:uid="{8D208A45-5A49-4372-8D97-DF6A2A3EC858}"/>
    <cellStyle name="Normal 2 2 2 2 2 2 2 2 2 2 2 2 2 2 16" xfId="6971" xr:uid="{0D190380-AE09-444D-B1DA-524F53911140}"/>
    <cellStyle name="Normal 2 2 2 2 2 2 2 2 2 2 2 2 2 2 16 10" xfId="6972" xr:uid="{FBB98744-FEFC-4744-A9BD-DB610DC7A1EF}"/>
    <cellStyle name="Normal 2 2 2 2 2 2 2 2 2 2 2 2 2 2 16 11" xfId="6973" xr:uid="{8DD14D89-404E-4E24-A821-274818E6B3F9}"/>
    <cellStyle name="Normal 2 2 2 2 2 2 2 2 2 2 2 2 2 2 16 11 2" xfId="6974" xr:uid="{5DAFCAD1-2928-4148-BD49-27263E07AA05}"/>
    <cellStyle name="Normal 2 2 2 2 2 2 2 2 2 2 2 2 2 2 16 11 3" xfId="6975" xr:uid="{36378435-847C-4C5B-AAD4-73E54CC2CB82}"/>
    <cellStyle name="Normal 2 2 2 2 2 2 2 2 2 2 2 2 2 2 16 11 4" xfId="6976" xr:uid="{B852A756-0E67-4BE4-B823-04791615FAF3}"/>
    <cellStyle name="Normal 2 2 2 2 2 2 2 2 2 2 2 2 2 2 16 12" xfId="6977" xr:uid="{DF332F96-7D9A-4E04-817B-E7E009BFC049}"/>
    <cellStyle name="Normal 2 2 2 2 2 2 2 2 2 2 2 2 2 2 16 13" xfId="6978" xr:uid="{D19030B4-62F2-4CAC-A3C7-B39595DA7B4A}"/>
    <cellStyle name="Normal 2 2 2 2 2 2 2 2 2 2 2 2 2 2 16 14" xfId="6979" xr:uid="{90E4CE6F-0630-4E0B-8A57-937FB45A7973}"/>
    <cellStyle name="Normal 2 2 2 2 2 2 2 2 2 2 2 2 2 2 16 2" xfId="6980" xr:uid="{0487D674-17DD-4934-82A9-5BB7AF429B8B}"/>
    <cellStyle name="Normal 2 2 2 2 2 2 2 2 2 2 2 2 2 2 16 2 10" xfId="6981" xr:uid="{D99BB84D-D955-476E-A2C9-4ADE4E4DAB47}"/>
    <cellStyle name="Normal 2 2 2 2 2 2 2 2 2 2 2 2 2 2 16 2 11" xfId="6982" xr:uid="{21540DE7-03D2-44BF-8A7A-9D1E5FFE50C6}"/>
    <cellStyle name="Normal 2 2 2 2 2 2 2 2 2 2 2 2 2 2 16 2 2" xfId="6983" xr:uid="{2610A25A-C7DD-42C9-94FC-0F9CE6182F11}"/>
    <cellStyle name="Normal 2 2 2 2 2 2 2 2 2 2 2 2 2 2 16 2 2 10" xfId="6984" xr:uid="{B0E41A1B-37A5-4047-BA7F-D8D8A4526136}"/>
    <cellStyle name="Normal 2 2 2 2 2 2 2 2 2 2 2 2 2 2 16 2 2 11" xfId="6985" xr:uid="{81CE1913-4B87-48A2-9B74-4B34FC51C4E7}"/>
    <cellStyle name="Normal 2 2 2 2 2 2 2 2 2 2 2 2 2 2 16 2 2 2" xfId="6986" xr:uid="{3D00EB75-7A39-46D0-AB5C-1BB8945E4C5C}"/>
    <cellStyle name="Normal 2 2 2 2 2 2 2 2 2 2 2 2 2 2 16 2 2 2 2" xfId="6987" xr:uid="{89A2008A-5D1B-41FF-881C-B466C37908DA}"/>
    <cellStyle name="Normal 2 2 2 2 2 2 2 2 2 2 2 2 2 2 16 2 2 2 2 2" xfId="6988" xr:uid="{330E2CEB-6FC7-430C-900D-2401C8E2A032}"/>
    <cellStyle name="Normal 2 2 2 2 2 2 2 2 2 2 2 2 2 2 16 2 2 2 2 3" xfId="6989" xr:uid="{7769E024-8B81-40AD-B062-988A1A6FF9AD}"/>
    <cellStyle name="Normal 2 2 2 2 2 2 2 2 2 2 2 2 2 2 16 2 2 2 2 4" xfId="6990" xr:uid="{CA3805A7-B6B9-48EB-925C-533C9BF8ACAF}"/>
    <cellStyle name="Normal 2 2 2 2 2 2 2 2 2 2 2 2 2 2 16 2 2 2 3" xfId="6991" xr:uid="{4D4E9C68-C9B7-4F30-BE76-385617CBFA94}"/>
    <cellStyle name="Normal 2 2 2 2 2 2 2 2 2 2 2 2 2 2 16 2 2 2 4" xfId="6992" xr:uid="{4448FFF4-BC7F-4ED4-BF55-AD064A64AEA1}"/>
    <cellStyle name="Normal 2 2 2 2 2 2 2 2 2 2 2 2 2 2 16 2 2 2 5" xfId="6993" xr:uid="{35740DF5-3EFA-4713-8A3D-3398547517D0}"/>
    <cellStyle name="Normal 2 2 2 2 2 2 2 2 2 2 2 2 2 2 16 2 2 2 6" xfId="6994" xr:uid="{D1003053-5B62-4B58-92E1-3B4E365B2E49}"/>
    <cellStyle name="Normal 2 2 2 2 2 2 2 2 2 2 2 2 2 2 16 2 2 3" xfId="6995" xr:uid="{AF7B893F-4FBC-451E-9738-6026AE5E3BC2}"/>
    <cellStyle name="Normal 2 2 2 2 2 2 2 2 2 2 2 2 2 2 16 2 2 4" xfId="6996" xr:uid="{5026BFE1-F2E8-4C69-9EC0-30AA63E2AD05}"/>
    <cellStyle name="Normal 2 2 2 2 2 2 2 2 2 2 2 2 2 2 16 2 2 5" xfId="6997" xr:uid="{0D7B7678-206C-475A-A8B2-4E78E6E9C043}"/>
    <cellStyle name="Normal 2 2 2 2 2 2 2 2 2 2 2 2 2 2 16 2 2 6" xfId="6998" xr:uid="{B74F4CC0-60DB-4D0D-87D3-089F8471505D}"/>
    <cellStyle name="Normal 2 2 2 2 2 2 2 2 2 2 2 2 2 2 16 2 2 7" xfId="6999" xr:uid="{DA331359-422C-4720-8BE1-EAE9B653B6C6}"/>
    <cellStyle name="Normal 2 2 2 2 2 2 2 2 2 2 2 2 2 2 16 2 2 8" xfId="7000" xr:uid="{32565C2E-F099-46A0-9265-620F73172622}"/>
    <cellStyle name="Normal 2 2 2 2 2 2 2 2 2 2 2 2 2 2 16 2 2 8 2" xfId="7001" xr:uid="{01302862-A625-42A9-B8F5-9DA2681F19C2}"/>
    <cellStyle name="Normal 2 2 2 2 2 2 2 2 2 2 2 2 2 2 16 2 2 8 3" xfId="7002" xr:uid="{49B0806B-5F81-48EE-ADD0-4528317D1773}"/>
    <cellStyle name="Normal 2 2 2 2 2 2 2 2 2 2 2 2 2 2 16 2 2 8 4" xfId="7003" xr:uid="{EBC6B8FE-4CC2-4442-87E6-8971EF4F5F58}"/>
    <cellStyle name="Normal 2 2 2 2 2 2 2 2 2 2 2 2 2 2 16 2 2 9" xfId="7004" xr:uid="{6BE3947C-D08D-4E21-900D-6031C7D39599}"/>
    <cellStyle name="Normal 2 2 2 2 2 2 2 2 2 2 2 2 2 2 16 2 3" xfId="7005" xr:uid="{1E05A29C-7F73-4567-B7C5-D2D285FB89E8}"/>
    <cellStyle name="Normal 2 2 2 2 2 2 2 2 2 2 2 2 2 2 16 2 3 2" xfId="7006" xr:uid="{332B76E8-B22C-4F62-8EA1-4B01A1DE21DC}"/>
    <cellStyle name="Normal 2 2 2 2 2 2 2 2 2 2 2 2 2 2 16 2 3 2 2" xfId="7007" xr:uid="{EF13D0C6-80D3-45A5-B2CD-F68BA7D686A7}"/>
    <cellStyle name="Normal 2 2 2 2 2 2 2 2 2 2 2 2 2 2 16 2 3 2 3" xfId="7008" xr:uid="{1F802119-5A32-4C98-B441-F5AAD8C323A8}"/>
    <cellStyle name="Normal 2 2 2 2 2 2 2 2 2 2 2 2 2 2 16 2 3 2 4" xfId="7009" xr:uid="{A048C10F-BAB7-41BB-97F2-C63CB58C5FF4}"/>
    <cellStyle name="Normal 2 2 2 2 2 2 2 2 2 2 2 2 2 2 16 2 3 3" xfId="7010" xr:uid="{3652F5B4-1158-4822-BCBD-EA72FCE516C9}"/>
    <cellStyle name="Normal 2 2 2 2 2 2 2 2 2 2 2 2 2 2 16 2 3 4" xfId="7011" xr:uid="{AD680128-D2FA-40CE-81C0-C791B2C78673}"/>
    <cellStyle name="Normal 2 2 2 2 2 2 2 2 2 2 2 2 2 2 16 2 3 5" xfId="7012" xr:uid="{C0182CBC-8D93-4353-ADEA-A5EFEC2D3758}"/>
    <cellStyle name="Normal 2 2 2 2 2 2 2 2 2 2 2 2 2 2 16 2 3 6" xfId="7013" xr:uid="{32D6E41D-BD86-4478-9B29-D2710729533D}"/>
    <cellStyle name="Normal 2 2 2 2 2 2 2 2 2 2 2 2 2 2 16 2 4" xfId="7014" xr:uid="{015702C6-1BA9-4F4F-9A9E-540BE954065D}"/>
    <cellStyle name="Normal 2 2 2 2 2 2 2 2 2 2 2 2 2 2 16 2 5" xfId="7015" xr:uid="{BC96096C-497C-407C-BEFA-4C3EDF5624B0}"/>
    <cellStyle name="Normal 2 2 2 2 2 2 2 2 2 2 2 2 2 2 16 2 6" xfId="7016" xr:uid="{DCF69001-6591-42A1-9D12-DEFD6445611F}"/>
    <cellStyle name="Normal 2 2 2 2 2 2 2 2 2 2 2 2 2 2 16 2 7" xfId="7017" xr:uid="{9BE0A5B2-0E27-4322-8C30-9EDF956B5A23}"/>
    <cellStyle name="Normal 2 2 2 2 2 2 2 2 2 2 2 2 2 2 16 2 8" xfId="7018" xr:uid="{3F9D52CA-7F33-468B-B007-2F1F33B9A551}"/>
    <cellStyle name="Normal 2 2 2 2 2 2 2 2 2 2 2 2 2 2 16 2 8 2" xfId="7019" xr:uid="{A1A9D4D5-B184-4D91-8602-D8B6ADC81FA0}"/>
    <cellStyle name="Normal 2 2 2 2 2 2 2 2 2 2 2 2 2 2 16 2 8 3" xfId="7020" xr:uid="{4481346E-D324-46BF-974C-2B1F8C4F651E}"/>
    <cellStyle name="Normal 2 2 2 2 2 2 2 2 2 2 2 2 2 2 16 2 8 4" xfId="7021" xr:uid="{DE5011F4-147C-4A23-9750-13DDC6E4466A}"/>
    <cellStyle name="Normal 2 2 2 2 2 2 2 2 2 2 2 2 2 2 16 2 9" xfId="7022" xr:uid="{E07BBC79-98D8-427F-9134-FE89E11A3776}"/>
    <cellStyle name="Normal 2 2 2 2 2 2 2 2 2 2 2 2 2 2 16 3" xfId="7023" xr:uid="{7DC77FD7-26F1-44E9-81ED-A2A2A4975564}"/>
    <cellStyle name="Normal 2 2 2 2 2 2 2 2 2 2 2 2 2 2 16 4" xfId="7024" xr:uid="{09B1E0A2-068D-41A6-B7DA-B908330938D4}"/>
    <cellStyle name="Normal 2 2 2 2 2 2 2 2 2 2 2 2 2 2 16 5" xfId="7025" xr:uid="{5746EF8C-0AC7-4D7E-96F2-242CA9A253F3}"/>
    <cellStyle name="Normal 2 2 2 2 2 2 2 2 2 2 2 2 2 2 16 5 2" xfId="7026" xr:uid="{0E22EC14-4B62-4176-B27E-FCFD459AF733}"/>
    <cellStyle name="Normal 2 2 2 2 2 2 2 2 2 2 2 2 2 2 16 5 2 2" xfId="7027" xr:uid="{091F99C5-6384-4B1F-87FF-C334CEBFD647}"/>
    <cellStyle name="Normal 2 2 2 2 2 2 2 2 2 2 2 2 2 2 16 5 2 3" xfId="7028" xr:uid="{32B3096C-7DF6-4A75-AAF2-A9FF518DFF85}"/>
    <cellStyle name="Normal 2 2 2 2 2 2 2 2 2 2 2 2 2 2 16 5 2 4" xfId="7029" xr:uid="{541D2247-E4DF-44D6-92CF-696FA1D5D1A4}"/>
    <cellStyle name="Normal 2 2 2 2 2 2 2 2 2 2 2 2 2 2 16 5 3" xfId="7030" xr:uid="{F5CACA12-B211-478F-BB4D-D5D676D89119}"/>
    <cellStyle name="Normal 2 2 2 2 2 2 2 2 2 2 2 2 2 2 16 5 4" xfId="7031" xr:uid="{B798AF09-253F-433E-9669-4401A3A29593}"/>
    <cellStyle name="Normal 2 2 2 2 2 2 2 2 2 2 2 2 2 2 16 5 5" xfId="7032" xr:uid="{D134ADB1-1BF8-4525-B12C-B76948D69581}"/>
    <cellStyle name="Normal 2 2 2 2 2 2 2 2 2 2 2 2 2 2 16 5 6" xfId="7033" xr:uid="{6FC528A9-A839-4B71-9DA5-BF478320CEB3}"/>
    <cellStyle name="Normal 2 2 2 2 2 2 2 2 2 2 2 2 2 2 16 6" xfId="7034" xr:uid="{FC461162-7694-44EC-8D92-14E52478580A}"/>
    <cellStyle name="Normal 2 2 2 2 2 2 2 2 2 2 2 2 2 2 16 7" xfId="7035" xr:uid="{8488EB20-793B-4E8B-92C0-B48F2E6EBDF7}"/>
    <cellStyle name="Normal 2 2 2 2 2 2 2 2 2 2 2 2 2 2 16 8" xfId="7036" xr:uid="{52EE80E4-6D18-472A-91F1-511722B1C9A0}"/>
    <cellStyle name="Normal 2 2 2 2 2 2 2 2 2 2 2 2 2 2 16 9" xfId="7037" xr:uid="{38F3B943-8528-4BC5-ABD0-27B879742A1C}"/>
    <cellStyle name="Normal 2 2 2 2 2 2 2 2 2 2 2 2 2 2 17" xfId="7038" xr:uid="{B219FA8E-35BF-4BFC-B050-959F9D350B47}"/>
    <cellStyle name="Normal 2 2 2 2 2 2 2 2 2 2 2 2 2 2 18" xfId="7039" xr:uid="{0699DDEC-D01F-409B-B896-41D41EF1F721}"/>
    <cellStyle name="Normal 2 2 2 2 2 2 2 2 2 2 2 2 2 2 18 10" xfId="7040" xr:uid="{B03FE029-9D45-4843-9F2F-837126149B20}"/>
    <cellStyle name="Normal 2 2 2 2 2 2 2 2 2 2 2 2 2 2 18 11" xfId="7041" xr:uid="{3AB812B0-7D9E-4C91-B8BB-CC57DD0FDA7D}"/>
    <cellStyle name="Normal 2 2 2 2 2 2 2 2 2 2 2 2 2 2 18 2" xfId="7042" xr:uid="{D18871FF-BE66-41DE-AB1D-C87954A8E289}"/>
    <cellStyle name="Normal 2 2 2 2 2 2 2 2 2 2 2 2 2 2 18 2 10" xfId="7043" xr:uid="{601120C0-9E50-4CAC-BEBD-3C734DA0DBB2}"/>
    <cellStyle name="Normal 2 2 2 2 2 2 2 2 2 2 2 2 2 2 18 2 11" xfId="7044" xr:uid="{F8604CD7-D58A-4273-9E55-26269C56BE6F}"/>
    <cellStyle name="Normal 2 2 2 2 2 2 2 2 2 2 2 2 2 2 18 2 2" xfId="7045" xr:uid="{07AC6FC5-ABA4-43D8-8518-24FD535B2D38}"/>
    <cellStyle name="Normal 2 2 2 2 2 2 2 2 2 2 2 2 2 2 18 2 2 2" xfId="7046" xr:uid="{35DB3CDB-5496-45CD-A0C9-BB0C756D2DDC}"/>
    <cellStyle name="Normal 2 2 2 2 2 2 2 2 2 2 2 2 2 2 18 2 2 2 2" xfId="7047" xr:uid="{537027D1-466A-4E76-82E6-A7CB70177BF7}"/>
    <cellStyle name="Normal 2 2 2 2 2 2 2 2 2 2 2 2 2 2 18 2 2 2 3" xfId="7048" xr:uid="{3B4FD9BB-E8B4-452E-BE41-1F333C89ADEA}"/>
    <cellStyle name="Normal 2 2 2 2 2 2 2 2 2 2 2 2 2 2 18 2 2 2 4" xfId="7049" xr:uid="{FA291C06-5687-425B-AB59-E034E5A446E7}"/>
    <cellStyle name="Normal 2 2 2 2 2 2 2 2 2 2 2 2 2 2 18 2 2 3" xfId="7050" xr:uid="{F92E4E44-8721-4BD7-B010-165D79C2BBDF}"/>
    <cellStyle name="Normal 2 2 2 2 2 2 2 2 2 2 2 2 2 2 18 2 2 4" xfId="7051" xr:uid="{F9A1E80B-6E32-4105-B9A0-B6D3AF632CBF}"/>
    <cellStyle name="Normal 2 2 2 2 2 2 2 2 2 2 2 2 2 2 18 2 2 5" xfId="7052" xr:uid="{A0AC5E51-5A05-464B-889B-F76761780B9D}"/>
    <cellStyle name="Normal 2 2 2 2 2 2 2 2 2 2 2 2 2 2 18 2 2 6" xfId="7053" xr:uid="{F68A561A-0C2C-4017-B566-5123CB631359}"/>
    <cellStyle name="Normal 2 2 2 2 2 2 2 2 2 2 2 2 2 2 18 2 3" xfId="7054" xr:uid="{92113129-78D6-4A6F-AED0-F54393A3E9CC}"/>
    <cellStyle name="Normal 2 2 2 2 2 2 2 2 2 2 2 2 2 2 18 2 4" xfId="7055" xr:uid="{AA81A9C2-B1C7-4232-AB8E-220EA4CF4D17}"/>
    <cellStyle name="Normal 2 2 2 2 2 2 2 2 2 2 2 2 2 2 18 2 5" xfId="7056" xr:uid="{18546060-DB39-43B7-8F1B-E6D407A08247}"/>
    <cellStyle name="Normal 2 2 2 2 2 2 2 2 2 2 2 2 2 2 18 2 6" xfId="7057" xr:uid="{120A79F1-5936-46BF-B3EA-7D36A1FCE63E}"/>
    <cellStyle name="Normal 2 2 2 2 2 2 2 2 2 2 2 2 2 2 18 2 7" xfId="7058" xr:uid="{0B75F21E-878B-4732-B05F-985ADE374750}"/>
    <cellStyle name="Normal 2 2 2 2 2 2 2 2 2 2 2 2 2 2 18 2 8" xfId="7059" xr:uid="{A8505600-343A-4971-A339-36297D3E6324}"/>
    <cellStyle name="Normal 2 2 2 2 2 2 2 2 2 2 2 2 2 2 18 2 8 2" xfId="7060" xr:uid="{6F35F526-B50E-4D13-8B41-8C16FDF41A3C}"/>
    <cellStyle name="Normal 2 2 2 2 2 2 2 2 2 2 2 2 2 2 18 2 8 3" xfId="7061" xr:uid="{D1F44231-39BF-47E2-9327-58B2DD647E2F}"/>
    <cellStyle name="Normal 2 2 2 2 2 2 2 2 2 2 2 2 2 2 18 2 8 4" xfId="7062" xr:uid="{3B103702-F827-46A9-A4E2-6772902F681D}"/>
    <cellStyle name="Normal 2 2 2 2 2 2 2 2 2 2 2 2 2 2 18 2 9" xfId="7063" xr:uid="{ED2D2D5A-3358-4C98-AE8A-A030DFA25E2F}"/>
    <cellStyle name="Normal 2 2 2 2 2 2 2 2 2 2 2 2 2 2 18 3" xfId="7064" xr:uid="{0AF34F17-BA48-4FAE-8CA2-38AF1B24CE83}"/>
    <cellStyle name="Normal 2 2 2 2 2 2 2 2 2 2 2 2 2 2 18 3 2" xfId="7065" xr:uid="{68547FE2-CB10-40EA-8DF5-D0EB247C7FB8}"/>
    <cellStyle name="Normal 2 2 2 2 2 2 2 2 2 2 2 2 2 2 18 3 2 2" xfId="7066" xr:uid="{3B17840E-ABD6-4783-91E3-2ED98C985FEB}"/>
    <cellStyle name="Normal 2 2 2 2 2 2 2 2 2 2 2 2 2 2 18 3 2 3" xfId="7067" xr:uid="{A6DCAA83-EE89-4528-82DC-3BD099D9A772}"/>
    <cellStyle name="Normal 2 2 2 2 2 2 2 2 2 2 2 2 2 2 18 3 2 4" xfId="7068" xr:uid="{0399B55B-98B1-4BD3-8327-62B9DD8807CA}"/>
    <cellStyle name="Normal 2 2 2 2 2 2 2 2 2 2 2 2 2 2 18 3 3" xfId="7069" xr:uid="{DD0223CE-F3B6-4585-B1A2-144E79144C66}"/>
    <cellStyle name="Normal 2 2 2 2 2 2 2 2 2 2 2 2 2 2 18 3 4" xfId="7070" xr:uid="{DC8A130E-828C-4EEC-90FE-C16ADDB81C9D}"/>
    <cellStyle name="Normal 2 2 2 2 2 2 2 2 2 2 2 2 2 2 18 3 5" xfId="7071" xr:uid="{628CDE6B-4E38-4752-9573-B201D8D4DC27}"/>
    <cellStyle name="Normal 2 2 2 2 2 2 2 2 2 2 2 2 2 2 18 3 6" xfId="7072" xr:uid="{1A0E266E-87B8-4CF0-A6A8-986DD4D2AF6C}"/>
    <cellStyle name="Normal 2 2 2 2 2 2 2 2 2 2 2 2 2 2 18 4" xfId="7073" xr:uid="{389FE619-781D-4F5A-8774-1ABD244DACDE}"/>
    <cellStyle name="Normal 2 2 2 2 2 2 2 2 2 2 2 2 2 2 18 5" xfId="7074" xr:uid="{25290F95-09E4-4BAE-B52D-E6AF05ECB383}"/>
    <cellStyle name="Normal 2 2 2 2 2 2 2 2 2 2 2 2 2 2 18 6" xfId="7075" xr:uid="{AC6E3B23-64DA-437D-A34A-6EBCBB392F26}"/>
    <cellStyle name="Normal 2 2 2 2 2 2 2 2 2 2 2 2 2 2 18 7" xfId="7076" xr:uid="{744D60FC-F377-4015-8A1A-D17A4A061D62}"/>
    <cellStyle name="Normal 2 2 2 2 2 2 2 2 2 2 2 2 2 2 18 8" xfId="7077" xr:uid="{1F2CE94F-9B30-472B-9B9E-70C46CFD0C26}"/>
    <cellStyle name="Normal 2 2 2 2 2 2 2 2 2 2 2 2 2 2 18 8 2" xfId="7078" xr:uid="{4252B89C-129E-47EE-BB71-7E81342AF694}"/>
    <cellStyle name="Normal 2 2 2 2 2 2 2 2 2 2 2 2 2 2 18 8 3" xfId="7079" xr:uid="{882DABC1-1F51-4599-A902-911849E48D77}"/>
    <cellStyle name="Normal 2 2 2 2 2 2 2 2 2 2 2 2 2 2 18 8 4" xfId="7080" xr:uid="{B769195F-EF57-4274-92E8-2886D6C835DB}"/>
    <cellStyle name="Normal 2 2 2 2 2 2 2 2 2 2 2 2 2 2 18 9" xfId="7081" xr:uid="{8C42AE7F-337B-4E00-8410-FCCB59560DF1}"/>
    <cellStyle name="Normal 2 2 2 2 2 2 2 2 2 2 2 2 2 2 19" xfId="7082" xr:uid="{06FBE52D-93E1-4E53-8EA6-DF864FBBAB47}"/>
    <cellStyle name="Normal 2 2 2 2 2 2 2 2 2 2 2 2 2 2 2" xfId="7083" xr:uid="{F539A31F-6437-4EAB-B678-3BBE6FDAE8BA}"/>
    <cellStyle name="Normal 2 2 2 2 2 2 2 2 2 2 2 2 2 2 2 10" xfId="7084" xr:uid="{19B68931-B303-4B93-B176-2377001CADC3}"/>
    <cellStyle name="Normal 2 2 2 2 2 2 2 2 2 2 2 2 2 2 2 11" xfId="7085" xr:uid="{1A742E22-4DEF-40F9-BBEF-00EF9D9CEE00}"/>
    <cellStyle name="Normal 2 2 2 2 2 2 2 2 2 2 2 2 2 2 2 12" xfId="7086" xr:uid="{8553C771-9101-4454-8F9A-ADF4C4A60FBA}"/>
    <cellStyle name="Normal 2 2 2 2 2 2 2 2 2 2 2 2 2 2 2 12 10" xfId="7087" xr:uid="{5A1C1588-E78B-4DC1-9BE6-3E3AB8D81CB8}"/>
    <cellStyle name="Normal 2 2 2 2 2 2 2 2 2 2 2 2 2 2 2 12 11" xfId="7088" xr:uid="{C61D4598-E6EF-4191-A98B-EC6F11B34366}"/>
    <cellStyle name="Normal 2 2 2 2 2 2 2 2 2 2 2 2 2 2 2 12 11 2" xfId="7089" xr:uid="{EECC9240-C06A-4395-928D-517E5BA28FB3}"/>
    <cellStyle name="Normal 2 2 2 2 2 2 2 2 2 2 2 2 2 2 2 12 11 3" xfId="7090" xr:uid="{BD5C7625-7402-4BAF-A3CF-CEA431875F2F}"/>
    <cellStyle name="Normal 2 2 2 2 2 2 2 2 2 2 2 2 2 2 2 12 11 4" xfId="7091" xr:uid="{175E7615-58BB-44DA-B5EA-328341A2F8ED}"/>
    <cellStyle name="Normal 2 2 2 2 2 2 2 2 2 2 2 2 2 2 2 12 12" xfId="7092" xr:uid="{79A1A71F-EB72-47BE-A2BE-C09C8B186DBE}"/>
    <cellStyle name="Normal 2 2 2 2 2 2 2 2 2 2 2 2 2 2 2 12 13" xfId="7093" xr:uid="{71A11476-6803-4490-9B24-2D15E061EC02}"/>
    <cellStyle name="Normal 2 2 2 2 2 2 2 2 2 2 2 2 2 2 2 12 14" xfId="7094" xr:uid="{21A194F7-2AB0-4529-9268-57ED7F390479}"/>
    <cellStyle name="Normal 2 2 2 2 2 2 2 2 2 2 2 2 2 2 2 12 2" xfId="7095" xr:uid="{993E2768-6B71-4F83-875A-11F0CE0BC8DD}"/>
    <cellStyle name="Normal 2 2 2 2 2 2 2 2 2 2 2 2 2 2 2 12 2 10" xfId="7096" xr:uid="{950369C0-8EBB-4A40-837D-AC77EF98EDC4}"/>
    <cellStyle name="Normal 2 2 2 2 2 2 2 2 2 2 2 2 2 2 2 12 2 11" xfId="7097" xr:uid="{4067EDCE-1379-4F97-A030-E2984F7F2484}"/>
    <cellStyle name="Normal 2 2 2 2 2 2 2 2 2 2 2 2 2 2 2 12 2 2" xfId="7098" xr:uid="{0DCBCF66-BF2F-467F-94EA-8A27275E03B6}"/>
    <cellStyle name="Normal 2 2 2 2 2 2 2 2 2 2 2 2 2 2 2 12 2 2 10" xfId="7099" xr:uid="{02ADF0B2-69CC-4901-80EC-F19C54E6A1E5}"/>
    <cellStyle name="Normal 2 2 2 2 2 2 2 2 2 2 2 2 2 2 2 12 2 2 11" xfId="7100" xr:uid="{BF00D64C-B7F1-48D6-A364-CAA83B88DF3B}"/>
    <cellStyle name="Normal 2 2 2 2 2 2 2 2 2 2 2 2 2 2 2 12 2 2 2" xfId="7101" xr:uid="{7A6122BA-33F2-45DA-BE0E-AF0B6C170753}"/>
    <cellStyle name="Normal 2 2 2 2 2 2 2 2 2 2 2 2 2 2 2 12 2 2 2 2" xfId="7102" xr:uid="{090B6ECC-B658-45A3-85DC-D46B4802B3BD}"/>
    <cellStyle name="Normal 2 2 2 2 2 2 2 2 2 2 2 2 2 2 2 12 2 2 2 2 2" xfId="7103" xr:uid="{10E3339A-FBB2-42D1-A7EF-3E88DCB399ED}"/>
    <cellStyle name="Normal 2 2 2 2 2 2 2 2 2 2 2 2 2 2 2 12 2 2 2 2 3" xfId="7104" xr:uid="{2DB83529-91A0-486B-B742-CC81BAE16F88}"/>
    <cellStyle name="Normal 2 2 2 2 2 2 2 2 2 2 2 2 2 2 2 12 2 2 2 2 4" xfId="7105" xr:uid="{BF54CB5C-D6A5-4FA7-BF94-9F03B7B4760C}"/>
    <cellStyle name="Normal 2 2 2 2 2 2 2 2 2 2 2 2 2 2 2 12 2 2 2 3" xfId="7106" xr:uid="{F4B7E81C-36FF-4973-AD58-6B536F3B527A}"/>
    <cellStyle name="Normal 2 2 2 2 2 2 2 2 2 2 2 2 2 2 2 12 2 2 2 4" xfId="7107" xr:uid="{7E61380B-D65E-4A92-B1F6-95492F018745}"/>
    <cellStyle name="Normal 2 2 2 2 2 2 2 2 2 2 2 2 2 2 2 12 2 2 2 5" xfId="7108" xr:uid="{152DC150-2D02-413B-B8DF-BDE603A89FF4}"/>
    <cellStyle name="Normal 2 2 2 2 2 2 2 2 2 2 2 2 2 2 2 12 2 2 2 6" xfId="7109" xr:uid="{B7F33D65-78AF-42C9-AE42-0325359C146D}"/>
    <cellStyle name="Normal 2 2 2 2 2 2 2 2 2 2 2 2 2 2 2 12 2 2 3" xfId="7110" xr:uid="{983A13C4-59CD-4095-8861-1019BADF9C8D}"/>
    <cellStyle name="Normal 2 2 2 2 2 2 2 2 2 2 2 2 2 2 2 12 2 2 4" xfId="7111" xr:uid="{DD01D16A-AD5B-4DBE-A94E-457E03FE574A}"/>
    <cellStyle name="Normal 2 2 2 2 2 2 2 2 2 2 2 2 2 2 2 12 2 2 5" xfId="7112" xr:uid="{8D9FED59-51A5-49D0-B185-1860AB2508C5}"/>
    <cellStyle name="Normal 2 2 2 2 2 2 2 2 2 2 2 2 2 2 2 12 2 2 6" xfId="7113" xr:uid="{25942022-58B7-4EDD-BA9F-69BD7335A2B6}"/>
    <cellStyle name="Normal 2 2 2 2 2 2 2 2 2 2 2 2 2 2 2 12 2 2 7" xfId="7114" xr:uid="{4B33CD28-E161-40A3-9914-9965BB4BBF0B}"/>
    <cellStyle name="Normal 2 2 2 2 2 2 2 2 2 2 2 2 2 2 2 12 2 2 8" xfId="7115" xr:uid="{2664E5E8-C868-4C03-9A97-8A703615BB0B}"/>
    <cellStyle name="Normal 2 2 2 2 2 2 2 2 2 2 2 2 2 2 2 12 2 2 8 2" xfId="7116" xr:uid="{BE426ACE-11E5-49F8-AA24-720453709034}"/>
    <cellStyle name="Normal 2 2 2 2 2 2 2 2 2 2 2 2 2 2 2 12 2 2 8 3" xfId="7117" xr:uid="{6C7170A3-92DD-4BF8-A1BD-263D2867FCB1}"/>
    <cellStyle name="Normal 2 2 2 2 2 2 2 2 2 2 2 2 2 2 2 12 2 2 8 4" xfId="7118" xr:uid="{CA9CD62A-FBCA-4383-8BF2-32AD208F2285}"/>
    <cellStyle name="Normal 2 2 2 2 2 2 2 2 2 2 2 2 2 2 2 12 2 2 9" xfId="7119" xr:uid="{3199BACF-8431-47AD-B5B7-6C03DB7D9342}"/>
    <cellStyle name="Normal 2 2 2 2 2 2 2 2 2 2 2 2 2 2 2 12 2 3" xfId="7120" xr:uid="{5B03A580-4D5E-44DF-8444-B703B99B913C}"/>
    <cellStyle name="Normal 2 2 2 2 2 2 2 2 2 2 2 2 2 2 2 12 2 3 2" xfId="7121" xr:uid="{DFF05AF2-F3FC-4BF4-8A60-23715FCC1B6C}"/>
    <cellStyle name="Normal 2 2 2 2 2 2 2 2 2 2 2 2 2 2 2 12 2 3 2 2" xfId="7122" xr:uid="{1BBA8327-FEC8-43AB-AA74-FFFF146D78A6}"/>
    <cellStyle name="Normal 2 2 2 2 2 2 2 2 2 2 2 2 2 2 2 12 2 3 2 3" xfId="7123" xr:uid="{395D324E-CB1B-4A6F-ABFA-E3EB6D719C6D}"/>
    <cellStyle name="Normal 2 2 2 2 2 2 2 2 2 2 2 2 2 2 2 12 2 3 2 4" xfId="7124" xr:uid="{20805BFF-0F6B-445F-BDD2-5E9FCDF3DEA3}"/>
    <cellStyle name="Normal 2 2 2 2 2 2 2 2 2 2 2 2 2 2 2 12 2 3 3" xfId="7125" xr:uid="{0D93B0D5-022F-44AE-B1AC-FDA0ABE4010B}"/>
    <cellStyle name="Normal 2 2 2 2 2 2 2 2 2 2 2 2 2 2 2 12 2 3 4" xfId="7126" xr:uid="{009C48F1-9E5B-4D29-B8F5-14A388DF283C}"/>
    <cellStyle name="Normal 2 2 2 2 2 2 2 2 2 2 2 2 2 2 2 12 2 3 5" xfId="7127" xr:uid="{885657A0-CADC-4C72-B195-FF7FC2CC5131}"/>
    <cellStyle name="Normal 2 2 2 2 2 2 2 2 2 2 2 2 2 2 2 12 2 3 6" xfId="7128" xr:uid="{5397A90B-5238-4CAD-B0EA-378012F3F8F2}"/>
    <cellStyle name="Normal 2 2 2 2 2 2 2 2 2 2 2 2 2 2 2 12 2 4" xfId="7129" xr:uid="{FB4DEDED-5A17-4E1D-B277-A6A3026E11BB}"/>
    <cellStyle name="Normal 2 2 2 2 2 2 2 2 2 2 2 2 2 2 2 12 2 5" xfId="7130" xr:uid="{FB84ED6D-8C05-42A0-A954-1C40A52BD7A5}"/>
    <cellStyle name="Normal 2 2 2 2 2 2 2 2 2 2 2 2 2 2 2 12 2 6" xfId="7131" xr:uid="{C5B0CDDB-88B4-4098-8009-9E62E596010D}"/>
    <cellStyle name="Normal 2 2 2 2 2 2 2 2 2 2 2 2 2 2 2 12 2 7" xfId="7132" xr:uid="{0D48CB97-A639-4A7A-8C42-E8E70863A29C}"/>
    <cellStyle name="Normal 2 2 2 2 2 2 2 2 2 2 2 2 2 2 2 12 2 8" xfId="7133" xr:uid="{C2B4B093-CAC2-4D8C-8278-3361B1BAAC35}"/>
    <cellStyle name="Normal 2 2 2 2 2 2 2 2 2 2 2 2 2 2 2 12 2 8 2" xfId="7134" xr:uid="{A206D8BE-25C8-42B0-BC61-E30B20759321}"/>
    <cellStyle name="Normal 2 2 2 2 2 2 2 2 2 2 2 2 2 2 2 12 2 8 3" xfId="7135" xr:uid="{1FD96C8D-28FA-4305-AE87-6A26D9DF693D}"/>
    <cellStyle name="Normal 2 2 2 2 2 2 2 2 2 2 2 2 2 2 2 12 2 8 4" xfId="7136" xr:uid="{0E15A5B8-B1D7-42A9-A409-122CB76B9CC7}"/>
    <cellStyle name="Normal 2 2 2 2 2 2 2 2 2 2 2 2 2 2 2 12 2 9" xfId="7137" xr:uid="{7E44797A-068C-44EB-BADB-B67456E81916}"/>
    <cellStyle name="Normal 2 2 2 2 2 2 2 2 2 2 2 2 2 2 2 12 3" xfId="7138" xr:uid="{A7DCC902-1A00-4347-ACB4-27C24FF7454E}"/>
    <cellStyle name="Normal 2 2 2 2 2 2 2 2 2 2 2 2 2 2 2 12 4" xfId="7139" xr:uid="{E5C95DE4-1E2B-4411-8E58-14D03A7A66AD}"/>
    <cellStyle name="Normal 2 2 2 2 2 2 2 2 2 2 2 2 2 2 2 12 5" xfId="7140" xr:uid="{6ADCC01D-700F-478C-A6CA-B7B6160264E1}"/>
    <cellStyle name="Normal 2 2 2 2 2 2 2 2 2 2 2 2 2 2 2 12 5 2" xfId="7141" xr:uid="{1FFBF183-83AD-4583-BC11-B44CE119F8E1}"/>
    <cellStyle name="Normal 2 2 2 2 2 2 2 2 2 2 2 2 2 2 2 12 5 2 2" xfId="7142" xr:uid="{8F8AD06C-8B8D-4F29-9855-0137580E4E5F}"/>
    <cellStyle name="Normal 2 2 2 2 2 2 2 2 2 2 2 2 2 2 2 12 5 2 3" xfId="7143" xr:uid="{4F29C1E1-3497-4133-A7B7-31565886801E}"/>
    <cellStyle name="Normal 2 2 2 2 2 2 2 2 2 2 2 2 2 2 2 12 5 2 4" xfId="7144" xr:uid="{A691333E-2D6E-476A-BFF8-D69F261D7002}"/>
    <cellStyle name="Normal 2 2 2 2 2 2 2 2 2 2 2 2 2 2 2 12 5 3" xfId="7145" xr:uid="{B305A2F6-EEAB-417E-B73E-9ED1B5BECAE5}"/>
    <cellStyle name="Normal 2 2 2 2 2 2 2 2 2 2 2 2 2 2 2 12 5 4" xfId="7146" xr:uid="{FFE4E89E-F6DB-42F3-9A42-BBA516001CD4}"/>
    <cellStyle name="Normal 2 2 2 2 2 2 2 2 2 2 2 2 2 2 2 12 5 5" xfId="7147" xr:uid="{91BF95E1-59F4-4A6E-A3D6-08D6F1544AC2}"/>
    <cellStyle name="Normal 2 2 2 2 2 2 2 2 2 2 2 2 2 2 2 12 5 6" xfId="7148" xr:uid="{556A5419-9AEA-47B4-A6C8-959C873EE1E8}"/>
    <cellStyle name="Normal 2 2 2 2 2 2 2 2 2 2 2 2 2 2 2 12 6" xfId="7149" xr:uid="{745F91A1-D8CB-44E7-AD27-1F42026EC203}"/>
    <cellStyle name="Normal 2 2 2 2 2 2 2 2 2 2 2 2 2 2 2 12 7" xfId="7150" xr:uid="{15D9CFC5-A889-44F7-82DB-258014E13534}"/>
    <cellStyle name="Normal 2 2 2 2 2 2 2 2 2 2 2 2 2 2 2 12 8" xfId="7151" xr:uid="{25328754-D17F-4FD7-9834-FBA7DD2E03FD}"/>
    <cellStyle name="Normal 2 2 2 2 2 2 2 2 2 2 2 2 2 2 2 12 9" xfId="7152" xr:uid="{B5CCC836-7B6A-4DCE-BDBF-21CBEDD13A5C}"/>
    <cellStyle name="Normal 2 2 2 2 2 2 2 2 2 2 2 2 2 2 2 13" xfId="7153" xr:uid="{A5623D70-4613-41E0-9F28-A572920DF968}"/>
    <cellStyle name="Normal 2 2 2 2 2 2 2 2 2 2 2 2 2 2 2 14" xfId="7154" xr:uid="{1F81AC1F-2E46-439F-B9DD-09E6AD1A7362}"/>
    <cellStyle name="Normal 2 2 2 2 2 2 2 2 2 2 2 2 2 2 2 14 10" xfId="7155" xr:uid="{18EEC475-4057-4892-BF46-D8D0B96BC91B}"/>
    <cellStyle name="Normal 2 2 2 2 2 2 2 2 2 2 2 2 2 2 2 14 11" xfId="7156" xr:uid="{720BEE3F-5B77-4FFC-A765-9784058237FB}"/>
    <cellStyle name="Normal 2 2 2 2 2 2 2 2 2 2 2 2 2 2 2 14 2" xfId="7157" xr:uid="{85D3C90E-9DE3-47E7-80FD-DDB59E3AA8BC}"/>
    <cellStyle name="Normal 2 2 2 2 2 2 2 2 2 2 2 2 2 2 2 14 2 10" xfId="7158" xr:uid="{9DC5E8FB-FD0A-41A2-AF23-D04D685D9F51}"/>
    <cellStyle name="Normal 2 2 2 2 2 2 2 2 2 2 2 2 2 2 2 14 2 11" xfId="7159" xr:uid="{E55E6F88-68A1-4385-A960-E9270A0C4835}"/>
    <cellStyle name="Normal 2 2 2 2 2 2 2 2 2 2 2 2 2 2 2 14 2 2" xfId="7160" xr:uid="{99ED5F5E-0E9E-4420-BE3B-B4FD8180EF51}"/>
    <cellStyle name="Normal 2 2 2 2 2 2 2 2 2 2 2 2 2 2 2 14 2 2 2" xfId="7161" xr:uid="{198E902B-BE57-4D08-B56F-88ED925CC32B}"/>
    <cellStyle name="Normal 2 2 2 2 2 2 2 2 2 2 2 2 2 2 2 14 2 2 2 2" xfId="7162" xr:uid="{679CF0C2-8C2B-4A7F-A3AE-B660A582C209}"/>
    <cellStyle name="Normal 2 2 2 2 2 2 2 2 2 2 2 2 2 2 2 14 2 2 2 3" xfId="7163" xr:uid="{D81A620A-B31E-4AD7-8FC0-E0781C6E50D2}"/>
    <cellStyle name="Normal 2 2 2 2 2 2 2 2 2 2 2 2 2 2 2 14 2 2 2 4" xfId="7164" xr:uid="{0E79D668-2373-410D-B279-9D9EFE63547C}"/>
    <cellStyle name="Normal 2 2 2 2 2 2 2 2 2 2 2 2 2 2 2 14 2 2 3" xfId="7165" xr:uid="{EB54066C-D1E8-4497-A90A-D56000A64A96}"/>
    <cellStyle name="Normal 2 2 2 2 2 2 2 2 2 2 2 2 2 2 2 14 2 2 4" xfId="7166" xr:uid="{0837E55D-5D7C-4E7E-8B9D-7F1FFCEE47EC}"/>
    <cellStyle name="Normal 2 2 2 2 2 2 2 2 2 2 2 2 2 2 2 14 2 2 5" xfId="7167" xr:uid="{B35A5235-68C4-4038-9A65-43544935B3CF}"/>
    <cellStyle name="Normal 2 2 2 2 2 2 2 2 2 2 2 2 2 2 2 14 2 2 6" xfId="7168" xr:uid="{E90BA37D-EE47-40B0-88A7-966456153A59}"/>
    <cellStyle name="Normal 2 2 2 2 2 2 2 2 2 2 2 2 2 2 2 14 2 3" xfId="7169" xr:uid="{FC3FDD58-7140-4F42-82A2-ACCCFB175BBC}"/>
    <cellStyle name="Normal 2 2 2 2 2 2 2 2 2 2 2 2 2 2 2 14 2 4" xfId="7170" xr:uid="{408C09E2-BF03-4B6C-BC91-E8C20C0B735B}"/>
    <cellStyle name="Normal 2 2 2 2 2 2 2 2 2 2 2 2 2 2 2 14 2 5" xfId="7171" xr:uid="{8D3CEA92-ED59-465D-A65C-6046E12D345A}"/>
    <cellStyle name="Normal 2 2 2 2 2 2 2 2 2 2 2 2 2 2 2 14 2 6" xfId="7172" xr:uid="{59204442-D80A-4742-9B94-CDFEF96F1B9A}"/>
    <cellStyle name="Normal 2 2 2 2 2 2 2 2 2 2 2 2 2 2 2 14 2 7" xfId="7173" xr:uid="{686C4819-85A5-4798-97DD-53BE688F2C42}"/>
    <cellStyle name="Normal 2 2 2 2 2 2 2 2 2 2 2 2 2 2 2 14 2 8" xfId="7174" xr:uid="{A3B7D423-7980-4086-83C0-50F0BC59BD66}"/>
    <cellStyle name="Normal 2 2 2 2 2 2 2 2 2 2 2 2 2 2 2 14 2 8 2" xfId="7175" xr:uid="{C83E7C80-D4E3-4C7D-8CEB-7FC86EE368C0}"/>
    <cellStyle name="Normal 2 2 2 2 2 2 2 2 2 2 2 2 2 2 2 14 2 8 3" xfId="7176" xr:uid="{49D38E2F-BD13-4C6B-A8F4-99A86DC8C214}"/>
    <cellStyle name="Normal 2 2 2 2 2 2 2 2 2 2 2 2 2 2 2 14 2 8 4" xfId="7177" xr:uid="{A3433D00-BFDE-4413-BC8B-EC6AC96C93A2}"/>
    <cellStyle name="Normal 2 2 2 2 2 2 2 2 2 2 2 2 2 2 2 14 2 9" xfId="7178" xr:uid="{5B2E7FD6-FDC0-4F6E-AA26-16EE1BDD2444}"/>
    <cellStyle name="Normal 2 2 2 2 2 2 2 2 2 2 2 2 2 2 2 14 3" xfId="7179" xr:uid="{1BAF8102-6FB8-4334-9F1F-511D5440665E}"/>
    <cellStyle name="Normal 2 2 2 2 2 2 2 2 2 2 2 2 2 2 2 14 3 2" xfId="7180" xr:uid="{0C6F286F-8675-43AF-BBB7-B1702A6AE625}"/>
    <cellStyle name="Normal 2 2 2 2 2 2 2 2 2 2 2 2 2 2 2 14 3 2 2" xfId="7181" xr:uid="{53986924-E8AB-4A87-ABF8-CD5B6B698F8F}"/>
    <cellStyle name="Normal 2 2 2 2 2 2 2 2 2 2 2 2 2 2 2 14 3 2 3" xfId="7182" xr:uid="{DBB3C3F0-69DF-4430-9B8C-8C4512EE240C}"/>
    <cellStyle name="Normal 2 2 2 2 2 2 2 2 2 2 2 2 2 2 2 14 3 2 4" xfId="7183" xr:uid="{558FDFB2-1026-4D75-86FE-BEEB046A141E}"/>
    <cellStyle name="Normal 2 2 2 2 2 2 2 2 2 2 2 2 2 2 2 14 3 3" xfId="7184" xr:uid="{ABF0EF12-1C9C-4336-82A3-16CB2F76BC57}"/>
    <cellStyle name="Normal 2 2 2 2 2 2 2 2 2 2 2 2 2 2 2 14 3 4" xfId="7185" xr:uid="{5A0A6B0D-092F-445E-BE78-F08DF8C67B83}"/>
    <cellStyle name="Normal 2 2 2 2 2 2 2 2 2 2 2 2 2 2 2 14 3 5" xfId="7186" xr:uid="{71300142-065E-419F-9F3E-358CBF9391A8}"/>
    <cellStyle name="Normal 2 2 2 2 2 2 2 2 2 2 2 2 2 2 2 14 3 6" xfId="7187" xr:uid="{77A68B31-DEF4-4F64-A0C0-90F870787C3A}"/>
    <cellStyle name="Normal 2 2 2 2 2 2 2 2 2 2 2 2 2 2 2 14 4" xfId="7188" xr:uid="{BB25C10A-2735-48D7-88BE-AAD586E49B34}"/>
    <cellStyle name="Normal 2 2 2 2 2 2 2 2 2 2 2 2 2 2 2 14 5" xfId="7189" xr:uid="{BB235568-2D1F-41A0-A5D3-4673F2C0882E}"/>
    <cellStyle name="Normal 2 2 2 2 2 2 2 2 2 2 2 2 2 2 2 14 6" xfId="7190" xr:uid="{940047FE-29B9-4567-B36D-6336E4813C27}"/>
    <cellStyle name="Normal 2 2 2 2 2 2 2 2 2 2 2 2 2 2 2 14 7" xfId="7191" xr:uid="{7B85AD4C-38AA-4C48-BE06-42DA17CAB256}"/>
    <cellStyle name="Normal 2 2 2 2 2 2 2 2 2 2 2 2 2 2 2 14 8" xfId="7192" xr:uid="{10E7C1FF-B16C-4E92-B4AB-82D3D6048705}"/>
    <cellStyle name="Normal 2 2 2 2 2 2 2 2 2 2 2 2 2 2 2 14 8 2" xfId="7193" xr:uid="{2A5A0FF3-79A1-42C2-8D90-F152E3A56493}"/>
    <cellStyle name="Normal 2 2 2 2 2 2 2 2 2 2 2 2 2 2 2 14 8 3" xfId="7194" xr:uid="{B8DB25DD-B20C-445B-8AE5-091E280A9B3F}"/>
    <cellStyle name="Normal 2 2 2 2 2 2 2 2 2 2 2 2 2 2 2 14 8 4" xfId="7195" xr:uid="{1116514B-E687-4A90-BA20-8722C1D2D8F4}"/>
    <cellStyle name="Normal 2 2 2 2 2 2 2 2 2 2 2 2 2 2 2 14 9" xfId="7196" xr:uid="{FC8FE267-8444-447D-A90C-65837F9D1872}"/>
    <cellStyle name="Normal 2 2 2 2 2 2 2 2 2 2 2 2 2 2 2 15" xfId="7197" xr:uid="{361007DE-CCA6-4164-9F60-A1544E852A7C}"/>
    <cellStyle name="Normal 2 2 2 2 2 2 2 2 2 2 2 2 2 2 2 16" xfId="7198" xr:uid="{C5F73853-FF03-4075-9878-E0BE1E82D572}"/>
    <cellStyle name="Normal 2 2 2 2 2 2 2 2 2 2 2 2 2 2 2 16 2" xfId="7199" xr:uid="{55A351E2-1A08-4656-9158-C13701A65ED3}"/>
    <cellStyle name="Normal 2 2 2 2 2 2 2 2 2 2 2 2 2 2 2 16 2 2" xfId="7200" xr:uid="{96FE03AC-48AF-45D5-B4E6-9517668AC0A0}"/>
    <cellStyle name="Normal 2 2 2 2 2 2 2 2 2 2 2 2 2 2 2 16 2 3" xfId="7201" xr:uid="{94AA3378-A90E-4CAB-8B04-FC33703667CB}"/>
    <cellStyle name="Normal 2 2 2 2 2 2 2 2 2 2 2 2 2 2 2 16 2 4" xfId="7202" xr:uid="{9E627846-ABB7-4438-B575-FCB4C18180B5}"/>
    <cellStyle name="Normal 2 2 2 2 2 2 2 2 2 2 2 2 2 2 2 16 3" xfId="7203" xr:uid="{FBC57953-A96F-4553-9E65-38ECF395CD9E}"/>
    <cellStyle name="Normal 2 2 2 2 2 2 2 2 2 2 2 2 2 2 2 16 4" xfId="7204" xr:uid="{A5141A66-4CCC-4445-B5D7-16368C5CFF0C}"/>
    <cellStyle name="Normal 2 2 2 2 2 2 2 2 2 2 2 2 2 2 2 16 5" xfId="7205" xr:uid="{85DBF444-0093-43A1-B44C-CCFB20401760}"/>
    <cellStyle name="Normal 2 2 2 2 2 2 2 2 2 2 2 2 2 2 2 16 6" xfId="7206" xr:uid="{96A6109E-CB3E-4FE9-8811-6D2468258C52}"/>
    <cellStyle name="Normal 2 2 2 2 2 2 2 2 2 2 2 2 2 2 2 17" xfId="7207" xr:uid="{6D95BF22-0DD9-4B7C-8F40-C889EAC42909}"/>
    <cellStyle name="Normal 2 2 2 2 2 2 2 2 2 2 2 2 2 2 2 18" xfId="7208" xr:uid="{EF31B3AE-B415-4A8F-B908-174844D42466}"/>
    <cellStyle name="Normal 2 2 2 2 2 2 2 2 2 2 2 2 2 2 2 19" xfId="7209" xr:uid="{837EC1C7-55C5-4B15-BA2B-AEDE38BC7651}"/>
    <cellStyle name="Normal 2 2 2 2 2 2 2 2 2 2 2 2 2 2 2 2" xfId="7210" xr:uid="{DDD664EF-A1CE-4491-B7CC-FAA44B4DB5E7}"/>
    <cellStyle name="Normal 2 2 2 2 2 2 2 2 2 2 2 2 2 2 2 2 10" xfId="7211" xr:uid="{9C2C1205-9E3F-4FB1-8D2C-6B94138081C7}"/>
    <cellStyle name="Normal 2 2 2 2 2 2 2 2 2 2 2 2 2 2 2 2 11" xfId="7212" xr:uid="{3673316A-FF18-4A5A-BE26-6C5D0E3CBFCF}"/>
    <cellStyle name="Normal 2 2 2 2 2 2 2 2 2 2 2 2 2 2 2 2 11 10" xfId="7213" xr:uid="{E50EA465-DFF0-4B7C-9055-59D36F903A13}"/>
    <cellStyle name="Normal 2 2 2 2 2 2 2 2 2 2 2 2 2 2 2 2 11 11" xfId="7214" xr:uid="{530379F7-0FBC-45C2-BEBF-51DE4F0AD358}"/>
    <cellStyle name="Normal 2 2 2 2 2 2 2 2 2 2 2 2 2 2 2 2 11 11 2" xfId="7215" xr:uid="{CCBA1BE3-6645-4968-83D9-B9F399178621}"/>
    <cellStyle name="Normal 2 2 2 2 2 2 2 2 2 2 2 2 2 2 2 2 11 11 3" xfId="7216" xr:uid="{BADD634B-5BFD-49C5-8669-917D19A6D9F9}"/>
    <cellStyle name="Normal 2 2 2 2 2 2 2 2 2 2 2 2 2 2 2 2 11 11 4" xfId="7217" xr:uid="{6688B7D4-052E-423B-9268-87DCEA72AA7D}"/>
    <cellStyle name="Normal 2 2 2 2 2 2 2 2 2 2 2 2 2 2 2 2 11 12" xfId="7218" xr:uid="{3D2DB7A0-9188-45DE-B561-65B65B22FCE2}"/>
    <cellStyle name="Normal 2 2 2 2 2 2 2 2 2 2 2 2 2 2 2 2 11 13" xfId="7219" xr:uid="{AFE5782E-C482-4E29-AF2D-5F0624404D08}"/>
    <cellStyle name="Normal 2 2 2 2 2 2 2 2 2 2 2 2 2 2 2 2 11 14" xfId="7220" xr:uid="{6D576DED-1FD7-45E8-A9C5-6D224F5C7D8C}"/>
    <cellStyle name="Normal 2 2 2 2 2 2 2 2 2 2 2 2 2 2 2 2 11 2" xfId="7221" xr:uid="{E9827AE9-7485-4B10-9109-84015C74EC7E}"/>
    <cellStyle name="Normal 2 2 2 2 2 2 2 2 2 2 2 2 2 2 2 2 11 2 10" xfId="7222" xr:uid="{DD30FCF0-5754-49A0-8A25-E8BBB71970F9}"/>
    <cellStyle name="Normal 2 2 2 2 2 2 2 2 2 2 2 2 2 2 2 2 11 2 11" xfId="7223" xr:uid="{27569E67-9B6B-4951-9CC8-C7EDD8A604F6}"/>
    <cellStyle name="Normal 2 2 2 2 2 2 2 2 2 2 2 2 2 2 2 2 11 2 2" xfId="7224" xr:uid="{55A29F0E-8526-4728-AC59-16AB01F03220}"/>
    <cellStyle name="Normal 2 2 2 2 2 2 2 2 2 2 2 2 2 2 2 2 11 2 2 10" xfId="7225" xr:uid="{8B5BE9B2-1BCB-4147-A460-F9705B9B27FC}"/>
    <cellStyle name="Normal 2 2 2 2 2 2 2 2 2 2 2 2 2 2 2 2 11 2 2 11" xfId="7226" xr:uid="{E762F884-9F1C-47D8-8601-55CF5422D2A8}"/>
    <cellStyle name="Normal 2 2 2 2 2 2 2 2 2 2 2 2 2 2 2 2 11 2 2 2" xfId="7227" xr:uid="{BF6DCC89-E87D-42AF-B3EE-B1480EB9880B}"/>
    <cellStyle name="Normal 2 2 2 2 2 2 2 2 2 2 2 2 2 2 2 2 11 2 2 2 2" xfId="7228" xr:uid="{52D719DA-5F77-46F7-AE5E-3C1F4B7A6114}"/>
    <cellStyle name="Normal 2 2 2 2 2 2 2 2 2 2 2 2 2 2 2 2 11 2 2 2 2 2" xfId="7229" xr:uid="{AD0296D5-46A5-4F50-8A67-B2CAD1BC6917}"/>
    <cellStyle name="Normal 2 2 2 2 2 2 2 2 2 2 2 2 2 2 2 2 11 2 2 2 2 3" xfId="7230" xr:uid="{ADBF942A-6777-4B34-9419-AB5D3FFB88B4}"/>
    <cellStyle name="Normal 2 2 2 2 2 2 2 2 2 2 2 2 2 2 2 2 11 2 2 2 2 4" xfId="7231" xr:uid="{1E72FC0A-219E-4C29-8F40-32939EE56435}"/>
    <cellStyle name="Normal 2 2 2 2 2 2 2 2 2 2 2 2 2 2 2 2 11 2 2 2 3" xfId="7232" xr:uid="{2DC26EAB-7209-46DA-BF8B-CA56942F84EF}"/>
    <cellStyle name="Normal 2 2 2 2 2 2 2 2 2 2 2 2 2 2 2 2 11 2 2 2 4" xfId="7233" xr:uid="{F6BABEF9-3F0F-4766-94B8-3CC92E4B4F3A}"/>
    <cellStyle name="Normal 2 2 2 2 2 2 2 2 2 2 2 2 2 2 2 2 11 2 2 2 5" xfId="7234" xr:uid="{BD51E17E-F5C0-46FA-9CC7-9A88BB5CE22A}"/>
    <cellStyle name="Normal 2 2 2 2 2 2 2 2 2 2 2 2 2 2 2 2 11 2 2 2 6" xfId="7235" xr:uid="{8D0D49AE-E545-4348-9A5D-153AF774505F}"/>
    <cellStyle name="Normal 2 2 2 2 2 2 2 2 2 2 2 2 2 2 2 2 11 2 2 3" xfId="7236" xr:uid="{E1561308-506B-402E-AEC4-53CAD87FEFB6}"/>
    <cellStyle name="Normal 2 2 2 2 2 2 2 2 2 2 2 2 2 2 2 2 11 2 2 4" xfId="7237" xr:uid="{0551D3C3-9B73-4BE9-8521-88D5942643B9}"/>
    <cellStyle name="Normal 2 2 2 2 2 2 2 2 2 2 2 2 2 2 2 2 11 2 2 5" xfId="7238" xr:uid="{281512B7-AC52-45C5-8ECA-08B7C4455C73}"/>
    <cellStyle name="Normal 2 2 2 2 2 2 2 2 2 2 2 2 2 2 2 2 11 2 2 6" xfId="7239" xr:uid="{167A1F8E-1A03-4F41-87AC-661338E4277A}"/>
    <cellStyle name="Normal 2 2 2 2 2 2 2 2 2 2 2 2 2 2 2 2 11 2 2 7" xfId="7240" xr:uid="{41D4F3DF-DA5E-482A-9058-8EE96C024A1A}"/>
    <cellStyle name="Normal 2 2 2 2 2 2 2 2 2 2 2 2 2 2 2 2 11 2 2 8" xfId="7241" xr:uid="{788D772F-BE84-4D9C-B7DF-D0699C1A4F64}"/>
    <cellStyle name="Normal 2 2 2 2 2 2 2 2 2 2 2 2 2 2 2 2 11 2 2 8 2" xfId="7242" xr:uid="{6174B2CE-7CDF-4A4B-8DEA-C4FE06F7B384}"/>
    <cellStyle name="Normal 2 2 2 2 2 2 2 2 2 2 2 2 2 2 2 2 11 2 2 8 3" xfId="7243" xr:uid="{7C59BE0C-41FC-4627-914B-0C86821A8F98}"/>
    <cellStyle name="Normal 2 2 2 2 2 2 2 2 2 2 2 2 2 2 2 2 11 2 2 8 4" xfId="7244" xr:uid="{E2326A67-119A-4629-A003-706E63217FE7}"/>
    <cellStyle name="Normal 2 2 2 2 2 2 2 2 2 2 2 2 2 2 2 2 11 2 2 9" xfId="7245" xr:uid="{F79A322B-EA1C-4CD9-AB76-6E839320ACED}"/>
    <cellStyle name="Normal 2 2 2 2 2 2 2 2 2 2 2 2 2 2 2 2 11 2 3" xfId="7246" xr:uid="{3EA4F0C1-CF30-4C6E-81D2-26880EB7084E}"/>
    <cellStyle name="Normal 2 2 2 2 2 2 2 2 2 2 2 2 2 2 2 2 11 2 3 2" xfId="7247" xr:uid="{D79D19A3-A851-4BF9-AB66-93DA5E9ED3C6}"/>
    <cellStyle name="Normal 2 2 2 2 2 2 2 2 2 2 2 2 2 2 2 2 11 2 3 2 2" xfId="7248" xr:uid="{CDEF29FE-9C10-43FE-8D41-0064841B165E}"/>
    <cellStyle name="Normal 2 2 2 2 2 2 2 2 2 2 2 2 2 2 2 2 11 2 3 2 3" xfId="7249" xr:uid="{04151A90-AB88-41D4-959E-D103A59B2974}"/>
    <cellStyle name="Normal 2 2 2 2 2 2 2 2 2 2 2 2 2 2 2 2 11 2 3 2 4" xfId="7250" xr:uid="{49924E08-3B67-420D-B03D-91003A876DA1}"/>
    <cellStyle name="Normal 2 2 2 2 2 2 2 2 2 2 2 2 2 2 2 2 11 2 3 3" xfId="7251" xr:uid="{1F1F631B-AAB8-4E37-82D3-1A4318F05936}"/>
    <cellStyle name="Normal 2 2 2 2 2 2 2 2 2 2 2 2 2 2 2 2 11 2 3 4" xfId="7252" xr:uid="{462CED5D-823F-45DA-9162-1FE912C72073}"/>
    <cellStyle name="Normal 2 2 2 2 2 2 2 2 2 2 2 2 2 2 2 2 11 2 3 5" xfId="7253" xr:uid="{D7164AE1-F4B0-43B2-A2C1-4242BF8F1874}"/>
    <cellStyle name="Normal 2 2 2 2 2 2 2 2 2 2 2 2 2 2 2 2 11 2 3 6" xfId="7254" xr:uid="{E9D642C3-3D60-486C-B075-4BCD511D7210}"/>
    <cellStyle name="Normal 2 2 2 2 2 2 2 2 2 2 2 2 2 2 2 2 11 2 4" xfId="7255" xr:uid="{87446E92-1386-41F1-9A49-DCD0B35E8B04}"/>
    <cellStyle name="Normal 2 2 2 2 2 2 2 2 2 2 2 2 2 2 2 2 11 2 5" xfId="7256" xr:uid="{145DC673-49F9-4A77-BB1E-379BE5F01277}"/>
    <cellStyle name="Normal 2 2 2 2 2 2 2 2 2 2 2 2 2 2 2 2 11 2 6" xfId="7257" xr:uid="{01887650-58B9-4728-BBB0-21587FB32982}"/>
    <cellStyle name="Normal 2 2 2 2 2 2 2 2 2 2 2 2 2 2 2 2 11 2 7" xfId="7258" xr:uid="{D788BBA6-2F0F-4382-8809-83C1AE8BCB2D}"/>
    <cellStyle name="Normal 2 2 2 2 2 2 2 2 2 2 2 2 2 2 2 2 11 2 8" xfId="7259" xr:uid="{17DC670B-EC47-4935-BD03-5D8C574AF494}"/>
    <cellStyle name="Normal 2 2 2 2 2 2 2 2 2 2 2 2 2 2 2 2 11 2 8 2" xfId="7260" xr:uid="{C0D782FA-5D4B-4998-85B1-20C99254AC1A}"/>
    <cellStyle name="Normal 2 2 2 2 2 2 2 2 2 2 2 2 2 2 2 2 11 2 8 3" xfId="7261" xr:uid="{59D9B91E-3437-4DD7-BD44-99B3A4999E7E}"/>
    <cellStyle name="Normal 2 2 2 2 2 2 2 2 2 2 2 2 2 2 2 2 11 2 8 4" xfId="7262" xr:uid="{D4316C4A-D43F-48CE-86F7-AD9940B5F398}"/>
    <cellStyle name="Normal 2 2 2 2 2 2 2 2 2 2 2 2 2 2 2 2 11 2 9" xfId="7263" xr:uid="{528574AA-29B3-42B0-8802-6CEA70704FC0}"/>
    <cellStyle name="Normal 2 2 2 2 2 2 2 2 2 2 2 2 2 2 2 2 11 3" xfId="7264" xr:uid="{E3FE0AA1-774D-4559-A713-A3BFB54C6554}"/>
    <cellStyle name="Normal 2 2 2 2 2 2 2 2 2 2 2 2 2 2 2 2 11 4" xfId="7265" xr:uid="{821C112F-8AD2-4367-870D-3EC7364033D4}"/>
    <cellStyle name="Normal 2 2 2 2 2 2 2 2 2 2 2 2 2 2 2 2 11 5" xfId="7266" xr:uid="{7D9FEE15-A5E1-48C9-A3BA-4CF812BB8874}"/>
    <cellStyle name="Normal 2 2 2 2 2 2 2 2 2 2 2 2 2 2 2 2 11 5 2" xfId="7267" xr:uid="{CB27B671-FF4A-49FF-AB36-7167CC20BD57}"/>
    <cellStyle name="Normal 2 2 2 2 2 2 2 2 2 2 2 2 2 2 2 2 11 5 2 2" xfId="7268" xr:uid="{C9617521-8F29-406D-A33E-5D1CEB8BBBB7}"/>
    <cellStyle name="Normal 2 2 2 2 2 2 2 2 2 2 2 2 2 2 2 2 11 5 2 3" xfId="7269" xr:uid="{FDF65DF4-AEE4-49A0-B91E-5D4CC14A4414}"/>
    <cellStyle name="Normal 2 2 2 2 2 2 2 2 2 2 2 2 2 2 2 2 11 5 2 4" xfId="7270" xr:uid="{BD4DB00F-55FB-4640-97FB-295A88C36261}"/>
    <cellStyle name="Normal 2 2 2 2 2 2 2 2 2 2 2 2 2 2 2 2 11 5 3" xfId="7271" xr:uid="{AA567B1F-7C28-48C2-AF79-4B0A15F84615}"/>
    <cellStyle name="Normal 2 2 2 2 2 2 2 2 2 2 2 2 2 2 2 2 11 5 4" xfId="7272" xr:uid="{F16AE7E9-1B5E-4928-BB08-4FD72E373D54}"/>
    <cellStyle name="Normal 2 2 2 2 2 2 2 2 2 2 2 2 2 2 2 2 11 5 5" xfId="7273" xr:uid="{A2FD43B3-E57C-46E6-96A2-EA13A066D201}"/>
    <cellStyle name="Normal 2 2 2 2 2 2 2 2 2 2 2 2 2 2 2 2 11 5 6" xfId="7274" xr:uid="{67883816-859D-41EE-8DE8-1F10EE648ED8}"/>
    <cellStyle name="Normal 2 2 2 2 2 2 2 2 2 2 2 2 2 2 2 2 11 6" xfId="7275" xr:uid="{067F8D53-E0A6-4977-B92A-04F9B304DDB0}"/>
    <cellStyle name="Normal 2 2 2 2 2 2 2 2 2 2 2 2 2 2 2 2 11 7" xfId="7276" xr:uid="{F7F23E04-B284-4A26-A513-75DD28469001}"/>
    <cellStyle name="Normal 2 2 2 2 2 2 2 2 2 2 2 2 2 2 2 2 11 8" xfId="7277" xr:uid="{489268C9-8F27-4592-9ECC-A631573AB524}"/>
    <cellStyle name="Normal 2 2 2 2 2 2 2 2 2 2 2 2 2 2 2 2 11 9" xfId="7278" xr:uid="{BF74239B-1973-41CD-9AE8-F506F047CB6D}"/>
    <cellStyle name="Normal 2 2 2 2 2 2 2 2 2 2 2 2 2 2 2 2 12" xfId="7279" xr:uid="{73D078E0-4BA4-4921-A195-6EEC4600DE16}"/>
    <cellStyle name="Normal 2 2 2 2 2 2 2 2 2 2 2 2 2 2 2 2 13" xfId="7280" xr:uid="{2DED65E0-3D37-460A-AD52-2250BEB622F8}"/>
    <cellStyle name="Normal 2 2 2 2 2 2 2 2 2 2 2 2 2 2 2 2 13 10" xfId="7281" xr:uid="{3F3D3B2D-2D8F-4768-B751-0A6F52014682}"/>
    <cellStyle name="Normal 2 2 2 2 2 2 2 2 2 2 2 2 2 2 2 2 13 11" xfId="7282" xr:uid="{D6A73E6A-8127-4419-91C4-1F3AC440870B}"/>
    <cellStyle name="Normal 2 2 2 2 2 2 2 2 2 2 2 2 2 2 2 2 13 2" xfId="7283" xr:uid="{C0170D5A-D4EC-40E6-AD0D-A4DDE296D475}"/>
    <cellStyle name="Normal 2 2 2 2 2 2 2 2 2 2 2 2 2 2 2 2 13 2 10" xfId="7284" xr:uid="{93116B67-2BB5-4341-8D04-FFEB2D7AF957}"/>
    <cellStyle name="Normal 2 2 2 2 2 2 2 2 2 2 2 2 2 2 2 2 13 2 11" xfId="7285" xr:uid="{DC376B77-E456-4FF8-AF94-A39093469860}"/>
    <cellStyle name="Normal 2 2 2 2 2 2 2 2 2 2 2 2 2 2 2 2 13 2 2" xfId="7286" xr:uid="{75D2D190-3017-4867-A2A2-E6A89ECB6420}"/>
    <cellStyle name="Normal 2 2 2 2 2 2 2 2 2 2 2 2 2 2 2 2 13 2 2 2" xfId="7287" xr:uid="{1C453720-4ABB-405F-993F-29D9CE5616FD}"/>
    <cellStyle name="Normal 2 2 2 2 2 2 2 2 2 2 2 2 2 2 2 2 13 2 2 2 2" xfId="7288" xr:uid="{C4BFD385-271B-455C-9AE6-9F58F9EC9EA0}"/>
    <cellStyle name="Normal 2 2 2 2 2 2 2 2 2 2 2 2 2 2 2 2 13 2 2 2 3" xfId="7289" xr:uid="{9484FFEA-0B8D-4C4E-8FAE-D67FEE51CCF5}"/>
    <cellStyle name="Normal 2 2 2 2 2 2 2 2 2 2 2 2 2 2 2 2 13 2 2 2 4" xfId="7290" xr:uid="{BF1B6AB7-282C-4434-A45E-B0EDBEA3D58C}"/>
    <cellStyle name="Normal 2 2 2 2 2 2 2 2 2 2 2 2 2 2 2 2 13 2 2 3" xfId="7291" xr:uid="{46BDC58A-5AA1-4852-812C-746C636C08A9}"/>
    <cellStyle name="Normal 2 2 2 2 2 2 2 2 2 2 2 2 2 2 2 2 13 2 2 4" xfId="7292" xr:uid="{562FA434-DC50-4F92-8F51-CC336E0D9184}"/>
    <cellStyle name="Normal 2 2 2 2 2 2 2 2 2 2 2 2 2 2 2 2 13 2 2 5" xfId="7293" xr:uid="{8A2F0B5D-871C-42EB-AF61-C238F2EA3B8F}"/>
    <cellStyle name="Normal 2 2 2 2 2 2 2 2 2 2 2 2 2 2 2 2 13 2 2 6" xfId="7294" xr:uid="{35D5ABD0-4BE0-4F62-B2E9-A10EB732A222}"/>
    <cellStyle name="Normal 2 2 2 2 2 2 2 2 2 2 2 2 2 2 2 2 13 2 3" xfId="7295" xr:uid="{B3D8A88D-E1BE-4B22-B649-769AD5CE5C37}"/>
    <cellStyle name="Normal 2 2 2 2 2 2 2 2 2 2 2 2 2 2 2 2 13 2 4" xfId="7296" xr:uid="{1D96CED7-6731-413F-97BF-3CF2B896C74E}"/>
    <cellStyle name="Normal 2 2 2 2 2 2 2 2 2 2 2 2 2 2 2 2 13 2 5" xfId="7297" xr:uid="{37D86133-0905-42D6-85C4-972761160760}"/>
    <cellStyle name="Normal 2 2 2 2 2 2 2 2 2 2 2 2 2 2 2 2 13 2 6" xfId="7298" xr:uid="{937B6227-FAA2-496C-A673-2CDECBDDAE97}"/>
    <cellStyle name="Normal 2 2 2 2 2 2 2 2 2 2 2 2 2 2 2 2 13 2 7" xfId="7299" xr:uid="{CCC9795E-782C-4AFF-9648-9873EDA3CD58}"/>
    <cellStyle name="Normal 2 2 2 2 2 2 2 2 2 2 2 2 2 2 2 2 13 2 8" xfId="7300" xr:uid="{E5863163-7F76-4E5D-85D8-BD37A70D72DA}"/>
    <cellStyle name="Normal 2 2 2 2 2 2 2 2 2 2 2 2 2 2 2 2 13 2 8 2" xfId="7301" xr:uid="{AF97A5DC-A6FC-4169-99BC-0D4DE1228F9F}"/>
    <cellStyle name="Normal 2 2 2 2 2 2 2 2 2 2 2 2 2 2 2 2 13 2 8 3" xfId="7302" xr:uid="{FA4E12FE-D54B-4B35-8A2E-7FEE7C6427B8}"/>
    <cellStyle name="Normal 2 2 2 2 2 2 2 2 2 2 2 2 2 2 2 2 13 2 8 4" xfId="7303" xr:uid="{A2DAFC57-736D-4B04-88D6-2C91827489F9}"/>
    <cellStyle name="Normal 2 2 2 2 2 2 2 2 2 2 2 2 2 2 2 2 13 2 9" xfId="7304" xr:uid="{FBAF5C1D-608E-46E7-9968-FAAB2E791440}"/>
    <cellStyle name="Normal 2 2 2 2 2 2 2 2 2 2 2 2 2 2 2 2 13 3" xfId="7305" xr:uid="{8921F2F5-E064-471B-9923-5317B2923C0F}"/>
    <cellStyle name="Normal 2 2 2 2 2 2 2 2 2 2 2 2 2 2 2 2 13 3 2" xfId="7306" xr:uid="{2A4F5794-EB28-43E1-A701-FBE96FB42288}"/>
    <cellStyle name="Normal 2 2 2 2 2 2 2 2 2 2 2 2 2 2 2 2 13 3 2 2" xfId="7307" xr:uid="{8032C274-35DB-4305-9C5A-7A377CD60E76}"/>
    <cellStyle name="Normal 2 2 2 2 2 2 2 2 2 2 2 2 2 2 2 2 13 3 2 3" xfId="7308" xr:uid="{40D7BB8E-A524-46C1-BE3B-E9B030B32DB6}"/>
    <cellStyle name="Normal 2 2 2 2 2 2 2 2 2 2 2 2 2 2 2 2 13 3 2 4" xfId="7309" xr:uid="{7DC925A0-B745-458A-B48C-2959925E0624}"/>
    <cellStyle name="Normal 2 2 2 2 2 2 2 2 2 2 2 2 2 2 2 2 13 3 3" xfId="7310" xr:uid="{0A4EBE0D-094A-40D1-BC49-3F443403A6AC}"/>
    <cellStyle name="Normal 2 2 2 2 2 2 2 2 2 2 2 2 2 2 2 2 13 3 4" xfId="7311" xr:uid="{89FCCAA4-B541-4D7E-98AA-EBC50F40B3A2}"/>
    <cellStyle name="Normal 2 2 2 2 2 2 2 2 2 2 2 2 2 2 2 2 13 3 5" xfId="7312" xr:uid="{9B6578F2-8160-4F2D-9A26-FE32F878A480}"/>
    <cellStyle name="Normal 2 2 2 2 2 2 2 2 2 2 2 2 2 2 2 2 13 3 6" xfId="7313" xr:uid="{3DDD9C57-29D9-4575-A5F1-8DB68DC7BFFF}"/>
    <cellStyle name="Normal 2 2 2 2 2 2 2 2 2 2 2 2 2 2 2 2 13 4" xfId="7314" xr:uid="{1C3A263A-604A-411F-A72C-A18B430F57AC}"/>
    <cellStyle name="Normal 2 2 2 2 2 2 2 2 2 2 2 2 2 2 2 2 13 5" xfId="7315" xr:uid="{F218DBD5-A788-4C48-BD19-6141C7226393}"/>
    <cellStyle name="Normal 2 2 2 2 2 2 2 2 2 2 2 2 2 2 2 2 13 6" xfId="7316" xr:uid="{801D6820-B486-40CC-BD9C-2D84B3B5A6F2}"/>
    <cellStyle name="Normal 2 2 2 2 2 2 2 2 2 2 2 2 2 2 2 2 13 7" xfId="7317" xr:uid="{4C5789AA-696A-45D4-A422-E1ACED907EF2}"/>
    <cellStyle name="Normal 2 2 2 2 2 2 2 2 2 2 2 2 2 2 2 2 13 8" xfId="7318" xr:uid="{C8C8EA5C-92A0-43A1-8C6E-B6D0A1303771}"/>
    <cellStyle name="Normal 2 2 2 2 2 2 2 2 2 2 2 2 2 2 2 2 13 8 2" xfId="7319" xr:uid="{E5D1E198-C359-4375-9033-C793374287B8}"/>
    <cellStyle name="Normal 2 2 2 2 2 2 2 2 2 2 2 2 2 2 2 2 13 8 3" xfId="7320" xr:uid="{193F6583-0AA7-4631-94EE-09660476BA9A}"/>
    <cellStyle name="Normal 2 2 2 2 2 2 2 2 2 2 2 2 2 2 2 2 13 8 4" xfId="7321" xr:uid="{A1CD44D5-AA84-4690-8783-43B8D9842030}"/>
    <cellStyle name="Normal 2 2 2 2 2 2 2 2 2 2 2 2 2 2 2 2 13 9" xfId="7322" xr:uid="{FC77B651-C821-465E-AA25-FFDE5CCFBE12}"/>
    <cellStyle name="Normal 2 2 2 2 2 2 2 2 2 2 2 2 2 2 2 2 14" xfId="7323" xr:uid="{7D0C1B37-5986-4836-94EE-B2E8B1E9F701}"/>
    <cellStyle name="Normal 2 2 2 2 2 2 2 2 2 2 2 2 2 2 2 2 15" xfId="7324" xr:uid="{04D734F4-46E9-413A-87C9-75C47EC46A8F}"/>
    <cellStyle name="Normal 2 2 2 2 2 2 2 2 2 2 2 2 2 2 2 2 15 2" xfId="7325" xr:uid="{D787B952-42F1-4351-A832-CFFF7E9E3816}"/>
    <cellStyle name="Normal 2 2 2 2 2 2 2 2 2 2 2 2 2 2 2 2 15 2 2" xfId="7326" xr:uid="{00753929-FC5A-44D7-9AAD-A95F87940862}"/>
    <cellStyle name="Normal 2 2 2 2 2 2 2 2 2 2 2 2 2 2 2 2 15 2 3" xfId="7327" xr:uid="{9EAD555A-6E2A-467D-A1F7-9DA0287CC214}"/>
    <cellStyle name="Normal 2 2 2 2 2 2 2 2 2 2 2 2 2 2 2 2 15 2 4" xfId="7328" xr:uid="{D131E13D-A002-49DC-A7B3-9DDEDFD7E3C9}"/>
    <cellStyle name="Normal 2 2 2 2 2 2 2 2 2 2 2 2 2 2 2 2 15 3" xfId="7329" xr:uid="{F4003743-AA70-4DC1-9A27-940F61545FA6}"/>
    <cellStyle name="Normal 2 2 2 2 2 2 2 2 2 2 2 2 2 2 2 2 15 4" xfId="7330" xr:uid="{0320C0EE-DE42-46E9-9251-D9288232BF46}"/>
    <cellStyle name="Normal 2 2 2 2 2 2 2 2 2 2 2 2 2 2 2 2 15 5" xfId="7331" xr:uid="{E8FF9392-6EA8-40C4-806C-C4F496682BBA}"/>
    <cellStyle name="Normal 2 2 2 2 2 2 2 2 2 2 2 2 2 2 2 2 15 6" xfId="7332" xr:uid="{040CED7F-9791-4B03-90F3-0C8A10DAC293}"/>
    <cellStyle name="Normal 2 2 2 2 2 2 2 2 2 2 2 2 2 2 2 2 16" xfId="7333" xr:uid="{258842F8-C5D1-46AA-9DA6-A09AF3E22ADB}"/>
    <cellStyle name="Normal 2 2 2 2 2 2 2 2 2 2 2 2 2 2 2 2 17" xfId="7334" xr:uid="{B3FE7B8B-72FC-4EC9-B4F7-DF4B0D76B82E}"/>
    <cellStyle name="Normal 2 2 2 2 2 2 2 2 2 2 2 2 2 2 2 2 18" xfId="7335" xr:uid="{B1F6FBF2-7EF1-4905-AD30-6B12BBA0088B}"/>
    <cellStyle name="Normal 2 2 2 2 2 2 2 2 2 2 2 2 2 2 2 2 19" xfId="7336" xr:uid="{8813374D-7600-409E-8997-2B37B8451739}"/>
    <cellStyle name="Normal 2 2 2 2 2 2 2 2 2 2 2 2 2 2 2 2 2" xfId="7337" xr:uid="{BBF37267-F906-42F1-BC94-45ADCBC09C53}"/>
    <cellStyle name="Normal 2 2 2 2 2 2 2 2 2 2 2 2 2 2 2 2 2 10" xfId="7338" xr:uid="{13C359E8-6CA3-4E38-9723-47BA434C66C3}"/>
    <cellStyle name="Normal 2 2 2 2 2 2 2 2 2 2 2 2 2 2 2 2 2 11" xfId="7339" xr:uid="{453AEDA4-3A24-4F18-A180-970F250869A5}"/>
    <cellStyle name="Normal 2 2 2 2 2 2 2 2 2 2 2 2 2 2 2 2 2 12" xfId="7340" xr:uid="{564109D2-18B7-4930-83B3-19B0D00A2288}"/>
    <cellStyle name="Normal 2 2 2 2 2 2 2 2 2 2 2 2 2 2 2 2 2 13" xfId="7341" xr:uid="{532296CD-2B11-4C78-9524-EB091432417F}"/>
    <cellStyle name="Normal 2 2 2 2 2 2 2 2 2 2 2 2 2 2 2 2 2 13 2" xfId="7342" xr:uid="{595AD424-5BC8-439D-A76C-A40DC20104E9}"/>
    <cellStyle name="Normal 2 2 2 2 2 2 2 2 2 2 2 2 2 2 2 2 2 13 3" xfId="7343" xr:uid="{177E718E-AE2A-4C5E-96D0-D2D1B0600F94}"/>
    <cellStyle name="Normal 2 2 2 2 2 2 2 2 2 2 2 2 2 2 2 2 2 13 4" xfId="7344" xr:uid="{91B14768-E0EF-4C05-91B1-A3D870CF89C3}"/>
    <cellStyle name="Normal 2 2 2 2 2 2 2 2 2 2 2 2 2 2 2 2 2 14" xfId="7345" xr:uid="{520A210A-247C-4E36-A6C1-8FA487947E09}"/>
    <cellStyle name="Normal 2 2 2 2 2 2 2 2 2 2 2 2 2 2 2 2 2 15" xfId="7346" xr:uid="{9CAFA000-E5B7-4853-A608-13944EB829EF}"/>
    <cellStyle name="Normal 2 2 2 2 2 2 2 2 2 2 2 2 2 2 2 2 2 16" xfId="7347" xr:uid="{01BE669E-B732-4463-A22A-2F5580E43034}"/>
    <cellStyle name="Normal 2 2 2 2 2 2 2 2 2 2 2 2 2 2 2 2 2 17" xfId="7348" xr:uid="{686BA591-EDB8-417D-9FFF-75A8646F4878}"/>
    <cellStyle name="Normal 2 2 2 2 2 2 2 2 2 2 2 2 2 2 2 2 2 18" xfId="7349" xr:uid="{DFB5BB4A-22BD-47D0-B10C-B37D98B7A214}"/>
    <cellStyle name="Normal 2 2 2 2 2 2 2 2 2 2 2 2 2 2 2 2 2 19" xfId="7350" xr:uid="{7216DD26-85DC-4DE2-9DA0-CEBE2731EAF5}"/>
    <cellStyle name="Normal 2 2 2 2 2 2 2 2 2 2 2 2 2 2 2 2 2 2" xfId="7351" xr:uid="{C832A5A8-AE7C-4BDC-9B1F-657C593CFFD2}"/>
    <cellStyle name="Normal 2 2 2 2 2 2 2 2 2 2 2 2 2 2 2 2 2 2 10" xfId="7352" xr:uid="{295E7BEA-40C0-4664-8090-38C42A6E28F9}"/>
    <cellStyle name="Normal 2 2 2 2 2 2 2 2 2 2 2 2 2 2 2 2 2 2 11" xfId="7353" xr:uid="{D6370A08-9AC6-4A57-B579-BA129BFEB903}"/>
    <cellStyle name="Normal 2 2 2 2 2 2 2 2 2 2 2 2 2 2 2 2 2 2 11 2" xfId="7354" xr:uid="{0934BEC3-F3F1-4B2A-AD5A-1086C60F908C}"/>
    <cellStyle name="Normal 2 2 2 2 2 2 2 2 2 2 2 2 2 2 2 2 2 2 11 3" xfId="7355" xr:uid="{5DD90581-CC97-4167-8F8F-BCA013BF7B9A}"/>
    <cellStyle name="Normal 2 2 2 2 2 2 2 2 2 2 2 2 2 2 2 2 2 2 11 4" xfId="7356" xr:uid="{3099420D-467F-4D9D-94AF-8D64B5F84625}"/>
    <cellStyle name="Normal 2 2 2 2 2 2 2 2 2 2 2 2 2 2 2 2 2 2 12" xfId="7357" xr:uid="{5AD1348F-A361-4E08-B8E9-2F9E2AC6424C}"/>
    <cellStyle name="Normal 2 2 2 2 2 2 2 2 2 2 2 2 2 2 2 2 2 2 13" xfId="7358" xr:uid="{80112066-5170-4EFB-BF88-22FA4E80F765}"/>
    <cellStyle name="Normal 2 2 2 2 2 2 2 2 2 2 2 2 2 2 2 2 2 2 14" xfId="7359" xr:uid="{B6F266D4-E73C-4D9B-9979-1CF30DF815B0}"/>
    <cellStyle name="Normal 2 2 2 2 2 2 2 2 2 2 2 2 2 2 2 2 2 2 15" xfId="7360" xr:uid="{9746C1B9-6E4F-45B0-B31A-723A6A79D022}"/>
    <cellStyle name="Normal 2 2 2 2 2 2 2 2 2 2 2 2 2 2 2 2 2 2 16" xfId="7361" xr:uid="{0BDB9579-B92B-4C9E-B2A6-5C53F256E072}"/>
    <cellStyle name="Normal 2 2 2 2 2 2 2 2 2 2 2 2 2 2 2 2 2 2 17" xfId="7362" xr:uid="{C51C30EF-A83F-403F-B6FE-42882D942C62}"/>
    <cellStyle name="Normal 2 2 2 2 2 2 2 2 2 2 2 2 2 2 2 2 2 2 18" xfId="7363" xr:uid="{2EE9EE6C-F88B-4DB2-80C7-DC6328056865}"/>
    <cellStyle name="Normal 2 2 2 2 2 2 2 2 2 2 2 2 2 2 2 2 2 2 19" xfId="7364" xr:uid="{C664BA17-F5FB-41A5-85AD-B80292119D07}"/>
    <cellStyle name="Normal 2 2 2 2 2 2 2 2 2 2 2 2 2 2 2 2 2 2 2" xfId="7365" xr:uid="{145B5429-C2CA-4403-A521-886D4563109B}"/>
    <cellStyle name="Normal 2 2 2 2 2 2 2 2 2 2 2 2 2 2 2 2 2 2 2 10" xfId="7366" xr:uid="{93D2A69B-14D5-4D2C-BB45-230BA82BAC4C}"/>
    <cellStyle name="Normal 2 2 2 2 2 2 2 2 2 2 2 2 2 2 2 2 2 2 2 11" xfId="7367" xr:uid="{3E46B75E-5255-48FA-A30F-76B8613A06E5}"/>
    <cellStyle name="Normal 2 2 2 2 2 2 2 2 2 2 2 2 2 2 2 2 2 2 2 12" xfId="7368" xr:uid="{B7E02411-4A91-4DAA-834A-ED9B21879FF5}"/>
    <cellStyle name="Normal 2 2 2 2 2 2 2 2 2 2 2 2 2 2 2 2 2 2 2 13" xfId="7369" xr:uid="{4752C4C9-8F16-4BC0-AF51-340E03C64E40}"/>
    <cellStyle name="Normal 2 2 2 2 2 2 2 2 2 2 2 2 2 2 2 2 2 2 2 14" xfId="7370" xr:uid="{DCA719B4-3AE0-4372-A49C-57F66EF6EDE3}"/>
    <cellStyle name="Normal 2 2 2 2 2 2 2 2 2 2 2 2 2 2 2 2 2 2 2 15" xfId="7371" xr:uid="{B80E8106-72B4-4BF6-8B3B-4167D92B5187}"/>
    <cellStyle name="Normal 2 2 2 2 2 2 2 2 2 2 2 2 2 2 2 2 2 2 2 16" xfId="7372" xr:uid="{F9F58837-AC88-4B11-8BBD-7D3B6A40BAF2}"/>
    <cellStyle name="Normal 2 2 2 2 2 2 2 2 2 2 2 2 2 2 2 2 2 2 2 17" xfId="7373" xr:uid="{759B2B3A-37AA-46B2-8E0E-FF73FF8F408F}"/>
    <cellStyle name="Normal 2 2 2 2 2 2 2 2 2 2 2 2 2 2 2 2 2 2 2 18" xfId="7374" xr:uid="{B8AE7D90-C91A-4E4E-8CC2-BCF829DCE2C7}"/>
    <cellStyle name="Normal 2 2 2 2 2 2 2 2 2 2 2 2 2 2 2 2 2 2 2 19" xfId="7375" xr:uid="{4DEE3597-5473-4FA4-A183-945C7EFEEA38}"/>
    <cellStyle name="Normal 2 2 2 2 2 2 2 2 2 2 2 2 2 2 2 2 2 2 2 2" xfId="7376" xr:uid="{01CC8A15-1019-42DC-BC11-B026E6259551}"/>
    <cellStyle name="Normal 2 2 2 2 2 2 2 2 2 2 2 2 2 2 2 2 2 2 2 2 10" xfId="7377" xr:uid="{1C25B375-5243-4BF7-8398-C45329E84DD2}"/>
    <cellStyle name="Normal 2 2 2 2 2 2 2 2 2 2 2 2 2 2 2 2 2 2 2 2 11" xfId="7378" xr:uid="{01358C6A-68D8-483E-9FAA-A80EB713A6F9}"/>
    <cellStyle name="Normal 2 2 2 2 2 2 2 2 2 2 2 2 2 2 2 2 2 2 2 2 12" xfId="7379" xr:uid="{042B84FB-C5C4-42D3-9CC8-A44054CE8F4B}"/>
    <cellStyle name="Normal 2 2 2 2 2 2 2 2 2 2 2 2 2 2 2 2 2 2 2 2 13" xfId="7380" xr:uid="{BA10E382-4C26-4B6B-BE85-395B9A12C398}"/>
    <cellStyle name="Normal 2 2 2 2 2 2 2 2 2 2 2 2 2 2 2 2 2 2 2 2 14" xfId="7381" xr:uid="{8B002323-E52F-4770-B3A6-70A6D669A937}"/>
    <cellStyle name="Normal 2 2 2 2 2 2 2 2 2 2 2 2 2 2 2 2 2 2 2 2 15" xfId="7382" xr:uid="{D9614FE7-AA4E-406A-B5DB-524EF254C8A4}"/>
    <cellStyle name="Normal 2 2 2 2 2 2 2 2 2 2 2 2 2 2 2 2 2 2 2 2 16" xfId="7383" xr:uid="{81DA13B9-8DEA-4FBA-82D5-099104FCADC5}"/>
    <cellStyle name="Normal 2 2 2 2 2 2 2 2 2 2 2 2 2 2 2 2 2 2 2 2 17" xfId="7384" xr:uid="{3A8772AB-6C15-4980-9DE1-EDE16F28B64C}"/>
    <cellStyle name="Normal 2 2 2 2 2 2 2 2 2 2 2 2 2 2 2 2 2 2 2 2 18" xfId="7385" xr:uid="{6CED7F86-08B0-4F45-84C4-C913DDA4C75C}"/>
    <cellStyle name="Normal 2 2 2 2 2 2 2 2 2 2 2 2 2 2 2 2 2 2 2 2 19" xfId="7386" xr:uid="{A603D8ED-5640-43ED-B01C-C75B83540417}"/>
    <cellStyle name="Normal 2 2 2 2 2 2 2 2 2 2 2 2 2 2 2 2 2 2 2 2 2" xfId="7387" xr:uid="{6A00BD03-72DB-404B-8F82-DD1E544712C9}"/>
    <cellStyle name="Normal 2 2 2 2 2 2 2 2 2 2 2 2 2 2 2 2 2 2 2 2 2 10" xfId="7388" xr:uid="{A9502D32-B67D-42E6-BB34-42E53F103EAF}"/>
    <cellStyle name="Normal 2 2 2 2 2 2 2 2 2 2 2 2 2 2 2 2 2 2 2 2 2 11" xfId="7389" xr:uid="{952CE54F-EBCB-4658-850B-313D13DDFFD8}"/>
    <cellStyle name="Normal 2 2 2 2 2 2 2 2 2 2 2 2 2 2 2 2 2 2 2 2 2 12" xfId="7390" xr:uid="{A9A16629-17CF-4D7C-8ABE-B7D8CE335924}"/>
    <cellStyle name="Normal 2 2 2 2 2 2 2 2 2 2 2 2 2 2 2 2 2 2 2 2 2 13" xfId="7391" xr:uid="{39EA299A-74FD-4B58-A32C-355EB29E45DD}"/>
    <cellStyle name="Normal 2 2 2 2 2 2 2 2 2 2 2 2 2 2 2 2 2 2 2 2 2 14" xfId="7392" xr:uid="{321EF592-F9F1-477F-8D48-0082E487CE76}"/>
    <cellStyle name="Normal 2 2 2 2 2 2 2 2 2 2 2 2 2 2 2 2 2 2 2 2 2 15" xfId="7393" xr:uid="{D60E719C-E57C-426A-A1CF-CA0E11044CC3}"/>
    <cellStyle name="Normal 2 2 2 2 2 2 2 2 2 2 2 2 2 2 2 2 2 2 2 2 2 16" xfId="7394" xr:uid="{C87D8876-DE68-4A3A-9115-C5D42E5AC087}"/>
    <cellStyle name="Normal 2 2 2 2 2 2 2 2 2 2 2 2 2 2 2 2 2 2 2 2 2 17" xfId="7395" xr:uid="{49358400-B918-4796-A77A-23EB409185FD}"/>
    <cellStyle name="Normal 2 2 2 2 2 2 2 2 2 2 2 2 2 2 2 2 2 2 2 2 2 18" xfId="7396" xr:uid="{70ACAD17-B12B-4D46-BB1E-AD7C4F6BC535}"/>
    <cellStyle name="Normal 2 2 2 2 2 2 2 2 2 2 2 2 2 2 2 2 2 2 2 2 2 18 2" xfId="7397" xr:uid="{01EEA6FA-F73C-4C98-82B1-89FB69E989FE}"/>
    <cellStyle name="Normal 2 2 2 2 2 2 2 2 2 2 2 2 2 2 2 2 2 2 2 2 2 18 3" xfId="7398" xr:uid="{E80385FF-BD0D-4A19-81E4-E1471085C4D0}"/>
    <cellStyle name="Normal 2 2 2 2 2 2 2 2 2 2 2 2 2 2 2 2 2 2 2 2 2 18 4" xfId="7399" xr:uid="{FCFB219E-AE4F-49DF-AB22-4D6F88971A1C}"/>
    <cellStyle name="Normal 2 2 2 2 2 2 2 2 2 2 2 2 2 2 2 2 2 2 2 2 2 18 5" xfId="7400" xr:uid="{C5210BEE-B001-4BBD-B9EF-CB148236D01E}"/>
    <cellStyle name="Normal 2 2 2 2 2 2 2 2 2 2 2 2 2 2 2 2 2 2 2 2 2 18 6" xfId="7401" xr:uid="{37EB3D49-A3BA-4188-BBDA-3F8AA1160DED}"/>
    <cellStyle name="Normal 2 2 2 2 2 2 2 2 2 2 2 2 2 2 2 2 2 2 2 2 2 18 7" xfId="7402" xr:uid="{0EE82A65-7DCA-4356-83C1-EC52D223C1C4}"/>
    <cellStyle name="Normal 2 2 2 2 2 2 2 2 2 2 2 2 2 2 2 2 2 2 2 2 2 19" xfId="7403" xr:uid="{FC784C06-C8CF-4710-A5BF-81E3CDE89F9E}"/>
    <cellStyle name="Normal 2 2 2 2 2 2 2 2 2 2 2 2 2 2 2 2 2 2 2 2 2 2" xfId="7404" xr:uid="{83D96594-2DE6-4CD2-8E32-C215026FB855}"/>
    <cellStyle name="Normal 2 2 2 2 2 2 2 2 2 2 2 2 2 2 2 2 2 2 2 2 2 2 10" xfId="7405" xr:uid="{E5B37D81-48FE-4212-AEB5-0EBC22DD8424}"/>
    <cellStyle name="Normal 2 2 2 2 2 2 2 2 2 2 2 2 2 2 2 2 2 2 2 2 2 2 11" xfId="7406" xr:uid="{87A3ADE1-A0F6-4B3B-9A52-D2B073744EDF}"/>
    <cellStyle name="Normal 2 2 2 2 2 2 2 2 2 2 2 2 2 2 2 2 2 2 2 2 2 2 12" xfId="7407" xr:uid="{BF6993F8-72C7-4303-8E00-26D53BD4901D}"/>
    <cellStyle name="Normal 2 2 2 2 2 2 2 2 2 2 2 2 2 2 2 2 2 2 2 2 2 2 13" xfId="7408" xr:uid="{287E113D-24AC-41A2-BE5A-E0F03EB088B6}"/>
    <cellStyle name="Normal 2 2 2 2 2 2 2 2 2 2 2 2 2 2 2 2 2 2 2 2 2 2 14" xfId="7409" xr:uid="{A01F9AE7-CECA-484B-A3E7-4D8B45E47176}"/>
    <cellStyle name="Normal 2 2 2 2 2 2 2 2 2 2 2 2 2 2 2 2 2 2 2 2 2 2 15" xfId="7410" xr:uid="{593C1A69-B360-4D7B-8FFB-946FA1C897EB}"/>
    <cellStyle name="Normal 2 2 2 2 2 2 2 2 2 2 2 2 2 2 2 2 2 2 2 2 2 2 16" xfId="7411" xr:uid="{D986F58A-61D5-4CAF-A4D2-C4AAFF599B2A}"/>
    <cellStyle name="Normal 2 2 2 2 2 2 2 2 2 2 2 2 2 2 2 2 2 2 2 2 2 2 16 2" xfId="7412" xr:uid="{39CD5D36-5A0F-4B3A-9D9C-9A299B7F5F37}"/>
    <cellStyle name="Normal 2 2 2 2 2 2 2 2 2 2 2 2 2 2 2 2 2 2 2 2 2 2 16 3" xfId="7413" xr:uid="{4855FDFF-24CD-4C3A-848B-18D0EFE608DD}"/>
    <cellStyle name="Normal 2 2 2 2 2 2 2 2 2 2 2 2 2 2 2 2 2 2 2 2 2 2 16 4" xfId="7414" xr:uid="{D76D05B3-5E6C-4D3F-B9A0-C0C37BB4FDCE}"/>
    <cellStyle name="Normal 2 2 2 2 2 2 2 2 2 2 2 2 2 2 2 2 2 2 2 2 2 2 16 5" xfId="7415" xr:uid="{F93C43C5-5AB7-4562-B749-991E9E838C02}"/>
    <cellStyle name="Normal 2 2 2 2 2 2 2 2 2 2 2 2 2 2 2 2 2 2 2 2 2 2 16 6" xfId="7416" xr:uid="{858E09D1-C19F-4F4B-99D1-19F5FD14F122}"/>
    <cellStyle name="Normal 2 2 2 2 2 2 2 2 2 2 2 2 2 2 2 2 2 2 2 2 2 2 16 7" xfId="7417" xr:uid="{7ADBE5A0-D613-499F-BAD0-4EB90DD2B0A1}"/>
    <cellStyle name="Normal 2 2 2 2 2 2 2 2 2 2 2 2 2 2 2 2 2 2 2 2 2 2 17" xfId="7418" xr:uid="{9BD358F4-6E06-4164-A2C7-CA6DA75C4930}"/>
    <cellStyle name="Normal 2 2 2 2 2 2 2 2 2 2 2 2 2 2 2 2 2 2 2 2 2 2 18" xfId="7419" xr:uid="{2BD95EA4-C835-42C9-980F-AB45B14E2B70}"/>
    <cellStyle name="Normal 2 2 2 2 2 2 2 2 2 2 2 2 2 2 2 2 2 2 2 2 2 2 19" xfId="7420" xr:uid="{2FB38FF0-0F86-4CBA-A644-7787C3F1F846}"/>
    <cellStyle name="Normal 2 2 2 2 2 2 2 2 2 2 2 2 2 2 2 2 2 2 2 2 2 2 2" xfId="7421" xr:uid="{D8F4FDAB-95AC-42D2-886F-F391D1763C81}"/>
    <cellStyle name="Normal 2 2 2 2 2 2 2 2 2 2 2 2 2 2 2 2 2 2 2 2 2 2 2 10" xfId="7422" xr:uid="{BF722499-13B0-4C89-ADE9-3B1782920180}"/>
    <cellStyle name="Normal 2 2 2 2 2 2 2 2 2 2 2 2 2 2 2 2 2 2 2 2 2 2 2 11" xfId="7423" xr:uid="{D8C1D0BE-FD01-40E5-A486-2F8E1C27047C}"/>
    <cellStyle name="Normal 2 2 2 2 2 2 2 2 2 2 2 2 2 2 2 2 2 2 2 2 2 2 2 12" xfId="7424" xr:uid="{8D33851F-0E28-42D7-B668-4AB603F6C820}"/>
    <cellStyle name="Normal 2 2 2 2 2 2 2 2 2 2 2 2 2 2 2 2 2 2 2 2 2 2 2 13" xfId="7425" xr:uid="{63EDCA2E-2B3D-489C-B15E-0489994023EC}"/>
    <cellStyle name="Normal 2 2 2 2 2 2 2 2 2 2 2 2 2 2 2 2 2 2 2 2 2 2 2 13 2" xfId="7426" xr:uid="{5BEE62E2-B2D2-4A19-A25F-31D8414C1492}"/>
    <cellStyle name="Normal 2 2 2 2 2 2 2 2 2 2 2 2 2 2 2 2 2 2 2 2 2 2 2 13 3" xfId="7427" xr:uid="{241C3AD1-CC6C-4559-8D4B-EE301AB5845A}"/>
    <cellStyle name="Normal 2 2 2 2 2 2 2 2 2 2 2 2 2 2 2 2 2 2 2 2 2 2 2 13 4" xfId="7428" xr:uid="{7321BA37-B5B6-4AAD-9B38-741DCD1A0DD4}"/>
    <cellStyle name="Normal 2 2 2 2 2 2 2 2 2 2 2 2 2 2 2 2 2 2 2 2 2 2 2 13 5" xfId="7429" xr:uid="{902BC0C7-9487-418A-B244-43DB22CC86B8}"/>
    <cellStyle name="Normal 2 2 2 2 2 2 2 2 2 2 2 2 2 2 2 2 2 2 2 2 2 2 2 13 6" xfId="7430" xr:uid="{4CE837A2-D59A-4601-A5B3-6F26A7CC369B}"/>
    <cellStyle name="Normal 2 2 2 2 2 2 2 2 2 2 2 2 2 2 2 2 2 2 2 2 2 2 2 13 7" xfId="7431" xr:uid="{884EAE84-1F5D-41DB-9938-4EA0CF1BFA96}"/>
    <cellStyle name="Normal 2 2 2 2 2 2 2 2 2 2 2 2 2 2 2 2 2 2 2 2 2 2 2 14" xfId="7432" xr:uid="{A277B5C4-076B-4E8D-868D-38F4E4A8500B}"/>
    <cellStyle name="Normal 2 2 2 2 2 2 2 2 2 2 2 2 2 2 2 2 2 2 2 2 2 2 2 15" xfId="7433" xr:uid="{E4FC4347-7592-46E7-968F-B31D5893B89C}"/>
    <cellStyle name="Normal 2 2 2 2 2 2 2 2 2 2 2 2 2 2 2 2 2 2 2 2 2 2 2 16" xfId="7434" xr:uid="{02080371-1310-47FE-8DF7-0DFC019A9CA8}"/>
    <cellStyle name="Normal 2 2 2 2 2 2 2 2 2 2 2 2 2 2 2 2 2 2 2 2 2 2 2 17" xfId="7435" xr:uid="{F30712E4-7582-45E4-B8D1-AF7D5925E33C}"/>
    <cellStyle name="Normal 2 2 2 2 2 2 2 2 2 2 2 2 2 2 2 2 2 2 2 2 2 2 2 18" xfId="7436" xr:uid="{A0F614F8-3D80-4B87-9334-D27C1C3C082D}"/>
    <cellStyle name="Normal 2 2 2 2 2 2 2 2 2 2 2 2 2 2 2 2 2 2 2 2 2 2 2 19" xfId="7437" xr:uid="{3BCFF65A-E0B1-43E1-90C8-778711A9136E}"/>
    <cellStyle name="Normal 2 2 2 2 2 2 2 2 2 2 2 2 2 2 2 2 2 2 2 2 2 2 2 2" xfId="7438" xr:uid="{D60D0064-DEBD-4A08-B8D1-42DA1ABBD43F}"/>
    <cellStyle name="Normal 2 2 2 2 2 2 2 2 2 2 2 2 2 2 2 2 2 2 2 2 2 2 2 2 10" xfId="7439" xr:uid="{599C4887-9519-49B2-82C1-544D8FD9B679}"/>
    <cellStyle name="Normal 2 2 2 2 2 2 2 2 2 2 2 2 2 2 2 2 2 2 2 2 2 2 2 2 11" xfId="7440" xr:uid="{091BE821-DC8A-4FC3-9B09-C45613AF0F39}"/>
    <cellStyle name="Normal 2 2 2 2 2 2 2 2 2 2 2 2 2 2 2 2 2 2 2 2 2 2 2 2 12" xfId="7441" xr:uid="{7FAE1ED1-576B-41C0-94C8-996E38895CB8}"/>
    <cellStyle name="Normal 2 2 2 2 2 2 2 2 2 2 2 2 2 2 2 2 2 2 2 2 2 2 2 2 13" xfId="7442" xr:uid="{EDB40BF6-F117-4380-94DB-AF64C0529860}"/>
    <cellStyle name="Normal 2 2 2 2 2 2 2 2 2 2 2 2 2 2 2 2 2 2 2 2 2 2 2 2 13 2" xfId="7443" xr:uid="{1016B527-0A53-4696-91CC-2D9C9C53F587}"/>
    <cellStyle name="Normal 2 2 2 2 2 2 2 2 2 2 2 2 2 2 2 2 2 2 2 2 2 2 2 2 13 3" xfId="7444" xr:uid="{169316F2-CFD1-471B-B6D2-187205231C5E}"/>
    <cellStyle name="Normal 2 2 2 2 2 2 2 2 2 2 2 2 2 2 2 2 2 2 2 2 2 2 2 2 13 4" xfId="7445" xr:uid="{FBD21E5F-BD73-4BB0-868D-B718C222EFEB}"/>
    <cellStyle name="Normal 2 2 2 2 2 2 2 2 2 2 2 2 2 2 2 2 2 2 2 2 2 2 2 2 13 5" xfId="7446" xr:uid="{54006B65-610A-4E87-8D7E-7C50B7A05531}"/>
    <cellStyle name="Normal 2 2 2 2 2 2 2 2 2 2 2 2 2 2 2 2 2 2 2 2 2 2 2 2 13 6" xfId="7447" xr:uid="{0A5B7228-C2A6-48C1-AE9B-C5876269A0E1}"/>
    <cellStyle name="Normal 2 2 2 2 2 2 2 2 2 2 2 2 2 2 2 2 2 2 2 2 2 2 2 2 13 7" xfId="7448" xr:uid="{4F0E853C-8362-4D22-92D8-21F9F330F3B2}"/>
    <cellStyle name="Normal 2 2 2 2 2 2 2 2 2 2 2 2 2 2 2 2 2 2 2 2 2 2 2 2 14" xfId="7449" xr:uid="{844E7E89-E8EE-4D7C-ADD7-F9E07BA48958}"/>
    <cellStyle name="Normal 2 2 2 2 2 2 2 2 2 2 2 2 2 2 2 2 2 2 2 2 2 2 2 2 15" xfId="7450" xr:uid="{5AF53EC6-F4A6-443D-9BCE-B90A5C0F1DBF}"/>
    <cellStyle name="Normal 2 2 2 2 2 2 2 2 2 2 2 2 2 2 2 2 2 2 2 2 2 2 2 2 16" xfId="7451" xr:uid="{D9CB9AF4-19BF-4777-AFDB-F37D18D3745A}"/>
    <cellStyle name="Normal 2 2 2 2 2 2 2 2 2 2 2 2 2 2 2 2 2 2 2 2 2 2 2 2 17" xfId="7452" xr:uid="{25035566-58FB-4B2E-A094-6AF9D477AF83}"/>
    <cellStyle name="Normal 2 2 2 2 2 2 2 2 2 2 2 2 2 2 2 2 2 2 2 2 2 2 2 2 18" xfId="7453" xr:uid="{1C0A1F15-321E-4B2B-B179-39D213027A2F}"/>
    <cellStyle name="Normal 2 2 2 2 2 2 2 2 2 2 2 2 2 2 2 2 2 2 2 2 2 2 2 2 19" xfId="7454" xr:uid="{158C7701-6F3A-4DC1-819C-52792ED269F0}"/>
    <cellStyle name="Normal 2 2 2 2 2 2 2 2 2 2 2 2 2 2 2 2 2 2 2 2 2 2 2 2 2" xfId="7455" xr:uid="{420E2C11-CFC6-4FFB-8295-B4A0D3B6B73B}"/>
    <cellStyle name="Normal 2 2 2 2 2 2 2 2 2 2 2 2 2 2 2 2 2 2 2 2 2 2 2 2 2 10" xfId="7456" xr:uid="{90A8CDDA-BB78-43AA-A118-ABECF16BE957}"/>
    <cellStyle name="Normal 2 2 2 2 2 2 2 2 2 2 2 2 2 2 2 2 2 2 2 2 2 2 2 2 2 11" xfId="7457" xr:uid="{F192177A-659A-4D9F-A38B-3635446CA9D7}"/>
    <cellStyle name="Normal 2 2 2 2 2 2 2 2 2 2 2 2 2 2 2 2 2 2 2 2 2 2 2 2 2 12" xfId="7458" xr:uid="{2B41EFE9-4738-4A56-B16E-B3B61DB06E74}"/>
    <cellStyle name="Normal 2 2 2 2 2 2 2 2 2 2 2 2 2 2 2 2 2 2 2 2 2 2 2 2 2 13" xfId="7459" xr:uid="{E2B1E39A-11F3-4687-903F-550529F41E22}"/>
    <cellStyle name="Normal 2 2 2 2 2 2 2 2 2 2 2 2 2 2 2 2 2 2 2 2 2 2 2 2 2 14" xfId="7460" xr:uid="{8937E190-D05E-4ABC-A9A7-BA57C4BA2C6D}"/>
    <cellStyle name="Normal 2 2 2 2 2 2 2 2 2 2 2 2 2 2 2 2 2 2 2 2 2 2 2 2 2 15" xfId="7461" xr:uid="{ECF976ED-FC18-4D50-80DB-CF7B37F8C77C}"/>
    <cellStyle name="Normal 2 2 2 2 2 2 2 2 2 2 2 2 2 2 2 2 2 2 2 2 2 2 2 2 2 16" xfId="7462" xr:uid="{C4D5017E-D3A0-477C-806F-1404D2931338}"/>
    <cellStyle name="Normal 2 2 2 2 2 2 2 2 2 2 2 2 2 2 2 2 2 2 2 2 2 2 2 2 2 17" xfId="7463" xr:uid="{A0EF350D-5E56-45DC-9849-9B97F57FA1AE}"/>
    <cellStyle name="Normal 2 2 2 2 2 2 2 2 2 2 2 2 2 2 2 2 2 2 2 2 2 2 2 2 2 18" xfId="7464" xr:uid="{FDAB051C-3B34-452A-AD68-C41FD0251DF6}"/>
    <cellStyle name="Normal 2 2 2 2 2 2 2 2 2 2 2 2 2 2 2 2 2 2 2 2 2 2 2 2 2 19" xfId="7465" xr:uid="{490F2315-9F9C-42EE-8F44-B0CA15EB5BC1}"/>
    <cellStyle name="Normal 2 2 2 2 2 2 2 2 2 2 2 2 2 2 2 2 2 2 2 2 2 2 2 2 2 2" xfId="7466" xr:uid="{C94F97EA-13A8-48EC-A87F-F848B706AFA5}"/>
    <cellStyle name="Normal 2 2 2 2 2 2 2 2 2 2 2 2 2 2 2 2 2 2 2 2 2 2 2 2 2 2 10" xfId="7467" xr:uid="{0B59139F-14BF-42D0-B323-B321CED93567}"/>
    <cellStyle name="Normal 2 2 2 2 2 2 2 2 2 2 2 2 2 2 2 2 2 2 2 2 2 2 2 2 2 2 11" xfId="7468" xr:uid="{907C773D-62E2-4309-BB40-19AD3E755B82}"/>
    <cellStyle name="Normal 2 2 2 2 2 2 2 2 2 2 2 2 2 2 2 2 2 2 2 2 2 2 2 2 2 2 12" xfId="7469" xr:uid="{90753AA8-8E57-449C-AB94-4DC3D377C120}"/>
    <cellStyle name="Normal 2 2 2 2 2 2 2 2 2 2 2 2 2 2 2 2 2 2 2 2 2 2 2 2 2 2 13" xfId="7470" xr:uid="{5FD7185D-9D16-47E4-8B15-6DB55AB4764E}"/>
    <cellStyle name="Normal 2 2 2 2 2 2 2 2 2 2 2 2 2 2 2 2 2 2 2 2 2 2 2 2 2 2 14" xfId="7471" xr:uid="{996B11A6-5267-438D-9546-660B25FC93B9}"/>
    <cellStyle name="Normal 2 2 2 2 2 2 2 2 2 2 2 2 2 2 2 2 2 2 2 2 2 2 2 2 2 2 15" xfId="7472" xr:uid="{15EB38C5-1E4B-4875-A79D-7F7E92607942}"/>
    <cellStyle name="Normal 2 2 2 2 2 2 2 2 2 2 2 2 2 2 2 2 2 2 2 2 2 2 2 2 2 2 16" xfId="7473" xr:uid="{E7764D4E-1A82-4287-824E-6E9B4343B1A8}"/>
    <cellStyle name="Normal 2 2 2 2 2 2 2 2 2 2 2 2 2 2 2 2 2 2 2 2 2 2 2 2 2 2 17" xfId="7474" xr:uid="{C0633719-661F-40FA-BF31-A27C5632B022}"/>
    <cellStyle name="Normal 2 2 2 2 2 2 2 2 2 2 2 2 2 2 2 2 2 2 2 2 2 2 2 2 2 2 18" xfId="7475" xr:uid="{C02F1AC9-6E41-4C29-BD80-40E0FE2687B1}"/>
    <cellStyle name="Normal 2 2 2 2 2 2 2 2 2 2 2 2 2 2 2 2 2 2 2 2 2 2 2 2 2 2 19" xfId="7476" xr:uid="{EFECA681-E6D9-4A6D-AE1C-6FF00CAF3022}"/>
    <cellStyle name="Normal 2 2 2 2 2 2 2 2 2 2 2 2 2 2 2 2 2 2 2 2 2 2 2 2 2 2 2" xfId="7477" xr:uid="{8F06BE2A-40DE-42BC-9468-398511EA7D67}"/>
    <cellStyle name="Normal 2 2 2 2 2 2 2 2 2 2 2 2 2 2 2 2 2 2 2 2 2 2 2 2 2 2 2 10" xfId="7478" xr:uid="{05FCFD7D-B7BF-437F-92FB-8CD4FDD41F79}"/>
    <cellStyle name="Normal 2 2 2 2 2 2 2 2 2 2 2 2 2 2 2 2 2 2 2 2 2 2 2 2 2 2 2 11" xfId="7479" xr:uid="{2BC26A1C-6FE4-4F02-8749-78AFE0F56028}"/>
    <cellStyle name="Normal 2 2 2 2 2 2 2 2 2 2 2 2 2 2 2 2 2 2 2 2 2 2 2 2 2 2 2 12" xfId="7480" xr:uid="{2547967E-A1FD-4C6B-A9C9-8343DB1929DF}"/>
    <cellStyle name="Normal 2 2 2 2 2 2 2 2 2 2 2 2 2 2 2 2 2 2 2 2 2 2 2 2 2 2 2 13" xfId="7481" xr:uid="{48AF7D1F-C66D-4819-A08B-5952862D9DAE}"/>
    <cellStyle name="Normal 2 2 2 2 2 2 2 2 2 2 2 2 2 2 2 2 2 2 2 2 2 2 2 2 2 2 2 14" xfId="7482" xr:uid="{2AD6E070-4AB7-4A35-BDCC-2F08FFB37A3E}"/>
    <cellStyle name="Normal 2 2 2 2 2 2 2 2 2 2 2 2 2 2 2 2 2 2 2 2 2 2 2 2 2 2 2 15" xfId="7483" xr:uid="{E860F149-555D-4C94-98A1-6EFB49F96BC5}"/>
    <cellStyle name="Normal 2 2 2 2 2 2 2 2 2 2 2 2 2 2 2 2 2 2 2 2 2 2 2 2 2 2 2 16" xfId="7484" xr:uid="{BA4E46A3-8CBB-4E04-B914-8EBBC0C6C63B}"/>
    <cellStyle name="Normal 2 2 2 2 2 2 2 2 2 2 2 2 2 2 2 2 2 2 2 2 2 2 2 2 2 2 2 17" xfId="7485" xr:uid="{868E9180-26F6-457A-84B8-87B059486C85}"/>
    <cellStyle name="Normal 2 2 2 2 2 2 2 2 2 2 2 2 2 2 2 2 2 2 2 2 2 2 2 2 2 2 2 18" xfId="7486" xr:uid="{C1756EDB-731E-4DA0-9B9B-C37CB4741A0D}"/>
    <cellStyle name="Normal 2 2 2 2 2 2 2 2 2 2 2 2 2 2 2 2 2 2 2 2 2 2 2 2 2 2 2 19" xfId="7487" xr:uid="{D158D35E-EDE1-4C43-808A-DBA0ED73358A}"/>
    <cellStyle name="Normal 2 2 2 2 2 2 2 2 2 2 2 2 2 2 2 2 2 2 2 2 2 2 2 2 2 2 2 2" xfId="7488" xr:uid="{4E092157-4ABF-40E0-9038-962910C6EFE2}"/>
    <cellStyle name="Normal 2 2 2 2 2 2 2 2 2 2 2 2 2 2 2 2 2 2 2 2 2 2 2 2 2 2 2 2 10" xfId="7489" xr:uid="{6D11DF5F-5F98-4202-8AB5-03D1DDA6F347}"/>
    <cellStyle name="Normal 2 2 2 2 2 2 2 2 2 2 2 2 2 2 2 2 2 2 2 2 2 2 2 2 2 2 2 2 11" xfId="7490" xr:uid="{964619D3-1A09-40C4-A2C0-C4CAFD9B7509}"/>
    <cellStyle name="Normal 2 2 2 2 2 2 2 2 2 2 2 2 2 2 2 2 2 2 2 2 2 2 2 2 2 2 2 2 12" xfId="7491" xr:uid="{13E6D004-CD7A-4007-B3CF-B219F040F5ED}"/>
    <cellStyle name="Normal 2 2 2 2 2 2 2 2 2 2 2 2 2 2 2 2 2 2 2 2 2 2 2 2 2 2 2 2 13" xfId="7492" xr:uid="{CCD46C3C-5FAB-4108-AB8E-A088674022C4}"/>
    <cellStyle name="Normal 2 2 2 2 2 2 2 2 2 2 2 2 2 2 2 2 2 2 2 2 2 2 2 2 2 2 2 2 14" xfId="7493" xr:uid="{71E98D87-8F79-4440-A314-689ECB821BF9}"/>
    <cellStyle name="Normal 2 2 2 2 2 2 2 2 2 2 2 2 2 2 2 2 2 2 2 2 2 2 2 2 2 2 2 2 15" xfId="7494" xr:uid="{F116F15F-F38E-4638-9F15-2E553FEEBFB9}"/>
    <cellStyle name="Normal 2 2 2 2 2 2 2 2 2 2 2 2 2 2 2 2 2 2 2 2 2 2 2 2 2 2 2 2 16" xfId="7495" xr:uid="{CB53EC2C-ADE7-455C-B08D-7EEA7EE08B2A}"/>
    <cellStyle name="Normal 2 2 2 2 2 2 2 2 2 2 2 2 2 2 2 2 2 2 2 2 2 2 2 2 2 2 2 2 17" xfId="7496" xr:uid="{FF877926-E5CE-4872-BFFF-00AFA9E5154C}"/>
    <cellStyle name="Normal 2 2 2 2 2 2 2 2 2 2 2 2 2 2 2 2 2 2 2 2 2 2 2 2 2 2 2 2 18" xfId="7497" xr:uid="{B438C548-B759-47BF-9EB5-0FB2BE360CB2}"/>
    <cellStyle name="Normal 2 2 2 2 2 2 2 2 2 2 2 2 2 2 2 2 2 2 2 2 2 2 2 2 2 2 2 2 19" xfId="7498" xr:uid="{374EC946-91B7-407B-94BA-63AE892208CE}"/>
    <cellStyle name="Normal 2 2 2 2 2 2 2 2 2 2 2 2 2 2 2 2 2 2 2 2 2 2 2 2 2 2 2 2 2" xfId="7499" xr:uid="{778A5C1B-4D4A-47D1-BA65-CD21B0B0FBAB}"/>
    <cellStyle name="Normal 2 2 2 2 2 2 2 2 2 2 2 2 2 2 2 2 2 2 2 2 2 2 2 2 2 2 2 2 2 10" xfId="7500" xr:uid="{B6EA7AA3-026D-4D3D-9D37-7600646621BB}"/>
    <cellStyle name="Normal 2 2 2 2 2 2 2 2 2 2 2 2 2 2 2 2 2 2 2 2 2 2 2 2 2 2 2 2 2 11" xfId="7501" xr:uid="{334E7612-3477-4123-BA19-5C7B075A5C94}"/>
    <cellStyle name="Normal 2 2 2 2 2 2 2 2 2 2 2 2 2 2 2 2 2 2 2 2 2 2 2 2 2 2 2 2 2 12" xfId="7502" xr:uid="{B4E91942-5EC1-4932-9507-E66A6E3C31A3}"/>
    <cellStyle name="Normal 2 2 2 2 2 2 2 2 2 2 2 2 2 2 2 2 2 2 2 2 2 2 2 2 2 2 2 2 2 13" xfId="7503" xr:uid="{E44B18D0-7B7F-49F6-801E-FB39935464B3}"/>
    <cellStyle name="Normal 2 2 2 2 2 2 2 2 2 2 2 2 2 2 2 2 2 2 2 2 2 2 2 2 2 2 2 2 2 14" xfId="7504" xr:uid="{3215C277-C504-4DEF-8777-30425E8BD131}"/>
    <cellStyle name="Normal 2 2 2 2 2 2 2 2 2 2 2 2 2 2 2 2 2 2 2 2 2 2 2 2 2 2 2 2 2 15" xfId="7505" xr:uid="{E7B42077-00D6-406F-A9F3-73C2A9CA1F67}"/>
    <cellStyle name="Normal 2 2 2 2 2 2 2 2 2 2 2 2 2 2 2 2 2 2 2 2 2 2 2 2 2 2 2 2 2 16" xfId="7506" xr:uid="{FDD7EA74-1278-408F-A357-12C72DE281A6}"/>
    <cellStyle name="Normal 2 2 2 2 2 2 2 2 2 2 2 2 2 2 2 2 2 2 2 2 2 2 2 2 2 2 2 2 2 17" xfId="7507" xr:uid="{9D4D936F-2F7B-40EA-A98E-FA0F3B4FE10B}"/>
    <cellStyle name="Normal 2 2 2 2 2 2 2 2 2 2 2 2 2 2 2 2 2 2 2 2 2 2 2 2 2 2 2 2 2 18" xfId="7508" xr:uid="{F003C71F-C2D3-481D-A9B7-2457CC954A31}"/>
    <cellStyle name="Normal 2 2 2 2 2 2 2 2 2 2 2 2 2 2 2 2 2 2 2 2 2 2 2 2 2 2 2 2 2 19" xfId="7509" xr:uid="{2C13D413-E010-405F-83B0-3CA7D28B2DE0}"/>
    <cellStyle name="Normal 2 2 2 2 2 2 2 2 2 2 2 2 2 2 2 2 2 2 2 2 2 2 2 2 2 2 2 2 2 2" xfId="7510" xr:uid="{843E7416-6CD6-4B10-AACB-055B76B373F1}"/>
    <cellStyle name="Normal 2 2 2 2 2 2 2 2 2 2 2 2 2 2 2 2 2 2 2 2 2 2 2 2 2 2 2 2 2 2 10" xfId="7511" xr:uid="{666FC8FF-B84B-4908-81D1-53D9A6186F2C}"/>
    <cellStyle name="Normal 2 2 2 2 2 2 2 2 2 2 2 2 2 2 2 2 2 2 2 2 2 2 2 2 2 2 2 2 2 2 11" xfId="7512" xr:uid="{1EBECBFC-3173-4E4E-91F9-EBD2DEFF0B75}"/>
    <cellStyle name="Normal 2 2 2 2 2 2 2 2 2 2 2 2 2 2 2 2 2 2 2 2 2 2 2 2 2 2 2 2 2 2 12" xfId="7513" xr:uid="{C1B69D48-1491-440D-BC35-EC6888A700ED}"/>
    <cellStyle name="Normal 2 2 2 2 2 2 2 2 2 2 2 2 2 2 2 2 2 2 2 2 2 2 2 2 2 2 2 2 2 2 13" xfId="7514" xr:uid="{C8A8767E-50FC-48D6-9225-38FE2FF58E27}"/>
    <cellStyle name="Normal 2 2 2 2 2 2 2 2 2 2 2 2 2 2 2 2 2 2 2 2 2 2 2 2 2 2 2 2 2 2 14" xfId="7515" xr:uid="{745ACB65-44DA-4AA5-B6BF-38A0CBBC8D91}"/>
    <cellStyle name="Normal 2 2 2 2 2 2 2 2 2 2 2 2 2 2 2 2 2 2 2 2 2 2 2 2 2 2 2 2 2 2 15" xfId="7516" xr:uid="{02013E0A-BECA-4257-984D-2FAF978E9A38}"/>
    <cellStyle name="Normal 2 2 2 2 2 2 2 2 2 2 2 2 2 2 2 2 2 2 2 2 2 2 2 2 2 2 2 2 2 2 16" xfId="7517" xr:uid="{A8D0CB83-0498-46C3-9D96-9E02CC7896C8}"/>
    <cellStyle name="Normal 2 2 2 2 2 2 2 2 2 2 2 2 2 2 2 2 2 2 2 2 2 2 2 2 2 2 2 2 2 2 17" xfId="7518" xr:uid="{20F3CDD1-0FD2-4A05-BFC4-27046EF7F4D3}"/>
    <cellStyle name="Normal 2 2 2 2 2 2 2 2 2 2 2 2 2 2 2 2 2 2 2 2 2 2 2 2 2 2 2 2 2 2 18" xfId="7519" xr:uid="{E38F8A2D-0A7C-4DD0-BACC-5A0FFA0DF485}"/>
    <cellStyle name="Normal 2 2 2 2 2 2 2 2 2 2 2 2 2 2 2 2 2 2 2 2 2 2 2 2 2 2 2 2 2 2 19" xfId="7520" xr:uid="{95146D70-0177-4A46-9FD7-3E178F79EDB8}"/>
    <cellStyle name="Normal 2 2 2 2 2 2 2 2 2 2 2 2 2 2 2 2 2 2 2 2 2 2 2 2 2 2 2 2 2 2 2" xfId="7521" xr:uid="{86A948D9-AA04-460F-92D6-BE48658592A3}"/>
    <cellStyle name="Normal 2 2 2 2 2 2 2 2 2 2 2 2 2 2 2 2 2 2 2 2 2 2 2 2 2 2 2 2 2 2 2 10" xfId="7522" xr:uid="{B57D2AA3-A733-431C-B5AB-6E90494D587E}"/>
    <cellStyle name="Normal 2 2 2 2 2 2 2 2 2 2 2 2 2 2 2 2 2 2 2 2 2 2 2 2 2 2 2 2 2 2 2 11" xfId="7523" xr:uid="{72407E7B-61C3-4FA9-B8FF-DA519310A756}"/>
    <cellStyle name="Normal 2 2 2 2 2 2 2 2 2 2 2 2 2 2 2 2 2 2 2 2 2 2 2 2 2 2 2 2 2 2 2 12" xfId="7524" xr:uid="{7B15B42C-5EB9-4EA6-8A88-7544015FDD14}"/>
    <cellStyle name="Normal 2 2 2 2 2 2 2 2 2 2 2 2 2 2 2 2 2 2 2 2 2 2 2 2 2 2 2 2 2 2 2 13" xfId="7525" xr:uid="{20AD1BAF-A6EF-4453-AD46-15292F8F0387}"/>
    <cellStyle name="Normal 2 2 2 2 2 2 2 2 2 2 2 2 2 2 2 2 2 2 2 2 2 2 2 2 2 2 2 2 2 2 2 14" xfId="7526" xr:uid="{5C51212C-1F1C-406F-B9CE-CC8875946FDB}"/>
    <cellStyle name="Normal 2 2 2 2 2 2 2 2 2 2 2 2 2 2 2 2 2 2 2 2 2 2 2 2 2 2 2 2 2 2 2 15" xfId="7527" xr:uid="{B90B5C73-B006-4E29-BA95-0F9A7B8FD3D3}"/>
    <cellStyle name="Normal 2 2 2 2 2 2 2 2 2 2 2 2 2 2 2 2 2 2 2 2 2 2 2 2 2 2 2 2 2 2 2 16" xfId="7528" xr:uid="{9D4F7B52-DC3F-4E6C-B171-8EA9539A8D5F}"/>
    <cellStyle name="Normal 2 2 2 2 2 2 2 2 2 2 2 2 2 2 2 2 2 2 2 2 2 2 2 2 2 2 2 2 2 2 2 17" xfId="7529" xr:uid="{F4AA42CD-0899-4508-99BC-302634C11CFC}"/>
    <cellStyle name="Normal 2 2 2 2 2 2 2 2 2 2 2 2 2 2 2 2 2 2 2 2 2 2 2 2 2 2 2 2 2 2 2 18" xfId="7530" xr:uid="{A6196B3C-30FC-4AFB-83D1-4C28836CC0B0}"/>
    <cellStyle name="Normal 2 2 2 2 2 2 2 2 2 2 2 2 2 2 2 2 2 2 2 2 2 2 2 2 2 2 2 2 2 2 2 19" xfId="7531" xr:uid="{A7C3BB44-D3A8-4B89-8A17-F30B2E87DE7C}"/>
    <cellStyle name="Normal 2 2 2 2 2 2 2 2 2 2 2 2 2 2 2 2 2 2 2 2 2 2 2 2 2 2 2 2 2 2 2 2" xfId="7532" xr:uid="{7BDC3AE3-61CA-4EB8-87AC-46E3F5C85ACC}"/>
    <cellStyle name="Normal 2 2 2 2 2 2 2 2 2 2 2 2 2 2 2 2 2 2 2 2 2 2 2 2 2 2 2 2 2 2 2 2 10" xfId="7533" xr:uid="{D76E4AB3-7635-45B3-8B4E-16CC89747F2C}"/>
    <cellStyle name="Normal 2 2 2 2 2 2 2 2 2 2 2 2 2 2 2 2 2 2 2 2 2 2 2 2 2 2 2 2 2 2 2 2 11" xfId="7534" xr:uid="{09018254-951C-469C-B97D-8CAFD95C431E}"/>
    <cellStyle name="Normal 2 2 2 2 2 2 2 2 2 2 2 2 2 2 2 2 2 2 2 2 2 2 2 2 2 2 2 2 2 2 2 2 12" xfId="7535" xr:uid="{A69C59F7-82EE-4786-9C83-100A398C53BD}"/>
    <cellStyle name="Normal 2 2 2 2 2 2 2 2 2 2 2 2 2 2 2 2 2 2 2 2 2 2 2 2 2 2 2 2 2 2 2 2 13" xfId="7536" xr:uid="{DC02F606-91FA-493F-A547-38170D0AD63A}"/>
    <cellStyle name="Normal 2 2 2 2 2 2 2 2 2 2 2 2 2 2 2 2 2 2 2 2 2 2 2 2 2 2 2 2 2 2 2 2 14" xfId="7537" xr:uid="{0B5279A0-FFD9-4071-BF4C-6CB124894DE8}"/>
    <cellStyle name="Normal 2 2 2 2 2 2 2 2 2 2 2 2 2 2 2 2 2 2 2 2 2 2 2 2 2 2 2 2 2 2 2 2 15" xfId="7538" xr:uid="{A73B8CFE-224A-4242-8268-88C1DC72B337}"/>
    <cellStyle name="Normal 2 2 2 2 2 2 2 2 2 2 2 2 2 2 2 2 2 2 2 2 2 2 2 2 2 2 2 2 2 2 2 2 16" xfId="7539" xr:uid="{1DFC4188-8547-462F-AC2A-92B12B19ECC9}"/>
    <cellStyle name="Normal 2 2 2 2 2 2 2 2 2 2 2 2 2 2 2 2 2 2 2 2 2 2 2 2 2 2 2 2 2 2 2 2 17" xfId="7540" xr:uid="{79AC1AD3-52C5-4DAE-9A9D-61F529D4A2F9}"/>
    <cellStyle name="Normal 2 2 2 2 2 2 2 2 2 2 2 2 2 2 2 2 2 2 2 2 2 2 2 2 2 2 2 2 2 2 2 2 18" xfId="7541" xr:uid="{FB04A35A-34A2-4578-B91C-EF3538981C36}"/>
    <cellStyle name="Normal 2 2 2 2 2 2 2 2 2 2 2 2 2 2 2 2 2 2 2 2 2 2 2 2 2 2 2 2 2 2 2 2 19" xfId="7542" xr:uid="{5FC39001-1FB2-4DE0-800D-6452FF0AD56B}"/>
    <cellStyle name="Normal 2 2 2 2 2 2 2 2 2 2 2 2 2 2 2 2 2 2 2 2 2 2 2 2 2 2 2 2 2 2 2 2 2" xfId="7543" xr:uid="{DFC58AD6-C39A-4E86-880A-44772B210B0D}"/>
    <cellStyle name="Normal 2 2 2 2 2 2 2 2 2 2 2 2 2 2 2 2 2 2 2 2 2 2 2 2 2 2 2 2 2 2 2 2 2 2" xfId="7544" xr:uid="{556DFC36-F1CB-4240-8FC1-6A5288587145}"/>
    <cellStyle name="Normal 2 2 2 2 2 2 2 2 2 2 2 2 2 2 2 2 2 2 2 2 2 2 2 2 2 2 2 2 2 2 2 2 2 2 2" xfId="7545" xr:uid="{97E7DA20-45CA-4C35-A2CA-8215379450E9}"/>
    <cellStyle name="Normal 2 2 2 2 2 2 2 2 2 2 2 2 2 2 2 2 2 2 2 2 2 2 2 2 2 2 2 2 2 2 2 2 2 2 2 2" xfId="7546" xr:uid="{125CBA18-A231-48C5-8FEA-08A2BF05E755}"/>
    <cellStyle name="Normal 2 2 2 2 2 2 2 2 2 2 2 2 2 2 2 2 2 2 2 2 2 2 2 2 2 2 2 2 2 2 2 2 2 2 2 2 2" xfId="7547" xr:uid="{A8CA8A7A-5E28-42D7-AB55-346794A64405}"/>
    <cellStyle name="Normal 2 2 2 2 2 2 2 2 2 2 2 2 2 2 2 2 2 2 2 2 2 2 2 2 2 2 2 2 2 2 2 2 2 2 2 2 2 2" xfId="7548" xr:uid="{64EDC450-FDDF-42F8-B709-76F42AA6D7B8}"/>
    <cellStyle name="Normal 2 2 2 2 2 2 2 2 2 2 2 2 2 2 2 2 2 2 2 2 2 2 2 2 2 2 2 2 2 2 2 2 2 2 2 2 2 2 2" xfId="7549" xr:uid="{B26109A2-2BE0-4E59-8F73-B05421348E7F}"/>
    <cellStyle name="Normal 2 2 2 2 2 2 2 2 2 2 2 2 2 2 2 2 2 2 2 2 2 2 2 2 2 2 2 2 2 2 2 2 2 2 2 2 3" xfId="7550" xr:uid="{35577F48-D064-47D1-855D-2DC195D397F7}"/>
    <cellStyle name="Normal 2 2 2 2 2 2 2 2 2 2 2 2 2 2 2 2 2 2 2 2 2 2 2 2 2 2 2 2 2 2 2 2 2 2 2 2 4" xfId="7551" xr:uid="{2D415587-1FA9-42B1-8B54-3F756ED9D117}"/>
    <cellStyle name="Normal 2 2 2 2 2 2 2 2 2 2 2 2 2 2 2 2 2 2 2 2 2 2 2 2 2 2 2 2 2 2 2 2 2 2 2 3" xfId="7552" xr:uid="{B179ACD3-347A-4A42-BA90-1E84EBA46A89}"/>
    <cellStyle name="Normal 2 2 2 2 2 2 2 2 2 2 2 2 2 2 2 2 2 2 2 2 2 2 2 2 2 2 2 2 2 2 2 2 2 2 2 4" xfId="7553" xr:uid="{823002C5-01FD-4B8C-93E5-98F6394082B5}"/>
    <cellStyle name="Normal 2 2 2 2 2 2 2 2 2 2 2 2 2 2 2 2 2 2 2 2 2 2 2 2 2 2 2 2 2 2 2 2 2 2 2 5" xfId="7554" xr:uid="{837CEA63-EAB1-4E8C-822C-55FB43155E72}"/>
    <cellStyle name="Normal 2 2 2 2 2 2 2 2 2 2 2 2 2 2 2 2 2 2 2 2 2 2 2 2 2 2 2 2 2 2 2 2 2 2 3" xfId="7555" xr:uid="{5C136A47-26F7-487E-8CD1-29F906F1B7D0}"/>
    <cellStyle name="Normal 2 2 2 2 2 2 2 2 2 2 2 2 2 2 2 2 2 2 2 2 2 2 2 2 2 2 2 2 2 2 2 2 2 2 4" xfId="7556" xr:uid="{C8105785-0CB8-4E37-B4B5-3F92D361DFE8}"/>
    <cellStyle name="Normal 2 2 2 2 2 2 2 2 2 2 2 2 2 2 2 2 2 2 2 2 2 2 2 2 2 2 2 2 2 2 2 2 2 2 5" xfId="7557" xr:uid="{1F92C0E0-BA7F-4532-8354-F4782B8B0119}"/>
    <cellStyle name="Normal 2 2 2 2 2 2 2 2 2 2 2 2 2 2 2 2 2 2 2 2 2 2 2 2 2 2 2 2 2 2 2 2 2 2 6" xfId="7558" xr:uid="{D0F59DE6-A712-4409-9F32-48D876AEB752}"/>
    <cellStyle name="Normal 2 2 2 2 2 2 2 2 2 2 2 2 2 2 2 2 2 2 2 2 2 2 2 2 2 2 2 2 2 2 2 2 2 2 6 2" xfId="7559" xr:uid="{7D456CC3-3626-444C-8EAE-A7D30CAD38D1}"/>
    <cellStyle name="Normal 2 2 2 2 2 2 2 2 2 2 2 2 2 2 2 2 2 2 2 2 2 2 2 2 2 2 2 2 2 2 2 2 2 2 6 3" xfId="7560" xr:uid="{13B6F669-A890-443E-912D-DB61CE17F01C}"/>
    <cellStyle name="Normal 2 2 2 2 2 2 2 2 2 2 2 2 2 2 2 2 2 2 2 2 2 2 2 2 2 2 2 2 2 2 2 2 2 2 6 4" xfId="7561" xr:uid="{CCE3C91F-6CBF-4F7F-8A75-E21B31985F51}"/>
    <cellStyle name="Normal 2 2 2 2 2 2 2 2 2 2 2 2 2 2 2 2 2 2 2 2 2 2 2 2 2 2 2 2 2 2 2 2 2 2 7" xfId="7562" xr:uid="{61EC5D38-0223-4B10-82FC-EA71D582A2B6}"/>
    <cellStyle name="Normal 2 2 2 2 2 2 2 2 2 2 2 2 2 2 2 2 2 2 2 2 2 2 2 2 2 2 2 2 2 2 2 2 2 2 8" xfId="7563" xr:uid="{DED1EFAF-8307-4DAA-B10C-665774C558F5}"/>
    <cellStyle name="Normal 2 2 2 2 2 2 2 2 2 2 2 2 2 2 2 2 2 2 2 2 2 2 2 2 2 2 2 2 2 2 2 2 2 3" xfId="7564" xr:uid="{25F2EE1C-A6C3-4AAF-8517-8E9270F96D08}"/>
    <cellStyle name="Normal 2 2 2 2 2 2 2 2 2 2 2 2 2 2 2 2 2 2 2 2 2 2 2 2 2 2 2 2 2 2 2 2 2 4" xfId="7565" xr:uid="{7319B246-D0F5-431B-A6CF-0FD5DF5A55AF}"/>
    <cellStyle name="Normal 2 2 2 2 2 2 2 2 2 2 2 2 2 2 2 2 2 2 2 2 2 2 2 2 2 2 2 2 2 2 2 2 2 5" xfId="7566" xr:uid="{6122B8F6-6A3D-4635-833E-4A24FFF75D16}"/>
    <cellStyle name="Normal 2 2 2 2 2 2 2 2 2 2 2 2 2 2 2 2 2 2 2 2 2 2 2 2 2 2 2 2 2 2 2 2 2 6" xfId="7567" xr:uid="{9611C735-159B-46FB-A5BC-AA0ECEF0805B}"/>
    <cellStyle name="Normal 2 2 2 2 2 2 2 2 2 2 2 2 2 2 2 2 2 2 2 2 2 2 2 2 2 2 2 2 2 2 2 2 2 6 2" xfId="7568" xr:uid="{C67F54B6-18D2-42DC-BC0D-94CCF3254E02}"/>
    <cellStyle name="Normal 2 2 2 2 2 2 2 2 2 2 2 2 2 2 2 2 2 2 2 2 2 2 2 2 2 2 2 2 2 2 2 2 2 6 3" xfId="7569" xr:uid="{FFC4C7BF-D64D-4923-BAE0-7ACA15B00B51}"/>
    <cellStyle name="Normal 2 2 2 2 2 2 2 2 2 2 2 2 2 2 2 2 2 2 2 2 2 2 2 2 2 2 2 2 2 2 2 2 2 6 4" xfId="7570" xr:uid="{FBDD8E90-CA79-4FC7-AB69-544DA61F4725}"/>
    <cellStyle name="Normal 2 2 2 2 2 2 2 2 2 2 2 2 2 2 2 2 2 2 2 2 2 2 2 2 2 2 2 2 2 2 2 2 2 7" xfId="7571" xr:uid="{D06D2B15-BD12-4850-A7E8-98F98E0DBDC8}"/>
    <cellStyle name="Normal 2 2 2 2 2 2 2 2 2 2 2 2 2 2 2 2 2 2 2 2 2 2 2 2 2 2 2 2 2 2 2 2 2 8" xfId="7572" xr:uid="{A1FDEFA6-18FE-411F-80DE-A55E815417CA}"/>
    <cellStyle name="Normal 2 2 2 2 2 2 2 2 2 2 2 2 2 2 2 2 2 2 2 2 2 2 2 2 2 2 2 2 2 2 2 2 20" xfId="7573" xr:uid="{84A23A03-A337-4723-B6D7-0C85F7229646}"/>
    <cellStyle name="Normal 2 2 2 2 2 2 2 2 2 2 2 2 2 2 2 2 2 2 2 2 2 2 2 2 2 2 2 2 2 2 2 2 21" xfId="7574" xr:uid="{BB650102-A0F3-44DF-896D-585B1D70A56C}"/>
    <cellStyle name="Normal 2 2 2 2 2 2 2 2 2 2 2 2 2 2 2 2 2 2 2 2 2 2 2 2 2 2 2 2 2 2 2 2 22" xfId="7575" xr:uid="{4F50C74B-30C1-4A45-B520-E71FB72C495E}"/>
    <cellStyle name="Normal 2 2 2 2 2 2 2 2 2 2 2 2 2 2 2 2 2 2 2 2 2 2 2 2 2 2 2 2 2 2 2 2 23" xfId="7576" xr:uid="{CDD268D2-2616-4BE7-9092-9A4B464AD31F}"/>
    <cellStyle name="Normal 2 2 2 2 2 2 2 2 2 2 2 2 2 2 2 2 2 2 2 2 2 2 2 2 2 2 2 2 2 2 2 2 24" xfId="7577" xr:uid="{001ADD7E-914A-4C75-BE77-55421FCF8AE5}"/>
    <cellStyle name="Normal 2 2 2 2 2 2 2 2 2 2 2 2 2 2 2 2 2 2 2 2 2 2 2 2 2 2 2 2 2 2 2 2 25" xfId="7578" xr:uid="{72606A4B-42F4-4070-9A7C-C07607B560B0}"/>
    <cellStyle name="Normal 2 2 2 2 2 2 2 2 2 2 2 2 2 2 2 2 2 2 2 2 2 2 2 2 2 2 2 2 2 2 2 2 25 2" xfId="7579" xr:uid="{B653298A-028D-4104-AC33-E021E71E112D}"/>
    <cellStyle name="Normal 2 2 2 2 2 2 2 2 2 2 2 2 2 2 2 2 2 2 2 2 2 2 2 2 2 2 2 2 2 2 2 2 25 3" xfId="7580" xr:uid="{D62F2042-2E4F-4532-B526-3E9743F20E66}"/>
    <cellStyle name="Normal 2 2 2 2 2 2 2 2 2 2 2 2 2 2 2 2 2 2 2 2 2 2 2 2 2 2 2 2 2 2 2 2 25 4" xfId="7581" xr:uid="{A64F4953-EA1F-4A17-B7AA-956BCDD0FD2C}"/>
    <cellStyle name="Normal 2 2 2 2 2 2 2 2 2 2 2 2 2 2 2 2 2 2 2 2 2 2 2 2 2 2 2 2 2 2 2 2 26" xfId="7582" xr:uid="{D015C491-884D-4572-A313-13691A2E2607}"/>
    <cellStyle name="Normal 2 2 2 2 2 2 2 2 2 2 2 2 2 2 2 2 2 2 2 2 2 2 2 2 2 2 2 2 2 2 2 2 27" xfId="7583" xr:uid="{BF860AAF-B36C-4371-9574-12003608F7D1}"/>
    <cellStyle name="Normal 2 2 2 2 2 2 2 2 2 2 2 2 2 2 2 2 2 2 2 2 2 2 2 2 2 2 2 2 2 2 2 2 3" xfId="7584" xr:uid="{B1329583-C799-4011-B4AE-ED0F43DFE08F}"/>
    <cellStyle name="Normal 2 2 2 2 2 2 2 2 2 2 2 2 2 2 2 2 2 2 2 2 2 2 2 2 2 2 2 2 2 2 2 2 4" xfId="7585" xr:uid="{CF1971E1-9964-4493-AFCB-0977FD37F583}"/>
    <cellStyle name="Normal 2 2 2 2 2 2 2 2 2 2 2 2 2 2 2 2 2 2 2 2 2 2 2 2 2 2 2 2 2 2 2 2 5" xfId="7586" xr:uid="{883A0FE9-CFD1-4FE0-832F-14976EDC0335}"/>
    <cellStyle name="Normal 2 2 2 2 2 2 2 2 2 2 2 2 2 2 2 2 2 2 2 2 2 2 2 2 2 2 2 2 2 2 2 2 6" xfId="7587" xr:uid="{F0E633AA-5F3F-4995-B48B-0FDCB37CA434}"/>
    <cellStyle name="Normal 2 2 2 2 2 2 2 2 2 2 2 2 2 2 2 2 2 2 2 2 2 2 2 2 2 2 2 2 2 2 2 2 7" xfId="7588" xr:uid="{C7D89EFD-5F9C-4D10-B8AA-E394E3F3436A}"/>
    <cellStyle name="Normal 2 2 2 2 2 2 2 2 2 2 2 2 2 2 2 2 2 2 2 2 2 2 2 2 2 2 2 2 2 2 2 2 8" xfId="7589" xr:uid="{EE2E268E-4E53-404D-8726-2ED8ED4B9DCB}"/>
    <cellStyle name="Normal 2 2 2 2 2 2 2 2 2 2 2 2 2 2 2 2 2 2 2 2 2 2 2 2 2 2 2 2 2 2 2 2 9" xfId="7590" xr:uid="{91393A5C-C048-4C5F-BE47-CC9C04F71A5B}"/>
    <cellStyle name="Normal 2 2 2 2 2 2 2 2 2 2 2 2 2 2 2 2 2 2 2 2 2 2 2 2 2 2 2 2 2 2 2 20" xfId="7591" xr:uid="{C5059EEE-291E-45B4-892C-80C0D927937E}"/>
    <cellStyle name="Normal 2 2 2 2 2 2 2 2 2 2 2 2 2 2 2 2 2 2 2 2 2 2 2 2 2 2 2 2 2 2 2 21" xfId="7592" xr:uid="{0981DFC7-D8FB-49DD-A03E-E6AC6ACC32F4}"/>
    <cellStyle name="Normal 2 2 2 2 2 2 2 2 2 2 2 2 2 2 2 2 2 2 2 2 2 2 2 2 2 2 2 2 2 2 2 22" xfId="7593" xr:uid="{16D820D3-C5BE-47B4-9CDA-BB3F88C4F202}"/>
    <cellStyle name="Normal 2 2 2 2 2 2 2 2 2 2 2 2 2 2 2 2 2 2 2 2 2 2 2 2 2 2 2 2 2 2 2 23" xfId="7594" xr:uid="{7FD3001E-D0ED-4A66-9B2A-3360B319EEF1}"/>
    <cellStyle name="Normal 2 2 2 2 2 2 2 2 2 2 2 2 2 2 2 2 2 2 2 2 2 2 2 2 2 2 2 2 2 2 2 24" xfId="7595" xr:uid="{9833E3FA-396D-4753-8686-76804732F7C6}"/>
    <cellStyle name="Normal 2 2 2 2 2 2 2 2 2 2 2 2 2 2 2 2 2 2 2 2 2 2 2 2 2 2 2 2 2 2 2 25" xfId="7596" xr:uid="{93085420-F8FE-450D-B729-A83D8B271816}"/>
    <cellStyle name="Normal 2 2 2 2 2 2 2 2 2 2 2 2 2 2 2 2 2 2 2 2 2 2 2 2 2 2 2 2 2 2 2 25 2" xfId="7597" xr:uid="{D900C3ED-15B5-4FE0-9045-C1450F6878CC}"/>
    <cellStyle name="Normal 2 2 2 2 2 2 2 2 2 2 2 2 2 2 2 2 2 2 2 2 2 2 2 2 2 2 2 2 2 2 2 25 3" xfId="7598" xr:uid="{FD56E97B-A714-469A-A42D-D5D4D08EE7AC}"/>
    <cellStyle name="Normal 2 2 2 2 2 2 2 2 2 2 2 2 2 2 2 2 2 2 2 2 2 2 2 2 2 2 2 2 2 2 2 25 4" xfId="7599" xr:uid="{7AC56A27-C84C-4543-B70A-6B6E4B4DC822}"/>
    <cellStyle name="Normal 2 2 2 2 2 2 2 2 2 2 2 2 2 2 2 2 2 2 2 2 2 2 2 2 2 2 2 2 2 2 2 26" xfId="7600" xr:uid="{80B37EE7-E11F-4D8D-8C43-DD3E58B481AB}"/>
    <cellStyle name="Normal 2 2 2 2 2 2 2 2 2 2 2 2 2 2 2 2 2 2 2 2 2 2 2 2 2 2 2 2 2 2 2 27" xfId="7601" xr:uid="{280956A4-37A3-4874-ADFB-DB47E267035A}"/>
    <cellStyle name="Normal 2 2 2 2 2 2 2 2 2 2 2 2 2 2 2 2 2 2 2 2 2 2 2 2 2 2 2 2 2 2 2 3" xfId="7602" xr:uid="{FF37860F-9286-4B17-B7C4-688E6955AA72}"/>
    <cellStyle name="Normal 2 2 2 2 2 2 2 2 2 2 2 2 2 2 2 2 2 2 2 2 2 2 2 2 2 2 2 2 2 2 2 4" xfId="7603" xr:uid="{E87B5408-8C5B-423B-9B5A-F34DCA5F51B3}"/>
    <cellStyle name="Normal 2 2 2 2 2 2 2 2 2 2 2 2 2 2 2 2 2 2 2 2 2 2 2 2 2 2 2 2 2 2 2 5" xfId="7604" xr:uid="{3A052925-B3EB-47C1-ACC8-C1AD9E938E58}"/>
    <cellStyle name="Normal 2 2 2 2 2 2 2 2 2 2 2 2 2 2 2 2 2 2 2 2 2 2 2 2 2 2 2 2 2 2 2 6" xfId="7605" xr:uid="{A8AC6B8F-AE19-4500-9094-D0E422D87F61}"/>
    <cellStyle name="Normal 2 2 2 2 2 2 2 2 2 2 2 2 2 2 2 2 2 2 2 2 2 2 2 2 2 2 2 2 2 2 2 7" xfId="7606" xr:uid="{CC7437E2-ED84-43C1-8771-B48F9DDE2392}"/>
    <cellStyle name="Normal 2 2 2 2 2 2 2 2 2 2 2 2 2 2 2 2 2 2 2 2 2 2 2 2 2 2 2 2 2 2 2 8" xfId="7607" xr:uid="{49F947A7-DC07-4C2C-A63A-E87C958BA8C8}"/>
    <cellStyle name="Normal 2 2 2 2 2 2 2 2 2 2 2 2 2 2 2 2 2 2 2 2 2 2 2 2 2 2 2 2 2 2 2 9" xfId="7608" xr:uid="{7C0523BD-0D50-4A81-B083-7D96E7F61B83}"/>
    <cellStyle name="Normal 2 2 2 2 2 2 2 2 2 2 2 2 2 2 2 2 2 2 2 2 2 2 2 2 2 2 2 2 2 2 20" xfId="7609" xr:uid="{6B1C69FD-E5E9-483A-A5BA-3820B2B21825}"/>
    <cellStyle name="Normal 2 2 2 2 2 2 2 2 2 2 2 2 2 2 2 2 2 2 2 2 2 2 2 2 2 2 2 2 2 2 21" xfId="7610" xr:uid="{A5A6B087-38CF-4D28-B4BC-F3753E14D832}"/>
    <cellStyle name="Normal 2 2 2 2 2 2 2 2 2 2 2 2 2 2 2 2 2 2 2 2 2 2 2 2 2 2 2 2 2 2 22" xfId="7611" xr:uid="{611E0CE0-E6A9-4B71-9CE6-ADCD99AFD9F8}"/>
    <cellStyle name="Normal 2 2 2 2 2 2 2 2 2 2 2 2 2 2 2 2 2 2 2 2 2 2 2 2 2 2 2 2 2 2 23" xfId="7612" xr:uid="{4C250BEF-7752-4D3E-A56F-1439890C5F9E}"/>
    <cellStyle name="Normal 2 2 2 2 2 2 2 2 2 2 2 2 2 2 2 2 2 2 2 2 2 2 2 2 2 2 2 2 2 2 24" xfId="7613" xr:uid="{DC4779B2-9801-421D-AF1C-5E8D927769A7}"/>
    <cellStyle name="Normal 2 2 2 2 2 2 2 2 2 2 2 2 2 2 2 2 2 2 2 2 2 2 2 2 2 2 2 2 2 2 25" xfId="7614" xr:uid="{DC05FB37-3134-48A1-8B4C-8CFCE7DC99B9}"/>
    <cellStyle name="Normal 2 2 2 2 2 2 2 2 2 2 2 2 2 2 2 2 2 2 2 2 2 2 2 2 2 2 2 2 2 2 26" xfId="7615" xr:uid="{9E4F3E11-8C00-418A-8663-CC18C4FE18A2}"/>
    <cellStyle name="Normal 2 2 2 2 2 2 2 2 2 2 2 2 2 2 2 2 2 2 2 2 2 2 2 2 2 2 2 2 2 2 27" xfId="7616" xr:uid="{5EEF0E92-8402-4401-B955-09BCCA41720D}"/>
    <cellStyle name="Normal 2 2 2 2 2 2 2 2 2 2 2 2 2 2 2 2 2 2 2 2 2 2 2 2 2 2 2 2 2 2 28" xfId="7617" xr:uid="{9EA36B7C-8B51-4B8D-B2B3-F6C7A9966270}"/>
    <cellStyle name="Normal 2 2 2 2 2 2 2 2 2 2 2 2 2 2 2 2 2 2 2 2 2 2 2 2 2 2 2 2 2 2 29" xfId="7618" xr:uid="{B99FDBBD-7134-4806-807B-6662388AD3C0}"/>
    <cellStyle name="Normal 2 2 2 2 2 2 2 2 2 2 2 2 2 2 2 2 2 2 2 2 2 2 2 2 2 2 2 2 2 2 3" xfId="7619" xr:uid="{4484F4BC-376D-4DF8-A65B-704263739278}"/>
    <cellStyle name="Normal 2 2 2 2 2 2 2 2 2 2 2 2 2 2 2 2 2 2 2 2 2 2 2 2 2 2 2 2 2 2 30" xfId="7620" xr:uid="{72A9E54E-E733-4A39-B937-653813749681}"/>
    <cellStyle name="Normal 2 2 2 2 2 2 2 2 2 2 2 2 2 2 2 2 2 2 2 2 2 2 2 2 2 2 2 2 2 2 31" xfId="7621" xr:uid="{8F4C7212-6686-44B5-9784-94B9FFB5986F}"/>
    <cellStyle name="Normal 2 2 2 2 2 2 2 2 2 2 2 2 2 2 2 2 2 2 2 2 2 2 2 2 2 2 2 2 2 2 32" xfId="7622" xr:uid="{10B7A527-B9D3-4BDC-A6A5-FEEEC44A93ED}"/>
    <cellStyle name="Normal 2 2 2 2 2 2 2 2 2 2 2 2 2 2 2 2 2 2 2 2 2 2 2 2 2 2 2 2 2 2 33" xfId="7623" xr:uid="{958F81C6-E93D-4944-AB87-FA7403000C19}"/>
    <cellStyle name="Normal 2 2 2 2 2 2 2 2 2 2 2 2 2 2 2 2 2 2 2 2 2 2 2 2 2 2 2 2 2 2 34" xfId="7624" xr:uid="{BBCC7376-9D21-42EB-858D-CDDEC94FCE1C}"/>
    <cellStyle name="Normal 2 2 2 2 2 2 2 2 2 2 2 2 2 2 2 2 2 2 2 2 2 2 2 2 2 2 2 2 2 2 35" xfId="7625" xr:uid="{EAC01E4F-FDD5-413D-95EE-16F23A92498F}"/>
    <cellStyle name="Normal 2 2 2 2 2 2 2 2 2 2 2 2 2 2 2 2 2 2 2 2 2 2 2 2 2 2 2 2 2 2 36" xfId="7626" xr:uid="{0A794BD2-34B8-4635-B0B1-7231EE9E21B8}"/>
    <cellStyle name="Normal 2 2 2 2 2 2 2 2 2 2 2 2 2 2 2 2 2 2 2 2 2 2 2 2 2 2 2 2 2 2 37" xfId="7627" xr:uid="{32AC30B8-D87B-43C3-8F7C-594A31A2CC73}"/>
    <cellStyle name="Normal 2 2 2 2 2 2 2 2 2 2 2 2 2 2 2 2 2 2 2 2 2 2 2 2 2 2 2 2 2 2 38" xfId="7628" xr:uid="{AED579F2-AADF-47A8-B84C-24DEA21E3E84}"/>
    <cellStyle name="Normal 2 2 2 2 2 2 2 2 2 2 2 2 2 2 2 2 2 2 2 2 2 2 2 2 2 2 2 2 2 2 39" xfId="7629" xr:uid="{634E29A5-7B50-430D-864B-79B9E42D6DCB}"/>
    <cellStyle name="Normal 2 2 2 2 2 2 2 2 2 2 2 2 2 2 2 2 2 2 2 2 2 2 2 2 2 2 2 2 2 2 4" xfId="7630" xr:uid="{919F9CCE-158F-4DCA-9E83-696807B32839}"/>
    <cellStyle name="Normal 2 2 2 2 2 2 2 2 2 2 2 2 2 2 2 2 2 2 2 2 2 2 2 2 2 2 2 2 2 2 40" xfId="7631" xr:uid="{253B8A03-B5D6-49AB-BF9B-4F7B4CCD5E24}"/>
    <cellStyle name="Normal 2 2 2 2 2 2 2 2 2 2 2 2 2 2 2 2 2 2 2 2 2 2 2 2 2 2 2 2 2 2 40 2" xfId="7632" xr:uid="{278EC51E-5493-4D83-B6E1-294A494C70E6}"/>
    <cellStyle name="Normal 2 2 2 2 2 2 2 2 2 2 2 2 2 2 2 2 2 2 2 2 2 2 2 2 2 2 2 2 2 2 40 3" xfId="7633" xr:uid="{E29A4010-B69D-466D-BBB6-230ABE0F547F}"/>
    <cellStyle name="Normal 2 2 2 2 2 2 2 2 2 2 2 2 2 2 2 2 2 2 2 2 2 2 2 2 2 2 2 2 2 2 40 4" xfId="7634" xr:uid="{2A31525F-0F4C-4C5F-9B19-952B69A3393B}"/>
    <cellStyle name="Normal 2 2 2 2 2 2 2 2 2 2 2 2 2 2 2 2 2 2 2 2 2 2 2 2 2 2 2 2 2 2 41" xfId="7635" xr:uid="{DAD3B671-25B2-4DCB-BE99-05B8DBC98463}"/>
    <cellStyle name="Normal 2 2 2 2 2 2 2 2 2 2 2 2 2 2 2 2 2 2 2 2 2 2 2 2 2 2 2 2 2 2 42" xfId="7636" xr:uid="{3E60858B-E3E6-4D6B-A32C-50EBE594768B}"/>
    <cellStyle name="Normal 2 2 2 2 2 2 2 2 2 2 2 2 2 2 2 2 2 2 2 2 2 2 2 2 2 2 2 2 2 2 5" xfId="7637" xr:uid="{2F5E4B7A-F590-4FD8-A978-66EAD492B2E2}"/>
    <cellStyle name="Normal 2 2 2 2 2 2 2 2 2 2 2 2 2 2 2 2 2 2 2 2 2 2 2 2 2 2 2 2 2 2 6" xfId="7638" xr:uid="{71558246-CA00-44C2-8C74-6F31CA6CCB51}"/>
    <cellStyle name="Normal 2 2 2 2 2 2 2 2 2 2 2 2 2 2 2 2 2 2 2 2 2 2 2 2 2 2 2 2 2 2 7" xfId="7639" xr:uid="{CDEE72A1-B46A-4745-8D4B-CE9F7EEB6782}"/>
    <cellStyle name="Normal 2 2 2 2 2 2 2 2 2 2 2 2 2 2 2 2 2 2 2 2 2 2 2 2 2 2 2 2 2 2 8" xfId="7640" xr:uid="{CA419C4F-8C65-40D8-BB1F-2372877954D8}"/>
    <cellStyle name="Normal 2 2 2 2 2 2 2 2 2 2 2 2 2 2 2 2 2 2 2 2 2 2 2 2 2 2 2 2 2 2 9" xfId="7641" xr:uid="{81CE5D8F-AA96-4D3E-845C-95B9AAC1D5BF}"/>
    <cellStyle name="Normal 2 2 2 2 2 2 2 2 2 2 2 2 2 2 2 2 2 2 2 2 2 2 2 2 2 2 2 2 2 20" xfId="7642" xr:uid="{E7E88356-EB7F-4A73-84AF-087052CB3B12}"/>
    <cellStyle name="Normal 2 2 2 2 2 2 2 2 2 2 2 2 2 2 2 2 2 2 2 2 2 2 2 2 2 2 2 2 2 21" xfId="7643" xr:uid="{618B1CDE-F924-45D1-8EAA-C5F36FA86D5B}"/>
    <cellStyle name="Normal 2 2 2 2 2 2 2 2 2 2 2 2 2 2 2 2 2 2 2 2 2 2 2 2 2 2 2 2 2 22" xfId="7644" xr:uid="{85723C97-C42E-4C37-9C90-2C29A9D0AF46}"/>
    <cellStyle name="Normal 2 2 2 2 2 2 2 2 2 2 2 2 2 2 2 2 2 2 2 2 2 2 2 2 2 2 2 2 2 23" xfId="7645" xr:uid="{F68AD760-DE40-4EDC-8523-216D9368259B}"/>
    <cellStyle name="Normal 2 2 2 2 2 2 2 2 2 2 2 2 2 2 2 2 2 2 2 2 2 2 2 2 2 2 2 2 2 24" xfId="7646" xr:uid="{713F043A-8070-4458-92F6-594269AF35E9}"/>
    <cellStyle name="Normal 2 2 2 2 2 2 2 2 2 2 2 2 2 2 2 2 2 2 2 2 2 2 2 2 2 2 2 2 2 25" xfId="7647" xr:uid="{E2BBDA54-2610-412F-A0FE-5CBE67F36366}"/>
    <cellStyle name="Normal 2 2 2 2 2 2 2 2 2 2 2 2 2 2 2 2 2 2 2 2 2 2 2 2 2 2 2 2 2 26" xfId="7648" xr:uid="{0E20C2E3-6DE2-4316-BB82-2C9E3F1E6DA5}"/>
    <cellStyle name="Normal 2 2 2 2 2 2 2 2 2 2 2 2 2 2 2 2 2 2 2 2 2 2 2 2 2 2 2 2 2 27" xfId="7649" xr:uid="{7B5BE9BC-3996-4D58-85E5-667D265B51D0}"/>
    <cellStyle name="Normal 2 2 2 2 2 2 2 2 2 2 2 2 2 2 2 2 2 2 2 2 2 2 2 2 2 2 2 2 2 28" xfId="7650" xr:uid="{9CD8AAF9-B0BC-4D6C-A743-2B5CCA27EB85}"/>
    <cellStyle name="Normal 2 2 2 2 2 2 2 2 2 2 2 2 2 2 2 2 2 2 2 2 2 2 2 2 2 2 2 2 2 29" xfId="7651" xr:uid="{A111D372-B092-4A63-9DC5-6D14E394DC53}"/>
    <cellStyle name="Normal 2 2 2 2 2 2 2 2 2 2 2 2 2 2 2 2 2 2 2 2 2 2 2 2 2 2 2 2 2 3" xfId="7652" xr:uid="{1A2DB888-2A1A-4622-B1F6-D9C091F1E485}"/>
    <cellStyle name="Normal 2 2 2 2 2 2 2 2 2 2 2 2 2 2 2 2 2 2 2 2 2 2 2 2 2 2 2 2 2 30" xfId="7653" xr:uid="{92B36A2B-1716-47AE-B1C6-A48F05604868}"/>
    <cellStyle name="Normal 2 2 2 2 2 2 2 2 2 2 2 2 2 2 2 2 2 2 2 2 2 2 2 2 2 2 2 2 2 31" xfId="7654" xr:uid="{80FEED88-7AD6-4A11-AB84-0CFAE2023CB7}"/>
    <cellStyle name="Normal 2 2 2 2 2 2 2 2 2 2 2 2 2 2 2 2 2 2 2 2 2 2 2 2 2 2 2 2 2 32" xfId="7655" xr:uid="{3B0FF683-106D-47F6-9C0A-EE8390AB39B3}"/>
    <cellStyle name="Normal 2 2 2 2 2 2 2 2 2 2 2 2 2 2 2 2 2 2 2 2 2 2 2 2 2 2 2 2 2 33" xfId="7656" xr:uid="{2FF26D2C-BFF3-4D9D-AAC4-F14B5E61F8AC}"/>
    <cellStyle name="Normal 2 2 2 2 2 2 2 2 2 2 2 2 2 2 2 2 2 2 2 2 2 2 2 2 2 2 2 2 2 34" xfId="7657" xr:uid="{FFB2CB82-065D-455D-8138-F5D1A0D8C6AE}"/>
    <cellStyle name="Normal 2 2 2 2 2 2 2 2 2 2 2 2 2 2 2 2 2 2 2 2 2 2 2 2 2 2 2 2 2 35" xfId="7658" xr:uid="{BDDC7094-5455-4AC3-932A-513DA05CC7E6}"/>
    <cellStyle name="Normal 2 2 2 2 2 2 2 2 2 2 2 2 2 2 2 2 2 2 2 2 2 2 2 2 2 2 2 2 2 36" xfId="7659" xr:uid="{7EF3BF1E-95FA-41B2-89C2-DFD745AE1617}"/>
    <cellStyle name="Normal 2 2 2 2 2 2 2 2 2 2 2 2 2 2 2 2 2 2 2 2 2 2 2 2 2 2 2 2 2 37" xfId="7660" xr:uid="{DFDB9CE8-F45C-4FC9-9706-B6A9BFBDD544}"/>
    <cellStyle name="Normal 2 2 2 2 2 2 2 2 2 2 2 2 2 2 2 2 2 2 2 2 2 2 2 2 2 2 2 2 2 38" xfId="7661" xr:uid="{1EAEEAFE-2F12-4AC5-843C-6953C9417844}"/>
    <cellStyle name="Normal 2 2 2 2 2 2 2 2 2 2 2 2 2 2 2 2 2 2 2 2 2 2 2 2 2 2 2 2 2 39" xfId="7662" xr:uid="{3ED2FECF-5259-4B66-BFB5-33612CA249BA}"/>
    <cellStyle name="Normal 2 2 2 2 2 2 2 2 2 2 2 2 2 2 2 2 2 2 2 2 2 2 2 2 2 2 2 2 2 4" xfId="7663" xr:uid="{F9F7550D-5552-43CD-8521-A745DA233511}"/>
    <cellStyle name="Normal 2 2 2 2 2 2 2 2 2 2 2 2 2 2 2 2 2 2 2 2 2 2 2 2 2 2 2 2 2 40" xfId="7664" xr:uid="{908186D3-A3CC-4351-8241-C50BAA6E8C38}"/>
    <cellStyle name="Normal 2 2 2 2 2 2 2 2 2 2 2 2 2 2 2 2 2 2 2 2 2 2 2 2 2 2 2 2 2 40 2" xfId="7665" xr:uid="{8E30C1F4-F811-4B88-850E-FC97D85E0FB6}"/>
    <cellStyle name="Normal 2 2 2 2 2 2 2 2 2 2 2 2 2 2 2 2 2 2 2 2 2 2 2 2 2 2 2 2 2 40 3" xfId="7666" xr:uid="{1FE1C6F7-3B29-48B7-AEDE-5D06C45A48B0}"/>
    <cellStyle name="Normal 2 2 2 2 2 2 2 2 2 2 2 2 2 2 2 2 2 2 2 2 2 2 2 2 2 2 2 2 2 40 4" xfId="7667" xr:uid="{70BEEFA1-62D9-40C7-A058-7DC23808B901}"/>
    <cellStyle name="Normal 2 2 2 2 2 2 2 2 2 2 2 2 2 2 2 2 2 2 2 2 2 2 2 2 2 2 2 2 2 41" xfId="7668" xr:uid="{BB81BCAB-CC85-4588-81AD-DBA3CBAC43DD}"/>
    <cellStyle name="Normal 2 2 2 2 2 2 2 2 2 2 2 2 2 2 2 2 2 2 2 2 2 2 2 2 2 2 2 2 2 42" xfId="7669" xr:uid="{6B3DE5F0-6BC9-4453-9FEA-1D0A30E70920}"/>
    <cellStyle name="Normal 2 2 2 2 2 2 2 2 2 2 2 2 2 2 2 2 2 2 2 2 2 2 2 2 2 2 2 2 2 5" xfId="7670" xr:uid="{75E30455-74D7-4EBC-89BA-866E96F54E97}"/>
    <cellStyle name="Normal 2 2 2 2 2 2 2 2 2 2 2 2 2 2 2 2 2 2 2 2 2 2 2 2 2 2 2 2 2 6" xfId="7671" xr:uid="{BFAA04E4-442B-4509-9706-DBB45318194D}"/>
    <cellStyle name="Normal 2 2 2 2 2 2 2 2 2 2 2 2 2 2 2 2 2 2 2 2 2 2 2 2 2 2 2 2 2 7" xfId="7672" xr:uid="{EEC801BB-BCC3-44CE-8ABF-7AF459698367}"/>
    <cellStyle name="Normal 2 2 2 2 2 2 2 2 2 2 2 2 2 2 2 2 2 2 2 2 2 2 2 2 2 2 2 2 2 8" xfId="7673" xr:uid="{7734D961-9A40-4BF8-8DCF-12AF0E6495FD}"/>
    <cellStyle name="Normal 2 2 2 2 2 2 2 2 2 2 2 2 2 2 2 2 2 2 2 2 2 2 2 2 2 2 2 2 2 9" xfId="7674" xr:uid="{9DC1DD04-04EA-4FA8-8B16-5E2CDE874714}"/>
    <cellStyle name="Normal 2 2 2 2 2 2 2 2 2 2 2 2 2 2 2 2 2 2 2 2 2 2 2 2 2 2 2 2 20" xfId="7675" xr:uid="{814B6C24-1DF2-4033-B70F-FB79FC2FD6B0}"/>
    <cellStyle name="Normal 2 2 2 2 2 2 2 2 2 2 2 2 2 2 2 2 2 2 2 2 2 2 2 2 2 2 2 2 21" xfId="7676" xr:uid="{FDE6AF5E-DFE9-4986-A248-F79FF5850873}"/>
    <cellStyle name="Normal 2 2 2 2 2 2 2 2 2 2 2 2 2 2 2 2 2 2 2 2 2 2 2 2 2 2 2 2 22" xfId="7677" xr:uid="{34219184-D534-4145-9669-DDFDF5D4618B}"/>
    <cellStyle name="Normal 2 2 2 2 2 2 2 2 2 2 2 2 2 2 2 2 2 2 2 2 2 2 2 2 2 2 2 2 23" xfId="7678" xr:uid="{CD90B143-FFB2-420C-A687-0F242DA85BCB}"/>
    <cellStyle name="Normal 2 2 2 2 2 2 2 2 2 2 2 2 2 2 2 2 2 2 2 2 2 2 2 2 2 2 2 2 24" xfId="7679" xr:uid="{E1BE7866-2F04-4D7B-8300-4F35CABC2C4D}"/>
    <cellStyle name="Normal 2 2 2 2 2 2 2 2 2 2 2 2 2 2 2 2 2 2 2 2 2 2 2 2 2 2 2 2 25" xfId="7680" xr:uid="{66404505-12BF-4142-A507-1D67889B9186}"/>
    <cellStyle name="Normal 2 2 2 2 2 2 2 2 2 2 2 2 2 2 2 2 2 2 2 2 2 2 2 2 2 2 2 2 26" xfId="7681" xr:uid="{771F02EB-DFDD-4C86-BE4D-907F314DF47B}"/>
    <cellStyle name="Normal 2 2 2 2 2 2 2 2 2 2 2 2 2 2 2 2 2 2 2 2 2 2 2 2 2 2 2 2 27" xfId="7682" xr:uid="{D7B2D71F-FC79-4D75-8A80-600CC07436C1}"/>
    <cellStyle name="Normal 2 2 2 2 2 2 2 2 2 2 2 2 2 2 2 2 2 2 2 2 2 2 2 2 2 2 2 2 28" xfId="7683" xr:uid="{01C29E39-623C-4696-84F4-1EEEE22846B5}"/>
    <cellStyle name="Normal 2 2 2 2 2 2 2 2 2 2 2 2 2 2 2 2 2 2 2 2 2 2 2 2 2 2 2 2 29" xfId="7684" xr:uid="{D2C4EE74-7A37-4892-AA45-A4E9116C1447}"/>
    <cellStyle name="Normal 2 2 2 2 2 2 2 2 2 2 2 2 2 2 2 2 2 2 2 2 2 2 2 2 2 2 2 2 3" xfId="7685" xr:uid="{4D5B0298-767D-418A-9184-270653D0C3A4}"/>
    <cellStyle name="Normal 2 2 2 2 2 2 2 2 2 2 2 2 2 2 2 2 2 2 2 2 2 2 2 2 2 2 2 2 30" xfId="7686" xr:uid="{1FEFB33E-062D-43D8-B56E-55CA4ACC6ED7}"/>
    <cellStyle name="Normal 2 2 2 2 2 2 2 2 2 2 2 2 2 2 2 2 2 2 2 2 2 2 2 2 2 2 2 2 31" xfId="7687" xr:uid="{6155BA40-6383-4B31-8F19-5C09A763D6E3}"/>
    <cellStyle name="Normal 2 2 2 2 2 2 2 2 2 2 2 2 2 2 2 2 2 2 2 2 2 2 2 2 2 2 2 2 32" xfId="7688" xr:uid="{E2A7EB50-E669-4010-8EED-0AA3F8762E29}"/>
    <cellStyle name="Normal 2 2 2 2 2 2 2 2 2 2 2 2 2 2 2 2 2 2 2 2 2 2 2 2 2 2 2 2 33" xfId="7689" xr:uid="{40EDE736-F30A-4874-B870-978E08607A80}"/>
    <cellStyle name="Normal 2 2 2 2 2 2 2 2 2 2 2 2 2 2 2 2 2 2 2 2 2 2 2 2 2 2 2 2 34" xfId="7690" xr:uid="{A3C5D2B2-8CBE-47A6-8815-ADE8BA2F5D0D}"/>
    <cellStyle name="Normal 2 2 2 2 2 2 2 2 2 2 2 2 2 2 2 2 2 2 2 2 2 2 2 2 2 2 2 2 35" xfId="7691" xr:uid="{C636F243-DE63-4B53-B6A4-62A8A809468A}"/>
    <cellStyle name="Normal 2 2 2 2 2 2 2 2 2 2 2 2 2 2 2 2 2 2 2 2 2 2 2 2 2 2 2 2 36" xfId="7692" xr:uid="{EF0358FA-70D2-4AA6-A13E-FF50BB24E75D}"/>
    <cellStyle name="Normal 2 2 2 2 2 2 2 2 2 2 2 2 2 2 2 2 2 2 2 2 2 2 2 2 2 2 2 2 37" xfId="7693" xr:uid="{4F0D3A9B-0D58-4A5C-ADB9-65ED046A6124}"/>
    <cellStyle name="Normal 2 2 2 2 2 2 2 2 2 2 2 2 2 2 2 2 2 2 2 2 2 2 2 2 2 2 2 2 38" xfId="7694" xr:uid="{2BC14949-06D7-4AFC-B388-86A005BD2FE2}"/>
    <cellStyle name="Normal 2 2 2 2 2 2 2 2 2 2 2 2 2 2 2 2 2 2 2 2 2 2 2 2 2 2 2 2 39" xfId="7695" xr:uid="{20D927F5-8614-4A01-B60F-6BD29B05E498}"/>
    <cellStyle name="Normal 2 2 2 2 2 2 2 2 2 2 2 2 2 2 2 2 2 2 2 2 2 2 2 2 2 2 2 2 4" xfId="7696" xr:uid="{4DECDDE4-8217-4B7C-B060-224C1E30D084}"/>
    <cellStyle name="Normal 2 2 2 2 2 2 2 2 2 2 2 2 2 2 2 2 2 2 2 2 2 2 2 2 2 2 2 2 40" xfId="7697" xr:uid="{FEB2F878-B253-454B-9C0B-79F0C80B5814}"/>
    <cellStyle name="Normal 2 2 2 2 2 2 2 2 2 2 2 2 2 2 2 2 2 2 2 2 2 2 2 2 2 2 2 2 41" xfId="7698" xr:uid="{8EA19813-C07A-4A6E-8221-299A12F56A42}"/>
    <cellStyle name="Normal 2 2 2 2 2 2 2 2 2 2 2 2 2 2 2 2 2 2 2 2 2 2 2 2 2 2 2 2 42" xfId="7699" xr:uid="{BDACC086-64C0-4AFF-A427-F7C5BED4078F}"/>
    <cellStyle name="Normal 2 2 2 2 2 2 2 2 2 2 2 2 2 2 2 2 2 2 2 2 2 2 2 2 2 2 2 2 43" xfId="7700" xr:uid="{DBE183A3-F721-4505-B064-3DE3B0704389}"/>
    <cellStyle name="Normal 2 2 2 2 2 2 2 2 2 2 2 2 2 2 2 2 2 2 2 2 2 2 2 2 2 2 2 2 43 2" xfId="7701" xr:uid="{69AED6CA-57B1-4DC4-9F07-B2204DBFD027}"/>
    <cellStyle name="Normal 2 2 2 2 2 2 2 2 2 2 2 2 2 2 2 2 2 2 2 2 2 2 2 2 2 2 2 2 43 3" xfId="7702" xr:uid="{1C8D4CE9-54BF-472A-81C1-77F6C0D797C6}"/>
    <cellStyle name="Normal 2 2 2 2 2 2 2 2 2 2 2 2 2 2 2 2 2 2 2 2 2 2 2 2 2 2 2 2 43 4" xfId="7703" xr:uid="{14BA6C49-0A0D-4C23-A058-7C287C1A0216}"/>
    <cellStyle name="Normal 2 2 2 2 2 2 2 2 2 2 2 2 2 2 2 2 2 2 2 2 2 2 2 2 2 2 2 2 44" xfId="7704" xr:uid="{8863485B-4E73-41BF-A11F-BAE73417E48A}"/>
    <cellStyle name="Normal 2 2 2 2 2 2 2 2 2 2 2 2 2 2 2 2 2 2 2 2 2 2 2 2 2 2 2 2 45" xfId="7705" xr:uid="{94940188-B9F0-41A4-82D9-67CFA2F8CF7F}"/>
    <cellStyle name="Normal 2 2 2 2 2 2 2 2 2 2 2 2 2 2 2 2 2 2 2 2 2 2 2 2 2 2 2 2 5" xfId="7706" xr:uid="{4BA60C42-FBCA-4616-895D-E574FCEFDBD0}"/>
    <cellStyle name="Normal 2 2 2 2 2 2 2 2 2 2 2 2 2 2 2 2 2 2 2 2 2 2 2 2 2 2 2 2 6" xfId="7707" xr:uid="{24C4EDC5-6AE7-438A-B10A-DB7228D9DF45}"/>
    <cellStyle name="Normal 2 2 2 2 2 2 2 2 2 2 2 2 2 2 2 2 2 2 2 2 2 2 2 2 2 2 2 2 7" xfId="7708" xr:uid="{89A0FC6C-29FB-41E7-9F76-783F7F7768BE}"/>
    <cellStyle name="Normal 2 2 2 2 2 2 2 2 2 2 2 2 2 2 2 2 2 2 2 2 2 2 2 2 2 2 2 2 8" xfId="7709" xr:uid="{C50A58E7-9B50-45BC-88C7-F601874E989C}"/>
    <cellStyle name="Normal 2 2 2 2 2 2 2 2 2 2 2 2 2 2 2 2 2 2 2 2 2 2 2 2 2 2 2 2 9" xfId="7710" xr:uid="{25E49D2B-564B-4611-90DA-28A8AC45D718}"/>
    <cellStyle name="Normal 2 2 2 2 2 2 2 2 2 2 2 2 2 2 2 2 2 2 2 2 2 2 2 2 2 2 2 20" xfId="7711" xr:uid="{70DC59E6-9602-4C8E-818F-ED2A54BA66E2}"/>
    <cellStyle name="Normal 2 2 2 2 2 2 2 2 2 2 2 2 2 2 2 2 2 2 2 2 2 2 2 2 2 2 2 21" xfId="7712" xr:uid="{AE3B7C54-2EB7-4169-9D9A-8B6752D0743C}"/>
    <cellStyle name="Normal 2 2 2 2 2 2 2 2 2 2 2 2 2 2 2 2 2 2 2 2 2 2 2 2 2 2 2 22" xfId="7713" xr:uid="{0C25AF88-F083-4E3E-9959-27696D54542B}"/>
    <cellStyle name="Normal 2 2 2 2 2 2 2 2 2 2 2 2 2 2 2 2 2 2 2 2 2 2 2 2 2 2 2 23" xfId="7714" xr:uid="{4FFECFBF-5706-4A18-B0FB-7F98A327360C}"/>
    <cellStyle name="Normal 2 2 2 2 2 2 2 2 2 2 2 2 2 2 2 2 2 2 2 2 2 2 2 2 2 2 2 24" xfId="7715" xr:uid="{CF7BCD49-C797-4A26-895D-9C3C7C80D264}"/>
    <cellStyle name="Normal 2 2 2 2 2 2 2 2 2 2 2 2 2 2 2 2 2 2 2 2 2 2 2 2 2 2 2 25" xfId="7716" xr:uid="{6B1C2A4B-7614-4A17-8DDF-46F3CF83E665}"/>
    <cellStyle name="Normal 2 2 2 2 2 2 2 2 2 2 2 2 2 2 2 2 2 2 2 2 2 2 2 2 2 2 2 26" xfId="7717" xr:uid="{D3299EB8-5E03-4BBE-946E-17795A990A7F}"/>
    <cellStyle name="Normal 2 2 2 2 2 2 2 2 2 2 2 2 2 2 2 2 2 2 2 2 2 2 2 2 2 2 2 27" xfId="7718" xr:uid="{03CD317E-5947-4E6D-983A-ED2EF51B3C7B}"/>
    <cellStyle name="Normal 2 2 2 2 2 2 2 2 2 2 2 2 2 2 2 2 2 2 2 2 2 2 2 2 2 2 2 28" xfId="7719" xr:uid="{A178EAD6-A832-40BA-A55C-26E61E66FE57}"/>
    <cellStyle name="Normal 2 2 2 2 2 2 2 2 2 2 2 2 2 2 2 2 2 2 2 2 2 2 2 2 2 2 2 29" xfId="7720" xr:uid="{071EBA6A-958D-4C1A-9E47-3508DEF3D62F}"/>
    <cellStyle name="Normal 2 2 2 2 2 2 2 2 2 2 2 2 2 2 2 2 2 2 2 2 2 2 2 2 2 2 2 3" xfId="7721" xr:uid="{F6BE9A8D-3BAF-4CD3-B9C6-8CA46554BFB6}"/>
    <cellStyle name="Normal 2 2 2 2 2 2 2 2 2 2 2 2 2 2 2 2 2 2 2 2 2 2 2 2 2 2 2 30" xfId="7722" xr:uid="{26B3C24B-31C4-4AEC-9ED8-C48E78F50930}"/>
    <cellStyle name="Normal 2 2 2 2 2 2 2 2 2 2 2 2 2 2 2 2 2 2 2 2 2 2 2 2 2 2 2 31" xfId="7723" xr:uid="{ACEC7F04-1D6A-4A8F-AB37-ED3D91EFFBCC}"/>
    <cellStyle name="Normal 2 2 2 2 2 2 2 2 2 2 2 2 2 2 2 2 2 2 2 2 2 2 2 2 2 2 2 32" xfId="7724" xr:uid="{6EA2AE96-7C1E-4B29-86E0-A27940C70E2C}"/>
    <cellStyle name="Normal 2 2 2 2 2 2 2 2 2 2 2 2 2 2 2 2 2 2 2 2 2 2 2 2 2 2 2 33" xfId="7725" xr:uid="{F15E7140-2569-4AFA-B8B0-91554AD572A6}"/>
    <cellStyle name="Normal 2 2 2 2 2 2 2 2 2 2 2 2 2 2 2 2 2 2 2 2 2 2 2 2 2 2 2 34" xfId="7726" xr:uid="{A2FE75EB-3F1A-4D2A-9C9E-F95084A08767}"/>
    <cellStyle name="Normal 2 2 2 2 2 2 2 2 2 2 2 2 2 2 2 2 2 2 2 2 2 2 2 2 2 2 2 35" xfId="7727" xr:uid="{3FDEE6ED-F56A-4FAB-B3BB-3B0EC50050EF}"/>
    <cellStyle name="Normal 2 2 2 2 2 2 2 2 2 2 2 2 2 2 2 2 2 2 2 2 2 2 2 2 2 2 2 36" xfId="7728" xr:uid="{08D72D94-319B-430B-91B7-22C207DD288F}"/>
    <cellStyle name="Normal 2 2 2 2 2 2 2 2 2 2 2 2 2 2 2 2 2 2 2 2 2 2 2 2 2 2 2 37" xfId="7729" xr:uid="{3370DE5C-E75A-4DDF-AFB5-396829EFA5DB}"/>
    <cellStyle name="Normal 2 2 2 2 2 2 2 2 2 2 2 2 2 2 2 2 2 2 2 2 2 2 2 2 2 2 2 38" xfId="7730" xr:uid="{7AFC4214-8443-4A76-AA05-341C3044C7FD}"/>
    <cellStyle name="Normal 2 2 2 2 2 2 2 2 2 2 2 2 2 2 2 2 2 2 2 2 2 2 2 2 2 2 2 39" xfId="7731" xr:uid="{B375E2B3-CBD2-403B-AD9B-8E42245D0FCE}"/>
    <cellStyle name="Normal 2 2 2 2 2 2 2 2 2 2 2 2 2 2 2 2 2 2 2 2 2 2 2 2 2 2 2 4" xfId="7732" xr:uid="{DEE3D88B-096D-47D7-BCE5-F0F7DE11D50D}"/>
    <cellStyle name="Normal 2 2 2 2 2 2 2 2 2 2 2 2 2 2 2 2 2 2 2 2 2 2 2 2 2 2 2 40" xfId="7733" xr:uid="{377DE2E1-CF5F-4BAD-9F83-40DB72ED3015}"/>
    <cellStyle name="Normal 2 2 2 2 2 2 2 2 2 2 2 2 2 2 2 2 2 2 2 2 2 2 2 2 2 2 2 41" xfId="7734" xr:uid="{624F9D77-EEF2-43BB-945F-644DAEBA7FB0}"/>
    <cellStyle name="Normal 2 2 2 2 2 2 2 2 2 2 2 2 2 2 2 2 2 2 2 2 2 2 2 2 2 2 2 42" xfId="7735" xr:uid="{8C2DE523-9854-4F6E-B502-AF1A92094973}"/>
    <cellStyle name="Normal 2 2 2 2 2 2 2 2 2 2 2 2 2 2 2 2 2 2 2 2 2 2 2 2 2 2 2 43" xfId="7736" xr:uid="{0D6E443F-1E6E-4FE8-A954-A17A1AFD04B0}"/>
    <cellStyle name="Normal 2 2 2 2 2 2 2 2 2 2 2 2 2 2 2 2 2 2 2 2 2 2 2 2 2 2 2 43 2" xfId="7737" xr:uid="{BE79F96A-12FC-40C2-8B60-16DF572F5313}"/>
    <cellStyle name="Normal 2 2 2 2 2 2 2 2 2 2 2 2 2 2 2 2 2 2 2 2 2 2 2 2 2 2 2 43 3" xfId="7738" xr:uid="{A5A77916-8C01-4F12-AB28-71419E04900F}"/>
    <cellStyle name="Normal 2 2 2 2 2 2 2 2 2 2 2 2 2 2 2 2 2 2 2 2 2 2 2 2 2 2 2 43 4" xfId="7739" xr:uid="{393A10AC-E194-4709-8DAE-62322E124EFE}"/>
    <cellStyle name="Normal 2 2 2 2 2 2 2 2 2 2 2 2 2 2 2 2 2 2 2 2 2 2 2 2 2 2 2 44" xfId="7740" xr:uid="{2DAD202C-8309-4093-A12A-F56336D6188F}"/>
    <cellStyle name="Normal 2 2 2 2 2 2 2 2 2 2 2 2 2 2 2 2 2 2 2 2 2 2 2 2 2 2 2 45" xfId="7741" xr:uid="{DCD47ABD-0710-483B-99CD-52D01CE6EF64}"/>
    <cellStyle name="Normal 2 2 2 2 2 2 2 2 2 2 2 2 2 2 2 2 2 2 2 2 2 2 2 2 2 2 2 5" xfId="7742" xr:uid="{554A085A-19F5-4346-9A07-DB3E7A5609C1}"/>
    <cellStyle name="Normal 2 2 2 2 2 2 2 2 2 2 2 2 2 2 2 2 2 2 2 2 2 2 2 2 2 2 2 6" xfId="7743" xr:uid="{3A4FFC07-6CEB-4A82-9FBC-A04EB57B1766}"/>
    <cellStyle name="Normal 2 2 2 2 2 2 2 2 2 2 2 2 2 2 2 2 2 2 2 2 2 2 2 2 2 2 2 7" xfId="7744" xr:uid="{CF51E9C1-99D8-44B0-A5D8-E5690E347CBF}"/>
    <cellStyle name="Normal 2 2 2 2 2 2 2 2 2 2 2 2 2 2 2 2 2 2 2 2 2 2 2 2 2 2 2 8" xfId="7745" xr:uid="{9827DE99-8A56-4229-90B9-6936398F6276}"/>
    <cellStyle name="Normal 2 2 2 2 2 2 2 2 2 2 2 2 2 2 2 2 2 2 2 2 2 2 2 2 2 2 2 9" xfId="7746" xr:uid="{5F1C2D9E-90C1-4A02-92DC-3F6135E7F3DF}"/>
    <cellStyle name="Normal 2 2 2 2 2 2 2 2 2 2 2 2 2 2 2 2 2 2 2 2 2 2 2 2 2 2 20" xfId="7747" xr:uid="{243D684F-0B30-46C8-A98B-35621D704AD9}"/>
    <cellStyle name="Normal 2 2 2 2 2 2 2 2 2 2 2 2 2 2 2 2 2 2 2 2 2 2 2 2 2 2 21" xfId="7748" xr:uid="{28D6CF66-C9D2-49D2-AB76-3B5671B87399}"/>
    <cellStyle name="Normal 2 2 2 2 2 2 2 2 2 2 2 2 2 2 2 2 2 2 2 2 2 2 2 2 2 2 22" xfId="7749" xr:uid="{77F4DC0A-D7E9-4763-8F10-4E7F2C1F380C}"/>
    <cellStyle name="Normal 2 2 2 2 2 2 2 2 2 2 2 2 2 2 2 2 2 2 2 2 2 2 2 2 2 2 23" xfId="7750" xr:uid="{F47B845B-4F10-4161-9894-E958963F305E}"/>
    <cellStyle name="Normal 2 2 2 2 2 2 2 2 2 2 2 2 2 2 2 2 2 2 2 2 2 2 2 2 2 2 24" xfId="7751" xr:uid="{AEE6486D-436D-4E7D-AB56-B16F01EDF94C}"/>
    <cellStyle name="Normal 2 2 2 2 2 2 2 2 2 2 2 2 2 2 2 2 2 2 2 2 2 2 2 2 2 2 25" xfId="7752" xr:uid="{D2629E63-1916-4381-B42E-2707D3ED0BF7}"/>
    <cellStyle name="Normal 2 2 2 2 2 2 2 2 2 2 2 2 2 2 2 2 2 2 2 2 2 2 2 2 2 2 26" xfId="7753" xr:uid="{AF82A464-AE45-453E-ACF4-1BC62690A45D}"/>
    <cellStyle name="Normal 2 2 2 2 2 2 2 2 2 2 2 2 2 2 2 2 2 2 2 2 2 2 2 2 2 2 27" xfId="7754" xr:uid="{F4FC4BFC-CDEF-4B71-A763-2C4A038C8C4B}"/>
    <cellStyle name="Normal 2 2 2 2 2 2 2 2 2 2 2 2 2 2 2 2 2 2 2 2 2 2 2 2 2 2 28" xfId="7755" xr:uid="{913CDD8F-D944-4350-9BE9-B4AEF969E7AE}"/>
    <cellStyle name="Normal 2 2 2 2 2 2 2 2 2 2 2 2 2 2 2 2 2 2 2 2 2 2 2 2 2 2 29" xfId="7756" xr:uid="{C3ACB701-7728-427B-941C-C02DE806F1A4}"/>
    <cellStyle name="Normal 2 2 2 2 2 2 2 2 2 2 2 2 2 2 2 2 2 2 2 2 2 2 2 2 2 2 3" xfId="7757" xr:uid="{47E7E022-D37F-4FFE-97B8-6E6460ED9DD2}"/>
    <cellStyle name="Normal 2 2 2 2 2 2 2 2 2 2 2 2 2 2 2 2 2 2 2 2 2 2 2 2 2 2 30" xfId="7758" xr:uid="{433BFE48-81D2-48B6-B95B-00D070DE3EC6}"/>
    <cellStyle name="Normal 2 2 2 2 2 2 2 2 2 2 2 2 2 2 2 2 2 2 2 2 2 2 2 2 2 2 31" xfId="7759" xr:uid="{113C8C7A-4DF0-49D0-99EC-CDEA30379DD9}"/>
    <cellStyle name="Normal 2 2 2 2 2 2 2 2 2 2 2 2 2 2 2 2 2 2 2 2 2 2 2 2 2 2 32" xfId="7760" xr:uid="{1CF26FCD-54B3-4D03-9C9B-369077C6DC9D}"/>
    <cellStyle name="Normal 2 2 2 2 2 2 2 2 2 2 2 2 2 2 2 2 2 2 2 2 2 2 2 2 2 2 33" xfId="7761" xr:uid="{5B4D4E18-D489-4E40-9D1B-8462444883BB}"/>
    <cellStyle name="Normal 2 2 2 2 2 2 2 2 2 2 2 2 2 2 2 2 2 2 2 2 2 2 2 2 2 2 34" xfId="7762" xr:uid="{82637128-F0FD-42F5-8E22-079C33CD5CC2}"/>
    <cellStyle name="Normal 2 2 2 2 2 2 2 2 2 2 2 2 2 2 2 2 2 2 2 2 2 2 2 2 2 2 35" xfId="7763" xr:uid="{E037F911-35FA-42EA-8C64-E600C541DE1E}"/>
    <cellStyle name="Normal 2 2 2 2 2 2 2 2 2 2 2 2 2 2 2 2 2 2 2 2 2 2 2 2 2 2 36" xfId="7764" xr:uid="{F74996A5-7EC3-4F34-A95B-B1990750EEA7}"/>
    <cellStyle name="Normal 2 2 2 2 2 2 2 2 2 2 2 2 2 2 2 2 2 2 2 2 2 2 2 2 2 2 37" xfId="7765" xr:uid="{0F4A0BCD-6CAB-4273-9EB0-69F0DA2CE56C}"/>
    <cellStyle name="Normal 2 2 2 2 2 2 2 2 2 2 2 2 2 2 2 2 2 2 2 2 2 2 2 2 2 2 38" xfId="7766" xr:uid="{250C5490-CC70-49EE-8EA8-0D0B671BC998}"/>
    <cellStyle name="Normal 2 2 2 2 2 2 2 2 2 2 2 2 2 2 2 2 2 2 2 2 2 2 2 2 2 2 39" xfId="7767" xr:uid="{AF019AF0-579B-4043-B0A8-0F897C08F2BF}"/>
    <cellStyle name="Normal 2 2 2 2 2 2 2 2 2 2 2 2 2 2 2 2 2 2 2 2 2 2 2 2 2 2 4" xfId="7768" xr:uid="{C508E804-6B56-4A0E-BDF8-C9525D32437A}"/>
    <cellStyle name="Normal 2 2 2 2 2 2 2 2 2 2 2 2 2 2 2 2 2 2 2 2 2 2 2 2 2 2 40" xfId="7769" xr:uid="{D0BCC406-3467-4EF3-8C2B-1E61DCC9D251}"/>
    <cellStyle name="Normal 2 2 2 2 2 2 2 2 2 2 2 2 2 2 2 2 2 2 2 2 2 2 2 2 2 2 41" xfId="7770" xr:uid="{6990BD66-59E8-4F0A-9A61-8A8DA8AAE860}"/>
    <cellStyle name="Normal 2 2 2 2 2 2 2 2 2 2 2 2 2 2 2 2 2 2 2 2 2 2 2 2 2 2 42" xfId="7771" xr:uid="{C8AACEA6-3169-404D-9CFF-5BF3DE335E26}"/>
    <cellStyle name="Normal 2 2 2 2 2 2 2 2 2 2 2 2 2 2 2 2 2 2 2 2 2 2 2 2 2 2 43" xfId="7772" xr:uid="{C017DA50-C76F-498F-877A-C060CD5C7519}"/>
    <cellStyle name="Normal 2 2 2 2 2 2 2 2 2 2 2 2 2 2 2 2 2 2 2 2 2 2 2 2 2 2 44" xfId="7773" xr:uid="{0A6B43B6-F852-423A-826A-4FF7A3D2045C}"/>
    <cellStyle name="Normal 2 2 2 2 2 2 2 2 2 2 2 2 2 2 2 2 2 2 2 2 2 2 2 2 2 2 45" xfId="7774" xr:uid="{97A91C3B-1C65-4D14-9A12-F40197332923}"/>
    <cellStyle name="Normal 2 2 2 2 2 2 2 2 2 2 2 2 2 2 2 2 2 2 2 2 2 2 2 2 2 2 46" xfId="7775" xr:uid="{E4C6C6EA-3770-4AB5-9356-C192B242D378}"/>
    <cellStyle name="Normal 2 2 2 2 2 2 2 2 2 2 2 2 2 2 2 2 2 2 2 2 2 2 2 2 2 2 47" xfId="7776" xr:uid="{EA393BD6-3D9C-4729-A647-E8AE9EFDB08C}"/>
    <cellStyle name="Normal 2 2 2 2 2 2 2 2 2 2 2 2 2 2 2 2 2 2 2 2 2 2 2 2 2 2 48" xfId="7777" xr:uid="{7E6B78B7-C9FE-4177-A715-62DC4FE5C53C}"/>
    <cellStyle name="Normal 2 2 2 2 2 2 2 2 2 2 2 2 2 2 2 2 2 2 2 2 2 2 2 2 2 2 49" xfId="7778" xr:uid="{46C05034-2EF8-44CC-9174-58A2E1821DB9}"/>
    <cellStyle name="Normal 2 2 2 2 2 2 2 2 2 2 2 2 2 2 2 2 2 2 2 2 2 2 2 2 2 2 49 2" xfId="7779" xr:uid="{B7B43602-153C-4A23-819A-6E3C9CCD6613}"/>
    <cellStyle name="Normal 2 2 2 2 2 2 2 2 2 2 2 2 2 2 2 2 2 2 2 2 2 2 2 2 2 2 49 3" xfId="7780" xr:uid="{FB7B7177-27CC-4C7C-B56A-A96F13070478}"/>
    <cellStyle name="Normal 2 2 2 2 2 2 2 2 2 2 2 2 2 2 2 2 2 2 2 2 2 2 2 2 2 2 49 4" xfId="7781" xr:uid="{0E5FE201-1034-4EA9-88EC-42BB912DCC9A}"/>
    <cellStyle name="Normal 2 2 2 2 2 2 2 2 2 2 2 2 2 2 2 2 2 2 2 2 2 2 2 2 2 2 5" xfId="7782" xr:uid="{59ED26E4-3D4C-44F1-815E-F0AABB9674C2}"/>
    <cellStyle name="Normal 2 2 2 2 2 2 2 2 2 2 2 2 2 2 2 2 2 2 2 2 2 2 2 2 2 2 50" xfId="7783" xr:uid="{B3873793-09AD-461E-8498-C23588A75B3A}"/>
    <cellStyle name="Normal 2 2 2 2 2 2 2 2 2 2 2 2 2 2 2 2 2 2 2 2 2 2 2 2 2 2 51" xfId="7784" xr:uid="{0C39BCBE-C1CA-4061-A3DF-41D8B9312830}"/>
    <cellStyle name="Normal 2 2 2 2 2 2 2 2 2 2 2 2 2 2 2 2 2 2 2 2 2 2 2 2 2 2 6" xfId="7785" xr:uid="{8C2F37A1-3A03-4332-A21B-9D9BA411C3EF}"/>
    <cellStyle name="Normal 2 2 2 2 2 2 2 2 2 2 2 2 2 2 2 2 2 2 2 2 2 2 2 2 2 2 7" xfId="7786" xr:uid="{985D50BB-D442-4BA0-A963-F9CB3DF639B5}"/>
    <cellStyle name="Normal 2 2 2 2 2 2 2 2 2 2 2 2 2 2 2 2 2 2 2 2 2 2 2 2 2 2 8" xfId="7787" xr:uid="{1A987B8C-AFDD-40A4-8AC6-F0C6F90664A7}"/>
    <cellStyle name="Normal 2 2 2 2 2 2 2 2 2 2 2 2 2 2 2 2 2 2 2 2 2 2 2 2 2 2 9" xfId="7788" xr:uid="{3841787D-6331-4BE8-9F50-3FBCF0DACF16}"/>
    <cellStyle name="Normal 2 2 2 2 2 2 2 2 2 2 2 2 2 2 2 2 2 2 2 2 2 2 2 2 2 20" xfId="7789" xr:uid="{55A5B315-8682-4D3A-8D84-DA735EB72885}"/>
    <cellStyle name="Normal 2 2 2 2 2 2 2 2 2 2 2 2 2 2 2 2 2 2 2 2 2 2 2 2 2 21" xfId="7790" xr:uid="{2C797A64-66C0-419F-A6A8-AA53D11FA890}"/>
    <cellStyle name="Normal 2 2 2 2 2 2 2 2 2 2 2 2 2 2 2 2 2 2 2 2 2 2 2 2 2 22" xfId="7791" xr:uid="{24606025-BD33-4F50-8D7F-10A8F776C4C1}"/>
    <cellStyle name="Normal 2 2 2 2 2 2 2 2 2 2 2 2 2 2 2 2 2 2 2 2 2 2 2 2 2 23" xfId="7792" xr:uid="{FD9BDA54-FF21-4095-8793-368FD1985EF9}"/>
    <cellStyle name="Normal 2 2 2 2 2 2 2 2 2 2 2 2 2 2 2 2 2 2 2 2 2 2 2 2 2 24" xfId="7793" xr:uid="{BF4A0622-74A3-49CE-983E-C4ADD167CEE5}"/>
    <cellStyle name="Normal 2 2 2 2 2 2 2 2 2 2 2 2 2 2 2 2 2 2 2 2 2 2 2 2 2 25" xfId="7794" xr:uid="{A53FDB3C-4699-4D00-BDCA-BB1F3F77EC9F}"/>
    <cellStyle name="Normal 2 2 2 2 2 2 2 2 2 2 2 2 2 2 2 2 2 2 2 2 2 2 2 2 2 26" xfId="7795" xr:uid="{F698AF74-A011-43EC-ABBD-3EA26B63D945}"/>
    <cellStyle name="Normal 2 2 2 2 2 2 2 2 2 2 2 2 2 2 2 2 2 2 2 2 2 2 2 2 2 27" xfId="7796" xr:uid="{73B58B48-39A4-4EF5-BE35-0217144ED087}"/>
    <cellStyle name="Normal 2 2 2 2 2 2 2 2 2 2 2 2 2 2 2 2 2 2 2 2 2 2 2 2 2 28" xfId="7797" xr:uid="{3E0F7006-2954-4B08-84C2-22B11FB7F344}"/>
    <cellStyle name="Normal 2 2 2 2 2 2 2 2 2 2 2 2 2 2 2 2 2 2 2 2 2 2 2 2 2 29" xfId="7798" xr:uid="{ABF5064C-D3A3-4673-8580-8517D0050483}"/>
    <cellStyle name="Normal 2 2 2 2 2 2 2 2 2 2 2 2 2 2 2 2 2 2 2 2 2 2 2 2 2 3" xfId="7799" xr:uid="{AF6C9F4F-DD88-4F1F-B45D-53A5D75E303B}"/>
    <cellStyle name="Normal 2 2 2 2 2 2 2 2 2 2 2 2 2 2 2 2 2 2 2 2 2 2 2 2 2 30" xfId="7800" xr:uid="{0A39D0FC-7610-461A-A2C4-B0ACF8B5EE14}"/>
    <cellStyle name="Normal 2 2 2 2 2 2 2 2 2 2 2 2 2 2 2 2 2 2 2 2 2 2 2 2 2 31" xfId="7801" xr:uid="{75F46680-0804-497F-93CF-8E2EDE1B54DE}"/>
    <cellStyle name="Normal 2 2 2 2 2 2 2 2 2 2 2 2 2 2 2 2 2 2 2 2 2 2 2 2 2 32" xfId="7802" xr:uid="{2B072BB1-37EF-4093-B2CC-10DCDD9BC7B1}"/>
    <cellStyle name="Normal 2 2 2 2 2 2 2 2 2 2 2 2 2 2 2 2 2 2 2 2 2 2 2 2 2 33" xfId="7803" xr:uid="{7F3AEDD6-4B4B-4D51-987F-84F07360296D}"/>
    <cellStyle name="Normal 2 2 2 2 2 2 2 2 2 2 2 2 2 2 2 2 2 2 2 2 2 2 2 2 2 34" xfId="7804" xr:uid="{BCB46F49-2BD6-4682-884D-1985A56128C9}"/>
    <cellStyle name="Normal 2 2 2 2 2 2 2 2 2 2 2 2 2 2 2 2 2 2 2 2 2 2 2 2 2 35" xfId="7805" xr:uid="{93DDAB65-D8BF-4455-8EE2-F686D1D59746}"/>
    <cellStyle name="Normal 2 2 2 2 2 2 2 2 2 2 2 2 2 2 2 2 2 2 2 2 2 2 2 2 2 36" xfId="7806" xr:uid="{F8B0509B-9744-47A2-9C56-CF66906CA620}"/>
    <cellStyle name="Normal 2 2 2 2 2 2 2 2 2 2 2 2 2 2 2 2 2 2 2 2 2 2 2 2 2 37" xfId="7807" xr:uid="{9DF3CC56-AED2-4D8C-BA9B-7524981C6266}"/>
    <cellStyle name="Normal 2 2 2 2 2 2 2 2 2 2 2 2 2 2 2 2 2 2 2 2 2 2 2 2 2 38" xfId="7808" xr:uid="{DFC3A87D-C08D-4618-9A57-96744CA41E8F}"/>
    <cellStyle name="Normal 2 2 2 2 2 2 2 2 2 2 2 2 2 2 2 2 2 2 2 2 2 2 2 2 2 39" xfId="7809" xr:uid="{6E027107-C879-450B-984E-68C69A126E58}"/>
    <cellStyle name="Normal 2 2 2 2 2 2 2 2 2 2 2 2 2 2 2 2 2 2 2 2 2 2 2 2 2 4" xfId="7810" xr:uid="{4673ED79-80D9-4851-83C2-F5F9D486BA88}"/>
    <cellStyle name="Normal 2 2 2 2 2 2 2 2 2 2 2 2 2 2 2 2 2 2 2 2 2 2 2 2 2 40" xfId="7811" xr:uid="{4EDAE1A5-2700-4D3A-8D3D-0DE326906988}"/>
    <cellStyle name="Normal 2 2 2 2 2 2 2 2 2 2 2 2 2 2 2 2 2 2 2 2 2 2 2 2 2 41" xfId="7812" xr:uid="{17B64815-679B-4061-965E-4BDBF23041AE}"/>
    <cellStyle name="Normal 2 2 2 2 2 2 2 2 2 2 2 2 2 2 2 2 2 2 2 2 2 2 2 2 2 42" xfId="7813" xr:uid="{695758E7-98A2-42F7-8731-00C067BFAEC5}"/>
    <cellStyle name="Normal 2 2 2 2 2 2 2 2 2 2 2 2 2 2 2 2 2 2 2 2 2 2 2 2 2 43" xfId="7814" xr:uid="{B6EF8989-6BDB-430B-8096-8F1CF44B5651}"/>
    <cellStyle name="Normal 2 2 2 2 2 2 2 2 2 2 2 2 2 2 2 2 2 2 2 2 2 2 2 2 2 44" xfId="7815" xr:uid="{2ED3C0D4-6385-4C61-8C02-C7A624521A2B}"/>
    <cellStyle name="Normal 2 2 2 2 2 2 2 2 2 2 2 2 2 2 2 2 2 2 2 2 2 2 2 2 2 45" xfId="7816" xr:uid="{A4573800-B08B-403B-956D-9C55DA73BF95}"/>
    <cellStyle name="Normal 2 2 2 2 2 2 2 2 2 2 2 2 2 2 2 2 2 2 2 2 2 2 2 2 2 46" xfId="7817" xr:uid="{E9B61DD7-C704-40F0-A99A-AE2B909171FA}"/>
    <cellStyle name="Normal 2 2 2 2 2 2 2 2 2 2 2 2 2 2 2 2 2 2 2 2 2 2 2 2 2 47" xfId="7818" xr:uid="{7FC186A1-57D9-4A42-B383-F6A94874ECA9}"/>
    <cellStyle name="Normal 2 2 2 2 2 2 2 2 2 2 2 2 2 2 2 2 2 2 2 2 2 2 2 2 2 48" xfId="7819" xr:uid="{43A2D03E-39A3-4E91-9130-08FE13FBA50F}"/>
    <cellStyle name="Normal 2 2 2 2 2 2 2 2 2 2 2 2 2 2 2 2 2 2 2 2 2 2 2 2 2 49" xfId="7820" xr:uid="{AF064A0B-F159-4556-B4D9-68974D3E5D22}"/>
    <cellStyle name="Normal 2 2 2 2 2 2 2 2 2 2 2 2 2 2 2 2 2 2 2 2 2 2 2 2 2 5" xfId="7821" xr:uid="{E2F44E15-B74E-4776-85CA-E5185C635A86}"/>
    <cellStyle name="Normal 2 2 2 2 2 2 2 2 2 2 2 2 2 2 2 2 2 2 2 2 2 2 2 2 2 50" xfId="7822" xr:uid="{5E10A77F-7883-4F05-A62A-49804C48C065}"/>
    <cellStyle name="Normal 2 2 2 2 2 2 2 2 2 2 2 2 2 2 2 2 2 2 2 2 2 2 2 2 2 50 2" xfId="7823" xr:uid="{768F86C0-A0B3-4FF6-8E83-97D6966EA0F4}"/>
    <cellStyle name="Normal 2 2 2 2 2 2 2 2 2 2 2 2 2 2 2 2 2 2 2 2 2 2 2 2 2 50 3" xfId="7824" xr:uid="{4D11F927-BD9B-40C6-B8C3-8502B0C04FB5}"/>
    <cellStyle name="Normal 2 2 2 2 2 2 2 2 2 2 2 2 2 2 2 2 2 2 2 2 2 2 2 2 2 50 4" xfId="7825" xr:uid="{C531E86F-2632-40C1-AE9A-7A36837075D4}"/>
    <cellStyle name="Normal 2 2 2 2 2 2 2 2 2 2 2 2 2 2 2 2 2 2 2 2 2 2 2 2 2 51" xfId="7826" xr:uid="{E0D4F5BF-8968-411C-9C4E-0882F3060969}"/>
    <cellStyle name="Normal 2 2 2 2 2 2 2 2 2 2 2 2 2 2 2 2 2 2 2 2 2 2 2 2 2 52" xfId="7827" xr:uid="{992890BA-E103-416D-94D5-0E67822D88C4}"/>
    <cellStyle name="Normal 2 2 2 2 2 2 2 2 2 2 2 2 2 2 2 2 2 2 2 2 2 2 2 2 2 6" xfId="7828" xr:uid="{83171435-8819-45BA-A832-5102C6D1EDDF}"/>
    <cellStyle name="Normal 2 2 2 2 2 2 2 2 2 2 2 2 2 2 2 2 2 2 2 2 2 2 2 2 2 7" xfId="7829" xr:uid="{50B0613E-A9AA-454E-AAFA-BC7D14968383}"/>
    <cellStyle name="Normal 2 2 2 2 2 2 2 2 2 2 2 2 2 2 2 2 2 2 2 2 2 2 2 2 2 8" xfId="7830" xr:uid="{E19C8BDF-36FD-4F24-96DC-D24D6F93A79F}"/>
    <cellStyle name="Normal 2 2 2 2 2 2 2 2 2 2 2 2 2 2 2 2 2 2 2 2 2 2 2 2 2 9" xfId="7831" xr:uid="{B09373F2-83CF-43F5-964C-F4D7CF0D4409}"/>
    <cellStyle name="Normal 2 2 2 2 2 2 2 2 2 2 2 2 2 2 2 2 2 2 2 2 2 2 2 2 20" xfId="7832" xr:uid="{EBCC4939-82DB-4581-92C8-9BCAF544C80D}"/>
    <cellStyle name="Normal 2 2 2 2 2 2 2 2 2 2 2 2 2 2 2 2 2 2 2 2 2 2 2 2 21" xfId="7833" xr:uid="{9639D2F0-6039-48F4-BFA6-29B12E94089F}"/>
    <cellStyle name="Normal 2 2 2 2 2 2 2 2 2 2 2 2 2 2 2 2 2 2 2 2 2 2 2 2 22" xfId="7834" xr:uid="{99499C52-514F-4637-9E5E-EE91FDD8BCB9}"/>
    <cellStyle name="Normal 2 2 2 2 2 2 2 2 2 2 2 2 2 2 2 2 2 2 2 2 2 2 2 2 23" xfId="7835" xr:uid="{8DEA2135-6B56-46B2-BA5A-099F0F2693B5}"/>
    <cellStyle name="Normal 2 2 2 2 2 2 2 2 2 2 2 2 2 2 2 2 2 2 2 2 2 2 2 2 24" xfId="7836" xr:uid="{638D90A7-93A9-46FC-8469-7B0B03033DD9}"/>
    <cellStyle name="Normal 2 2 2 2 2 2 2 2 2 2 2 2 2 2 2 2 2 2 2 2 2 2 2 2 25" xfId="7837" xr:uid="{612E9AA5-9A9E-4036-A0A8-2FF980876B88}"/>
    <cellStyle name="Normal 2 2 2 2 2 2 2 2 2 2 2 2 2 2 2 2 2 2 2 2 2 2 2 2 26" xfId="7838" xr:uid="{D3D71D06-D41F-4680-A84E-E4841A2818E8}"/>
    <cellStyle name="Normal 2 2 2 2 2 2 2 2 2 2 2 2 2 2 2 2 2 2 2 2 2 2 2 2 27" xfId="7839" xr:uid="{9255A754-6566-4B56-8941-551926696EE6}"/>
    <cellStyle name="Normal 2 2 2 2 2 2 2 2 2 2 2 2 2 2 2 2 2 2 2 2 2 2 2 2 28" xfId="7840" xr:uid="{8F155C99-BDA3-4255-986E-C74BAC0FBACD}"/>
    <cellStyle name="Normal 2 2 2 2 2 2 2 2 2 2 2 2 2 2 2 2 2 2 2 2 2 2 2 2 29" xfId="7841" xr:uid="{B77DED59-57FA-420A-A125-05674D4A5E86}"/>
    <cellStyle name="Normal 2 2 2 2 2 2 2 2 2 2 2 2 2 2 2 2 2 2 2 2 2 2 2 2 3" xfId="7842" xr:uid="{5FFAEE1C-30AF-4ACC-8CE5-5EA9580EFAD3}"/>
    <cellStyle name="Normal 2 2 2 2 2 2 2 2 2 2 2 2 2 2 2 2 2 2 2 2 2 2 2 2 30" xfId="7843" xr:uid="{AA5C982A-57B0-4489-958D-241ECE416A72}"/>
    <cellStyle name="Normal 2 2 2 2 2 2 2 2 2 2 2 2 2 2 2 2 2 2 2 2 2 2 2 2 31" xfId="7844" xr:uid="{C2648E7C-1AF9-4482-9C76-D15FB57E7A4D}"/>
    <cellStyle name="Normal 2 2 2 2 2 2 2 2 2 2 2 2 2 2 2 2 2 2 2 2 2 2 2 2 32" xfId="7845" xr:uid="{83FB32B5-E9CB-44D2-99D8-C73A29B94D41}"/>
    <cellStyle name="Normal 2 2 2 2 2 2 2 2 2 2 2 2 2 2 2 2 2 2 2 2 2 2 2 2 33" xfId="7846" xr:uid="{48A6E4FB-E377-4554-BFFF-9D047F0E0E72}"/>
    <cellStyle name="Normal 2 2 2 2 2 2 2 2 2 2 2 2 2 2 2 2 2 2 2 2 2 2 2 2 34" xfId="7847" xr:uid="{A875A091-CFA6-4033-B402-398A6E24D4AB}"/>
    <cellStyle name="Normal 2 2 2 2 2 2 2 2 2 2 2 2 2 2 2 2 2 2 2 2 2 2 2 2 35" xfId="7848" xr:uid="{C5F99C03-494A-40D7-9E07-B30E98DF869D}"/>
    <cellStyle name="Normal 2 2 2 2 2 2 2 2 2 2 2 2 2 2 2 2 2 2 2 2 2 2 2 2 36" xfId="7849" xr:uid="{BCC7CAAC-0BE7-4D2F-B484-771EFE5BF1B7}"/>
    <cellStyle name="Normal 2 2 2 2 2 2 2 2 2 2 2 2 2 2 2 2 2 2 2 2 2 2 2 2 37" xfId="7850" xr:uid="{CB048FFB-A7B7-4908-BB3F-3CFB68C04B34}"/>
    <cellStyle name="Normal 2 2 2 2 2 2 2 2 2 2 2 2 2 2 2 2 2 2 2 2 2 2 2 2 38" xfId="7851" xr:uid="{C30C7204-2CFD-48AD-B67E-7DBB2AA12913}"/>
    <cellStyle name="Normal 2 2 2 2 2 2 2 2 2 2 2 2 2 2 2 2 2 2 2 2 2 2 2 2 39" xfId="7852" xr:uid="{A54DC107-7DD6-4C8C-AAEA-CB2C2D592042}"/>
    <cellStyle name="Normal 2 2 2 2 2 2 2 2 2 2 2 2 2 2 2 2 2 2 2 2 2 2 2 2 4" xfId="7853" xr:uid="{D7466138-A560-47D6-B016-3B30386A52D9}"/>
    <cellStyle name="Normal 2 2 2 2 2 2 2 2 2 2 2 2 2 2 2 2 2 2 2 2 2 2 2 2 40" xfId="7854" xr:uid="{90B070F9-98ED-4700-B149-4A59C3C230C8}"/>
    <cellStyle name="Normal 2 2 2 2 2 2 2 2 2 2 2 2 2 2 2 2 2 2 2 2 2 2 2 2 41" xfId="7855" xr:uid="{439ABA39-BFBD-4C29-8012-20966D766608}"/>
    <cellStyle name="Normal 2 2 2 2 2 2 2 2 2 2 2 2 2 2 2 2 2 2 2 2 2 2 2 2 42" xfId="7856" xr:uid="{7E661F6D-4C6D-4232-9E7A-D3C39F08F73F}"/>
    <cellStyle name="Normal 2 2 2 2 2 2 2 2 2 2 2 2 2 2 2 2 2 2 2 2 2 2 2 2 43" xfId="7857" xr:uid="{DEDF7406-9DF9-484D-B188-ACCF0286D8F4}"/>
    <cellStyle name="Normal 2 2 2 2 2 2 2 2 2 2 2 2 2 2 2 2 2 2 2 2 2 2 2 2 44" xfId="7858" xr:uid="{D890DF57-B7F3-4083-94D5-18B6C02CA40D}"/>
    <cellStyle name="Normal 2 2 2 2 2 2 2 2 2 2 2 2 2 2 2 2 2 2 2 2 2 2 2 2 45" xfId="7859" xr:uid="{0E62CB87-DEE4-4EFF-B0B7-B094FE46D8DF}"/>
    <cellStyle name="Normal 2 2 2 2 2 2 2 2 2 2 2 2 2 2 2 2 2 2 2 2 2 2 2 2 46" xfId="7860" xr:uid="{F1854934-533F-4C3D-9A55-0A7992559248}"/>
    <cellStyle name="Normal 2 2 2 2 2 2 2 2 2 2 2 2 2 2 2 2 2 2 2 2 2 2 2 2 47" xfId="7861" xr:uid="{2344CE90-1B72-4453-BA77-0C2611FE1724}"/>
    <cellStyle name="Normal 2 2 2 2 2 2 2 2 2 2 2 2 2 2 2 2 2 2 2 2 2 2 2 2 48" xfId="7862" xr:uid="{044DE2C5-E16F-4A45-A4AC-D46B7BDE4583}"/>
    <cellStyle name="Normal 2 2 2 2 2 2 2 2 2 2 2 2 2 2 2 2 2 2 2 2 2 2 2 2 49" xfId="7863" xr:uid="{EDE69CFE-43B8-4D34-89EB-FB20EF8530C3}"/>
    <cellStyle name="Normal 2 2 2 2 2 2 2 2 2 2 2 2 2 2 2 2 2 2 2 2 2 2 2 2 5" xfId="7864" xr:uid="{37C33EBB-60D9-483C-B0EF-44E9E6AE16B2}"/>
    <cellStyle name="Normal 2 2 2 2 2 2 2 2 2 2 2 2 2 2 2 2 2 2 2 2 2 2 2 2 50" xfId="7865" xr:uid="{985C801C-B4B7-421C-A3DC-DC5807911B42}"/>
    <cellStyle name="Normal 2 2 2 2 2 2 2 2 2 2 2 2 2 2 2 2 2 2 2 2 2 2 2 2 51" xfId="7866" xr:uid="{2A3AB214-0027-4546-9BB3-AA94D640BF06}"/>
    <cellStyle name="Normal 2 2 2 2 2 2 2 2 2 2 2 2 2 2 2 2 2 2 2 2 2 2 2 2 52" xfId="7867" xr:uid="{3E9BD3FC-222A-433E-B153-2DA1936491BD}"/>
    <cellStyle name="Normal 2 2 2 2 2 2 2 2 2 2 2 2 2 2 2 2 2 2 2 2 2 2 2 2 53" xfId="7868" xr:uid="{0F9C5F4F-149A-4F62-8D65-3CE314A20BFE}"/>
    <cellStyle name="Normal 2 2 2 2 2 2 2 2 2 2 2 2 2 2 2 2 2 2 2 2 2 2 2 2 54" xfId="7869" xr:uid="{83DA2546-D427-4909-A3C8-7AA73BBC32B9}"/>
    <cellStyle name="Normal 2 2 2 2 2 2 2 2 2 2 2 2 2 2 2 2 2 2 2 2 2 2 2 2 55" xfId="7870" xr:uid="{3623BD9E-ACA1-469E-9D68-B310881A4397}"/>
    <cellStyle name="Normal 2 2 2 2 2 2 2 2 2 2 2 2 2 2 2 2 2 2 2 2 2 2 2 2 56" xfId="7871" xr:uid="{1D84BEEC-4192-425B-9358-7D902D457512}"/>
    <cellStyle name="Normal 2 2 2 2 2 2 2 2 2 2 2 2 2 2 2 2 2 2 2 2 2 2 2 2 57" xfId="7872" xr:uid="{B2A0CA18-C9C4-4A99-ABD5-FFC2432D8E07}"/>
    <cellStyle name="Normal 2 2 2 2 2 2 2 2 2 2 2 2 2 2 2 2 2 2 2 2 2 2 2 2 58" xfId="7873" xr:uid="{F1CE0460-6C06-4569-A0C2-E08E3B960DDB}"/>
    <cellStyle name="Normal 2 2 2 2 2 2 2 2 2 2 2 2 2 2 2 2 2 2 2 2 2 2 2 2 59" xfId="7874" xr:uid="{9F1ADF4A-7689-46C4-B4AA-3C731D13869B}"/>
    <cellStyle name="Normal 2 2 2 2 2 2 2 2 2 2 2 2 2 2 2 2 2 2 2 2 2 2 2 2 6" xfId="7875" xr:uid="{E40E210B-B6F3-46CE-979A-91E8144085B6}"/>
    <cellStyle name="Normal 2 2 2 2 2 2 2 2 2 2 2 2 2 2 2 2 2 2 2 2 2 2 2 2 60" xfId="7876" xr:uid="{6B54247D-71E4-499F-B75E-41773D03FA32}"/>
    <cellStyle name="Normal 2 2 2 2 2 2 2 2 2 2 2 2 2 2 2 2 2 2 2 2 2 2 2 2 60 2" xfId="7877" xr:uid="{2B4FC4A1-20C3-4843-87EB-563DF17C8277}"/>
    <cellStyle name="Normal 2 2 2 2 2 2 2 2 2 2 2 2 2 2 2 2 2 2 2 2 2 2 2 2 60 3" xfId="7878" xr:uid="{F7FEADFC-A858-48DB-A7A1-1DF587C6B8D3}"/>
    <cellStyle name="Normal 2 2 2 2 2 2 2 2 2 2 2 2 2 2 2 2 2 2 2 2 2 2 2 2 60 4" xfId="7879" xr:uid="{1B7FC438-25DA-4103-AB65-134BF229177E}"/>
    <cellStyle name="Normal 2 2 2 2 2 2 2 2 2 2 2 2 2 2 2 2 2 2 2 2 2 2 2 2 61" xfId="7880" xr:uid="{C73346CA-1091-43E3-A512-190436CC220C}"/>
    <cellStyle name="Normal 2 2 2 2 2 2 2 2 2 2 2 2 2 2 2 2 2 2 2 2 2 2 2 2 62" xfId="7881" xr:uid="{FBA0DF51-15AA-4D87-92B8-B2B788E5B578}"/>
    <cellStyle name="Normal 2 2 2 2 2 2 2 2 2 2 2 2 2 2 2 2 2 2 2 2 2 2 2 2 7" xfId="7882" xr:uid="{A089F527-AEE6-4399-B3FF-33A4DB56CDA1}"/>
    <cellStyle name="Normal 2 2 2 2 2 2 2 2 2 2 2 2 2 2 2 2 2 2 2 2 2 2 2 2 8" xfId="7883" xr:uid="{436460F0-362F-497B-84D2-EFBEEBD272CE}"/>
    <cellStyle name="Normal 2 2 2 2 2 2 2 2 2 2 2 2 2 2 2 2 2 2 2 2 2 2 2 2 9" xfId="7884" xr:uid="{1A17771E-29BB-47D1-9BD4-A0140A4AE8FC}"/>
    <cellStyle name="Normal 2 2 2 2 2 2 2 2 2 2 2 2 2 2 2 2 2 2 2 2 2 2 2 20" xfId="7885" xr:uid="{9C06CF48-60BF-4E95-AE3D-68658458ACE2}"/>
    <cellStyle name="Normal 2 2 2 2 2 2 2 2 2 2 2 2 2 2 2 2 2 2 2 2 2 2 2 21" xfId="7886" xr:uid="{9717BC98-61E4-4565-9DD5-C5D27946E600}"/>
    <cellStyle name="Normal 2 2 2 2 2 2 2 2 2 2 2 2 2 2 2 2 2 2 2 2 2 2 2 22" xfId="7887" xr:uid="{CFDE7E3C-8525-4C69-8FD6-752C4301E684}"/>
    <cellStyle name="Normal 2 2 2 2 2 2 2 2 2 2 2 2 2 2 2 2 2 2 2 2 2 2 2 23" xfId="7888" xr:uid="{80BCC910-B2ED-48F7-B21D-7711BAB3B280}"/>
    <cellStyle name="Normal 2 2 2 2 2 2 2 2 2 2 2 2 2 2 2 2 2 2 2 2 2 2 2 24" xfId="7889" xr:uid="{8FCCF8A7-81F7-4AA8-9129-590D7A2E62B2}"/>
    <cellStyle name="Normal 2 2 2 2 2 2 2 2 2 2 2 2 2 2 2 2 2 2 2 2 2 2 2 25" xfId="7890" xr:uid="{64AD295C-4C98-44B1-AC65-2A90F6608A37}"/>
    <cellStyle name="Normal 2 2 2 2 2 2 2 2 2 2 2 2 2 2 2 2 2 2 2 2 2 2 2 26" xfId="7891" xr:uid="{14A9A11D-88B3-45F9-B861-FAFE418DC6EF}"/>
    <cellStyle name="Normal 2 2 2 2 2 2 2 2 2 2 2 2 2 2 2 2 2 2 2 2 2 2 2 27" xfId="7892" xr:uid="{87C9B825-1F06-4444-B93D-E7FBB210F4CC}"/>
    <cellStyle name="Normal 2 2 2 2 2 2 2 2 2 2 2 2 2 2 2 2 2 2 2 2 2 2 2 28" xfId="7893" xr:uid="{04569243-F28C-4942-927A-DC7443AE382A}"/>
    <cellStyle name="Normal 2 2 2 2 2 2 2 2 2 2 2 2 2 2 2 2 2 2 2 2 2 2 2 29" xfId="7894" xr:uid="{43AD5EDE-4A02-40DA-A400-8324F7DB9E02}"/>
    <cellStyle name="Normal 2 2 2 2 2 2 2 2 2 2 2 2 2 2 2 2 2 2 2 2 2 2 2 3" xfId="7895" xr:uid="{AD95B644-8D2F-4300-AE69-183FBBB62BE9}"/>
    <cellStyle name="Normal 2 2 2 2 2 2 2 2 2 2 2 2 2 2 2 2 2 2 2 2 2 2 2 30" xfId="7896" xr:uid="{9B96D686-85B4-4E0D-AFEC-06CD3A2A05DA}"/>
    <cellStyle name="Normal 2 2 2 2 2 2 2 2 2 2 2 2 2 2 2 2 2 2 2 2 2 2 2 31" xfId="7897" xr:uid="{572D3C0A-D5DB-4194-81FF-5E6549EDA5C9}"/>
    <cellStyle name="Normal 2 2 2 2 2 2 2 2 2 2 2 2 2 2 2 2 2 2 2 2 2 2 2 32" xfId="7898" xr:uid="{6D8ED9F7-EB2C-4DC3-993D-7CB4B947E2E1}"/>
    <cellStyle name="Normal 2 2 2 2 2 2 2 2 2 2 2 2 2 2 2 2 2 2 2 2 2 2 2 33" xfId="7899" xr:uid="{AA47CB6B-1B1C-4E2D-81DB-BAEAD7828AC2}"/>
    <cellStyle name="Normal 2 2 2 2 2 2 2 2 2 2 2 2 2 2 2 2 2 2 2 2 2 2 2 34" xfId="7900" xr:uid="{73C17296-599B-49EB-9F13-964723437C28}"/>
    <cellStyle name="Normal 2 2 2 2 2 2 2 2 2 2 2 2 2 2 2 2 2 2 2 2 2 2 2 35" xfId="7901" xr:uid="{5F0F795D-966A-4169-B1F5-C3C8B751E06E}"/>
    <cellStyle name="Normal 2 2 2 2 2 2 2 2 2 2 2 2 2 2 2 2 2 2 2 2 2 2 2 36" xfId="7902" xr:uid="{A2E05BD7-8957-416E-9258-EA90A4276EE1}"/>
    <cellStyle name="Normal 2 2 2 2 2 2 2 2 2 2 2 2 2 2 2 2 2 2 2 2 2 2 2 37" xfId="7903" xr:uid="{2DA13A6C-BFF3-4AE0-90D5-F9E977FB8BB2}"/>
    <cellStyle name="Normal 2 2 2 2 2 2 2 2 2 2 2 2 2 2 2 2 2 2 2 2 2 2 2 38" xfId="7904" xr:uid="{5878DE63-69D2-4BA6-B0DA-226CDFC3451B}"/>
    <cellStyle name="Normal 2 2 2 2 2 2 2 2 2 2 2 2 2 2 2 2 2 2 2 2 2 2 2 39" xfId="7905" xr:uid="{E3D88B19-9AB2-4427-A0F1-8A677AE904B6}"/>
    <cellStyle name="Normal 2 2 2 2 2 2 2 2 2 2 2 2 2 2 2 2 2 2 2 2 2 2 2 4" xfId="7906" xr:uid="{6F6EF039-7DD2-4CB2-9CF1-1E96FE795986}"/>
    <cellStyle name="Normal 2 2 2 2 2 2 2 2 2 2 2 2 2 2 2 2 2 2 2 2 2 2 2 40" xfId="7907" xr:uid="{524FAB1B-9A51-4533-9BD7-E6C5BE877BA6}"/>
    <cellStyle name="Normal 2 2 2 2 2 2 2 2 2 2 2 2 2 2 2 2 2 2 2 2 2 2 2 41" xfId="7908" xr:uid="{F83C5815-FEFE-4819-8B0F-EABBFFC61266}"/>
    <cellStyle name="Normal 2 2 2 2 2 2 2 2 2 2 2 2 2 2 2 2 2 2 2 2 2 2 2 42" xfId="7909" xr:uid="{2616A539-C2B4-42FB-BEB5-CDA22CE7AFC9}"/>
    <cellStyle name="Normal 2 2 2 2 2 2 2 2 2 2 2 2 2 2 2 2 2 2 2 2 2 2 2 43" xfId="7910" xr:uid="{7044268E-0C9D-4668-A888-54572BFE4B46}"/>
    <cellStyle name="Normal 2 2 2 2 2 2 2 2 2 2 2 2 2 2 2 2 2 2 2 2 2 2 2 44" xfId="7911" xr:uid="{E6734A24-0965-471D-9184-49D2D9DFDC4A}"/>
    <cellStyle name="Normal 2 2 2 2 2 2 2 2 2 2 2 2 2 2 2 2 2 2 2 2 2 2 2 45" xfId="7912" xr:uid="{6D99BEE5-86A0-4A4B-B6A8-BC36B192F86D}"/>
    <cellStyle name="Normal 2 2 2 2 2 2 2 2 2 2 2 2 2 2 2 2 2 2 2 2 2 2 2 46" xfId="7913" xr:uid="{AAD94289-A92A-4C50-9AA9-1E6D62E61990}"/>
    <cellStyle name="Normal 2 2 2 2 2 2 2 2 2 2 2 2 2 2 2 2 2 2 2 2 2 2 2 47" xfId="7914" xr:uid="{EE12ACFB-5FB9-4BA5-A23C-729CF627ADA0}"/>
    <cellStyle name="Normal 2 2 2 2 2 2 2 2 2 2 2 2 2 2 2 2 2 2 2 2 2 2 2 48" xfId="7915" xr:uid="{47B11277-A0F2-40F8-8488-D1D257882F0D}"/>
    <cellStyle name="Normal 2 2 2 2 2 2 2 2 2 2 2 2 2 2 2 2 2 2 2 2 2 2 2 49" xfId="7916" xr:uid="{421C6910-C92C-4356-8959-520F8C8B89D5}"/>
    <cellStyle name="Normal 2 2 2 2 2 2 2 2 2 2 2 2 2 2 2 2 2 2 2 2 2 2 2 5" xfId="7917" xr:uid="{B76218CF-7BC8-43D1-97C9-E60F6A3C9C4C}"/>
    <cellStyle name="Normal 2 2 2 2 2 2 2 2 2 2 2 2 2 2 2 2 2 2 2 2 2 2 2 50" xfId="7918" xr:uid="{8E9EB4CC-2173-4EC1-AEA6-F3DE59157D73}"/>
    <cellStyle name="Normal 2 2 2 2 2 2 2 2 2 2 2 2 2 2 2 2 2 2 2 2 2 2 2 51" xfId="7919" xr:uid="{B4C48AB8-6447-46C2-9713-FD02637DD446}"/>
    <cellStyle name="Normal 2 2 2 2 2 2 2 2 2 2 2 2 2 2 2 2 2 2 2 2 2 2 2 52" xfId="7920" xr:uid="{F0970056-8B54-4547-ADCF-E22296481A07}"/>
    <cellStyle name="Normal 2 2 2 2 2 2 2 2 2 2 2 2 2 2 2 2 2 2 2 2 2 2 2 53" xfId="7921" xr:uid="{13169171-3416-45D4-9DFD-96F3B686A02B}"/>
    <cellStyle name="Normal 2 2 2 2 2 2 2 2 2 2 2 2 2 2 2 2 2 2 2 2 2 2 2 54" xfId="7922" xr:uid="{D150EC22-F939-4B5D-A1DE-FEACCA38428E}"/>
    <cellStyle name="Normal 2 2 2 2 2 2 2 2 2 2 2 2 2 2 2 2 2 2 2 2 2 2 2 55" xfId="7923" xr:uid="{CB6D797B-40AC-4AAC-9163-1DEA4C634863}"/>
    <cellStyle name="Normal 2 2 2 2 2 2 2 2 2 2 2 2 2 2 2 2 2 2 2 2 2 2 2 56" xfId="7924" xr:uid="{1D24843C-0FFF-4367-BADB-D6ED72A3197C}"/>
    <cellStyle name="Normal 2 2 2 2 2 2 2 2 2 2 2 2 2 2 2 2 2 2 2 2 2 2 2 57" xfId="7925" xr:uid="{EE3C900E-3BEB-442C-B551-7AB502D4F453}"/>
    <cellStyle name="Normal 2 2 2 2 2 2 2 2 2 2 2 2 2 2 2 2 2 2 2 2 2 2 2 58" xfId="7926" xr:uid="{4EF2D98A-A947-46DD-AAD0-E8B4871C13BA}"/>
    <cellStyle name="Normal 2 2 2 2 2 2 2 2 2 2 2 2 2 2 2 2 2 2 2 2 2 2 2 59" xfId="7927" xr:uid="{8C549D8E-A91C-47C4-915A-6413205A848D}"/>
    <cellStyle name="Normal 2 2 2 2 2 2 2 2 2 2 2 2 2 2 2 2 2 2 2 2 2 2 2 6" xfId="7928" xr:uid="{8483B113-3DFC-4E17-ADB4-A83707487DDD}"/>
    <cellStyle name="Normal 2 2 2 2 2 2 2 2 2 2 2 2 2 2 2 2 2 2 2 2 2 2 2 60" xfId="7929" xr:uid="{86DFC03F-75AE-43AC-BC4D-1C407F5D6355}"/>
    <cellStyle name="Normal 2 2 2 2 2 2 2 2 2 2 2 2 2 2 2 2 2 2 2 2 2 2 2 60 2" xfId="7930" xr:uid="{86E04C7A-21AB-4DB3-BEF3-FF50D6F4440A}"/>
    <cellStyle name="Normal 2 2 2 2 2 2 2 2 2 2 2 2 2 2 2 2 2 2 2 2 2 2 2 60 3" xfId="7931" xr:uid="{3B6E3EAE-1672-4A5B-82B9-F22CFA8A9F80}"/>
    <cellStyle name="Normal 2 2 2 2 2 2 2 2 2 2 2 2 2 2 2 2 2 2 2 2 2 2 2 60 4" xfId="7932" xr:uid="{C48B0FDC-2DB5-4DBA-9923-0B9A8E1F31D4}"/>
    <cellStyle name="Normal 2 2 2 2 2 2 2 2 2 2 2 2 2 2 2 2 2 2 2 2 2 2 2 61" xfId="7933" xr:uid="{9D7BFFE3-DC3F-41F6-A061-2DFCB2D9F26A}"/>
    <cellStyle name="Normal 2 2 2 2 2 2 2 2 2 2 2 2 2 2 2 2 2 2 2 2 2 2 2 62" xfId="7934" xr:uid="{D805E6EB-8BF1-4573-9D1A-DBA55560DEB1}"/>
    <cellStyle name="Normal 2 2 2 2 2 2 2 2 2 2 2 2 2 2 2 2 2 2 2 2 2 2 2 7" xfId="7935" xr:uid="{A8BD8A67-64DA-42E5-9131-16F537CDBECA}"/>
    <cellStyle name="Normal 2 2 2 2 2 2 2 2 2 2 2 2 2 2 2 2 2 2 2 2 2 2 2 8" xfId="7936" xr:uid="{57DADED4-1F1A-4F01-9750-C18D3BAC0ED7}"/>
    <cellStyle name="Normal 2 2 2 2 2 2 2 2 2 2 2 2 2 2 2 2 2 2 2 2 2 2 2 9" xfId="7937" xr:uid="{6A15F49F-EA7A-4590-B5C8-7B4A1864BFFB}"/>
    <cellStyle name="Normal 2 2 2 2 2 2 2 2 2 2 2 2 2 2 2 2 2 2 2 2 2 2 20" xfId="7938" xr:uid="{33CB0831-515A-4219-A584-8231A4F5C6D4}"/>
    <cellStyle name="Normal 2 2 2 2 2 2 2 2 2 2 2 2 2 2 2 2 2 2 2 2 2 2 21" xfId="7939" xr:uid="{7275DDC9-C1EF-434D-A056-AD9AE97F6DA4}"/>
    <cellStyle name="Normal 2 2 2 2 2 2 2 2 2 2 2 2 2 2 2 2 2 2 2 2 2 2 22" xfId="7940" xr:uid="{45AB9CFA-F6FC-4018-8689-BCB9A5A841D1}"/>
    <cellStyle name="Normal 2 2 2 2 2 2 2 2 2 2 2 2 2 2 2 2 2 2 2 2 2 2 23" xfId="7941" xr:uid="{9FBC16E9-6B10-4D8A-A431-B4452FF62F7E}"/>
    <cellStyle name="Normal 2 2 2 2 2 2 2 2 2 2 2 2 2 2 2 2 2 2 2 2 2 2 24" xfId="7942" xr:uid="{D539C073-434D-46AE-8F04-5E77352FD1B9}"/>
    <cellStyle name="Normal 2 2 2 2 2 2 2 2 2 2 2 2 2 2 2 2 2 2 2 2 2 2 25" xfId="7943" xr:uid="{68D829CE-7A3F-4CEC-A12F-81BA57B92B9E}"/>
    <cellStyle name="Normal 2 2 2 2 2 2 2 2 2 2 2 2 2 2 2 2 2 2 2 2 2 2 26" xfId="7944" xr:uid="{DA2E27CE-A85D-4A47-8162-B48693FD198C}"/>
    <cellStyle name="Normal 2 2 2 2 2 2 2 2 2 2 2 2 2 2 2 2 2 2 2 2 2 2 27" xfId="7945" xr:uid="{432C259E-BCB2-4E96-9965-FF2B63DB0907}"/>
    <cellStyle name="Normal 2 2 2 2 2 2 2 2 2 2 2 2 2 2 2 2 2 2 2 2 2 2 28" xfId="7946" xr:uid="{0D8C70AE-8DEA-4013-8790-6004516873D6}"/>
    <cellStyle name="Normal 2 2 2 2 2 2 2 2 2 2 2 2 2 2 2 2 2 2 2 2 2 2 29" xfId="7947" xr:uid="{CD6765C3-CDF2-46DF-B776-4FEF57AB2D94}"/>
    <cellStyle name="Normal 2 2 2 2 2 2 2 2 2 2 2 2 2 2 2 2 2 2 2 2 2 2 3" xfId="7948" xr:uid="{6D0DFDE1-3D37-44B3-A797-066AFA78776B}"/>
    <cellStyle name="Normal 2 2 2 2 2 2 2 2 2 2 2 2 2 2 2 2 2 2 2 2 2 2 30" xfId="7949" xr:uid="{BF18A209-0F02-4202-9E64-30A67C3A4563}"/>
    <cellStyle name="Normal 2 2 2 2 2 2 2 2 2 2 2 2 2 2 2 2 2 2 2 2 2 2 31" xfId="7950" xr:uid="{AB249D07-6968-4126-8C9E-DDADAB69C06F}"/>
    <cellStyle name="Normal 2 2 2 2 2 2 2 2 2 2 2 2 2 2 2 2 2 2 2 2 2 2 32" xfId="7951" xr:uid="{EE56C30A-484E-4CE7-A65F-12C58730478C}"/>
    <cellStyle name="Normal 2 2 2 2 2 2 2 2 2 2 2 2 2 2 2 2 2 2 2 2 2 2 33" xfId="7952" xr:uid="{48458E39-20B2-4C50-B5BE-DC1B3BE1A3DE}"/>
    <cellStyle name="Normal 2 2 2 2 2 2 2 2 2 2 2 2 2 2 2 2 2 2 2 2 2 2 34" xfId="7953" xr:uid="{44D62416-4E40-4E92-96CE-EF20F70D1D7D}"/>
    <cellStyle name="Normal 2 2 2 2 2 2 2 2 2 2 2 2 2 2 2 2 2 2 2 2 2 2 35" xfId="7954" xr:uid="{95D9AE67-6D2D-4DE8-9F62-FED0BABA762D}"/>
    <cellStyle name="Normal 2 2 2 2 2 2 2 2 2 2 2 2 2 2 2 2 2 2 2 2 2 2 36" xfId="7955" xr:uid="{6C33B6F0-E21A-42C0-A1FD-3D864C89733D}"/>
    <cellStyle name="Normal 2 2 2 2 2 2 2 2 2 2 2 2 2 2 2 2 2 2 2 2 2 2 37" xfId="7956" xr:uid="{3714E634-690F-4CE3-B90C-2BE157C7E55D}"/>
    <cellStyle name="Normal 2 2 2 2 2 2 2 2 2 2 2 2 2 2 2 2 2 2 2 2 2 2 38" xfId="7957" xr:uid="{B38085FA-EB5E-471F-9A83-0A549E2A4070}"/>
    <cellStyle name="Normal 2 2 2 2 2 2 2 2 2 2 2 2 2 2 2 2 2 2 2 2 2 2 39" xfId="7958" xr:uid="{A01C02DB-0398-4132-9325-EB5188D5173C}"/>
    <cellStyle name="Normal 2 2 2 2 2 2 2 2 2 2 2 2 2 2 2 2 2 2 2 2 2 2 4" xfId="7959" xr:uid="{DBE646D8-5EC8-4639-941D-6328C6ADE0AD}"/>
    <cellStyle name="Normal 2 2 2 2 2 2 2 2 2 2 2 2 2 2 2 2 2 2 2 2 2 2 40" xfId="7960" xr:uid="{CBEC37A2-24F5-4848-AAA1-F5F7FDB06F0B}"/>
    <cellStyle name="Normal 2 2 2 2 2 2 2 2 2 2 2 2 2 2 2 2 2 2 2 2 2 2 41" xfId="7961" xr:uid="{A96E3A94-5708-48BB-90F6-F80BBEC9F84E}"/>
    <cellStyle name="Normal 2 2 2 2 2 2 2 2 2 2 2 2 2 2 2 2 2 2 2 2 2 2 42" xfId="7962" xr:uid="{FDA37C2D-F00F-4AB9-96D0-8F7A607ED1F8}"/>
    <cellStyle name="Normal 2 2 2 2 2 2 2 2 2 2 2 2 2 2 2 2 2 2 2 2 2 2 43" xfId="7963" xr:uid="{C3B5D8D6-7C29-4C89-ABD3-494B70B77066}"/>
    <cellStyle name="Normal 2 2 2 2 2 2 2 2 2 2 2 2 2 2 2 2 2 2 2 2 2 2 44" xfId="7964" xr:uid="{6D4FE314-D8D9-4D30-85D3-F6646ABEA1D4}"/>
    <cellStyle name="Normal 2 2 2 2 2 2 2 2 2 2 2 2 2 2 2 2 2 2 2 2 2 2 45" xfId="7965" xr:uid="{25EEE4C3-D982-4999-9684-800ABEA84770}"/>
    <cellStyle name="Normal 2 2 2 2 2 2 2 2 2 2 2 2 2 2 2 2 2 2 2 2 2 2 46" xfId="7966" xr:uid="{ED7AD4F6-F165-491A-AD7B-C81763707D35}"/>
    <cellStyle name="Normal 2 2 2 2 2 2 2 2 2 2 2 2 2 2 2 2 2 2 2 2 2 2 47" xfId="7967" xr:uid="{B89D4821-9C99-4D4A-8189-70EDAB004163}"/>
    <cellStyle name="Normal 2 2 2 2 2 2 2 2 2 2 2 2 2 2 2 2 2 2 2 2 2 2 48" xfId="7968" xr:uid="{74474841-B880-431E-9CED-12E06261BBB1}"/>
    <cellStyle name="Normal 2 2 2 2 2 2 2 2 2 2 2 2 2 2 2 2 2 2 2 2 2 2 49" xfId="7969" xr:uid="{BCB52398-D104-4839-B3E5-0144F49A5DA8}"/>
    <cellStyle name="Normal 2 2 2 2 2 2 2 2 2 2 2 2 2 2 2 2 2 2 2 2 2 2 5" xfId="7970" xr:uid="{96EE87E7-9DA4-4CBC-A22C-0E768E247372}"/>
    <cellStyle name="Normal 2 2 2 2 2 2 2 2 2 2 2 2 2 2 2 2 2 2 2 2 2 2 50" xfId="7971" xr:uid="{7460356E-E75C-4C92-ACC1-18330A263A89}"/>
    <cellStyle name="Normal 2 2 2 2 2 2 2 2 2 2 2 2 2 2 2 2 2 2 2 2 2 2 51" xfId="7972" xr:uid="{92BCCC4A-116F-4BCE-957E-B2C41B6A4E01}"/>
    <cellStyle name="Normal 2 2 2 2 2 2 2 2 2 2 2 2 2 2 2 2 2 2 2 2 2 2 52" xfId="7973" xr:uid="{378308EA-C26F-4A24-BF1D-10908B905B79}"/>
    <cellStyle name="Normal 2 2 2 2 2 2 2 2 2 2 2 2 2 2 2 2 2 2 2 2 2 2 53" xfId="7974" xr:uid="{6DCA658C-4506-4EE9-8563-A76B5AA3CBD4}"/>
    <cellStyle name="Normal 2 2 2 2 2 2 2 2 2 2 2 2 2 2 2 2 2 2 2 2 2 2 54" xfId="7975" xr:uid="{4F0DDC51-3B54-47F5-BE41-F7F7307159CE}"/>
    <cellStyle name="Normal 2 2 2 2 2 2 2 2 2 2 2 2 2 2 2 2 2 2 2 2 2 2 55" xfId="7976" xr:uid="{9CCA0FB3-D8F8-490A-8037-8FA6E9B6B8C9}"/>
    <cellStyle name="Normal 2 2 2 2 2 2 2 2 2 2 2 2 2 2 2 2 2 2 2 2 2 2 56" xfId="7977" xr:uid="{45ED23AF-5A1D-4D2B-B006-93B21C8F9A4A}"/>
    <cellStyle name="Normal 2 2 2 2 2 2 2 2 2 2 2 2 2 2 2 2 2 2 2 2 2 2 57" xfId="7978" xr:uid="{209BEE4B-724B-4ED0-B422-2D0E92A7891D}"/>
    <cellStyle name="Normal 2 2 2 2 2 2 2 2 2 2 2 2 2 2 2 2 2 2 2 2 2 2 58" xfId="7979" xr:uid="{819A1C93-0B53-49CC-99EF-78A0874A00CA}"/>
    <cellStyle name="Normal 2 2 2 2 2 2 2 2 2 2 2 2 2 2 2 2 2 2 2 2 2 2 59" xfId="7980" xr:uid="{AF99F0C4-334E-4378-B1B3-80DEB62572E3}"/>
    <cellStyle name="Normal 2 2 2 2 2 2 2 2 2 2 2 2 2 2 2 2 2 2 2 2 2 2 6" xfId="7981" xr:uid="{77F13A9F-C136-415A-8C80-D606D7E804A4}"/>
    <cellStyle name="Normal 2 2 2 2 2 2 2 2 2 2 2 2 2 2 2 2 2 2 2 2 2 2 60" xfId="7982" xr:uid="{798333AA-20D6-481E-9852-B4723DCE7CC8}"/>
    <cellStyle name="Normal 2 2 2 2 2 2 2 2 2 2 2 2 2 2 2 2 2 2 2 2 2 2 61" xfId="7983" xr:uid="{54047A3D-035D-4466-A1A9-910D62F4986F}"/>
    <cellStyle name="Normal 2 2 2 2 2 2 2 2 2 2 2 2 2 2 2 2 2 2 2 2 2 2 62" xfId="7984" xr:uid="{13DB9A97-4D9F-44B4-BE0F-C52C733B605D}"/>
    <cellStyle name="Normal 2 2 2 2 2 2 2 2 2 2 2 2 2 2 2 2 2 2 2 2 2 2 63" xfId="7985" xr:uid="{6D471446-0B8E-4816-A0AB-FF274ACC461C}"/>
    <cellStyle name="Normal 2 2 2 2 2 2 2 2 2 2 2 2 2 2 2 2 2 2 2 2 2 2 63 2" xfId="7986" xr:uid="{F91F089F-3234-4F88-9538-8323C53C9AA0}"/>
    <cellStyle name="Normal 2 2 2 2 2 2 2 2 2 2 2 2 2 2 2 2 2 2 2 2 2 2 63 3" xfId="7987" xr:uid="{7B729FB2-81E5-45CF-BE82-A61E26ECD0C2}"/>
    <cellStyle name="Normal 2 2 2 2 2 2 2 2 2 2 2 2 2 2 2 2 2 2 2 2 2 2 63 4" xfId="7988" xr:uid="{03316D0D-E0BB-43A1-86CE-1A7E2D6110DF}"/>
    <cellStyle name="Normal 2 2 2 2 2 2 2 2 2 2 2 2 2 2 2 2 2 2 2 2 2 2 64" xfId="7989" xr:uid="{1496222F-1793-4AF1-ABD5-67207D7EAB8B}"/>
    <cellStyle name="Normal 2 2 2 2 2 2 2 2 2 2 2 2 2 2 2 2 2 2 2 2 2 2 65" xfId="7990" xr:uid="{2599E3AB-2439-47EE-A9BE-41720F9F5499}"/>
    <cellStyle name="Normal 2 2 2 2 2 2 2 2 2 2 2 2 2 2 2 2 2 2 2 2 2 2 7" xfId="7991" xr:uid="{D9B7C34C-3920-4C25-A08A-A0FB93B0A66C}"/>
    <cellStyle name="Normal 2 2 2 2 2 2 2 2 2 2 2 2 2 2 2 2 2 2 2 2 2 2 8" xfId="7992" xr:uid="{B6C12ADD-8EB9-468B-B08B-4080BD6C9558}"/>
    <cellStyle name="Normal 2 2 2 2 2 2 2 2 2 2 2 2 2 2 2 2 2 2 2 2 2 2 9" xfId="7993" xr:uid="{79CC9B56-6EDC-4AEF-8656-481918C0242F}"/>
    <cellStyle name="Normal 2 2 2 2 2 2 2 2 2 2 2 2 2 2 2 2 2 2 2 2 2 20" xfId="7994" xr:uid="{881F92F9-2EAE-4275-83BB-1A59E6CFBA28}"/>
    <cellStyle name="Normal 2 2 2 2 2 2 2 2 2 2 2 2 2 2 2 2 2 2 2 2 2 21" xfId="7995" xr:uid="{3AB32054-008A-449E-951B-37FB1C23AEDB}"/>
    <cellStyle name="Normal 2 2 2 2 2 2 2 2 2 2 2 2 2 2 2 2 2 2 2 2 2 22" xfId="7996" xr:uid="{2901901F-8A5A-412B-8D3D-E6DE423159A8}"/>
    <cellStyle name="Normal 2 2 2 2 2 2 2 2 2 2 2 2 2 2 2 2 2 2 2 2 2 23" xfId="7997" xr:uid="{65564F77-FEE8-4562-A280-57C5E90D8B34}"/>
    <cellStyle name="Normal 2 2 2 2 2 2 2 2 2 2 2 2 2 2 2 2 2 2 2 2 2 24" xfId="7998" xr:uid="{E0936195-19E1-4E4D-AACE-70280D6DF0A0}"/>
    <cellStyle name="Normal 2 2 2 2 2 2 2 2 2 2 2 2 2 2 2 2 2 2 2 2 2 25" xfId="7999" xr:uid="{2F316AD0-91DA-4288-BF14-1F023C0BBF2B}"/>
    <cellStyle name="Normal 2 2 2 2 2 2 2 2 2 2 2 2 2 2 2 2 2 2 2 2 2 26" xfId="8000" xr:uid="{85F36EE9-A10A-4F91-87CF-A08E7AD24C29}"/>
    <cellStyle name="Normal 2 2 2 2 2 2 2 2 2 2 2 2 2 2 2 2 2 2 2 2 2 27" xfId="8001" xr:uid="{139E11C8-BEEF-4531-A919-BC3F5004FE1C}"/>
    <cellStyle name="Normal 2 2 2 2 2 2 2 2 2 2 2 2 2 2 2 2 2 2 2 2 2 28" xfId="8002" xr:uid="{DCB50EA3-C8D6-4FAD-AECE-868977FF55CF}"/>
    <cellStyle name="Normal 2 2 2 2 2 2 2 2 2 2 2 2 2 2 2 2 2 2 2 2 2 29" xfId="8003" xr:uid="{56A1DF1A-F8AE-4382-85F7-BF588031C2F6}"/>
    <cellStyle name="Normal 2 2 2 2 2 2 2 2 2 2 2 2 2 2 2 2 2 2 2 2 2 3" xfId="8004" xr:uid="{C069EFED-95B6-46CB-9BE4-327F52F4679A}"/>
    <cellStyle name="Normal 2 2 2 2 2 2 2 2 2 2 2 2 2 2 2 2 2 2 2 2 2 30" xfId="8005" xr:uid="{5080F600-CF33-4317-AB2C-C36EAF8195CA}"/>
    <cellStyle name="Normal 2 2 2 2 2 2 2 2 2 2 2 2 2 2 2 2 2 2 2 2 2 31" xfId="8006" xr:uid="{FC8BE602-D47A-4FD9-A9DB-4ADE20B816E5}"/>
    <cellStyle name="Normal 2 2 2 2 2 2 2 2 2 2 2 2 2 2 2 2 2 2 2 2 2 32" xfId="8007" xr:uid="{2F0670D6-310E-485C-804D-94367965DA6D}"/>
    <cellStyle name="Normal 2 2 2 2 2 2 2 2 2 2 2 2 2 2 2 2 2 2 2 2 2 33" xfId="8008" xr:uid="{C6C4951F-D5B4-45C1-B940-3CC505F74588}"/>
    <cellStyle name="Normal 2 2 2 2 2 2 2 2 2 2 2 2 2 2 2 2 2 2 2 2 2 34" xfId="8009" xr:uid="{9F88DC94-2145-4B47-9E0C-631ABCB6CD95}"/>
    <cellStyle name="Normal 2 2 2 2 2 2 2 2 2 2 2 2 2 2 2 2 2 2 2 2 2 35" xfId="8010" xr:uid="{93D5E19F-576F-49D9-805A-2C6D63C76AF1}"/>
    <cellStyle name="Normal 2 2 2 2 2 2 2 2 2 2 2 2 2 2 2 2 2 2 2 2 2 36" xfId="8011" xr:uid="{13673EA2-C112-4A8B-A9FF-9047FEE6D7CB}"/>
    <cellStyle name="Normal 2 2 2 2 2 2 2 2 2 2 2 2 2 2 2 2 2 2 2 2 2 37" xfId="8012" xr:uid="{DDB0926B-C87A-4191-82AD-5ADE680326E4}"/>
    <cellStyle name="Normal 2 2 2 2 2 2 2 2 2 2 2 2 2 2 2 2 2 2 2 2 2 38" xfId="8013" xr:uid="{6584DD2E-F316-40AB-BC97-F6711920AE9B}"/>
    <cellStyle name="Normal 2 2 2 2 2 2 2 2 2 2 2 2 2 2 2 2 2 2 2 2 2 39" xfId="8014" xr:uid="{E9DBB64A-F303-4089-A85B-2FE2296AE5BE}"/>
    <cellStyle name="Normal 2 2 2 2 2 2 2 2 2 2 2 2 2 2 2 2 2 2 2 2 2 4" xfId="8015" xr:uid="{BEE396BD-2EF2-4A79-A575-9BF2B67D6432}"/>
    <cellStyle name="Normal 2 2 2 2 2 2 2 2 2 2 2 2 2 2 2 2 2 2 2 2 2 40" xfId="8016" xr:uid="{7700659A-47E4-4324-B456-91AB175A2865}"/>
    <cellStyle name="Normal 2 2 2 2 2 2 2 2 2 2 2 2 2 2 2 2 2 2 2 2 2 41" xfId="8017" xr:uid="{F0E6B180-A991-43C3-BCA6-2347933D71B6}"/>
    <cellStyle name="Normal 2 2 2 2 2 2 2 2 2 2 2 2 2 2 2 2 2 2 2 2 2 42" xfId="8018" xr:uid="{8EF16F87-09B1-467D-A627-F6CDCAAD428D}"/>
    <cellStyle name="Normal 2 2 2 2 2 2 2 2 2 2 2 2 2 2 2 2 2 2 2 2 2 43" xfId="8019" xr:uid="{D6EE9748-D697-431F-B7EA-BCC2258A25BC}"/>
    <cellStyle name="Normal 2 2 2 2 2 2 2 2 2 2 2 2 2 2 2 2 2 2 2 2 2 44" xfId="8020" xr:uid="{8C89016E-F7F5-45AC-98F9-D94C849212C9}"/>
    <cellStyle name="Normal 2 2 2 2 2 2 2 2 2 2 2 2 2 2 2 2 2 2 2 2 2 45" xfId="8021" xr:uid="{DD81A284-6841-43E7-9482-3EFBB212F7F2}"/>
    <cellStyle name="Normal 2 2 2 2 2 2 2 2 2 2 2 2 2 2 2 2 2 2 2 2 2 46" xfId="8022" xr:uid="{0EC31C4C-D9E5-451F-B0A4-0153A438165F}"/>
    <cellStyle name="Normal 2 2 2 2 2 2 2 2 2 2 2 2 2 2 2 2 2 2 2 2 2 47" xfId="8023" xr:uid="{A9A90974-A6AE-450A-A798-7CC71275584A}"/>
    <cellStyle name="Normal 2 2 2 2 2 2 2 2 2 2 2 2 2 2 2 2 2 2 2 2 2 48" xfId="8024" xr:uid="{5E7A7853-FD96-49E4-AE2E-653FCB81A50E}"/>
    <cellStyle name="Normal 2 2 2 2 2 2 2 2 2 2 2 2 2 2 2 2 2 2 2 2 2 49" xfId="8025" xr:uid="{4736E137-6273-44F4-B5C1-CF1263BF51BE}"/>
    <cellStyle name="Normal 2 2 2 2 2 2 2 2 2 2 2 2 2 2 2 2 2 2 2 2 2 5" xfId="8026" xr:uid="{A132457D-01B5-4156-94AD-F3A28FB11FCE}"/>
    <cellStyle name="Normal 2 2 2 2 2 2 2 2 2 2 2 2 2 2 2 2 2 2 2 2 2 50" xfId="8027" xr:uid="{67CDCD94-3DFB-4506-9612-4E9A5D70DA84}"/>
    <cellStyle name="Normal 2 2 2 2 2 2 2 2 2 2 2 2 2 2 2 2 2 2 2 2 2 51" xfId="8028" xr:uid="{7B7578F1-4DE5-4207-8A5A-595A99DCD73E}"/>
    <cellStyle name="Normal 2 2 2 2 2 2 2 2 2 2 2 2 2 2 2 2 2 2 2 2 2 52" xfId="8029" xr:uid="{61C0F5C6-C6CB-4D56-B3F9-8B38C153F309}"/>
    <cellStyle name="Normal 2 2 2 2 2 2 2 2 2 2 2 2 2 2 2 2 2 2 2 2 2 53" xfId="8030" xr:uid="{5C3323D0-3790-474D-ACFC-16E505D9554A}"/>
    <cellStyle name="Normal 2 2 2 2 2 2 2 2 2 2 2 2 2 2 2 2 2 2 2 2 2 54" xfId="8031" xr:uid="{085B36D4-2200-416C-96FD-7AC5E902216B}"/>
    <cellStyle name="Normal 2 2 2 2 2 2 2 2 2 2 2 2 2 2 2 2 2 2 2 2 2 55" xfId="8032" xr:uid="{D9DE4E1C-FD7C-4447-ADED-E625D3DA132C}"/>
    <cellStyle name="Normal 2 2 2 2 2 2 2 2 2 2 2 2 2 2 2 2 2 2 2 2 2 56" xfId="8033" xr:uid="{775F3106-D038-4390-823C-D2D9991ABE41}"/>
    <cellStyle name="Normal 2 2 2 2 2 2 2 2 2 2 2 2 2 2 2 2 2 2 2 2 2 57" xfId="8034" xr:uid="{F6241B70-0A53-4C68-8507-CC0622C04455}"/>
    <cellStyle name="Normal 2 2 2 2 2 2 2 2 2 2 2 2 2 2 2 2 2 2 2 2 2 58" xfId="8035" xr:uid="{003BF31A-66BC-4CAA-A703-5065CCFE3782}"/>
    <cellStyle name="Normal 2 2 2 2 2 2 2 2 2 2 2 2 2 2 2 2 2 2 2 2 2 59" xfId="8036" xr:uid="{2FE8BDE0-CB23-4634-83A4-1A90858BD729}"/>
    <cellStyle name="Normal 2 2 2 2 2 2 2 2 2 2 2 2 2 2 2 2 2 2 2 2 2 6" xfId="8037" xr:uid="{1F87A5D8-2050-45C4-B1CF-0B36D8CAE3C4}"/>
    <cellStyle name="Normal 2 2 2 2 2 2 2 2 2 2 2 2 2 2 2 2 2 2 2 2 2 60" xfId="8038" xr:uid="{E071A14A-9712-4E0A-B430-F2C35A5BC2FC}"/>
    <cellStyle name="Normal 2 2 2 2 2 2 2 2 2 2 2 2 2 2 2 2 2 2 2 2 2 61" xfId="8039" xr:uid="{858C2C95-78F9-41BB-AED7-5B78A82B93FB}"/>
    <cellStyle name="Normal 2 2 2 2 2 2 2 2 2 2 2 2 2 2 2 2 2 2 2 2 2 62" xfId="8040" xr:uid="{C1AAD9E2-081E-44ED-9696-6A949F3025F6}"/>
    <cellStyle name="Normal 2 2 2 2 2 2 2 2 2 2 2 2 2 2 2 2 2 2 2 2 2 63" xfId="8041" xr:uid="{1BE8FFA8-4B83-4214-9C7D-192F5E7C3A92}"/>
    <cellStyle name="Normal 2 2 2 2 2 2 2 2 2 2 2 2 2 2 2 2 2 2 2 2 2 64" xfId="8042" xr:uid="{26C486CE-3673-4E68-BA0D-0FAE56A1536A}"/>
    <cellStyle name="Normal 2 2 2 2 2 2 2 2 2 2 2 2 2 2 2 2 2 2 2 2 2 65" xfId="8043" xr:uid="{129CBD33-C422-4A8B-BFC9-8E5385C8349A}"/>
    <cellStyle name="Normal 2 2 2 2 2 2 2 2 2 2 2 2 2 2 2 2 2 2 2 2 2 65 2" xfId="8044" xr:uid="{6165E6D4-27C6-4962-8720-137C27FD8ED8}"/>
    <cellStyle name="Normal 2 2 2 2 2 2 2 2 2 2 2 2 2 2 2 2 2 2 2 2 2 65 3" xfId="8045" xr:uid="{B10B0B3B-DCF9-4778-BB7C-D3FA5AC877C5}"/>
    <cellStyle name="Normal 2 2 2 2 2 2 2 2 2 2 2 2 2 2 2 2 2 2 2 2 2 65 4" xfId="8046" xr:uid="{1D0D98D7-BBA7-4A8F-B1CC-AB4215D3589A}"/>
    <cellStyle name="Normal 2 2 2 2 2 2 2 2 2 2 2 2 2 2 2 2 2 2 2 2 2 66" xfId="8047" xr:uid="{7016FF15-AD7B-4042-9D8D-0DA0CE9798ED}"/>
    <cellStyle name="Normal 2 2 2 2 2 2 2 2 2 2 2 2 2 2 2 2 2 2 2 2 2 67" xfId="8048" xr:uid="{2D6992B2-7419-4BEB-A43E-4FDF9EB42D34}"/>
    <cellStyle name="Normal 2 2 2 2 2 2 2 2 2 2 2 2 2 2 2 2 2 2 2 2 2 7" xfId="8049" xr:uid="{AF7BCD6B-2C92-4A18-BFAC-D38C0EC86EE7}"/>
    <cellStyle name="Normal 2 2 2 2 2 2 2 2 2 2 2 2 2 2 2 2 2 2 2 2 2 8" xfId="8050" xr:uid="{1FE9464C-FAE0-4E4D-88A3-4285B16A4FD0}"/>
    <cellStyle name="Normal 2 2 2 2 2 2 2 2 2 2 2 2 2 2 2 2 2 2 2 2 2 9" xfId="8051" xr:uid="{19DB77BB-6663-4269-91EA-8888F911031B}"/>
    <cellStyle name="Normal 2 2 2 2 2 2 2 2 2 2 2 2 2 2 2 2 2 2 2 2 20" xfId="8052" xr:uid="{4B128729-F58E-493A-9DB8-6EC7DFE64955}"/>
    <cellStyle name="Normal 2 2 2 2 2 2 2 2 2 2 2 2 2 2 2 2 2 2 2 2 21" xfId="8053" xr:uid="{033E07A7-E6D2-4156-BCFF-4A6B51AF70E7}"/>
    <cellStyle name="Normal 2 2 2 2 2 2 2 2 2 2 2 2 2 2 2 2 2 2 2 2 22" xfId="8054" xr:uid="{C94756EE-BB6D-4F9E-B833-2F73482E76E7}"/>
    <cellStyle name="Normal 2 2 2 2 2 2 2 2 2 2 2 2 2 2 2 2 2 2 2 2 23" xfId="8055" xr:uid="{A77D6E2C-E206-47F9-AB2C-A77900715D6C}"/>
    <cellStyle name="Normal 2 2 2 2 2 2 2 2 2 2 2 2 2 2 2 2 2 2 2 2 23 2" xfId="8056" xr:uid="{C5EA3640-40D2-4D13-AA95-0C8AE5EC0BB6}"/>
    <cellStyle name="Normal 2 2 2 2 2 2 2 2 2 2 2 2 2 2 2 2 2 2 2 2 23 3" xfId="8057" xr:uid="{24FBC251-A616-4B7C-960C-EDF598351E7E}"/>
    <cellStyle name="Normal 2 2 2 2 2 2 2 2 2 2 2 2 2 2 2 2 2 2 2 2 23 4" xfId="8058" xr:uid="{5A7ABFB6-D9AF-4CD7-B63F-1EDC0BF6AA58}"/>
    <cellStyle name="Normal 2 2 2 2 2 2 2 2 2 2 2 2 2 2 2 2 2 2 2 2 23 5" xfId="8059" xr:uid="{146848F2-ACB2-4479-98E4-E4FDC0547D0F}"/>
    <cellStyle name="Normal 2 2 2 2 2 2 2 2 2 2 2 2 2 2 2 2 2 2 2 2 23 6" xfId="8060" xr:uid="{3E5476D0-6214-41CF-9B08-5DCCCD2A67B3}"/>
    <cellStyle name="Normal 2 2 2 2 2 2 2 2 2 2 2 2 2 2 2 2 2 2 2 2 23 7" xfId="8061" xr:uid="{6D9F0443-A81F-4DFE-917F-BA66A6F726E2}"/>
    <cellStyle name="Normal 2 2 2 2 2 2 2 2 2 2 2 2 2 2 2 2 2 2 2 2 24" xfId="8062" xr:uid="{F87FBB5A-5C59-4F01-97F2-58BDC311436C}"/>
    <cellStyle name="Normal 2 2 2 2 2 2 2 2 2 2 2 2 2 2 2 2 2 2 2 2 25" xfId="8063" xr:uid="{1F5FBDCA-BB6F-490E-B518-495F0FDD1F17}"/>
    <cellStyle name="Normal 2 2 2 2 2 2 2 2 2 2 2 2 2 2 2 2 2 2 2 2 26" xfId="8064" xr:uid="{53C5BFF0-3CE7-40BD-BC06-8AC92A3C0416}"/>
    <cellStyle name="Normal 2 2 2 2 2 2 2 2 2 2 2 2 2 2 2 2 2 2 2 2 27" xfId="8065" xr:uid="{1B9F49C0-D62F-44D9-BE1E-F85127A8790C}"/>
    <cellStyle name="Normal 2 2 2 2 2 2 2 2 2 2 2 2 2 2 2 2 2 2 2 2 28" xfId="8066" xr:uid="{C403BBCA-C871-46D9-BF99-87D5B5ED8714}"/>
    <cellStyle name="Normal 2 2 2 2 2 2 2 2 2 2 2 2 2 2 2 2 2 2 2 2 29" xfId="8067" xr:uid="{29667D83-DF45-4AE9-8797-AEE4641A53C9}"/>
    <cellStyle name="Normal 2 2 2 2 2 2 2 2 2 2 2 2 2 2 2 2 2 2 2 2 3" xfId="8068" xr:uid="{36F18BF1-7A8A-4AD1-8E71-BA8E33FA4C64}"/>
    <cellStyle name="Normal 2 2 2 2 2 2 2 2 2 2 2 2 2 2 2 2 2 2 2 2 30" xfId="8069" xr:uid="{9F8B8963-46B0-433A-9A90-44389CE47CBF}"/>
    <cellStyle name="Normal 2 2 2 2 2 2 2 2 2 2 2 2 2 2 2 2 2 2 2 2 31" xfId="8070" xr:uid="{345AE678-8D08-4DF0-9B22-3E70A3C1CDC5}"/>
    <cellStyle name="Normal 2 2 2 2 2 2 2 2 2 2 2 2 2 2 2 2 2 2 2 2 32" xfId="8071" xr:uid="{CFA8C22B-87F7-4E78-A5F9-4049081B2157}"/>
    <cellStyle name="Normal 2 2 2 2 2 2 2 2 2 2 2 2 2 2 2 2 2 2 2 2 33" xfId="8072" xr:uid="{AB72E892-3FFC-429B-AC61-18F6FF0F37BA}"/>
    <cellStyle name="Normal 2 2 2 2 2 2 2 2 2 2 2 2 2 2 2 2 2 2 2 2 34" xfId="8073" xr:uid="{35CB2688-00A5-453F-9963-74C5A2183AE1}"/>
    <cellStyle name="Normal 2 2 2 2 2 2 2 2 2 2 2 2 2 2 2 2 2 2 2 2 35" xfId="8074" xr:uid="{259754ED-5DB7-4ADB-8AE4-F04E6BD3A9F2}"/>
    <cellStyle name="Normal 2 2 2 2 2 2 2 2 2 2 2 2 2 2 2 2 2 2 2 2 36" xfId="8075" xr:uid="{B1959F7B-219B-4C93-ADEF-4B936415BB12}"/>
    <cellStyle name="Normal 2 2 2 2 2 2 2 2 2 2 2 2 2 2 2 2 2 2 2 2 37" xfId="8076" xr:uid="{1B745D8E-387D-4E0A-A7B5-7AA718B03266}"/>
    <cellStyle name="Normal 2 2 2 2 2 2 2 2 2 2 2 2 2 2 2 2 2 2 2 2 38" xfId="8077" xr:uid="{FC109945-8FEB-4E0C-A08B-8A47192DA166}"/>
    <cellStyle name="Normal 2 2 2 2 2 2 2 2 2 2 2 2 2 2 2 2 2 2 2 2 39" xfId="8078" xr:uid="{4EB32EED-980D-4C97-A0A3-E8EE3231483F}"/>
    <cellStyle name="Normal 2 2 2 2 2 2 2 2 2 2 2 2 2 2 2 2 2 2 2 2 4" xfId="8079" xr:uid="{C444A760-A858-4CE0-9E63-EF060769FB5A}"/>
    <cellStyle name="Normal 2 2 2 2 2 2 2 2 2 2 2 2 2 2 2 2 2 2 2 2 40" xfId="8080" xr:uid="{54F5674A-2274-402D-A23B-7DBA8A63FA2B}"/>
    <cellStyle name="Normal 2 2 2 2 2 2 2 2 2 2 2 2 2 2 2 2 2 2 2 2 41" xfId="8081" xr:uid="{B217CF90-E630-47DF-A5BB-5986206E41BA}"/>
    <cellStyle name="Normal 2 2 2 2 2 2 2 2 2 2 2 2 2 2 2 2 2 2 2 2 42" xfId="8082" xr:uid="{A51DBDD2-91C7-43B6-94B4-BB8BD66EFD3E}"/>
    <cellStyle name="Normal 2 2 2 2 2 2 2 2 2 2 2 2 2 2 2 2 2 2 2 2 43" xfId="8083" xr:uid="{CF62AD6D-763E-4433-A3B4-ECE3587DB7D0}"/>
    <cellStyle name="Normal 2 2 2 2 2 2 2 2 2 2 2 2 2 2 2 2 2 2 2 2 44" xfId="8084" xr:uid="{7F3DC151-1FCC-4E05-956B-4370BBCC423E}"/>
    <cellStyle name="Normal 2 2 2 2 2 2 2 2 2 2 2 2 2 2 2 2 2 2 2 2 45" xfId="8085" xr:uid="{8F716F02-4AFD-4CC5-9B58-78214B67A122}"/>
    <cellStyle name="Normal 2 2 2 2 2 2 2 2 2 2 2 2 2 2 2 2 2 2 2 2 46" xfId="8086" xr:uid="{0B8A3A45-08B3-4AB3-814E-4383C7622A83}"/>
    <cellStyle name="Normal 2 2 2 2 2 2 2 2 2 2 2 2 2 2 2 2 2 2 2 2 47" xfId="8087" xr:uid="{D24237E8-DBF0-4791-B0CF-2D27BB77AFDF}"/>
    <cellStyle name="Normal 2 2 2 2 2 2 2 2 2 2 2 2 2 2 2 2 2 2 2 2 48" xfId="8088" xr:uid="{03E9218F-1282-47EA-8555-E71A1BCF8D9F}"/>
    <cellStyle name="Normal 2 2 2 2 2 2 2 2 2 2 2 2 2 2 2 2 2 2 2 2 49" xfId="8089" xr:uid="{311F87C5-C046-4B50-ABED-28943E8069F6}"/>
    <cellStyle name="Normal 2 2 2 2 2 2 2 2 2 2 2 2 2 2 2 2 2 2 2 2 5" xfId="8090" xr:uid="{FAC31312-9EE4-4AA7-965E-44BAFED1CC57}"/>
    <cellStyle name="Normal 2 2 2 2 2 2 2 2 2 2 2 2 2 2 2 2 2 2 2 2 50" xfId="8091" xr:uid="{2E54B845-721A-4044-9EF0-452887ECE565}"/>
    <cellStyle name="Normal 2 2 2 2 2 2 2 2 2 2 2 2 2 2 2 2 2 2 2 2 51" xfId="8092" xr:uid="{73100CB8-5186-4A28-ABD5-5A5E02CCE7D2}"/>
    <cellStyle name="Normal 2 2 2 2 2 2 2 2 2 2 2 2 2 2 2 2 2 2 2 2 52" xfId="8093" xr:uid="{BFEA9D65-218E-44C6-8524-977098D3E0AE}"/>
    <cellStyle name="Normal 2 2 2 2 2 2 2 2 2 2 2 2 2 2 2 2 2 2 2 2 53" xfId="8094" xr:uid="{46B7D322-70A0-4962-A1B5-A9BEBB5ADCF4}"/>
    <cellStyle name="Normal 2 2 2 2 2 2 2 2 2 2 2 2 2 2 2 2 2 2 2 2 54" xfId="8095" xr:uid="{810A44B7-07A2-4C96-8B8A-EB0C1CF0AA69}"/>
    <cellStyle name="Normal 2 2 2 2 2 2 2 2 2 2 2 2 2 2 2 2 2 2 2 2 55" xfId="8096" xr:uid="{31023767-3CB4-425C-BE17-AB378197CD1C}"/>
    <cellStyle name="Normal 2 2 2 2 2 2 2 2 2 2 2 2 2 2 2 2 2 2 2 2 56" xfId="8097" xr:uid="{B0388DEC-DD9B-429A-9B93-678A688DEAD7}"/>
    <cellStyle name="Normal 2 2 2 2 2 2 2 2 2 2 2 2 2 2 2 2 2 2 2 2 57" xfId="8098" xr:uid="{4876B0AF-16BB-47D5-971C-5AA00C9013A6}"/>
    <cellStyle name="Normal 2 2 2 2 2 2 2 2 2 2 2 2 2 2 2 2 2 2 2 2 58" xfId="8099" xr:uid="{1437BA33-205B-42B3-BFC2-F21F63EF729C}"/>
    <cellStyle name="Normal 2 2 2 2 2 2 2 2 2 2 2 2 2 2 2 2 2 2 2 2 59" xfId="8100" xr:uid="{66E0A70C-00A6-40B0-979A-91DF55BF93C9}"/>
    <cellStyle name="Normal 2 2 2 2 2 2 2 2 2 2 2 2 2 2 2 2 2 2 2 2 6" xfId="8101" xr:uid="{2EA5F8EB-DFC6-4F20-9A98-38838A4E2A18}"/>
    <cellStyle name="Normal 2 2 2 2 2 2 2 2 2 2 2 2 2 2 2 2 2 2 2 2 60" xfId="8102" xr:uid="{6EDAAE25-FAC2-48A4-A3AC-E425C7CDC47C}"/>
    <cellStyle name="Normal 2 2 2 2 2 2 2 2 2 2 2 2 2 2 2 2 2 2 2 2 61" xfId="8103" xr:uid="{DDEDB55B-9490-42E5-911C-2ACA6E243BE9}"/>
    <cellStyle name="Normal 2 2 2 2 2 2 2 2 2 2 2 2 2 2 2 2 2 2 2 2 62" xfId="8104" xr:uid="{F42B6C27-30E3-4472-9752-AA48E6C7C6A5}"/>
    <cellStyle name="Normal 2 2 2 2 2 2 2 2 2 2 2 2 2 2 2 2 2 2 2 2 63" xfId="8105" xr:uid="{CC6ADE9C-18FC-43E0-8554-3A3744BB405C}"/>
    <cellStyle name="Normal 2 2 2 2 2 2 2 2 2 2 2 2 2 2 2 2 2 2 2 2 64" xfId="8106" xr:uid="{5E44207B-B088-4FC4-BD21-B31EBAD042B3}"/>
    <cellStyle name="Normal 2 2 2 2 2 2 2 2 2 2 2 2 2 2 2 2 2 2 2 2 65" xfId="8107" xr:uid="{5DDC1595-9A11-4AD2-927A-B717898544F3}"/>
    <cellStyle name="Normal 2 2 2 2 2 2 2 2 2 2 2 2 2 2 2 2 2 2 2 2 66" xfId="8108" xr:uid="{C2B3623A-4679-4929-8A1C-EEE742B5C242}"/>
    <cellStyle name="Normal 2 2 2 2 2 2 2 2 2 2 2 2 2 2 2 2 2 2 2 2 67" xfId="8109" xr:uid="{3E8342DA-A801-4238-B752-938DFF067686}"/>
    <cellStyle name="Normal 2 2 2 2 2 2 2 2 2 2 2 2 2 2 2 2 2 2 2 2 68" xfId="8110" xr:uid="{75C3719A-06A3-4D1F-BCF6-522F513E0C00}"/>
    <cellStyle name="Normal 2 2 2 2 2 2 2 2 2 2 2 2 2 2 2 2 2 2 2 2 69" xfId="8111" xr:uid="{1D5FBE33-E99E-406B-A538-3F402DB841CA}"/>
    <cellStyle name="Normal 2 2 2 2 2 2 2 2 2 2 2 2 2 2 2 2 2 2 2 2 7" xfId="8112" xr:uid="{16F41FF1-7C6D-42C6-9881-391E4F776890}"/>
    <cellStyle name="Normal 2 2 2 2 2 2 2 2 2 2 2 2 2 2 2 2 2 2 2 2 70" xfId="8113" xr:uid="{EC03EAF7-5CE9-4CFE-BE85-D7CB770C44B0}"/>
    <cellStyle name="Normal 2 2 2 2 2 2 2 2 2 2 2 2 2 2 2 2 2 2 2 2 70 2" xfId="8114" xr:uid="{36B72785-C850-41FE-AE5E-55FBEAF6AEF7}"/>
    <cellStyle name="Normal 2 2 2 2 2 2 2 2 2 2 2 2 2 2 2 2 2 2 2 2 70 3" xfId="8115" xr:uid="{D4BC27DE-E0A1-451C-BF6D-09B672B8CE9F}"/>
    <cellStyle name="Normal 2 2 2 2 2 2 2 2 2 2 2 2 2 2 2 2 2 2 2 2 70 4" xfId="8116" xr:uid="{9D87EC22-199F-414C-AA0A-FAA82B014FC6}"/>
    <cellStyle name="Normal 2 2 2 2 2 2 2 2 2 2 2 2 2 2 2 2 2 2 2 2 71" xfId="8117" xr:uid="{001AF6BE-A7B4-49E2-BF44-9CE5AB9F9E3E}"/>
    <cellStyle name="Normal 2 2 2 2 2 2 2 2 2 2 2 2 2 2 2 2 2 2 2 2 72" xfId="8118" xr:uid="{86631E3E-229A-40A7-9D4F-EB5FF9FC348A}"/>
    <cellStyle name="Normal 2 2 2 2 2 2 2 2 2 2 2 2 2 2 2 2 2 2 2 2 8" xfId="8119" xr:uid="{7905AC7A-9E6A-4B89-B126-09F8C4C499F5}"/>
    <cellStyle name="Normal 2 2 2 2 2 2 2 2 2 2 2 2 2 2 2 2 2 2 2 2 8 2" xfId="8120" xr:uid="{DA46F296-8288-4763-9C2F-A050DFB65E3E}"/>
    <cellStyle name="Normal 2 2 2 2 2 2 2 2 2 2 2 2 2 2 2 2 2 2 2 2 8 3" xfId="8121" xr:uid="{C79A6FAE-9DEA-4616-A050-47B078F5C4F2}"/>
    <cellStyle name="Normal 2 2 2 2 2 2 2 2 2 2 2 2 2 2 2 2 2 2 2 2 8 4" xfId="8122" xr:uid="{3864F154-9C4E-4E2F-80EC-E70FF90C85BC}"/>
    <cellStyle name="Normal 2 2 2 2 2 2 2 2 2 2 2 2 2 2 2 2 2 2 2 2 9" xfId="8123" xr:uid="{581A26CE-7169-46E5-AD39-60E485E252F2}"/>
    <cellStyle name="Normal 2 2 2 2 2 2 2 2 2 2 2 2 2 2 2 2 2 2 2 20" xfId="8124" xr:uid="{520B0AB8-4279-41CD-8691-31F134979859}"/>
    <cellStyle name="Normal 2 2 2 2 2 2 2 2 2 2 2 2 2 2 2 2 2 2 2 21" xfId="8125" xr:uid="{506A90B6-DF98-45A6-8742-7DA58C4226A4}"/>
    <cellStyle name="Normal 2 2 2 2 2 2 2 2 2 2 2 2 2 2 2 2 2 2 2 22" xfId="8126" xr:uid="{6EA1EC72-E24C-4002-885C-5A2A4DFCF4B5}"/>
    <cellStyle name="Normal 2 2 2 2 2 2 2 2 2 2 2 2 2 2 2 2 2 2 2 23" xfId="8127" xr:uid="{5883E112-B1D2-4526-9BA0-8FFD1AE454A8}"/>
    <cellStyle name="Normal 2 2 2 2 2 2 2 2 2 2 2 2 2 2 2 2 2 2 2 23 2" xfId="8128" xr:uid="{E9A8122D-FFDB-4A66-B4AB-7EB45F6502EA}"/>
    <cellStyle name="Normal 2 2 2 2 2 2 2 2 2 2 2 2 2 2 2 2 2 2 2 23 3" xfId="8129" xr:uid="{81F2D4AB-AA5F-4870-BD7C-60D15C4093F6}"/>
    <cellStyle name="Normal 2 2 2 2 2 2 2 2 2 2 2 2 2 2 2 2 2 2 2 23 4" xfId="8130" xr:uid="{13A7E790-9298-4A64-8573-41A35D444FF2}"/>
    <cellStyle name="Normal 2 2 2 2 2 2 2 2 2 2 2 2 2 2 2 2 2 2 2 23 5" xfId="8131" xr:uid="{829DC99D-ED7E-4986-8A9F-4723B9881DA4}"/>
    <cellStyle name="Normal 2 2 2 2 2 2 2 2 2 2 2 2 2 2 2 2 2 2 2 23 6" xfId="8132" xr:uid="{12C762D2-B6F3-4A4A-8C7C-8217730A5BDD}"/>
    <cellStyle name="Normal 2 2 2 2 2 2 2 2 2 2 2 2 2 2 2 2 2 2 2 23 7" xfId="8133" xr:uid="{97D4CFB0-216B-4F14-9271-EB090A927D8E}"/>
    <cellStyle name="Normal 2 2 2 2 2 2 2 2 2 2 2 2 2 2 2 2 2 2 2 24" xfId="8134" xr:uid="{A9142515-700F-47D5-B1AA-17CB94A03A65}"/>
    <cellStyle name="Normal 2 2 2 2 2 2 2 2 2 2 2 2 2 2 2 2 2 2 2 25" xfId="8135" xr:uid="{F6CC3D95-BB46-4AF5-B982-611153AC1ABD}"/>
    <cellStyle name="Normal 2 2 2 2 2 2 2 2 2 2 2 2 2 2 2 2 2 2 2 26" xfId="8136" xr:uid="{8FC27088-5D5A-421B-9052-B598887B115A}"/>
    <cellStyle name="Normal 2 2 2 2 2 2 2 2 2 2 2 2 2 2 2 2 2 2 2 27" xfId="8137" xr:uid="{5DFC91ED-2374-4D25-9D0E-B0A43E3DF4C9}"/>
    <cellStyle name="Normal 2 2 2 2 2 2 2 2 2 2 2 2 2 2 2 2 2 2 2 28" xfId="8138" xr:uid="{AFB85404-DAD4-4A0A-B6C4-1E8F55250A39}"/>
    <cellStyle name="Normal 2 2 2 2 2 2 2 2 2 2 2 2 2 2 2 2 2 2 2 29" xfId="8139" xr:uid="{433C25AF-08A3-4C19-92D3-9F38B8A1BC92}"/>
    <cellStyle name="Normal 2 2 2 2 2 2 2 2 2 2 2 2 2 2 2 2 2 2 2 3" xfId="8140" xr:uid="{8CDC2AE6-F3F4-408C-8634-F8C048CD116D}"/>
    <cellStyle name="Normal 2 2 2 2 2 2 2 2 2 2 2 2 2 2 2 2 2 2 2 3 2" xfId="8141" xr:uid="{42514B72-DF66-4506-B0A3-1A80637A3C79}"/>
    <cellStyle name="Normal 2 2 2 2 2 2 2 2 2 2 2 2 2 2 2 2 2 2 2 3 2 2" xfId="8142" xr:uid="{F33F8B50-4F8F-42F4-BEE6-0B64FAA91353}"/>
    <cellStyle name="Normal 2 2 2 2 2 2 2 2 2 2 2 2 2 2 2 2 2 2 2 3 2 3" xfId="8143" xr:uid="{FC8918D1-4B3D-42FB-BF08-A58D74BFE4CE}"/>
    <cellStyle name="Normal 2 2 2 2 2 2 2 2 2 2 2 2 2 2 2 2 2 2 2 3 2 4" xfId="8144" xr:uid="{120C76DE-0123-406C-9560-0CD23F0D28C5}"/>
    <cellStyle name="Normal 2 2 2 2 2 2 2 2 2 2 2 2 2 2 2 2 2 2 2 3 3" xfId="8145" xr:uid="{B012715D-98AA-48C5-97E8-F6B5B50C3AF4}"/>
    <cellStyle name="Normal 2 2 2 2 2 2 2 2 2 2 2 2 2 2 2 2 2 2 2 3 4" xfId="8146" xr:uid="{8DA1EDC3-E07A-4A01-B3EB-B7EF1BBA113C}"/>
    <cellStyle name="Normal 2 2 2 2 2 2 2 2 2 2 2 2 2 2 2 2 2 2 2 3 5" xfId="8147" xr:uid="{F552DD35-8AA0-4ECE-9550-0FDDD24CB38A}"/>
    <cellStyle name="Normal 2 2 2 2 2 2 2 2 2 2 2 2 2 2 2 2 2 2 2 3 6" xfId="8148" xr:uid="{1F124EFC-F9E9-4A37-A258-558D65F3BAF1}"/>
    <cellStyle name="Normal 2 2 2 2 2 2 2 2 2 2 2 2 2 2 2 2 2 2 2 30" xfId="8149" xr:uid="{41258C87-09B8-4797-AF2D-175760C41EC0}"/>
    <cellStyle name="Normal 2 2 2 2 2 2 2 2 2 2 2 2 2 2 2 2 2 2 2 31" xfId="8150" xr:uid="{185FC3BA-15B3-41CC-90C6-383BDBB0ED0C}"/>
    <cellStyle name="Normal 2 2 2 2 2 2 2 2 2 2 2 2 2 2 2 2 2 2 2 32" xfId="8151" xr:uid="{4C59544B-18F3-4455-B528-1F816A2FF6F7}"/>
    <cellStyle name="Normal 2 2 2 2 2 2 2 2 2 2 2 2 2 2 2 2 2 2 2 33" xfId="8152" xr:uid="{1C4CC5C3-AF26-4005-9449-0E94C2D486AE}"/>
    <cellStyle name="Normal 2 2 2 2 2 2 2 2 2 2 2 2 2 2 2 2 2 2 2 34" xfId="8153" xr:uid="{FEA3B704-58DE-4F07-8576-5875CA5AB001}"/>
    <cellStyle name="Normal 2 2 2 2 2 2 2 2 2 2 2 2 2 2 2 2 2 2 2 35" xfId="8154" xr:uid="{D2D5A3FE-36B1-463C-B264-24C630E74CB3}"/>
    <cellStyle name="Normal 2 2 2 2 2 2 2 2 2 2 2 2 2 2 2 2 2 2 2 36" xfId="8155" xr:uid="{38E9EBE3-2597-4E03-828E-C4D5E3BF8117}"/>
    <cellStyle name="Normal 2 2 2 2 2 2 2 2 2 2 2 2 2 2 2 2 2 2 2 37" xfId="8156" xr:uid="{1012D339-FB6C-43AE-B279-57B9ED3EC192}"/>
    <cellStyle name="Normal 2 2 2 2 2 2 2 2 2 2 2 2 2 2 2 2 2 2 2 38" xfId="8157" xr:uid="{4338CD11-B5FA-46B9-A6B3-4BAD88211FD7}"/>
    <cellStyle name="Normal 2 2 2 2 2 2 2 2 2 2 2 2 2 2 2 2 2 2 2 39" xfId="8158" xr:uid="{35431070-9D96-4B3C-88DF-B3E3B52A737C}"/>
    <cellStyle name="Normal 2 2 2 2 2 2 2 2 2 2 2 2 2 2 2 2 2 2 2 4" xfId="8159" xr:uid="{7577EB58-FA50-4866-8472-68B4B2FA4266}"/>
    <cellStyle name="Normal 2 2 2 2 2 2 2 2 2 2 2 2 2 2 2 2 2 2 2 40" xfId="8160" xr:uid="{51E856E4-5D70-4D28-ABAF-5323878DB627}"/>
    <cellStyle name="Normal 2 2 2 2 2 2 2 2 2 2 2 2 2 2 2 2 2 2 2 41" xfId="8161" xr:uid="{E99147F5-147B-482D-94ED-1B805B7BDADA}"/>
    <cellStyle name="Normal 2 2 2 2 2 2 2 2 2 2 2 2 2 2 2 2 2 2 2 42" xfId="8162" xr:uid="{F0FB2429-F601-4CFA-9D5E-3FEDE728889C}"/>
    <cellStyle name="Normal 2 2 2 2 2 2 2 2 2 2 2 2 2 2 2 2 2 2 2 43" xfId="8163" xr:uid="{6F765940-B638-436D-8B8F-A2A6AAFF1BE1}"/>
    <cellStyle name="Normal 2 2 2 2 2 2 2 2 2 2 2 2 2 2 2 2 2 2 2 44" xfId="8164" xr:uid="{9332AF24-4E3A-4096-8905-243E34E1703A}"/>
    <cellStyle name="Normal 2 2 2 2 2 2 2 2 2 2 2 2 2 2 2 2 2 2 2 45" xfId="8165" xr:uid="{DED2FD1F-79B0-4489-9623-C33DBF9839F6}"/>
    <cellStyle name="Normal 2 2 2 2 2 2 2 2 2 2 2 2 2 2 2 2 2 2 2 46" xfId="8166" xr:uid="{0EE5440E-25E1-4345-BEE6-694A666947CB}"/>
    <cellStyle name="Normal 2 2 2 2 2 2 2 2 2 2 2 2 2 2 2 2 2 2 2 47" xfId="8167" xr:uid="{5201C29A-2179-44DB-91B6-FC616993DBE2}"/>
    <cellStyle name="Normal 2 2 2 2 2 2 2 2 2 2 2 2 2 2 2 2 2 2 2 48" xfId="8168" xr:uid="{1C5B0265-3A12-4A6F-BE29-6E873B97960B}"/>
    <cellStyle name="Normal 2 2 2 2 2 2 2 2 2 2 2 2 2 2 2 2 2 2 2 49" xfId="8169" xr:uid="{3A679E4B-2932-44B5-BF1A-C33B54A1875E}"/>
    <cellStyle name="Normal 2 2 2 2 2 2 2 2 2 2 2 2 2 2 2 2 2 2 2 5" xfId="8170" xr:uid="{EEC41C82-3176-4CC8-9CDE-96BC02D9075D}"/>
    <cellStyle name="Normal 2 2 2 2 2 2 2 2 2 2 2 2 2 2 2 2 2 2 2 50" xfId="8171" xr:uid="{041BB424-38FE-4787-B9ED-5935B3034034}"/>
    <cellStyle name="Normal 2 2 2 2 2 2 2 2 2 2 2 2 2 2 2 2 2 2 2 51" xfId="8172" xr:uid="{24E02487-B5AC-45FC-8BF1-611CD4D89F90}"/>
    <cellStyle name="Normal 2 2 2 2 2 2 2 2 2 2 2 2 2 2 2 2 2 2 2 52" xfId="8173" xr:uid="{033668E4-12C9-49D9-A002-0F2C226395CC}"/>
    <cellStyle name="Normal 2 2 2 2 2 2 2 2 2 2 2 2 2 2 2 2 2 2 2 53" xfId="8174" xr:uid="{82FF5361-823C-45F9-A863-9A8D0582A121}"/>
    <cellStyle name="Normal 2 2 2 2 2 2 2 2 2 2 2 2 2 2 2 2 2 2 2 54" xfId="8175" xr:uid="{01650E3A-D64B-430F-87E2-0FB19D9772AA}"/>
    <cellStyle name="Normal 2 2 2 2 2 2 2 2 2 2 2 2 2 2 2 2 2 2 2 55" xfId="8176" xr:uid="{2960D380-346E-4B1B-A79B-92AF3909B654}"/>
    <cellStyle name="Normal 2 2 2 2 2 2 2 2 2 2 2 2 2 2 2 2 2 2 2 56" xfId="8177" xr:uid="{ECA68C9E-8844-4BE2-AAC2-31665B9E8004}"/>
    <cellStyle name="Normal 2 2 2 2 2 2 2 2 2 2 2 2 2 2 2 2 2 2 2 57" xfId="8178" xr:uid="{8C720724-E68D-428F-8377-0F07A32343CF}"/>
    <cellStyle name="Normal 2 2 2 2 2 2 2 2 2 2 2 2 2 2 2 2 2 2 2 58" xfId="8179" xr:uid="{3CD2ED82-B536-459A-BBCC-E79B518FC9A3}"/>
    <cellStyle name="Normal 2 2 2 2 2 2 2 2 2 2 2 2 2 2 2 2 2 2 2 59" xfId="8180" xr:uid="{D7E5143F-9F6B-4A08-B696-65C2194F058E}"/>
    <cellStyle name="Normal 2 2 2 2 2 2 2 2 2 2 2 2 2 2 2 2 2 2 2 6" xfId="8181" xr:uid="{6A6C2A33-2965-4186-9FBB-599B27956EA8}"/>
    <cellStyle name="Normal 2 2 2 2 2 2 2 2 2 2 2 2 2 2 2 2 2 2 2 60" xfId="8182" xr:uid="{4F11DD1A-C24D-4239-B023-50AD68E00271}"/>
    <cellStyle name="Normal 2 2 2 2 2 2 2 2 2 2 2 2 2 2 2 2 2 2 2 61" xfId="8183" xr:uid="{36DF3405-1F06-41B2-8A08-EA7CFF5A5175}"/>
    <cellStyle name="Normal 2 2 2 2 2 2 2 2 2 2 2 2 2 2 2 2 2 2 2 62" xfId="8184" xr:uid="{0037111C-5E23-4E1F-8133-C020AD81EE59}"/>
    <cellStyle name="Normal 2 2 2 2 2 2 2 2 2 2 2 2 2 2 2 2 2 2 2 63" xfId="8185" xr:uid="{541FC8C5-FE10-4215-A9B1-AF634AB221AF}"/>
    <cellStyle name="Normal 2 2 2 2 2 2 2 2 2 2 2 2 2 2 2 2 2 2 2 64" xfId="8186" xr:uid="{95A8C044-D752-4A6A-A94F-EB188E082333}"/>
    <cellStyle name="Normal 2 2 2 2 2 2 2 2 2 2 2 2 2 2 2 2 2 2 2 65" xfId="8187" xr:uid="{55983881-0881-4B8E-9A43-A6E5FEFF63BB}"/>
    <cellStyle name="Normal 2 2 2 2 2 2 2 2 2 2 2 2 2 2 2 2 2 2 2 66" xfId="8188" xr:uid="{F5E1E8F9-0045-4032-980B-035146613915}"/>
    <cellStyle name="Normal 2 2 2 2 2 2 2 2 2 2 2 2 2 2 2 2 2 2 2 67" xfId="8189" xr:uid="{58C44441-1C67-4CB8-B4F5-024ACE834BBA}"/>
    <cellStyle name="Normal 2 2 2 2 2 2 2 2 2 2 2 2 2 2 2 2 2 2 2 68" xfId="8190" xr:uid="{19A27934-61DA-4831-BE17-0156B546469C}"/>
    <cellStyle name="Normal 2 2 2 2 2 2 2 2 2 2 2 2 2 2 2 2 2 2 2 69" xfId="8191" xr:uid="{B995733C-804F-4665-B37A-EB6918875EEB}"/>
    <cellStyle name="Normal 2 2 2 2 2 2 2 2 2 2 2 2 2 2 2 2 2 2 2 7" xfId="8192" xr:uid="{EA0D15EC-CFE1-4D79-9B16-5E3A992F1AAB}"/>
    <cellStyle name="Normal 2 2 2 2 2 2 2 2 2 2 2 2 2 2 2 2 2 2 2 70" xfId="8193" xr:uid="{32D6050E-6EB2-4DF6-BFFA-AA04679EC635}"/>
    <cellStyle name="Normal 2 2 2 2 2 2 2 2 2 2 2 2 2 2 2 2 2 2 2 70 2" xfId="8194" xr:uid="{948D4BC7-B1BD-483E-BC8C-D13D2EB3CC2F}"/>
    <cellStyle name="Normal 2 2 2 2 2 2 2 2 2 2 2 2 2 2 2 2 2 2 2 70 3" xfId="8195" xr:uid="{4F2910F5-839A-4C5E-8619-F962B2B26279}"/>
    <cellStyle name="Normal 2 2 2 2 2 2 2 2 2 2 2 2 2 2 2 2 2 2 2 70 4" xfId="8196" xr:uid="{9860580B-C2F6-4BFF-9AC4-675C3E9563C2}"/>
    <cellStyle name="Normal 2 2 2 2 2 2 2 2 2 2 2 2 2 2 2 2 2 2 2 71" xfId="8197" xr:uid="{BF466AFA-2734-43FF-854B-F0A6DE867285}"/>
    <cellStyle name="Normal 2 2 2 2 2 2 2 2 2 2 2 2 2 2 2 2 2 2 2 72" xfId="8198" xr:uid="{DA54A181-CDC3-4920-A0AC-DE8419627064}"/>
    <cellStyle name="Normal 2 2 2 2 2 2 2 2 2 2 2 2 2 2 2 2 2 2 2 8" xfId="8199" xr:uid="{D3327452-1445-469C-A974-1717079C1487}"/>
    <cellStyle name="Normal 2 2 2 2 2 2 2 2 2 2 2 2 2 2 2 2 2 2 2 8 2" xfId="8200" xr:uid="{28F1582B-BD8C-45A7-B3EE-E0D3F83264DE}"/>
    <cellStyle name="Normal 2 2 2 2 2 2 2 2 2 2 2 2 2 2 2 2 2 2 2 8 3" xfId="8201" xr:uid="{09B5F0F8-22B7-4168-B22E-F9D44AC646F9}"/>
    <cellStyle name="Normal 2 2 2 2 2 2 2 2 2 2 2 2 2 2 2 2 2 2 2 8 4" xfId="8202" xr:uid="{F97DFEBA-D762-4701-9EBD-AAC5B90AA55F}"/>
    <cellStyle name="Normal 2 2 2 2 2 2 2 2 2 2 2 2 2 2 2 2 2 2 2 9" xfId="8203" xr:uid="{C6D8EE3A-9AB5-4DE8-AE75-5C427E646134}"/>
    <cellStyle name="Normal 2 2 2 2 2 2 2 2 2 2 2 2 2 2 2 2 2 2 20" xfId="8204" xr:uid="{2A0791F7-982C-4690-8C34-F3789E04D9CB}"/>
    <cellStyle name="Normal 2 2 2 2 2 2 2 2 2 2 2 2 2 2 2 2 2 2 21" xfId="8205" xr:uid="{396BF222-623B-48FC-882A-2765DFD08314}"/>
    <cellStyle name="Normal 2 2 2 2 2 2 2 2 2 2 2 2 2 2 2 2 2 2 22" xfId="8206" xr:uid="{21D9DD34-4ED2-41C5-B0D4-4C076D7E41B4}"/>
    <cellStyle name="Normal 2 2 2 2 2 2 2 2 2 2 2 2 2 2 2 2 2 2 23" xfId="8207" xr:uid="{B0CA6A7A-F3D8-403D-BE69-D1A053C6A9AB}"/>
    <cellStyle name="Normal 2 2 2 2 2 2 2 2 2 2 2 2 2 2 2 2 2 2 24" xfId="8208" xr:uid="{EBB1E171-A786-4D12-86E0-6A1009A73B8A}"/>
    <cellStyle name="Normal 2 2 2 2 2 2 2 2 2 2 2 2 2 2 2 2 2 2 25" xfId="8209" xr:uid="{3B6B9AEA-CE39-4CD8-882D-0769462A493B}"/>
    <cellStyle name="Normal 2 2 2 2 2 2 2 2 2 2 2 2 2 2 2 2 2 2 26" xfId="8210" xr:uid="{AD8607FB-65C2-49DD-9A85-1627CB065629}"/>
    <cellStyle name="Normal 2 2 2 2 2 2 2 2 2 2 2 2 2 2 2 2 2 2 26 2" xfId="8211" xr:uid="{FCCD5F60-C288-4FC9-84E7-80653F96682F}"/>
    <cellStyle name="Normal 2 2 2 2 2 2 2 2 2 2 2 2 2 2 2 2 2 2 26 3" xfId="8212" xr:uid="{5F4B483E-D35B-41A7-8F22-18A057E9D814}"/>
    <cellStyle name="Normal 2 2 2 2 2 2 2 2 2 2 2 2 2 2 2 2 2 2 26 4" xfId="8213" xr:uid="{E33C1328-E75C-4931-9EB3-376F52A67301}"/>
    <cellStyle name="Normal 2 2 2 2 2 2 2 2 2 2 2 2 2 2 2 2 2 2 26 5" xfId="8214" xr:uid="{D581E2D1-601E-4745-B460-F36E19D153DA}"/>
    <cellStyle name="Normal 2 2 2 2 2 2 2 2 2 2 2 2 2 2 2 2 2 2 26 6" xfId="8215" xr:uid="{898F6487-05AF-474E-8516-9C5E2519D111}"/>
    <cellStyle name="Normal 2 2 2 2 2 2 2 2 2 2 2 2 2 2 2 2 2 2 26 7" xfId="8216" xr:uid="{A8766C3A-67E9-402A-942F-56EDF2981B49}"/>
    <cellStyle name="Normal 2 2 2 2 2 2 2 2 2 2 2 2 2 2 2 2 2 2 27" xfId="8217" xr:uid="{CD8856EA-8BB8-4B7C-AD10-4A14F3969C39}"/>
    <cellStyle name="Normal 2 2 2 2 2 2 2 2 2 2 2 2 2 2 2 2 2 2 28" xfId="8218" xr:uid="{6428321C-D0E7-4876-83F7-9D4EDC199D70}"/>
    <cellStyle name="Normal 2 2 2 2 2 2 2 2 2 2 2 2 2 2 2 2 2 2 29" xfId="8219" xr:uid="{7C8DA51F-98A0-43B5-A5B9-5BFF8BA6361D}"/>
    <cellStyle name="Normal 2 2 2 2 2 2 2 2 2 2 2 2 2 2 2 2 2 2 3" xfId="8220" xr:uid="{174DE8FD-44D5-4670-9708-4F2D98D471A7}"/>
    <cellStyle name="Normal 2 2 2 2 2 2 2 2 2 2 2 2 2 2 2 2 2 2 30" xfId="8221" xr:uid="{D59EDEFB-C03A-41D4-9329-7D3629D81C48}"/>
    <cellStyle name="Normal 2 2 2 2 2 2 2 2 2 2 2 2 2 2 2 2 2 2 31" xfId="8222" xr:uid="{56F08112-71B7-423C-AC96-11C1AE4479F2}"/>
    <cellStyle name="Normal 2 2 2 2 2 2 2 2 2 2 2 2 2 2 2 2 2 2 32" xfId="8223" xr:uid="{58767A37-457E-4465-AE13-8652936C72FB}"/>
    <cellStyle name="Normal 2 2 2 2 2 2 2 2 2 2 2 2 2 2 2 2 2 2 33" xfId="8224" xr:uid="{80E5ED26-9315-4FA7-BD16-B0A98608DEFE}"/>
    <cellStyle name="Normal 2 2 2 2 2 2 2 2 2 2 2 2 2 2 2 2 2 2 34" xfId="8225" xr:uid="{EB81F30C-F96C-4C71-88A2-D617E87BD798}"/>
    <cellStyle name="Normal 2 2 2 2 2 2 2 2 2 2 2 2 2 2 2 2 2 2 35" xfId="8226" xr:uid="{1FB6913D-E4D1-43B9-8406-4A2D11FBB514}"/>
    <cellStyle name="Normal 2 2 2 2 2 2 2 2 2 2 2 2 2 2 2 2 2 2 36" xfId="8227" xr:uid="{B51D2A03-DD56-429C-8E33-99D7B41D0A4D}"/>
    <cellStyle name="Normal 2 2 2 2 2 2 2 2 2 2 2 2 2 2 2 2 2 2 37" xfId="8228" xr:uid="{005573BE-951A-4F4D-BB98-C1B5C6AA23AC}"/>
    <cellStyle name="Normal 2 2 2 2 2 2 2 2 2 2 2 2 2 2 2 2 2 2 38" xfId="8229" xr:uid="{A691F07F-6C0F-4E56-BE32-B030EDF0AEAF}"/>
    <cellStyle name="Normal 2 2 2 2 2 2 2 2 2 2 2 2 2 2 2 2 2 2 39" xfId="8230" xr:uid="{BC3FCFD3-C7C4-4E78-8AF6-ABFCA0C8DC2D}"/>
    <cellStyle name="Normal 2 2 2 2 2 2 2 2 2 2 2 2 2 2 2 2 2 2 4" xfId="8231" xr:uid="{A5886A83-00CC-475A-962B-873F3DE6DD09}"/>
    <cellStyle name="Normal 2 2 2 2 2 2 2 2 2 2 2 2 2 2 2 2 2 2 40" xfId="8232" xr:uid="{06F98C2F-58D6-4075-BC68-19C0F34FAEB6}"/>
    <cellStyle name="Normal 2 2 2 2 2 2 2 2 2 2 2 2 2 2 2 2 2 2 41" xfId="8233" xr:uid="{4F2A2425-B198-4A65-9296-EA597164800D}"/>
    <cellStyle name="Normal 2 2 2 2 2 2 2 2 2 2 2 2 2 2 2 2 2 2 42" xfId="8234" xr:uid="{5F7329A9-4D34-42AE-B9AF-6E374F3F38DC}"/>
    <cellStyle name="Normal 2 2 2 2 2 2 2 2 2 2 2 2 2 2 2 2 2 2 43" xfId="8235" xr:uid="{CA743571-54B2-4AC3-8291-A79864A46D11}"/>
    <cellStyle name="Normal 2 2 2 2 2 2 2 2 2 2 2 2 2 2 2 2 2 2 44" xfId="8236" xr:uid="{5D4C3D60-87F4-418F-85FD-B92AA66F8AC5}"/>
    <cellStyle name="Normal 2 2 2 2 2 2 2 2 2 2 2 2 2 2 2 2 2 2 45" xfId="8237" xr:uid="{142823A2-F4CB-4D2F-B11D-FA74ECEB68BE}"/>
    <cellStyle name="Normal 2 2 2 2 2 2 2 2 2 2 2 2 2 2 2 2 2 2 46" xfId="8238" xr:uid="{D80662EE-FD59-482D-8585-A63C484CF965}"/>
    <cellStyle name="Normal 2 2 2 2 2 2 2 2 2 2 2 2 2 2 2 2 2 2 47" xfId="8239" xr:uid="{2C753F8E-404A-4EB7-9B4C-3C9C0371DD8D}"/>
    <cellStyle name="Normal 2 2 2 2 2 2 2 2 2 2 2 2 2 2 2 2 2 2 48" xfId="8240" xr:uid="{185B14D0-9282-4457-8302-F1BBC2E5C91E}"/>
    <cellStyle name="Normal 2 2 2 2 2 2 2 2 2 2 2 2 2 2 2 2 2 2 49" xfId="8241" xr:uid="{12C85314-B93C-4BD6-BC4C-7356FEB8EC00}"/>
    <cellStyle name="Normal 2 2 2 2 2 2 2 2 2 2 2 2 2 2 2 2 2 2 5" xfId="8242" xr:uid="{55E64E4E-4592-4B08-99FD-1DB9F8AD92BB}"/>
    <cellStyle name="Normal 2 2 2 2 2 2 2 2 2 2 2 2 2 2 2 2 2 2 5 2" xfId="8243" xr:uid="{A3E6C02E-2FC0-4C60-83EB-1CFFD2CCF04E}"/>
    <cellStyle name="Normal 2 2 2 2 2 2 2 2 2 2 2 2 2 2 2 2 2 2 5 2 2" xfId="8244" xr:uid="{DA2634CD-D272-41BA-8DCF-7B024D822481}"/>
    <cellStyle name="Normal 2 2 2 2 2 2 2 2 2 2 2 2 2 2 2 2 2 2 5 2 3" xfId="8245" xr:uid="{5D7992CA-8202-422D-97E7-88F465468938}"/>
    <cellStyle name="Normal 2 2 2 2 2 2 2 2 2 2 2 2 2 2 2 2 2 2 5 2 4" xfId="8246" xr:uid="{8CBDD07F-4CA9-4930-B571-6D4E89233741}"/>
    <cellStyle name="Normal 2 2 2 2 2 2 2 2 2 2 2 2 2 2 2 2 2 2 5 3" xfId="8247" xr:uid="{D7D3ED66-6DD9-4A83-B337-8A178E18C877}"/>
    <cellStyle name="Normal 2 2 2 2 2 2 2 2 2 2 2 2 2 2 2 2 2 2 5 4" xfId="8248" xr:uid="{547B7F3E-F3A2-4104-BE39-92E6B9EBE832}"/>
    <cellStyle name="Normal 2 2 2 2 2 2 2 2 2 2 2 2 2 2 2 2 2 2 5 5" xfId="8249" xr:uid="{66CBDAC4-2B15-4B4C-87B1-2CDD6B3C8AC9}"/>
    <cellStyle name="Normal 2 2 2 2 2 2 2 2 2 2 2 2 2 2 2 2 2 2 5 6" xfId="8250" xr:uid="{5A1013CB-1B09-4128-88F9-643A89FE7F55}"/>
    <cellStyle name="Normal 2 2 2 2 2 2 2 2 2 2 2 2 2 2 2 2 2 2 50" xfId="8251" xr:uid="{AC71A51A-1962-4E56-982F-54938B30F7F6}"/>
    <cellStyle name="Normal 2 2 2 2 2 2 2 2 2 2 2 2 2 2 2 2 2 2 51" xfId="8252" xr:uid="{DD6FBD5B-165A-4482-865F-3F43BAEEBA9B}"/>
    <cellStyle name="Normal 2 2 2 2 2 2 2 2 2 2 2 2 2 2 2 2 2 2 52" xfId="8253" xr:uid="{B006E8F1-D62E-43B2-951B-2BBDF494FD7E}"/>
    <cellStyle name="Normal 2 2 2 2 2 2 2 2 2 2 2 2 2 2 2 2 2 2 53" xfId="8254" xr:uid="{3A7043A0-9681-452D-AFEC-486F8242EF2D}"/>
    <cellStyle name="Normal 2 2 2 2 2 2 2 2 2 2 2 2 2 2 2 2 2 2 54" xfId="8255" xr:uid="{605C595C-452C-4BFC-ADA1-93DB0A069DBE}"/>
    <cellStyle name="Normal 2 2 2 2 2 2 2 2 2 2 2 2 2 2 2 2 2 2 55" xfId="8256" xr:uid="{08B3CEB0-624B-4252-94C8-DBD06F4EC19A}"/>
    <cellStyle name="Normal 2 2 2 2 2 2 2 2 2 2 2 2 2 2 2 2 2 2 56" xfId="8257" xr:uid="{C28CFB2B-C179-4345-A8A5-29D3DFDDE62A}"/>
    <cellStyle name="Normal 2 2 2 2 2 2 2 2 2 2 2 2 2 2 2 2 2 2 57" xfId="8258" xr:uid="{B3DAD9DB-7715-4F74-92B3-179793600FFC}"/>
    <cellStyle name="Normal 2 2 2 2 2 2 2 2 2 2 2 2 2 2 2 2 2 2 58" xfId="8259" xr:uid="{9B18ABEA-4CD1-4222-B7EE-46B05766B079}"/>
    <cellStyle name="Normal 2 2 2 2 2 2 2 2 2 2 2 2 2 2 2 2 2 2 59" xfId="8260" xr:uid="{17AC6C6A-C9E5-4320-B0FE-17B478004A38}"/>
    <cellStyle name="Normal 2 2 2 2 2 2 2 2 2 2 2 2 2 2 2 2 2 2 6" xfId="8261" xr:uid="{1759B94E-A849-437F-BE64-D1D42D5AEE23}"/>
    <cellStyle name="Normal 2 2 2 2 2 2 2 2 2 2 2 2 2 2 2 2 2 2 60" xfId="8262" xr:uid="{3006E322-6948-471F-BB0F-C4EA2AD89136}"/>
    <cellStyle name="Normal 2 2 2 2 2 2 2 2 2 2 2 2 2 2 2 2 2 2 61" xfId="8263" xr:uid="{70D5530C-B82A-4497-AB14-09FF132AE8E0}"/>
    <cellStyle name="Normal 2 2 2 2 2 2 2 2 2 2 2 2 2 2 2 2 2 2 62" xfId="8264" xr:uid="{E7AD727C-DD75-4FC2-B3C9-5B3CB734AA1A}"/>
    <cellStyle name="Normal 2 2 2 2 2 2 2 2 2 2 2 2 2 2 2 2 2 2 63" xfId="8265" xr:uid="{A6B9A1E2-5D3E-4C2B-8A81-2DF766A6890A}"/>
    <cellStyle name="Normal 2 2 2 2 2 2 2 2 2 2 2 2 2 2 2 2 2 2 64" xfId="8266" xr:uid="{7451A437-715B-4968-8F98-3B9F5AD74494}"/>
    <cellStyle name="Normal 2 2 2 2 2 2 2 2 2 2 2 2 2 2 2 2 2 2 65" xfId="8267" xr:uid="{EB077F8D-6D85-4647-ACEC-7DF225D7D0C6}"/>
    <cellStyle name="Normal 2 2 2 2 2 2 2 2 2 2 2 2 2 2 2 2 2 2 66" xfId="8268" xr:uid="{4484214B-617E-40BE-84C4-79B8306AA457}"/>
    <cellStyle name="Normal 2 2 2 2 2 2 2 2 2 2 2 2 2 2 2 2 2 2 67" xfId="8269" xr:uid="{5A41C1F6-9C46-403F-9D84-0D707292DD78}"/>
    <cellStyle name="Normal 2 2 2 2 2 2 2 2 2 2 2 2 2 2 2 2 2 2 68" xfId="8270" xr:uid="{E3BEBFA5-9322-4A0F-99E1-16ABC1D33F5D}"/>
    <cellStyle name="Normal 2 2 2 2 2 2 2 2 2 2 2 2 2 2 2 2 2 2 69" xfId="8271" xr:uid="{5F0CBD04-6F20-44D7-9E52-A2E6F3211C7B}"/>
    <cellStyle name="Normal 2 2 2 2 2 2 2 2 2 2 2 2 2 2 2 2 2 2 7" xfId="8272" xr:uid="{41358CAE-74AB-4AC1-91B7-7FED67E76303}"/>
    <cellStyle name="Normal 2 2 2 2 2 2 2 2 2 2 2 2 2 2 2 2 2 2 70" xfId="8273" xr:uid="{8F9B0C8E-12DC-4B25-8944-25659B4D6F05}"/>
    <cellStyle name="Normal 2 2 2 2 2 2 2 2 2 2 2 2 2 2 2 2 2 2 71" xfId="8274" xr:uid="{948F9A0C-5E37-499E-8945-9F330EAB6655}"/>
    <cellStyle name="Normal 2 2 2 2 2 2 2 2 2 2 2 2 2 2 2 2 2 2 72" xfId="8275" xr:uid="{0C0C3DE6-7B7B-4EAD-BA72-173719E87D99}"/>
    <cellStyle name="Normal 2 2 2 2 2 2 2 2 2 2 2 2 2 2 2 2 2 2 73" xfId="8276" xr:uid="{956A6FF2-AF98-4B24-B2E2-7170D5D11A89}"/>
    <cellStyle name="Normal 2 2 2 2 2 2 2 2 2 2 2 2 2 2 2 2 2 2 73 2" xfId="8277" xr:uid="{7F119517-0BAE-4185-9816-6F76C4503556}"/>
    <cellStyle name="Normal 2 2 2 2 2 2 2 2 2 2 2 2 2 2 2 2 2 2 73 3" xfId="8278" xr:uid="{13F37067-1D8A-4375-90D8-60AF65C17378}"/>
    <cellStyle name="Normal 2 2 2 2 2 2 2 2 2 2 2 2 2 2 2 2 2 2 73 4" xfId="8279" xr:uid="{07964756-B3AA-469F-A73D-3EBD6C10F828}"/>
    <cellStyle name="Normal 2 2 2 2 2 2 2 2 2 2 2 2 2 2 2 2 2 2 74" xfId="8280" xr:uid="{3BCE5435-1ED5-4E33-9586-34262421965E}"/>
    <cellStyle name="Normal 2 2 2 2 2 2 2 2 2 2 2 2 2 2 2 2 2 2 75" xfId="8281" xr:uid="{4E9F9DFA-6751-4051-9C4E-DFEB90859069}"/>
    <cellStyle name="Normal 2 2 2 2 2 2 2 2 2 2 2 2 2 2 2 2 2 2 8" xfId="8282" xr:uid="{19423898-8E5B-4BF3-881F-3CDEAD5E8C13}"/>
    <cellStyle name="Normal 2 2 2 2 2 2 2 2 2 2 2 2 2 2 2 2 2 2 9" xfId="8283" xr:uid="{C2B5FBB6-7D2B-408A-B92C-B41C9B9CCD12}"/>
    <cellStyle name="Normal 2 2 2 2 2 2 2 2 2 2 2 2 2 2 2 2 2 20" xfId="8284" xr:uid="{1E8DA6A5-042C-493A-ADD5-9C81B8C019C7}"/>
    <cellStyle name="Normal 2 2 2 2 2 2 2 2 2 2 2 2 2 2 2 2 2 21" xfId="8285" xr:uid="{616BAA94-85A3-42EB-A083-6DED943A8AF6}"/>
    <cellStyle name="Normal 2 2 2 2 2 2 2 2 2 2 2 2 2 2 2 2 2 22" xfId="8286" xr:uid="{0B5DA30A-CEC9-4984-9871-6AAAC55E5C61}"/>
    <cellStyle name="Normal 2 2 2 2 2 2 2 2 2 2 2 2 2 2 2 2 2 23" xfId="8287" xr:uid="{ECFC5156-C7F5-484C-8D80-E1C87B372D01}"/>
    <cellStyle name="Normal 2 2 2 2 2 2 2 2 2 2 2 2 2 2 2 2 2 24" xfId="8288" xr:uid="{E6864BE2-229D-4B7F-9FC9-6EFF635F5CDD}"/>
    <cellStyle name="Normal 2 2 2 2 2 2 2 2 2 2 2 2 2 2 2 2 2 25" xfId="8289" xr:uid="{13EA379A-7C27-42E4-92AA-BD81E51A4E65}"/>
    <cellStyle name="Normal 2 2 2 2 2 2 2 2 2 2 2 2 2 2 2 2 2 26" xfId="8290" xr:uid="{0D491CB6-A368-40C3-A39D-64209BE54426}"/>
    <cellStyle name="Normal 2 2 2 2 2 2 2 2 2 2 2 2 2 2 2 2 2 27" xfId="8291" xr:uid="{79C2E2D1-A892-4ED9-BEA8-1838B3929474}"/>
    <cellStyle name="Normal 2 2 2 2 2 2 2 2 2 2 2 2 2 2 2 2 2 28" xfId="8292" xr:uid="{74137326-4D42-4ED0-880C-919D71498BB2}"/>
    <cellStyle name="Normal 2 2 2 2 2 2 2 2 2 2 2 2 2 2 2 2 2 28 2" xfId="8293" xr:uid="{590131BA-CC1E-42AF-A3A7-7726E7712437}"/>
    <cellStyle name="Normal 2 2 2 2 2 2 2 2 2 2 2 2 2 2 2 2 2 28 3" xfId="8294" xr:uid="{BA63E361-9396-4E00-BE41-42E38F58C288}"/>
    <cellStyle name="Normal 2 2 2 2 2 2 2 2 2 2 2 2 2 2 2 2 2 28 4" xfId="8295" xr:uid="{7D528533-58A0-4088-B37A-480C0376BFCD}"/>
    <cellStyle name="Normal 2 2 2 2 2 2 2 2 2 2 2 2 2 2 2 2 2 28 5" xfId="8296" xr:uid="{BA89D35A-2C70-4A22-93C3-8029B3DF219A}"/>
    <cellStyle name="Normal 2 2 2 2 2 2 2 2 2 2 2 2 2 2 2 2 2 28 6" xfId="8297" xr:uid="{A546AF43-82B7-4685-A468-9FFBEDEB4ECD}"/>
    <cellStyle name="Normal 2 2 2 2 2 2 2 2 2 2 2 2 2 2 2 2 2 28 7" xfId="8298" xr:uid="{68EDBE70-A861-4BF8-A203-02864DFF0E5E}"/>
    <cellStyle name="Normal 2 2 2 2 2 2 2 2 2 2 2 2 2 2 2 2 2 29" xfId="8299" xr:uid="{79E9376F-0BCF-493D-8F2B-54948E1F1DA4}"/>
    <cellStyle name="Normal 2 2 2 2 2 2 2 2 2 2 2 2 2 2 2 2 2 3" xfId="8300" xr:uid="{70A97CA3-F7E5-4950-AD69-2CD26255AF1A}"/>
    <cellStyle name="Normal 2 2 2 2 2 2 2 2 2 2 2 2 2 2 2 2 2 30" xfId="8301" xr:uid="{78A16B46-6C46-4378-9857-E8DA414B81FC}"/>
    <cellStyle name="Normal 2 2 2 2 2 2 2 2 2 2 2 2 2 2 2 2 2 31" xfId="8302" xr:uid="{972FA7AD-82EE-4919-A590-0DA894481CB8}"/>
    <cellStyle name="Normal 2 2 2 2 2 2 2 2 2 2 2 2 2 2 2 2 2 32" xfId="8303" xr:uid="{F15FE02A-B0B2-4A12-809D-9CC5D25377EB}"/>
    <cellStyle name="Normal 2 2 2 2 2 2 2 2 2 2 2 2 2 2 2 2 2 33" xfId="8304" xr:uid="{F44D520B-27B5-4855-BD0D-5EB0A095EB96}"/>
    <cellStyle name="Normal 2 2 2 2 2 2 2 2 2 2 2 2 2 2 2 2 2 34" xfId="8305" xr:uid="{476E6D22-62BD-464D-8305-06A9B5ED04B3}"/>
    <cellStyle name="Normal 2 2 2 2 2 2 2 2 2 2 2 2 2 2 2 2 2 35" xfId="8306" xr:uid="{95944DF5-4EB2-42E9-9FF1-A8F2DF3672DC}"/>
    <cellStyle name="Normal 2 2 2 2 2 2 2 2 2 2 2 2 2 2 2 2 2 36" xfId="8307" xr:uid="{C2FD83AF-BB34-4BCF-A85A-1CAF5E396356}"/>
    <cellStyle name="Normal 2 2 2 2 2 2 2 2 2 2 2 2 2 2 2 2 2 37" xfId="8308" xr:uid="{EE2AB7D6-328E-4B24-BDF0-5A653CA13EAD}"/>
    <cellStyle name="Normal 2 2 2 2 2 2 2 2 2 2 2 2 2 2 2 2 2 38" xfId="8309" xr:uid="{FDF8258F-E820-471C-AA03-D4593C68EA9A}"/>
    <cellStyle name="Normal 2 2 2 2 2 2 2 2 2 2 2 2 2 2 2 2 2 39" xfId="8310" xr:uid="{AAAFE93D-9339-4A39-8203-365998A0A12D}"/>
    <cellStyle name="Normal 2 2 2 2 2 2 2 2 2 2 2 2 2 2 2 2 2 4" xfId="8311" xr:uid="{3B39635B-3C72-44C7-B228-5F93665C6480}"/>
    <cellStyle name="Normal 2 2 2 2 2 2 2 2 2 2 2 2 2 2 2 2 2 40" xfId="8312" xr:uid="{25EE1C60-34C0-4FF8-A8D8-F7928BEF32E0}"/>
    <cellStyle name="Normal 2 2 2 2 2 2 2 2 2 2 2 2 2 2 2 2 2 41" xfId="8313" xr:uid="{0CC7EC9A-E716-4365-8E18-AE625A6F2D37}"/>
    <cellStyle name="Normal 2 2 2 2 2 2 2 2 2 2 2 2 2 2 2 2 2 42" xfId="8314" xr:uid="{62878172-9A7A-413A-AFDB-F7D77216C030}"/>
    <cellStyle name="Normal 2 2 2 2 2 2 2 2 2 2 2 2 2 2 2 2 2 43" xfId="8315" xr:uid="{15B84E98-C6A2-4D86-A364-C3A273C3F236}"/>
    <cellStyle name="Normal 2 2 2 2 2 2 2 2 2 2 2 2 2 2 2 2 2 44" xfId="8316" xr:uid="{635E1186-7173-4DCF-95A7-54056763C2ED}"/>
    <cellStyle name="Normal 2 2 2 2 2 2 2 2 2 2 2 2 2 2 2 2 2 45" xfId="8317" xr:uid="{7185A979-2D39-4941-A4F4-2EC0A7001F24}"/>
    <cellStyle name="Normal 2 2 2 2 2 2 2 2 2 2 2 2 2 2 2 2 2 46" xfId="8318" xr:uid="{CF89B326-CD3D-45FA-A14C-3DDD6D2CF683}"/>
    <cellStyle name="Normal 2 2 2 2 2 2 2 2 2 2 2 2 2 2 2 2 2 47" xfId="8319" xr:uid="{57E7DC64-C7A2-4E55-80A1-0AC34C217BDF}"/>
    <cellStyle name="Normal 2 2 2 2 2 2 2 2 2 2 2 2 2 2 2 2 2 48" xfId="8320" xr:uid="{4F92B6F6-9718-4256-8952-32261675EDDD}"/>
    <cellStyle name="Normal 2 2 2 2 2 2 2 2 2 2 2 2 2 2 2 2 2 49" xfId="8321" xr:uid="{DAA77C5B-5B0F-4045-8D31-01EFF9E41D2F}"/>
    <cellStyle name="Normal 2 2 2 2 2 2 2 2 2 2 2 2 2 2 2 2 2 5" xfId="8322" xr:uid="{196F9BAA-C149-4FE1-976E-02AED8D1BE3E}"/>
    <cellStyle name="Normal 2 2 2 2 2 2 2 2 2 2 2 2 2 2 2 2 2 5 10" xfId="8323" xr:uid="{B0AEA104-1E48-4D13-B822-BDB4B8656471}"/>
    <cellStyle name="Normal 2 2 2 2 2 2 2 2 2 2 2 2 2 2 2 2 2 5 11" xfId="8324" xr:uid="{5281F4BA-3EDA-4CDF-8873-06BA1446E93F}"/>
    <cellStyle name="Normal 2 2 2 2 2 2 2 2 2 2 2 2 2 2 2 2 2 5 2" xfId="8325" xr:uid="{3620F45D-A89A-4D70-B538-527D75327A49}"/>
    <cellStyle name="Normal 2 2 2 2 2 2 2 2 2 2 2 2 2 2 2 2 2 5 2 10" xfId="8326" xr:uid="{1456D579-B8A6-456E-8D8F-32247E2FA3D1}"/>
    <cellStyle name="Normal 2 2 2 2 2 2 2 2 2 2 2 2 2 2 2 2 2 5 2 11" xfId="8327" xr:uid="{1795529F-63AB-42A4-AAC4-C4F5FF88136D}"/>
    <cellStyle name="Normal 2 2 2 2 2 2 2 2 2 2 2 2 2 2 2 2 2 5 2 2" xfId="8328" xr:uid="{D8036716-66B8-4556-9796-5BD0F6016D26}"/>
    <cellStyle name="Normal 2 2 2 2 2 2 2 2 2 2 2 2 2 2 2 2 2 5 2 2 2" xfId="8329" xr:uid="{23383A50-1E83-4135-9512-B6C946F3734A}"/>
    <cellStyle name="Normal 2 2 2 2 2 2 2 2 2 2 2 2 2 2 2 2 2 5 2 2 2 2" xfId="8330" xr:uid="{A7D9BDA5-1DB3-4E8D-8F7C-C3D47D05BE54}"/>
    <cellStyle name="Normal 2 2 2 2 2 2 2 2 2 2 2 2 2 2 2 2 2 5 2 2 2 3" xfId="8331" xr:uid="{D31B7DA4-7E7B-4F3C-888F-285579EAD280}"/>
    <cellStyle name="Normal 2 2 2 2 2 2 2 2 2 2 2 2 2 2 2 2 2 5 2 2 2 4" xfId="8332" xr:uid="{62B0E4A8-68A7-4BA2-B306-2DBE2CE1D73B}"/>
    <cellStyle name="Normal 2 2 2 2 2 2 2 2 2 2 2 2 2 2 2 2 2 5 2 2 3" xfId="8333" xr:uid="{054F6074-5C79-446F-892D-9CCBA2935CE6}"/>
    <cellStyle name="Normal 2 2 2 2 2 2 2 2 2 2 2 2 2 2 2 2 2 5 2 2 4" xfId="8334" xr:uid="{D845CE8F-1F2E-48E5-A7E0-B9097A6D54AC}"/>
    <cellStyle name="Normal 2 2 2 2 2 2 2 2 2 2 2 2 2 2 2 2 2 5 2 2 5" xfId="8335" xr:uid="{7DF494A3-9130-440F-B2D0-9A58FC3205B4}"/>
    <cellStyle name="Normal 2 2 2 2 2 2 2 2 2 2 2 2 2 2 2 2 2 5 2 2 6" xfId="8336" xr:uid="{71BA864F-88E7-48E8-8841-E1C0685148CA}"/>
    <cellStyle name="Normal 2 2 2 2 2 2 2 2 2 2 2 2 2 2 2 2 2 5 2 3" xfId="8337" xr:uid="{643C8F64-293E-488F-80AB-83A63EC292BB}"/>
    <cellStyle name="Normal 2 2 2 2 2 2 2 2 2 2 2 2 2 2 2 2 2 5 2 4" xfId="8338" xr:uid="{663AEE8E-6B68-4214-AACB-D69044DD40BC}"/>
    <cellStyle name="Normal 2 2 2 2 2 2 2 2 2 2 2 2 2 2 2 2 2 5 2 5" xfId="8339" xr:uid="{63AE211D-4E69-4F57-BA62-FB070C74AC25}"/>
    <cellStyle name="Normal 2 2 2 2 2 2 2 2 2 2 2 2 2 2 2 2 2 5 2 6" xfId="8340" xr:uid="{0BD70D08-93E1-4215-8C5B-D2E48353A24A}"/>
    <cellStyle name="Normal 2 2 2 2 2 2 2 2 2 2 2 2 2 2 2 2 2 5 2 7" xfId="8341" xr:uid="{75E538C6-7368-4979-A2A5-3F9A2F58013E}"/>
    <cellStyle name="Normal 2 2 2 2 2 2 2 2 2 2 2 2 2 2 2 2 2 5 2 8" xfId="8342" xr:uid="{300363E9-F53B-4E65-A288-3BEFB9DC350A}"/>
    <cellStyle name="Normal 2 2 2 2 2 2 2 2 2 2 2 2 2 2 2 2 2 5 2 8 2" xfId="8343" xr:uid="{914D6B39-390D-454E-A871-8CBCBC1E5304}"/>
    <cellStyle name="Normal 2 2 2 2 2 2 2 2 2 2 2 2 2 2 2 2 2 5 2 8 3" xfId="8344" xr:uid="{F1A9DECF-5DD7-4F52-9893-C15E4B7D709B}"/>
    <cellStyle name="Normal 2 2 2 2 2 2 2 2 2 2 2 2 2 2 2 2 2 5 2 8 4" xfId="8345" xr:uid="{638812E5-9D51-45B0-875A-BB490A725EE7}"/>
    <cellStyle name="Normal 2 2 2 2 2 2 2 2 2 2 2 2 2 2 2 2 2 5 2 9" xfId="8346" xr:uid="{234295EF-6E01-4F1B-8651-2490ECB24714}"/>
    <cellStyle name="Normal 2 2 2 2 2 2 2 2 2 2 2 2 2 2 2 2 2 5 3" xfId="8347" xr:uid="{A2BBA1B1-0086-41BE-B2B5-E90B21B35433}"/>
    <cellStyle name="Normal 2 2 2 2 2 2 2 2 2 2 2 2 2 2 2 2 2 5 3 2" xfId="8348" xr:uid="{C0C4EDF0-E2CB-44D9-A586-768A1617431E}"/>
    <cellStyle name="Normal 2 2 2 2 2 2 2 2 2 2 2 2 2 2 2 2 2 5 3 2 2" xfId="8349" xr:uid="{7800A891-05AF-41FB-B91C-8D43E5B19B5C}"/>
    <cellStyle name="Normal 2 2 2 2 2 2 2 2 2 2 2 2 2 2 2 2 2 5 3 2 3" xfId="8350" xr:uid="{D91EE586-E4FF-4FE5-9ACD-102B6AAC8B5A}"/>
    <cellStyle name="Normal 2 2 2 2 2 2 2 2 2 2 2 2 2 2 2 2 2 5 3 2 4" xfId="8351" xr:uid="{F19E0B5F-C50A-4FFE-91F8-DC4DA1FEF714}"/>
    <cellStyle name="Normal 2 2 2 2 2 2 2 2 2 2 2 2 2 2 2 2 2 5 3 3" xfId="8352" xr:uid="{7254BE8E-D289-4DBF-A24E-06B984266D36}"/>
    <cellStyle name="Normal 2 2 2 2 2 2 2 2 2 2 2 2 2 2 2 2 2 5 3 4" xfId="8353" xr:uid="{291A2510-EDC8-4F29-B3A9-E38AFC348BCF}"/>
    <cellStyle name="Normal 2 2 2 2 2 2 2 2 2 2 2 2 2 2 2 2 2 5 3 5" xfId="8354" xr:uid="{4D3FCA66-F1A6-4166-92DB-BB3FF34EDA34}"/>
    <cellStyle name="Normal 2 2 2 2 2 2 2 2 2 2 2 2 2 2 2 2 2 5 3 6" xfId="8355" xr:uid="{D039EF4A-F6F7-4F4C-AD77-64FE840AAA45}"/>
    <cellStyle name="Normal 2 2 2 2 2 2 2 2 2 2 2 2 2 2 2 2 2 5 4" xfId="8356" xr:uid="{21DE60EF-57F3-43AF-BBAE-A93672A8BD06}"/>
    <cellStyle name="Normal 2 2 2 2 2 2 2 2 2 2 2 2 2 2 2 2 2 5 5" xfId="8357" xr:uid="{CB416341-63C9-41B0-8F3E-FA3D87F7F088}"/>
    <cellStyle name="Normal 2 2 2 2 2 2 2 2 2 2 2 2 2 2 2 2 2 5 6" xfId="8358" xr:uid="{A2EA472B-0FAF-45DD-A5A4-40001B002D34}"/>
    <cellStyle name="Normal 2 2 2 2 2 2 2 2 2 2 2 2 2 2 2 2 2 5 7" xfId="8359" xr:uid="{1C7D598F-748C-4F2A-89C5-84DADFCB7E84}"/>
    <cellStyle name="Normal 2 2 2 2 2 2 2 2 2 2 2 2 2 2 2 2 2 5 8" xfId="8360" xr:uid="{2FC261E5-0EA4-49F8-BEF4-0054FCCE779B}"/>
    <cellStyle name="Normal 2 2 2 2 2 2 2 2 2 2 2 2 2 2 2 2 2 5 8 2" xfId="8361" xr:uid="{EC932185-9CCE-4561-B55B-1ABFDE8CC2B7}"/>
    <cellStyle name="Normal 2 2 2 2 2 2 2 2 2 2 2 2 2 2 2 2 2 5 8 3" xfId="8362" xr:uid="{69FE7302-6E83-4E59-AC42-5A5EB1E7F9E3}"/>
    <cellStyle name="Normal 2 2 2 2 2 2 2 2 2 2 2 2 2 2 2 2 2 5 8 4" xfId="8363" xr:uid="{18BAD030-27B5-4AD0-AABF-53EFD1B84789}"/>
    <cellStyle name="Normal 2 2 2 2 2 2 2 2 2 2 2 2 2 2 2 2 2 5 9" xfId="8364" xr:uid="{2A0E6EC5-2CF8-42D4-9FA4-C805FEBB720D}"/>
    <cellStyle name="Normal 2 2 2 2 2 2 2 2 2 2 2 2 2 2 2 2 2 50" xfId="8365" xr:uid="{0B39CFF5-3F87-4B7F-B81C-0037A6EF2FE1}"/>
    <cellStyle name="Normal 2 2 2 2 2 2 2 2 2 2 2 2 2 2 2 2 2 51" xfId="8366" xr:uid="{EBF5660F-8091-4F75-877C-C1441C5657F5}"/>
    <cellStyle name="Normal 2 2 2 2 2 2 2 2 2 2 2 2 2 2 2 2 2 52" xfId="8367" xr:uid="{14BC51DC-412C-4F05-84F9-453713C4E617}"/>
    <cellStyle name="Normal 2 2 2 2 2 2 2 2 2 2 2 2 2 2 2 2 2 53" xfId="8368" xr:uid="{9F744EE7-2372-4C0F-84FF-FFB992400BD7}"/>
    <cellStyle name="Normal 2 2 2 2 2 2 2 2 2 2 2 2 2 2 2 2 2 54" xfId="8369" xr:uid="{C2C49379-60F1-4B45-A125-132D77679D04}"/>
    <cellStyle name="Normal 2 2 2 2 2 2 2 2 2 2 2 2 2 2 2 2 2 55" xfId="8370" xr:uid="{545A0828-EB07-4E36-8593-BB7C4D40517B}"/>
    <cellStyle name="Normal 2 2 2 2 2 2 2 2 2 2 2 2 2 2 2 2 2 56" xfId="8371" xr:uid="{2E330E67-FAF8-4881-AEA2-00E00050C964}"/>
    <cellStyle name="Normal 2 2 2 2 2 2 2 2 2 2 2 2 2 2 2 2 2 57" xfId="8372" xr:uid="{0BCB0A26-3109-4C89-8DDB-8BB5FF68E321}"/>
    <cellStyle name="Normal 2 2 2 2 2 2 2 2 2 2 2 2 2 2 2 2 2 58" xfId="8373" xr:uid="{EC5D30CA-F039-42B6-B1B3-FF6D7BB440DF}"/>
    <cellStyle name="Normal 2 2 2 2 2 2 2 2 2 2 2 2 2 2 2 2 2 59" xfId="8374" xr:uid="{67DE1944-9457-4FBC-AE7D-47B0202C4159}"/>
    <cellStyle name="Normal 2 2 2 2 2 2 2 2 2 2 2 2 2 2 2 2 2 6" xfId="8375" xr:uid="{A900EE6B-5BE4-446F-9797-C40AAD30D8BD}"/>
    <cellStyle name="Normal 2 2 2 2 2 2 2 2 2 2 2 2 2 2 2 2 2 60" xfId="8376" xr:uid="{A9080BB3-4241-45D8-9B60-4402998983F4}"/>
    <cellStyle name="Normal 2 2 2 2 2 2 2 2 2 2 2 2 2 2 2 2 2 61" xfId="8377" xr:uid="{80E6A77F-B07C-4B69-8DE7-A4EF6D4F55D1}"/>
    <cellStyle name="Normal 2 2 2 2 2 2 2 2 2 2 2 2 2 2 2 2 2 62" xfId="8378" xr:uid="{5D864AA0-E157-4A61-90EA-844848838807}"/>
    <cellStyle name="Normal 2 2 2 2 2 2 2 2 2 2 2 2 2 2 2 2 2 63" xfId="8379" xr:uid="{BFB79F58-74E3-475B-BCCA-CD27C03D957F}"/>
    <cellStyle name="Normal 2 2 2 2 2 2 2 2 2 2 2 2 2 2 2 2 2 64" xfId="8380" xr:uid="{E0224953-9C2C-4206-84E7-5E84FDDC9E4F}"/>
    <cellStyle name="Normal 2 2 2 2 2 2 2 2 2 2 2 2 2 2 2 2 2 65" xfId="8381" xr:uid="{6B40C201-A17B-4CB2-8DB2-E541C138543D}"/>
    <cellStyle name="Normal 2 2 2 2 2 2 2 2 2 2 2 2 2 2 2 2 2 66" xfId="8382" xr:uid="{8851B0E4-C1AC-4DBF-B132-0F11690E105E}"/>
    <cellStyle name="Normal 2 2 2 2 2 2 2 2 2 2 2 2 2 2 2 2 2 67" xfId="8383" xr:uid="{89ECAF80-DED2-4DFC-BC3E-5FA1D74D1D43}"/>
    <cellStyle name="Normal 2 2 2 2 2 2 2 2 2 2 2 2 2 2 2 2 2 68" xfId="8384" xr:uid="{EC578D95-6753-4A20-99CA-07DA956A10AD}"/>
    <cellStyle name="Normal 2 2 2 2 2 2 2 2 2 2 2 2 2 2 2 2 2 69" xfId="8385" xr:uid="{22BCD26E-CDD3-406C-9AA1-0C9B6A9CBCA0}"/>
    <cellStyle name="Normal 2 2 2 2 2 2 2 2 2 2 2 2 2 2 2 2 2 7" xfId="8386" xr:uid="{58640AE4-6976-4AA5-A61B-03B88A20FBA6}"/>
    <cellStyle name="Normal 2 2 2 2 2 2 2 2 2 2 2 2 2 2 2 2 2 7 2" xfId="8387" xr:uid="{68D70006-250E-43E7-99EB-66AE10A2B029}"/>
    <cellStyle name="Normal 2 2 2 2 2 2 2 2 2 2 2 2 2 2 2 2 2 7 2 2" xfId="8388" xr:uid="{928F7A1C-C2E7-4660-BA21-0F9C285D4046}"/>
    <cellStyle name="Normal 2 2 2 2 2 2 2 2 2 2 2 2 2 2 2 2 2 7 2 3" xfId="8389" xr:uid="{44F855DE-0909-4BD1-A284-5A71C90FA998}"/>
    <cellStyle name="Normal 2 2 2 2 2 2 2 2 2 2 2 2 2 2 2 2 2 7 2 4" xfId="8390" xr:uid="{4C94F7CC-2F25-4A63-ABC8-4FA5D84DC8CF}"/>
    <cellStyle name="Normal 2 2 2 2 2 2 2 2 2 2 2 2 2 2 2 2 2 7 3" xfId="8391" xr:uid="{5B38585F-04DF-45A7-8E8A-B73D911B0B68}"/>
    <cellStyle name="Normal 2 2 2 2 2 2 2 2 2 2 2 2 2 2 2 2 2 7 4" xfId="8392" xr:uid="{A7913139-608B-4C45-B889-26C28A517F8D}"/>
    <cellStyle name="Normal 2 2 2 2 2 2 2 2 2 2 2 2 2 2 2 2 2 7 5" xfId="8393" xr:uid="{76ECAAAA-13DD-4EBA-964A-983E14D2C644}"/>
    <cellStyle name="Normal 2 2 2 2 2 2 2 2 2 2 2 2 2 2 2 2 2 7 6" xfId="8394" xr:uid="{EAA42613-497B-491A-8C8F-A97A8E05704D}"/>
    <cellStyle name="Normal 2 2 2 2 2 2 2 2 2 2 2 2 2 2 2 2 2 70" xfId="8395" xr:uid="{F00B42C3-3BAE-4EC8-BC95-05425AF28D06}"/>
    <cellStyle name="Normal 2 2 2 2 2 2 2 2 2 2 2 2 2 2 2 2 2 71" xfId="8396" xr:uid="{2BC86D19-82E8-4DE4-BACD-1367760C1207}"/>
    <cellStyle name="Normal 2 2 2 2 2 2 2 2 2 2 2 2 2 2 2 2 2 72" xfId="8397" xr:uid="{FB3506C4-AC25-4392-BFB4-858965B62540}"/>
    <cellStyle name="Normal 2 2 2 2 2 2 2 2 2 2 2 2 2 2 2 2 2 73" xfId="8398" xr:uid="{3A3141BB-EA03-4622-AE38-6D4F41268C87}"/>
    <cellStyle name="Normal 2 2 2 2 2 2 2 2 2 2 2 2 2 2 2 2 2 74" xfId="8399" xr:uid="{D7AB5CFC-7026-4C65-BCCB-C6DF7B870DC3}"/>
    <cellStyle name="Normal 2 2 2 2 2 2 2 2 2 2 2 2 2 2 2 2 2 75" xfId="8400" xr:uid="{8D0DC6BE-FCFF-4D32-A530-39D4F712569C}"/>
    <cellStyle name="Normal 2 2 2 2 2 2 2 2 2 2 2 2 2 2 2 2 2 75 2" xfId="8401" xr:uid="{A2BA1411-93D6-47FA-A13D-80824DC4E31A}"/>
    <cellStyle name="Normal 2 2 2 2 2 2 2 2 2 2 2 2 2 2 2 2 2 75 3" xfId="8402" xr:uid="{6D7A3C4E-FE65-481C-A8F4-BB0707EAF4BE}"/>
    <cellStyle name="Normal 2 2 2 2 2 2 2 2 2 2 2 2 2 2 2 2 2 75 4" xfId="8403" xr:uid="{A1508CF5-81E3-499C-AA32-04FA2CD851F1}"/>
    <cellStyle name="Normal 2 2 2 2 2 2 2 2 2 2 2 2 2 2 2 2 2 76" xfId="8404" xr:uid="{E2B070F5-4D29-4B5E-8004-8DC2D6A3D430}"/>
    <cellStyle name="Normal 2 2 2 2 2 2 2 2 2 2 2 2 2 2 2 2 2 77" xfId="8405" xr:uid="{F4DE3DE3-1A93-425C-A5F7-E74B86E00FCF}"/>
    <cellStyle name="Normal 2 2 2 2 2 2 2 2 2 2 2 2 2 2 2 2 2 8" xfId="8406" xr:uid="{02D437DE-4E2E-498A-83E1-90FE10862EAB}"/>
    <cellStyle name="Normal 2 2 2 2 2 2 2 2 2 2 2 2 2 2 2 2 2 9" xfId="8407" xr:uid="{75877EEF-B2C1-432D-BF26-B619B71275DB}"/>
    <cellStyle name="Normal 2 2 2 2 2 2 2 2 2 2 2 2 2 2 2 2 20" xfId="8408" xr:uid="{C8BDD6CB-3702-46BA-B680-9A25F68DA0BC}"/>
    <cellStyle name="Normal 2 2 2 2 2 2 2 2 2 2 2 2 2 2 2 2 21" xfId="8409" xr:uid="{59850007-3EB2-43BB-9FEA-50234CE29876}"/>
    <cellStyle name="Normal 2 2 2 2 2 2 2 2 2 2 2 2 2 2 2 2 21 2" xfId="8410" xr:uid="{4D48B4CC-2488-4FD2-94F6-B2ED70A23D9A}"/>
    <cellStyle name="Normal 2 2 2 2 2 2 2 2 2 2 2 2 2 2 2 2 21 3" xfId="8411" xr:uid="{54A1E641-57EE-4B98-ACCC-01C6B3A4B2DA}"/>
    <cellStyle name="Normal 2 2 2 2 2 2 2 2 2 2 2 2 2 2 2 2 21 4" xfId="8412" xr:uid="{C7556C31-2FC1-46EA-A2FD-707260361736}"/>
    <cellStyle name="Normal 2 2 2 2 2 2 2 2 2 2 2 2 2 2 2 2 22" xfId="8413" xr:uid="{2183DACB-E89E-47BF-9FB4-BD61B4B3F622}"/>
    <cellStyle name="Normal 2 2 2 2 2 2 2 2 2 2 2 2 2 2 2 2 23" xfId="8414" xr:uid="{C84A1C12-CA77-4359-B1AC-C6899A044C86}"/>
    <cellStyle name="Normal 2 2 2 2 2 2 2 2 2 2 2 2 2 2 2 2 24" xfId="8415" xr:uid="{9604355F-01BF-43A1-B471-521E937F3C4E}"/>
    <cellStyle name="Normal 2 2 2 2 2 2 2 2 2 2 2 2 2 2 2 2 25" xfId="8416" xr:uid="{3DA67D26-100D-4B1E-A90A-F9E6712EECF2}"/>
    <cellStyle name="Normal 2 2 2 2 2 2 2 2 2 2 2 2 2 2 2 2 26" xfId="8417" xr:uid="{7E2995F8-ED6D-45D0-A423-3148E774A6C5}"/>
    <cellStyle name="Normal 2 2 2 2 2 2 2 2 2 2 2 2 2 2 2 2 27" xfId="8418" xr:uid="{4A93B452-39E8-4223-81A7-B300C99D5800}"/>
    <cellStyle name="Normal 2 2 2 2 2 2 2 2 2 2 2 2 2 2 2 2 28" xfId="8419" xr:uid="{BC5B07AA-4BD8-4DDF-AB64-9A89852EC385}"/>
    <cellStyle name="Normal 2 2 2 2 2 2 2 2 2 2 2 2 2 2 2 2 29" xfId="8420" xr:uid="{BD83DA71-7948-4A96-9AF7-8A7C5CE9BF03}"/>
    <cellStyle name="Normal 2 2 2 2 2 2 2 2 2 2 2 2 2 2 2 2 3" xfId="8421" xr:uid="{E90EE6A7-A307-4721-A9B3-8E63843DD140}"/>
    <cellStyle name="Normal 2 2 2 2 2 2 2 2 2 2 2 2 2 2 2 2 30" xfId="8422" xr:uid="{24722EBA-6E14-4B8D-ACD7-6453BCCB5573}"/>
    <cellStyle name="Normal 2 2 2 2 2 2 2 2 2 2 2 2 2 2 2 2 31" xfId="8423" xr:uid="{C57B8963-0024-49C2-A6C9-6A9F7D998F4B}"/>
    <cellStyle name="Normal 2 2 2 2 2 2 2 2 2 2 2 2 2 2 2 2 32" xfId="8424" xr:uid="{D9FC5AC3-D758-448F-8C7B-317C244B0559}"/>
    <cellStyle name="Normal 2 2 2 2 2 2 2 2 2 2 2 2 2 2 2 2 33" xfId="8425" xr:uid="{6D3CA339-A496-453B-B86E-DF3DA506D117}"/>
    <cellStyle name="Normal 2 2 2 2 2 2 2 2 2 2 2 2 2 2 2 2 34" xfId="8426" xr:uid="{087F5F7E-D92A-4817-8C6C-B8A009B3627C}"/>
    <cellStyle name="Normal 2 2 2 2 2 2 2 2 2 2 2 2 2 2 2 2 35" xfId="8427" xr:uid="{22DB4E39-EBB4-4A5F-9875-55FE72466784}"/>
    <cellStyle name="Normal 2 2 2 2 2 2 2 2 2 2 2 2 2 2 2 2 36" xfId="8428" xr:uid="{C5470CC4-F21D-4886-88CE-49C87FAE230B}"/>
    <cellStyle name="Normal 2 2 2 2 2 2 2 2 2 2 2 2 2 2 2 2 36 2" xfId="8429" xr:uid="{5E3E0DD3-FE13-4631-84E3-D70620C6DAF6}"/>
    <cellStyle name="Normal 2 2 2 2 2 2 2 2 2 2 2 2 2 2 2 2 36 3" xfId="8430" xr:uid="{9F1A5B49-5C2B-47F9-9778-1F662F5B7237}"/>
    <cellStyle name="Normal 2 2 2 2 2 2 2 2 2 2 2 2 2 2 2 2 36 4" xfId="8431" xr:uid="{3F9BF175-AE36-439D-AA63-AF2EB14FC122}"/>
    <cellStyle name="Normal 2 2 2 2 2 2 2 2 2 2 2 2 2 2 2 2 36 5" xfId="8432" xr:uid="{7E296345-2C42-4373-94BF-C7835682C7C2}"/>
    <cellStyle name="Normal 2 2 2 2 2 2 2 2 2 2 2 2 2 2 2 2 36 6" xfId="8433" xr:uid="{A3AF4583-980E-4803-981F-A9D347C81E82}"/>
    <cellStyle name="Normal 2 2 2 2 2 2 2 2 2 2 2 2 2 2 2 2 36 7" xfId="8434" xr:uid="{4D735F7C-C047-4709-973C-408D27132C6F}"/>
    <cellStyle name="Normal 2 2 2 2 2 2 2 2 2 2 2 2 2 2 2 2 37" xfId="8435" xr:uid="{BAC78DAD-BCAA-48D8-B20D-DF0D21A93992}"/>
    <cellStyle name="Normal 2 2 2 2 2 2 2 2 2 2 2 2 2 2 2 2 38" xfId="8436" xr:uid="{45B39EDB-3B69-4BF1-8510-E1E3346CAF56}"/>
    <cellStyle name="Normal 2 2 2 2 2 2 2 2 2 2 2 2 2 2 2 2 39" xfId="8437" xr:uid="{CF60A9A7-714D-42A4-879F-7C63B8A75B3F}"/>
    <cellStyle name="Normal 2 2 2 2 2 2 2 2 2 2 2 2 2 2 2 2 4" xfId="8438" xr:uid="{7235A5B5-552B-475F-837D-5F660D3DE2D3}"/>
    <cellStyle name="Normal 2 2 2 2 2 2 2 2 2 2 2 2 2 2 2 2 40" xfId="8439" xr:uid="{0999EF40-2890-47A1-8796-AECD8A2171DE}"/>
    <cellStyle name="Normal 2 2 2 2 2 2 2 2 2 2 2 2 2 2 2 2 41" xfId="8440" xr:uid="{106DBA4E-A8AA-44F5-BF3C-E0D0F8E9D60B}"/>
    <cellStyle name="Normal 2 2 2 2 2 2 2 2 2 2 2 2 2 2 2 2 42" xfId="8441" xr:uid="{BA741253-09B0-4F5E-9AB3-5FD6D286060D}"/>
    <cellStyle name="Normal 2 2 2 2 2 2 2 2 2 2 2 2 2 2 2 2 43" xfId="8442" xr:uid="{6F4DA2CE-55CD-4514-BDDF-BD2D932C7736}"/>
    <cellStyle name="Normal 2 2 2 2 2 2 2 2 2 2 2 2 2 2 2 2 44" xfId="8443" xr:uid="{6622EAA5-F68B-42C8-9B09-57F67B84A673}"/>
    <cellStyle name="Normal 2 2 2 2 2 2 2 2 2 2 2 2 2 2 2 2 45" xfId="8444" xr:uid="{A60B0D37-851E-48DD-8607-81F4CBAB6488}"/>
    <cellStyle name="Normal 2 2 2 2 2 2 2 2 2 2 2 2 2 2 2 2 46" xfId="8445" xr:uid="{28A4975D-B3E2-49FB-9AA9-EC67B001F29D}"/>
    <cellStyle name="Normal 2 2 2 2 2 2 2 2 2 2 2 2 2 2 2 2 47" xfId="8446" xr:uid="{23B8DB0F-A968-4E7F-BCA3-7425B26E20A7}"/>
    <cellStyle name="Normal 2 2 2 2 2 2 2 2 2 2 2 2 2 2 2 2 48" xfId="8447" xr:uid="{B9F9E6A9-9F8A-4F1D-B469-1EE287FEF571}"/>
    <cellStyle name="Normal 2 2 2 2 2 2 2 2 2 2 2 2 2 2 2 2 49" xfId="8448" xr:uid="{3547C81A-6D3A-4976-9135-84FC9C43058A}"/>
    <cellStyle name="Normal 2 2 2 2 2 2 2 2 2 2 2 2 2 2 2 2 5" xfId="8449" xr:uid="{17A78EA4-C6F6-4748-AF85-A1FF340B0352}"/>
    <cellStyle name="Normal 2 2 2 2 2 2 2 2 2 2 2 2 2 2 2 2 50" xfId="8450" xr:uid="{9351FFF6-8243-447F-90D3-C03AFBC87F6C}"/>
    <cellStyle name="Normal 2 2 2 2 2 2 2 2 2 2 2 2 2 2 2 2 51" xfId="8451" xr:uid="{95E65D2E-9C03-48AA-9F50-69B91D9D461C}"/>
    <cellStyle name="Normal 2 2 2 2 2 2 2 2 2 2 2 2 2 2 2 2 52" xfId="8452" xr:uid="{30503DAB-4E47-41F3-84D5-0394D5995B23}"/>
    <cellStyle name="Normal 2 2 2 2 2 2 2 2 2 2 2 2 2 2 2 2 53" xfId="8453" xr:uid="{6DD5476E-2090-425E-95FA-BCFDE542AFED}"/>
    <cellStyle name="Normal 2 2 2 2 2 2 2 2 2 2 2 2 2 2 2 2 54" xfId="8454" xr:uid="{856AAD40-7B28-4B9D-812F-49CA6FD12F1E}"/>
    <cellStyle name="Normal 2 2 2 2 2 2 2 2 2 2 2 2 2 2 2 2 55" xfId="8455" xr:uid="{A3485F70-A246-4C1A-94EC-D872FDE3D54C}"/>
    <cellStyle name="Normal 2 2 2 2 2 2 2 2 2 2 2 2 2 2 2 2 56" xfId="8456" xr:uid="{9CD444C7-544B-4238-B316-651B50AE3D0E}"/>
    <cellStyle name="Normal 2 2 2 2 2 2 2 2 2 2 2 2 2 2 2 2 57" xfId="8457" xr:uid="{CC7946B1-4F50-487E-800D-AEE69AD26880}"/>
    <cellStyle name="Normal 2 2 2 2 2 2 2 2 2 2 2 2 2 2 2 2 58" xfId="8458" xr:uid="{F7A023E4-2EC6-4473-96A3-80639DF13AB4}"/>
    <cellStyle name="Normal 2 2 2 2 2 2 2 2 2 2 2 2 2 2 2 2 59" xfId="8459" xr:uid="{D45E8C1E-C6A1-427E-9231-5536049CE49F}"/>
    <cellStyle name="Normal 2 2 2 2 2 2 2 2 2 2 2 2 2 2 2 2 6" xfId="8460" xr:uid="{DA6883C1-3B42-487E-A1AF-CE37FA539ED4}"/>
    <cellStyle name="Normal 2 2 2 2 2 2 2 2 2 2 2 2 2 2 2 2 60" xfId="8461" xr:uid="{C4FD9435-7C72-4254-A07E-E8A57E14017F}"/>
    <cellStyle name="Normal 2 2 2 2 2 2 2 2 2 2 2 2 2 2 2 2 61" xfId="8462" xr:uid="{6C4385B7-C9F9-4E2E-A623-D688FC288C64}"/>
    <cellStyle name="Normal 2 2 2 2 2 2 2 2 2 2 2 2 2 2 2 2 62" xfId="8463" xr:uid="{065A2B37-9DF9-45DE-B858-7223DD38A297}"/>
    <cellStyle name="Normal 2 2 2 2 2 2 2 2 2 2 2 2 2 2 2 2 63" xfId="8464" xr:uid="{AEEC3D9E-0E3B-430D-AE31-F2D2CE330475}"/>
    <cellStyle name="Normal 2 2 2 2 2 2 2 2 2 2 2 2 2 2 2 2 64" xfId="8465" xr:uid="{FFBFF3FA-A664-4295-A51D-809A3A83D3C5}"/>
    <cellStyle name="Normal 2 2 2 2 2 2 2 2 2 2 2 2 2 2 2 2 65" xfId="8466" xr:uid="{2A4F5286-688F-49E1-BBD3-BF411536D569}"/>
    <cellStyle name="Normal 2 2 2 2 2 2 2 2 2 2 2 2 2 2 2 2 66" xfId="8467" xr:uid="{005EAF33-480F-443B-A239-A69D85655210}"/>
    <cellStyle name="Normal 2 2 2 2 2 2 2 2 2 2 2 2 2 2 2 2 67" xfId="8468" xr:uid="{E6C2EB01-FF1A-484D-B8D5-9319A46492B2}"/>
    <cellStyle name="Normal 2 2 2 2 2 2 2 2 2 2 2 2 2 2 2 2 68" xfId="8469" xr:uid="{E2B83595-3745-4B0D-B373-AF5E56FCA6CF}"/>
    <cellStyle name="Normal 2 2 2 2 2 2 2 2 2 2 2 2 2 2 2 2 69" xfId="8470" xr:uid="{AB2996F9-ED30-4BCA-8D8C-36B44183E3CF}"/>
    <cellStyle name="Normal 2 2 2 2 2 2 2 2 2 2 2 2 2 2 2 2 7" xfId="8471" xr:uid="{DBF0228F-C104-4321-82CE-9319AE305E7A}"/>
    <cellStyle name="Normal 2 2 2 2 2 2 2 2 2 2 2 2 2 2 2 2 70" xfId="8472" xr:uid="{6AA9CABB-B0D2-4290-9194-5E7D8A331F0D}"/>
    <cellStyle name="Normal 2 2 2 2 2 2 2 2 2 2 2 2 2 2 2 2 71" xfId="8473" xr:uid="{F96A7826-8547-48B8-9F33-710BA365E69B}"/>
    <cellStyle name="Normal 2 2 2 2 2 2 2 2 2 2 2 2 2 2 2 2 72" xfId="8474" xr:uid="{2BEB41DF-2AE1-4256-BAB8-B4534FB808E4}"/>
    <cellStyle name="Normal 2 2 2 2 2 2 2 2 2 2 2 2 2 2 2 2 73" xfId="8475" xr:uid="{0D13D26B-C572-4DBD-A9E1-7EA56FCAADF4}"/>
    <cellStyle name="Normal 2 2 2 2 2 2 2 2 2 2 2 2 2 2 2 2 74" xfId="8476" xr:uid="{E3C2EA62-ECF6-44E9-B277-AB0B536119E6}"/>
    <cellStyle name="Normal 2 2 2 2 2 2 2 2 2 2 2 2 2 2 2 2 75" xfId="8477" xr:uid="{F39AA3FB-6154-41F2-8CD8-5DD614653EA1}"/>
    <cellStyle name="Normal 2 2 2 2 2 2 2 2 2 2 2 2 2 2 2 2 76" xfId="8478" xr:uid="{EE399324-B899-4068-9748-5AD6117AE727}"/>
    <cellStyle name="Normal 2 2 2 2 2 2 2 2 2 2 2 2 2 2 2 2 77" xfId="8479" xr:uid="{CFDE4627-3399-4B90-A197-DCF2622C09A2}"/>
    <cellStyle name="Normal 2 2 2 2 2 2 2 2 2 2 2 2 2 2 2 2 78" xfId="8480" xr:uid="{CAA5B3EB-6F26-4710-9DF1-5251AA3D495B}"/>
    <cellStyle name="Normal 2 2 2 2 2 2 2 2 2 2 2 2 2 2 2 2 79" xfId="8481" xr:uid="{D3CC7FA2-5F8E-4BE2-9BB2-CD84DCEDF4C3}"/>
    <cellStyle name="Normal 2 2 2 2 2 2 2 2 2 2 2 2 2 2 2 2 8" xfId="8482" xr:uid="{A873D34C-4253-4524-8FBA-6257A094828D}"/>
    <cellStyle name="Normal 2 2 2 2 2 2 2 2 2 2 2 2 2 2 2 2 80" xfId="8483" xr:uid="{CE27C331-EF3A-4275-A1B5-480EA379111E}"/>
    <cellStyle name="Normal 2 2 2 2 2 2 2 2 2 2 2 2 2 2 2 2 81" xfId="8484" xr:uid="{3D335D22-0C2D-4FA0-8B99-72D4D35EEDA9}"/>
    <cellStyle name="Normal 2 2 2 2 2 2 2 2 2 2 2 2 2 2 2 2 82" xfId="8485" xr:uid="{8D5275E1-066A-44D4-926D-EA103D5C1EF1}"/>
    <cellStyle name="Normal 2 2 2 2 2 2 2 2 2 2 2 2 2 2 2 2 83" xfId="8486" xr:uid="{698879DE-68F1-49EA-AB6C-741F3986A43B}"/>
    <cellStyle name="Normal 2 2 2 2 2 2 2 2 2 2 2 2 2 2 2 2 83 2" xfId="8487" xr:uid="{474F5C82-5904-4CA2-8D67-E9EF44E955AE}"/>
    <cellStyle name="Normal 2 2 2 2 2 2 2 2 2 2 2 2 2 2 2 2 83 3" xfId="8488" xr:uid="{9B143229-2ABF-4044-8C97-87B274553364}"/>
    <cellStyle name="Normal 2 2 2 2 2 2 2 2 2 2 2 2 2 2 2 2 83 4" xfId="8489" xr:uid="{5482C1D0-D5D1-4AE9-AE08-809BCF9E34ED}"/>
    <cellStyle name="Normal 2 2 2 2 2 2 2 2 2 2 2 2 2 2 2 2 84" xfId="8490" xr:uid="{A0F2E0B3-4CC4-48F3-9155-0F97DD1D593F}"/>
    <cellStyle name="Normal 2 2 2 2 2 2 2 2 2 2 2 2 2 2 2 2 85" xfId="8491" xr:uid="{6C41235E-DB0C-474F-9246-624DA295D58C}"/>
    <cellStyle name="Normal 2 2 2 2 2 2 2 2 2 2 2 2 2 2 2 2 9" xfId="8492" xr:uid="{F31C16D3-D7B1-4FCD-AEF3-3DB7CE4CC5BD}"/>
    <cellStyle name="Normal 2 2 2 2 2 2 2 2 2 2 2 2 2 2 2 20" xfId="8493" xr:uid="{C03E321B-5E53-429A-B58C-A66CD669199D}"/>
    <cellStyle name="Normal 2 2 2 2 2 2 2 2 2 2 2 2 2 2 2 21" xfId="8494" xr:uid="{1D2B22AC-75C8-4F0C-A0A2-EB0D6AF258BC}"/>
    <cellStyle name="Normal 2 2 2 2 2 2 2 2 2 2 2 2 2 2 2 22" xfId="8495" xr:uid="{EF8132A0-030A-4096-BC51-FEE573A54808}"/>
    <cellStyle name="Normal 2 2 2 2 2 2 2 2 2 2 2 2 2 2 2 22 2" xfId="8496" xr:uid="{FC320D71-8C4A-4AA5-85C5-46F5F6DBD291}"/>
    <cellStyle name="Normal 2 2 2 2 2 2 2 2 2 2 2 2 2 2 2 22 3" xfId="8497" xr:uid="{036D3FFE-7739-4971-9908-B25C27C82E4F}"/>
    <cellStyle name="Normal 2 2 2 2 2 2 2 2 2 2 2 2 2 2 2 22 4" xfId="8498" xr:uid="{A9EC8086-3DB6-441C-A006-064B3196F76D}"/>
    <cellStyle name="Normal 2 2 2 2 2 2 2 2 2 2 2 2 2 2 2 23" xfId="8499" xr:uid="{CCDF4556-37EB-46AB-A1D1-F8CA39FCB07E}"/>
    <cellStyle name="Normal 2 2 2 2 2 2 2 2 2 2 2 2 2 2 2 24" xfId="8500" xr:uid="{87FDD988-444D-42D5-AC10-EEAA65001BBF}"/>
    <cellStyle name="Normal 2 2 2 2 2 2 2 2 2 2 2 2 2 2 2 25" xfId="8501" xr:uid="{13487EFA-FE4B-4D90-8597-97E029898D83}"/>
    <cellStyle name="Normal 2 2 2 2 2 2 2 2 2 2 2 2 2 2 2 26" xfId="8502" xr:uid="{BB815D62-6E2E-4C04-A027-B4519F0D11FB}"/>
    <cellStyle name="Normal 2 2 2 2 2 2 2 2 2 2 2 2 2 2 2 27" xfId="8503" xr:uid="{15CDBCB5-3DDE-4E6C-811C-2A02A74E4F01}"/>
    <cellStyle name="Normal 2 2 2 2 2 2 2 2 2 2 2 2 2 2 2 28" xfId="8504" xr:uid="{C7766646-E92D-4915-921F-4C68B3A54180}"/>
    <cellStyle name="Normal 2 2 2 2 2 2 2 2 2 2 2 2 2 2 2 29" xfId="8505" xr:uid="{5B3AC6E7-CD7D-44E6-98DC-9A914F18C979}"/>
    <cellStyle name="Normal 2 2 2 2 2 2 2 2 2 2 2 2 2 2 2 3" xfId="8506" xr:uid="{518350EE-4A72-4D5C-BB1F-DFB089B60D64}"/>
    <cellStyle name="Normal 2 2 2 2 2 2 2 2 2 2 2 2 2 2 2 30" xfId="8507" xr:uid="{D9F9B83A-83C4-40B4-9A7A-222025EE6A55}"/>
    <cellStyle name="Normal 2 2 2 2 2 2 2 2 2 2 2 2 2 2 2 31" xfId="8508" xr:uid="{AD48AFB4-205E-47B2-B444-1C6AA5ABFFF4}"/>
    <cellStyle name="Normal 2 2 2 2 2 2 2 2 2 2 2 2 2 2 2 32" xfId="8509" xr:uid="{AB1B68FB-0C56-4D80-ACB5-C39D3008EDB3}"/>
    <cellStyle name="Normal 2 2 2 2 2 2 2 2 2 2 2 2 2 2 2 33" xfId="8510" xr:uid="{C3D57363-9662-4B36-A166-BF44CDA57E90}"/>
    <cellStyle name="Normal 2 2 2 2 2 2 2 2 2 2 2 2 2 2 2 34" xfId="8511" xr:uid="{822A3105-912D-4EB9-A3E9-A9E443B8C1BC}"/>
    <cellStyle name="Normal 2 2 2 2 2 2 2 2 2 2 2 2 2 2 2 35" xfId="8512" xr:uid="{38438AFA-95F4-49F1-A9CD-CCCEBBE1C33D}"/>
    <cellStyle name="Normal 2 2 2 2 2 2 2 2 2 2 2 2 2 2 2 36" xfId="8513" xr:uid="{2F7C0139-7549-454D-ACF5-6739389A694B}"/>
    <cellStyle name="Normal 2 2 2 2 2 2 2 2 2 2 2 2 2 2 2 37" xfId="8514" xr:uid="{06576C39-9BEF-463E-99AA-0284D4A192FA}"/>
    <cellStyle name="Normal 2 2 2 2 2 2 2 2 2 2 2 2 2 2 2 37 2" xfId="8515" xr:uid="{2987D02E-3A0A-4F9A-8E1A-29DCD59A2AA1}"/>
    <cellStyle name="Normal 2 2 2 2 2 2 2 2 2 2 2 2 2 2 2 37 3" xfId="8516" xr:uid="{71DCA6F7-3C92-4785-A744-AED0C22A2B44}"/>
    <cellStyle name="Normal 2 2 2 2 2 2 2 2 2 2 2 2 2 2 2 37 4" xfId="8517" xr:uid="{B150B04A-D2B8-4175-A3BC-0CDA98E75922}"/>
    <cellStyle name="Normal 2 2 2 2 2 2 2 2 2 2 2 2 2 2 2 37 5" xfId="8518" xr:uid="{E803DA0A-750A-40A8-87F1-C13CF63FB8E9}"/>
    <cellStyle name="Normal 2 2 2 2 2 2 2 2 2 2 2 2 2 2 2 37 6" xfId="8519" xr:uid="{A5800CBB-80A3-439C-A8C7-9465A7EC3F0C}"/>
    <cellStyle name="Normal 2 2 2 2 2 2 2 2 2 2 2 2 2 2 2 37 7" xfId="8520" xr:uid="{4FB3A7E4-E103-4F63-813C-76157826692B}"/>
    <cellStyle name="Normal 2 2 2 2 2 2 2 2 2 2 2 2 2 2 2 38" xfId="8521" xr:uid="{78A1A58C-0479-45E4-AD24-D30D8A4150DB}"/>
    <cellStyle name="Normal 2 2 2 2 2 2 2 2 2 2 2 2 2 2 2 39" xfId="8522" xr:uid="{12FB64E6-DB0D-43A2-A46D-8167F9E97C4F}"/>
    <cellStyle name="Normal 2 2 2 2 2 2 2 2 2 2 2 2 2 2 2 4" xfId="8523" xr:uid="{A260EC4A-EC85-4F79-A11E-DA0F35470CB9}"/>
    <cellStyle name="Normal 2 2 2 2 2 2 2 2 2 2 2 2 2 2 2 4 10" xfId="8524" xr:uid="{331596A3-4ED4-48D7-8E9C-59521F620B17}"/>
    <cellStyle name="Normal 2 2 2 2 2 2 2 2 2 2 2 2 2 2 2 4 11" xfId="8525" xr:uid="{89F8D264-2F62-44BE-B78A-88906FDDABBD}"/>
    <cellStyle name="Normal 2 2 2 2 2 2 2 2 2 2 2 2 2 2 2 4 12" xfId="8526" xr:uid="{8C69E96E-2B9C-4F1F-A998-B0887F327AFC}"/>
    <cellStyle name="Normal 2 2 2 2 2 2 2 2 2 2 2 2 2 2 2 4 13" xfId="8527" xr:uid="{0D19C563-5BC9-4DD5-943F-0C2B35889615}"/>
    <cellStyle name="Normal 2 2 2 2 2 2 2 2 2 2 2 2 2 2 2 4 13 2" xfId="8528" xr:uid="{E93AF733-DF1E-4F66-B9F5-4F2313BC7C44}"/>
    <cellStyle name="Normal 2 2 2 2 2 2 2 2 2 2 2 2 2 2 2 4 13 3" xfId="8529" xr:uid="{11C9E204-D739-4EA4-85BF-411C89D5F0E4}"/>
    <cellStyle name="Normal 2 2 2 2 2 2 2 2 2 2 2 2 2 2 2 4 13 4" xfId="8530" xr:uid="{43D8126B-C4EA-405B-8D58-93942F258F4A}"/>
    <cellStyle name="Normal 2 2 2 2 2 2 2 2 2 2 2 2 2 2 2 4 14" xfId="8531" xr:uid="{B1A2FC5C-7F8C-4C85-ABC2-FF98C00917EB}"/>
    <cellStyle name="Normal 2 2 2 2 2 2 2 2 2 2 2 2 2 2 2 4 15" xfId="8532" xr:uid="{CD14200F-4D86-4395-A86C-3D212B362695}"/>
    <cellStyle name="Normal 2 2 2 2 2 2 2 2 2 2 2 2 2 2 2 4 16" xfId="8533" xr:uid="{94852932-D68B-436E-8875-F11360873477}"/>
    <cellStyle name="Normal 2 2 2 2 2 2 2 2 2 2 2 2 2 2 2 4 2" xfId="8534" xr:uid="{3F90AEC2-7AD8-4A41-889E-A0531EF3ADA5}"/>
    <cellStyle name="Normal 2 2 2 2 2 2 2 2 2 2 2 2 2 2 2 4 2 10" xfId="8535" xr:uid="{2ED8CDD4-E122-41D8-9D0C-A9B2D56FCD4E}"/>
    <cellStyle name="Normal 2 2 2 2 2 2 2 2 2 2 2 2 2 2 2 4 2 11" xfId="8536" xr:uid="{F2DB13C5-512E-471A-B5ED-946881ADC643}"/>
    <cellStyle name="Normal 2 2 2 2 2 2 2 2 2 2 2 2 2 2 2 4 2 11 2" xfId="8537" xr:uid="{ADF86330-E875-4005-A0C6-F50066679A28}"/>
    <cellStyle name="Normal 2 2 2 2 2 2 2 2 2 2 2 2 2 2 2 4 2 11 3" xfId="8538" xr:uid="{47B34E31-DAE9-4695-B721-2F600CA69837}"/>
    <cellStyle name="Normal 2 2 2 2 2 2 2 2 2 2 2 2 2 2 2 4 2 11 4" xfId="8539" xr:uid="{DEBC5D0F-E78C-439F-AB95-67C5C9F3ABEE}"/>
    <cellStyle name="Normal 2 2 2 2 2 2 2 2 2 2 2 2 2 2 2 4 2 12" xfId="8540" xr:uid="{1DA5550A-A5E6-432C-B450-4B777878BA6A}"/>
    <cellStyle name="Normal 2 2 2 2 2 2 2 2 2 2 2 2 2 2 2 4 2 13" xfId="8541" xr:uid="{9CB18AC7-1A80-483A-9CF1-3E604860BB0B}"/>
    <cellStyle name="Normal 2 2 2 2 2 2 2 2 2 2 2 2 2 2 2 4 2 14" xfId="8542" xr:uid="{9D51BE3D-CC58-43DD-971D-C0DC4596262F}"/>
    <cellStyle name="Normal 2 2 2 2 2 2 2 2 2 2 2 2 2 2 2 4 2 2" xfId="8543" xr:uid="{221AEE74-C5E4-47A1-A081-B7B2F7771EC8}"/>
    <cellStyle name="Normal 2 2 2 2 2 2 2 2 2 2 2 2 2 2 2 4 2 2 10" xfId="8544" xr:uid="{B7D0D2E0-DF32-4962-B7AC-FF1D4CED839E}"/>
    <cellStyle name="Normal 2 2 2 2 2 2 2 2 2 2 2 2 2 2 2 4 2 2 11" xfId="8545" xr:uid="{5B439F96-6FB6-43F1-BA83-E73F426B46A3}"/>
    <cellStyle name="Normal 2 2 2 2 2 2 2 2 2 2 2 2 2 2 2 4 2 2 2" xfId="8546" xr:uid="{A1778559-2F4D-4301-82FF-CDD7D9B35BD9}"/>
    <cellStyle name="Normal 2 2 2 2 2 2 2 2 2 2 2 2 2 2 2 4 2 2 2 10" xfId="8547" xr:uid="{9632D346-7039-45B9-A26D-8764C440F761}"/>
    <cellStyle name="Normal 2 2 2 2 2 2 2 2 2 2 2 2 2 2 2 4 2 2 2 11" xfId="8548" xr:uid="{6A2B4741-B1F0-43F4-838F-A7368183DA88}"/>
    <cellStyle name="Normal 2 2 2 2 2 2 2 2 2 2 2 2 2 2 2 4 2 2 2 2" xfId="8549" xr:uid="{5BAB1949-02D8-48FA-BF9D-EC7DAEB3E35A}"/>
    <cellStyle name="Normal 2 2 2 2 2 2 2 2 2 2 2 2 2 2 2 4 2 2 2 2 2" xfId="8550" xr:uid="{C900E636-3BE5-463E-8B79-515EF33C9470}"/>
    <cellStyle name="Normal 2 2 2 2 2 2 2 2 2 2 2 2 2 2 2 4 2 2 2 2 2 2" xfId="8551" xr:uid="{D2F13DB5-5274-4A22-92EB-627E627C5349}"/>
    <cellStyle name="Normal 2 2 2 2 2 2 2 2 2 2 2 2 2 2 2 4 2 2 2 2 2 3" xfId="8552" xr:uid="{F670BD1E-F635-41F5-821C-D7144122B3D2}"/>
    <cellStyle name="Normal 2 2 2 2 2 2 2 2 2 2 2 2 2 2 2 4 2 2 2 2 2 4" xfId="8553" xr:uid="{99712B3B-1305-4467-9C44-23E2D07E4B17}"/>
    <cellStyle name="Normal 2 2 2 2 2 2 2 2 2 2 2 2 2 2 2 4 2 2 2 2 3" xfId="8554" xr:uid="{D8FF5519-65F4-469C-B867-8CF189A36ADA}"/>
    <cellStyle name="Normal 2 2 2 2 2 2 2 2 2 2 2 2 2 2 2 4 2 2 2 2 4" xfId="8555" xr:uid="{CA62606F-5A36-440C-B8AE-709F07AF1DAB}"/>
    <cellStyle name="Normal 2 2 2 2 2 2 2 2 2 2 2 2 2 2 2 4 2 2 2 2 5" xfId="8556" xr:uid="{81061E26-560B-451B-8E35-18F905CD8B5A}"/>
    <cellStyle name="Normal 2 2 2 2 2 2 2 2 2 2 2 2 2 2 2 4 2 2 2 2 6" xfId="8557" xr:uid="{913490DC-3A45-4F52-B279-840C6FBD1933}"/>
    <cellStyle name="Normal 2 2 2 2 2 2 2 2 2 2 2 2 2 2 2 4 2 2 2 3" xfId="8558" xr:uid="{242626CB-31FC-433D-A016-F562E38C4882}"/>
    <cellStyle name="Normal 2 2 2 2 2 2 2 2 2 2 2 2 2 2 2 4 2 2 2 4" xfId="8559" xr:uid="{C940330A-3858-4624-986D-7AA992755B70}"/>
    <cellStyle name="Normal 2 2 2 2 2 2 2 2 2 2 2 2 2 2 2 4 2 2 2 5" xfId="8560" xr:uid="{7A017F07-2BD7-4BB6-87E0-F1197450E762}"/>
    <cellStyle name="Normal 2 2 2 2 2 2 2 2 2 2 2 2 2 2 2 4 2 2 2 6" xfId="8561" xr:uid="{E28FCDD2-E83B-4F1C-964E-67AC8170A66A}"/>
    <cellStyle name="Normal 2 2 2 2 2 2 2 2 2 2 2 2 2 2 2 4 2 2 2 7" xfId="8562" xr:uid="{7854CD49-DDC6-4094-8311-79BF46728D6C}"/>
    <cellStyle name="Normal 2 2 2 2 2 2 2 2 2 2 2 2 2 2 2 4 2 2 2 8" xfId="8563" xr:uid="{D0FD3BEF-58F7-42C2-8911-65F73D56586B}"/>
    <cellStyle name="Normal 2 2 2 2 2 2 2 2 2 2 2 2 2 2 2 4 2 2 2 8 2" xfId="8564" xr:uid="{C837B46E-7ED5-4FBC-BE02-B9DC37D6E619}"/>
    <cellStyle name="Normal 2 2 2 2 2 2 2 2 2 2 2 2 2 2 2 4 2 2 2 8 3" xfId="8565" xr:uid="{063A542C-5EFE-4F75-82D5-FA2D1F23184F}"/>
    <cellStyle name="Normal 2 2 2 2 2 2 2 2 2 2 2 2 2 2 2 4 2 2 2 8 4" xfId="8566" xr:uid="{6DB608D0-7DB5-4A1E-A1CE-C60D5AF2E365}"/>
    <cellStyle name="Normal 2 2 2 2 2 2 2 2 2 2 2 2 2 2 2 4 2 2 2 9" xfId="8567" xr:uid="{0E5E4A84-0E63-425F-8B13-C754F8EB84E2}"/>
    <cellStyle name="Normal 2 2 2 2 2 2 2 2 2 2 2 2 2 2 2 4 2 2 3" xfId="8568" xr:uid="{F758CF78-994A-42FD-8C35-4C3C6E72017C}"/>
    <cellStyle name="Normal 2 2 2 2 2 2 2 2 2 2 2 2 2 2 2 4 2 2 3 2" xfId="8569" xr:uid="{5C11D6E7-F136-4B58-A989-BF4297E71201}"/>
    <cellStyle name="Normal 2 2 2 2 2 2 2 2 2 2 2 2 2 2 2 4 2 2 3 2 2" xfId="8570" xr:uid="{73FF9AA1-8724-4762-B706-94FD338E1080}"/>
    <cellStyle name="Normal 2 2 2 2 2 2 2 2 2 2 2 2 2 2 2 4 2 2 3 2 3" xfId="8571" xr:uid="{B0C027C7-72A7-4A37-B53A-4A67BC29CD83}"/>
    <cellStyle name="Normal 2 2 2 2 2 2 2 2 2 2 2 2 2 2 2 4 2 2 3 2 4" xfId="8572" xr:uid="{AA03BE41-59DF-4B38-8EE0-1159E2D61246}"/>
    <cellStyle name="Normal 2 2 2 2 2 2 2 2 2 2 2 2 2 2 2 4 2 2 3 3" xfId="8573" xr:uid="{EBD77AF0-5726-4B84-9519-68ED3196BA9C}"/>
    <cellStyle name="Normal 2 2 2 2 2 2 2 2 2 2 2 2 2 2 2 4 2 2 3 4" xfId="8574" xr:uid="{EE9CCA7D-51F4-47A5-89C6-CD5553353DF9}"/>
    <cellStyle name="Normal 2 2 2 2 2 2 2 2 2 2 2 2 2 2 2 4 2 2 3 5" xfId="8575" xr:uid="{19461D86-DDAD-4066-A444-98F8E21ED8DB}"/>
    <cellStyle name="Normal 2 2 2 2 2 2 2 2 2 2 2 2 2 2 2 4 2 2 3 6" xfId="8576" xr:uid="{1DA0CED9-8EC4-425B-B81D-5ED539219520}"/>
    <cellStyle name="Normal 2 2 2 2 2 2 2 2 2 2 2 2 2 2 2 4 2 2 4" xfId="8577" xr:uid="{3352DF95-77EE-4EB0-BC1A-F798CCABCDB1}"/>
    <cellStyle name="Normal 2 2 2 2 2 2 2 2 2 2 2 2 2 2 2 4 2 2 5" xfId="8578" xr:uid="{A5A151A2-24D4-4692-8020-F7303C21D422}"/>
    <cellStyle name="Normal 2 2 2 2 2 2 2 2 2 2 2 2 2 2 2 4 2 2 6" xfId="8579" xr:uid="{9DB4AD6D-C4BB-4DE8-8003-588EEB29C1BB}"/>
    <cellStyle name="Normal 2 2 2 2 2 2 2 2 2 2 2 2 2 2 2 4 2 2 7" xfId="8580" xr:uid="{FC7441D0-3205-497B-9AD6-E8A3E15C49D2}"/>
    <cellStyle name="Normal 2 2 2 2 2 2 2 2 2 2 2 2 2 2 2 4 2 2 8" xfId="8581" xr:uid="{FA104224-09C1-4893-ACAD-56C209F0474A}"/>
    <cellStyle name="Normal 2 2 2 2 2 2 2 2 2 2 2 2 2 2 2 4 2 2 8 2" xfId="8582" xr:uid="{E0DA3037-C8AC-4A7E-9CCA-7C0726B122A4}"/>
    <cellStyle name="Normal 2 2 2 2 2 2 2 2 2 2 2 2 2 2 2 4 2 2 8 3" xfId="8583" xr:uid="{740B5E58-1A6D-47E5-A4C4-7699B03EEDC6}"/>
    <cellStyle name="Normal 2 2 2 2 2 2 2 2 2 2 2 2 2 2 2 4 2 2 8 4" xfId="8584" xr:uid="{A7160908-580A-4E8B-B09D-23E48C85528A}"/>
    <cellStyle name="Normal 2 2 2 2 2 2 2 2 2 2 2 2 2 2 2 4 2 2 9" xfId="8585" xr:uid="{34C08DBC-040F-495D-B66E-A7419B388910}"/>
    <cellStyle name="Normal 2 2 2 2 2 2 2 2 2 2 2 2 2 2 2 4 2 3" xfId="8586" xr:uid="{E36E813E-3B32-442F-9B8E-082F386A26B1}"/>
    <cellStyle name="Normal 2 2 2 2 2 2 2 2 2 2 2 2 2 2 2 4 2 4" xfId="8587" xr:uid="{EDEA7DC0-C2B6-49BB-94C4-4C2399370F53}"/>
    <cellStyle name="Normal 2 2 2 2 2 2 2 2 2 2 2 2 2 2 2 4 2 5" xfId="8588" xr:uid="{BC019AA7-4CAF-4444-83A3-804541FEA998}"/>
    <cellStyle name="Normal 2 2 2 2 2 2 2 2 2 2 2 2 2 2 2 4 2 5 2" xfId="8589" xr:uid="{A4A863CC-D6A5-401D-AB4D-FD14F971E3E1}"/>
    <cellStyle name="Normal 2 2 2 2 2 2 2 2 2 2 2 2 2 2 2 4 2 5 2 2" xfId="8590" xr:uid="{50177733-8DA1-447B-801A-C7C55815CE90}"/>
    <cellStyle name="Normal 2 2 2 2 2 2 2 2 2 2 2 2 2 2 2 4 2 5 2 3" xfId="8591" xr:uid="{2983FEDB-5786-444B-AAB4-1B80CE418A9D}"/>
    <cellStyle name="Normal 2 2 2 2 2 2 2 2 2 2 2 2 2 2 2 4 2 5 2 4" xfId="8592" xr:uid="{FE156797-CF3E-45B9-9588-04CD91CFC20F}"/>
    <cellStyle name="Normal 2 2 2 2 2 2 2 2 2 2 2 2 2 2 2 4 2 5 3" xfId="8593" xr:uid="{755BE0A9-1F3E-45EC-9ED0-20DA503A2A01}"/>
    <cellStyle name="Normal 2 2 2 2 2 2 2 2 2 2 2 2 2 2 2 4 2 5 4" xfId="8594" xr:uid="{E60A6A3D-FBCF-4130-9CEA-90619589748C}"/>
    <cellStyle name="Normal 2 2 2 2 2 2 2 2 2 2 2 2 2 2 2 4 2 5 5" xfId="8595" xr:uid="{4DC52FCD-22B5-45F5-A081-03B1C0623B6E}"/>
    <cellStyle name="Normal 2 2 2 2 2 2 2 2 2 2 2 2 2 2 2 4 2 5 6" xfId="8596" xr:uid="{C36E4A5D-2B51-4E25-BE6A-8C85F62DEDF4}"/>
    <cellStyle name="Normal 2 2 2 2 2 2 2 2 2 2 2 2 2 2 2 4 2 6" xfId="8597" xr:uid="{B0C6B348-F5D7-41D8-BD62-AD96F7F2EA10}"/>
    <cellStyle name="Normal 2 2 2 2 2 2 2 2 2 2 2 2 2 2 2 4 2 7" xfId="8598" xr:uid="{D302596E-10D9-49B2-A7AE-F7528B72283E}"/>
    <cellStyle name="Normal 2 2 2 2 2 2 2 2 2 2 2 2 2 2 2 4 2 8" xfId="8599" xr:uid="{0F762442-0DE7-4B2F-9AB1-EAB543CFAAB0}"/>
    <cellStyle name="Normal 2 2 2 2 2 2 2 2 2 2 2 2 2 2 2 4 2 9" xfId="8600" xr:uid="{B1CA63BA-0B4B-437A-9F64-85F712DF7957}"/>
    <cellStyle name="Normal 2 2 2 2 2 2 2 2 2 2 2 2 2 2 2 4 3" xfId="8601" xr:uid="{1F2027B4-C8BA-4548-804A-D335439E2981}"/>
    <cellStyle name="Normal 2 2 2 2 2 2 2 2 2 2 2 2 2 2 2 4 4" xfId="8602" xr:uid="{CD1ABBE8-8DE3-4759-B008-4B87122128A5}"/>
    <cellStyle name="Normal 2 2 2 2 2 2 2 2 2 2 2 2 2 2 2 4 5" xfId="8603" xr:uid="{8BA95C9F-94C2-462E-8E23-7AB3018D263A}"/>
    <cellStyle name="Normal 2 2 2 2 2 2 2 2 2 2 2 2 2 2 2 4 5 10" xfId="8604" xr:uid="{5AB99C34-CE23-4D51-A8BB-DBA3AF4F57FE}"/>
    <cellStyle name="Normal 2 2 2 2 2 2 2 2 2 2 2 2 2 2 2 4 5 11" xfId="8605" xr:uid="{C7C2E241-0E1B-43F2-A12B-B67A3DA32116}"/>
    <cellStyle name="Normal 2 2 2 2 2 2 2 2 2 2 2 2 2 2 2 4 5 2" xfId="8606" xr:uid="{6DA4407C-BA3A-4763-9892-6E94B53D9046}"/>
    <cellStyle name="Normal 2 2 2 2 2 2 2 2 2 2 2 2 2 2 2 4 5 2 10" xfId="8607" xr:uid="{0FEDF4B5-865A-4062-AB34-10FA64E9A3F9}"/>
    <cellStyle name="Normal 2 2 2 2 2 2 2 2 2 2 2 2 2 2 2 4 5 2 11" xfId="8608" xr:uid="{A3C40323-7702-4E2A-954C-65F43FDA7A30}"/>
    <cellStyle name="Normal 2 2 2 2 2 2 2 2 2 2 2 2 2 2 2 4 5 2 2" xfId="8609" xr:uid="{1C7E2957-6856-4356-A39F-A1FF045846D3}"/>
    <cellStyle name="Normal 2 2 2 2 2 2 2 2 2 2 2 2 2 2 2 4 5 2 2 2" xfId="8610" xr:uid="{590B7D15-3D32-4D4A-BAD2-1380FCE1EF48}"/>
    <cellStyle name="Normal 2 2 2 2 2 2 2 2 2 2 2 2 2 2 2 4 5 2 2 2 2" xfId="8611" xr:uid="{3D2A173B-0591-44AD-9D9D-358C822D6670}"/>
    <cellStyle name="Normal 2 2 2 2 2 2 2 2 2 2 2 2 2 2 2 4 5 2 2 2 3" xfId="8612" xr:uid="{07BC7E50-F4A1-4143-910E-C87E62C2F496}"/>
    <cellStyle name="Normal 2 2 2 2 2 2 2 2 2 2 2 2 2 2 2 4 5 2 2 2 4" xfId="8613" xr:uid="{ECB8E323-58C8-458F-8194-89D5CEA87DDB}"/>
    <cellStyle name="Normal 2 2 2 2 2 2 2 2 2 2 2 2 2 2 2 4 5 2 2 3" xfId="8614" xr:uid="{B27E21ED-1515-4ED1-9E66-89D6F604137E}"/>
    <cellStyle name="Normal 2 2 2 2 2 2 2 2 2 2 2 2 2 2 2 4 5 2 2 4" xfId="8615" xr:uid="{F7327143-4884-4FBC-8AD9-33B9F24876F0}"/>
    <cellStyle name="Normal 2 2 2 2 2 2 2 2 2 2 2 2 2 2 2 4 5 2 2 5" xfId="8616" xr:uid="{B8EF98DF-9716-4A96-AE87-1C26CD7CC750}"/>
    <cellStyle name="Normal 2 2 2 2 2 2 2 2 2 2 2 2 2 2 2 4 5 2 2 6" xfId="8617" xr:uid="{840B2185-879E-42EB-8BA1-7FF608C25353}"/>
    <cellStyle name="Normal 2 2 2 2 2 2 2 2 2 2 2 2 2 2 2 4 5 2 3" xfId="8618" xr:uid="{D6D4951C-1896-4E3A-8CE7-F7BC0E1038C8}"/>
    <cellStyle name="Normal 2 2 2 2 2 2 2 2 2 2 2 2 2 2 2 4 5 2 4" xfId="8619" xr:uid="{256106C5-5C26-4B0E-BA40-C867B7E45489}"/>
    <cellStyle name="Normal 2 2 2 2 2 2 2 2 2 2 2 2 2 2 2 4 5 2 5" xfId="8620" xr:uid="{ED9EEA22-7CB1-40D2-B9CB-5AB2CCC97624}"/>
    <cellStyle name="Normal 2 2 2 2 2 2 2 2 2 2 2 2 2 2 2 4 5 2 6" xfId="8621" xr:uid="{55ED79E4-EF07-4546-BB21-B0F53F58C8D1}"/>
    <cellStyle name="Normal 2 2 2 2 2 2 2 2 2 2 2 2 2 2 2 4 5 2 7" xfId="8622" xr:uid="{36BB8DFD-9E44-4188-8F19-9A0E0F9F4532}"/>
    <cellStyle name="Normal 2 2 2 2 2 2 2 2 2 2 2 2 2 2 2 4 5 2 8" xfId="8623" xr:uid="{0B882EEA-74AC-4887-BF43-774DF33F7104}"/>
    <cellStyle name="Normal 2 2 2 2 2 2 2 2 2 2 2 2 2 2 2 4 5 2 8 2" xfId="8624" xr:uid="{6AD9C1FA-A687-471C-91D3-B7F3BE2CDB51}"/>
    <cellStyle name="Normal 2 2 2 2 2 2 2 2 2 2 2 2 2 2 2 4 5 2 8 3" xfId="8625" xr:uid="{8D58CE74-DC9F-4E37-AFBA-C0641456DC78}"/>
    <cellStyle name="Normal 2 2 2 2 2 2 2 2 2 2 2 2 2 2 2 4 5 2 8 4" xfId="8626" xr:uid="{EBF44338-EE71-4185-9E08-1D6E160AC6D1}"/>
    <cellStyle name="Normal 2 2 2 2 2 2 2 2 2 2 2 2 2 2 2 4 5 2 9" xfId="8627" xr:uid="{7775C746-0A4B-42A7-9C2C-78717A00036C}"/>
    <cellStyle name="Normal 2 2 2 2 2 2 2 2 2 2 2 2 2 2 2 4 5 3" xfId="8628" xr:uid="{D087507E-20E2-41F8-9369-840E02BB8FC6}"/>
    <cellStyle name="Normal 2 2 2 2 2 2 2 2 2 2 2 2 2 2 2 4 5 3 2" xfId="8629" xr:uid="{CF5C947A-2226-46E2-83CD-CE62FDC4822C}"/>
    <cellStyle name="Normal 2 2 2 2 2 2 2 2 2 2 2 2 2 2 2 4 5 3 2 2" xfId="8630" xr:uid="{479FF12E-C778-43B9-896D-EB77D0A960DD}"/>
    <cellStyle name="Normal 2 2 2 2 2 2 2 2 2 2 2 2 2 2 2 4 5 3 2 3" xfId="8631" xr:uid="{DB1CB61D-0E77-4378-9AFA-181D21D5D641}"/>
    <cellStyle name="Normal 2 2 2 2 2 2 2 2 2 2 2 2 2 2 2 4 5 3 2 4" xfId="8632" xr:uid="{B229058E-31BC-4F2E-8133-FE88323E44FE}"/>
    <cellStyle name="Normal 2 2 2 2 2 2 2 2 2 2 2 2 2 2 2 4 5 3 3" xfId="8633" xr:uid="{C78D4BDC-2FD9-4541-861A-080F96CC6079}"/>
    <cellStyle name="Normal 2 2 2 2 2 2 2 2 2 2 2 2 2 2 2 4 5 3 4" xfId="8634" xr:uid="{F0F8F6F6-6DAB-44A6-948D-14CC13C329F3}"/>
    <cellStyle name="Normal 2 2 2 2 2 2 2 2 2 2 2 2 2 2 2 4 5 3 5" xfId="8635" xr:uid="{C07CCF89-A643-4932-9731-5D5318539EDE}"/>
    <cellStyle name="Normal 2 2 2 2 2 2 2 2 2 2 2 2 2 2 2 4 5 3 6" xfId="8636" xr:uid="{7B6BA7B0-987D-4858-AAC6-C9423E238CAB}"/>
    <cellStyle name="Normal 2 2 2 2 2 2 2 2 2 2 2 2 2 2 2 4 5 4" xfId="8637" xr:uid="{F118C12E-F316-4877-B7EA-7F78CA7C5FF8}"/>
    <cellStyle name="Normal 2 2 2 2 2 2 2 2 2 2 2 2 2 2 2 4 5 5" xfId="8638" xr:uid="{21363304-8666-4975-BF78-493928AE590C}"/>
    <cellStyle name="Normal 2 2 2 2 2 2 2 2 2 2 2 2 2 2 2 4 5 6" xfId="8639" xr:uid="{86EBE970-7A25-4842-8C0C-2CA29B93AC81}"/>
    <cellStyle name="Normal 2 2 2 2 2 2 2 2 2 2 2 2 2 2 2 4 5 7" xfId="8640" xr:uid="{242696EE-8E57-4F32-9856-AF7C1C169407}"/>
    <cellStyle name="Normal 2 2 2 2 2 2 2 2 2 2 2 2 2 2 2 4 5 8" xfId="8641" xr:uid="{AC32EC6C-6634-4C3B-8C0E-2AE553BE75C7}"/>
    <cellStyle name="Normal 2 2 2 2 2 2 2 2 2 2 2 2 2 2 2 4 5 8 2" xfId="8642" xr:uid="{DBFEDF2F-4040-4009-B474-295DB00BE7A0}"/>
    <cellStyle name="Normal 2 2 2 2 2 2 2 2 2 2 2 2 2 2 2 4 5 8 3" xfId="8643" xr:uid="{C8771E91-09FD-48E4-A4CF-60B44D5FF6D3}"/>
    <cellStyle name="Normal 2 2 2 2 2 2 2 2 2 2 2 2 2 2 2 4 5 8 4" xfId="8644" xr:uid="{B4B52CD6-36B1-4C3B-A822-37C5CBC49846}"/>
    <cellStyle name="Normal 2 2 2 2 2 2 2 2 2 2 2 2 2 2 2 4 5 9" xfId="8645" xr:uid="{1B0D8AA3-C75E-4C60-8890-77D33D82582F}"/>
    <cellStyle name="Normal 2 2 2 2 2 2 2 2 2 2 2 2 2 2 2 4 6" xfId="8646" xr:uid="{95DA2984-DDDC-4B62-9B43-A0D4B27103D5}"/>
    <cellStyle name="Normal 2 2 2 2 2 2 2 2 2 2 2 2 2 2 2 4 7" xfId="8647" xr:uid="{150BBF19-F33A-4721-9E63-D34CAF3989F1}"/>
    <cellStyle name="Normal 2 2 2 2 2 2 2 2 2 2 2 2 2 2 2 4 7 2" xfId="8648" xr:uid="{384F9797-9BB1-48A9-AE6A-568A4F840B44}"/>
    <cellStyle name="Normal 2 2 2 2 2 2 2 2 2 2 2 2 2 2 2 4 7 2 2" xfId="8649" xr:uid="{4532461E-E2C6-4583-95BC-30852914E2E5}"/>
    <cellStyle name="Normal 2 2 2 2 2 2 2 2 2 2 2 2 2 2 2 4 7 2 3" xfId="8650" xr:uid="{F8028B76-DF63-4F6D-9BD6-B2D2CAF1D287}"/>
    <cellStyle name="Normal 2 2 2 2 2 2 2 2 2 2 2 2 2 2 2 4 7 2 4" xfId="8651" xr:uid="{F140C0AC-CBB1-447D-95F2-C98B4A4DA7C6}"/>
    <cellStyle name="Normal 2 2 2 2 2 2 2 2 2 2 2 2 2 2 2 4 7 3" xfId="8652" xr:uid="{3C2D1F25-3035-4130-B712-C0F3B665B86D}"/>
    <cellStyle name="Normal 2 2 2 2 2 2 2 2 2 2 2 2 2 2 2 4 7 4" xfId="8653" xr:uid="{67F9F84D-F801-4CC9-9574-D375B84D0155}"/>
    <cellStyle name="Normal 2 2 2 2 2 2 2 2 2 2 2 2 2 2 2 4 7 5" xfId="8654" xr:uid="{9EA6C8ED-47E9-4E9E-A247-7E977C476026}"/>
    <cellStyle name="Normal 2 2 2 2 2 2 2 2 2 2 2 2 2 2 2 4 7 6" xfId="8655" xr:uid="{5F541DE8-0AC5-46A0-A34C-E0D785E05C18}"/>
    <cellStyle name="Normal 2 2 2 2 2 2 2 2 2 2 2 2 2 2 2 4 8" xfId="8656" xr:uid="{EC75A9B6-48EF-4C08-B41A-84087B1BA3B6}"/>
    <cellStyle name="Normal 2 2 2 2 2 2 2 2 2 2 2 2 2 2 2 4 9" xfId="8657" xr:uid="{E3970509-FD5B-482E-B04B-4414CED45A78}"/>
    <cellStyle name="Normal 2 2 2 2 2 2 2 2 2 2 2 2 2 2 2 40" xfId="8658" xr:uid="{CBF7D391-CDD9-481C-8EFD-7CE059EBE4DD}"/>
    <cellStyle name="Normal 2 2 2 2 2 2 2 2 2 2 2 2 2 2 2 41" xfId="8659" xr:uid="{007D7C0B-08F8-4316-B863-1B940AB9B85D}"/>
    <cellStyle name="Normal 2 2 2 2 2 2 2 2 2 2 2 2 2 2 2 42" xfId="8660" xr:uid="{E21AA799-DBA5-4429-A8F3-C5E749843446}"/>
    <cellStyle name="Normal 2 2 2 2 2 2 2 2 2 2 2 2 2 2 2 43" xfId="8661" xr:uid="{2DDEA098-9776-4DAF-8608-51098FBCA4FC}"/>
    <cellStyle name="Normal 2 2 2 2 2 2 2 2 2 2 2 2 2 2 2 44" xfId="8662" xr:uid="{7B15A21B-FD12-449C-9CF0-9A01844E63DD}"/>
    <cellStyle name="Normal 2 2 2 2 2 2 2 2 2 2 2 2 2 2 2 45" xfId="8663" xr:uid="{55A78D54-F0A6-41BB-A3A5-0CB851D3C176}"/>
    <cellStyle name="Normal 2 2 2 2 2 2 2 2 2 2 2 2 2 2 2 46" xfId="8664" xr:uid="{97A01E1D-E346-43D1-B077-F759CEE2CCAF}"/>
    <cellStyle name="Normal 2 2 2 2 2 2 2 2 2 2 2 2 2 2 2 47" xfId="8665" xr:uid="{C57601CF-E9D9-4188-9E4C-CDC8CF1A9366}"/>
    <cellStyle name="Normal 2 2 2 2 2 2 2 2 2 2 2 2 2 2 2 48" xfId="8666" xr:uid="{0BF4B0AF-CF99-4F80-9FDF-1E3B1E19FF68}"/>
    <cellStyle name="Normal 2 2 2 2 2 2 2 2 2 2 2 2 2 2 2 49" xfId="8667" xr:uid="{02602CEC-92A6-45AE-903C-6E00456D9898}"/>
    <cellStyle name="Normal 2 2 2 2 2 2 2 2 2 2 2 2 2 2 2 5" xfId="8668" xr:uid="{BFA9FE77-1112-4AC3-A2D1-51F1CFDD198E}"/>
    <cellStyle name="Normal 2 2 2 2 2 2 2 2 2 2 2 2 2 2 2 50" xfId="8669" xr:uid="{643325DD-A838-413D-A0C9-D56986E29005}"/>
    <cellStyle name="Normal 2 2 2 2 2 2 2 2 2 2 2 2 2 2 2 51" xfId="8670" xr:uid="{846C82CD-4AAA-40AA-936F-0076043E21F8}"/>
    <cellStyle name="Normal 2 2 2 2 2 2 2 2 2 2 2 2 2 2 2 52" xfId="8671" xr:uid="{1857F69B-9DA7-4FD5-99F2-A48CBA929CBD}"/>
    <cellStyle name="Normal 2 2 2 2 2 2 2 2 2 2 2 2 2 2 2 53" xfId="8672" xr:uid="{846C740F-D9B3-4579-8636-F3EFB63FD3A0}"/>
    <cellStyle name="Normal 2 2 2 2 2 2 2 2 2 2 2 2 2 2 2 54" xfId="8673" xr:uid="{91A8A857-02EE-4ED9-AEC1-69589415D1D0}"/>
    <cellStyle name="Normal 2 2 2 2 2 2 2 2 2 2 2 2 2 2 2 55" xfId="8674" xr:uid="{EEB72DCB-F6DA-48B3-AB06-04DF115F0784}"/>
    <cellStyle name="Normal 2 2 2 2 2 2 2 2 2 2 2 2 2 2 2 56" xfId="8675" xr:uid="{68FAC549-7C19-4CB8-9352-805C31AAAE37}"/>
    <cellStyle name="Normal 2 2 2 2 2 2 2 2 2 2 2 2 2 2 2 57" xfId="8676" xr:uid="{8D767224-32B6-4C53-9436-19A6B3DDC94E}"/>
    <cellStyle name="Normal 2 2 2 2 2 2 2 2 2 2 2 2 2 2 2 58" xfId="8677" xr:uid="{A6B18BB5-3B2F-4064-8836-2DBF72543DE6}"/>
    <cellStyle name="Normal 2 2 2 2 2 2 2 2 2 2 2 2 2 2 2 59" xfId="8678" xr:uid="{6E729D0D-0D24-4DDC-A1A3-BF0ED6E74826}"/>
    <cellStyle name="Normal 2 2 2 2 2 2 2 2 2 2 2 2 2 2 2 6" xfId="8679" xr:uid="{78787ED7-BB5F-40D4-8B92-4CB1A71CCC1B}"/>
    <cellStyle name="Normal 2 2 2 2 2 2 2 2 2 2 2 2 2 2 2 60" xfId="8680" xr:uid="{24A0B8FE-E47F-4AFD-8AA4-CB08C67C80C5}"/>
    <cellStyle name="Normal 2 2 2 2 2 2 2 2 2 2 2 2 2 2 2 61" xfId="8681" xr:uid="{B40AF4A3-F18B-4382-B3FD-E4559868DA93}"/>
    <cellStyle name="Normal 2 2 2 2 2 2 2 2 2 2 2 2 2 2 2 62" xfId="8682" xr:uid="{C3D8F560-66AF-4908-A8A7-015A9E720680}"/>
    <cellStyle name="Normal 2 2 2 2 2 2 2 2 2 2 2 2 2 2 2 63" xfId="8683" xr:uid="{98844DD7-1A1F-435C-B280-E57BC82B8559}"/>
    <cellStyle name="Normal 2 2 2 2 2 2 2 2 2 2 2 2 2 2 2 64" xfId="8684" xr:uid="{6362577A-E7FD-4262-BCAA-83FB5BBE0C4E}"/>
    <cellStyle name="Normal 2 2 2 2 2 2 2 2 2 2 2 2 2 2 2 65" xfId="8685" xr:uid="{03D3D17E-294F-4C4A-BB13-DC1A64402AD9}"/>
    <cellStyle name="Normal 2 2 2 2 2 2 2 2 2 2 2 2 2 2 2 66" xfId="8686" xr:uid="{2AD02B92-B403-4B73-9C0D-30BFFBB20B7C}"/>
    <cellStyle name="Normal 2 2 2 2 2 2 2 2 2 2 2 2 2 2 2 67" xfId="8687" xr:uid="{5FDD7E03-2091-479C-828F-96683063D6A6}"/>
    <cellStyle name="Normal 2 2 2 2 2 2 2 2 2 2 2 2 2 2 2 68" xfId="8688" xr:uid="{CEBF4E7F-2F74-4BD8-8A55-552B426A37B4}"/>
    <cellStyle name="Normal 2 2 2 2 2 2 2 2 2 2 2 2 2 2 2 69" xfId="8689" xr:uid="{34CBED72-0C7A-45F9-9568-DDD94407B0F5}"/>
    <cellStyle name="Normal 2 2 2 2 2 2 2 2 2 2 2 2 2 2 2 7" xfId="8690" xr:uid="{22DE90DE-3C23-4864-991D-F93C18299A28}"/>
    <cellStyle name="Normal 2 2 2 2 2 2 2 2 2 2 2 2 2 2 2 70" xfId="8691" xr:uid="{27C7E212-4DB8-4F59-B120-60D717DC72B8}"/>
    <cellStyle name="Normal 2 2 2 2 2 2 2 2 2 2 2 2 2 2 2 71" xfId="8692" xr:uid="{2FEEEC53-390F-497C-A8CA-D301FF707EB4}"/>
    <cellStyle name="Normal 2 2 2 2 2 2 2 2 2 2 2 2 2 2 2 72" xfId="8693" xr:uid="{B8FAFF3E-CD21-42D8-B4E5-A4B35725798E}"/>
    <cellStyle name="Normal 2 2 2 2 2 2 2 2 2 2 2 2 2 2 2 73" xfId="8694" xr:uid="{76270DDA-98A0-4086-B810-166300BCD2C3}"/>
    <cellStyle name="Normal 2 2 2 2 2 2 2 2 2 2 2 2 2 2 2 74" xfId="8695" xr:uid="{DA12207E-10D0-4501-B17A-8922E9AEF644}"/>
    <cellStyle name="Normal 2 2 2 2 2 2 2 2 2 2 2 2 2 2 2 75" xfId="8696" xr:uid="{7694F5AC-F8B0-46BD-83C8-FB91825793CA}"/>
    <cellStyle name="Normal 2 2 2 2 2 2 2 2 2 2 2 2 2 2 2 76" xfId="8697" xr:uid="{4E05FFFC-A601-41CC-AA1C-6AD14980D84C}"/>
    <cellStyle name="Normal 2 2 2 2 2 2 2 2 2 2 2 2 2 2 2 77" xfId="8698" xr:uid="{AC25D249-FAB4-42FC-9EF6-633AA9AE47A2}"/>
    <cellStyle name="Normal 2 2 2 2 2 2 2 2 2 2 2 2 2 2 2 78" xfId="8699" xr:uid="{C3DF8F01-CA65-45FA-834C-5564F4FCD3E2}"/>
    <cellStyle name="Normal 2 2 2 2 2 2 2 2 2 2 2 2 2 2 2 79" xfId="8700" xr:uid="{7F599EC7-2DDE-4397-91B9-09FED4775D87}"/>
    <cellStyle name="Normal 2 2 2 2 2 2 2 2 2 2 2 2 2 2 2 8" xfId="8701" xr:uid="{AAE51532-316E-487D-B3FF-4BAEE5AFFB6E}"/>
    <cellStyle name="Normal 2 2 2 2 2 2 2 2 2 2 2 2 2 2 2 80" xfId="8702" xr:uid="{2322929A-9A11-4BDF-AC97-F40394811CD8}"/>
    <cellStyle name="Normal 2 2 2 2 2 2 2 2 2 2 2 2 2 2 2 81" xfId="8703" xr:uid="{E82081F4-C7FB-4C8C-81CF-67A50CA5B53A}"/>
    <cellStyle name="Normal 2 2 2 2 2 2 2 2 2 2 2 2 2 2 2 82" xfId="8704" xr:uid="{5E0D5F47-D137-4E81-B42E-F8F9DEB19068}"/>
    <cellStyle name="Normal 2 2 2 2 2 2 2 2 2 2 2 2 2 2 2 83" xfId="8705" xr:uid="{EA1DCF96-CE40-4557-B37B-2F28C4183A5D}"/>
    <cellStyle name="Normal 2 2 2 2 2 2 2 2 2 2 2 2 2 2 2 84" xfId="8706" xr:uid="{EDD27283-0C70-4F40-BE41-A48B5453108E}"/>
    <cellStyle name="Normal 2 2 2 2 2 2 2 2 2 2 2 2 2 2 2 84 2" xfId="8707" xr:uid="{01AB2474-437C-47FF-B0E9-EE7E5E19FA64}"/>
    <cellStyle name="Normal 2 2 2 2 2 2 2 2 2 2 2 2 2 2 2 84 3" xfId="8708" xr:uid="{3E494D27-1609-4B3F-B982-3CEA38518864}"/>
    <cellStyle name="Normal 2 2 2 2 2 2 2 2 2 2 2 2 2 2 2 84 4" xfId="8709" xr:uid="{F0E55029-119F-4A03-B566-A7506D361AB9}"/>
    <cellStyle name="Normal 2 2 2 2 2 2 2 2 2 2 2 2 2 2 2 85" xfId="8710" xr:uid="{43C20D21-DD38-4244-9315-65A56EEF1D85}"/>
    <cellStyle name="Normal 2 2 2 2 2 2 2 2 2 2 2 2 2 2 2 86" xfId="8711" xr:uid="{8C7283A7-B228-491F-A839-427FA9E64211}"/>
    <cellStyle name="Normal 2 2 2 2 2 2 2 2 2 2 2 2 2 2 2 9" xfId="8712" xr:uid="{EC211BAA-48F8-4FF8-92E1-CB0AB1E0CF72}"/>
    <cellStyle name="Normal 2 2 2 2 2 2 2 2 2 2 2 2 2 2 20" xfId="8713" xr:uid="{DCF16473-20CB-4B9D-899B-CBE41DE1B343}"/>
    <cellStyle name="Normal 2 2 2 2 2 2 2 2 2 2 2 2 2 2 20 2" xfId="8714" xr:uid="{6214794C-9A10-4D4A-97F2-DE441F7B66C8}"/>
    <cellStyle name="Normal 2 2 2 2 2 2 2 2 2 2 2 2 2 2 20 2 2" xfId="8715" xr:uid="{86DCE659-612F-42EC-9685-03060A15F173}"/>
    <cellStyle name="Normal 2 2 2 2 2 2 2 2 2 2 2 2 2 2 20 2 3" xfId="8716" xr:uid="{3009DD7A-B1C4-4462-90C9-4FE65F00A82C}"/>
    <cellStyle name="Normal 2 2 2 2 2 2 2 2 2 2 2 2 2 2 20 2 4" xfId="8717" xr:uid="{E67AE4BF-0832-488B-B176-433D3217D7D7}"/>
    <cellStyle name="Normal 2 2 2 2 2 2 2 2 2 2 2 2 2 2 20 3" xfId="8718" xr:uid="{1FE1A78B-12C3-4230-8BE2-C6F9F55C6B58}"/>
    <cellStyle name="Normal 2 2 2 2 2 2 2 2 2 2 2 2 2 2 20 4" xfId="8719" xr:uid="{5AFDE173-E157-4EFD-80E3-FB05F93DB106}"/>
    <cellStyle name="Normal 2 2 2 2 2 2 2 2 2 2 2 2 2 2 20 5" xfId="8720" xr:uid="{553C1913-6EFB-4C5C-8581-0415CBB4AB93}"/>
    <cellStyle name="Normal 2 2 2 2 2 2 2 2 2 2 2 2 2 2 20 6" xfId="8721" xr:uid="{739B66C6-1DA0-4172-B07E-23B96E9BF546}"/>
    <cellStyle name="Normal 2 2 2 2 2 2 2 2 2 2 2 2 2 2 21" xfId="8722" xr:uid="{EA92D85D-08A1-44E2-8E58-3CCC35CBB5E4}"/>
    <cellStyle name="Normal 2 2 2 2 2 2 2 2 2 2 2 2 2 2 22" xfId="8723" xr:uid="{270B92EE-21D5-4D90-A40F-20D84603B29B}"/>
    <cellStyle name="Normal 2 2 2 2 2 2 2 2 2 2 2 2 2 2 23" xfId="8724" xr:uid="{6899BC56-B0D3-4623-A257-A14DEEB9837A}"/>
    <cellStyle name="Normal 2 2 2 2 2 2 2 2 2 2 2 2 2 2 24" xfId="8725" xr:uid="{9D2F1EA6-291F-4F38-A828-176F4DD4B455}"/>
    <cellStyle name="Normal 2 2 2 2 2 2 2 2 2 2 2 2 2 2 25" xfId="8726" xr:uid="{93D833CE-8606-421A-98D4-2BB99A4AE44F}"/>
    <cellStyle name="Normal 2 2 2 2 2 2 2 2 2 2 2 2 2 2 26" xfId="8727" xr:uid="{C74A6C54-A43B-44A8-928F-B427EB25C9BA}"/>
    <cellStyle name="Normal 2 2 2 2 2 2 2 2 2 2 2 2 2 2 26 2" xfId="8728" xr:uid="{E014FECA-3EB7-405E-8C3A-0D623B04F878}"/>
    <cellStyle name="Normal 2 2 2 2 2 2 2 2 2 2 2 2 2 2 26 3" xfId="8729" xr:uid="{3FB2D22D-8C71-4B59-A115-25D80857ACC9}"/>
    <cellStyle name="Normal 2 2 2 2 2 2 2 2 2 2 2 2 2 2 26 4" xfId="8730" xr:uid="{199F9BF4-B41E-4949-8129-E7732625D8AB}"/>
    <cellStyle name="Normal 2 2 2 2 2 2 2 2 2 2 2 2 2 2 27" xfId="8731" xr:uid="{2FBD8629-7804-4827-977A-DC0BCA0D1F88}"/>
    <cellStyle name="Normal 2 2 2 2 2 2 2 2 2 2 2 2 2 2 28" xfId="8732" xr:uid="{14F6079C-DA42-4A74-A3D5-F7D540A8A75F}"/>
    <cellStyle name="Normal 2 2 2 2 2 2 2 2 2 2 2 2 2 2 29" xfId="8733" xr:uid="{4203E1A5-460B-46A4-9523-AEA71B843A59}"/>
    <cellStyle name="Normal 2 2 2 2 2 2 2 2 2 2 2 2 2 2 3" xfId="8734" xr:uid="{3810DF24-0459-4A66-8188-CDDBD6EBBF7F}"/>
    <cellStyle name="Normal 2 2 2 2 2 2 2 2 2 2 2 2 2 2 30" xfId="8735" xr:uid="{58C391E2-1E0D-4A08-96FA-4CA9722DA0F0}"/>
    <cellStyle name="Normal 2 2 2 2 2 2 2 2 2 2 2 2 2 2 31" xfId="8736" xr:uid="{29FAC8CE-DF13-4D45-99AF-1F63A04A1E05}"/>
    <cellStyle name="Normal 2 2 2 2 2 2 2 2 2 2 2 2 2 2 32" xfId="8737" xr:uid="{BE35858D-C998-422B-8BBD-918B964D188E}"/>
    <cellStyle name="Normal 2 2 2 2 2 2 2 2 2 2 2 2 2 2 33" xfId="8738" xr:uid="{39D2EA85-535D-4FEB-AD6A-B0CD05DDD090}"/>
    <cellStyle name="Normal 2 2 2 2 2 2 2 2 2 2 2 2 2 2 34" xfId="8739" xr:uid="{DFDBD7F8-343A-4B03-80F1-B3E61DDACBB4}"/>
    <cellStyle name="Normal 2 2 2 2 2 2 2 2 2 2 2 2 2 2 35" xfId="8740" xr:uid="{243F3C4C-9F04-4D8D-AE50-B7D94D4FF822}"/>
    <cellStyle name="Normal 2 2 2 2 2 2 2 2 2 2 2 2 2 2 36" xfId="8741" xr:uid="{F1B53D36-2F16-4533-A457-8C8911A4A291}"/>
    <cellStyle name="Normal 2 2 2 2 2 2 2 2 2 2 2 2 2 2 37" xfId="8742" xr:uid="{B5A95386-2FAA-4DB1-B3DF-00250A9D8388}"/>
    <cellStyle name="Normal 2 2 2 2 2 2 2 2 2 2 2 2 2 2 38" xfId="8743" xr:uid="{FAB8D878-73FF-49C4-95AA-3648383B5B88}"/>
    <cellStyle name="Normal 2 2 2 2 2 2 2 2 2 2 2 2 2 2 39" xfId="8744" xr:uid="{3DD7F5A4-EE8C-4F54-9F58-F9E7ABA217DB}"/>
    <cellStyle name="Normal 2 2 2 2 2 2 2 2 2 2 2 2 2 2 4" xfId="8745" xr:uid="{1978862B-FC12-4B89-92F6-7FCF9F521B76}"/>
    <cellStyle name="Normal 2 2 2 2 2 2 2 2 2 2 2 2 2 2 40" xfId="8746" xr:uid="{CFBE6494-894A-432B-9BAA-6D2ED3A03489}"/>
    <cellStyle name="Normal 2 2 2 2 2 2 2 2 2 2 2 2 2 2 41" xfId="8747" xr:uid="{EB6AAA62-8039-4927-B99C-AEEEC837C200}"/>
    <cellStyle name="Normal 2 2 2 2 2 2 2 2 2 2 2 2 2 2 41 2" xfId="8748" xr:uid="{32A66516-49CF-4762-8BDD-7129F621A0D9}"/>
    <cellStyle name="Normal 2 2 2 2 2 2 2 2 2 2 2 2 2 2 41 3" xfId="8749" xr:uid="{341C3112-D3CA-463B-A673-31F0C6B4FE35}"/>
    <cellStyle name="Normal 2 2 2 2 2 2 2 2 2 2 2 2 2 2 41 4" xfId="8750" xr:uid="{9F6517ED-0367-4AFD-A5F6-114364217220}"/>
    <cellStyle name="Normal 2 2 2 2 2 2 2 2 2 2 2 2 2 2 41 5" xfId="8751" xr:uid="{AA59DCF7-277C-402B-9973-8410ED1B71B9}"/>
    <cellStyle name="Normal 2 2 2 2 2 2 2 2 2 2 2 2 2 2 41 6" xfId="8752" xr:uid="{5F1FAFF7-9A7A-4824-AFB0-0704DDAE1BF1}"/>
    <cellStyle name="Normal 2 2 2 2 2 2 2 2 2 2 2 2 2 2 41 7" xfId="8753" xr:uid="{04B9565B-5D31-469D-8787-0A474825E17E}"/>
    <cellStyle name="Normal 2 2 2 2 2 2 2 2 2 2 2 2 2 2 42" xfId="8754" xr:uid="{3629E70B-FEED-46E6-BC36-E2FA3754BED0}"/>
    <cellStyle name="Normal 2 2 2 2 2 2 2 2 2 2 2 2 2 2 43" xfId="8755" xr:uid="{1141A82F-165E-4583-AAEF-950369528C54}"/>
    <cellStyle name="Normal 2 2 2 2 2 2 2 2 2 2 2 2 2 2 44" xfId="8756" xr:uid="{A3B65877-4E37-436B-B6DD-CE78F5577B79}"/>
    <cellStyle name="Normal 2 2 2 2 2 2 2 2 2 2 2 2 2 2 45" xfId="8757" xr:uid="{A94DF3F5-C9F7-4FB2-A419-DAEAD3FA9DAD}"/>
    <cellStyle name="Normal 2 2 2 2 2 2 2 2 2 2 2 2 2 2 46" xfId="8758" xr:uid="{99E258EE-C105-4A67-A30D-B76E5EB9D80D}"/>
    <cellStyle name="Normal 2 2 2 2 2 2 2 2 2 2 2 2 2 2 47" xfId="8759" xr:uid="{7E95DA62-4FCD-4347-9AA9-25EC02781128}"/>
    <cellStyle name="Normal 2 2 2 2 2 2 2 2 2 2 2 2 2 2 48" xfId="8760" xr:uid="{04CFA672-B9ED-4C54-BB25-FCC49B2625B1}"/>
    <cellStyle name="Normal 2 2 2 2 2 2 2 2 2 2 2 2 2 2 49" xfId="8761" xr:uid="{15171C07-E20A-42CE-BBEE-442EFCD2A5EA}"/>
    <cellStyle name="Normal 2 2 2 2 2 2 2 2 2 2 2 2 2 2 5" xfId="8762" xr:uid="{F807943C-B379-4DD2-985A-D04B56FF0A92}"/>
    <cellStyle name="Normal 2 2 2 2 2 2 2 2 2 2 2 2 2 2 50" xfId="8763" xr:uid="{F3A6FDF9-4C97-4E4B-A400-736CA345EF6B}"/>
    <cellStyle name="Normal 2 2 2 2 2 2 2 2 2 2 2 2 2 2 51" xfId="8764" xr:uid="{F228799A-3DDC-4DAE-A531-A8207C54CEDC}"/>
    <cellStyle name="Normal 2 2 2 2 2 2 2 2 2 2 2 2 2 2 52" xfId="8765" xr:uid="{8A316F77-416C-4A57-8639-D88121030FE7}"/>
    <cellStyle name="Normal 2 2 2 2 2 2 2 2 2 2 2 2 2 2 53" xfId="8766" xr:uid="{9800D565-7EC0-4900-9D20-0B1FCF6FB96E}"/>
    <cellStyle name="Normal 2 2 2 2 2 2 2 2 2 2 2 2 2 2 54" xfId="8767" xr:uid="{09488852-3366-44DE-9F2F-82E9DFED921F}"/>
    <cellStyle name="Normal 2 2 2 2 2 2 2 2 2 2 2 2 2 2 55" xfId="8768" xr:uid="{A783EAF7-A6C5-43E1-B208-96DA42C2D9B4}"/>
    <cellStyle name="Normal 2 2 2 2 2 2 2 2 2 2 2 2 2 2 56" xfId="8769" xr:uid="{B65EA812-7953-4F08-AADD-0ACAC5CE702A}"/>
    <cellStyle name="Normal 2 2 2 2 2 2 2 2 2 2 2 2 2 2 57" xfId="8770" xr:uid="{B682C470-BD47-4266-BF56-B6D2B1794E2E}"/>
    <cellStyle name="Normal 2 2 2 2 2 2 2 2 2 2 2 2 2 2 58" xfId="8771" xr:uid="{10BCDC16-0239-49C3-813B-6929899E6385}"/>
    <cellStyle name="Normal 2 2 2 2 2 2 2 2 2 2 2 2 2 2 59" xfId="8772" xr:uid="{5FC618F3-961D-4A27-AC3B-74260CFE5A33}"/>
    <cellStyle name="Normal 2 2 2 2 2 2 2 2 2 2 2 2 2 2 6" xfId="8773" xr:uid="{F85D649A-0926-4ED1-AEBE-089360A851D6}"/>
    <cellStyle name="Normal 2 2 2 2 2 2 2 2 2 2 2 2 2 2 60" xfId="8774" xr:uid="{7843A7AF-7982-4A92-84C0-92DCCDB3AF45}"/>
    <cellStyle name="Normal 2 2 2 2 2 2 2 2 2 2 2 2 2 2 61" xfId="8775" xr:uid="{19EBC03A-7C85-4B6D-A1DA-E1589735C3F9}"/>
    <cellStyle name="Normal 2 2 2 2 2 2 2 2 2 2 2 2 2 2 62" xfId="8776" xr:uid="{270B5C79-69E3-48E0-952C-F7622FD88FF1}"/>
    <cellStyle name="Normal 2 2 2 2 2 2 2 2 2 2 2 2 2 2 63" xfId="8777" xr:uid="{DF47FACC-FA2D-4895-98C6-7A8D6FD2A8BF}"/>
    <cellStyle name="Normal 2 2 2 2 2 2 2 2 2 2 2 2 2 2 64" xfId="8778" xr:uid="{BB5BB661-9BAA-49E7-A93A-4A0EC2695504}"/>
    <cellStyle name="Normal 2 2 2 2 2 2 2 2 2 2 2 2 2 2 65" xfId="8779" xr:uid="{C761A6C9-6448-4240-9724-3A8357DA8B33}"/>
    <cellStyle name="Normal 2 2 2 2 2 2 2 2 2 2 2 2 2 2 66" xfId="8780" xr:uid="{E8DED903-8C9C-4EC1-89D7-FA99FBAA749A}"/>
    <cellStyle name="Normal 2 2 2 2 2 2 2 2 2 2 2 2 2 2 67" xfId="8781" xr:uid="{2D58E3EB-8194-4B15-A14F-C14E16AD0CF8}"/>
    <cellStyle name="Normal 2 2 2 2 2 2 2 2 2 2 2 2 2 2 68" xfId="8782" xr:uid="{EA784814-19CE-42E8-8EA8-8DFEF1FE37D1}"/>
    <cellStyle name="Normal 2 2 2 2 2 2 2 2 2 2 2 2 2 2 69" xfId="8783" xr:uid="{EB40FBC6-E38E-47B7-88DB-E4BE22F44864}"/>
    <cellStyle name="Normal 2 2 2 2 2 2 2 2 2 2 2 2 2 2 7" xfId="8784" xr:uid="{F3A7C5E3-DEB9-4901-BF5E-8777430C707B}"/>
    <cellStyle name="Normal 2 2 2 2 2 2 2 2 2 2 2 2 2 2 7 10" xfId="8785" xr:uid="{B5064806-737D-492F-88E6-CCF3661A2A0E}"/>
    <cellStyle name="Normal 2 2 2 2 2 2 2 2 2 2 2 2 2 2 7 11" xfId="8786" xr:uid="{2888C1C6-7425-4268-A0F5-08C10C997159}"/>
    <cellStyle name="Normal 2 2 2 2 2 2 2 2 2 2 2 2 2 2 7 11 10" xfId="8787" xr:uid="{24570571-44A7-4D98-BE64-8196C4D25AA6}"/>
    <cellStyle name="Normal 2 2 2 2 2 2 2 2 2 2 2 2 2 2 7 11 11" xfId="8788" xr:uid="{6AAEF3CB-BC23-4E16-9A75-AB5A69BF6357}"/>
    <cellStyle name="Normal 2 2 2 2 2 2 2 2 2 2 2 2 2 2 7 11 11 2" xfId="8789" xr:uid="{26427E46-1CB8-4E01-9882-32A3531E76D5}"/>
    <cellStyle name="Normal 2 2 2 2 2 2 2 2 2 2 2 2 2 2 7 11 11 3" xfId="8790" xr:uid="{14A936BD-DAC6-4212-AF8F-684EEA77EB61}"/>
    <cellStyle name="Normal 2 2 2 2 2 2 2 2 2 2 2 2 2 2 7 11 11 4" xfId="8791" xr:uid="{A2EE17D3-A886-4EAA-9281-9442EE516731}"/>
    <cellStyle name="Normal 2 2 2 2 2 2 2 2 2 2 2 2 2 2 7 11 12" xfId="8792" xr:uid="{274DCC41-8309-41B8-852B-09489C44B3A1}"/>
    <cellStyle name="Normal 2 2 2 2 2 2 2 2 2 2 2 2 2 2 7 11 13" xfId="8793" xr:uid="{ECA40C78-5362-441E-BEB7-1A3C8E56F2B2}"/>
    <cellStyle name="Normal 2 2 2 2 2 2 2 2 2 2 2 2 2 2 7 11 14" xfId="8794" xr:uid="{A3A3A964-FF9B-4E50-A288-D9415BB28685}"/>
    <cellStyle name="Normal 2 2 2 2 2 2 2 2 2 2 2 2 2 2 7 11 2" xfId="8795" xr:uid="{762F95D8-4A93-4F67-8A25-030A5038224F}"/>
    <cellStyle name="Normal 2 2 2 2 2 2 2 2 2 2 2 2 2 2 7 11 2 10" xfId="8796" xr:uid="{AC2B6A30-8D77-4602-867F-C8DA1749F58D}"/>
    <cellStyle name="Normal 2 2 2 2 2 2 2 2 2 2 2 2 2 2 7 11 2 11" xfId="8797" xr:uid="{2C923962-F078-4038-BB0E-4F071D3B2D74}"/>
    <cellStyle name="Normal 2 2 2 2 2 2 2 2 2 2 2 2 2 2 7 11 2 2" xfId="8798" xr:uid="{FAC00D5E-05BB-49E9-971E-3BDEA0B87FD0}"/>
    <cellStyle name="Normal 2 2 2 2 2 2 2 2 2 2 2 2 2 2 7 11 2 2 10" xfId="8799" xr:uid="{1A290777-7E46-47C0-9DCD-47AFC1503E7E}"/>
    <cellStyle name="Normal 2 2 2 2 2 2 2 2 2 2 2 2 2 2 7 11 2 2 11" xfId="8800" xr:uid="{1A49C93C-E82F-4AA0-953F-E7DD7A529C6A}"/>
    <cellStyle name="Normal 2 2 2 2 2 2 2 2 2 2 2 2 2 2 7 11 2 2 2" xfId="8801" xr:uid="{D00C3ED6-B090-4E3B-A3FA-56D23D7E5D5C}"/>
    <cellStyle name="Normal 2 2 2 2 2 2 2 2 2 2 2 2 2 2 7 11 2 2 2 2" xfId="8802" xr:uid="{8D3A3111-370B-47CB-8479-085BA03B4212}"/>
    <cellStyle name="Normal 2 2 2 2 2 2 2 2 2 2 2 2 2 2 7 11 2 2 2 2 2" xfId="8803" xr:uid="{02DDE4A7-6718-4AEF-863B-A0A57C466A5A}"/>
    <cellStyle name="Normal 2 2 2 2 2 2 2 2 2 2 2 2 2 2 7 11 2 2 2 2 3" xfId="8804" xr:uid="{3930E9D9-4733-43A1-9978-D95547D379CE}"/>
    <cellStyle name="Normal 2 2 2 2 2 2 2 2 2 2 2 2 2 2 7 11 2 2 2 2 4" xfId="8805" xr:uid="{D36D2BD4-ED68-40BE-B58C-F36CE619A034}"/>
    <cellStyle name="Normal 2 2 2 2 2 2 2 2 2 2 2 2 2 2 7 11 2 2 2 3" xfId="8806" xr:uid="{28033FA4-BDBC-4AF1-AE37-57259F24B650}"/>
    <cellStyle name="Normal 2 2 2 2 2 2 2 2 2 2 2 2 2 2 7 11 2 2 2 4" xfId="8807" xr:uid="{B86F3C6B-31FC-464E-A669-2998337952E9}"/>
    <cellStyle name="Normal 2 2 2 2 2 2 2 2 2 2 2 2 2 2 7 11 2 2 2 5" xfId="8808" xr:uid="{F6A0F563-AD87-46F8-A907-BD8ADD57A571}"/>
    <cellStyle name="Normal 2 2 2 2 2 2 2 2 2 2 2 2 2 2 7 11 2 2 2 6" xfId="8809" xr:uid="{B95C0253-B47A-4B2F-BB26-BC088595533C}"/>
    <cellStyle name="Normal 2 2 2 2 2 2 2 2 2 2 2 2 2 2 7 11 2 2 3" xfId="8810" xr:uid="{0AF3B336-D613-401D-A701-8B776B88FF1F}"/>
    <cellStyle name="Normal 2 2 2 2 2 2 2 2 2 2 2 2 2 2 7 11 2 2 4" xfId="8811" xr:uid="{861A3CF7-B70D-471F-92E9-7E67C43CA837}"/>
    <cellStyle name="Normal 2 2 2 2 2 2 2 2 2 2 2 2 2 2 7 11 2 2 5" xfId="8812" xr:uid="{1F00EDA2-6679-42A8-9598-620EF8EC2D11}"/>
    <cellStyle name="Normal 2 2 2 2 2 2 2 2 2 2 2 2 2 2 7 11 2 2 6" xfId="8813" xr:uid="{C25EBC59-1D16-4A2D-A8CE-5B3760883C8F}"/>
    <cellStyle name="Normal 2 2 2 2 2 2 2 2 2 2 2 2 2 2 7 11 2 2 7" xfId="8814" xr:uid="{83AA8EF7-3214-4C90-B76E-A68795A80441}"/>
    <cellStyle name="Normal 2 2 2 2 2 2 2 2 2 2 2 2 2 2 7 11 2 2 8" xfId="8815" xr:uid="{09A1AB26-A984-4259-90CE-CC5D05D2F957}"/>
    <cellStyle name="Normal 2 2 2 2 2 2 2 2 2 2 2 2 2 2 7 11 2 2 8 2" xfId="8816" xr:uid="{5EFC38B0-C4A4-48F9-A9E7-585DE71E77EA}"/>
    <cellStyle name="Normal 2 2 2 2 2 2 2 2 2 2 2 2 2 2 7 11 2 2 8 3" xfId="8817" xr:uid="{5B70FAC4-27B5-48F1-8611-21AEEA945886}"/>
    <cellStyle name="Normal 2 2 2 2 2 2 2 2 2 2 2 2 2 2 7 11 2 2 8 4" xfId="8818" xr:uid="{60AACA04-BD63-4C58-86FE-36D2C969F245}"/>
    <cellStyle name="Normal 2 2 2 2 2 2 2 2 2 2 2 2 2 2 7 11 2 2 9" xfId="8819" xr:uid="{2AC5A6C1-6679-496F-9618-BA5E8F236BED}"/>
    <cellStyle name="Normal 2 2 2 2 2 2 2 2 2 2 2 2 2 2 7 11 2 3" xfId="8820" xr:uid="{3C64F95F-7955-4EAC-99FB-59946E2EC959}"/>
    <cellStyle name="Normal 2 2 2 2 2 2 2 2 2 2 2 2 2 2 7 11 2 3 2" xfId="8821" xr:uid="{2E622B59-6DDA-47AA-88E6-F347427520A1}"/>
    <cellStyle name="Normal 2 2 2 2 2 2 2 2 2 2 2 2 2 2 7 11 2 3 2 2" xfId="8822" xr:uid="{59D96544-38A6-466A-A1BF-5C0EF195CC72}"/>
    <cellStyle name="Normal 2 2 2 2 2 2 2 2 2 2 2 2 2 2 7 11 2 3 2 3" xfId="8823" xr:uid="{458352D3-B467-45A3-B5EB-63B4778604E1}"/>
    <cellStyle name="Normal 2 2 2 2 2 2 2 2 2 2 2 2 2 2 7 11 2 3 2 4" xfId="8824" xr:uid="{4B297E37-CFE0-42D8-B8A1-44C195929674}"/>
    <cellStyle name="Normal 2 2 2 2 2 2 2 2 2 2 2 2 2 2 7 11 2 3 3" xfId="8825" xr:uid="{B97CF731-9146-4AD3-BED5-9EB4F463AF18}"/>
    <cellStyle name="Normal 2 2 2 2 2 2 2 2 2 2 2 2 2 2 7 11 2 3 4" xfId="8826" xr:uid="{771F020A-5A2A-4ABF-A57F-4AA9AD8BF842}"/>
    <cellStyle name="Normal 2 2 2 2 2 2 2 2 2 2 2 2 2 2 7 11 2 3 5" xfId="8827" xr:uid="{5888269F-041C-495D-BB45-5C14DBAEF52C}"/>
    <cellStyle name="Normal 2 2 2 2 2 2 2 2 2 2 2 2 2 2 7 11 2 3 6" xfId="8828" xr:uid="{9940D294-A550-4E7A-B792-EBF549255D8B}"/>
    <cellStyle name="Normal 2 2 2 2 2 2 2 2 2 2 2 2 2 2 7 11 2 4" xfId="8829" xr:uid="{0AFF371A-4F61-434F-90AA-11D939C69936}"/>
    <cellStyle name="Normal 2 2 2 2 2 2 2 2 2 2 2 2 2 2 7 11 2 5" xfId="8830" xr:uid="{A23E6932-08C2-4E45-B4D9-0D77C1590F9F}"/>
    <cellStyle name="Normal 2 2 2 2 2 2 2 2 2 2 2 2 2 2 7 11 2 6" xfId="8831" xr:uid="{EC2423D3-5565-4938-BC3A-1085274FE773}"/>
    <cellStyle name="Normal 2 2 2 2 2 2 2 2 2 2 2 2 2 2 7 11 2 7" xfId="8832" xr:uid="{BD7EC9AF-4179-45DD-B2E0-A25F5E91AF3E}"/>
    <cellStyle name="Normal 2 2 2 2 2 2 2 2 2 2 2 2 2 2 7 11 2 8" xfId="8833" xr:uid="{29500F45-989F-4999-8B8C-E94FBE1AB83C}"/>
    <cellStyle name="Normal 2 2 2 2 2 2 2 2 2 2 2 2 2 2 7 11 2 8 2" xfId="8834" xr:uid="{F3D9935E-EF42-4FAF-92DF-D82BC80E34A6}"/>
    <cellStyle name="Normal 2 2 2 2 2 2 2 2 2 2 2 2 2 2 7 11 2 8 3" xfId="8835" xr:uid="{D70127A7-6C32-4BB1-9A4C-670CF7B49515}"/>
    <cellStyle name="Normal 2 2 2 2 2 2 2 2 2 2 2 2 2 2 7 11 2 8 4" xfId="8836" xr:uid="{D59AC7B5-8BCE-4E13-BD5E-7F254336D35C}"/>
    <cellStyle name="Normal 2 2 2 2 2 2 2 2 2 2 2 2 2 2 7 11 2 9" xfId="8837" xr:uid="{A180F6F7-4262-4B19-A0AF-109DE01C73A0}"/>
    <cellStyle name="Normal 2 2 2 2 2 2 2 2 2 2 2 2 2 2 7 11 3" xfId="8838" xr:uid="{E5999614-41C7-4BAB-BD91-6E101C2E14F6}"/>
    <cellStyle name="Normal 2 2 2 2 2 2 2 2 2 2 2 2 2 2 7 11 4" xfId="8839" xr:uid="{71FC3915-54FE-43A5-A9F3-553F684AD9DE}"/>
    <cellStyle name="Normal 2 2 2 2 2 2 2 2 2 2 2 2 2 2 7 11 5" xfId="8840" xr:uid="{160DCB1C-37FA-4E1F-9A0F-EF69FBB29F57}"/>
    <cellStyle name="Normal 2 2 2 2 2 2 2 2 2 2 2 2 2 2 7 11 5 2" xfId="8841" xr:uid="{0D752E1D-8B77-4674-ADF3-227B3552FB1E}"/>
    <cellStyle name="Normal 2 2 2 2 2 2 2 2 2 2 2 2 2 2 7 11 5 2 2" xfId="8842" xr:uid="{4FD85851-AD78-4C9E-B3FA-40E538A87981}"/>
    <cellStyle name="Normal 2 2 2 2 2 2 2 2 2 2 2 2 2 2 7 11 5 2 3" xfId="8843" xr:uid="{8D22C714-0A7A-4FF7-A478-78A7F9E5E9BD}"/>
    <cellStyle name="Normal 2 2 2 2 2 2 2 2 2 2 2 2 2 2 7 11 5 2 4" xfId="8844" xr:uid="{A95EEA48-15FF-4907-BFA8-6586AABF8AB5}"/>
    <cellStyle name="Normal 2 2 2 2 2 2 2 2 2 2 2 2 2 2 7 11 5 3" xfId="8845" xr:uid="{5C8EB1C6-ACAE-48BA-9432-BDA70FB0DDF1}"/>
    <cellStyle name="Normal 2 2 2 2 2 2 2 2 2 2 2 2 2 2 7 11 5 4" xfId="8846" xr:uid="{BBA3E5D0-D401-4D6F-98B1-66F94863EA65}"/>
    <cellStyle name="Normal 2 2 2 2 2 2 2 2 2 2 2 2 2 2 7 11 5 5" xfId="8847" xr:uid="{7612847A-3A67-4180-AA3A-FAF55850E63A}"/>
    <cellStyle name="Normal 2 2 2 2 2 2 2 2 2 2 2 2 2 2 7 11 5 6" xfId="8848" xr:uid="{F389298E-491C-43D1-80F4-A5AC83403D8D}"/>
    <cellStyle name="Normal 2 2 2 2 2 2 2 2 2 2 2 2 2 2 7 11 6" xfId="8849" xr:uid="{9B13089A-ABAE-4ABC-8AF0-1ED70BBDBE52}"/>
    <cellStyle name="Normal 2 2 2 2 2 2 2 2 2 2 2 2 2 2 7 11 7" xfId="8850" xr:uid="{914DC365-2194-4162-886B-1E55177632CA}"/>
    <cellStyle name="Normal 2 2 2 2 2 2 2 2 2 2 2 2 2 2 7 11 8" xfId="8851" xr:uid="{F7D2216F-3347-4119-9101-D075897EB346}"/>
    <cellStyle name="Normal 2 2 2 2 2 2 2 2 2 2 2 2 2 2 7 11 9" xfId="8852" xr:uid="{94A06C45-9A79-4496-97FF-598BA2EBC356}"/>
    <cellStyle name="Normal 2 2 2 2 2 2 2 2 2 2 2 2 2 2 7 12" xfId="8853" xr:uid="{9F5BE8BF-4327-4165-80B2-F743310C3C5F}"/>
    <cellStyle name="Normal 2 2 2 2 2 2 2 2 2 2 2 2 2 2 7 13" xfId="8854" xr:uid="{DB4B2537-8FC5-4D52-9012-FCF5315B9774}"/>
    <cellStyle name="Normal 2 2 2 2 2 2 2 2 2 2 2 2 2 2 7 13 10" xfId="8855" xr:uid="{B997A727-8811-47AF-9CED-BF5F1D7EF9AF}"/>
    <cellStyle name="Normal 2 2 2 2 2 2 2 2 2 2 2 2 2 2 7 13 11" xfId="8856" xr:uid="{54485F59-370F-4B4A-907C-4AA22BC135A5}"/>
    <cellStyle name="Normal 2 2 2 2 2 2 2 2 2 2 2 2 2 2 7 13 2" xfId="8857" xr:uid="{820F8622-E23E-49F1-9A2C-7FAD9DA453FF}"/>
    <cellStyle name="Normal 2 2 2 2 2 2 2 2 2 2 2 2 2 2 7 13 2 10" xfId="8858" xr:uid="{969C3964-3A6B-425E-A5A5-713EA3B74958}"/>
    <cellStyle name="Normal 2 2 2 2 2 2 2 2 2 2 2 2 2 2 7 13 2 11" xfId="8859" xr:uid="{C6348898-CC6F-4887-A086-D8E578AD410B}"/>
    <cellStyle name="Normal 2 2 2 2 2 2 2 2 2 2 2 2 2 2 7 13 2 2" xfId="8860" xr:uid="{BCF969A5-074F-4C1B-8CC8-398EE156B8DA}"/>
    <cellStyle name="Normal 2 2 2 2 2 2 2 2 2 2 2 2 2 2 7 13 2 2 2" xfId="8861" xr:uid="{E5373448-39F6-48D2-B62D-EAA3340435E5}"/>
    <cellStyle name="Normal 2 2 2 2 2 2 2 2 2 2 2 2 2 2 7 13 2 2 2 2" xfId="8862" xr:uid="{8DA5E675-9A17-4A23-829C-6C9AD0C142D6}"/>
    <cellStyle name="Normal 2 2 2 2 2 2 2 2 2 2 2 2 2 2 7 13 2 2 2 3" xfId="8863" xr:uid="{E2E57CF9-FAFC-4BD5-A035-3C24487D1932}"/>
    <cellStyle name="Normal 2 2 2 2 2 2 2 2 2 2 2 2 2 2 7 13 2 2 2 4" xfId="8864" xr:uid="{7D337EE9-75AB-4D97-9132-6B0CE997A012}"/>
    <cellStyle name="Normal 2 2 2 2 2 2 2 2 2 2 2 2 2 2 7 13 2 2 3" xfId="8865" xr:uid="{7BCBEAC3-1313-4807-B6D4-5ACD134FBD18}"/>
    <cellStyle name="Normal 2 2 2 2 2 2 2 2 2 2 2 2 2 2 7 13 2 2 4" xfId="8866" xr:uid="{D2FC61F4-CE41-4B26-87D4-EFFEEA427E95}"/>
    <cellStyle name="Normal 2 2 2 2 2 2 2 2 2 2 2 2 2 2 7 13 2 2 5" xfId="8867" xr:uid="{AF931134-C52C-4028-AB0D-8B36C326F86D}"/>
    <cellStyle name="Normal 2 2 2 2 2 2 2 2 2 2 2 2 2 2 7 13 2 2 6" xfId="8868" xr:uid="{7B907416-7DE8-4D04-A487-FA7571837DA8}"/>
    <cellStyle name="Normal 2 2 2 2 2 2 2 2 2 2 2 2 2 2 7 13 2 3" xfId="8869" xr:uid="{F562DC93-0AF6-4E4B-92F2-A5065BF1A517}"/>
    <cellStyle name="Normal 2 2 2 2 2 2 2 2 2 2 2 2 2 2 7 13 2 4" xfId="8870" xr:uid="{14A39A6F-42D6-4D8C-9C34-E7733B779B0D}"/>
    <cellStyle name="Normal 2 2 2 2 2 2 2 2 2 2 2 2 2 2 7 13 2 5" xfId="8871" xr:uid="{7624240B-EC8C-41F5-B38D-DF032996BD20}"/>
    <cellStyle name="Normal 2 2 2 2 2 2 2 2 2 2 2 2 2 2 7 13 2 6" xfId="8872" xr:uid="{1AA70329-E99E-4487-BAFD-23C29D4FBEB6}"/>
    <cellStyle name="Normal 2 2 2 2 2 2 2 2 2 2 2 2 2 2 7 13 2 7" xfId="8873" xr:uid="{5E0BF937-D125-4C10-82A1-A0653E74F297}"/>
    <cellStyle name="Normal 2 2 2 2 2 2 2 2 2 2 2 2 2 2 7 13 2 8" xfId="8874" xr:uid="{AB410AC1-6068-4502-BE1A-056EBBD99172}"/>
    <cellStyle name="Normal 2 2 2 2 2 2 2 2 2 2 2 2 2 2 7 13 2 8 2" xfId="8875" xr:uid="{540C229D-C362-4F7E-B959-653F51CC3BCF}"/>
    <cellStyle name="Normal 2 2 2 2 2 2 2 2 2 2 2 2 2 2 7 13 2 8 3" xfId="8876" xr:uid="{E1085517-51D4-4FDD-83E4-4B0F70C6F910}"/>
    <cellStyle name="Normal 2 2 2 2 2 2 2 2 2 2 2 2 2 2 7 13 2 8 4" xfId="8877" xr:uid="{63B25A2F-ECF2-4B5F-BBE6-1B90BD47956B}"/>
    <cellStyle name="Normal 2 2 2 2 2 2 2 2 2 2 2 2 2 2 7 13 2 9" xfId="8878" xr:uid="{C97391F4-FB8A-49DC-8286-9BAA669E7FF3}"/>
    <cellStyle name="Normal 2 2 2 2 2 2 2 2 2 2 2 2 2 2 7 13 3" xfId="8879" xr:uid="{F0B851D7-AAC9-48CE-B730-CDF851547699}"/>
    <cellStyle name="Normal 2 2 2 2 2 2 2 2 2 2 2 2 2 2 7 13 3 2" xfId="8880" xr:uid="{787D4920-6455-4A0D-BC8E-0478F96B1BCB}"/>
    <cellStyle name="Normal 2 2 2 2 2 2 2 2 2 2 2 2 2 2 7 13 3 2 2" xfId="8881" xr:uid="{B5D54005-6F83-4D85-AA04-8DF1FC071963}"/>
    <cellStyle name="Normal 2 2 2 2 2 2 2 2 2 2 2 2 2 2 7 13 3 2 3" xfId="8882" xr:uid="{B97B7AD5-5117-40C7-A4B7-E7621CABF0FA}"/>
    <cellStyle name="Normal 2 2 2 2 2 2 2 2 2 2 2 2 2 2 7 13 3 2 4" xfId="8883" xr:uid="{10B84F43-5BDD-477E-A3C4-8655333F4733}"/>
    <cellStyle name="Normal 2 2 2 2 2 2 2 2 2 2 2 2 2 2 7 13 3 3" xfId="8884" xr:uid="{5C172E9D-F1F4-48A1-AD4C-B8EBFBFB8813}"/>
    <cellStyle name="Normal 2 2 2 2 2 2 2 2 2 2 2 2 2 2 7 13 3 4" xfId="8885" xr:uid="{2D0279B0-93AF-495D-A19F-D47B159836E7}"/>
    <cellStyle name="Normal 2 2 2 2 2 2 2 2 2 2 2 2 2 2 7 13 3 5" xfId="8886" xr:uid="{66C01F50-4148-4E3A-A246-2F461F746555}"/>
    <cellStyle name="Normal 2 2 2 2 2 2 2 2 2 2 2 2 2 2 7 13 3 6" xfId="8887" xr:uid="{E16F3826-1C26-450D-9758-B4FF2F8FCB67}"/>
    <cellStyle name="Normal 2 2 2 2 2 2 2 2 2 2 2 2 2 2 7 13 4" xfId="8888" xr:uid="{920DE0C2-F7A4-4BAF-B3F7-18433B3C7348}"/>
    <cellStyle name="Normal 2 2 2 2 2 2 2 2 2 2 2 2 2 2 7 13 5" xfId="8889" xr:uid="{5A2ADBC0-5E77-45BE-8CAA-D92389130B3E}"/>
    <cellStyle name="Normal 2 2 2 2 2 2 2 2 2 2 2 2 2 2 7 13 6" xfId="8890" xr:uid="{7A0B38AB-44D4-445F-A629-DDD1B132E516}"/>
    <cellStyle name="Normal 2 2 2 2 2 2 2 2 2 2 2 2 2 2 7 13 7" xfId="8891" xr:uid="{0ADBC469-0FD4-4B10-B752-634F72379AE6}"/>
    <cellStyle name="Normal 2 2 2 2 2 2 2 2 2 2 2 2 2 2 7 13 8" xfId="8892" xr:uid="{E00BEB6D-4EEF-4931-9D07-2B2AB68A4E5A}"/>
    <cellStyle name="Normal 2 2 2 2 2 2 2 2 2 2 2 2 2 2 7 13 8 2" xfId="8893" xr:uid="{0A48E29D-C67A-4D77-BF85-34600EECF4FA}"/>
    <cellStyle name="Normal 2 2 2 2 2 2 2 2 2 2 2 2 2 2 7 13 8 3" xfId="8894" xr:uid="{1B6A67AA-C10D-4C0C-B52F-26BA23160F37}"/>
    <cellStyle name="Normal 2 2 2 2 2 2 2 2 2 2 2 2 2 2 7 13 8 4" xfId="8895" xr:uid="{64EBB544-8F01-4E1C-9E85-0C15BA488F98}"/>
    <cellStyle name="Normal 2 2 2 2 2 2 2 2 2 2 2 2 2 2 7 13 9" xfId="8896" xr:uid="{E3B0BF1A-4C61-4418-A6AF-B2DF55556F13}"/>
    <cellStyle name="Normal 2 2 2 2 2 2 2 2 2 2 2 2 2 2 7 14" xfId="8897" xr:uid="{B2DE320D-6E03-49F3-8538-ADA3C600D42D}"/>
    <cellStyle name="Normal 2 2 2 2 2 2 2 2 2 2 2 2 2 2 7 15" xfId="8898" xr:uid="{006F752D-3997-4846-86B1-D11AF6863423}"/>
    <cellStyle name="Normal 2 2 2 2 2 2 2 2 2 2 2 2 2 2 7 15 2" xfId="8899" xr:uid="{6EC5382B-386F-4618-8373-04FCDD9BDE1B}"/>
    <cellStyle name="Normal 2 2 2 2 2 2 2 2 2 2 2 2 2 2 7 15 2 2" xfId="8900" xr:uid="{7D59F883-A3E9-40F3-96DE-DC50BB507262}"/>
    <cellStyle name="Normal 2 2 2 2 2 2 2 2 2 2 2 2 2 2 7 15 2 3" xfId="8901" xr:uid="{6C953320-F60B-42E7-B49A-3190BF3EDDA5}"/>
    <cellStyle name="Normal 2 2 2 2 2 2 2 2 2 2 2 2 2 2 7 15 2 4" xfId="8902" xr:uid="{C36888AC-BC59-4082-B1A5-59CFD2F1910B}"/>
    <cellStyle name="Normal 2 2 2 2 2 2 2 2 2 2 2 2 2 2 7 15 3" xfId="8903" xr:uid="{5F64FCCF-8372-4F44-BCA9-FCC1A86CA8E8}"/>
    <cellStyle name="Normal 2 2 2 2 2 2 2 2 2 2 2 2 2 2 7 15 4" xfId="8904" xr:uid="{2A598C4F-F72E-4A66-AD55-1087B57EAB23}"/>
    <cellStyle name="Normal 2 2 2 2 2 2 2 2 2 2 2 2 2 2 7 15 5" xfId="8905" xr:uid="{8661339F-7832-4C34-BD9C-003839E0F393}"/>
    <cellStyle name="Normal 2 2 2 2 2 2 2 2 2 2 2 2 2 2 7 15 6" xfId="8906" xr:uid="{4277D3BB-95C6-442E-9499-3F25AFDB80BC}"/>
    <cellStyle name="Normal 2 2 2 2 2 2 2 2 2 2 2 2 2 2 7 16" xfId="8907" xr:uid="{7898413C-EC47-4DA6-B59E-A83F1383B8B5}"/>
    <cellStyle name="Normal 2 2 2 2 2 2 2 2 2 2 2 2 2 2 7 17" xfId="8908" xr:uid="{141947F2-5EAD-444D-9EBF-67484035E0B7}"/>
    <cellStyle name="Normal 2 2 2 2 2 2 2 2 2 2 2 2 2 2 7 18" xfId="8909" xr:uid="{D40EEC6F-82C9-49D4-BC1E-D7D1351A62F1}"/>
    <cellStyle name="Normal 2 2 2 2 2 2 2 2 2 2 2 2 2 2 7 19" xfId="8910" xr:uid="{482D5FC9-A193-4644-995B-D413E2E8F7AF}"/>
    <cellStyle name="Normal 2 2 2 2 2 2 2 2 2 2 2 2 2 2 7 2" xfId="8911" xr:uid="{E6811F5E-3E82-4924-8F98-74AA634B327F}"/>
    <cellStyle name="Normal 2 2 2 2 2 2 2 2 2 2 2 2 2 2 7 2 10" xfId="8912" xr:uid="{9814C78C-E1B6-40E1-A993-A6AF6F147413}"/>
    <cellStyle name="Normal 2 2 2 2 2 2 2 2 2 2 2 2 2 2 7 2 11" xfId="8913" xr:uid="{DD170E08-633C-480F-90EB-F71460B345EF}"/>
    <cellStyle name="Normal 2 2 2 2 2 2 2 2 2 2 2 2 2 2 7 2 12" xfId="8914" xr:uid="{3AEBC6B6-0A71-4A68-BE1E-3651B229954F}"/>
    <cellStyle name="Normal 2 2 2 2 2 2 2 2 2 2 2 2 2 2 7 2 13" xfId="8915" xr:uid="{11B8DDC4-53B4-4317-A074-AC5DE7C30570}"/>
    <cellStyle name="Normal 2 2 2 2 2 2 2 2 2 2 2 2 2 2 7 2 13 2" xfId="8916" xr:uid="{C8EEDE90-C587-43A7-9496-A9FBE3E0951E}"/>
    <cellStyle name="Normal 2 2 2 2 2 2 2 2 2 2 2 2 2 2 7 2 13 3" xfId="8917" xr:uid="{28236477-C8C3-4985-8878-9F7AF18C1DEE}"/>
    <cellStyle name="Normal 2 2 2 2 2 2 2 2 2 2 2 2 2 2 7 2 13 4" xfId="8918" xr:uid="{DF671EAE-8D02-4146-B10C-814184F54848}"/>
    <cellStyle name="Normal 2 2 2 2 2 2 2 2 2 2 2 2 2 2 7 2 14" xfId="8919" xr:uid="{78F5B02B-AAEC-4970-BA51-4B11CF029F0C}"/>
    <cellStyle name="Normal 2 2 2 2 2 2 2 2 2 2 2 2 2 2 7 2 15" xfId="8920" xr:uid="{8F2DBC13-C624-4FD9-B00C-B4F75DF7A2ED}"/>
    <cellStyle name="Normal 2 2 2 2 2 2 2 2 2 2 2 2 2 2 7 2 16" xfId="8921" xr:uid="{AF8AD775-4A41-45FF-B65D-786DD4147699}"/>
    <cellStyle name="Normal 2 2 2 2 2 2 2 2 2 2 2 2 2 2 7 2 2" xfId="8922" xr:uid="{E11E0B99-8412-407F-AEB4-A0AC9BEC8FC6}"/>
    <cellStyle name="Normal 2 2 2 2 2 2 2 2 2 2 2 2 2 2 7 2 2 10" xfId="8923" xr:uid="{7A080FC3-BB7E-4C97-8EE7-1BAA4BBF00C6}"/>
    <cellStyle name="Normal 2 2 2 2 2 2 2 2 2 2 2 2 2 2 7 2 2 11" xfId="8924" xr:uid="{B1AE6583-5F72-47F7-B9AC-0E59D5B0D829}"/>
    <cellStyle name="Normal 2 2 2 2 2 2 2 2 2 2 2 2 2 2 7 2 2 11 2" xfId="8925" xr:uid="{AD4869CB-7683-4A03-980E-016FD4EC3917}"/>
    <cellStyle name="Normal 2 2 2 2 2 2 2 2 2 2 2 2 2 2 7 2 2 11 3" xfId="8926" xr:uid="{BD93E0DA-EDFA-4CB7-BADC-39DF8EBD1452}"/>
    <cellStyle name="Normal 2 2 2 2 2 2 2 2 2 2 2 2 2 2 7 2 2 11 4" xfId="8927" xr:uid="{FF95831B-42D3-476B-8C72-89CFC93F104F}"/>
    <cellStyle name="Normal 2 2 2 2 2 2 2 2 2 2 2 2 2 2 7 2 2 12" xfId="8928" xr:uid="{A28F8575-4975-4839-B3F3-E16D5A2E16BC}"/>
    <cellStyle name="Normal 2 2 2 2 2 2 2 2 2 2 2 2 2 2 7 2 2 13" xfId="8929" xr:uid="{0492306D-9A88-4309-80C6-F4943B593813}"/>
    <cellStyle name="Normal 2 2 2 2 2 2 2 2 2 2 2 2 2 2 7 2 2 14" xfId="8930" xr:uid="{FF9B8881-3005-483A-9267-34CFCDA2DA4D}"/>
    <cellStyle name="Normal 2 2 2 2 2 2 2 2 2 2 2 2 2 2 7 2 2 2" xfId="8931" xr:uid="{E92188A7-5F58-4E2F-8F1A-8716149689DE}"/>
    <cellStyle name="Normal 2 2 2 2 2 2 2 2 2 2 2 2 2 2 7 2 2 2 10" xfId="8932" xr:uid="{73CE5904-D80D-420D-A359-87659D44B281}"/>
    <cellStyle name="Normal 2 2 2 2 2 2 2 2 2 2 2 2 2 2 7 2 2 2 11" xfId="8933" xr:uid="{43F5D7A8-4190-4CAF-9528-066CBA9F8B5D}"/>
    <cellStyle name="Normal 2 2 2 2 2 2 2 2 2 2 2 2 2 2 7 2 2 2 2" xfId="8934" xr:uid="{64EFA3C7-DE7B-4669-A2CB-56140A81E17F}"/>
    <cellStyle name="Normal 2 2 2 2 2 2 2 2 2 2 2 2 2 2 7 2 2 2 2 10" xfId="8935" xr:uid="{E2A483F6-DC50-443B-85D5-AA703AB4D42E}"/>
    <cellStyle name="Normal 2 2 2 2 2 2 2 2 2 2 2 2 2 2 7 2 2 2 2 11" xfId="8936" xr:uid="{0EAA28CE-31DC-4266-B0F5-AE6A55487AED}"/>
    <cellStyle name="Normal 2 2 2 2 2 2 2 2 2 2 2 2 2 2 7 2 2 2 2 2" xfId="8937" xr:uid="{F5FA962A-47C4-430C-B408-F97688BD60CE}"/>
    <cellStyle name="Normal 2 2 2 2 2 2 2 2 2 2 2 2 2 2 7 2 2 2 2 2 2" xfId="8938" xr:uid="{A83F4EBD-C4CE-4AAA-B446-5E7FE476FD20}"/>
    <cellStyle name="Normal 2 2 2 2 2 2 2 2 2 2 2 2 2 2 7 2 2 2 2 2 2 2" xfId="8939" xr:uid="{E321CB84-3DFB-48FD-813F-E300F93DA3EF}"/>
    <cellStyle name="Normal 2 2 2 2 2 2 2 2 2 2 2 2 2 2 7 2 2 2 2 2 2 3" xfId="8940" xr:uid="{5DE0DFAE-AEA7-4060-A954-16AF7BADDB33}"/>
    <cellStyle name="Normal 2 2 2 2 2 2 2 2 2 2 2 2 2 2 7 2 2 2 2 2 2 4" xfId="8941" xr:uid="{0E95AF8D-602D-4F4E-9950-30B36A2AED1C}"/>
    <cellStyle name="Normal 2 2 2 2 2 2 2 2 2 2 2 2 2 2 7 2 2 2 2 2 3" xfId="8942" xr:uid="{2F181ECB-8E8A-495B-8432-4C128D0D768A}"/>
    <cellStyle name="Normal 2 2 2 2 2 2 2 2 2 2 2 2 2 2 7 2 2 2 2 2 4" xfId="8943" xr:uid="{4E8A94E8-A920-4401-9B63-3C493563D9D1}"/>
    <cellStyle name="Normal 2 2 2 2 2 2 2 2 2 2 2 2 2 2 7 2 2 2 2 2 5" xfId="8944" xr:uid="{F5398B34-C660-4FF0-B898-8329FF190E53}"/>
    <cellStyle name="Normal 2 2 2 2 2 2 2 2 2 2 2 2 2 2 7 2 2 2 2 2 6" xfId="8945" xr:uid="{BEFF3922-9128-474E-BE89-DE95EF85CD92}"/>
    <cellStyle name="Normal 2 2 2 2 2 2 2 2 2 2 2 2 2 2 7 2 2 2 2 3" xfId="8946" xr:uid="{AD169E8E-B746-4EFF-847D-40CA23EC553C}"/>
    <cellStyle name="Normal 2 2 2 2 2 2 2 2 2 2 2 2 2 2 7 2 2 2 2 4" xfId="8947" xr:uid="{DC5C409A-438D-44C5-9FC7-C19E56D9635C}"/>
    <cellStyle name="Normal 2 2 2 2 2 2 2 2 2 2 2 2 2 2 7 2 2 2 2 5" xfId="8948" xr:uid="{CCE27F2B-2FD5-495F-AA93-04F1A23DBE11}"/>
    <cellStyle name="Normal 2 2 2 2 2 2 2 2 2 2 2 2 2 2 7 2 2 2 2 6" xfId="8949" xr:uid="{5A83B3F3-E00E-4F46-B532-04BB45A51DAD}"/>
    <cellStyle name="Normal 2 2 2 2 2 2 2 2 2 2 2 2 2 2 7 2 2 2 2 7" xfId="8950" xr:uid="{F616136B-BDE1-4506-84F8-CDAE8ABBCBE6}"/>
    <cellStyle name="Normal 2 2 2 2 2 2 2 2 2 2 2 2 2 2 7 2 2 2 2 8" xfId="8951" xr:uid="{FBAB963E-BD67-4840-9189-F3E1F534FE40}"/>
    <cellStyle name="Normal 2 2 2 2 2 2 2 2 2 2 2 2 2 2 7 2 2 2 2 8 2" xfId="8952" xr:uid="{A18CFF21-388C-4378-B3EE-E3441ADCAF3E}"/>
    <cellStyle name="Normal 2 2 2 2 2 2 2 2 2 2 2 2 2 2 7 2 2 2 2 8 3" xfId="8953" xr:uid="{0BD9F1F9-D24D-4C6B-BBBC-A922C908DDB0}"/>
    <cellStyle name="Normal 2 2 2 2 2 2 2 2 2 2 2 2 2 2 7 2 2 2 2 8 4" xfId="8954" xr:uid="{887A24C0-F89F-48F9-B92E-B5BA3BBBC24E}"/>
    <cellStyle name="Normal 2 2 2 2 2 2 2 2 2 2 2 2 2 2 7 2 2 2 2 9" xfId="8955" xr:uid="{4321E19A-1791-4CED-B0F0-D19268EB510D}"/>
    <cellStyle name="Normal 2 2 2 2 2 2 2 2 2 2 2 2 2 2 7 2 2 2 3" xfId="8956" xr:uid="{24B95344-4C84-4AFD-8B88-6A46C1C5210B}"/>
    <cellStyle name="Normal 2 2 2 2 2 2 2 2 2 2 2 2 2 2 7 2 2 2 3 2" xfId="8957" xr:uid="{51380389-06F6-4F27-B491-2679BF7B3C3C}"/>
    <cellStyle name="Normal 2 2 2 2 2 2 2 2 2 2 2 2 2 2 7 2 2 2 3 2 2" xfId="8958" xr:uid="{063A56B0-35F8-446D-991D-3C427316D972}"/>
    <cellStyle name="Normal 2 2 2 2 2 2 2 2 2 2 2 2 2 2 7 2 2 2 3 2 3" xfId="8959" xr:uid="{A8B39530-6F56-4AEA-A325-56690CCB3E74}"/>
    <cellStyle name="Normal 2 2 2 2 2 2 2 2 2 2 2 2 2 2 7 2 2 2 3 2 4" xfId="8960" xr:uid="{A61A1142-0019-41BA-82F1-E1CEB531E68E}"/>
    <cellStyle name="Normal 2 2 2 2 2 2 2 2 2 2 2 2 2 2 7 2 2 2 3 3" xfId="8961" xr:uid="{3332E31F-5EE2-4675-BCAA-C8643291D250}"/>
    <cellStyle name="Normal 2 2 2 2 2 2 2 2 2 2 2 2 2 2 7 2 2 2 3 4" xfId="8962" xr:uid="{64A9775C-D9F7-4011-B3A2-9FB4272AC3FA}"/>
    <cellStyle name="Normal 2 2 2 2 2 2 2 2 2 2 2 2 2 2 7 2 2 2 3 5" xfId="8963" xr:uid="{59AB71FD-456D-445F-845D-03584A1F3FF6}"/>
    <cellStyle name="Normal 2 2 2 2 2 2 2 2 2 2 2 2 2 2 7 2 2 2 3 6" xfId="8964" xr:uid="{371C1C1C-AF38-47C8-A8DB-BA6F9BA59F7C}"/>
    <cellStyle name="Normal 2 2 2 2 2 2 2 2 2 2 2 2 2 2 7 2 2 2 4" xfId="8965" xr:uid="{74F2CE4E-1916-4F13-B6A0-4D4F4102CE40}"/>
    <cellStyle name="Normal 2 2 2 2 2 2 2 2 2 2 2 2 2 2 7 2 2 2 5" xfId="8966" xr:uid="{6544F4C0-0879-45E9-A1FF-145A64CB1196}"/>
    <cellStyle name="Normal 2 2 2 2 2 2 2 2 2 2 2 2 2 2 7 2 2 2 6" xfId="8967" xr:uid="{4C49965A-5870-4D2A-9B27-0FA6BCA5257A}"/>
    <cellStyle name="Normal 2 2 2 2 2 2 2 2 2 2 2 2 2 2 7 2 2 2 7" xfId="8968" xr:uid="{CF6FFE4E-55D4-4B33-975D-093EBC05E667}"/>
    <cellStyle name="Normal 2 2 2 2 2 2 2 2 2 2 2 2 2 2 7 2 2 2 8" xfId="8969" xr:uid="{56D67DB1-D97D-48D6-8652-493975BCE265}"/>
    <cellStyle name="Normal 2 2 2 2 2 2 2 2 2 2 2 2 2 2 7 2 2 2 8 2" xfId="8970" xr:uid="{C1118834-A7AA-443E-A872-86D201345E5F}"/>
    <cellStyle name="Normal 2 2 2 2 2 2 2 2 2 2 2 2 2 2 7 2 2 2 8 3" xfId="8971" xr:uid="{DD73C07C-561E-4D6F-8037-7170A9DFB0FB}"/>
    <cellStyle name="Normal 2 2 2 2 2 2 2 2 2 2 2 2 2 2 7 2 2 2 8 4" xfId="8972" xr:uid="{2F691AD7-F2FA-4769-8845-9C05D0E419E4}"/>
    <cellStyle name="Normal 2 2 2 2 2 2 2 2 2 2 2 2 2 2 7 2 2 2 9" xfId="8973" xr:uid="{A0724D66-84AB-4C05-94FE-10FA77FE31EC}"/>
    <cellStyle name="Normal 2 2 2 2 2 2 2 2 2 2 2 2 2 2 7 2 2 3" xfId="8974" xr:uid="{41DF3443-AD84-43FE-B631-0B751A6319E0}"/>
    <cellStyle name="Normal 2 2 2 2 2 2 2 2 2 2 2 2 2 2 7 2 2 4" xfId="8975" xr:uid="{CF44C556-0F0C-40AD-9B41-7552D5D79650}"/>
    <cellStyle name="Normal 2 2 2 2 2 2 2 2 2 2 2 2 2 2 7 2 2 5" xfId="8976" xr:uid="{149EBE26-057C-4CB0-B224-A47E930294CD}"/>
    <cellStyle name="Normal 2 2 2 2 2 2 2 2 2 2 2 2 2 2 7 2 2 5 2" xfId="8977" xr:uid="{783AE80A-AFB9-4902-8FE7-BE9C80D7D628}"/>
    <cellStyle name="Normal 2 2 2 2 2 2 2 2 2 2 2 2 2 2 7 2 2 5 2 2" xfId="8978" xr:uid="{FC0CAEB6-6F88-4F52-8695-EF2B1B318ED1}"/>
    <cellStyle name="Normal 2 2 2 2 2 2 2 2 2 2 2 2 2 2 7 2 2 5 2 3" xfId="8979" xr:uid="{FE6E225E-23C8-4B63-92D4-5D5A6EE6A1BD}"/>
    <cellStyle name="Normal 2 2 2 2 2 2 2 2 2 2 2 2 2 2 7 2 2 5 2 4" xfId="8980" xr:uid="{A55EFB24-1905-48FD-8B0A-BC3EC0E2E42F}"/>
    <cellStyle name="Normal 2 2 2 2 2 2 2 2 2 2 2 2 2 2 7 2 2 5 3" xfId="8981" xr:uid="{97DCCA3F-824F-4E3F-84F8-20C41CF4D72D}"/>
    <cellStyle name="Normal 2 2 2 2 2 2 2 2 2 2 2 2 2 2 7 2 2 5 4" xfId="8982" xr:uid="{FBA049AA-4A85-48C4-B449-A31145DE5AE4}"/>
    <cellStyle name="Normal 2 2 2 2 2 2 2 2 2 2 2 2 2 2 7 2 2 5 5" xfId="8983" xr:uid="{DF930B6D-AF73-4365-A9D0-A5AA31C5E42A}"/>
    <cellStyle name="Normal 2 2 2 2 2 2 2 2 2 2 2 2 2 2 7 2 2 5 6" xfId="8984" xr:uid="{30406620-B9F5-4F88-8B25-9A5CCEB83FEF}"/>
    <cellStyle name="Normal 2 2 2 2 2 2 2 2 2 2 2 2 2 2 7 2 2 6" xfId="8985" xr:uid="{1707695C-6093-4D38-9B60-E229FE937A9A}"/>
    <cellStyle name="Normal 2 2 2 2 2 2 2 2 2 2 2 2 2 2 7 2 2 7" xfId="8986" xr:uid="{4969EC0A-66D9-438C-AF34-A5173AB24A76}"/>
    <cellStyle name="Normal 2 2 2 2 2 2 2 2 2 2 2 2 2 2 7 2 2 8" xfId="8987" xr:uid="{9BFC8798-C0C1-4616-9F0B-92294D303FF1}"/>
    <cellStyle name="Normal 2 2 2 2 2 2 2 2 2 2 2 2 2 2 7 2 2 9" xfId="8988" xr:uid="{DFE59A8D-8A84-42A0-97A3-C08105F732DF}"/>
    <cellStyle name="Normal 2 2 2 2 2 2 2 2 2 2 2 2 2 2 7 2 3" xfId="8989" xr:uid="{83C0BA1E-F6B0-417E-995B-D8B8B660DE44}"/>
    <cellStyle name="Normal 2 2 2 2 2 2 2 2 2 2 2 2 2 2 7 2 4" xfId="8990" xr:uid="{B3A1D39F-31AF-4DBF-9E55-500E694913E4}"/>
    <cellStyle name="Normal 2 2 2 2 2 2 2 2 2 2 2 2 2 2 7 2 5" xfId="8991" xr:uid="{EE43E94A-7539-4DF7-8D64-851DD45629FA}"/>
    <cellStyle name="Normal 2 2 2 2 2 2 2 2 2 2 2 2 2 2 7 2 5 10" xfId="8992" xr:uid="{1057A8F6-9006-4E81-A108-39F0C2CD4988}"/>
    <cellStyle name="Normal 2 2 2 2 2 2 2 2 2 2 2 2 2 2 7 2 5 11" xfId="8993" xr:uid="{60136B16-7AB1-4214-9238-5361ECE99488}"/>
    <cellStyle name="Normal 2 2 2 2 2 2 2 2 2 2 2 2 2 2 7 2 5 2" xfId="8994" xr:uid="{F0FE0319-3A4E-4867-A90F-20DC1B737FD4}"/>
    <cellStyle name="Normal 2 2 2 2 2 2 2 2 2 2 2 2 2 2 7 2 5 2 10" xfId="8995" xr:uid="{6DB3CB73-5FA2-47F1-B03E-97A30826538D}"/>
    <cellStyle name="Normal 2 2 2 2 2 2 2 2 2 2 2 2 2 2 7 2 5 2 11" xfId="8996" xr:uid="{4C14E1B0-603E-4CEA-ABF0-52EAE970BA7F}"/>
    <cellStyle name="Normal 2 2 2 2 2 2 2 2 2 2 2 2 2 2 7 2 5 2 2" xfId="8997" xr:uid="{A55FFC00-48B6-4014-9346-454B3EC19FE8}"/>
    <cellStyle name="Normal 2 2 2 2 2 2 2 2 2 2 2 2 2 2 7 2 5 2 2 2" xfId="8998" xr:uid="{0C80E35C-BA4B-4EB4-815B-441499B8B997}"/>
    <cellStyle name="Normal 2 2 2 2 2 2 2 2 2 2 2 2 2 2 7 2 5 2 2 2 2" xfId="8999" xr:uid="{631D9A96-CA13-40A0-9137-6EFEED4F3B12}"/>
    <cellStyle name="Normal 2 2 2 2 2 2 2 2 2 2 2 2 2 2 7 2 5 2 2 2 3" xfId="9000" xr:uid="{2C9F55A7-17AF-408E-ABA4-A8056A7E0619}"/>
    <cellStyle name="Normal 2 2 2 2 2 2 2 2 2 2 2 2 2 2 7 2 5 2 2 2 4" xfId="9001" xr:uid="{A0327B08-A9A1-4BE8-8881-2E0824E8D11B}"/>
    <cellStyle name="Normal 2 2 2 2 2 2 2 2 2 2 2 2 2 2 7 2 5 2 2 3" xfId="9002" xr:uid="{7D393A91-6C93-49D8-A848-CAA09BD44881}"/>
    <cellStyle name="Normal 2 2 2 2 2 2 2 2 2 2 2 2 2 2 7 2 5 2 2 4" xfId="9003" xr:uid="{867F205B-1DA4-4883-BB98-AB4318564F79}"/>
    <cellStyle name="Normal 2 2 2 2 2 2 2 2 2 2 2 2 2 2 7 2 5 2 2 5" xfId="9004" xr:uid="{DBAE2141-63B1-4914-8FEA-865CAA71492E}"/>
    <cellStyle name="Normal 2 2 2 2 2 2 2 2 2 2 2 2 2 2 7 2 5 2 2 6" xfId="9005" xr:uid="{28C9A81B-2A3B-4331-9A67-C6D51DED8184}"/>
    <cellStyle name="Normal 2 2 2 2 2 2 2 2 2 2 2 2 2 2 7 2 5 2 3" xfId="9006" xr:uid="{BE76DABA-E98D-457B-AD01-DA29A0ED0D61}"/>
    <cellStyle name="Normal 2 2 2 2 2 2 2 2 2 2 2 2 2 2 7 2 5 2 4" xfId="9007" xr:uid="{BD9071F7-1AB5-42F2-99CB-994CD66DB9BD}"/>
    <cellStyle name="Normal 2 2 2 2 2 2 2 2 2 2 2 2 2 2 7 2 5 2 5" xfId="9008" xr:uid="{6C153638-A177-4691-B61C-3C232D5F88FD}"/>
    <cellStyle name="Normal 2 2 2 2 2 2 2 2 2 2 2 2 2 2 7 2 5 2 6" xfId="9009" xr:uid="{BB5FA50D-51EE-4096-AE8D-5E53123FC60F}"/>
    <cellStyle name="Normal 2 2 2 2 2 2 2 2 2 2 2 2 2 2 7 2 5 2 7" xfId="9010" xr:uid="{55D6CA4B-71EF-4043-A6AD-A116CEC065E7}"/>
    <cellStyle name="Normal 2 2 2 2 2 2 2 2 2 2 2 2 2 2 7 2 5 2 8" xfId="9011" xr:uid="{6ADF66DC-1FE5-4B58-94E1-4A5F41E1C614}"/>
    <cellStyle name="Normal 2 2 2 2 2 2 2 2 2 2 2 2 2 2 7 2 5 2 8 2" xfId="9012" xr:uid="{0F5B7F7E-7484-497A-8D47-633F5C5BE7F7}"/>
    <cellStyle name="Normal 2 2 2 2 2 2 2 2 2 2 2 2 2 2 7 2 5 2 8 3" xfId="9013" xr:uid="{D1BF6801-0098-45C2-AB76-BB91F269A840}"/>
    <cellStyle name="Normal 2 2 2 2 2 2 2 2 2 2 2 2 2 2 7 2 5 2 8 4" xfId="9014" xr:uid="{8BF0E34B-0874-49F0-AC18-588843F9616A}"/>
    <cellStyle name="Normal 2 2 2 2 2 2 2 2 2 2 2 2 2 2 7 2 5 2 9" xfId="9015" xr:uid="{59B34BB2-C795-414F-8017-2BC7C4C18546}"/>
    <cellStyle name="Normal 2 2 2 2 2 2 2 2 2 2 2 2 2 2 7 2 5 3" xfId="9016" xr:uid="{7A4C5FB5-6D1C-4290-9DF8-1537CCD39CA5}"/>
    <cellStyle name="Normal 2 2 2 2 2 2 2 2 2 2 2 2 2 2 7 2 5 3 2" xfId="9017" xr:uid="{0DDAB574-A93B-4DC3-B78F-31571A670428}"/>
    <cellStyle name="Normal 2 2 2 2 2 2 2 2 2 2 2 2 2 2 7 2 5 3 2 2" xfId="9018" xr:uid="{8A211EEE-0F65-4D37-B818-DE5EE22E20DC}"/>
    <cellStyle name="Normal 2 2 2 2 2 2 2 2 2 2 2 2 2 2 7 2 5 3 2 3" xfId="9019" xr:uid="{1D5828C1-CD2D-4312-AF71-2E9B47FBA25C}"/>
    <cellStyle name="Normal 2 2 2 2 2 2 2 2 2 2 2 2 2 2 7 2 5 3 2 4" xfId="9020" xr:uid="{60408119-538A-4B53-B24B-7F43D63B8852}"/>
    <cellStyle name="Normal 2 2 2 2 2 2 2 2 2 2 2 2 2 2 7 2 5 3 3" xfId="9021" xr:uid="{94F7964B-781F-498B-9B57-ABA8AD8469CC}"/>
    <cellStyle name="Normal 2 2 2 2 2 2 2 2 2 2 2 2 2 2 7 2 5 3 4" xfId="9022" xr:uid="{8D28C397-BB00-46BC-AD24-09AD070B82D7}"/>
    <cellStyle name="Normal 2 2 2 2 2 2 2 2 2 2 2 2 2 2 7 2 5 3 5" xfId="9023" xr:uid="{FC7A13E4-0236-4C55-9FBE-FBE60CD6C436}"/>
    <cellStyle name="Normal 2 2 2 2 2 2 2 2 2 2 2 2 2 2 7 2 5 3 6" xfId="9024" xr:uid="{A8FF994F-BA5D-4405-A73F-CF7261E1D280}"/>
    <cellStyle name="Normal 2 2 2 2 2 2 2 2 2 2 2 2 2 2 7 2 5 4" xfId="9025" xr:uid="{29D03E07-BE12-432A-A248-D1E9615E1D86}"/>
    <cellStyle name="Normal 2 2 2 2 2 2 2 2 2 2 2 2 2 2 7 2 5 5" xfId="9026" xr:uid="{496CC0C0-7FE0-418C-9F0B-985D3322A9E1}"/>
    <cellStyle name="Normal 2 2 2 2 2 2 2 2 2 2 2 2 2 2 7 2 5 6" xfId="9027" xr:uid="{B5F69182-51E7-4E76-8945-8400ABE015F1}"/>
    <cellStyle name="Normal 2 2 2 2 2 2 2 2 2 2 2 2 2 2 7 2 5 7" xfId="9028" xr:uid="{86E34E9E-4E7F-44F5-B7F2-766119365773}"/>
    <cellStyle name="Normal 2 2 2 2 2 2 2 2 2 2 2 2 2 2 7 2 5 8" xfId="9029" xr:uid="{E82F346B-EC42-40E9-9EBC-C1961DB7B845}"/>
    <cellStyle name="Normal 2 2 2 2 2 2 2 2 2 2 2 2 2 2 7 2 5 8 2" xfId="9030" xr:uid="{940DB6F0-39F9-4433-8FEE-A109C94C90D8}"/>
    <cellStyle name="Normal 2 2 2 2 2 2 2 2 2 2 2 2 2 2 7 2 5 8 3" xfId="9031" xr:uid="{BF94AD4B-7E52-4C55-B33B-F1BDE4C8DB1A}"/>
    <cellStyle name="Normal 2 2 2 2 2 2 2 2 2 2 2 2 2 2 7 2 5 8 4" xfId="9032" xr:uid="{02B053E4-ED38-4128-9194-28B565AE0406}"/>
    <cellStyle name="Normal 2 2 2 2 2 2 2 2 2 2 2 2 2 2 7 2 5 9" xfId="9033" xr:uid="{7AAAC6BD-A9E6-42BA-A2D0-25CC759C66FE}"/>
    <cellStyle name="Normal 2 2 2 2 2 2 2 2 2 2 2 2 2 2 7 2 6" xfId="9034" xr:uid="{853A2A40-133E-45FE-BB68-442CB397C3CD}"/>
    <cellStyle name="Normal 2 2 2 2 2 2 2 2 2 2 2 2 2 2 7 2 7" xfId="9035" xr:uid="{9D147186-F532-4D00-9355-0C5D9DD5F58B}"/>
    <cellStyle name="Normal 2 2 2 2 2 2 2 2 2 2 2 2 2 2 7 2 7 2" xfId="9036" xr:uid="{C2914FF8-274B-4F2E-869B-BF7405375E54}"/>
    <cellStyle name="Normal 2 2 2 2 2 2 2 2 2 2 2 2 2 2 7 2 7 2 2" xfId="9037" xr:uid="{96359438-7FE4-4879-8C0F-284001AAA872}"/>
    <cellStyle name="Normal 2 2 2 2 2 2 2 2 2 2 2 2 2 2 7 2 7 2 3" xfId="9038" xr:uid="{25E18D3A-6625-4F3A-B34A-F4C7D1C772F8}"/>
    <cellStyle name="Normal 2 2 2 2 2 2 2 2 2 2 2 2 2 2 7 2 7 2 4" xfId="9039" xr:uid="{EB982BE0-EA75-404D-AC0D-93C26660B978}"/>
    <cellStyle name="Normal 2 2 2 2 2 2 2 2 2 2 2 2 2 2 7 2 7 3" xfId="9040" xr:uid="{5B61D35B-D466-4591-8C89-0A6FDDC59E5D}"/>
    <cellStyle name="Normal 2 2 2 2 2 2 2 2 2 2 2 2 2 2 7 2 7 4" xfId="9041" xr:uid="{4612AB81-F561-4E3F-95A3-D3530F6B2280}"/>
    <cellStyle name="Normal 2 2 2 2 2 2 2 2 2 2 2 2 2 2 7 2 7 5" xfId="9042" xr:uid="{DD961D2B-AFFB-4366-BDA8-8D78536570AE}"/>
    <cellStyle name="Normal 2 2 2 2 2 2 2 2 2 2 2 2 2 2 7 2 7 6" xfId="9043" xr:uid="{7AA99D82-9150-4CC7-8A6D-913ED2FAE1E4}"/>
    <cellStyle name="Normal 2 2 2 2 2 2 2 2 2 2 2 2 2 2 7 2 8" xfId="9044" xr:uid="{42307977-302F-4E29-A49E-6F0FA7D35BB1}"/>
    <cellStyle name="Normal 2 2 2 2 2 2 2 2 2 2 2 2 2 2 7 2 9" xfId="9045" xr:uid="{CB254078-A044-4946-ABEC-98DB9227BAFD}"/>
    <cellStyle name="Normal 2 2 2 2 2 2 2 2 2 2 2 2 2 2 7 20" xfId="9046" xr:uid="{4381EA87-3ED8-4B84-986E-F9F35A48414B}"/>
    <cellStyle name="Normal 2 2 2 2 2 2 2 2 2 2 2 2 2 2 7 21" xfId="9047" xr:uid="{2400ED64-0826-43CC-9503-B1B34C5FD86F}"/>
    <cellStyle name="Normal 2 2 2 2 2 2 2 2 2 2 2 2 2 2 7 21 2" xfId="9048" xr:uid="{5A4EDD47-69B5-4ACB-BA5A-6586341F0A62}"/>
    <cellStyle name="Normal 2 2 2 2 2 2 2 2 2 2 2 2 2 2 7 21 3" xfId="9049" xr:uid="{6E025E3C-703A-4280-A109-96F003E59B3B}"/>
    <cellStyle name="Normal 2 2 2 2 2 2 2 2 2 2 2 2 2 2 7 21 4" xfId="9050" xr:uid="{2779BEA7-1A6F-40AE-9AD0-1F3975478802}"/>
    <cellStyle name="Normal 2 2 2 2 2 2 2 2 2 2 2 2 2 2 7 22" xfId="9051" xr:uid="{2B886421-06D3-48FA-B8D0-496ADF400C83}"/>
    <cellStyle name="Normal 2 2 2 2 2 2 2 2 2 2 2 2 2 2 7 23" xfId="9052" xr:uid="{69F58C69-0C64-4E72-BE69-32D39BE3540F}"/>
    <cellStyle name="Normal 2 2 2 2 2 2 2 2 2 2 2 2 2 2 7 24" xfId="9053" xr:uid="{084C3B5D-35BC-40B9-B7E3-32586B5B5CDF}"/>
    <cellStyle name="Normal 2 2 2 2 2 2 2 2 2 2 2 2 2 2 7 3" xfId="9054" xr:uid="{912C1823-CEAB-4047-A282-CE4F4BC9EF59}"/>
    <cellStyle name="Normal 2 2 2 2 2 2 2 2 2 2 2 2 2 2 7 4" xfId="9055" xr:uid="{278512DC-BA5F-423D-8B5B-2BE179DF4B13}"/>
    <cellStyle name="Normal 2 2 2 2 2 2 2 2 2 2 2 2 2 2 7 5" xfId="9056" xr:uid="{DEDB6629-A80D-4A23-B041-91544F6B2CE2}"/>
    <cellStyle name="Normal 2 2 2 2 2 2 2 2 2 2 2 2 2 2 7 6" xfId="9057" xr:uid="{D7C9E17D-40CD-4734-997E-76AFE8D69E87}"/>
    <cellStyle name="Normal 2 2 2 2 2 2 2 2 2 2 2 2 2 2 7 7" xfId="9058" xr:uid="{5B8F5F3B-5BB5-4193-8CF1-B92C38D4E7EE}"/>
    <cellStyle name="Normal 2 2 2 2 2 2 2 2 2 2 2 2 2 2 7 8" xfId="9059" xr:uid="{0C7C5898-D7A6-4416-BB81-9ECDD501A834}"/>
    <cellStyle name="Normal 2 2 2 2 2 2 2 2 2 2 2 2 2 2 7 9" xfId="9060" xr:uid="{81363F37-5C78-4247-A4C7-987EB3AB642E}"/>
    <cellStyle name="Normal 2 2 2 2 2 2 2 2 2 2 2 2 2 2 70" xfId="9061" xr:uid="{6AF5EE0E-B5BA-41E0-9911-270D5E4DEA12}"/>
    <cellStyle name="Normal 2 2 2 2 2 2 2 2 2 2 2 2 2 2 71" xfId="9062" xr:uid="{BAA9242A-C8A1-421C-AC38-DFDBB8B1B3C2}"/>
    <cellStyle name="Normal 2 2 2 2 2 2 2 2 2 2 2 2 2 2 72" xfId="9063" xr:uid="{B8F26D54-AC2D-4551-873E-31E51CA77041}"/>
    <cellStyle name="Normal 2 2 2 2 2 2 2 2 2 2 2 2 2 2 73" xfId="9064" xr:uid="{24A9C8A9-DC82-4DC9-B5E7-A9E6079388C9}"/>
    <cellStyle name="Normal 2 2 2 2 2 2 2 2 2 2 2 2 2 2 74" xfId="9065" xr:uid="{1F3C5A70-34B3-46DA-90EA-E02FA40835BF}"/>
    <cellStyle name="Normal 2 2 2 2 2 2 2 2 2 2 2 2 2 2 75" xfId="9066" xr:uid="{7879F990-D716-41F1-B7BA-C4E544239ACF}"/>
    <cellStyle name="Normal 2 2 2 2 2 2 2 2 2 2 2 2 2 2 76" xfId="9067" xr:uid="{0ADFABDD-D504-4C0B-8818-1CF85DA88DBE}"/>
    <cellStyle name="Normal 2 2 2 2 2 2 2 2 2 2 2 2 2 2 77" xfId="9068" xr:uid="{D7F065AB-01CD-483C-BA50-AD36234CF426}"/>
    <cellStyle name="Normal 2 2 2 2 2 2 2 2 2 2 2 2 2 2 78" xfId="9069" xr:uid="{62688BF6-7902-4E4E-B6E7-216E4ECFA2CF}"/>
    <cellStyle name="Normal 2 2 2 2 2 2 2 2 2 2 2 2 2 2 79" xfId="9070" xr:uid="{44B000EE-360B-4DAB-BCBC-CC8A71BF88C6}"/>
    <cellStyle name="Normal 2 2 2 2 2 2 2 2 2 2 2 2 2 2 8" xfId="9071" xr:uid="{F48D55F8-3B26-4C5F-8724-AFBEFBFC852C}"/>
    <cellStyle name="Normal 2 2 2 2 2 2 2 2 2 2 2 2 2 2 8 10" xfId="9072" xr:uid="{C77912CE-30FB-4BE8-AF97-D59AB649A583}"/>
    <cellStyle name="Normal 2 2 2 2 2 2 2 2 2 2 2 2 2 2 8 11" xfId="9073" xr:uid="{D4B620A0-0856-406A-B24B-760C7B634BA1}"/>
    <cellStyle name="Normal 2 2 2 2 2 2 2 2 2 2 2 2 2 2 8 12" xfId="9074" xr:uid="{A1EE4FC8-CB89-430B-BE8F-C5E407D3522F}"/>
    <cellStyle name="Normal 2 2 2 2 2 2 2 2 2 2 2 2 2 2 8 13" xfId="9075" xr:uid="{2188F190-D735-4059-AB25-36212E92CACA}"/>
    <cellStyle name="Normal 2 2 2 2 2 2 2 2 2 2 2 2 2 2 8 13 2" xfId="9076" xr:uid="{1C5192E2-2ECE-44AC-9EB9-C7F780F0CBD2}"/>
    <cellStyle name="Normal 2 2 2 2 2 2 2 2 2 2 2 2 2 2 8 13 3" xfId="9077" xr:uid="{A79DFEB8-B549-43E9-A759-F475DA8043E7}"/>
    <cellStyle name="Normal 2 2 2 2 2 2 2 2 2 2 2 2 2 2 8 13 4" xfId="9078" xr:uid="{A8567D03-52CE-40C9-AB68-5AE0BD0B7C03}"/>
    <cellStyle name="Normal 2 2 2 2 2 2 2 2 2 2 2 2 2 2 8 14" xfId="9079" xr:uid="{BF20E3AF-2CE6-4175-82C6-C0563AAF4F0D}"/>
    <cellStyle name="Normal 2 2 2 2 2 2 2 2 2 2 2 2 2 2 8 15" xfId="9080" xr:uid="{91E450A3-C989-4AC2-B9C9-3A6DA5C968F9}"/>
    <cellStyle name="Normal 2 2 2 2 2 2 2 2 2 2 2 2 2 2 8 16" xfId="9081" xr:uid="{6D2B8947-B03E-4BD4-9F14-EDE953130381}"/>
    <cellStyle name="Normal 2 2 2 2 2 2 2 2 2 2 2 2 2 2 8 2" xfId="9082" xr:uid="{67A330EA-39B0-4881-B315-ADFCB8BE2BD6}"/>
    <cellStyle name="Normal 2 2 2 2 2 2 2 2 2 2 2 2 2 2 8 2 10" xfId="9083" xr:uid="{4EB26AC0-C679-4A83-8B31-0CFF4027D633}"/>
    <cellStyle name="Normal 2 2 2 2 2 2 2 2 2 2 2 2 2 2 8 2 11" xfId="9084" xr:uid="{4D7145CB-A412-4866-9D34-F455CCFE912F}"/>
    <cellStyle name="Normal 2 2 2 2 2 2 2 2 2 2 2 2 2 2 8 2 11 2" xfId="9085" xr:uid="{58C7256D-44F0-4538-8A0A-AA712ECD197D}"/>
    <cellStyle name="Normal 2 2 2 2 2 2 2 2 2 2 2 2 2 2 8 2 11 3" xfId="9086" xr:uid="{62960807-AC14-4B98-98F3-E0E505EC0B0D}"/>
    <cellStyle name="Normal 2 2 2 2 2 2 2 2 2 2 2 2 2 2 8 2 11 4" xfId="9087" xr:uid="{CD379DDB-8CDB-4316-9833-0A781C2573B5}"/>
    <cellStyle name="Normal 2 2 2 2 2 2 2 2 2 2 2 2 2 2 8 2 12" xfId="9088" xr:uid="{C2B5144C-A713-4ADD-9E9A-67728AB6AEB8}"/>
    <cellStyle name="Normal 2 2 2 2 2 2 2 2 2 2 2 2 2 2 8 2 13" xfId="9089" xr:uid="{66A55CEE-54C4-4AA2-A3E5-1BBFB45858A1}"/>
    <cellStyle name="Normal 2 2 2 2 2 2 2 2 2 2 2 2 2 2 8 2 14" xfId="9090" xr:uid="{2C94C27B-CECE-4A04-9608-2C541E9C4866}"/>
    <cellStyle name="Normal 2 2 2 2 2 2 2 2 2 2 2 2 2 2 8 2 2" xfId="9091" xr:uid="{EBEC3D12-542A-41BA-B333-1FA2ACA5238D}"/>
    <cellStyle name="Normal 2 2 2 2 2 2 2 2 2 2 2 2 2 2 8 2 2 10" xfId="9092" xr:uid="{05D8718A-BA70-4BD8-AE9F-E1D0F5FBB90F}"/>
    <cellStyle name="Normal 2 2 2 2 2 2 2 2 2 2 2 2 2 2 8 2 2 11" xfId="9093" xr:uid="{26E311B6-E6D0-426D-97E0-AA364BA037EB}"/>
    <cellStyle name="Normal 2 2 2 2 2 2 2 2 2 2 2 2 2 2 8 2 2 2" xfId="9094" xr:uid="{8E4FCFE6-5396-4F45-A5BE-4A1461477AF6}"/>
    <cellStyle name="Normal 2 2 2 2 2 2 2 2 2 2 2 2 2 2 8 2 2 2 10" xfId="9095" xr:uid="{AC31FE1E-2D67-4798-9C62-570EBC937221}"/>
    <cellStyle name="Normal 2 2 2 2 2 2 2 2 2 2 2 2 2 2 8 2 2 2 11" xfId="9096" xr:uid="{1312EAAC-9A29-4A1B-A1C2-D9818491FED2}"/>
    <cellStyle name="Normal 2 2 2 2 2 2 2 2 2 2 2 2 2 2 8 2 2 2 2" xfId="9097" xr:uid="{62D37E41-4F6D-4069-A911-DEF55A251A37}"/>
    <cellStyle name="Normal 2 2 2 2 2 2 2 2 2 2 2 2 2 2 8 2 2 2 2 2" xfId="9098" xr:uid="{3CADB198-42BF-41C1-A752-F078F1E35CBF}"/>
    <cellStyle name="Normal 2 2 2 2 2 2 2 2 2 2 2 2 2 2 8 2 2 2 2 2 2" xfId="9099" xr:uid="{D0CD3F96-7C33-44BE-ACE5-E116AFD76AC7}"/>
    <cellStyle name="Normal 2 2 2 2 2 2 2 2 2 2 2 2 2 2 8 2 2 2 2 2 3" xfId="9100" xr:uid="{F27D72FD-79B4-438D-82BB-52682D2B181C}"/>
    <cellStyle name="Normal 2 2 2 2 2 2 2 2 2 2 2 2 2 2 8 2 2 2 2 2 4" xfId="9101" xr:uid="{CC6AF8BD-DB17-4A62-ADFC-3707E761A894}"/>
    <cellStyle name="Normal 2 2 2 2 2 2 2 2 2 2 2 2 2 2 8 2 2 2 2 3" xfId="9102" xr:uid="{7BBF6386-81B3-406F-8915-00467E74FD87}"/>
    <cellStyle name="Normal 2 2 2 2 2 2 2 2 2 2 2 2 2 2 8 2 2 2 2 4" xfId="9103" xr:uid="{4CFD796E-82FE-4DD4-BD35-AFE22BE0BF5E}"/>
    <cellStyle name="Normal 2 2 2 2 2 2 2 2 2 2 2 2 2 2 8 2 2 2 2 5" xfId="9104" xr:uid="{0D8D0DC7-D1C7-4B80-8519-88F1E0FDFB3C}"/>
    <cellStyle name="Normal 2 2 2 2 2 2 2 2 2 2 2 2 2 2 8 2 2 2 2 6" xfId="9105" xr:uid="{367C9515-9A95-4745-BBB1-8ACF84911C73}"/>
    <cellStyle name="Normal 2 2 2 2 2 2 2 2 2 2 2 2 2 2 8 2 2 2 3" xfId="9106" xr:uid="{D58DDC61-4223-45E4-BDDA-58325B728531}"/>
    <cellStyle name="Normal 2 2 2 2 2 2 2 2 2 2 2 2 2 2 8 2 2 2 4" xfId="9107" xr:uid="{B54D2604-D57D-45EB-81E5-2D21748D3D20}"/>
    <cellStyle name="Normal 2 2 2 2 2 2 2 2 2 2 2 2 2 2 8 2 2 2 5" xfId="9108" xr:uid="{79061336-91E0-473E-A74D-1439FF1C6F56}"/>
    <cellStyle name="Normal 2 2 2 2 2 2 2 2 2 2 2 2 2 2 8 2 2 2 6" xfId="9109" xr:uid="{8E0B3006-64C1-4C18-B2ED-FD257D6F2F32}"/>
    <cellStyle name="Normal 2 2 2 2 2 2 2 2 2 2 2 2 2 2 8 2 2 2 7" xfId="9110" xr:uid="{3E705F21-0E34-42EB-B443-C6366831141C}"/>
    <cellStyle name="Normal 2 2 2 2 2 2 2 2 2 2 2 2 2 2 8 2 2 2 8" xfId="9111" xr:uid="{E78B8DA8-A575-4FB8-830F-F1262CD973C5}"/>
    <cellStyle name="Normal 2 2 2 2 2 2 2 2 2 2 2 2 2 2 8 2 2 2 8 2" xfId="9112" xr:uid="{D5EA78EA-0F7C-407F-B185-77E7EE39CA17}"/>
    <cellStyle name="Normal 2 2 2 2 2 2 2 2 2 2 2 2 2 2 8 2 2 2 8 3" xfId="9113" xr:uid="{8E3B7A68-6FAA-47AB-A68A-894C5B27B93A}"/>
    <cellStyle name="Normal 2 2 2 2 2 2 2 2 2 2 2 2 2 2 8 2 2 2 8 4" xfId="9114" xr:uid="{F8AA0BD4-1D9F-4444-AE69-063328E2F580}"/>
    <cellStyle name="Normal 2 2 2 2 2 2 2 2 2 2 2 2 2 2 8 2 2 2 9" xfId="9115" xr:uid="{AF5C13EE-0F3A-4453-B542-EB12E6AA3266}"/>
    <cellStyle name="Normal 2 2 2 2 2 2 2 2 2 2 2 2 2 2 8 2 2 3" xfId="9116" xr:uid="{34405609-3730-4BF3-BB2B-7B60DA8CA6FF}"/>
    <cellStyle name="Normal 2 2 2 2 2 2 2 2 2 2 2 2 2 2 8 2 2 3 2" xfId="9117" xr:uid="{720F3651-1D9C-4003-9A3D-A6B8EE1F6D11}"/>
    <cellStyle name="Normal 2 2 2 2 2 2 2 2 2 2 2 2 2 2 8 2 2 3 2 2" xfId="9118" xr:uid="{5C90F447-D0D4-4D17-8481-BF4C8A00F6F2}"/>
    <cellStyle name="Normal 2 2 2 2 2 2 2 2 2 2 2 2 2 2 8 2 2 3 2 3" xfId="9119" xr:uid="{526E46FA-A175-4E9F-8CFA-24D73422DBA6}"/>
    <cellStyle name="Normal 2 2 2 2 2 2 2 2 2 2 2 2 2 2 8 2 2 3 2 4" xfId="9120" xr:uid="{970A9531-089D-4E59-82F9-65FB660C02DB}"/>
    <cellStyle name="Normal 2 2 2 2 2 2 2 2 2 2 2 2 2 2 8 2 2 3 3" xfId="9121" xr:uid="{809B90C5-95C4-497B-9BC8-88B1835F1AD8}"/>
    <cellStyle name="Normal 2 2 2 2 2 2 2 2 2 2 2 2 2 2 8 2 2 3 4" xfId="9122" xr:uid="{5A158D75-1BEB-4B4B-BAFF-E07D15BA1112}"/>
    <cellStyle name="Normal 2 2 2 2 2 2 2 2 2 2 2 2 2 2 8 2 2 3 5" xfId="9123" xr:uid="{5E338E23-B7F2-4420-9978-19EF6E6E13D0}"/>
    <cellStyle name="Normal 2 2 2 2 2 2 2 2 2 2 2 2 2 2 8 2 2 3 6" xfId="9124" xr:uid="{6E6C3FE1-887A-45A3-ADE2-1385858400EB}"/>
    <cellStyle name="Normal 2 2 2 2 2 2 2 2 2 2 2 2 2 2 8 2 2 4" xfId="9125" xr:uid="{21B3E80F-64D5-446D-AB0D-0BF229DC05CB}"/>
    <cellStyle name="Normal 2 2 2 2 2 2 2 2 2 2 2 2 2 2 8 2 2 5" xfId="9126" xr:uid="{7FF362FA-6078-495C-AF5E-30C2CC07BE45}"/>
    <cellStyle name="Normal 2 2 2 2 2 2 2 2 2 2 2 2 2 2 8 2 2 6" xfId="9127" xr:uid="{53EA93A0-83DF-40EA-9F03-7B45150CE6FD}"/>
    <cellStyle name="Normal 2 2 2 2 2 2 2 2 2 2 2 2 2 2 8 2 2 7" xfId="9128" xr:uid="{FB6AD7F3-F06C-4E7C-9F2C-B25EDD98D6B9}"/>
    <cellStyle name="Normal 2 2 2 2 2 2 2 2 2 2 2 2 2 2 8 2 2 8" xfId="9129" xr:uid="{57CCC918-98A4-4B05-9387-BD1671B9BC86}"/>
    <cellStyle name="Normal 2 2 2 2 2 2 2 2 2 2 2 2 2 2 8 2 2 8 2" xfId="9130" xr:uid="{2CF8D052-4304-4432-8D45-47BE9B564825}"/>
    <cellStyle name="Normal 2 2 2 2 2 2 2 2 2 2 2 2 2 2 8 2 2 8 3" xfId="9131" xr:uid="{263F67F4-A638-4FF0-A7BC-5E5FA5992C02}"/>
    <cellStyle name="Normal 2 2 2 2 2 2 2 2 2 2 2 2 2 2 8 2 2 8 4" xfId="9132" xr:uid="{A00984BB-3E3C-4323-A4B3-E81C6A55EC46}"/>
    <cellStyle name="Normal 2 2 2 2 2 2 2 2 2 2 2 2 2 2 8 2 2 9" xfId="9133" xr:uid="{92C78BF7-5620-4D00-B291-D0FD16154B87}"/>
    <cellStyle name="Normal 2 2 2 2 2 2 2 2 2 2 2 2 2 2 8 2 3" xfId="9134" xr:uid="{B8729F6C-0C5D-452C-88F8-C79355B1F74B}"/>
    <cellStyle name="Normal 2 2 2 2 2 2 2 2 2 2 2 2 2 2 8 2 4" xfId="9135" xr:uid="{19919E5F-351F-42B5-BE4E-AD251A9387FA}"/>
    <cellStyle name="Normal 2 2 2 2 2 2 2 2 2 2 2 2 2 2 8 2 5" xfId="9136" xr:uid="{39700349-011C-4B02-88BD-4A7C97B17AF7}"/>
    <cellStyle name="Normal 2 2 2 2 2 2 2 2 2 2 2 2 2 2 8 2 5 2" xfId="9137" xr:uid="{FDC44568-18A1-4D90-84DB-EDD985E4DB3D}"/>
    <cellStyle name="Normal 2 2 2 2 2 2 2 2 2 2 2 2 2 2 8 2 5 2 2" xfId="9138" xr:uid="{DAE3D5B5-BB42-49AC-946F-1B057F24D7C8}"/>
    <cellStyle name="Normal 2 2 2 2 2 2 2 2 2 2 2 2 2 2 8 2 5 2 3" xfId="9139" xr:uid="{C07E97B8-9849-4FEE-941D-095570473735}"/>
    <cellStyle name="Normal 2 2 2 2 2 2 2 2 2 2 2 2 2 2 8 2 5 2 4" xfId="9140" xr:uid="{B7FC1DD1-3104-4A2D-ABDB-33A28E28E17C}"/>
    <cellStyle name="Normal 2 2 2 2 2 2 2 2 2 2 2 2 2 2 8 2 5 3" xfId="9141" xr:uid="{00784332-2FD0-426B-B46D-3DE0E8ADB4A4}"/>
    <cellStyle name="Normal 2 2 2 2 2 2 2 2 2 2 2 2 2 2 8 2 5 4" xfId="9142" xr:uid="{026AB329-82BA-4575-8724-D048691A5268}"/>
    <cellStyle name="Normal 2 2 2 2 2 2 2 2 2 2 2 2 2 2 8 2 5 5" xfId="9143" xr:uid="{737AF92F-7260-423C-B29D-83445D58AE23}"/>
    <cellStyle name="Normal 2 2 2 2 2 2 2 2 2 2 2 2 2 2 8 2 5 6" xfId="9144" xr:uid="{C5CFBB10-AEDA-41E4-9545-2C8C3F06BADC}"/>
    <cellStyle name="Normal 2 2 2 2 2 2 2 2 2 2 2 2 2 2 8 2 6" xfId="9145" xr:uid="{D13C2255-A1E6-4222-A613-8C14ADE30816}"/>
    <cellStyle name="Normal 2 2 2 2 2 2 2 2 2 2 2 2 2 2 8 2 7" xfId="9146" xr:uid="{775BF968-2EAC-49C7-A559-8736A7A8A515}"/>
    <cellStyle name="Normal 2 2 2 2 2 2 2 2 2 2 2 2 2 2 8 2 8" xfId="9147" xr:uid="{B9F29F7E-69BD-4080-AE7C-5C96ED4C40F3}"/>
    <cellStyle name="Normal 2 2 2 2 2 2 2 2 2 2 2 2 2 2 8 2 9" xfId="9148" xr:uid="{49468078-AFCA-48DD-96D8-5F12EA6EA8C7}"/>
    <cellStyle name="Normal 2 2 2 2 2 2 2 2 2 2 2 2 2 2 8 3" xfId="9149" xr:uid="{AE7BDFE0-D724-44C1-9E4E-86CEA9FA9620}"/>
    <cellStyle name="Normal 2 2 2 2 2 2 2 2 2 2 2 2 2 2 8 4" xfId="9150" xr:uid="{2D021ADE-156B-4CD6-9881-EFAD7095D9A3}"/>
    <cellStyle name="Normal 2 2 2 2 2 2 2 2 2 2 2 2 2 2 8 5" xfId="9151" xr:uid="{C1791DC8-9BC2-4038-818F-85BC11FD4990}"/>
    <cellStyle name="Normal 2 2 2 2 2 2 2 2 2 2 2 2 2 2 8 5 10" xfId="9152" xr:uid="{A3FA5BC1-BD7A-4EA6-BD27-38A6F454834D}"/>
    <cellStyle name="Normal 2 2 2 2 2 2 2 2 2 2 2 2 2 2 8 5 11" xfId="9153" xr:uid="{F3C21823-B1C3-4B4C-B0BC-1A6D4085164B}"/>
    <cellStyle name="Normal 2 2 2 2 2 2 2 2 2 2 2 2 2 2 8 5 2" xfId="9154" xr:uid="{AF9FAB58-7153-497B-B1F3-B8F2A0E9B864}"/>
    <cellStyle name="Normal 2 2 2 2 2 2 2 2 2 2 2 2 2 2 8 5 2 10" xfId="9155" xr:uid="{87F9B42E-BB86-43FD-9830-1A73572F401A}"/>
    <cellStyle name="Normal 2 2 2 2 2 2 2 2 2 2 2 2 2 2 8 5 2 11" xfId="9156" xr:uid="{DEE5DEFF-B561-4366-8AE3-C7B17C8BFDF1}"/>
    <cellStyle name="Normal 2 2 2 2 2 2 2 2 2 2 2 2 2 2 8 5 2 2" xfId="9157" xr:uid="{61387DCF-5A1E-4307-A167-0472E129AB16}"/>
    <cellStyle name="Normal 2 2 2 2 2 2 2 2 2 2 2 2 2 2 8 5 2 2 2" xfId="9158" xr:uid="{20A70261-2632-4439-A5F4-3E523AE777EC}"/>
    <cellStyle name="Normal 2 2 2 2 2 2 2 2 2 2 2 2 2 2 8 5 2 2 2 2" xfId="9159" xr:uid="{80DF0474-6F26-46D1-9CBD-205B3049D9BB}"/>
    <cellStyle name="Normal 2 2 2 2 2 2 2 2 2 2 2 2 2 2 8 5 2 2 2 3" xfId="9160" xr:uid="{52DCE977-7E5F-4E2A-9167-4DCC15239529}"/>
    <cellStyle name="Normal 2 2 2 2 2 2 2 2 2 2 2 2 2 2 8 5 2 2 2 4" xfId="9161" xr:uid="{CD11B155-2319-4B95-861B-55AD7A2BB6FD}"/>
    <cellStyle name="Normal 2 2 2 2 2 2 2 2 2 2 2 2 2 2 8 5 2 2 3" xfId="9162" xr:uid="{A6C85D1E-84DE-4766-93CC-1C6D7DCDC83D}"/>
    <cellStyle name="Normal 2 2 2 2 2 2 2 2 2 2 2 2 2 2 8 5 2 2 4" xfId="9163" xr:uid="{7E8CF315-9B1B-4543-9132-040222814BA3}"/>
    <cellStyle name="Normal 2 2 2 2 2 2 2 2 2 2 2 2 2 2 8 5 2 2 5" xfId="9164" xr:uid="{C7E16F86-8A64-45FB-B443-147B222CB5F5}"/>
    <cellStyle name="Normal 2 2 2 2 2 2 2 2 2 2 2 2 2 2 8 5 2 2 6" xfId="9165" xr:uid="{C3E47552-5BC9-4D89-88BD-14344DB8DAEA}"/>
    <cellStyle name="Normal 2 2 2 2 2 2 2 2 2 2 2 2 2 2 8 5 2 3" xfId="9166" xr:uid="{5465045D-F200-4EB3-81CA-87D552EE7C50}"/>
    <cellStyle name="Normal 2 2 2 2 2 2 2 2 2 2 2 2 2 2 8 5 2 4" xfId="9167" xr:uid="{32B271F3-A16D-4EEC-A236-6C53B1F3F6C3}"/>
    <cellStyle name="Normal 2 2 2 2 2 2 2 2 2 2 2 2 2 2 8 5 2 5" xfId="9168" xr:uid="{4AF0C327-F2BA-4FE3-9BE8-BFB6ED0FCCB0}"/>
    <cellStyle name="Normal 2 2 2 2 2 2 2 2 2 2 2 2 2 2 8 5 2 6" xfId="9169" xr:uid="{2E4320CC-B767-4128-83D8-908E91B2258D}"/>
    <cellStyle name="Normal 2 2 2 2 2 2 2 2 2 2 2 2 2 2 8 5 2 7" xfId="9170" xr:uid="{914B2C6C-233C-404B-87EF-971B37CB1751}"/>
    <cellStyle name="Normal 2 2 2 2 2 2 2 2 2 2 2 2 2 2 8 5 2 8" xfId="9171" xr:uid="{ECD429C9-602C-4A1B-AC23-0C8DE3385433}"/>
    <cellStyle name="Normal 2 2 2 2 2 2 2 2 2 2 2 2 2 2 8 5 2 8 2" xfId="9172" xr:uid="{B57E81B8-04E1-4A63-A325-C2B78631C0D3}"/>
    <cellStyle name="Normal 2 2 2 2 2 2 2 2 2 2 2 2 2 2 8 5 2 8 3" xfId="9173" xr:uid="{F412980C-AE9F-48D6-9368-B64ACF7FA022}"/>
    <cellStyle name="Normal 2 2 2 2 2 2 2 2 2 2 2 2 2 2 8 5 2 8 4" xfId="9174" xr:uid="{20C856A8-EF68-48B8-B698-DD71EEE996FB}"/>
    <cellStyle name="Normal 2 2 2 2 2 2 2 2 2 2 2 2 2 2 8 5 2 9" xfId="9175" xr:uid="{FB64997F-4064-4B22-8A61-5787B7137DDA}"/>
    <cellStyle name="Normal 2 2 2 2 2 2 2 2 2 2 2 2 2 2 8 5 3" xfId="9176" xr:uid="{61DCF190-601D-4161-92D1-36CCE64946BE}"/>
    <cellStyle name="Normal 2 2 2 2 2 2 2 2 2 2 2 2 2 2 8 5 3 2" xfId="9177" xr:uid="{568C4D64-BFEB-419A-AF0F-43A97DE8848C}"/>
    <cellStyle name="Normal 2 2 2 2 2 2 2 2 2 2 2 2 2 2 8 5 3 2 2" xfId="9178" xr:uid="{D9160BB9-D0E9-4B28-B165-6A8298F67317}"/>
    <cellStyle name="Normal 2 2 2 2 2 2 2 2 2 2 2 2 2 2 8 5 3 2 3" xfId="9179" xr:uid="{5D03ECF0-83FF-464C-9D57-E70C7E0C880E}"/>
    <cellStyle name="Normal 2 2 2 2 2 2 2 2 2 2 2 2 2 2 8 5 3 2 4" xfId="9180" xr:uid="{BCFC78E2-A339-4831-B129-12A39B203CCB}"/>
    <cellStyle name="Normal 2 2 2 2 2 2 2 2 2 2 2 2 2 2 8 5 3 3" xfId="9181" xr:uid="{D4039A7B-B79F-4CC5-9D47-A899179BCE7E}"/>
    <cellStyle name="Normal 2 2 2 2 2 2 2 2 2 2 2 2 2 2 8 5 3 4" xfId="9182" xr:uid="{B596A710-A4CB-42F1-958E-BAF9389807A6}"/>
    <cellStyle name="Normal 2 2 2 2 2 2 2 2 2 2 2 2 2 2 8 5 3 5" xfId="9183" xr:uid="{0BD03353-1EC3-4EA4-925A-24587149268C}"/>
    <cellStyle name="Normal 2 2 2 2 2 2 2 2 2 2 2 2 2 2 8 5 3 6" xfId="9184" xr:uid="{89FD7979-AACD-464F-82BD-9D0E1524A92A}"/>
    <cellStyle name="Normal 2 2 2 2 2 2 2 2 2 2 2 2 2 2 8 5 4" xfId="9185" xr:uid="{A1D82611-56C3-4E64-AC2A-1B545B3F9149}"/>
    <cellStyle name="Normal 2 2 2 2 2 2 2 2 2 2 2 2 2 2 8 5 5" xfId="9186" xr:uid="{D0C7CF01-74A4-4166-99C6-AAB009D0FC7F}"/>
    <cellStyle name="Normal 2 2 2 2 2 2 2 2 2 2 2 2 2 2 8 5 6" xfId="9187" xr:uid="{DEBA8C42-2585-4323-9563-F1D8423F09EF}"/>
    <cellStyle name="Normal 2 2 2 2 2 2 2 2 2 2 2 2 2 2 8 5 7" xfId="9188" xr:uid="{88A19DAD-D3A2-4F1C-8D30-B41389526405}"/>
    <cellStyle name="Normal 2 2 2 2 2 2 2 2 2 2 2 2 2 2 8 5 8" xfId="9189" xr:uid="{6E1AC586-D722-4DEA-AE90-2AF9377B69F4}"/>
    <cellStyle name="Normal 2 2 2 2 2 2 2 2 2 2 2 2 2 2 8 5 8 2" xfId="9190" xr:uid="{5122D615-142A-47D2-9554-312FDE305898}"/>
    <cellStyle name="Normal 2 2 2 2 2 2 2 2 2 2 2 2 2 2 8 5 8 3" xfId="9191" xr:uid="{14F9FB90-524A-4D80-BFB1-0804450FD521}"/>
    <cellStyle name="Normal 2 2 2 2 2 2 2 2 2 2 2 2 2 2 8 5 8 4" xfId="9192" xr:uid="{BD55917D-9D7F-49BC-9439-AB4A6A85CE78}"/>
    <cellStyle name="Normal 2 2 2 2 2 2 2 2 2 2 2 2 2 2 8 5 9" xfId="9193" xr:uid="{D4824C83-220D-4C1E-8F03-B373ECD2D2DF}"/>
    <cellStyle name="Normal 2 2 2 2 2 2 2 2 2 2 2 2 2 2 8 6" xfId="9194" xr:uid="{1E3C3829-A2DC-46EA-9FC8-C48FBA498EE0}"/>
    <cellStyle name="Normal 2 2 2 2 2 2 2 2 2 2 2 2 2 2 8 7" xfId="9195" xr:uid="{30A8BEB7-D618-4D70-BDB8-ADCA22311B71}"/>
    <cellStyle name="Normal 2 2 2 2 2 2 2 2 2 2 2 2 2 2 8 7 2" xfId="9196" xr:uid="{EF283AB7-275C-4461-AABD-01A8CC9EFA70}"/>
    <cellStyle name="Normal 2 2 2 2 2 2 2 2 2 2 2 2 2 2 8 7 2 2" xfId="9197" xr:uid="{F67B70C6-6311-43E3-A7E8-CEFE73C47E76}"/>
    <cellStyle name="Normal 2 2 2 2 2 2 2 2 2 2 2 2 2 2 8 7 2 3" xfId="9198" xr:uid="{B48709A8-84A4-47DF-8106-3B2F913F42B4}"/>
    <cellStyle name="Normal 2 2 2 2 2 2 2 2 2 2 2 2 2 2 8 7 2 4" xfId="9199" xr:uid="{830264F3-5FD8-4C0A-95F4-67A58444B3C0}"/>
    <cellStyle name="Normal 2 2 2 2 2 2 2 2 2 2 2 2 2 2 8 7 3" xfId="9200" xr:uid="{93E7DD98-7570-4F92-A37F-468885DBAA01}"/>
    <cellStyle name="Normal 2 2 2 2 2 2 2 2 2 2 2 2 2 2 8 7 4" xfId="9201" xr:uid="{EC2FAA86-D006-4EDB-9AD9-A2D406EE3BE5}"/>
    <cellStyle name="Normal 2 2 2 2 2 2 2 2 2 2 2 2 2 2 8 7 5" xfId="9202" xr:uid="{28204DE5-18E3-4664-8FC9-7B8B972EADC0}"/>
    <cellStyle name="Normal 2 2 2 2 2 2 2 2 2 2 2 2 2 2 8 7 6" xfId="9203" xr:uid="{9F67B573-BEFC-449F-ADD1-30E3A03965E7}"/>
    <cellStyle name="Normal 2 2 2 2 2 2 2 2 2 2 2 2 2 2 8 8" xfId="9204" xr:uid="{BEAAB570-FD5F-4AEE-A401-23FBB306C732}"/>
    <cellStyle name="Normal 2 2 2 2 2 2 2 2 2 2 2 2 2 2 8 9" xfId="9205" xr:uid="{54F7A97F-97F2-4F02-ACEC-5E7CC2E37901}"/>
    <cellStyle name="Normal 2 2 2 2 2 2 2 2 2 2 2 2 2 2 80" xfId="9206" xr:uid="{46424646-5C23-40A6-B228-94A064DE6512}"/>
    <cellStyle name="Normal 2 2 2 2 2 2 2 2 2 2 2 2 2 2 81" xfId="9207" xr:uid="{799B4ED1-E8D8-466D-89E3-970EB4D9A355}"/>
    <cellStyle name="Normal 2 2 2 2 2 2 2 2 2 2 2 2 2 2 82" xfId="9208" xr:uid="{EADFEB5A-47DA-4A8A-AF8D-640056C02A5D}"/>
    <cellStyle name="Normal 2 2 2 2 2 2 2 2 2 2 2 2 2 2 83" xfId="9209" xr:uid="{446E66D5-851D-4526-9676-1BC50756E215}"/>
    <cellStyle name="Normal 2 2 2 2 2 2 2 2 2 2 2 2 2 2 84" xfId="9210" xr:uid="{71FBFF87-A729-4B76-8626-720415138247}"/>
    <cellStyle name="Normal 2 2 2 2 2 2 2 2 2 2 2 2 2 2 85" xfId="9211" xr:uid="{D7A6B4EE-F3FE-4B78-8E0E-386A1286DB25}"/>
    <cellStyle name="Normal 2 2 2 2 2 2 2 2 2 2 2 2 2 2 86" xfId="9212" xr:uid="{883C76EF-9633-4A27-82F3-2D9ABA334DFB}"/>
    <cellStyle name="Normal 2 2 2 2 2 2 2 2 2 2 2 2 2 2 87" xfId="9213" xr:uid="{A7082B8B-9EDB-4708-9715-5D47C7B82F4B}"/>
    <cellStyle name="Normal 2 2 2 2 2 2 2 2 2 2 2 2 2 2 88" xfId="9214" xr:uid="{3D89CA0D-6FA1-4A0C-BEA0-4FFE7A540DE2}"/>
    <cellStyle name="Normal 2 2 2 2 2 2 2 2 2 2 2 2 2 2 88 2" xfId="9215" xr:uid="{6A86B35D-8AAC-426D-B8B0-EE45C183E725}"/>
    <cellStyle name="Normal 2 2 2 2 2 2 2 2 2 2 2 2 2 2 88 3" xfId="9216" xr:uid="{74E6EA14-5763-4A02-AAA2-1942F738C2FA}"/>
    <cellStyle name="Normal 2 2 2 2 2 2 2 2 2 2 2 2 2 2 88 4" xfId="9217" xr:uid="{09CCE625-5DCE-4421-AA82-1BBBF51B327F}"/>
    <cellStyle name="Normal 2 2 2 2 2 2 2 2 2 2 2 2 2 2 89" xfId="9218" xr:uid="{EFF28727-F4EC-4ED4-9C4D-594C965894F0}"/>
    <cellStyle name="Normal 2 2 2 2 2 2 2 2 2 2 2 2 2 2 9" xfId="9219" xr:uid="{BAEAE6BD-B08F-4779-AB3F-00BDE384E298}"/>
    <cellStyle name="Normal 2 2 2 2 2 2 2 2 2 2 2 2 2 2 90" xfId="9220" xr:uid="{729F013F-CDB0-47BF-8764-AEA981C535C8}"/>
    <cellStyle name="Normal 2 2 2 2 2 2 2 2 2 2 2 2 2 20" xfId="9221" xr:uid="{EBA68571-1CEF-4408-9045-34D9BF64CCFD}"/>
    <cellStyle name="Normal 2 2 2 2 2 2 2 2 2 2 2 2 2 20 2" xfId="9222" xr:uid="{843DFC22-FE80-4AE4-ADAE-B50EB4D0A810}"/>
    <cellStyle name="Normal 2 2 2 2 2 2 2 2 2 2 2 2 2 20 2 2" xfId="9223" xr:uid="{09626ED1-A3BA-48B5-B4D8-9CB2FBF41DA1}"/>
    <cellStyle name="Normal 2 2 2 2 2 2 2 2 2 2 2 2 2 20 2 3" xfId="9224" xr:uid="{183920F6-6BDA-4ADB-B8A9-CD63D7E720B4}"/>
    <cellStyle name="Normal 2 2 2 2 2 2 2 2 2 2 2 2 2 20 2 4" xfId="9225" xr:uid="{37E1BEE9-2D42-4AE4-862C-ACD85B9DF70A}"/>
    <cellStyle name="Normal 2 2 2 2 2 2 2 2 2 2 2 2 2 20 3" xfId="9226" xr:uid="{97117064-41BD-4D47-8812-A48C6C4966B4}"/>
    <cellStyle name="Normal 2 2 2 2 2 2 2 2 2 2 2 2 2 20 4" xfId="9227" xr:uid="{A9398363-1FA3-4165-ADA7-159745A958BB}"/>
    <cellStyle name="Normal 2 2 2 2 2 2 2 2 2 2 2 2 2 20 5" xfId="9228" xr:uid="{357301F6-C0FE-40F6-B55C-13181075F80C}"/>
    <cellStyle name="Normal 2 2 2 2 2 2 2 2 2 2 2 2 2 20 6" xfId="9229" xr:uid="{D17A1E11-7998-455F-B872-40EA5C2AF179}"/>
    <cellStyle name="Normal 2 2 2 2 2 2 2 2 2 2 2 2 2 21" xfId="9230" xr:uid="{48185815-BE7F-41E8-8227-CF06F7D817E6}"/>
    <cellStyle name="Normal 2 2 2 2 2 2 2 2 2 2 2 2 2 22" xfId="9231" xr:uid="{D8B4FA9E-CDC5-41CA-9702-C308359D2C0F}"/>
    <cellStyle name="Normal 2 2 2 2 2 2 2 2 2 2 2 2 2 23" xfId="9232" xr:uid="{DECA0569-4ECB-4702-B1A2-AB2A7F564E8B}"/>
    <cellStyle name="Normal 2 2 2 2 2 2 2 2 2 2 2 2 2 24" xfId="9233" xr:uid="{03775D59-7818-4579-8968-90B81E3E621E}"/>
    <cellStyle name="Normal 2 2 2 2 2 2 2 2 2 2 2 2 2 25" xfId="9234" xr:uid="{3CA73A74-CFB8-4D9E-A7B0-1FAA0D779F0E}"/>
    <cellStyle name="Normal 2 2 2 2 2 2 2 2 2 2 2 2 2 26" xfId="9235" xr:uid="{4B467A3A-A3AA-4103-ACB1-D3E857A9E102}"/>
    <cellStyle name="Normal 2 2 2 2 2 2 2 2 2 2 2 2 2 26 2" xfId="9236" xr:uid="{06A14BB4-11DC-443D-AC08-1F6A8B488BE4}"/>
    <cellStyle name="Normal 2 2 2 2 2 2 2 2 2 2 2 2 2 26 3" xfId="9237" xr:uid="{7CF57E6A-F45F-4AE9-8BD2-098B810AE9F4}"/>
    <cellStyle name="Normal 2 2 2 2 2 2 2 2 2 2 2 2 2 26 4" xfId="9238" xr:uid="{9635A1E7-17F8-4AF4-A2BA-E43303921884}"/>
    <cellStyle name="Normal 2 2 2 2 2 2 2 2 2 2 2 2 2 27" xfId="9239" xr:uid="{1152AD73-2982-414C-A1AD-FC761BDFCE1A}"/>
    <cellStyle name="Normal 2 2 2 2 2 2 2 2 2 2 2 2 2 28" xfId="9240" xr:uid="{ADD3498C-BEF8-48BE-8BEC-AF5D5FDF8A5B}"/>
    <cellStyle name="Normal 2 2 2 2 2 2 2 2 2 2 2 2 2 29" xfId="9241" xr:uid="{BA470F36-C98A-4C87-8066-94D5B7D61F1A}"/>
    <cellStyle name="Normal 2 2 2 2 2 2 2 2 2 2 2 2 2 3" xfId="9242" xr:uid="{9A6D3EC5-A76A-450E-A693-6C51B6D097A1}"/>
    <cellStyle name="Normal 2 2 2 2 2 2 2 2 2 2 2 2 2 30" xfId="9243" xr:uid="{4B7BE6C5-27BD-40A1-B4E8-54BB989B842B}"/>
    <cellStyle name="Normal 2 2 2 2 2 2 2 2 2 2 2 2 2 31" xfId="9244" xr:uid="{D84422D4-089D-4FBB-8A9E-F2BD8EAF449C}"/>
    <cellStyle name="Normal 2 2 2 2 2 2 2 2 2 2 2 2 2 32" xfId="9245" xr:uid="{1C700B22-F81A-44D6-B8E8-82E834F0DB20}"/>
    <cellStyle name="Normal 2 2 2 2 2 2 2 2 2 2 2 2 2 33" xfId="9246" xr:uid="{19A7E641-E372-45DD-B65D-551AC4821921}"/>
    <cellStyle name="Normal 2 2 2 2 2 2 2 2 2 2 2 2 2 34" xfId="9247" xr:uid="{E7E0FDC1-F30F-44EA-828A-6995640965E5}"/>
    <cellStyle name="Normal 2 2 2 2 2 2 2 2 2 2 2 2 2 35" xfId="9248" xr:uid="{B35FF840-901C-4B2C-992D-C956D42E25EB}"/>
    <cellStyle name="Normal 2 2 2 2 2 2 2 2 2 2 2 2 2 36" xfId="9249" xr:uid="{2C523BC3-5D6C-41E2-87E0-A2A61B90BB3A}"/>
    <cellStyle name="Normal 2 2 2 2 2 2 2 2 2 2 2 2 2 37" xfId="9250" xr:uid="{BA05BDA4-67DB-4CEB-8FE2-09BF44403D62}"/>
    <cellStyle name="Normal 2 2 2 2 2 2 2 2 2 2 2 2 2 38" xfId="9251" xr:uid="{DFB9F0CA-F6E6-48E3-97ED-2E963B50EDC1}"/>
    <cellStyle name="Normal 2 2 2 2 2 2 2 2 2 2 2 2 2 39" xfId="9252" xr:uid="{E74FC8B9-99D2-45B0-A637-D5B7BADD54E5}"/>
    <cellStyle name="Normal 2 2 2 2 2 2 2 2 2 2 2 2 2 4" xfId="9253" xr:uid="{936DA796-8695-448D-8259-A9F373C35E57}"/>
    <cellStyle name="Normal 2 2 2 2 2 2 2 2 2 2 2 2 2 40" xfId="9254" xr:uid="{DD121F34-7019-4051-9E3D-C04866C580FB}"/>
    <cellStyle name="Normal 2 2 2 2 2 2 2 2 2 2 2 2 2 41" xfId="9255" xr:uid="{218FCF90-CF1C-403C-9E9A-AA0539BFD16C}"/>
    <cellStyle name="Normal 2 2 2 2 2 2 2 2 2 2 2 2 2 41 2" xfId="9256" xr:uid="{50A95BB1-04DD-4BFE-A24F-31B158FF080C}"/>
    <cellStyle name="Normal 2 2 2 2 2 2 2 2 2 2 2 2 2 41 3" xfId="9257" xr:uid="{C724BA73-C41B-4029-9DCF-DC4C7008E431}"/>
    <cellStyle name="Normal 2 2 2 2 2 2 2 2 2 2 2 2 2 41 4" xfId="9258" xr:uid="{614A60B3-168D-442B-AB98-A9DE1617A438}"/>
    <cellStyle name="Normal 2 2 2 2 2 2 2 2 2 2 2 2 2 41 5" xfId="9259" xr:uid="{35FBF4CF-2BBC-4163-AF26-1BFB8C895B36}"/>
    <cellStyle name="Normal 2 2 2 2 2 2 2 2 2 2 2 2 2 41 6" xfId="9260" xr:uid="{9587A04E-0572-4403-BF43-99E9FF404FF6}"/>
    <cellStyle name="Normal 2 2 2 2 2 2 2 2 2 2 2 2 2 41 7" xfId="9261" xr:uid="{E2258E19-AEC3-4335-9870-06740B9BF451}"/>
    <cellStyle name="Normal 2 2 2 2 2 2 2 2 2 2 2 2 2 42" xfId="9262" xr:uid="{DD097311-4A09-43A9-817F-6442E1CAB397}"/>
    <cellStyle name="Normal 2 2 2 2 2 2 2 2 2 2 2 2 2 43" xfId="9263" xr:uid="{EA1093BD-62D9-4871-A750-A2F349CE6F0E}"/>
    <cellStyle name="Normal 2 2 2 2 2 2 2 2 2 2 2 2 2 44" xfId="9264" xr:uid="{558517C7-140B-4DCF-9D59-95A9AB74C2FD}"/>
    <cellStyle name="Normal 2 2 2 2 2 2 2 2 2 2 2 2 2 45" xfId="9265" xr:uid="{E3BD653B-C6EE-4120-9D18-A76DCC47A574}"/>
    <cellStyle name="Normal 2 2 2 2 2 2 2 2 2 2 2 2 2 46" xfId="9266" xr:uid="{ACF81933-91FC-4E47-8932-F6AF12CEFD96}"/>
    <cellStyle name="Normal 2 2 2 2 2 2 2 2 2 2 2 2 2 47" xfId="9267" xr:uid="{15B2F7D7-3400-4B60-B3DF-FAD2439EA046}"/>
    <cellStyle name="Normal 2 2 2 2 2 2 2 2 2 2 2 2 2 48" xfId="9268" xr:uid="{8BE27FE4-E4CF-4786-ADF0-6B48A33FDD2B}"/>
    <cellStyle name="Normal 2 2 2 2 2 2 2 2 2 2 2 2 2 49" xfId="9269" xr:uid="{4AAD24CB-42A1-41E6-9EF9-AE713E2D62CD}"/>
    <cellStyle name="Normal 2 2 2 2 2 2 2 2 2 2 2 2 2 5" xfId="9270" xr:uid="{616A7DCA-684B-4D36-8511-538389001D2D}"/>
    <cellStyle name="Normal 2 2 2 2 2 2 2 2 2 2 2 2 2 50" xfId="9271" xr:uid="{5066F7D6-A92A-43E3-B988-F003EC03C050}"/>
    <cellStyle name="Normal 2 2 2 2 2 2 2 2 2 2 2 2 2 51" xfId="9272" xr:uid="{C276C390-D2C5-4C31-8A57-46FD64D9AC99}"/>
    <cellStyle name="Normal 2 2 2 2 2 2 2 2 2 2 2 2 2 52" xfId="9273" xr:uid="{F8F201A8-EC3A-45B7-9050-B3D6A6C28194}"/>
    <cellStyle name="Normal 2 2 2 2 2 2 2 2 2 2 2 2 2 53" xfId="9274" xr:uid="{A2D402D7-90A0-4387-BF6F-03F1D87BC6A6}"/>
    <cellStyle name="Normal 2 2 2 2 2 2 2 2 2 2 2 2 2 54" xfId="9275" xr:uid="{2492BA3E-A0C0-4897-9799-5B010157A619}"/>
    <cellStyle name="Normal 2 2 2 2 2 2 2 2 2 2 2 2 2 55" xfId="9276" xr:uid="{497D9EAD-92D4-41CF-893A-C5B908B098E5}"/>
    <cellStyle name="Normal 2 2 2 2 2 2 2 2 2 2 2 2 2 56" xfId="9277" xr:uid="{6198A9AB-C71C-4DA9-B476-9EFAA58FE934}"/>
    <cellStyle name="Normal 2 2 2 2 2 2 2 2 2 2 2 2 2 57" xfId="9278" xr:uid="{664CB355-4DD1-4D0D-B565-E6E6E0CD3884}"/>
    <cellStyle name="Normal 2 2 2 2 2 2 2 2 2 2 2 2 2 58" xfId="9279" xr:uid="{9B7BD3DC-3D6B-409E-8313-83E80E328BA7}"/>
    <cellStyle name="Normal 2 2 2 2 2 2 2 2 2 2 2 2 2 59" xfId="9280" xr:uid="{ED58E070-D679-494D-BE74-83327B84F1A2}"/>
    <cellStyle name="Normal 2 2 2 2 2 2 2 2 2 2 2 2 2 6" xfId="9281" xr:uid="{ADCA145A-C9F8-4585-BC2B-EB3F5629D7EA}"/>
    <cellStyle name="Normal 2 2 2 2 2 2 2 2 2 2 2 2 2 60" xfId="9282" xr:uid="{E227C0E7-8492-4E56-AB03-36AD21D1976C}"/>
    <cellStyle name="Normal 2 2 2 2 2 2 2 2 2 2 2 2 2 61" xfId="9283" xr:uid="{913CDC20-71E3-4F6A-B69B-169B5E17C67D}"/>
    <cellStyle name="Normal 2 2 2 2 2 2 2 2 2 2 2 2 2 62" xfId="9284" xr:uid="{25D709EF-7E1A-4E38-8B18-92AAFAE6007A}"/>
    <cellStyle name="Normal 2 2 2 2 2 2 2 2 2 2 2 2 2 63" xfId="9285" xr:uid="{88AB0DBE-D5F1-4428-B21F-19A25F470787}"/>
    <cellStyle name="Normal 2 2 2 2 2 2 2 2 2 2 2 2 2 64" xfId="9286" xr:uid="{B5838F68-A901-4569-A5B3-79B7EA1153AB}"/>
    <cellStyle name="Normal 2 2 2 2 2 2 2 2 2 2 2 2 2 65" xfId="9287" xr:uid="{46890109-C8CB-4648-A4D7-742C4B35E60A}"/>
    <cellStyle name="Normal 2 2 2 2 2 2 2 2 2 2 2 2 2 66" xfId="9288" xr:uid="{9AE01AD7-6555-492F-9018-05574D33DBD1}"/>
    <cellStyle name="Normal 2 2 2 2 2 2 2 2 2 2 2 2 2 67" xfId="9289" xr:uid="{3F3FC2F1-8702-49ED-9C59-FB3798145A65}"/>
    <cellStyle name="Normal 2 2 2 2 2 2 2 2 2 2 2 2 2 68" xfId="9290" xr:uid="{A1F301A3-428F-4976-920A-F1C6D17B5E37}"/>
    <cellStyle name="Normal 2 2 2 2 2 2 2 2 2 2 2 2 2 69" xfId="9291" xr:uid="{F008F0DD-CCED-48B8-BDBA-2CFA3CFA6F99}"/>
    <cellStyle name="Normal 2 2 2 2 2 2 2 2 2 2 2 2 2 7" xfId="9292" xr:uid="{3FC1C8F2-09D5-42FA-9BD5-FF088052F101}"/>
    <cellStyle name="Normal 2 2 2 2 2 2 2 2 2 2 2 2 2 7 10" xfId="9293" xr:uid="{47A3BDEF-B872-49D8-ADD2-8BB1EFF12E4D}"/>
    <cellStyle name="Normal 2 2 2 2 2 2 2 2 2 2 2 2 2 7 11" xfId="9294" xr:uid="{21D0A825-4744-4C05-BC27-311991682BFB}"/>
    <cellStyle name="Normal 2 2 2 2 2 2 2 2 2 2 2 2 2 7 11 10" xfId="9295" xr:uid="{A710B774-8BEE-45AA-8675-26FE0D9A6DA4}"/>
    <cellStyle name="Normal 2 2 2 2 2 2 2 2 2 2 2 2 2 7 11 11" xfId="9296" xr:uid="{6D85EF7F-EABC-4A6A-B01C-905F3E6FA1D4}"/>
    <cellStyle name="Normal 2 2 2 2 2 2 2 2 2 2 2 2 2 7 11 11 2" xfId="9297" xr:uid="{6670F014-7F65-4B63-B92D-422EE5B726A8}"/>
    <cellStyle name="Normal 2 2 2 2 2 2 2 2 2 2 2 2 2 7 11 11 3" xfId="9298" xr:uid="{B73C0E88-FBF9-4FED-B24E-0089E3860494}"/>
    <cellStyle name="Normal 2 2 2 2 2 2 2 2 2 2 2 2 2 7 11 11 4" xfId="9299" xr:uid="{6BDC5905-57AB-4F25-9A08-912535221BA3}"/>
    <cellStyle name="Normal 2 2 2 2 2 2 2 2 2 2 2 2 2 7 11 12" xfId="9300" xr:uid="{1FBD230B-AE7E-4011-967F-9D267173A343}"/>
    <cellStyle name="Normal 2 2 2 2 2 2 2 2 2 2 2 2 2 7 11 13" xfId="9301" xr:uid="{55AC042E-6E0F-4D21-B3DB-4383A1D6E0AE}"/>
    <cellStyle name="Normal 2 2 2 2 2 2 2 2 2 2 2 2 2 7 11 14" xfId="9302" xr:uid="{6DF922D0-2931-40B7-ACFD-8A15F8AC9E1A}"/>
    <cellStyle name="Normal 2 2 2 2 2 2 2 2 2 2 2 2 2 7 11 2" xfId="9303" xr:uid="{96E50DE6-47EF-4D92-A4C3-A7D7404B245A}"/>
    <cellStyle name="Normal 2 2 2 2 2 2 2 2 2 2 2 2 2 7 11 2 10" xfId="9304" xr:uid="{82537846-30BE-437F-8873-35A0EA52A06B}"/>
    <cellStyle name="Normal 2 2 2 2 2 2 2 2 2 2 2 2 2 7 11 2 11" xfId="9305" xr:uid="{F8A6D6F1-FBF9-4DAF-AD23-8714211A6738}"/>
    <cellStyle name="Normal 2 2 2 2 2 2 2 2 2 2 2 2 2 7 11 2 2" xfId="9306" xr:uid="{117179FF-0585-4975-ADDF-CE5791DF50C8}"/>
    <cellStyle name="Normal 2 2 2 2 2 2 2 2 2 2 2 2 2 7 11 2 2 10" xfId="9307" xr:uid="{CA3A0C3F-84EA-4C36-B042-C2FA8EAC11E0}"/>
    <cellStyle name="Normal 2 2 2 2 2 2 2 2 2 2 2 2 2 7 11 2 2 11" xfId="9308" xr:uid="{A00AC3B0-A47E-4C97-A435-FC24B3D486D6}"/>
    <cellStyle name="Normal 2 2 2 2 2 2 2 2 2 2 2 2 2 7 11 2 2 2" xfId="9309" xr:uid="{80E9DB9E-D4D0-4110-9652-5DDD5D2CAFB4}"/>
    <cellStyle name="Normal 2 2 2 2 2 2 2 2 2 2 2 2 2 7 11 2 2 2 2" xfId="9310" xr:uid="{66C9787C-4086-47CF-9E18-9247B2DA85EC}"/>
    <cellStyle name="Normal 2 2 2 2 2 2 2 2 2 2 2 2 2 7 11 2 2 2 2 2" xfId="9311" xr:uid="{395B9BCE-1DB7-4776-AC8F-D22633AC741E}"/>
    <cellStyle name="Normal 2 2 2 2 2 2 2 2 2 2 2 2 2 7 11 2 2 2 2 3" xfId="9312" xr:uid="{7C018E5C-F5AC-4EFA-85CC-D980ACDF685C}"/>
    <cellStyle name="Normal 2 2 2 2 2 2 2 2 2 2 2 2 2 7 11 2 2 2 2 4" xfId="9313" xr:uid="{EB861FB7-5DA6-4412-800B-04B7B78E87E8}"/>
    <cellStyle name="Normal 2 2 2 2 2 2 2 2 2 2 2 2 2 7 11 2 2 2 3" xfId="9314" xr:uid="{344036D1-1661-4CD6-B137-514B3F58FA28}"/>
    <cellStyle name="Normal 2 2 2 2 2 2 2 2 2 2 2 2 2 7 11 2 2 2 4" xfId="9315" xr:uid="{C41CA0E0-1D2C-4FCD-BC14-84DCDDE9A4E9}"/>
    <cellStyle name="Normal 2 2 2 2 2 2 2 2 2 2 2 2 2 7 11 2 2 2 5" xfId="9316" xr:uid="{3E2B190B-8C0A-4131-AAE4-3120D1C48AC3}"/>
    <cellStyle name="Normal 2 2 2 2 2 2 2 2 2 2 2 2 2 7 11 2 2 2 6" xfId="9317" xr:uid="{AF74A84A-A664-4762-B87F-D79839622B20}"/>
    <cellStyle name="Normal 2 2 2 2 2 2 2 2 2 2 2 2 2 7 11 2 2 3" xfId="9318" xr:uid="{9A29730D-6DAF-4CA7-A06D-ADE4A0DFD3A5}"/>
    <cellStyle name="Normal 2 2 2 2 2 2 2 2 2 2 2 2 2 7 11 2 2 4" xfId="9319" xr:uid="{03BA8151-51A6-4F9B-93DF-F2FBDCDEF210}"/>
    <cellStyle name="Normal 2 2 2 2 2 2 2 2 2 2 2 2 2 7 11 2 2 5" xfId="9320" xr:uid="{50C1AC36-0517-430F-8936-CF8ED4D96BA0}"/>
    <cellStyle name="Normal 2 2 2 2 2 2 2 2 2 2 2 2 2 7 11 2 2 6" xfId="9321" xr:uid="{ACF8B5A1-F3F0-4371-9D93-31A6C977C7FE}"/>
    <cellStyle name="Normal 2 2 2 2 2 2 2 2 2 2 2 2 2 7 11 2 2 7" xfId="9322" xr:uid="{37D64FF4-E2FD-40B6-A75E-5412CEA6D909}"/>
    <cellStyle name="Normal 2 2 2 2 2 2 2 2 2 2 2 2 2 7 11 2 2 8" xfId="9323" xr:uid="{C31003CB-3E54-436C-94DD-61F7A285CCF5}"/>
    <cellStyle name="Normal 2 2 2 2 2 2 2 2 2 2 2 2 2 7 11 2 2 8 2" xfId="9324" xr:uid="{6D160318-3ADA-45BC-95E5-9C413D43EF02}"/>
    <cellStyle name="Normal 2 2 2 2 2 2 2 2 2 2 2 2 2 7 11 2 2 8 3" xfId="9325" xr:uid="{94CD5AED-722B-43CA-96AF-D507C9385EFC}"/>
    <cellStyle name="Normal 2 2 2 2 2 2 2 2 2 2 2 2 2 7 11 2 2 8 4" xfId="9326" xr:uid="{7E7B4437-C9E1-40EF-882B-1266B5A321ED}"/>
    <cellStyle name="Normal 2 2 2 2 2 2 2 2 2 2 2 2 2 7 11 2 2 9" xfId="9327" xr:uid="{A043D059-7696-40B7-ABD2-546BE9ACA901}"/>
    <cellStyle name="Normal 2 2 2 2 2 2 2 2 2 2 2 2 2 7 11 2 3" xfId="9328" xr:uid="{D10529CE-6585-4BC9-A5BA-5D3345364C6C}"/>
    <cellStyle name="Normal 2 2 2 2 2 2 2 2 2 2 2 2 2 7 11 2 3 2" xfId="9329" xr:uid="{56EDF209-8C4E-4D69-8BFD-CB7E5E8829B1}"/>
    <cellStyle name="Normal 2 2 2 2 2 2 2 2 2 2 2 2 2 7 11 2 3 2 2" xfId="9330" xr:uid="{A6EBDFB0-D83C-4FBB-A5C5-3922CF06EEAF}"/>
    <cellStyle name="Normal 2 2 2 2 2 2 2 2 2 2 2 2 2 7 11 2 3 2 3" xfId="9331" xr:uid="{5DB0DC96-D3DE-4880-B17E-6435E5F63F30}"/>
    <cellStyle name="Normal 2 2 2 2 2 2 2 2 2 2 2 2 2 7 11 2 3 2 4" xfId="9332" xr:uid="{E0A5903C-0C82-482F-8C7A-CE0B088FC352}"/>
    <cellStyle name="Normal 2 2 2 2 2 2 2 2 2 2 2 2 2 7 11 2 3 3" xfId="9333" xr:uid="{173CDA30-521B-43EA-A748-574642D393B1}"/>
    <cellStyle name="Normal 2 2 2 2 2 2 2 2 2 2 2 2 2 7 11 2 3 4" xfId="9334" xr:uid="{DC7EC1C4-A71E-4452-A3FB-57BEE26D43D2}"/>
    <cellStyle name="Normal 2 2 2 2 2 2 2 2 2 2 2 2 2 7 11 2 3 5" xfId="9335" xr:uid="{60F37E0C-71E3-4380-BADC-B4FD9FE73460}"/>
    <cellStyle name="Normal 2 2 2 2 2 2 2 2 2 2 2 2 2 7 11 2 3 6" xfId="9336" xr:uid="{8A095198-4FDD-44A8-A051-320D4C551A88}"/>
    <cellStyle name="Normal 2 2 2 2 2 2 2 2 2 2 2 2 2 7 11 2 4" xfId="9337" xr:uid="{C6DE82A7-55D1-467B-8458-F5A028F2B30B}"/>
    <cellStyle name="Normal 2 2 2 2 2 2 2 2 2 2 2 2 2 7 11 2 5" xfId="9338" xr:uid="{34FFFF7E-6D76-4948-9002-CCD75AD3FE08}"/>
    <cellStyle name="Normal 2 2 2 2 2 2 2 2 2 2 2 2 2 7 11 2 6" xfId="9339" xr:uid="{47B5BDBB-9DC3-4340-8074-2A8B8A754190}"/>
    <cellStyle name="Normal 2 2 2 2 2 2 2 2 2 2 2 2 2 7 11 2 7" xfId="9340" xr:uid="{377DFA7C-6618-42F5-9231-6BA091DC8061}"/>
    <cellStyle name="Normal 2 2 2 2 2 2 2 2 2 2 2 2 2 7 11 2 8" xfId="9341" xr:uid="{5528D0A4-5402-4AF8-B101-DECDCF8A791B}"/>
    <cellStyle name="Normal 2 2 2 2 2 2 2 2 2 2 2 2 2 7 11 2 8 2" xfId="9342" xr:uid="{711BAB49-C44F-484F-94EA-0C48F5793425}"/>
    <cellStyle name="Normal 2 2 2 2 2 2 2 2 2 2 2 2 2 7 11 2 8 3" xfId="9343" xr:uid="{5F9648F2-8776-4EA2-B2DC-39688EDA8031}"/>
    <cellStyle name="Normal 2 2 2 2 2 2 2 2 2 2 2 2 2 7 11 2 8 4" xfId="9344" xr:uid="{4923212B-D24F-4A01-9F95-06D31A22D5E2}"/>
    <cellStyle name="Normal 2 2 2 2 2 2 2 2 2 2 2 2 2 7 11 2 9" xfId="9345" xr:uid="{64A5B59E-216B-476E-AB9C-6D3E838C8F59}"/>
    <cellStyle name="Normal 2 2 2 2 2 2 2 2 2 2 2 2 2 7 11 3" xfId="9346" xr:uid="{846B7A31-430E-49FA-9F9C-C03E4EDF6444}"/>
    <cellStyle name="Normal 2 2 2 2 2 2 2 2 2 2 2 2 2 7 11 4" xfId="9347" xr:uid="{C799501D-B605-416B-A33A-B25778AD4AF7}"/>
    <cellStyle name="Normal 2 2 2 2 2 2 2 2 2 2 2 2 2 7 11 5" xfId="9348" xr:uid="{3C83243C-CECA-4135-B87F-E624024B78B5}"/>
    <cellStyle name="Normal 2 2 2 2 2 2 2 2 2 2 2 2 2 7 11 5 2" xfId="9349" xr:uid="{1969A791-6C86-4F7B-861E-FA1E90F19329}"/>
    <cellStyle name="Normal 2 2 2 2 2 2 2 2 2 2 2 2 2 7 11 5 2 2" xfId="9350" xr:uid="{7683F914-C4B6-49FE-A334-41973C86E9A2}"/>
    <cellStyle name="Normal 2 2 2 2 2 2 2 2 2 2 2 2 2 7 11 5 2 3" xfId="9351" xr:uid="{00FBA04C-CE87-4C28-84E5-E66AA64C44D2}"/>
    <cellStyle name="Normal 2 2 2 2 2 2 2 2 2 2 2 2 2 7 11 5 2 4" xfId="9352" xr:uid="{CF0119D7-39D1-4F57-A9A5-3090635B6AD4}"/>
    <cellStyle name="Normal 2 2 2 2 2 2 2 2 2 2 2 2 2 7 11 5 3" xfId="9353" xr:uid="{229F8C11-CCEC-487C-AB0A-49BD768FCB8D}"/>
    <cellStyle name="Normal 2 2 2 2 2 2 2 2 2 2 2 2 2 7 11 5 4" xfId="9354" xr:uid="{9C153B41-68A7-44BE-B0C8-518F3A416A21}"/>
    <cellStyle name="Normal 2 2 2 2 2 2 2 2 2 2 2 2 2 7 11 5 5" xfId="9355" xr:uid="{57EBF6A3-5A91-4E95-911D-967D32FA5FA9}"/>
    <cellStyle name="Normal 2 2 2 2 2 2 2 2 2 2 2 2 2 7 11 5 6" xfId="9356" xr:uid="{83F604F6-4EE9-4D50-BC0F-6036997148AB}"/>
    <cellStyle name="Normal 2 2 2 2 2 2 2 2 2 2 2 2 2 7 11 6" xfId="9357" xr:uid="{A8C77CB7-8CB3-425A-B2A9-85CC20D90A22}"/>
    <cellStyle name="Normal 2 2 2 2 2 2 2 2 2 2 2 2 2 7 11 7" xfId="9358" xr:uid="{EA341FC7-70E9-443F-AE31-BABBF0C3EAF8}"/>
    <cellStyle name="Normal 2 2 2 2 2 2 2 2 2 2 2 2 2 7 11 8" xfId="9359" xr:uid="{0FF76BF9-F981-4F3A-9292-BAC58E9C5C1F}"/>
    <cellStyle name="Normal 2 2 2 2 2 2 2 2 2 2 2 2 2 7 11 9" xfId="9360" xr:uid="{65CDDE52-B684-49DA-8E33-2DF003A56386}"/>
    <cellStyle name="Normal 2 2 2 2 2 2 2 2 2 2 2 2 2 7 12" xfId="9361" xr:uid="{49F2FD49-40D0-4207-895B-7135356A2D03}"/>
    <cellStyle name="Normal 2 2 2 2 2 2 2 2 2 2 2 2 2 7 13" xfId="9362" xr:uid="{23146F34-293F-4184-B7D1-7755FD757D41}"/>
    <cellStyle name="Normal 2 2 2 2 2 2 2 2 2 2 2 2 2 7 13 10" xfId="9363" xr:uid="{7C278A38-6982-4E4F-89AD-6C2699CA8C8C}"/>
    <cellStyle name="Normal 2 2 2 2 2 2 2 2 2 2 2 2 2 7 13 11" xfId="9364" xr:uid="{F929B6E3-129D-4A15-8291-32A4F57491B3}"/>
    <cellStyle name="Normal 2 2 2 2 2 2 2 2 2 2 2 2 2 7 13 2" xfId="9365" xr:uid="{5EB7778B-EF11-4414-8973-8813CB2995DE}"/>
    <cellStyle name="Normal 2 2 2 2 2 2 2 2 2 2 2 2 2 7 13 2 10" xfId="9366" xr:uid="{815108A0-A8E5-4DEE-B936-7AB4E8BEC651}"/>
    <cellStyle name="Normal 2 2 2 2 2 2 2 2 2 2 2 2 2 7 13 2 11" xfId="9367" xr:uid="{502440E4-4B98-4A93-9B79-F4ADD577F8E8}"/>
    <cellStyle name="Normal 2 2 2 2 2 2 2 2 2 2 2 2 2 7 13 2 2" xfId="9368" xr:uid="{D3AFC647-B261-443B-9FE8-AE6F3DBAF924}"/>
    <cellStyle name="Normal 2 2 2 2 2 2 2 2 2 2 2 2 2 7 13 2 2 2" xfId="9369" xr:uid="{5D17D8AB-C770-4D16-A8F9-95C9716CCFED}"/>
    <cellStyle name="Normal 2 2 2 2 2 2 2 2 2 2 2 2 2 7 13 2 2 2 2" xfId="9370" xr:uid="{5DD7436F-F2A5-455D-935F-B495D36FD561}"/>
    <cellStyle name="Normal 2 2 2 2 2 2 2 2 2 2 2 2 2 7 13 2 2 2 3" xfId="9371" xr:uid="{8224AFBC-F768-4180-8BBE-F3BD34D04397}"/>
    <cellStyle name="Normal 2 2 2 2 2 2 2 2 2 2 2 2 2 7 13 2 2 2 4" xfId="9372" xr:uid="{76A4D4EF-2044-4995-A918-797656F52AFE}"/>
    <cellStyle name="Normal 2 2 2 2 2 2 2 2 2 2 2 2 2 7 13 2 2 3" xfId="9373" xr:uid="{5E6992CA-9CA0-4A45-B5E5-DF578006F502}"/>
    <cellStyle name="Normal 2 2 2 2 2 2 2 2 2 2 2 2 2 7 13 2 2 4" xfId="9374" xr:uid="{7647B1E0-0BBA-413D-95E7-6D5C5EBBB237}"/>
    <cellStyle name="Normal 2 2 2 2 2 2 2 2 2 2 2 2 2 7 13 2 2 5" xfId="9375" xr:uid="{FAAB0AF9-5C83-4ACD-8833-D09ACAFDE0DB}"/>
    <cellStyle name="Normal 2 2 2 2 2 2 2 2 2 2 2 2 2 7 13 2 2 6" xfId="9376" xr:uid="{64ED012C-AB59-4080-AF10-1352DEA98434}"/>
    <cellStyle name="Normal 2 2 2 2 2 2 2 2 2 2 2 2 2 7 13 2 3" xfId="9377" xr:uid="{6A92EA5E-DE29-41F8-85AF-9C5DF70D14F8}"/>
    <cellStyle name="Normal 2 2 2 2 2 2 2 2 2 2 2 2 2 7 13 2 4" xfId="9378" xr:uid="{C54BA553-3DE6-4769-957A-85D29118F7D5}"/>
    <cellStyle name="Normal 2 2 2 2 2 2 2 2 2 2 2 2 2 7 13 2 5" xfId="9379" xr:uid="{D88EB6E1-6934-4CAF-9D10-B88C57B5016C}"/>
    <cellStyle name="Normal 2 2 2 2 2 2 2 2 2 2 2 2 2 7 13 2 6" xfId="9380" xr:uid="{847EE1CB-31C0-4EF7-B8B1-D7899CD378ED}"/>
    <cellStyle name="Normal 2 2 2 2 2 2 2 2 2 2 2 2 2 7 13 2 7" xfId="9381" xr:uid="{5CEDCAB9-03CD-47C1-A3CE-6DB8CCC5B5C8}"/>
    <cellStyle name="Normal 2 2 2 2 2 2 2 2 2 2 2 2 2 7 13 2 8" xfId="9382" xr:uid="{DE8A99E7-9106-4ECF-B187-299738EC4271}"/>
    <cellStyle name="Normal 2 2 2 2 2 2 2 2 2 2 2 2 2 7 13 2 8 2" xfId="9383" xr:uid="{F9C84C8B-2868-47BC-9A4C-0AB900EDB790}"/>
    <cellStyle name="Normal 2 2 2 2 2 2 2 2 2 2 2 2 2 7 13 2 8 3" xfId="9384" xr:uid="{4830AB56-9F7B-4C09-8864-860A47474294}"/>
    <cellStyle name="Normal 2 2 2 2 2 2 2 2 2 2 2 2 2 7 13 2 8 4" xfId="9385" xr:uid="{C2541C2E-023D-4F86-A48F-9407019DEB47}"/>
    <cellStyle name="Normal 2 2 2 2 2 2 2 2 2 2 2 2 2 7 13 2 9" xfId="9386" xr:uid="{04428580-A317-4791-8B6E-F389E6954D7E}"/>
    <cellStyle name="Normal 2 2 2 2 2 2 2 2 2 2 2 2 2 7 13 3" xfId="9387" xr:uid="{C92895BC-DDDF-4FD9-B88E-F49E50E6F83B}"/>
    <cellStyle name="Normal 2 2 2 2 2 2 2 2 2 2 2 2 2 7 13 3 2" xfId="9388" xr:uid="{B37C2D5D-622A-4B87-993E-EF6040975AD5}"/>
    <cellStyle name="Normal 2 2 2 2 2 2 2 2 2 2 2 2 2 7 13 3 2 2" xfId="9389" xr:uid="{20CC59BB-5014-4A71-8C69-6200C5BE14D9}"/>
    <cellStyle name="Normal 2 2 2 2 2 2 2 2 2 2 2 2 2 7 13 3 2 3" xfId="9390" xr:uid="{8030DBA5-960C-4181-BA27-60252D8FB194}"/>
    <cellStyle name="Normal 2 2 2 2 2 2 2 2 2 2 2 2 2 7 13 3 2 4" xfId="9391" xr:uid="{D28CF73F-9927-4117-9236-A9A98DA030C0}"/>
    <cellStyle name="Normal 2 2 2 2 2 2 2 2 2 2 2 2 2 7 13 3 3" xfId="9392" xr:uid="{6BAE98B3-19A4-4358-BDA7-D43F3D6C61E4}"/>
    <cellStyle name="Normal 2 2 2 2 2 2 2 2 2 2 2 2 2 7 13 3 4" xfId="9393" xr:uid="{98ABAF4E-1363-47C3-B274-D56B78B489A4}"/>
    <cellStyle name="Normal 2 2 2 2 2 2 2 2 2 2 2 2 2 7 13 3 5" xfId="9394" xr:uid="{AAAA96EE-1440-42B6-B492-9ED8D0E5FDA3}"/>
    <cellStyle name="Normal 2 2 2 2 2 2 2 2 2 2 2 2 2 7 13 3 6" xfId="9395" xr:uid="{7E2DB6D9-ABDB-42D1-B58E-A41EFEEE15FD}"/>
    <cellStyle name="Normal 2 2 2 2 2 2 2 2 2 2 2 2 2 7 13 4" xfId="9396" xr:uid="{37C57BBC-FFDF-4F54-9173-A3C0064D2A07}"/>
    <cellStyle name="Normal 2 2 2 2 2 2 2 2 2 2 2 2 2 7 13 5" xfId="9397" xr:uid="{69E8CE52-DE7C-4360-9FD8-27482E07661A}"/>
    <cellStyle name="Normal 2 2 2 2 2 2 2 2 2 2 2 2 2 7 13 6" xfId="9398" xr:uid="{7C0DE019-45C8-4DF1-8B56-B95856CD9172}"/>
    <cellStyle name="Normal 2 2 2 2 2 2 2 2 2 2 2 2 2 7 13 7" xfId="9399" xr:uid="{A5732CF5-2339-4DCB-975B-F2F0A8F71FE8}"/>
    <cellStyle name="Normal 2 2 2 2 2 2 2 2 2 2 2 2 2 7 13 8" xfId="9400" xr:uid="{AACE09E0-1708-4B93-9A53-ED21B194F4B8}"/>
    <cellStyle name="Normal 2 2 2 2 2 2 2 2 2 2 2 2 2 7 13 8 2" xfId="9401" xr:uid="{71B4B993-6957-4DD9-855E-1A0422361FA1}"/>
    <cellStyle name="Normal 2 2 2 2 2 2 2 2 2 2 2 2 2 7 13 8 3" xfId="9402" xr:uid="{BDCF97F7-955A-43B3-94D3-E3DF92ED9893}"/>
    <cellStyle name="Normal 2 2 2 2 2 2 2 2 2 2 2 2 2 7 13 8 4" xfId="9403" xr:uid="{7B8E7CA0-A2BF-43B0-9062-912200DABF15}"/>
    <cellStyle name="Normal 2 2 2 2 2 2 2 2 2 2 2 2 2 7 13 9" xfId="9404" xr:uid="{748B7E5E-9BFB-4F4D-A2DA-1F82776FB79D}"/>
    <cellStyle name="Normal 2 2 2 2 2 2 2 2 2 2 2 2 2 7 14" xfId="9405" xr:uid="{752531AD-AAFC-4DA3-BFF9-8D77B3C1212F}"/>
    <cellStyle name="Normal 2 2 2 2 2 2 2 2 2 2 2 2 2 7 15" xfId="9406" xr:uid="{33E8F92A-1288-4AE4-AE47-BC2C3F9F9AC5}"/>
    <cellStyle name="Normal 2 2 2 2 2 2 2 2 2 2 2 2 2 7 15 2" xfId="9407" xr:uid="{47AA2715-DC1E-4605-A6D5-119045CB20FB}"/>
    <cellStyle name="Normal 2 2 2 2 2 2 2 2 2 2 2 2 2 7 15 2 2" xfId="9408" xr:uid="{DA9ABD4C-7713-413C-86AD-A362FF6C8FF8}"/>
    <cellStyle name="Normal 2 2 2 2 2 2 2 2 2 2 2 2 2 7 15 2 3" xfId="9409" xr:uid="{9E10E831-04D5-49E4-A1E6-6FFF15D639C8}"/>
    <cellStyle name="Normal 2 2 2 2 2 2 2 2 2 2 2 2 2 7 15 2 4" xfId="9410" xr:uid="{E9B0CF37-1ECB-407E-8F0E-CF01101C5495}"/>
    <cellStyle name="Normal 2 2 2 2 2 2 2 2 2 2 2 2 2 7 15 3" xfId="9411" xr:uid="{F3CF4EE0-C944-4E6D-A347-C0244359ABA0}"/>
    <cellStyle name="Normal 2 2 2 2 2 2 2 2 2 2 2 2 2 7 15 4" xfId="9412" xr:uid="{79AFD5C3-8769-4685-A477-2676562F880D}"/>
    <cellStyle name="Normal 2 2 2 2 2 2 2 2 2 2 2 2 2 7 15 5" xfId="9413" xr:uid="{AE0A4B96-9317-4C78-84AE-E8007D6C6AB7}"/>
    <cellStyle name="Normal 2 2 2 2 2 2 2 2 2 2 2 2 2 7 15 6" xfId="9414" xr:uid="{3E6EAB47-4D16-48B7-BDD8-F4435CB1556F}"/>
    <cellStyle name="Normal 2 2 2 2 2 2 2 2 2 2 2 2 2 7 16" xfId="9415" xr:uid="{FBFF2C0B-A57A-4134-943A-EDE94DCD90D3}"/>
    <cellStyle name="Normal 2 2 2 2 2 2 2 2 2 2 2 2 2 7 17" xfId="9416" xr:uid="{257568F1-1FCF-4ECC-9469-4C3917E79D9F}"/>
    <cellStyle name="Normal 2 2 2 2 2 2 2 2 2 2 2 2 2 7 18" xfId="9417" xr:uid="{B4A93EAB-97A0-44A4-BAD8-1829D893275C}"/>
    <cellStyle name="Normal 2 2 2 2 2 2 2 2 2 2 2 2 2 7 19" xfId="9418" xr:uid="{ACFEC4A8-5E91-4FB8-9B43-D1ABF585AD9A}"/>
    <cellStyle name="Normal 2 2 2 2 2 2 2 2 2 2 2 2 2 7 2" xfId="9419" xr:uid="{C87EF91B-48C6-4B07-A06A-75AEAF71EED4}"/>
    <cellStyle name="Normal 2 2 2 2 2 2 2 2 2 2 2 2 2 7 2 10" xfId="9420" xr:uid="{A393F0A9-BBCB-4CC0-BA7E-AB0F6090B1F0}"/>
    <cellStyle name="Normal 2 2 2 2 2 2 2 2 2 2 2 2 2 7 2 11" xfId="9421" xr:uid="{7A916E63-3041-421D-9AB2-9D0779A43494}"/>
    <cellStyle name="Normal 2 2 2 2 2 2 2 2 2 2 2 2 2 7 2 12" xfId="9422" xr:uid="{1F457AA4-7BC9-4CA7-8958-04DC501BC62F}"/>
    <cellStyle name="Normal 2 2 2 2 2 2 2 2 2 2 2 2 2 7 2 13" xfId="9423" xr:uid="{792910D7-4954-4187-B4AB-42C4DE056842}"/>
    <cellStyle name="Normal 2 2 2 2 2 2 2 2 2 2 2 2 2 7 2 13 2" xfId="9424" xr:uid="{5A99CBA7-24D0-4347-A9F3-1B0A3F33CE21}"/>
    <cellStyle name="Normal 2 2 2 2 2 2 2 2 2 2 2 2 2 7 2 13 3" xfId="9425" xr:uid="{9399DC64-3771-478E-9802-215D37AF2B12}"/>
    <cellStyle name="Normal 2 2 2 2 2 2 2 2 2 2 2 2 2 7 2 13 4" xfId="9426" xr:uid="{CE9D45B5-1239-44BB-8265-D4C8D6D9CB64}"/>
    <cellStyle name="Normal 2 2 2 2 2 2 2 2 2 2 2 2 2 7 2 14" xfId="9427" xr:uid="{CED33274-AD50-4F53-B5F4-E89AF3B7F1EF}"/>
    <cellStyle name="Normal 2 2 2 2 2 2 2 2 2 2 2 2 2 7 2 15" xfId="9428" xr:uid="{E2B7E064-4E5A-4517-BA71-6E29A27B327A}"/>
    <cellStyle name="Normal 2 2 2 2 2 2 2 2 2 2 2 2 2 7 2 16" xfId="9429" xr:uid="{C699A6BA-085E-4785-9FC2-46C3892AEE13}"/>
    <cellStyle name="Normal 2 2 2 2 2 2 2 2 2 2 2 2 2 7 2 2" xfId="9430" xr:uid="{73B50D30-3EFA-41E8-AD37-C18FB6F9D9AF}"/>
    <cellStyle name="Normal 2 2 2 2 2 2 2 2 2 2 2 2 2 7 2 2 10" xfId="9431" xr:uid="{5CF7DD87-7006-49BC-8F11-2E88653F1F5E}"/>
    <cellStyle name="Normal 2 2 2 2 2 2 2 2 2 2 2 2 2 7 2 2 11" xfId="9432" xr:uid="{54AD2E2E-E9A6-41BF-94F6-9CB69FBEE388}"/>
    <cellStyle name="Normal 2 2 2 2 2 2 2 2 2 2 2 2 2 7 2 2 11 2" xfId="9433" xr:uid="{723DDF44-6473-4A9F-84E8-D4F5EF5C1EA6}"/>
    <cellStyle name="Normal 2 2 2 2 2 2 2 2 2 2 2 2 2 7 2 2 11 3" xfId="9434" xr:uid="{DDF5B3A2-B7E9-4A68-9A22-5DB287971904}"/>
    <cellStyle name="Normal 2 2 2 2 2 2 2 2 2 2 2 2 2 7 2 2 11 4" xfId="9435" xr:uid="{3F7842F9-4E99-4A91-B1E6-ED7832771E76}"/>
    <cellStyle name="Normal 2 2 2 2 2 2 2 2 2 2 2 2 2 7 2 2 12" xfId="9436" xr:uid="{BADAFE1E-E01C-4253-89B9-CF8F0A57E205}"/>
    <cellStyle name="Normal 2 2 2 2 2 2 2 2 2 2 2 2 2 7 2 2 13" xfId="9437" xr:uid="{8F127DCF-0AA5-41F5-9A83-DD91AACD3B8E}"/>
    <cellStyle name="Normal 2 2 2 2 2 2 2 2 2 2 2 2 2 7 2 2 14" xfId="9438" xr:uid="{B11FAD36-D625-46F2-B090-04D76EFD424A}"/>
    <cellStyle name="Normal 2 2 2 2 2 2 2 2 2 2 2 2 2 7 2 2 2" xfId="9439" xr:uid="{53FD9D42-E537-439D-9EFD-502C9C048659}"/>
    <cellStyle name="Normal 2 2 2 2 2 2 2 2 2 2 2 2 2 7 2 2 2 10" xfId="9440" xr:uid="{EE9676E8-96B4-42F1-B370-5DD310E2D47A}"/>
    <cellStyle name="Normal 2 2 2 2 2 2 2 2 2 2 2 2 2 7 2 2 2 11" xfId="9441" xr:uid="{54F3E29F-A6E5-443B-BEAB-2E6F2724DCEA}"/>
    <cellStyle name="Normal 2 2 2 2 2 2 2 2 2 2 2 2 2 7 2 2 2 2" xfId="9442" xr:uid="{3EAE7013-AF70-46FC-9C68-790E97784794}"/>
    <cellStyle name="Normal 2 2 2 2 2 2 2 2 2 2 2 2 2 7 2 2 2 2 10" xfId="9443" xr:uid="{E5AEEEAC-3E34-4B78-B666-0E8EE16D38BC}"/>
    <cellStyle name="Normal 2 2 2 2 2 2 2 2 2 2 2 2 2 7 2 2 2 2 11" xfId="9444" xr:uid="{B616F7CB-E742-4A3B-AF46-FFFBC91942BE}"/>
    <cellStyle name="Normal 2 2 2 2 2 2 2 2 2 2 2 2 2 7 2 2 2 2 2" xfId="9445" xr:uid="{320EAC41-F635-4C44-B8C8-A068FDD2C5E3}"/>
    <cellStyle name="Normal 2 2 2 2 2 2 2 2 2 2 2 2 2 7 2 2 2 2 2 2" xfId="9446" xr:uid="{8805E8A2-0B16-40B2-BB33-D9F6CDFB2F70}"/>
    <cellStyle name="Normal 2 2 2 2 2 2 2 2 2 2 2 2 2 7 2 2 2 2 2 2 2" xfId="9447" xr:uid="{4D549C3E-C8A7-4850-BDB5-CB555992C6BA}"/>
    <cellStyle name="Normal 2 2 2 2 2 2 2 2 2 2 2 2 2 7 2 2 2 2 2 2 3" xfId="9448" xr:uid="{48AE1652-75BB-4972-839B-D5CE4EA47BE1}"/>
    <cellStyle name="Normal 2 2 2 2 2 2 2 2 2 2 2 2 2 7 2 2 2 2 2 2 4" xfId="9449" xr:uid="{56F3796C-1AC9-4BE3-B177-F8A22512EC0C}"/>
    <cellStyle name="Normal 2 2 2 2 2 2 2 2 2 2 2 2 2 7 2 2 2 2 2 3" xfId="9450" xr:uid="{B833A519-71F7-4BEC-BF22-0B5487548509}"/>
    <cellStyle name="Normal 2 2 2 2 2 2 2 2 2 2 2 2 2 7 2 2 2 2 2 4" xfId="9451" xr:uid="{F3FD1830-099E-4A6F-A9EC-201D65BC2088}"/>
    <cellStyle name="Normal 2 2 2 2 2 2 2 2 2 2 2 2 2 7 2 2 2 2 2 5" xfId="9452" xr:uid="{850705CE-BA80-442F-A70D-5D09628676C6}"/>
    <cellStyle name="Normal 2 2 2 2 2 2 2 2 2 2 2 2 2 7 2 2 2 2 2 6" xfId="9453" xr:uid="{88381765-876D-4D07-BA51-0E73DB52624B}"/>
    <cellStyle name="Normal 2 2 2 2 2 2 2 2 2 2 2 2 2 7 2 2 2 2 3" xfId="9454" xr:uid="{13E3DC45-A476-4AF5-80B3-13CBE187CEB5}"/>
    <cellStyle name="Normal 2 2 2 2 2 2 2 2 2 2 2 2 2 7 2 2 2 2 4" xfId="9455" xr:uid="{9F2C6D41-7A06-414C-9046-6AF761B25BD2}"/>
    <cellStyle name="Normal 2 2 2 2 2 2 2 2 2 2 2 2 2 7 2 2 2 2 5" xfId="9456" xr:uid="{94184606-271A-43BE-B9D9-5D60FCFA1E1D}"/>
    <cellStyle name="Normal 2 2 2 2 2 2 2 2 2 2 2 2 2 7 2 2 2 2 6" xfId="9457" xr:uid="{77AA19A2-6A77-4E83-8C2F-DC23CB1E081D}"/>
    <cellStyle name="Normal 2 2 2 2 2 2 2 2 2 2 2 2 2 7 2 2 2 2 7" xfId="9458" xr:uid="{EF7CE3AD-5242-4569-98C4-C6E719A9923B}"/>
    <cellStyle name="Normal 2 2 2 2 2 2 2 2 2 2 2 2 2 7 2 2 2 2 8" xfId="9459" xr:uid="{0149C230-2B9C-4092-A54E-9583BDEE2943}"/>
    <cellStyle name="Normal 2 2 2 2 2 2 2 2 2 2 2 2 2 7 2 2 2 2 8 2" xfId="9460" xr:uid="{2EA87EE4-A9C5-42ED-92EA-E6B1A26BAFD9}"/>
    <cellStyle name="Normal 2 2 2 2 2 2 2 2 2 2 2 2 2 7 2 2 2 2 8 3" xfId="9461" xr:uid="{060D51CA-1870-47D3-98C9-1135CC75CD78}"/>
    <cellStyle name="Normal 2 2 2 2 2 2 2 2 2 2 2 2 2 7 2 2 2 2 8 4" xfId="9462" xr:uid="{1B981D73-0FD9-4B1F-A946-AC058846F6AF}"/>
    <cellStyle name="Normal 2 2 2 2 2 2 2 2 2 2 2 2 2 7 2 2 2 2 9" xfId="9463" xr:uid="{C86CF249-684A-4F24-A305-3851B7D676EC}"/>
    <cellStyle name="Normal 2 2 2 2 2 2 2 2 2 2 2 2 2 7 2 2 2 3" xfId="9464" xr:uid="{B380A5CC-4992-43E8-98CF-82B62F1EF8FE}"/>
    <cellStyle name="Normal 2 2 2 2 2 2 2 2 2 2 2 2 2 7 2 2 2 3 2" xfId="9465" xr:uid="{443EF2F0-AAC0-4FF0-88FF-830C64190162}"/>
    <cellStyle name="Normal 2 2 2 2 2 2 2 2 2 2 2 2 2 7 2 2 2 3 2 2" xfId="9466" xr:uid="{146D6152-205B-4DB5-8F21-5BA2D99BFD49}"/>
    <cellStyle name="Normal 2 2 2 2 2 2 2 2 2 2 2 2 2 7 2 2 2 3 2 3" xfId="9467" xr:uid="{0A5EA19A-7DD1-40C5-B9E4-6766B921D487}"/>
    <cellStyle name="Normal 2 2 2 2 2 2 2 2 2 2 2 2 2 7 2 2 2 3 2 4" xfId="9468" xr:uid="{5848C30E-0C21-4F3F-B953-AD7D1C13FE70}"/>
    <cellStyle name="Normal 2 2 2 2 2 2 2 2 2 2 2 2 2 7 2 2 2 3 3" xfId="9469" xr:uid="{6368304D-FA9F-4F68-875F-5476BA367F89}"/>
    <cellStyle name="Normal 2 2 2 2 2 2 2 2 2 2 2 2 2 7 2 2 2 3 4" xfId="9470" xr:uid="{0D06E1B7-EE7A-4D51-A3AA-7CD98F7AD4A7}"/>
    <cellStyle name="Normal 2 2 2 2 2 2 2 2 2 2 2 2 2 7 2 2 2 3 5" xfId="9471" xr:uid="{27767F3D-02E4-4CC6-A200-8D4C1B669FA2}"/>
    <cellStyle name="Normal 2 2 2 2 2 2 2 2 2 2 2 2 2 7 2 2 2 3 6" xfId="9472" xr:uid="{8796911F-45F2-468F-84BC-367299FE0BEB}"/>
    <cellStyle name="Normal 2 2 2 2 2 2 2 2 2 2 2 2 2 7 2 2 2 4" xfId="9473" xr:uid="{9CFC20D2-C805-4F45-ADBC-CE2895B7D741}"/>
    <cellStyle name="Normal 2 2 2 2 2 2 2 2 2 2 2 2 2 7 2 2 2 5" xfId="9474" xr:uid="{F09A906F-6537-453C-8947-8C1FD8900E3F}"/>
    <cellStyle name="Normal 2 2 2 2 2 2 2 2 2 2 2 2 2 7 2 2 2 6" xfId="9475" xr:uid="{93AABDF6-CDEC-4F4B-93C6-A2D0E3760D40}"/>
    <cellStyle name="Normal 2 2 2 2 2 2 2 2 2 2 2 2 2 7 2 2 2 7" xfId="9476" xr:uid="{A966C690-6E4D-4B71-AFB3-C0F681FDD5D2}"/>
    <cellStyle name="Normal 2 2 2 2 2 2 2 2 2 2 2 2 2 7 2 2 2 8" xfId="9477" xr:uid="{78F027A8-7E95-4DC7-85CE-F6463FBDEA32}"/>
    <cellStyle name="Normal 2 2 2 2 2 2 2 2 2 2 2 2 2 7 2 2 2 8 2" xfId="9478" xr:uid="{47E31697-EFB1-4270-BBE4-42FA9E5BEB22}"/>
    <cellStyle name="Normal 2 2 2 2 2 2 2 2 2 2 2 2 2 7 2 2 2 8 3" xfId="9479" xr:uid="{7A929FB6-049C-40AB-9A9D-5F1C02E80D66}"/>
    <cellStyle name="Normal 2 2 2 2 2 2 2 2 2 2 2 2 2 7 2 2 2 8 4" xfId="9480" xr:uid="{FDA4DF56-7D5B-4A2A-9AD3-261B75CCA9AB}"/>
    <cellStyle name="Normal 2 2 2 2 2 2 2 2 2 2 2 2 2 7 2 2 2 9" xfId="9481" xr:uid="{5EDC82C0-3783-41B0-ABFF-7C97EA570CC8}"/>
    <cellStyle name="Normal 2 2 2 2 2 2 2 2 2 2 2 2 2 7 2 2 3" xfId="9482" xr:uid="{4BBDBE1B-B05C-4A32-A126-EBBD7EB43C3C}"/>
    <cellStyle name="Normal 2 2 2 2 2 2 2 2 2 2 2 2 2 7 2 2 4" xfId="9483" xr:uid="{ECDB1167-B409-4485-9F11-003C6BF29EC4}"/>
    <cellStyle name="Normal 2 2 2 2 2 2 2 2 2 2 2 2 2 7 2 2 5" xfId="9484" xr:uid="{2B071ACC-1043-4DE8-9BB8-2A8097B08E8E}"/>
    <cellStyle name="Normal 2 2 2 2 2 2 2 2 2 2 2 2 2 7 2 2 5 2" xfId="9485" xr:uid="{323342F8-53DF-40E1-88A0-862A99E73327}"/>
    <cellStyle name="Normal 2 2 2 2 2 2 2 2 2 2 2 2 2 7 2 2 5 2 2" xfId="9486" xr:uid="{EF60DFB1-D822-42A0-8892-138AEEF70C69}"/>
    <cellStyle name="Normal 2 2 2 2 2 2 2 2 2 2 2 2 2 7 2 2 5 2 3" xfId="9487" xr:uid="{D36C8C55-EC65-4DA3-BB96-C22B602F7283}"/>
    <cellStyle name="Normal 2 2 2 2 2 2 2 2 2 2 2 2 2 7 2 2 5 2 4" xfId="9488" xr:uid="{A605994F-B444-4928-B2B1-9BDA549326B2}"/>
    <cellStyle name="Normal 2 2 2 2 2 2 2 2 2 2 2 2 2 7 2 2 5 3" xfId="9489" xr:uid="{F3897FCF-F561-4EB1-B3B7-EF1EEABF0531}"/>
    <cellStyle name="Normal 2 2 2 2 2 2 2 2 2 2 2 2 2 7 2 2 5 4" xfId="9490" xr:uid="{65B3B95C-8992-4B12-AFBE-3C824B19DA17}"/>
    <cellStyle name="Normal 2 2 2 2 2 2 2 2 2 2 2 2 2 7 2 2 5 5" xfId="9491" xr:uid="{5CCDD8C0-015E-4DDA-891F-1D86F1DE184B}"/>
    <cellStyle name="Normal 2 2 2 2 2 2 2 2 2 2 2 2 2 7 2 2 5 6" xfId="9492" xr:uid="{0EED80EC-27B4-4605-B0F4-63AD1E2F2542}"/>
    <cellStyle name="Normal 2 2 2 2 2 2 2 2 2 2 2 2 2 7 2 2 6" xfId="9493" xr:uid="{69C04BB4-5998-43EC-8524-3A8CC3A222DB}"/>
    <cellStyle name="Normal 2 2 2 2 2 2 2 2 2 2 2 2 2 7 2 2 7" xfId="9494" xr:uid="{B49FA0B5-239A-4273-AD5B-137FA6F2BA2F}"/>
    <cellStyle name="Normal 2 2 2 2 2 2 2 2 2 2 2 2 2 7 2 2 8" xfId="9495" xr:uid="{2DAED82E-F115-49EF-A4AB-F8D6EE48ED82}"/>
    <cellStyle name="Normal 2 2 2 2 2 2 2 2 2 2 2 2 2 7 2 2 9" xfId="9496" xr:uid="{C99CD609-4666-4DC4-8ED2-F1752343049E}"/>
    <cellStyle name="Normal 2 2 2 2 2 2 2 2 2 2 2 2 2 7 2 3" xfId="9497" xr:uid="{0338615F-037D-420A-8C6A-0F1EA2F7975C}"/>
    <cellStyle name="Normal 2 2 2 2 2 2 2 2 2 2 2 2 2 7 2 4" xfId="9498" xr:uid="{9E7BC398-D729-4209-84D0-1A666CF6D8AA}"/>
    <cellStyle name="Normal 2 2 2 2 2 2 2 2 2 2 2 2 2 7 2 5" xfId="9499" xr:uid="{F9C05131-40BF-4581-B912-49CDFE915668}"/>
    <cellStyle name="Normal 2 2 2 2 2 2 2 2 2 2 2 2 2 7 2 5 10" xfId="9500" xr:uid="{AB548F81-2972-4147-9A75-440683B71935}"/>
    <cellStyle name="Normal 2 2 2 2 2 2 2 2 2 2 2 2 2 7 2 5 11" xfId="9501" xr:uid="{60361C4B-85F5-42D9-8343-7D149C6CE159}"/>
    <cellStyle name="Normal 2 2 2 2 2 2 2 2 2 2 2 2 2 7 2 5 2" xfId="9502" xr:uid="{076D4720-F731-4104-A602-83C18F3C01B4}"/>
    <cellStyle name="Normal 2 2 2 2 2 2 2 2 2 2 2 2 2 7 2 5 2 10" xfId="9503" xr:uid="{1B755A2A-D2F1-47F3-8263-0571AF0684A9}"/>
    <cellStyle name="Normal 2 2 2 2 2 2 2 2 2 2 2 2 2 7 2 5 2 11" xfId="9504" xr:uid="{F312F0BA-5F63-4FB8-89EB-545400FB3458}"/>
    <cellStyle name="Normal 2 2 2 2 2 2 2 2 2 2 2 2 2 7 2 5 2 2" xfId="9505" xr:uid="{F5BBDD7E-D4F7-4FD5-8A62-0EEAE11183EE}"/>
    <cellStyle name="Normal 2 2 2 2 2 2 2 2 2 2 2 2 2 7 2 5 2 2 2" xfId="9506" xr:uid="{60F1B34C-7919-48C8-BF18-50ECDDDFB671}"/>
    <cellStyle name="Normal 2 2 2 2 2 2 2 2 2 2 2 2 2 7 2 5 2 2 2 2" xfId="9507" xr:uid="{63A170FD-A1C5-42AA-AD62-38DF1E5C6095}"/>
    <cellStyle name="Normal 2 2 2 2 2 2 2 2 2 2 2 2 2 7 2 5 2 2 2 3" xfId="9508" xr:uid="{E263C612-7AED-4005-A65C-C7DC6328BB94}"/>
    <cellStyle name="Normal 2 2 2 2 2 2 2 2 2 2 2 2 2 7 2 5 2 2 2 4" xfId="9509" xr:uid="{D595E5BE-31B5-4D27-9C4E-F1E037D80001}"/>
    <cellStyle name="Normal 2 2 2 2 2 2 2 2 2 2 2 2 2 7 2 5 2 2 3" xfId="9510" xr:uid="{DBC4A829-9293-46B0-B62B-D73067B3044B}"/>
    <cellStyle name="Normal 2 2 2 2 2 2 2 2 2 2 2 2 2 7 2 5 2 2 4" xfId="9511" xr:uid="{40385DE7-D847-4C92-982B-44514FFB5158}"/>
    <cellStyle name="Normal 2 2 2 2 2 2 2 2 2 2 2 2 2 7 2 5 2 2 5" xfId="9512" xr:uid="{749B2E81-BA91-4329-AB47-23D3B6712732}"/>
    <cellStyle name="Normal 2 2 2 2 2 2 2 2 2 2 2 2 2 7 2 5 2 2 6" xfId="9513" xr:uid="{7ACB116B-C465-486A-804F-7D053FC75C69}"/>
    <cellStyle name="Normal 2 2 2 2 2 2 2 2 2 2 2 2 2 7 2 5 2 3" xfId="9514" xr:uid="{21A4561B-691F-4777-BD68-D69DD90DEBB0}"/>
    <cellStyle name="Normal 2 2 2 2 2 2 2 2 2 2 2 2 2 7 2 5 2 4" xfId="9515" xr:uid="{20CDA73F-F65E-4FA0-838D-238FDED60BA6}"/>
    <cellStyle name="Normal 2 2 2 2 2 2 2 2 2 2 2 2 2 7 2 5 2 5" xfId="9516" xr:uid="{3C6661C9-A60E-417C-B066-B9C576F148F9}"/>
    <cellStyle name="Normal 2 2 2 2 2 2 2 2 2 2 2 2 2 7 2 5 2 6" xfId="9517" xr:uid="{837999F0-C2BE-4817-B98B-23463E316C72}"/>
    <cellStyle name="Normal 2 2 2 2 2 2 2 2 2 2 2 2 2 7 2 5 2 7" xfId="9518" xr:uid="{3B445C81-91F2-494F-AA6A-0A4701458DBB}"/>
    <cellStyle name="Normal 2 2 2 2 2 2 2 2 2 2 2 2 2 7 2 5 2 8" xfId="9519" xr:uid="{A5BA580B-3AE0-4403-98D1-6603066C3F42}"/>
    <cellStyle name="Normal 2 2 2 2 2 2 2 2 2 2 2 2 2 7 2 5 2 8 2" xfId="9520" xr:uid="{93F8FAA4-48FF-4F42-B7CA-6DF0E59FF620}"/>
    <cellStyle name="Normal 2 2 2 2 2 2 2 2 2 2 2 2 2 7 2 5 2 8 3" xfId="9521" xr:uid="{F09B7D4F-FB66-4BD4-99E2-5C687F2B8BD7}"/>
    <cellStyle name="Normal 2 2 2 2 2 2 2 2 2 2 2 2 2 7 2 5 2 8 4" xfId="9522" xr:uid="{3F297CDA-D727-4E1F-A9A1-296116204EB2}"/>
    <cellStyle name="Normal 2 2 2 2 2 2 2 2 2 2 2 2 2 7 2 5 2 9" xfId="9523" xr:uid="{C6277C9A-4960-4CB8-979C-66B9DEA60A2F}"/>
    <cellStyle name="Normal 2 2 2 2 2 2 2 2 2 2 2 2 2 7 2 5 3" xfId="9524" xr:uid="{C543B68B-E06E-4A2D-847B-9619740BCC96}"/>
    <cellStyle name="Normal 2 2 2 2 2 2 2 2 2 2 2 2 2 7 2 5 3 2" xfId="9525" xr:uid="{BB2BBEC8-8EA1-4021-978F-2FA875445301}"/>
    <cellStyle name="Normal 2 2 2 2 2 2 2 2 2 2 2 2 2 7 2 5 3 2 2" xfId="9526" xr:uid="{F9C772B0-2DA0-48EE-BE73-35BBA973DD89}"/>
    <cellStyle name="Normal 2 2 2 2 2 2 2 2 2 2 2 2 2 7 2 5 3 2 3" xfId="9527" xr:uid="{9415EC54-9104-4B95-9BBD-CA6CD5BE7270}"/>
    <cellStyle name="Normal 2 2 2 2 2 2 2 2 2 2 2 2 2 7 2 5 3 2 4" xfId="9528" xr:uid="{6F7E4EA1-BCEE-4C26-AA6E-7819AA0DA31F}"/>
    <cellStyle name="Normal 2 2 2 2 2 2 2 2 2 2 2 2 2 7 2 5 3 3" xfId="9529" xr:uid="{1BCA1544-C28A-47C9-86D6-35E8DA650BA9}"/>
    <cellStyle name="Normal 2 2 2 2 2 2 2 2 2 2 2 2 2 7 2 5 3 4" xfId="9530" xr:uid="{7BABB7E5-18BA-4E85-966A-4643A7510AD8}"/>
    <cellStyle name="Normal 2 2 2 2 2 2 2 2 2 2 2 2 2 7 2 5 3 5" xfId="9531" xr:uid="{2B6A3565-6B62-46CB-96DB-C15FA7B06E74}"/>
    <cellStyle name="Normal 2 2 2 2 2 2 2 2 2 2 2 2 2 7 2 5 3 6" xfId="9532" xr:uid="{01B2E9AB-1CA7-40E6-8939-170E1CDE646F}"/>
    <cellStyle name="Normal 2 2 2 2 2 2 2 2 2 2 2 2 2 7 2 5 4" xfId="9533" xr:uid="{0195B343-E0CE-43C8-8346-01B313868A0D}"/>
    <cellStyle name="Normal 2 2 2 2 2 2 2 2 2 2 2 2 2 7 2 5 5" xfId="9534" xr:uid="{393185BA-6CE8-4C10-9047-D3522C72165F}"/>
    <cellStyle name="Normal 2 2 2 2 2 2 2 2 2 2 2 2 2 7 2 5 6" xfId="9535" xr:uid="{71CDD326-A817-4BB5-9058-963FE51077EB}"/>
    <cellStyle name="Normal 2 2 2 2 2 2 2 2 2 2 2 2 2 7 2 5 7" xfId="9536" xr:uid="{380D536A-27A5-4DF4-BD53-90CB89F470FA}"/>
    <cellStyle name="Normal 2 2 2 2 2 2 2 2 2 2 2 2 2 7 2 5 8" xfId="9537" xr:uid="{52C2139B-67FF-4236-8A54-308D8629CFA6}"/>
    <cellStyle name="Normal 2 2 2 2 2 2 2 2 2 2 2 2 2 7 2 5 8 2" xfId="9538" xr:uid="{DC71DE12-B97B-4343-ABF9-3424D7D0B018}"/>
    <cellStyle name="Normal 2 2 2 2 2 2 2 2 2 2 2 2 2 7 2 5 8 3" xfId="9539" xr:uid="{C6F5377E-FE32-493C-A360-74549238D500}"/>
    <cellStyle name="Normal 2 2 2 2 2 2 2 2 2 2 2 2 2 7 2 5 8 4" xfId="9540" xr:uid="{15E64E63-3446-437D-8B68-954DD1A0AED7}"/>
    <cellStyle name="Normal 2 2 2 2 2 2 2 2 2 2 2 2 2 7 2 5 9" xfId="9541" xr:uid="{329ED472-874F-45AB-A7A2-769A1981D484}"/>
    <cellStyle name="Normal 2 2 2 2 2 2 2 2 2 2 2 2 2 7 2 6" xfId="9542" xr:uid="{A94EF4F3-2AA4-4A05-8043-7528051450FA}"/>
    <cellStyle name="Normal 2 2 2 2 2 2 2 2 2 2 2 2 2 7 2 7" xfId="9543" xr:uid="{050D23F1-ABA9-4B98-A5E2-CE55B368BA5C}"/>
    <cellStyle name="Normal 2 2 2 2 2 2 2 2 2 2 2 2 2 7 2 7 2" xfId="9544" xr:uid="{5284CA4C-B6B0-4D5F-89E2-C308210FB812}"/>
    <cellStyle name="Normal 2 2 2 2 2 2 2 2 2 2 2 2 2 7 2 7 2 2" xfId="9545" xr:uid="{C94FD14B-FCA2-4B92-9289-76ACD817C289}"/>
    <cellStyle name="Normal 2 2 2 2 2 2 2 2 2 2 2 2 2 7 2 7 2 3" xfId="9546" xr:uid="{6B4A4BEF-DD95-489F-AD70-B4138D5249F1}"/>
    <cellStyle name="Normal 2 2 2 2 2 2 2 2 2 2 2 2 2 7 2 7 2 4" xfId="9547" xr:uid="{D6AB122C-3B1E-4F82-AECC-61FEDAE4CE6D}"/>
    <cellStyle name="Normal 2 2 2 2 2 2 2 2 2 2 2 2 2 7 2 7 3" xfId="9548" xr:uid="{D9A82062-4F47-4AB1-82FC-534DAE0D52DC}"/>
    <cellStyle name="Normal 2 2 2 2 2 2 2 2 2 2 2 2 2 7 2 7 4" xfId="9549" xr:uid="{541CA588-7DE8-4386-8016-2579C309F00F}"/>
    <cellStyle name="Normal 2 2 2 2 2 2 2 2 2 2 2 2 2 7 2 7 5" xfId="9550" xr:uid="{9424D61A-E8A6-4E4C-8A63-3EF2AEA17B5B}"/>
    <cellStyle name="Normal 2 2 2 2 2 2 2 2 2 2 2 2 2 7 2 7 6" xfId="9551" xr:uid="{F98916D8-68E5-4591-A734-D2D642772ABF}"/>
    <cellStyle name="Normal 2 2 2 2 2 2 2 2 2 2 2 2 2 7 2 8" xfId="9552" xr:uid="{B81F46CE-9F77-4672-8121-BFFC602A404A}"/>
    <cellStyle name="Normal 2 2 2 2 2 2 2 2 2 2 2 2 2 7 2 9" xfId="9553" xr:uid="{79E7379A-DEF0-410B-962C-E105BD3D3512}"/>
    <cellStyle name="Normal 2 2 2 2 2 2 2 2 2 2 2 2 2 7 20" xfId="9554" xr:uid="{B165518A-7198-4BD0-BBCE-7CAD00C93776}"/>
    <cellStyle name="Normal 2 2 2 2 2 2 2 2 2 2 2 2 2 7 21" xfId="9555" xr:uid="{153A3F9A-CC9B-4EF8-A17B-BB0DE64D1A49}"/>
    <cellStyle name="Normal 2 2 2 2 2 2 2 2 2 2 2 2 2 7 21 2" xfId="9556" xr:uid="{88ADA6D4-6327-472D-B67E-162A9E147202}"/>
    <cellStyle name="Normal 2 2 2 2 2 2 2 2 2 2 2 2 2 7 21 3" xfId="9557" xr:uid="{3A45C085-718C-47F7-BE34-DD4859A1C8E8}"/>
    <cellStyle name="Normal 2 2 2 2 2 2 2 2 2 2 2 2 2 7 21 4" xfId="9558" xr:uid="{B224FFE1-F1CF-42E0-A5DF-2AEA510A642F}"/>
    <cellStyle name="Normal 2 2 2 2 2 2 2 2 2 2 2 2 2 7 22" xfId="9559" xr:uid="{DC818143-955A-4B89-B761-BB89E8C7825B}"/>
    <cellStyle name="Normal 2 2 2 2 2 2 2 2 2 2 2 2 2 7 23" xfId="9560" xr:uid="{15BD354B-33D6-4E8B-9A3B-15533E775DE3}"/>
    <cellStyle name="Normal 2 2 2 2 2 2 2 2 2 2 2 2 2 7 24" xfId="9561" xr:uid="{B7ABF701-A02C-4444-88A4-B5A28EE22D46}"/>
    <cellStyle name="Normal 2 2 2 2 2 2 2 2 2 2 2 2 2 7 3" xfId="9562" xr:uid="{AE8F3912-4EF9-4C0A-8924-7247BE578763}"/>
    <cellStyle name="Normal 2 2 2 2 2 2 2 2 2 2 2 2 2 7 4" xfId="9563" xr:uid="{35872C67-FCB9-4CF1-9C7D-5AD55204A5A2}"/>
    <cellStyle name="Normal 2 2 2 2 2 2 2 2 2 2 2 2 2 7 5" xfId="9564" xr:uid="{27DBEBC4-370A-49A8-86E5-2FF40A4BAC62}"/>
    <cellStyle name="Normal 2 2 2 2 2 2 2 2 2 2 2 2 2 7 6" xfId="9565" xr:uid="{30945B7A-7C50-40B9-8201-013C12F0E965}"/>
    <cellStyle name="Normal 2 2 2 2 2 2 2 2 2 2 2 2 2 7 7" xfId="9566" xr:uid="{488497F3-DEC4-449E-9D45-0ECD618676EB}"/>
    <cellStyle name="Normal 2 2 2 2 2 2 2 2 2 2 2 2 2 7 8" xfId="9567" xr:uid="{A140A5AA-F3F0-4661-A3A4-59FD734F2E25}"/>
    <cellStyle name="Normal 2 2 2 2 2 2 2 2 2 2 2 2 2 7 9" xfId="9568" xr:uid="{50CF285D-40E8-431E-B648-3657505E5CDC}"/>
    <cellStyle name="Normal 2 2 2 2 2 2 2 2 2 2 2 2 2 70" xfId="9569" xr:uid="{A09F6CA4-506C-4354-91A1-D57F71E509DD}"/>
    <cellStyle name="Normal 2 2 2 2 2 2 2 2 2 2 2 2 2 71" xfId="9570" xr:uid="{16D5750D-0C19-46E8-BF6E-33CFDF3AF1A6}"/>
    <cellStyle name="Normal 2 2 2 2 2 2 2 2 2 2 2 2 2 72" xfId="9571" xr:uid="{FF7800F4-ED6F-4D87-A3CA-E6ABCC5D7561}"/>
    <cellStyle name="Normal 2 2 2 2 2 2 2 2 2 2 2 2 2 73" xfId="9572" xr:uid="{2AC52D8A-E9F2-4C35-89FB-B2D9F48B2F3D}"/>
    <cellStyle name="Normal 2 2 2 2 2 2 2 2 2 2 2 2 2 74" xfId="9573" xr:uid="{663F520A-D76C-4587-A5F5-2AE60178651D}"/>
    <cellStyle name="Normal 2 2 2 2 2 2 2 2 2 2 2 2 2 75" xfId="9574" xr:uid="{A5694F25-F105-4770-B58F-1A28022B42A0}"/>
    <cellStyle name="Normal 2 2 2 2 2 2 2 2 2 2 2 2 2 76" xfId="9575" xr:uid="{65466A39-9DB3-4EA9-A279-9BFF25660524}"/>
    <cellStyle name="Normal 2 2 2 2 2 2 2 2 2 2 2 2 2 77" xfId="9576" xr:uid="{20324731-3C09-4E3D-A08B-FC63BE695006}"/>
    <cellStyle name="Normal 2 2 2 2 2 2 2 2 2 2 2 2 2 78" xfId="9577" xr:uid="{07133388-6026-450D-A1EE-F5C7B51FDBD2}"/>
    <cellStyle name="Normal 2 2 2 2 2 2 2 2 2 2 2 2 2 79" xfId="9578" xr:uid="{8DC392C2-F9D5-495B-BF89-F5E507FF3576}"/>
    <cellStyle name="Normal 2 2 2 2 2 2 2 2 2 2 2 2 2 8" xfId="9579" xr:uid="{0E08EE82-4F3C-4E5E-9B87-C3823416690B}"/>
    <cellStyle name="Normal 2 2 2 2 2 2 2 2 2 2 2 2 2 8 10" xfId="9580" xr:uid="{BFB0AB08-EBEB-4BC2-9C84-C45D78BCBB4F}"/>
    <cellStyle name="Normal 2 2 2 2 2 2 2 2 2 2 2 2 2 8 11" xfId="9581" xr:uid="{D58CB83F-0D04-4635-9385-8FB2A62ED761}"/>
    <cellStyle name="Normal 2 2 2 2 2 2 2 2 2 2 2 2 2 8 12" xfId="9582" xr:uid="{83CE3CE5-9727-4BFA-91D6-8714DDC4EE81}"/>
    <cellStyle name="Normal 2 2 2 2 2 2 2 2 2 2 2 2 2 8 13" xfId="9583" xr:uid="{874B6D98-36FB-4EAC-A2CC-614ECFB3E2B2}"/>
    <cellStyle name="Normal 2 2 2 2 2 2 2 2 2 2 2 2 2 8 13 2" xfId="9584" xr:uid="{20D8349D-D968-41CB-A865-03189DD3B75E}"/>
    <cellStyle name="Normal 2 2 2 2 2 2 2 2 2 2 2 2 2 8 13 3" xfId="9585" xr:uid="{214CD2BC-6541-485D-8459-E2C5F2134BFD}"/>
    <cellStyle name="Normal 2 2 2 2 2 2 2 2 2 2 2 2 2 8 13 4" xfId="9586" xr:uid="{8746FADC-0D66-4B39-B30C-812E859A03BB}"/>
    <cellStyle name="Normal 2 2 2 2 2 2 2 2 2 2 2 2 2 8 14" xfId="9587" xr:uid="{704E7780-2606-4EED-8151-81DEBCC4DE8E}"/>
    <cellStyle name="Normal 2 2 2 2 2 2 2 2 2 2 2 2 2 8 15" xfId="9588" xr:uid="{5A864162-895C-4921-8DD6-F25D0A2995F2}"/>
    <cellStyle name="Normal 2 2 2 2 2 2 2 2 2 2 2 2 2 8 16" xfId="9589" xr:uid="{A88F6997-9C2A-4EFE-B813-913E10B8EDDB}"/>
    <cellStyle name="Normal 2 2 2 2 2 2 2 2 2 2 2 2 2 8 2" xfId="9590" xr:uid="{E47ACF92-29BB-4984-8FB0-29E0EB707B84}"/>
    <cellStyle name="Normal 2 2 2 2 2 2 2 2 2 2 2 2 2 8 2 10" xfId="9591" xr:uid="{292EE804-0F22-46DB-968D-BF90083243ED}"/>
    <cellStyle name="Normal 2 2 2 2 2 2 2 2 2 2 2 2 2 8 2 11" xfId="9592" xr:uid="{759AFF52-6F53-42E5-9CAF-C9994957ED5B}"/>
    <cellStyle name="Normal 2 2 2 2 2 2 2 2 2 2 2 2 2 8 2 11 2" xfId="9593" xr:uid="{D9276831-3B4C-4B98-8E81-06CB78588080}"/>
    <cellStyle name="Normal 2 2 2 2 2 2 2 2 2 2 2 2 2 8 2 11 3" xfId="9594" xr:uid="{4410207D-894D-41AF-B597-925071069610}"/>
    <cellStyle name="Normal 2 2 2 2 2 2 2 2 2 2 2 2 2 8 2 11 4" xfId="9595" xr:uid="{D3081DB7-6F05-42FE-9D79-82CAE282A98A}"/>
    <cellStyle name="Normal 2 2 2 2 2 2 2 2 2 2 2 2 2 8 2 12" xfId="9596" xr:uid="{36A2A8F4-2FDB-4A51-B379-9E6F36E50322}"/>
    <cellStyle name="Normal 2 2 2 2 2 2 2 2 2 2 2 2 2 8 2 13" xfId="9597" xr:uid="{E988E105-F4CF-40F2-AD80-E03481BA3498}"/>
    <cellStyle name="Normal 2 2 2 2 2 2 2 2 2 2 2 2 2 8 2 14" xfId="9598" xr:uid="{C41BB136-AC2A-4A33-AA39-9E2F5983DADC}"/>
    <cellStyle name="Normal 2 2 2 2 2 2 2 2 2 2 2 2 2 8 2 2" xfId="9599" xr:uid="{9046CB2D-15DF-4AC3-AC11-250C4F77317A}"/>
    <cellStyle name="Normal 2 2 2 2 2 2 2 2 2 2 2 2 2 8 2 2 10" xfId="9600" xr:uid="{DB6A31B8-9038-4D0E-8800-53D6A77E0B17}"/>
    <cellStyle name="Normal 2 2 2 2 2 2 2 2 2 2 2 2 2 8 2 2 11" xfId="9601" xr:uid="{2A50D163-EF5B-4AAF-A324-4B0AAA9EFFDD}"/>
    <cellStyle name="Normal 2 2 2 2 2 2 2 2 2 2 2 2 2 8 2 2 2" xfId="9602" xr:uid="{6CFC57F9-A801-4605-A912-8B3AC4831DBF}"/>
    <cellStyle name="Normal 2 2 2 2 2 2 2 2 2 2 2 2 2 8 2 2 2 10" xfId="9603" xr:uid="{50A8AEF6-B470-440F-8FF6-898EAA60B8C3}"/>
    <cellStyle name="Normal 2 2 2 2 2 2 2 2 2 2 2 2 2 8 2 2 2 11" xfId="9604" xr:uid="{D3992006-D70A-4374-90FC-F2C47ECAD9D2}"/>
    <cellStyle name="Normal 2 2 2 2 2 2 2 2 2 2 2 2 2 8 2 2 2 2" xfId="9605" xr:uid="{C7828F7B-BA38-4D8B-A12B-D3F4E3760C19}"/>
    <cellStyle name="Normal 2 2 2 2 2 2 2 2 2 2 2 2 2 8 2 2 2 2 2" xfId="9606" xr:uid="{06685F08-6CAA-4A33-B534-B24DB50C1E0B}"/>
    <cellStyle name="Normal 2 2 2 2 2 2 2 2 2 2 2 2 2 8 2 2 2 2 2 2" xfId="9607" xr:uid="{037F4611-2B4A-4E85-A073-46923C3008A1}"/>
    <cellStyle name="Normal 2 2 2 2 2 2 2 2 2 2 2 2 2 8 2 2 2 2 2 3" xfId="9608" xr:uid="{7A18CD26-C891-4623-9AFA-DC0284BE0106}"/>
    <cellStyle name="Normal 2 2 2 2 2 2 2 2 2 2 2 2 2 8 2 2 2 2 2 4" xfId="9609" xr:uid="{B60073D9-926E-4942-AC4A-6A200F81D35D}"/>
    <cellStyle name="Normal 2 2 2 2 2 2 2 2 2 2 2 2 2 8 2 2 2 2 3" xfId="9610" xr:uid="{92BE8DEF-CC2A-410B-819A-73C618E478A3}"/>
    <cellStyle name="Normal 2 2 2 2 2 2 2 2 2 2 2 2 2 8 2 2 2 2 4" xfId="9611" xr:uid="{04E9FB82-E723-4840-8B35-15BC49505444}"/>
    <cellStyle name="Normal 2 2 2 2 2 2 2 2 2 2 2 2 2 8 2 2 2 2 5" xfId="9612" xr:uid="{FAD890CF-DFDC-4AB2-B0AD-40EC02A88D09}"/>
    <cellStyle name="Normal 2 2 2 2 2 2 2 2 2 2 2 2 2 8 2 2 2 2 6" xfId="9613" xr:uid="{08F94791-5B35-4941-889D-0C4A621A20E6}"/>
    <cellStyle name="Normal 2 2 2 2 2 2 2 2 2 2 2 2 2 8 2 2 2 3" xfId="9614" xr:uid="{F5E2B164-B3D2-41AC-A4C6-CA7AC1EC20BF}"/>
    <cellStyle name="Normal 2 2 2 2 2 2 2 2 2 2 2 2 2 8 2 2 2 4" xfId="9615" xr:uid="{96591282-F3A5-4356-9C55-1E5D2DC26890}"/>
    <cellStyle name="Normal 2 2 2 2 2 2 2 2 2 2 2 2 2 8 2 2 2 5" xfId="9616" xr:uid="{213CF812-7BA2-4408-941E-B39E99FBBC42}"/>
    <cellStyle name="Normal 2 2 2 2 2 2 2 2 2 2 2 2 2 8 2 2 2 6" xfId="9617" xr:uid="{3BBC1192-74FE-43F7-8D6C-63D4F2769A3F}"/>
    <cellStyle name="Normal 2 2 2 2 2 2 2 2 2 2 2 2 2 8 2 2 2 7" xfId="9618" xr:uid="{C976BA3D-85E6-45EE-BDB1-990A74FFC879}"/>
    <cellStyle name="Normal 2 2 2 2 2 2 2 2 2 2 2 2 2 8 2 2 2 8" xfId="9619" xr:uid="{849348E2-03E8-4019-AB5A-E577C75D8C62}"/>
    <cellStyle name="Normal 2 2 2 2 2 2 2 2 2 2 2 2 2 8 2 2 2 8 2" xfId="9620" xr:uid="{B1771D4A-253E-401E-873D-78A3B0C6C4F2}"/>
    <cellStyle name="Normal 2 2 2 2 2 2 2 2 2 2 2 2 2 8 2 2 2 8 3" xfId="9621" xr:uid="{1D03E60D-8571-4059-ABF1-E704D830817A}"/>
    <cellStyle name="Normal 2 2 2 2 2 2 2 2 2 2 2 2 2 8 2 2 2 8 4" xfId="9622" xr:uid="{C5C01569-4564-4023-BE6B-DEF596434F04}"/>
    <cellStyle name="Normal 2 2 2 2 2 2 2 2 2 2 2 2 2 8 2 2 2 9" xfId="9623" xr:uid="{A780D750-4A3E-4241-9688-E93DC196EE35}"/>
    <cellStyle name="Normal 2 2 2 2 2 2 2 2 2 2 2 2 2 8 2 2 3" xfId="9624" xr:uid="{B519BE7B-83D5-4FE6-9AC3-7B1431C19583}"/>
    <cellStyle name="Normal 2 2 2 2 2 2 2 2 2 2 2 2 2 8 2 2 3 2" xfId="9625" xr:uid="{86D37015-5570-49A7-AAFE-31435B3D549D}"/>
    <cellStyle name="Normal 2 2 2 2 2 2 2 2 2 2 2 2 2 8 2 2 3 2 2" xfId="9626" xr:uid="{C02E3A4D-9105-4898-82E4-E5D654E2DBCB}"/>
    <cellStyle name="Normal 2 2 2 2 2 2 2 2 2 2 2 2 2 8 2 2 3 2 3" xfId="9627" xr:uid="{F97191CB-D633-4532-A34B-85D2DEF6A4BF}"/>
    <cellStyle name="Normal 2 2 2 2 2 2 2 2 2 2 2 2 2 8 2 2 3 2 4" xfId="9628" xr:uid="{C68A1819-8BA5-4EA7-88F7-E7F2C3C58252}"/>
    <cellStyle name="Normal 2 2 2 2 2 2 2 2 2 2 2 2 2 8 2 2 3 3" xfId="9629" xr:uid="{487F8CAA-D60F-46AC-A3CB-89E6D18B01F9}"/>
    <cellStyle name="Normal 2 2 2 2 2 2 2 2 2 2 2 2 2 8 2 2 3 4" xfId="9630" xr:uid="{5FCCCFE5-93D5-47DD-8730-5A8F6F6450E9}"/>
    <cellStyle name="Normal 2 2 2 2 2 2 2 2 2 2 2 2 2 8 2 2 3 5" xfId="9631" xr:uid="{B45192E2-95B4-4FE1-AB1D-930B69D8EADC}"/>
    <cellStyle name="Normal 2 2 2 2 2 2 2 2 2 2 2 2 2 8 2 2 3 6" xfId="9632" xr:uid="{C681F1BE-9762-4D61-A8C2-6861A9B5744A}"/>
    <cellStyle name="Normal 2 2 2 2 2 2 2 2 2 2 2 2 2 8 2 2 4" xfId="9633" xr:uid="{9FD3FD59-5C81-4FDF-BF1A-D59480CA1750}"/>
    <cellStyle name="Normal 2 2 2 2 2 2 2 2 2 2 2 2 2 8 2 2 5" xfId="9634" xr:uid="{7BF228AB-0544-41E0-B841-3CB331E996C1}"/>
    <cellStyle name="Normal 2 2 2 2 2 2 2 2 2 2 2 2 2 8 2 2 6" xfId="9635" xr:uid="{A7709ACE-F84A-424F-910E-0E2A51A0CE64}"/>
    <cellStyle name="Normal 2 2 2 2 2 2 2 2 2 2 2 2 2 8 2 2 7" xfId="9636" xr:uid="{0E8D4D1E-3C45-472B-91CD-BB938AF95488}"/>
    <cellStyle name="Normal 2 2 2 2 2 2 2 2 2 2 2 2 2 8 2 2 8" xfId="9637" xr:uid="{2B7D402B-1E65-4D4A-A7A8-F3BBE894CC8B}"/>
    <cellStyle name="Normal 2 2 2 2 2 2 2 2 2 2 2 2 2 8 2 2 8 2" xfId="9638" xr:uid="{01C17E1B-79EF-44B4-86C7-3C42B21AB0F4}"/>
    <cellStyle name="Normal 2 2 2 2 2 2 2 2 2 2 2 2 2 8 2 2 8 3" xfId="9639" xr:uid="{3D8195B1-5B2A-4241-BA14-38162A12FF07}"/>
    <cellStyle name="Normal 2 2 2 2 2 2 2 2 2 2 2 2 2 8 2 2 8 4" xfId="9640" xr:uid="{511D57CD-A350-449B-8961-59C0C6AD7366}"/>
    <cellStyle name="Normal 2 2 2 2 2 2 2 2 2 2 2 2 2 8 2 2 9" xfId="9641" xr:uid="{F32FD3C3-AB17-49BE-AC4D-62D936EA400D}"/>
    <cellStyle name="Normal 2 2 2 2 2 2 2 2 2 2 2 2 2 8 2 3" xfId="9642" xr:uid="{826CA860-105D-44BE-A564-046C85FD9C6A}"/>
    <cellStyle name="Normal 2 2 2 2 2 2 2 2 2 2 2 2 2 8 2 4" xfId="9643" xr:uid="{2EBB6340-C948-4416-9E26-C7D5819BE7CD}"/>
    <cellStyle name="Normal 2 2 2 2 2 2 2 2 2 2 2 2 2 8 2 5" xfId="9644" xr:uid="{310E3E34-DD75-4ADA-9914-9872428E23A3}"/>
    <cellStyle name="Normal 2 2 2 2 2 2 2 2 2 2 2 2 2 8 2 5 2" xfId="9645" xr:uid="{53311370-C067-4632-84C3-2FA295D43935}"/>
    <cellStyle name="Normal 2 2 2 2 2 2 2 2 2 2 2 2 2 8 2 5 2 2" xfId="9646" xr:uid="{03B0F3EF-19CE-4077-B3C1-60E4CCAE9118}"/>
    <cellStyle name="Normal 2 2 2 2 2 2 2 2 2 2 2 2 2 8 2 5 2 3" xfId="9647" xr:uid="{728F6133-CAA3-49BB-8BAD-31DC1CC2F40F}"/>
    <cellStyle name="Normal 2 2 2 2 2 2 2 2 2 2 2 2 2 8 2 5 2 4" xfId="9648" xr:uid="{7F3B2C51-2211-47AC-B432-899B0A1C710B}"/>
    <cellStyle name="Normal 2 2 2 2 2 2 2 2 2 2 2 2 2 8 2 5 3" xfId="9649" xr:uid="{DE9CF37E-51DF-4B34-9060-F3C0D87AAB60}"/>
    <cellStyle name="Normal 2 2 2 2 2 2 2 2 2 2 2 2 2 8 2 5 4" xfId="9650" xr:uid="{543E5D4A-BE89-40AB-97BD-6D5A9809FE6C}"/>
    <cellStyle name="Normal 2 2 2 2 2 2 2 2 2 2 2 2 2 8 2 5 5" xfId="9651" xr:uid="{8BD6881D-4B12-4B9B-9A9F-DFC2246C2B2B}"/>
    <cellStyle name="Normal 2 2 2 2 2 2 2 2 2 2 2 2 2 8 2 5 6" xfId="9652" xr:uid="{8DE81749-FA01-4523-975A-B41E1FD1CB06}"/>
    <cellStyle name="Normal 2 2 2 2 2 2 2 2 2 2 2 2 2 8 2 6" xfId="9653" xr:uid="{0DDC24D7-AB44-4BF4-97B1-89AFB3F80D29}"/>
    <cellStyle name="Normal 2 2 2 2 2 2 2 2 2 2 2 2 2 8 2 7" xfId="9654" xr:uid="{5CF3209E-86DB-4A1B-B2A9-F47329237651}"/>
    <cellStyle name="Normal 2 2 2 2 2 2 2 2 2 2 2 2 2 8 2 8" xfId="9655" xr:uid="{F750EB60-B2B5-40BD-9E95-5C44CF3B4876}"/>
    <cellStyle name="Normal 2 2 2 2 2 2 2 2 2 2 2 2 2 8 2 9" xfId="9656" xr:uid="{31C748F6-5038-4258-9C7B-8F09491FE8D9}"/>
    <cellStyle name="Normal 2 2 2 2 2 2 2 2 2 2 2 2 2 8 3" xfId="9657" xr:uid="{3E305F81-EA45-42CF-A32D-FBACA3B3244D}"/>
    <cellStyle name="Normal 2 2 2 2 2 2 2 2 2 2 2 2 2 8 4" xfId="9658" xr:uid="{6ADF2AF4-FB03-4C9E-9E91-21A08419E2DA}"/>
    <cellStyle name="Normal 2 2 2 2 2 2 2 2 2 2 2 2 2 8 5" xfId="9659" xr:uid="{343655A4-B3AF-4917-8592-E8DDB03A0674}"/>
    <cellStyle name="Normal 2 2 2 2 2 2 2 2 2 2 2 2 2 8 5 10" xfId="9660" xr:uid="{F467B5E1-0325-4A30-8289-90082A9B87BA}"/>
    <cellStyle name="Normal 2 2 2 2 2 2 2 2 2 2 2 2 2 8 5 11" xfId="9661" xr:uid="{19446FE3-DF1E-43E2-BD1F-F09677FF989B}"/>
    <cellStyle name="Normal 2 2 2 2 2 2 2 2 2 2 2 2 2 8 5 2" xfId="9662" xr:uid="{BE64E790-912A-4758-A068-7B4254E62E57}"/>
    <cellStyle name="Normal 2 2 2 2 2 2 2 2 2 2 2 2 2 8 5 2 10" xfId="9663" xr:uid="{CE8FB659-84B5-43C8-90D9-AEB75609D79B}"/>
    <cellStyle name="Normal 2 2 2 2 2 2 2 2 2 2 2 2 2 8 5 2 11" xfId="9664" xr:uid="{3AC75A9F-6370-44B0-BCE9-E4C6FDA04101}"/>
    <cellStyle name="Normal 2 2 2 2 2 2 2 2 2 2 2 2 2 8 5 2 2" xfId="9665" xr:uid="{8B820701-A3F5-4CD6-B42A-48B9F63A33C0}"/>
    <cellStyle name="Normal 2 2 2 2 2 2 2 2 2 2 2 2 2 8 5 2 2 2" xfId="9666" xr:uid="{9CA45680-0A34-4AFA-93F9-78D6DB639336}"/>
    <cellStyle name="Normal 2 2 2 2 2 2 2 2 2 2 2 2 2 8 5 2 2 2 2" xfId="9667" xr:uid="{6EEAB72B-9198-42D9-B798-9D15BC1C0B26}"/>
    <cellStyle name="Normal 2 2 2 2 2 2 2 2 2 2 2 2 2 8 5 2 2 2 3" xfId="9668" xr:uid="{0F12D7C4-A28D-4321-BDCF-3A13D132277F}"/>
    <cellStyle name="Normal 2 2 2 2 2 2 2 2 2 2 2 2 2 8 5 2 2 2 4" xfId="9669" xr:uid="{58441A1A-9AED-40F7-98D3-B5FCFFA9B631}"/>
    <cellStyle name="Normal 2 2 2 2 2 2 2 2 2 2 2 2 2 8 5 2 2 3" xfId="9670" xr:uid="{984E24FB-DB1C-4126-9839-8F484B656325}"/>
    <cellStyle name="Normal 2 2 2 2 2 2 2 2 2 2 2 2 2 8 5 2 2 4" xfId="9671" xr:uid="{EE2D0271-589B-4105-BDBB-80B70DD08C8F}"/>
    <cellStyle name="Normal 2 2 2 2 2 2 2 2 2 2 2 2 2 8 5 2 2 5" xfId="9672" xr:uid="{893F6660-5D2A-4BEC-9270-16FE253744B8}"/>
    <cellStyle name="Normal 2 2 2 2 2 2 2 2 2 2 2 2 2 8 5 2 2 6" xfId="9673" xr:uid="{EB3D409E-E127-44A3-83E7-438826829CFD}"/>
    <cellStyle name="Normal 2 2 2 2 2 2 2 2 2 2 2 2 2 8 5 2 3" xfId="9674" xr:uid="{7CB92823-2363-4B9F-96BC-635E81FC9AA2}"/>
    <cellStyle name="Normal 2 2 2 2 2 2 2 2 2 2 2 2 2 8 5 2 4" xfId="9675" xr:uid="{18C3BFAA-A059-44B2-92F4-80376068B710}"/>
    <cellStyle name="Normal 2 2 2 2 2 2 2 2 2 2 2 2 2 8 5 2 5" xfId="9676" xr:uid="{557E6CF7-4709-427B-A4B5-ECC60747F32C}"/>
    <cellStyle name="Normal 2 2 2 2 2 2 2 2 2 2 2 2 2 8 5 2 6" xfId="9677" xr:uid="{62726CDD-A261-4948-AECD-AAF4014FE7B4}"/>
    <cellStyle name="Normal 2 2 2 2 2 2 2 2 2 2 2 2 2 8 5 2 7" xfId="9678" xr:uid="{BBDC9D69-7464-44BC-89BB-98EAD7552F1C}"/>
    <cellStyle name="Normal 2 2 2 2 2 2 2 2 2 2 2 2 2 8 5 2 8" xfId="9679" xr:uid="{3ED71811-879F-4CA4-9BC2-01FA9F8E13EE}"/>
    <cellStyle name="Normal 2 2 2 2 2 2 2 2 2 2 2 2 2 8 5 2 8 2" xfId="9680" xr:uid="{CFE86C98-74AE-40D1-B6C4-1AABCE5150E2}"/>
    <cellStyle name="Normal 2 2 2 2 2 2 2 2 2 2 2 2 2 8 5 2 8 3" xfId="9681" xr:uid="{DC853F7E-1E58-429E-A283-1BF8F8123F18}"/>
    <cellStyle name="Normal 2 2 2 2 2 2 2 2 2 2 2 2 2 8 5 2 8 4" xfId="9682" xr:uid="{188490E3-AD7B-4565-931D-C4591EDA45C8}"/>
    <cellStyle name="Normal 2 2 2 2 2 2 2 2 2 2 2 2 2 8 5 2 9" xfId="9683" xr:uid="{01842A52-9E10-4DF1-B968-B897E262441B}"/>
    <cellStyle name="Normal 2 2 2 2 2 2 2 2 2 2 2 2 2 8 5 3" xfId="9684" xr:uid="{3C462BB5-F452-4EBA-9D76-61FE7C9127B3}"/>
    <cellStyle name="Normal 2 2 2 2 2 2 2 2 2 2 2 2 2 8 5 3 2" xfId="9685" xr:uid="{38D2D9B7-DA4B-493B-9621-4F04723F7534}"/>
    <cellStyle name="Normal 2 2 2 2 2 2 2 2 2 2 2 2 2 8 5 3 2 2" xfId="9686" xr:uid="{61C12721-777D-4E73-B586-5A081044AEF8}"/>
    <cellStyle name="Normal 2 2 2 2 2 2 2 2 2 2 2 2 2 8 5 3 2 3" xfId="9687" xr:uid="{0B005AC9-BC48-4E0E-9E80-C72CCE71F3F2}"/>
    <cellStyle name="Normal 2 2 2 2 2 2 2 2 2 2 2 2 2 8 5 3 2 4" xfId="9688" xr:uid="{38C451B7-AB55-4DE6-872E-EA5C29C9E580}"/>
    <cellStyle name="Normal 2 2 2 2 2 2 2 2 2 2 2 2 2 8 5 3 3" xfId="9689" xr:uid="{256CBDF7-7502-4417-A7A9-10ED142680EF}"/>
    <cellStyle name="Normal 2 2 2 2 2 2 2 2 2 2 2 2 2 8 5 3 4" xfId="9690" xr:uid="{576846DA-1CC8-4CF8-9B67-2B480D03D97F}"/>
    <cellStyle name="Normal 2 2 2 2 2 2 2 2 2 2 2 2 2 8 5 3 5" xfId="9691" xr:uid="{0CEAD450-F352-4853-8DF5-4505267E94BA}"/>
    <cellStyle name="Normal 2 2 2 2 2 2 2 2 2 2 2 2 2 8 5 3 6" xfId="9692" xr:uid="{DCC0D51D-B240-45DE-B50A-F0CC3DABED28}"/>
    <cellStyle name="Normal 2 2 2 2 2 2 2 2 2 2 2 2 2 8 5 4" xfId="9693" xr:uid="{D6B40E00-989C-499A-854C-7205A3392335}"/>
    <cellStyle name="Normal 2 2 2 2 2 2 2 2 2 2 2 2 2 8 5 5" xfId="9694" xr:uid="{6C1247D5-F584-40A4-AEF7-76EA8C627B04}"/>
    <cellStyle name="Normal 2 2 2 2 2 2 2 2 2 2 2 2 2 8 5 6" xfId="9695" xr:uid="{264E8946-74BD-4093-825C-19F6B0D6B4D8}"/>
    <cellStyle name="Normal 2 2 2 2 2 2 2 2 2 2 2 2 2 8 5 7" xfId="9696" xr:uid="{86B79D26-8C3A-484D-BB5D-6E932E2C9DA3}"/>
    <cellStyle name="Normal 2 2 2 2 2 2 2 2 2 2 2 2 2 8 5 8" xfId="9697" xr:uid="{13EBC45D-BB90-4A5F-B28C-F5F06B631C5C}"/>
    <cellStyle name="Normal 2 2 2 2 2 2 2 2 2 2 2 2 2 8 5 8 2" xfId="9698" xr:uid="{98DC22F3-9993-43AD-AE56-C77852A1D6DE}"/>
    <cellStyle name="Normal 2 2 2 2 2 2 2 2 2 2 2 2 2 8 5 8 3" xfId="9699" xr:uid="{F09AAD86-BD0A-439F-B576-200A27074501}"/>
    <cellStyle name="Normal 2 2 2 2 2 2 2 2 2 2 2 2 2 8 5 8 4" xfId="9700" xr:uid="{90C4D87E-BDB4-4E70-ADD0-7678963E853F}"/>
    <cellStyle name="Normal 2 2 2 2 2 2 2 2 2 2 2 2 2 8 5 9" xfId="9701" xr:uid="{B1DF5AFA-8889-4D24-A081-AA8EA1661CE5}"/>
    <cellStyle name="Normal 2 2 2 2 2 2 2 2 2 2 2 2 2 8 6" xfId="9702" xr:uid="{83829862-3C72-45BD-A97C-2EAC7C83EB83}"/>
    <cellStyle name="Normal 2 2 2 2 2 2 2 2 2 2 2 2 2 8 7" xfId="9703" xr:uid="{A01DB9DA-D99A-4B93-BF09-B1E53063138F}"/>
    <cellStyle name="Normal 2 2 2 2 2 2 2 2 2 2 2 2 2 8 7 2" xfId="9704" xr:uid="{452A56E7-3BD2-4B82-B9BB-47C5761EEDFF}"/>
    <cellStyle name="Normal 2 2 2 2 2 2 2 2 2 2 2 2 2 8 7 2 2" xfId="9705" xr:uid="{DCE2A563-BD0F-4353-A921-8AA3DE7A2F2F}"/>
    <cellStyle name="Normal 2 2 2 2 2 2 2 2 2 2 2 2 2 8 7 2 3" xfId="9706" xr:uid="{0087E9A3-BA79-4E62-9252-1B975E7EADEF}"/>
    <cellStyle name="Normal 2 2 2 2 2 2 2 2 2 2 2 2 2 8 7 2 4" xfId="9707" xr:uid="{AED4F053-222C-45CA-92A3-EB0050495957}"/>
    <cellStyle name="Normal 2 2 2 2 2 2 2 2 2 2 2 2 2 8 7 3" xfId="9708" xr:uid="{EAD96851-D305-4CFA-A18B-008A86FFE405}"/>
    <cellStyle name="Normal 2 2 2 2 2 2 2 2 2 2 2 2 2 8 7 4" xfId="9709" xr:uid="{9CD08705-34B4-47D5-A502-AA9CB45EE71B}"/>
    <cellStyle name="Normal 2 2 2 2 2 2 2 2 2 2 2 2 2 8 7 5" xfId="9710" xr:uid="{5508DEAB-829A-45BA-9E0B-CB449DC9BDB4}"/>
    <cellStyle name="Normal 2 2 2 2 2 2 2 2 2 2 2 2 2 8 7 6" xfId="9711" xr:uid="{970AEA8E-0213-4517-B8AC-961DD888BB38}"/>
    <cellStyle name="Normal 2 2 2 2 2 2 2 2 2 2 2 2 2 8 8" xfId="9712" xr:uid="{4596610B-93C4-4941-A8A4-A97DA6506EC8}"/>
    <cellStyle name="Normal 2 2 2 2 2 2 2 2 2 2 2 2 2 8 9" xfId="9713" xr:uid="{88DE98D6-75D3-4038-AD69-FA918AF42141}"/>
    <cellStyle name="Normal 2 2 2 2 2 2 2 2 2 2 2 2 2 80" xfId="9714" xr:uid="{CFEF0DCA-0A7E-4731-B484-682912B3320B}"/>
    <cellStyle name="Normal 2 2 2 2 2 2 2 2 2 2 2 2 2 81" xfId="9715" xr:uid="{30D91F44-D18C-41CD-8CD3-B4C15E67000D}"/>
    <cellStyle name="Normal 2 2 2 2 2 2 2 2 2 2 2 2 2 82" xfId="9716" xr:uid="{694FBB2C-3397-4789-8B21-D84DEF062081}"/>
    <cellStyle name="Normal 2 2 2 2 2 2 2 2 2 2 2 2 2 83" xfId="9717" xr:uid="{22A1517E-0668-4647-84FD-5BC05B474192}"/>
    <cellStyle name="Normal 2 2 2 2 2 2 2 2 2 2 2 2 2 84" xfId="9718" xr:uid="{10CFC00A-9E21-4289-9F16-08B7ED6FAAAE}"/>
    <cellStyle name="Normal 2 2 2 2 2 2 2 2 2 2 2 2 2 85" xfId="9719" xr:uid="{09319323-0BD0-4030-8051-76543C2B956F}"/>
    <cellStyle name="Normal 2 2 2 2 2 2 2 2 2 2 2 2 2 86" xfId="9720" xr:uid="{E0FFCCD2-042D-4822-87BA-A849D1B33C32}"/>
    <cellStyle name="Normal 2 2 2 2 2 2 2 2 2 2 2 2 2 87" xfId="9721" xr:uid="{6C8E1F39-A285-4B03-938E-27E178C0F923}"/>
    <cellStyle name="Normal 2 2 2 2 2 2 2 2 2 2 2 2 2 88" xfId="9722" xr:uid="{81D52989-0431-4CC8-96FD-A27143BA994A}"/>
    <cellStyle name="Normal 2 2 2 2 2 2 2 2 2 2 2 2 2 88 2" xfId="9723" xr:uid="{1BCF7CF8-D434-404F-AE9C-7A7E34D50BD2}"/>
    <cellStyle name="Normal 2 2 2 2 2 2 2 2 2 2 2 2 2 88 3" xfId="9724" xr:uid="{40D50BB5-4A50-47B8-A0C6-049CFFE2B606}"/>
    <cellStyle name="Normal 2 2 2 2 2 2 2 2 2 2 2 2 2 88 4" xfId="9725" xr:uid="{750F775A-9D10-43DF-836F-45D8836034CB}"/>
    <cellStyle name="Normal 2 2 2 2 2 2 2 2 2 2 2 2 2 89" xfId="9726" xr:uid="{694C9D4F-3AF1-4D84-8C3A-B8164C795916}"/>
    <cellStyle name="Normal 2 2 2 2 2 2 2 2 2 2 2 2 2 9" xfId="9727" xr:uid="{DD953029-121D-463C-9B4B-BAF5CC7EBF67}"/>
    <cellStyle name="Normal 2 2 2 2 2 2 2 2 2 2 2 2 2 90" xfId="9728" xr:uid="{AF07516A-3169-42A4-8975-40C966BCD3D0}"/>
    <cellStyle name="Normal 2 2 2 2 2 2 2 2 2 2 2 2 20" xfId="9729" xr:uid="{C9E9A6B4-81B3-4828-A510-91AE22A74B1E}"/>
    <cellStyle name="Normal 2 2 2 2 2 2 2 2 2 2 2 2 21" xfId="9730" xr:uid="{BEB80261-2E0F-4E30-A406-C7EBDA103427}"/>
    <cellStyle name="Normal 2 2 2 2 2 2 2 2 2 2 2 2 21 2" xfId="9731" xr:uid="{A93404C7-EA5D-4DE3-82AE-AB011CE43974}"/>
    <cellStyle name="Normal 2 2 2 2 2 2 2 2 2 2 2 2 21 2 2" xfId="9732" xr:uid="{091577C9-93EB-4985-9A47-59493AF37CEE}"/>
    <cellStyle name="Normal 2 2 2 2 2 2 2 2 2 2 2 2 21 2 3" xfId="9733" xr:uid="{10998759-C3B2-4FBC-B236-BD8DB17CADE8}"/>
    <cellStyle name="Normal 2 2 2 2 2 2 2 2 2 2 2 2 21 2 4" xfId="9734" xr:uid="{16436719-B6BE-47D4-A431-3A34874CF5EA}"/>
    <cellStyle name="Normal 2 2 2 2 2 2 2 2 2 2 2 2 21 3" xfId="9735" xr:uid="{09B9E1CA-4DA3-460F-81E8-EC8E916957AB}"/>
    <cellStyle name="Normal 2 2 2 2 2 2 2 2 2 2 2 2 21 4" xfId="9736" xr:uid="{63477EBE-FFCC-42ED-982E-47BA2932869B}"/>
    <cellStyle name="Normal 2 2 2 2 2 2 2 2 2 2 2 2 21 5" xfId="9737" xr:uid="{954BD6F2-8850-4195-A7DF-E74BECDC87FD}"/>
    <cellStyle name="Normal 2 2 2 2 2 2 2 2 2 2 2 2 21 6" xfId="9738" xr:uid="{10BBBBA6-5B80-443D-9251-C58B9D211BE5}"/>
    <cellStyle name="Normal 2 2 2 2 2 2 2 2 2 2 2 2 22" xfId="9739" xr:uid="{AEA94525-5FBA-44B0-B599-0A01C96BDC21}"/>
    <cellStyle name="Normal 2 2 2 2 2 2 2 2 2 2 2 2 23" xfId="9740" xr:uid="{4FE7F018-1649-4B04-B8FA-D3A1D0D67AEE}"/>
    <cellStyle name="Normal 2 2 2 2 2 2 2 2 2 2 2 2 24" xfId="9741" xr:uid="{D6C1CD36-C000-45A3-8273-DE106AE23653}"/>
    <cellStyle name="Normal 2 2 2 2 2 2 2 2 2 2 2 2 25" xfId="9742" xr:uid="{99179213-1661-47E8-B129-F634D26DF9AB}"/>
    <cellStyle name="Normal 2 2 2 2 2 2 2 2 2 2 2 2 26" xfId="9743" xr:uid="{3A5618E4-57A5-4CF7-B824-5A09A1FF0CAA}"/>
    <cellStyle name="Normal 2 2 2 2 2 2 2 2 2 2 2 2 27" xfId="9744" xr:uid="{C94C7B24-9969-4FC4-9111-E6E339889070}"/>
    <cellStyle name="Normal 2 2 2 2 2 2 2 2 2 2 2 2 27 2" xfId="9745" xr:uid="{3F0593B2-B4BB-4B87-A1FC-9AE2E32AE581}"/>
    <cellStyle name="Normal 2 2 2 2 2 2 2 2 2 2 2 2 27 3" xfId="9746" xr:uid="{EA035B03-EB4C-4867-90A9-98B6EAF39EE6}"/>
    <cellStyle name="Normal 2 2 2 2 2 2 2 2 2 2 2 2 27 4" xfId="9747" xr:uid="{DE2F1D93-6430-4019-888A-4DA1EA434781}"/>
    <cellStyle name="Normal 2 2 2 2 2 2 2 2 2 2 2 2 28" xfId="9748" xr:uid="{BA4002A7-C50A-4CF7-A1FF-511EC881FC06}"/>
    <cellStyle name="Normal 2 2 2 2 2 2 2 2 2 2 2 2 29" xfId="9749" xr:uid="{3503967C-25E7-46F5-9FC1-BD437064145A}"/>
    <cellStyle name="Normal 2 2 2 2 2 2 2 2 2 2 2 2 3" xfId="9750" xr:uid="{5A945BBA-8B41-43EA-B808-605BC9F5DE26}"/>
    <cellStyle name="Normal 2 2 2 2 2 2 2 2 2 2 2 2 30" xfId="9751" xr:uid="{5504C38F-3526-4CF2-B79B-B2DA905E3CD9}"/>
    <cellStyle name="Normal 2 2 2 2 2 2 2 2 2 2 2 2 31" xfId="9752" xr:uid="{143772E7-A5C3-4E15-A3FC-9BC566A55437}"/>
    <cellStyle name="Normal 2 2 2 2 2 2 2 2 2 2 2 2 32" xfId="9753" xr:uid="{17805A7E-FB86-42F4-9E12-27ECE88775E6}"/>
    <cellStyle name="Normal 2 2 2 2 2 2 2 2 2 2 2 2 33" xfId="9754" xr:uid="{DE8EA411-9388-4A63-A168-2598BB1109FB}"/>
    <cellStyle name="Normal 2 2 2 2 2 2 2 2 2 2 2 2 34" xfId="9755" xr:uid="{8647715E-9F10-4CD0-88C3-BDA63DFFCE24}"/>
    <cellStyle name="Normal 2 2 2 2 2 2 2 2 2 2 2 2 35" xfId="9756" xr:uid="{725AC74E-CDAB-4BA5-9BD5-4BBA599D4F8D}"/>
    <cellStyle name="Normal 2 2 2 2 2 2 2 2 2 2 2 2 36" xfId="9757" xr:uid="{38AAC768-33B2-4CB9-AF62-230C16C0DB36}"/>
    <cellStyle name="Normal 2 2 2 2 2 2 2 2 2 2 2 2 37" xfId="9758" xr:uid="{6B08C38E-5479-4EB6-9328-F7B4C1D7C7C6}"/>
    <cellStyle name="Normal 2 2 2 2 2 2 2 2 2 2 2 2 38" xfId="9759" xr:uid="{C96417F0-6CD3-4B51-8D74-5DA6DB4E3D5F}"/>
    <cellStyle name="Normal 2 2 2 2 2 2 2 2 2 2 2 2 39" xfId="9760" xr:uid="{7F8D2B0D-41E1-4FDB-9DC1-2A3A9EF72AE2}"/>
    <cellStyle name="Normal 2 2 2 2 2 2 2 2 2 2 2 2 4" xfId="9761" xr:uid="{E0B70AA6-1B5C-4E4B-8ABD-3DD6C644B848}"/>
    <cellStyle name="Normal 2 2 2 2 2 2 2 2 2 2 2 2 40" xfId="9762" xr:uid="{60318489-B616-41E6-A93D-234770A0DA3C}"/>
    <cellStyle name="Normal 2 2 2 2 2 2 2 2 2 2 2 2 41" xfId="9763" xr:uid="{2451E05B-0AA0-4256-9F73-5F0E4BDDEB29}"/>
    <cellStyle name="Normal 2 2 2 2 2 2 2 2 2 2 2 2 42" xfId="9764" xr:uid="{D2B82135-7B06-4F64-9BFE-202DA39D988B}"/>
    <cellStyle name="Normal 2 2 2 2 2 2 2 2 2 2 2 2 42 2" xfId="9765" xr:uid="{0D6F1574-5649-485B-928C-8018A9E2CB3D}"/>
    <cellStyle name="Normal 2 2 2 2 2 2 2 2 2 2 2 2 42 3" xfId="9766" xr:uid="{525289F2-819E-467F-87B4-F8719101439C}"/>
    <cellStyle name="Normal 2 2 2 2 2 2 2 2 2 2 2 2 42 4" xfId="9767" xr:uid="{42A44CBB-29B0-4F37-9F95-D91A7F205969}"/>
    <cellStyle name="Normal 2 2 2 2 2 2 2 2 2 2 2 2 42 5" xfId="9768" xr:uid="{34C0DB45-37D1-447C-9764-B89374B8B1FD}"/>
    <cellStyle name="Normal 2 2 2 2 2 2 2 2 2 2 2 2 42 6" xfId="9769" xr:uid="{86C816AC-070F-42D6-8ACD-BC5478898442}"/>
    <cellStyle name="Normal 2 2 2 2 2 2 2 2 2 2 2 2 42 7" xfId="9770" xr:uid="{DE8450D1-BD2B-465D-AA65-DE1E68D69BD1}"/>
    <cellStyle name="Normal 2 2 2 2 2 2 2 2 2 2 2 2 43" xfId="9771" xr:uid="{DF9F5A9B-DE26-4586-AE2E-1FB86369E247}"/>
    <cellStyle name="Normal 2 2 2 2 2 2 2 2 2 2 2 2 44" xfId="9772" xr:uid="{D4378AD7-72D9-46D5-B5DC-97C9F5AA4537}"/>
    <cellStyle name="Normal 2 2 2 2 2 2 2 2 2 2 2 2 45" xfId="9773" xr:uid="{9CA7CA74-6173-498C-85BB-53356795EE08}"/>
    <cellStyle name="Normal 2 2 2 2 2 2 2 2 2 2 2 2 46" xfId="9774" xr:uid="{715B38E6-8D30-4E71-A5F0-454DA8892ABE}"/>
    <cellStyle name="Normal 2 2 2 2 2 2 2 2 2 2 2 2 47" xfId="9775" xr:uid="{75CAA282-F773-49D4-A290-56EF69CD7828}"/>
    <cellStyle name="Normal 2 2 2 2 2 2 2 2 2 2 2 2 48" xfId="9776" xr:uid="{61F17B65-B991-4BB9-897A-73B64495E683}"/>
    <cellStyle name="Normal 2 2 2 2 2 2 2 2 2 2 2 2 49" xfId="9777" xr:uid="{CD55A577-E34F-4EEE-B086-7E5C014C1B67}"/>
    <cellStyle name="Normal 2 2 2 2 2 2 2 2 2 2 2 2 5" xfId="9778" xr:uid="{C7F161DD-D77A-434E-9745-699C59EE8F19}"/>
    <cellStyle name="Normal 2 2 2 2 2 2 2 2 2 2 2 2 50" xfId="9779" xr:uid="{298FB978-F1C1-48EE-B66D-E9D113734AFE}"/>
    <cellStyle name="Normal 2 2 2 2 2 2 2 2 2 2 2 2 51" xfId="9780" xr:uid="{0832AD4F-4244-4B13-A131-DD850183E8CC}"/>
    <cellStyle name="Normal 2 2 2 2 2 2 2 2 2 2 2 2 52" xfId="9781" xr:uid="{7FC97EC9-29FA-4909-A03E-BC6E03CFB589}"/>
    <cellStyle name="Normal 2 2 2 2 2 2 2 2 2 2 2 2 53" xfId="9782" xr:uid="{034795DA-7533-4630-96A7-FA071A783D32}"/>
    <cellStyle name="Normal 2 2 2 2 2 2 2 2 2 2 2 2 54" xfId="9783" xr:uid="{BDA58660-D8DF-4324-98D3-046DE46D5AB2}"/>
    <cellStyle name="Normal 2 2 2 2 2 2 2 2 2 2 2 2 55" xfId="9784" xr:uid="{8A44315F-BF85-40D9-BBB2-A34490A3CE56}"/>
    <cellStyle name="Normal 2 2 2 2 2 2 2 2 2 2 2 2 56" xfId="9785" xr:uid="{7D4AFCFC-0FB8-4F9C-93B9-F24FD82B40B9}"/>
    <cellStyle name="Normal 2 2 2 2 2 2 2 2 2 2 2 2 57" xfId="9786" xr:uid="{E95B615E-0C0A-4BEB-BEF0-A7213827A4F1}"/>
    <cellStyle name="Normal 2 2 2 2 2 2 2 2 2 2 2 2 58" xfId="9787" xr:uid="{A338ABD0-67BE-4744-B0AA-0550086C269A}"/>
    <cellStyle name="Normal 2 2 2 2 2 2 2 2 2 2 2 2 59" xfId="9788" xr:uid="{3E64E397-132F-446C-A4C4-EEADCA99CA34}"/>
    <cellStyle name="Normal 2 2 2 2 2 2 2 2 2 2 2 2 6" xfId="9789" xr:uid="{9A1F362F-47DE-4F01-AC33-C0E6B27196DD}"/>
    <cellStyle name="Normal 2 2 2 2 2 2 2 2 2 2 2 2 60" xfId="9790" xr:uid="{254B6A28-2EAE-4531-BCFB-9E4296BADB86}"/>
    <cellStyle name="Normal 2 2 2 2 2 2 2 2 2 2 2 2 61" xfId="9791" xr:uid="{8431BF6F-E37A-49D5-9FD4-BE461C12C00D}"/>
    <cellStyle name="Normal 2 2 2 2 2 2 2 2 2 2 2 2 62" xfId="9792" xr:uid="{EE393D47-83FF-41F0-A345-FCBED5F74748}"/>
    <cellStyle name="Normal 2 2 2 2 2 2 2 2 2 2 2 2 63" xfId="9793" xr:uid="{1F9E1159-DCE9-43C5-9AC0-1014DA2A8EFD}"/>
    <cellStyle name="Normal 2 2 2 2 2 2 2 2 2 2 2 2 64" xfId="9794" xr:uid="{3DC9074B-2328-4252-8BD1-52D1ABEB7F5D}"/>
    <cellStyle name="Normal 2 2 2 2 2 2 2 2 2 2 2 2 65" xfId="9795" xr:uid="{76A1F94D-06A6-4E64-8EE9-D5C8E7EAE3B0}"/>
    <cellStyle name="Normal 2 2 2 2 2 2 2 2 2 2 2 2 66" xfId="9796" xr:uid="{B0A0B88E-061D-4D30-B6DA-C8C589E0FC7F}"/>
    <cellStyle name="Normal 2 2 2 2 2 2 2 2 2 2 2 2 67" xfId="9797" xr:uid="{AD9C68F0-3B67-4861-A433-4EDCAFAEBE03}"/>
    <cellStyle name="Normal 2 2 2 2 2 2 2 2 2 2 2 2 68" xfId="9798" xr:uid="{C7E61CF9-877E-4D5D-A244-A548DBA5F06C}"/>
    <cellStyle name="Normal 2 2 2 2 2 2 2 2 2 2 2 2 69" xfId="9799" xr:uid="{923F4379-C2E8-4826-97C6-FA134CCEE97B}"/>
    <cellStyle name="Normal 2 2 2 2 2 2 2 2 2 2 2 2 7" xfId="9800" xr:uid="{C507DF5C-B840-40D5-B527-A1F40232F58A}"/>
    <cellStyle name="Normal 2 2 2 2 2 2 2 2 2 2 2 2 70" xfId="9801" xr:uid="{CBBDF0D4-450A-4545-BF89-5E2ED16917DA}"/>
    <cellStyle name="Normal 2 2 2 2 2 2 2 2 2 2 2 2 71" xfId="9802" xr:uid="{0CA65F1A-499A-4643-AAC2-974F67B6D3FA}"/>
    <cellStyle name="Normal 2 2 2 2 2 2 2 2 2 2 2 2 72" xfId="9803" xr:uid="{547A78AB-C5E9-40CF-B0F8-62640A1E770A}"/>
    <cellStyle name="Normal 2 2 2 2 2 2 2 2 2 2 2 2 73" xfId="9804" xr:uid="{85D820AF-F527-42F3-9FDD-1F6634B75B3A}"/>
    <cellStyle name="Normal 2 2 2 2 2 2 2 2 2 2 2 2 74" xfId="9805" xr:uid="{E21D45E9-1C89-460F-8650-58A12D1B7E6A}"/>
    <cellStyle name="Normal 2 2 2 2 2 2 2 2 2 2 2 2 75" xfId="9806" xr:uid="{B34FB76D-A9F5-434A-87F0-D0072F7F26EF}"/>
    <cellStyle name="Normal 2 2 2 2 2 2 2 2 2 2 2 2 76" xfId="9807" xr:uid="{74B646CB-FD74-469F-90F7-688B1303CD4E}"/>
    <cellStyle name="Normal 2 2 2 2 2 2 2 2 2 2 2 2 77" xfId="9808" xr:uid="{B8400A6D-8C72-4599-8B55-277DE13B4C24}"/>
    <cellStyle name="Normal 2 2 2 2 2 2 2 2 2 2 2 2 78" xfId="9809" xr:uid="{84103A5B-0148-416A-AEFE-828DA9C2D17A}"/>
    <cellStyle name="Normal 2 2 2 2 2 2 2 2 2 2 2 2 79" xfId="9810" xr:uid="{D70DD1B8-0A15-43F8-BD59-54C7C03CD436}"/>
    <cellStyle name="Normal 2 2 2 2 2 2 2 2 2 2 2 2 8" xfId="9811" xr:uid="{4F7871D8-4EC6-4B3B-A2AF-C23BD10EF05E}"/>
    <cellStyle name="Normal 2 2 2 2 2 2 2 2 2 2 2 2 8 10" xfId="9812" xr:uid="{DE0FD20B-8032-467A-9780-C9B483C8DD87}"/>
    <cellStyle name="Normal 2 2 2 2 2 2 2 2 2 2 2 2 8 11" xfId="9813" xr:uid="{4CBC2141-A629-40A3-BD2A-50004E251BF8}"/>
    <cellStyle name="Normal 2 2 2 2 2 2 2 2 2 2 2 2 8 11 10" xfId="9814" xr:uid="{3E19BEEC-63BB-41BC-85B5-4A2F99594300}"/>
    <cellStyle name="Normal 2 2 2 2 2 2 2 2 2 2 2 2 8 11 11" xfId="9815" xr:uid="{4268104B-3A4E-498C-8FF6-BB29C3E39C78}"/>
    <cellStyle name="Normal 2 2 2 2 2 2 2 2 2 2 2 2 8 11 11 2" xfId="9816" xr:uid="{E3A97D34-8384-4F79-9113-DDA6D3FE8310}"/>
    <cellStyle name="Normal 2 2 2 2 2 2 2 2 2 2 2 2 8 11 11 3" xfId="9817" xr:uid="{AAF1148C-4B66-4145-8D11-79FC3AAC1348}"/>
    <cellStyle name="Normal 2 2 2 2 2 2 2 2 2 2 2 2 8 11 11 4" xfId="9818" xr:uid="{984FDA8B-A6FF-431A-9202-C34171697993}"/>
    <cellStyle name="Normal 2 2 2 2 2 2 2 2 2 2 2 2 8 11 12" xfId="9819" xr:uid="{71D4C3A4-0FF4-43E9-9268-EF6D47BFC34B}"/>
    <cellStyle name="Normal 2 2 2 2 2 2 2 2 2 2 2 2 8 11 13" xfId="9820" xr:uid="{C9E5D5CE-5C39-4088-9730-75B2E19A4FC8}"/>
    <cellStyle name="Normal 2 2 2 2 2 2 2 2 2 2 2 2 8 11 14" xfId="9821" xr:uid="{0BD87CF6-2859-4751-A8B2-E6E4F777FD7D}"/>
    <cellStyle name="Normal 2 2 2 2 2 2 2 2 2 2 2 2 8 11 2" xfId="9822" xr:uid="{8F041499-FD45-4642-B7B9-13493FC0E864}"/>
    <cellStyle name="Normal 2 2 2 2 2 2 2 2 2 2 2 2 8 11 2 10" xfId="9823" xr:uid="{16535C87-4BEC-411D-B5BA-6FC6AFD0AA9B}"/>
    <cellStyle name="Normal 2 2 2 2 2 2 2 2 2 2 2 2 8 11 2 11" xfId="9824" xr:uid="{48790D15-415A-4AEC-9233-793840DEE007}"/>
    <cellStyle name="Normal 2 2 2 2 2 2 2 2 2 2 2 2 8 11 2 2" xfId="9825" xr:uid="{F53FFC25-5F6A-4168-A100-393107FA038B}"/>
    <cellStyle name="Normal 2 2 2 2 2 2 2 2 2 2 2 2 8 11 2 2 10" xfId="9826" xr:uid="{B01CC5FA-3C47-4218-9C6B-4AD6A5DBE674}"/>
    <cellStyle name="Normal 2 2 2 2 2 2 2 2 2 2 2 2 8 11 2 2 11" xfId="9827" xr:uid="{08D9AAF0-0520-4DCF-A6EB-8457CF8F8B06}"/>
    <cellStyle name="Normal 2 2 2 2 2 2 2 2 2 2 2 2 8 11 2 2 2" xfId="9828" xr:uid="{9C912269-C614-4A4B-8FCC-A365695B324E}"/>
    <cellStyle name="Normal 2 2 2 2 2 2 2 2 2 2 2 2 8 11 2 2 2 2" xfId="9829" xr:uid="{6F815FC5-C4E7-4817-9339-F4917E3545F2}"/>
    <cellStyle name="Normal 2 2 2 2 2 2 2 2 2 2 2 2 8 11 2 2 2 2 2" xfId="9830" xr:uid="{13BA0A0D-0BD9-4BD2-80C2-99F19D3596E7}"/>
    <cellStyle name="Normal 2 2 2 2 2 2 2 2 2 2 2 2 8 11 2 2 2 2 3" xfId="9831" xr:uid="{B5689D41-E447-4C8F-AD7D-3DFEDFBD483C}"/>
    <cellStyle name="Normal 2 2 2 2 2 2 2 2 2 2 2 2 8 11 2 2 2 2 4" xfId="9832" xr:uid="{8EE1658D-EB8D-46AE-9D11-803507D8C2DD}"/>
    <cellStyle name="Normal 2 2 2 2 2 2 2 2 2 2 2 2 8 11 2 2 2 3" xfId="9833" xr:uid="{9F4784E7-17E9-4C41-A59E-24CED26FD394}"/>
    <cellStyle name="Normal 2 2 2 2 2 2 2 2 2 2 2 2 8 11 2 2 2 4" xfId="9834" xr:uid="{5392BA21-FB40-405B-8D71-A5C8962EB3BA}"/>
    <cellStyle name="Normal 2 2 2 2 2 2 2 2 2 2 2 2 8 11 2 2 2 5" xfId="9835" xr:uid="{CFDB7467-C9C4-431A-98F5-20C46EB1195A}"/>
    <cellStyle name="Normal 2 2 2 2 2 2 2 2 2 2 2 2 8 11 2 2 2 6" xfId="9836" xr:uid="{A3405FB7-AC32-4084-B9F6-D09C5E8BA1E1}"/>
    <cellStyle name="Normal 2 2 2 2 2 2 2 2 2 2 2 2 8 11 2 2 3" xfId="9837" xr:uid="{AC17391B-28B3-4E5E-B6B1-7E7FAF406A19}"/>
    <cellStyle name="Normal 2 2 2 2 2 2 2 2 2 2 2 2 8 11 2 2 4" xfId="9838" xr:uid="{32B01859-B898-4B41-8E27-DFB401F01273}"/>
    <cellStyle name="Normal 2 2 2 2 2 2 2 2 2 2 2 2 8 11 2 2 5" xfId="9839" xr:uid="{8A6A952A-E96D-4A91-BD8E-C06C175729E6}"/>
    <cellStyle name="Normal 2 2 2 2 2 2 2 2 2 2 2 2 8 11 2 2 6" xfId="9840" xr:uid="{A1BD915D-477A-4DAF-88EF-A8C4DB157632}"/>
    <cellStyle name="Normal 2 2 2 2 2 2 2 2 2 2 2 2 8 11 2 2 7" xfId="9841" xr:uid="{EC39D109-B003-419A-9767-C7EF3D164D05}"/>
    <cellStyle name="Normal 2 2 2 2 2 2 2 2 2 2 2 2 8 11 2 2 8" xfId="9842" xr:uid="{08B42A39-8E10-4535-9E5D-DA6066709E74}"/>
    <cellStyle name="Normal 2 2 2 2 2 2 2 2 2 2 2 2 8 11 2 2 8 2" xfId="9843" xr:uid="{8968C18F-9B0D-4F46-930D-91388D868ADF}"/>
    <cellStyle name="Normal 2 2 2 2 2 2 2 2 2 2 2 2 8 11 2 2 8 3" xfId="9844" xr:uid="{D0D709F8-201B-4245-A791-BD287FC0CF22}"/>
    <cellStyle name="Normal 2 2 2 2 2 2 2 2 2 2 2 2 8 11 2 2 8 4" xfId="9845" xr:uid="{816BC306-C5B6-49A3-9783-2B9638686F10}"/>
    <cellStyle name="Normal 2 2 2 2 2 2 2 2 2 2 2 2 8 11 2 2 9" xfId="9846" xr:uid="{79B906C9-9420-4BA2-8BB1-7DC8771B81FC}"/>
    <cellStyle name="Normal 2 2 2 2 2 2 2 2 2 2 2 2 8 11 2 3" xfId="9847" xr:uid="{881141CA-6F3F-4FAF-8808-567A09F6ED16}"/>
    <cellStyle name="Normal 2 2 2 2 2 2 2 2 2 2 2 2 8 11 2 3 2" xfId="9848" xr:uid="{17F2E6C7-CAB0-4809-B87A-042AC7B49BCB}"/>
    <cellStyle name="Normal 2 2 2 2 2 2 2 2 2 2 2 2 8 11 2 3 2 2" xfId="9849" xr:uid="{CA090B2A-08E2-4357-A09D-24574915489D}"/>
    <cellStyle name="Normal 2 2 2 2 2 2 2 2 2 2 2 2 8 11 2 3 2 3" xfId="9850" xr:uid="{13C51347-6513-4594-84CE-A4DC16C6628A}"/>
    <cellStyle name="Normal 2 2 2 2 2 2 2 2 2 2 2 2 8 11 2 3 2 4" xfId="9851" xr:uid="{301D9554-B189-4575-9C5E-937239EAFEE8}"/>
    <cellStyle name="Normal 2 2 2 2 2 2 2 2 2 2 2 2 8 11 2 3 3" xfId="9852" xr:uid="{71C3FAF9-0D39-4C6D-8164-E87AA540C795}"/>
    <cellStyle name="Normal 2 2 2 2 2 2 2 2 2 2 2 2 8 11 2 3 4" xfId="9853" xr:uid="{05B01BD2-E33C-4502-BD06-4AF27A017570}"/>
    <cellStyle name="Normal 2 2 2 2 2 2 2 2 2 2 2 2 8 11 2 3 5" xfId="9854" xr:uid="{391BBFE9-6854-4DDF-AAE9-A4B49BAA16AD}"/>
    <cellStyle name="Normal 2 2 2 2 2 2 2 2 2 2 2 2 8 11 2 3 6" xfId="9855" xr:uid="{292FFF05-A08E-4CD2-BF16-B39D9545C26B}"/>
    <cellStyle name="Normal 2 2 2 2 2 2 2 2 2 2 2 2 8 11 2 4" xfId="9856" xr:uid="{85B5D00E-9996-419F-BF8F-263C13BD53CD}"/>
    <cellStyle name="Normal 2 2 2 2 2 2 2 2 2 2 2 2 8 11 2 5" xfId="9857" xr:uid="{120E170C-22BF-4A8D-A7D3-2DEF420551D3}"/>
    <cellStyle name="Normal 2 2 2 2 2 2 2 2 2 2 2 2 8 11 2 6" xfId="9858" xr:uid="{ED46FE48-6AC3-4DDF-940A-B0D1F34725BA}"/>
    <cellStyle name="Normal 2 2 2 2 2 2 2 2 2 2 2 2 8 11 2 7" xfId="9859" xr:uid="{200BF4F5-BE5C-41C3-84F6-2A888ACC091F}"/>
    <cellStyle name="Normal 2 2 2 2 2 2 2 2 2 2 2 2 8 11 2 8" xfId="9860" xr:uid="{C59C7A5C-3396-4520-8B05-E784611A2D55}"/>
    <cellStyle name="Normal 2 2 2 2 2 2 2 2 2 2 2 2 8 11 2 8 2" xfId="9861" xr:uid="{D3DA84AE-367E-4F05-AA76-F9663EA1EDC5}"/>
    <cellStyle name="Normal 2 2 2 2 2 2 2 2 2 2 2 2 8 11 2 8 3" xfId="9862" xr:uid="{781B24B0-BC45-4048-8F06-DE6F21C6F3CD}"/>
    <cellStyle name="Normal 2 2 2 2 2 2 2 2 2 2 2 2 8 11 2 8 4" xfId="9863" xr:uid="{2C1C6CE1-DAAA-4733-9241-76BFCFC4BBB5}"/>
    <cellStyle name="Normal 2 2 2 2 2 2 2 2 2 2 2 2 8 11 2 9" xfId="9864" xr:uid="{34DE97F4-A014-47AD-93BD-F9BD93F0FE6F}"/>
    <cellStyle name="Normal 2 2 2 2 2 2 2 2 2 2 2 2 8 11 3" xfId="9865" xr:uid="{C6ECB0C8-AB17-42BA-8C2C-1BDC4E931059}"/>
    <cellStyle name="Normal 2 2 2 2 2 2 2 2 2 2 2 2 8 11 4" xfId="9866" xr:uid="{AB5F2E8A-6DED-4359-B1C1-60A798F2DEB5}"/>
    <cellStyle name="Normal 2 2 2 2 2 2 2 2 2 2 2 2 8 11 5" xfId="9867" xr:uid="{F4CA240E-E7A7-4012-85CD-8EE2F99B6C73}"/>
    <cellStyle name="Normal 2 2 2 2 2 2 2 2 2 2 2 2 8 11 5 2" xfId="9868" xr:uid="{4EF8746F-8E2D-4F91-972E-624741829CEE}"/>
    <cellStyle name="Normal 2 2 2 2 2 2 2 2 2 2 2 2 8 11 5 2 2" xfId="9869" xr:uid="{A2080DEB-CF67-421A-BA67-A58B48DA0366}"/>
    <cellStyle name="Normal 2 2 2 2 2 2 2 2 2 2 2 2 8 11 5 2 3" xfId="9870" xr:uid="{DEDD05D5-8CFD-42B8-AAB2-B2C75BD10FCA}"/>
    <cellStyle name="Normal 2 2 2 2 2 2 2 2 2 2 2 2 8 11 5 2 4" xfId="9871" xr:uid="{5F36F7DF-1664-4102-B492-9D1FE49FB49D}"/>
    <cellStyle name="Normal 2 2 2 2 2 2 2 2 2 2 2 2 8 11 5 3" xfId="9872" xr:uid="{E37335DF-D072-4937-A2B1-416EA3A688D2}"/>
    <cellStyle name="Normal 2 2 2 2 2 2 2 2 2 2 2 2 8 11 5 4" xfId="9873" xr:uid="{CA66043B-BB9F-4293-89CA-0A9ED63AF388}"/>
    <cellStyle name="Normal 2 2 2 2 2 2 2 2 2 2 2 2 8 11 5 5" xfId="9874" xr:uid="{7A9B68C9-1872-4A1D-94FF-AB40481C3E68}"/>
    <cellStyle name="Normal 2 2 2 2 2 2 2 2 2 2 2 2 8 11 5 6" xfId="9875" xr:uid="{8CAB5685-A758-476A-9C58-74AF8A599B46}"/>
    <cellStyle name="Normal 2 2 2 2 2 2 2 2 2 2 2 2 8 11 6" xfId="9876" xr:uid="{102AFC06-D780-43CE-99D9-DDBEEC6FBDD2}"/>
    <cellStyle name="Normal 2 2 2 2 2 2 2 2 2 2 2 2 8 11 7" xfId="9877" xr:uid="{8BD982A2-6DE6-435B-A53B-D8AFE05F77DD}"/>
    <cellStyle name="Normal 2 2 2 2 2 2 2 2 2 2 2 2 8 11 8" xfId="9878" xr:uid="{C195C53C-239F-4DFF-B5FA-B0B336BFD4EA}"/>
    <cellStyle name="Normal 2 2 2 2 2 2 2 2 2 2 2 2 8 11 9" xfId="9879" xr:uid="{51465705-A776-4C70-9BB8-CB96F61FEAC1}"/>
    <cellStyle name="Normal 2 2 2 2 2 2 2 2 2 2 2 2 8 12" xfId="9880" xr:uid="{C2971326-AFD0-4BDA-8A44-282329EE795D}"/>
    <cellStyle name="Normal 2 2 2 2 2 2 2 2 2 2 2 2 8 13" xfId="9881" xr:uid="{52F5EB0B-8D9A-42B4-B7F3-253DDD33D3C8}"/>
    <cellStyle name="Normal 2 2 2 2 2 2 2 2 2 2 2 2 8 13 10" xfId="9882" xr:uid="{474A1EEA-C697-417A-AF7C-136E0DBC0037}"/>
    <cellStyle name="Normal 2 2 2 2 2 2 2 2 2 2 2 2 8 13 11" xfId="9883" xr:uid="{7EA45C21-DB5C-4BD5-B75E-83E757EAB50A}"/>
    <cellStyle name="Normal 2 2 2 2 2 2 2 2 2 2 2 2 8 13 2" xfId="9884" xr:uid="{EFF49A3E-A41F-4809-90D5-831B33DD44D5}"/>
    <cellStyle name="Normal 2 2 2 2 2 2 2 2 2 2 2 2 8 13 2 10" xfId="9885" xr:uid="{38965056-4974-4D36-9052-B029F61BCCE9}"/>
    <cellStyle name="Normal 2 2 2 2 2 2 2 2 2 2 2 2 8 13 2 11" xfId="9886" xr:uid="{2F8D6611-71FB-4CB3-AA24-F66920BD971C}"/>
    <cellStyle name="Normal 2 2 2 2 2 2 2 2 2 2 2 2 8 13 2 2" xfId="9887" xr:uid="{B31A4F9E-4EBC-4895-9F76-6EEDC0FF84D9}"/>
    <cellStyle name="Normal 2 2 2 2 2 2 2 2 2 2 2 2 8 13 2 2 2" xfId="9888" xr:uid="{D2F80909-BF73-4595-A227-E3C2561D07B6}"/>
    <cellStyle name="Normal 2 2 2 2 2 2 2 2 2 2 2 2 8 13 2 2 2 2" xfId="9889" xr:uid="{E45526FA-DBCE-4426-AF1E-1BB28211666F}"/>
    <cellStyle name="Normal 2 2 2 2 2 2 2 2 2 2 2 2 8 13 2 2 2 3" xfId="9890" xr:uid="{B53D2DDA-33C8-45A3-A4B2-F062A12E8F53}"/>
    <cellStyle name="Normal 2 2 2 2 2 2 2 2 2 2 2 2 8 13 2 2 2 4" xfId="9891" xr:uid="{6B9C6201-77BB-4A30-85C2-06C2BDD9AF0D}"/>
    <cellStyle name="Normal 2 2 2 2 2 2 2 2 2 2 2 2 8 13 2 2 3" xfId="9892" xr:uid="{99A1D91F-3928-4724-8342-9DAA14DA81F8}"/>
    <cellStyle name="Normal 2 2 2 2 2 2 2 2 2 2 2 2 8 13 2 2 4" xfId="9893" xr:uid="{091F3E04-5051-4217-BDF7-22CBCA2F73D5}"/>
    <cellStyle name="Normal 2 2 2 2 2 2 2 2 2 2 2 2 8 13 2 2 5" xfId="9894" xr:uid="{51D3DFA8-BD75-4C6C-BD45-78F45DB9E6FD}"/>
    <cellStyle name="Normal 2 2 2 2 2 2 2 2 2 2 2 2 8 13 2 2 6" xfId="9895" xr:uid="{152CA3F9-7E0F-4B56-BEC8-56EE81BAC967}"/>
    <cellStyle name="Normal 2 2 2 2 2 2 2 2 2 2 2 2 8 13 2 3" xfId="9896" xr:uid="{035C5608-7D3C-499F-83CD-75E677E5FC37}"/>
    <cellStyle name="Normal 2 2 2 2 2 2 2 2 2 2 2 2 8 13 2 4" xfId="9897" xr:uid="{A145693E-DB43-41B6-9612-9CA7B66E1270}"/>
    <cellStyle name="Normal 2 2 2 2 2 2 2 2 2 2 2 2 8 13 2 5" xfId="9898" xr:uid="{56074486-9D5F-49A6-B252-61E086C51078}"/>
    <cellStyle name="Normal 2 2 2 2 2 2 2 2 2 2 2 2 8 13 2 6" xfId="9899" xr:uid="{34D0F66D-7DBC-47C0-A937-F129FC00F213}"/>
    <cellStyle name="Normal 2 2 2 2 2 2 2 2 2 2 2 2 8 13 2 7" xfId="9900" xr:uid="{ECC754DA-0C92-41FE-BDFF-26F69C6A6606}"/>
    <cellStyle name="Normal 2 2 2 2 2 2 2 2 2 2 2 2 8 13 2 8" xfId="9901" xr:uid="{DF18E09D-729A-46D3-A285-7AF1A4928C44}"/>
    <cellStyle name="Normal 2 2 2 2 2 2 2 2 2 2 2 2 8 13 2 8 2" xfId="9902" xr:uid="{3B13D8C8-F34A-4BA1-BDAF-7BDDDFEAF326}"/>
    <cellStyle name="Normal 2 2 2 2 2 2 2 2 2 2 2 2 8 13 2 8 3" xfId="9903" xr:uid="{C6D2CF24-B589-45CE-A57F-5759079C1AAE}"/>
    <cellStyle name="Normal 2 2 2 2 2 2 2 2 2 2 2 2 8 13 2 8 4" xfId="9904" xr:uid="{05787671-2A06-489B-97A5-E01106DECAB2}"/>
    <cellStyle name="Normal 2 2 2 2 2 2 2 2 2 2 2 2 8 13 2 9" xfId="9905" xr:uid="{CAB7A2A5-A926-44C5-AE00-2C7AC9BB431D}"/>
    <cellStyle name="Normal 2 2 2 2 2 2 2 2 2 2 2 2 8 13 3" xfId="9906" xr:uid="{5102929A-CCBD-499F-B65E-5A5B42DBCF4F}"/>
    <cellStyle name="Normal 2 2 2 2 2 2 2 2 2 2 2 2 8 13 3 2" xfId="9907" xr:uid="{9E2E4D0F-A5C5-4456-96A8-23225842E476}"/>
    <cellStyle name="Normal 2 2 2 2 2 2 2 2 2 2 2 2 8 13 3 2 2" xfId="9908" xr:uid="{586B122E-570A-42A1-9389-A740A5880F05}"/>
    <cellStyle name="Normal 2 2 2 2 2 2 2 2 2 2 2 2 8 13 3 2 3" xfId="9909" xr:uid="{C9A815E8-879A-48DF-A9D1-CEDA2C0A0391}"/>
    <cellStyle name="Normal 2 2 2 2 2 2 2 2 2 2 2 2 8 13 3 2 4" xfId="9910" xr:uid="{38B54EE1-6F52-4971-A1E1-2863279A150D}"/>
    <cellStyle name="Normal 2 2 2 2 2 2 2 2 2 2 2 2 8 13 3 3" xfId="9911" xr:uid="{D6AA3CC7-F093-4937-B8B3-6761F1FCCD45}"/>
    <cellStyle name="Normal 2 2 2 2 2 2 2 2 2 2 2 2 8 13 3 4" xfId="9912" xr:uid="{B2645356-926D-49BE-9BE2-35D4793421CF}"/>
    <cellStyle name="Normal 2 2 2 2 2 2 2 2 2 2 2 2 8 13 3 5" xfId="9913" xr:uid="{B01A79AE-7ED8-4C1F-8351-468DF4CDBA5B}"/>
    <cellStyle name="Normal 2 2 2 2 2 2 2 2 2 2 2 2 8 13 3 6" xfId="9914" xr:uid="{6CF913B7-8B2B-476B-B9C2-207A24D5E1ED}"/>
    <cellStyle name="Normal 2 2 2 2 2 2 2 2 2 2 2 2 8 13 4" xfId="9915" xr:uid="{86F28293-0EA4-4C72-A1BB-59218B592E8A}"/>
    <cellStyle name="Normal 2 2 2 2 2 2 2 2 2 2 2 2 8 13 5" xfId="9916" xr:uid="{E4DF27DD-F91E-427E-AAE8-F7EF9BF65EA5}"/>
    <cellStyle name="Normal 2 2 2 2 2 2 2 2 2 2 2 2 8 13 6" xfId="9917" xr:uid="{6349C876-DF7C-46BE-8796-239C9D604A03}"/>
    <cellStyle name="Normal 2 2 2 2 2 2 2 2 2 2 2 2 8 13 7" xfId="9918" xr:uid="{4F1F9C01-33B9-4360-911E-B2B9C4A2A5BC}"/>
    <cellStyle name="Normal 2 2 2 2 2 2 2 2 2 2 2 2 8 13 8" xfId="9919" xr:uid="{550BFE24-6E3A-4330-BA3B-B7D7B1646E42}"/>
    <cellStyle name="Normal 2 2 2 2 2 2 2 2 2 2 2 2 8 13 8 2" xfId="9920" xr:uid="{626077F6-9438-4169-B47A-FF5AB4A2A5C2}"/>
    <cellStyle name="Normal 2 2 2 2 2 2 2 2 2 2 2 2 8 13 8 3" xfId="9921" xr:uid="{74463ECF-B9B6-45B7-A047-D7C87FCC57DF}"/>
    <cellStyle name="Normal 2 2 2 2 2 2 2 2 2 2 2 2 8 13 8 4" xfId="9922" xr:uid="{56E67496-38B3-4AFC-8D07-B8E8375E2153}"/>
    <cellStyle name="Normal 2 2 2 2 2 2 2 2 2 2 2 2 8 13 9" xfId="9923" xr:uid="{9F5AB0DE-034F-4009-AE14-06351AE3A8EA}"/>
    <cellStyle name="Normal 2 2 2 2 2 2 2 2 2 2 2 2 8 14" xfId="9924" xr:uid="{15B7647B-26D8-410F-8724-3F7983DDA2B0}"/>
    <cellStyle name="Normal 2 2 2 2 2 2 2 2 2 2 2 2 8 15" xfId="9925" xr:uid="{D82C62FA-68AF-4FAF-AD81-F1D68FA9F46F}"/>
    <cellStyle name="Normal 2 2 2 2 2 2 2 2 2 2 2 2 8 15 2" xfId="9926" xr:uid="{57906F5E-17BE-4C00-9CD1-32EECA3FC944}"/>
    <cellStyle name="Normal 2 2 2 2 2 2 2 2 2 2 2 2 8 15 2 2" xfId="9927" xr:uid="{9A082836-5156-4D44-839B-F30ED7CE4913}"/>
    <cellStyle name="Normal 2 2 2 2 2 2 2 2 2 2 2 2 8 15 2 3" xfId="9928" xr:uid="{08D372FB-7FCF-44C2-99EA-50D575FA5B81}"/>
    <cellStyle name="Normal 2 2 2 2 2 2 2 2 2 2 2 2 8 15 2 4" xfId="9929" xr:uid="{C570D5D0-CDEC-44E6-A2F0-DA326A96C6D0}"/>
    <cellStyle name="Normal 2 2 2 2 2 2 2 2 2 2 2 2 8 15 3" xfId="9930" xr:uid="{0F5CAE06-EECE-4CBC-A760-034C6F469EB5}"/>
    <cellStyle name="Normal 2 2 2 2 2 2 2 2 2 2 2 2 8 15 4" xfId="9931" xr:uid="{64EC05A0-89AF-471C-9B8F-B0117BF326A0}"/>
    <cellStyle name="Normal 2 2 2 2 2 2 2 2 2 2 2 2 8 15 5" xfId="9932" xr:uid="{11BC6F41-856B-4DD8-9F1B-6BEF95714DFE}"/>
    <cellStyle name="Normal 2 2 2 2 2 2 2 2 2 2 2 2 8 15 6" xfId="9933" xr:uid="{4560AA7B-A5CF-4031-8A20-9E17C6C5DF89}"/>
    <cellStyle name="Normal 2 2 2 2 2 2 2 2 2 2 2 2 8 16" xfId="9934" xr:uid="{AA491454-1D0A-4AB2-B598-4521B1A0CC51}"/>
    <cellStyle name="Normal 2 2 2 2 2 2 2 2 2 2 2 2 8 17" xfId="9935" xr:uid="{69A84BA5-5693-47A7-8DB0-D1263ED0EAEE}"/>
    <cellStyle name="Normal 2 2 2 2 2 2 2 2 2 2 2 2 8 18" xfId="9936" xr:uid="{A4EB14FA-8C1E-49E4-ACA5-1A418863A255}"/>
    <cellStyle name="Normal 2 2 2 2 2 2 2 2 2 2 2 2 8 19" xfId="9937" xr:uid="{1F368A43-5167-4D2A-BD94-A6713B4ACF75}"/>
    <cellStyle name="Normal 2 2 2 2 2 2 2 2 2 2 2 2 8 2" xfId="9938" xr:uid="{36A55C8D-AB8A-4219-A0B0-13E6A7D19E48}"/>
    <cellStyle name="Normal 2 2 2 2 2 2 2 2 2 2 2 2 8 2 10" xfId="9939" xr:uid="{AF0243AC-A035-4F7C-9A03-E0D85AE50A3B}"/>
    <cellStyle name="Normal 2 2 2 2 2 2 2 2 2 2 2 2 8 2 11" xfId="9940" xr:uid="{79042C9B-1B26-45F5-8850-D013540777B5}"/>
    <cellStyle name="Normal 2 2 2 2 2 2 2 2 2 2 2 2 8 2 12" xfId="9941" xr:uid="{919E63B1-2844-4793-851A-94EC4A894A1B}"/>
    <cellStyle name="Normal 2 2 2 2 2 2 2 2 2 2 2 2 8 2 13" xfId="9942" xr:uid="{ED6C7433-863C-49BD-9FC8-A0903EA88DA8}"/>
    <cellStyle name="Normal 2 2 2 2 2 2 2 2 2 2 2 2 8 2 13 2" xfId="9943" xr:uid="{E88F1D70-794C-405D-9FE7-8B432699EF80}"/>
    <cellStyle name="Normal 2 2 2 2 2 2 2 2 2 2 2 2 8 2 13 3" xfId="9944" xr:uid="{FCB828C1-4F79-4FB3-A55D-E231ED2892D5}"/>
    <cellStyle name="Normal 2 2 2 2 2 2 2 2 2 2 2 2 8 2 13 4" xfId="9945" xr:uid="{E6DFFA93-BC11-4E66-BE5E-4FD141D25528}"/>
    <cellStyle name="Normal 2 2 2 2 2 2 2 2 2 2 2 2 8 2 14" xfId="9946" xr:uid="{F4D70237-3451-447A-811D-E2424D6336EA}"/>
    <cellStyle name="Normal 2 2 2 2 2 2 2 2 2 2 2 2 8 2 15" xfId="9947" xr:uid="{6708DA9D-BC82-432B-9704-57DF9FB01896}"/>
    <cellStyle name="Normal 2 2 2 2 2 2 2 2 2 2 2 2 8 2 16" xfId="9948" xr:uid="{7AE899E4-6CD0-482F-87FB-49486E6D6D68}"/>
    <cellStyle name="Normal 2 2 2 2 2 2 2 2 2 2 2 2 8 2 2" xfId="9949" xr:uid="{4CBD517A-86FF-439C-BAA2-CBEE5920D6ED}"/>
    <cellStyle name="Normal 2 2 2 2 2 2 2 2 2 2 2 2 8 2 2 10" xfId="9950" xr:uid="{75AD4EB6-6753-4ABB-B2A1-F67587DF94A1}"/>
    <cellStyle name="Normal 2 2 2 2 2 2 2 2 2 2 2 2 8 2 2 11" xfId="9951" xr:uid="{6EC0F905-04A3-4001-9EA7-32FEF0BE84C8}"/>
    <cellStyle name="Normal 2 2 2 2 2 2 2 2 2 2 2 2 8 2 2 11 2" xfId="9952" xr:uid="{AA523B65-67A1-43F3-82F1-B4C7C23C5039}"/>
    <cellStyle name="Normal 2 2 2 2 2 2 2 2 2 2 2 2 8 2 2 11 3" xfId="9953" xr:uid="{6202CBBD-92CA-431F-8830-D6F867AB8425}"/>
    <cellStyle name="Normal 2 2 2 2 2 2 2 2 2 2 2 2 8 2 2 11 4" xfId="9954" xr:uid="{6F3D07D5-4D1D-4AFC-BF54-7E785FE2A7A1}"/>
    <cellStyle name="Normal 2 2 2 2 2 2 2 2 2 2 2 2 8 2 2 12" xfId="9955" xr:uid="{9B6410E6-3B82-4B26-A230-C24D90E83ADF}"/>
    <cellStyle name="Normal 2 2 2 2 2 2 2 2 2 2 2 2 8 2 2 13" xfId="9956" xr:uid="{90180639-7FED-460E-8FF6-A49649B44ADC}"/>
    <cellStyle name="Normal 2 2 2 2 2 2 2 2 2 2 2 2 8 2 2 14" xfId="9957" xr:uid="{7FE85959-C049-4FA3-81F2-8E33A500FFFE}"/>
    <cellStyle name="Normal 2 2 2 2 2 2 2 2 2 2 2 2 8 2 2 2" xfId="9958" xr:uid="{E9E41C6E-FA01-404A-94B6-BC43A5F04FEB}"/>
    <cellStyle name="Normal 2 2 2 2 2 2 2 2 2 2 2 2 8 2 2 2 10" xfId="9959" xr:uid="{34978C82-1298-49F5-94D3-C676AC489EC0}"/>
    <cellStyle name="Normal 2 2 2 2 2 2 2 2 2 2 2 2 8 2 2 2 11" xfId="9960" xr:uid="{D63E99EB-77B5-4BF7-B3A3-7CBA6B3D0001}"/>
    <cellStyle name="Normal 2 2 2 2 2 2 2 2 2 2 2 2 8 2 2 2 2" xfId="9961" xr:uid="{8203C00D-C48F-4D43-8280-FBEA3D89B3F3}"/>
    <cellStyle name="Normal 2 2 2 2 2 2 2 2 2 2 2 2 8 2 2 2 2 10" xfId="9962" xr:uid="{9793569E-F240-4125-990B-35C263B000F8}"/>
    <cellStyle name="Normal 2 2 2 2 2 2 2 2 2 2 2 2 8 2 2 2 2 11" xfId="9963" xr:uid="{C02540A1-E149-498C-A313-715B698DBE7F}"/>
    <cellStyle name="Normal 2 2 2 2 2 2 2 2 2 2 2 2 8 2 2 2 2 2" xfId="9964" xr:uid="{DD486C47-0C25-4111-813D-872BB846314B}"/>
    <cellStyle name="Normal 2 2 2 2 2 2 2 2 2 2 2 2 8 2 2 2 2 2 2" xfId="9965" xr:uid="{905FEB1D-0A8A-46E2-8CBC-15B972C9E553}"/>
    <cellStyle name="Normal 2 2 2 2 2 2 2 2 2 2 2 2 8 2 2 2 2 2 2 2" xfId="9966" xr:uid="{D3CA6AA7-20D7-4238-9B50-E28EB167C286}"/>
    <cellStyle name="Normal 2 2 2 2 2 2 2 2 2 2 2 2 8 2 2 2 2 2 2 3" xfId="9967" xr:uid="{6855E87E-C49C-4650-AE35-B651390BB875}"/>
    <cellStyle name="Normal 2 2 2 2 2 2 2 2 2 2 2 2 8 2 2 2 2 2 2 4" xfId="9968" xr:uid="{A0DF9966-FC3E-4D4E-B568-8FCE80A87C3B}"/>
    <cellStyle name="Normal 2 2 2 2 2 2 2 2 2 2 2 2 8 2 2 2 2 2 3" xfId="9969" xr:uid="{35671EE2-C4EA-409A-802F-3D3576FFC86A}"/>
    <cellStyle name="Normal 2 2 2 2 2 2 2 2 2 2 2 2 8 2 2 2 2 2 4" xfId="9970" xr:uid="{70829D13-CCC3-405C-92E3-E067A72A89B6}"/>
    <cellStyle name="Normal 2 2 2 2 2 2 2 2 2 2 2 2 8 2 2 2 2 2 5" xfId="9971" xr:uid="{C1874C5E-6DEF-43C1-BD6F-B9800E236CC8}"/>
    <cellStyle name="Normal 2 2 2 2 2 2 2 2 2 2 2 2 8 2 2 2 2 2 6" xfId="9972" xr:uid="{823CC413-30CD-4335-AD5F-F6CDBA0ADF4F}"/>
    <cellStyle name="Normal 2 2 2 2 2 2 2 2 2 2 2 2 8 2 2 2 2 3" xfId="9973" xr:uid="{F453E5EF-2087-4896-B5E8-B6A2C4A6E49A}"/>
    <cellStyle name="Normal 2 2 2 2 2 2 2 2 2 2 2 2 8 2 2 2 2 4" xfId="9974" xr:uid="{9DBE1F5F-929F-4E63-A469-F463CBFEBA29}"/>
    <cellStyle name="Normal 2 2 2 2 2 2 2 2 2 2 2 2 8 2 2 2 2 5" xfId="9975" xr:uid="{DB86524B-8A3F-4324-8485-1E72F87CCE85}"/>
    <cellStyle name="Normal 2 2 2 2 2 2 2 2 2 2 2 2 8 2 2 2 2 6" xfId="9976" xr:uid="{DD340EAC-2E40-477F-878A-7D60FC8ED03F}"/>
    <cellStyle name="Normal 2 2 2 2 2 2 2 2 2 2 2 2 8 2 2 2 2 7" xfId="9977" xr:uid="{CA20358F-28CA-4A85-BF98-4DF3575E649C}"/>
    <cellStyle name="Normal 2 2 2 2 2 2 2 2 2 2 2 2 8 2 2 2 2 8" xfId="9978" xr:uid="{5486B2B6-E5BA-4BF5-B6DD-7CA0999E6C97}"/>
    <cellStyle name="Normal 2 2 2 2 2 2 2 2 2 2 2 2 8 2 2 2 2 8 2" xfId="9979" xr:uid="{ED9BDBD9-0E6A-4670-A6E2-BD4472A785CB}"/>
    <cellStyle name="Normal 2 2 2 2 2 2 2 2 2 2 2 2 8 2 2 2 2 8 3" xfId="9980" xr:uid="{9492FFC4-62E0-40C2-B1B2-8DCB768010D4}"/>
    <cellStyle name="Normal 2 2 2 2 2 2 2 2 2 2 2 2 8 2 2 2 2 8 4" xfId="9981" xr:uid="{D4587F36-24F1-481E-8EA0-55DE2967A94C}"/>
    <cellStyle name="Normal 2 2 2 2 2 2 2 2 2 2 2 2 8 2 2 2 2 9" xfId="9982" xr:uid="{4A3CA402-14E5-4652-BDCE-A5E06607D547}"/>
    <cellStyle name="Normal 2 2 2 2 2 2 2 2 2 2 2 2 8 2 2 2 3" xfId="9983" xr:uid="{E866A5E8-B37F-4914-97D6-CF42139BD55E}"/>
    <cellStyle name="Normal 2 2 2 2 2 2 2 2 2 2 2 2 8 2 2 2 3 2" xfId="9984" xr:uid="{5C08E547-0150-4534-9D1A-D0607CF20FA1}"/>
    <cellStyle name="Normal 2 2 2 2 2 2 2 2 2 2 2 2 8 2 2 2 3 2 2" xfId="9985" xr:uid="{ED3DEFA2-1E15-4DC4-9DDD-36BD35E79254}"/>
    <cellStyle name="Normal 2 2 2 2 2 2 2 2 2 2 2 2 8 2 2 2 3 2 3" xfId="9986" xr:uid="{B0A37043-9CD5-43DB-B4F2-D514C14F8D2E}"/>
    <cellStyle name="Normal 2 2 2 2 2 2 2 2 2 2 2 2 8 2 2 2 3 2 4" xfId="9987" xr:uid="{80DFFC66-9413-4995-809B-934B8E4BB3A6}"/>
    <cellStyle name="Normal 2 2 2 2 2 2 2 2 2 2 2 2 8 2 2 2 3 3" xfId="9988" xr:uid="{899A274E-3947-47C5-BB2B-FCD5FA85CD98}"/>
    <cellStyle name="Normal 2 2 2 2 2 2 2 2 2 2 2 2 8 2 2 2 3 4" xfId="9989" xr:uid="{7F1C0B15-AAF4-4FAE-866A-0B993ECC83F5}"/>
    <cellStyle name="Normal 2 2 2 2 2 2 2 2 2 2 2 2 8 2 2 2 3 5" xfId="9990" xr:uid="{9A5027F2-7AF5-4ADD-B144-AFDCF77BCDBF}"/>
    <cellStyle name="Normal 2 2 2 2 2 2 2 2 2 2 2 2 8 2 2 2 3 6" xfId="9991" xr:uid="{EB3B70A9-22D0-4D5D-8986-0E3F532084E9}"/>
    <cellStyle name="Normal 2 2 2 2 2 2 2 2 2 2 2 2 8 2 2 2 4" xfId="9992" xr:uid="{993242F8-2296-4544-B977-F81E7936C91E}"/>
    <cellStyle name="Normal 2 2 2 2 2 2 2 2 2 2 2 2 8 2 2 2 5" xfId="9993" xr:uid="{294129C9-67A3-4DC2-859F-5E04FFE81BB0}"/>
    <cellStyle name="Normal 2 2 2 2 2 2 2 2 2 2 2 2 8 2 2 2 6" xfId="9994" xr:uid="{9446BBBA-2CD8-4073-9D37-D2DB6BB3ADA4}"/>
    <cellStyle name="Normal 2 2 2 2 2 2 2 2 2 2 2 2 8 2 2 2 7" xfId="9995" xr:uid="{F89D918A-2AE7-4F81-A033-E298360A44CA}"/>
    <cellStyle name="Normal 2 2 2 2 2 2 2 2 2 2 2 2 8 2 2 2 8" xfId="9996" xr:uid="{219E34B4-CD88-4F5B-95A3-2BEF4C16886A}"/>
    <cellStyle name="Normal 2 2 2 2 2 2 2 2 2 2 2 2 8 2 2 2 8 2" xfId="9997" xr:uid="{4A36C397-5E17-4188-9F04-37E4D2B3E0A3}"/>
    <cellStyle name="Normal 2 2 2 2 2 2 2 2 2 2 2 2 8 2 2 2 8 3" xfId="9998" xr:uid="{EEDC9567-EDBB-43E6-AEF0-64BE2836A429}"/>
    <cellStyle name="Normal 2 2 2 2 2 2 2 2 2 2 2 2 8 2 2 2 8 4" xfId="9999" xr:uid="{06B18977-0D43-4AC2-8F40-24D31E74D415}"/>
    <cellStyle name="Normal 2 2 2 2 2 2 2 2 2 2 2 2 8 2 2 2 9" xfId="10000" xr:uid="{A0FB6CF8-BA89-4308-828E-A14AAE398545}"/>
    <cellStyle name="Normal 2 2 2 2 2 2 2 2 2 2 2 2 8 2 2 3" xfId="10001" xr:uid="{0BC82C89-3E4F-459D-9474-4A68712B2D0B}"/>
    <cellStyle name="Normal 2 2 2 2 2 2 2 2 2 2 2 2 8 2 2 4" xfId="10002" xr:uid="{204CD44E-8878-44C4-B6EE-9DE16D53DE15}"/>
    <cellStyle name="Normal 2 2 2 2 2 2 2 2 2 2 2 2 8 2 2 5" xfId="10003" xr:uid="{7DB80200-EA1B-4CE8-AA8B-8644403D76C3}"/>
    <cellStyle name="Normal 2 2 2 2 2 2 2 2 2 2 2 2 8 2 2 5 2" xfId="10004" xr:uid="{45A9B214-876E-4E53-8028-EA381FDBE470}"/>
    <cellStyle name="Normal 2 2 2 2 2 2 2 2 2 2 2 2 8 2 2 5 2 2" xfId="10005" xr:uid="{00CFCD35-FD20-4995-A7A3-A8458CBB1168}"/>
    <cellStyle name="Normal 2 2 2 2 2 2 2 2 2 2 2 2 8 2 2 5 2 3" xfId="10006" xr:uid="{D580E602-0CEE-4D3B-AD97-5C67C92CFF27}"/>
    <cellStyle name="Normal 2 2 2 2 2 2 2 2 2 2 2 2 8 2 2 5 2 4" xfId="10007" xr:uid="{30925D1F-029B-4FF5-B9B2-770AB73A3A63}"/>
    <cellStyle name="Normal 2 2 2 2 2 2 2 2 2 2 2 2 8 2 2 5 3" xfId="10008" xr:uid="{6B53E945-DCD2-4D3F-AD0E-8046966E9B2A}"/>
    <cellStyle name="Normal 2 2 2 2 2 2 2 2 2 2 2 2 8 2 2 5 4" xfId="10009" xr:uid="{2A3DB5C8-FF2E-40A8-9D1C-1D9F7D583A7F}"/>
    <cellStyle name="Normal 2 2 2 2 2 2 2 2 2 2 2 2 8 2 2 5 5" xfId="10010" xr:uid="{55B01471-350E-45F3-9747-B74A9FAB9673}"/>
    <cellStyle name="Normal 2 2 2 2 2 2 2 2 2 2 2 2 8 2 2 5 6" xfId="10011" xr:uid="{E1506108-BF49-4C35-98E5-276143AD1022}"/>
    <cellStyle name="Normal 2 2 2 2 2 2 2 2 2 2 2 2 8 2 2 6" xfId="10012" xr:uid="{FB685EA2-671D-43E3-91A0-46336E6D26ED}"/>
    <cellStyle name="Normal 2 2 2 2 2 2 2 2 2 2 2 2 8 2 2 7" xfId="10013" xr:uid="{855205AF-7339-4DA7-8217-68B7E185B8D6}"/>
    <cellStyle name="Normal 2 2 2 2 2 2 2 2 2 2 2 2 8 2 2 8" xfId="10014" xr:uid="{ABBEB4D8-8021-4BA1-B6EC-BBC0CE5F3154}"/>
    <cellStyle name="Normal 2 2 2 2 2 2 2 2 2 2 2 2 8 2 2 9" xfId="10015" xr:uid="{2B415240-34E1-4C1B-B788-9B8E38D6103E}"/>
    <cellStyle name="Normal 2 2 2 2 2 2 2 2 2 2 2 2 8 2 3" xfId="10016" xr:uid="{0185CE46-30CA-4D67-B341-775CC9EE3A86}"/>
    <cellStyle name="Normal 2 2 2 2 2 2 2 2 2 2 2 2 8 2 4" xfId="10017" xr:uid="{3CF72A26-B045-452B-9616-AA1088B5F405}"/>
    <cellStyle name="Normal 2 2 2 2 2 2 2 2 2 2 2 2 8 2 5" xfId="10018" xr:uid="{DB424BF3-A0CB-40A0-B8D9-EB93F78485F6}"/>
    <cellStyle name="Normal 2 2 2 2 2 2 2 2 2 2 2 2 8 2 5 10" xfId="10019" xr:uid="{26B0C43B-AAF3-40CD-BC6A-79BA595F0938}"/>
    <cellStyle name="Normal 2 2 2 2 2 2 2 2 2 2 2 2 8 2 5 11" xfId="10020" xr:uid="{B858A6E0-7C6B-4623-8D73-3E2B6D09B2B3}"/>
    <cellStyle name="Normal 2 2 2 2 2 2 2 2 2 2 2 2 8 2 5 2" xfId="10021" xr:uid="{1CFE33FB-F12F-43BF-84AD-BB9843D864BC}"/>
    <cellStyle name="Normal 2 2 2 2 2 2 2 2 2 2 2 2 8 2 5 2 10" xfId="10022" xr:uid="{6CFB9BD8-664F-4EA3-B8D4-5310E4559BA0}"/>
    <cellStyle name="Normal 2 2 2 2 2 2 2 2 2 2 2 2 8 2 5 2 11" xfId="10023" xr:uid="{5E580BFF-50A6-4BEA-9506-61E5172845A0}"/>
    <cellStyle name="Normal 2 2 2 2 2 2 2 2 2 2 2 2 8 2 5 2 2" xfId="10024" xr:uid="{FBE7972F-861E-4C2E-958C-5B377FD74A32}"/>
    <cellStyle name="Normal 2 2 2 2 2 2 2 2 2 2 2 2 8 2 5 2 2 2" xfId="10025" xr:uid="{EEA776C1-09D0-4333-8222-22A589554233}"/>
    <cellStyle name="Normal 2 2 2 2 2 2 2 2 2 2 2 2 8 2 5 2 2 2 2" xfId="10026" xr:uid="{916C137C-1712-495F-917B-D61447385381}"/>
    <cellStyle name="Normal 2 2 2 2 2 2 2 2 2 2 2 2 8 2 5 2 2 2 3" xfId="10027" xr:uid="{A37D1684-5F89-4C83-A0BA-DDE8575C5AE1}"/>
    <cellStyle name="Normal 2 2 2 2 2 2 2 2 2 2 2 2 8 2 5 2 2 2 4" xfId="10028" xr:uid="{BE784E37-D932-499B-A4EA-F998FDA2829E}"/>
    <cellStyle name="Normal 2 2 2 2 2 2 2 2 2 2 2 2 8 2 5 2 2 3" xfId="10029" xr:uid="{42E5370E-246E-49A4-AAF5-15992CEA6C64}"/>
    <cellStyle name="Normal 2 2 2 2 2 2 2 2 2 2 2 2 8 2 5 2 2 4" xfId="10030" xr:uid="{AA059671-6EED-4A24-A161-DB08CE112640}"/>
    <cellStyle name="Normal 2 2 2 2 2 2 2 2 2 2 2 2 8 2 5 2 2 5" xfId="10031" xr:uid="{763494D3-7DE2-49CB-8F37-92FF6C3DA6C8}"/>
    <cellStyle name="Normal 2 2 2 2 2 2 2 2 2 2 2 2 8 2 5 2 2 6" xfId="10032" xr:uid="{72F8D3ED-108D-4557-8BD5-4ABDCA88CD00}"/>
    <cellStyle name="Normal 2 2 2 2 2 2 2 2 2 2 2 2 8 2 5 2 3" xfId="10033" xr:uid="{7FB73D3B-C531-4056-A256-500FB674A7D5}"/>
    <cellStyle name="Normal 2 2 2 2 2 2 2 2 2 2 2 2 8 2 5 2 4" xfId="10034" xr:uid="{FD340E27-A243-468E-890E-C6F4ECCFEC57}"/>
    <cellStyle name="Normal 2 2 2 2 2 2 2 2 2 2 2 2 8 2 5 2 5" xfId="10035" xr:uid="{616A73C1-470B-4096-B062-9CA8DB23D445}"/>
    <cellStyle name="Normal 2 2 2 2 2 2 2 2 2 2 2 2 8 2 5 2 6" xfId="10036" xr:uid="{E067AF5C-DA6A-48AF-9260-77428BF57854}"/>
    <cellStyle name="Normal 2 2 2 2 2 2 2 2 2 2 2 2 8 2 5 2 7" xfId="10037" xr:uid="{1948BDE3-AE7F-422F-9BC4-23DC3FF7D246}"/>
    <cellStyle name="Normal 2 2 2 2 2 2 2 2 2 2 2 2 8 2 5 2 8" xfId="10038" xr:uid="{F80CC51C-9ED6-4ECE-9D95-15F79523B73F}"/>
    <cellStyle name="Normal 2 2 2 2 2 2 2 2 2 2 2 2 8 2 5 2 8 2" xfId="10039" xr:uid="{031B0F34-D3DD-465B-8F9D-85C788682AC7}"/>
    <cellStyle name="Normal 2 2 2 2 2 2 2 2 2 2 2 2 8 2 5 2 8 3" xfId="10040" xr:uid="{DFB4E5D8-BC6C-4950-887E-FB5B67106386}"/>
    <cellStyle name="Normal 2 2 2 2 2 2 2 2 2 2 2 2 8 2 5 2 8 4" xfId="10041" xr:uid="{4574A6C9-31FF-4B86-AE70-F671123F7516}"/>
    <cellStyle name="Normal 2 2 2 2 2 2 2 2 2 2 2 2 8 2 5 2 9" xfId="10042" xr:uid="{52BE35E0-78F8-4F36-BFCE-E6FE83E19D0A}"/>
    <cellStyle name="Normal 2 2 2 2 2 2 2 2 2 2 2 2 8 2 5 3" xfId="10043" xr:uid="{5C4ED8FC-0C92-4299-9371-9A67EEF8A826}"/>
    <cellStyle name="Normal 2 2 2 2 2 2 2 2 2 2 2 2 8 2 5 3 2" xfId="10044" xr:uid="{1882DCF3-E61D-46C1-869E-FACDB56FF958}"/>
    <cellStyle name="Normal 2 2 2 2 2 2 2 2 2 2 2 2 8 2 5 3 2 2" xfId="10045" xr:uid="{EE76E5BA-CE67-4CF0-AE94-3A7EB645637F}"/>
    <cellStyle name="Normal 2 2 2 2 2 2 2 2 2 2 2 2 8 2 5 3 2 3" xfId="10046" xr:uid="{D93E757E-FDF8-4E5C-B8F3-CCA41BFD119A}"/>
    <cellStyle name="Normal 2 2 2 2 2 2 2 2 2 2 2 2 8 2 5 3 2 4" xfId="10047" xr:uid="{EEE2AEB7-5935-4A6E-B9BE-A12C55CAFB87}"/>
    <cellStyle name="Normal 2 2 2 2 2 2 2 2 2 2 2 2 8 2 5 3 3" xfId="10048" xr:uid="{3713CBD4-8CDD-417D-A46B-0A640E6F368B}"/>
    <cellStyle name="Normal 2 2 2 2 2 2 2 2 2 2 2 2 8 2 5 3 4" xfId="10049" xr:uid="{37A1649C-EB18-4240-A0D6-00100B24622F}"/>
    <cellStyle name="Normal 2 2 2 2 2 2 2 2 2 2 2 2 8 2 5 3 5" xfId="10050" xr:uid="{06ADDB35-40E4-4506-BA0E-E3E15E8A1A7B}"/>
    <cellStyle name="Normal 2 2 2 2 2 2 2 2 2 2 2 2 8 2 5 3 6" xfId="10051" xr:uid="{61788EC1-7900-46F8-ABBA-BF8DC91D79DE}"/>
    <cellStyle name="Normal 2 2 2 2 2 2 2 2 2 2 2 2 8 2 5 4" xfId="10052" xr:uid="{7D70F5E2-217A-4FA1-BE5A-980348F6E2EC}"/>
    <cellStyle name="Normal 2 2 2 2 2 2 2 2 2 2 2 2 8 2 5 5" xfId="10053" xr:uid="{54C5444B-2C57-49E4-92CB-4B330493E162}"/>
    <cellStyle name="Normal 2 2 2 2 2 2 2 2 2 2 2 2 8 2 5 6" xfId="10054" xr:uid="{FCC2D3C3-ECCC-4074-9F09-407D90A89CB9}"/>
    <cellStyle name="Normal 2 2 2 2 2 2 2 2 2 2 2 2 8 2 5 7" xfId="10055" xr:uid="{68E2D7A3-AC23-4977-8B61-7672F1D8380D}"/>
    <cellStyle name="Normal 2 2 2 2 2 2 2 2 2 2 2 2 8 2 5 8" xfId="10056" xr:uid="{203C1B06-3E1D-473E-9B63-AB03A2086A54}"/>
    <cellStyle name="Normal 2 2 2 2 2 2 2 2 2 2 2 2 8 2 5 8 2" xfId="10057" xr:uid="{8B7DC796-0491-46B2-A632-58C77D1AF36F}"/>
    <cellStyle name="Normal 2 2 2 2 2 2 2 2 2 2 2 2 8 2 5 8 3" xfId="10058" xr:uid="{C60D7E45-0180-4841-B095-26F573E394B4}"/>
    <cellStyle name="Normal 2 2 2 2 2 2 2 2 2 2 2 2 8 2 5 8 4" xfId="10059" xr:uid="{53CA5EE9-EAE7-4A93-B760-EE950CBA4ADC}"/>
    <cellStyle name="Normal 2 2 2 2 2 2 2 2 2 2 2 2 8 2 5 9" xfId="10060" xr:uid="{110D6D4F-9B23-4F61-91C7-3E6F6724848B}"/>
    <cellStyle name="Normal 2 2 2 2 2 2 2 2 2 2 2 2 8 2 6" xfId="10061" xr:uid="{4CD3CF04-7CA9-47E1-9520-E93A7C0F29DC}"/>
    <cellStyle name="Normal 2 2 2 2 2 2 2 2 2 2 2 2 8 2 7" xfId="10062" xr:uid="{793DF893-3368-4C08-B4D0-DAC9B7262563}"/>
    <cellStyle name="Normal 2 2 2 2 2 2 2 2 2 2 2 2 8 2 7 2" xfId="10063" xr:uid="{BCD7C0C5-C837-4296-86CC-323A6C0EDCA9}"/>
    <cellStyle name="Normal 2 2 2 2 2 2 2 2 2 2 2 2 8 2 7 2 2" xfId="10064" xr:uid="{42F114CE-04E6-482B-BEA4-EC56988B7912}"/>
    <cellStyle name="Normal 2 2 2 2 2 2 2 2 2 2 2 2 8 2 7 2 3" xfId="10065" xr:uid="{7A800342-80A0-47E1-9957-080113AE69F1}"/>
    <cellStyle name="Normal 2 2 2 2 2 2 2 2 2 2 2 2 8 2 7 2 4" xfId="10066" xr:uid="{7B00BE75-400D-46B6-9B09-47E4E9FBADEF}"/>
    <cellStyle name="Normal 2 2 2 2 2 2 2 2 2 2 2 2 8 2 7 3" xfId="10067" xr:uid="{989623DA-110A-43B3-9449-0621557FEAE3}"/>
    <cellStyle name="Normal 2 2 2 2 2 2 2 2 2 2 2 2 8 2 7 4" xfId="10068" xr:uid="{96ED3AAD-67E2-4838-A091-C13B3D21060A}"/>
    <cellStyle name="Normal 2 2 2 2 2 2 2 2 2 2 2 2 8 2 7 5" xfId="10069" xr:uid="{8DBC4BC2-C0C9-40E7-93F2-A63E1EF33721}"/>
    <cellStyle name="Normal 2 2 2 2 2 2 2 2 2 2 2 2 8 2 7 6" xfId="10070" xr:uid="{B8472E55-4B6A-41D6-9155-0EB384B79402}"/>
    <cellStyle name="Normal 2 2 2 2 2 2 2 2 2 2 2 2 8 2 8" xfId="10071" xr:uid="{1D461CB4-93E5-4AC7-A611-AFDD6EAC1BEB}"/>
    <cellStyle name="Normal 2 2 2 2 2 2 2 2 2 2 2 2 8 2 9" xfId="10072" xr:uid="{6D26086F-95D0-4D65-B2AC-8125A9541E19}"/>
    <cellStyle name="Normal 2 2 2 2 2 2 2 2 2 2 2 2 8 20" xfId="10073" xr:uid="{8B1125C1-1950-4DA4-B2DF-55E2F648CF69}"/>
    <cellStyle name="Normal 2 2 2 2 2 2 2 2 2 2 2 2 8 21" xfId="10074" xr:uid="{89190F1F-4CB1-4608-B665-DB46DC63C419}"/>
    <cellStyle name="Normal 2 2 2 2 2 2 2 2 2 2 2 2 8 21 2" xfId="10075" xr:uid="{15E0A148-FE19-40A5-96D7-0FB60AA1099C}"/>
    <cellStyle name="Normal 2 2 2 2 2 2 2 2 2 2 2 2 8 21 3" xfId="10076" xr:uid="{75F5B4DE-45B9-4E41-8901-F4048B79A1C1}"/>
    <cellStyle name="Normal 2 2 2 2 2 2 2 2 2 2 2 2 8 21 4" xfId="10077" xr:uid="{6BFBDA63-1E70-4141-8922-390A5CB98DEC}"/>
    <cellStyle name="Normal 2 2 2 2 2 2 2 2 2 2 2 2 8 22" xfId="10078" xr:uid="{E2EB77A8-C614-445F-B7B8-96BD42169687}"/>
    <cellStyle name="Normal 2 2 2 2 2 2 2 2 2 2 2 2 8 23" xfId="10079" xr:uid="{620AD8C6-F0C5-4E5F-8F1B-38D1ABFFE14E}"/>
    <cellStyle name="Normal 2 2 2 2 2 2 2 2 2 2 2 2 8 24" xfId="10080" xr:uid="{E5B371AA-07F2-47AA-8871-69CDB571323E}"/>
    <cellStyle name="Normal 2 2 2 2 2 2 2 2 2 2 2 2 8 3" xfId="10081" xr:uid="{78696A2F-49E0-42C8-BC3B-282E182F7E3B}"/>
    <cellStyle name="Normal 2 2 2 2 2 2 2 2 2 2 2 2 8 4" xfId="10082" xr:uid="{46BF8EBC-F739-4AAD-83B0-8647FC993F20}"/>
    <cellStyle name="Normal 2 2 2 2 2 2 2 2 2 2 2 2 8 5" xfId="10083" xr:uid="{969FE784-9CD9-4B10-B337-F4C60CB6FD21}"/>
    <cellStyle name="Normal 2 2 2 2 2 2 2 2 2 2 2 2 8 6" xfId="10084" xr:uid="{C60AB413-6051-433C-A206-85606AB07E36}"/>
    <cellStyle name="Normal 2 2 2 2 2 2 2 2 2 2 2 2 8 7" xfId="10085" xr:uid="{82654965-35EE-4857-8340-766E2032BA6E}"/>
    <cellStyle name="Normal 2 2 2 2 2 2 2 2 2 2 2 2 8 8" xfId="10086" xr:uid="{4B71F19A-1589-485E-952D-2D2A48D9C067}"/>
    <cellStyle name="Normal 2 2 2 2 2 2 2 2 2 2 2 2 8 9" xfId="10087" xr:uid="{1B1EB3D9-B076-4556-8F75-48696D89BB89}"/>
    <cellStyle name="Normal 2 2 2 2 2 2 2 2 2 2 2 2 80" xfId="10088" xr:uid="{6CB12EA1-734A-4782-8E67-24C63564691B}"/>
    <cellStyle name="Normal 2 2 2 2 2 2 2 2 2 2 2 2 81" xfId="10089" xr:uid="{14DC2975-3337-4170-A137-C100A595F1C7}"/>
    <cellStyle name="Normal 2 2 2 2 2 2 2 2 2 2 2 2 82" xfId="10090" xr:uid="{95C6461D-8316-415C-A843-5A698428A309}"/>
    <cellStyle name="Normal 2 2 2 2 2 2 2 2 2 2 2 2 83" xfId="10091" xr:uid="{A78F97F9-C50B-42B5-905A-A228CEC8F41A}"/>
    <cellStyle name="Normal 2 2 2 2 2 2 2 2 2 2 2 2 84" xfId="10092" xr:uid="{EBFE8FD8-86E9-4FA2-8E80-1EC35247AB3B}"/>
    <cellStyle name="Normal 2 2 2 2 2 2 2 2 2 2 2 2 85" xfId="10093" xr:uid="{D8B4F65C-19EC-438A-851D-D254AB35A56D}"/>
    <cellStyle name="Normal 2 2 2 2 2 2 2 2 2 2 2 2 86" xfId="10094" xr:uid="{B5C6ED1B-65A0-4FB2-B503-E196FE01E4D8}"/>
    <cellStyle name="Normal 2 2 2 2 2 2 2 2 2 2 2 2 87" xfId="10095" xr:uid="{906CB7D7-F177-41B0-B89B-FFFBA290DD63}"/>
    <cellStyle name="Normal 2 2 2 2 2 2 2 2 2 2 2 2 88" xfId="10096" xr:uid="{36A40DD3-57DD-4C5B-8AD6-AA57F1CB1B80}"/>
    <cellStyle name="Normal 2 2 2 2 2 2 2 2 2 2 2 2 89" xfId="10097" xr:uid="{1BD00F64-E886-494E-8106-476CDA969B1B}"/>
    <cellStyle name="Normal 2 2 2 2 2 2 2 2 2 2 2 2 89 2" xfId="10098" xr:uid="{F15F3221-96E0-4781-9443-E9181FBE1019}"/>
    <cellStyle name="Normal 2 2 2 2 2 2 2 2 2 2 2 2 89 3" xfId="10099" xr:uid="{1E4718AB-37BF-49B2-B7F6-F3D6EC84170A}"/>
    <cellStyle name="Normal 2 2 2 2 2 2 2 2 2 2 2 2 89 4" xfId="10100" xr:uid="{4A55D82B-30CF-44E1-AE29-02336F78D8B0}"/>
    <cellStyle name="Normal 2 2 2 2 2 2 2 2 2 2 2 2 9" xfId="10101" xr:uid="{F43E12BF-BB6F-4082-AC43-DCF659FB4A06}"/>
    <cellStyle name="Normal 2 2 2 2 2 2 2 2 2 2 2 2 9 10" xfId="10102" xr:uid="{FE3A29D8-BE3B-4FAC-9B67-BF4AA5445487}"/>
    <cellStyle name="Normal 2 2 2 2 2 2 2 2 2 2 2 2 9 11" xfId="10103" xr:uid="{686BC922-D297-4495-877D-B77A7FA5A8D8}"/>
    <cellStyle name="Normal 2 2 2 2 2 2 2 2 2 2 2 2 9 12" xfId="10104" xr:uid="{388691F2-0706-4D6B-9E8A-C971FD6BCEC7}"/>
    <cellStyle name="Normal 2 2 2 2 2 2 2 2 2 2 2 2 9 13" xfId="10105" xr:uid="{1A249653-57CE-41D6-B581-1524EF547B4E}"/>
    <cellStyle name="Normal 2 2 2 2 2 2 2 2 2 2 2 2 9 13 2" xfId="10106" xr:uid="{F2694A32-81A4-4EE1-8C43-A920E037D5EB}"/>
    <cellStyle name="Normal 2 2 2 2 2 2 2 2 2 2 2 2 9 13 3" xfId="10107" xr:uid="{C059B0D2-4286-4BFE-A658-A98523EE5493}"/>
    <cellStyle name="Normal 2 2 2 2 2 2 2 2 2 2 2 2 9 13 4" xfId="10108" xr:uid="{742F00E2-537F-44C9-918B-9ACBF7A8FF6C}"/>
    <cellStyle name="Normal 2 2 2 2 2 2 2 2 2 2 2 2 9 14" xfId="10109" xr:uid="{1DBAE80F-7244-4F6E-8D94-6D10DA59DF06}"/>
    <cellStyle name="Normal 2 2 2 2 2 2 2 2 2 2 2 2 9 15" xfId="10110" xr:uid="{F56B4519-2862-4B76-B55E-A6738052ED61}"/>
    <cellStyle name="Normal 2 2 2 2 2 2 2 2 2 2 2 2 9 16" xfId="10111" xr:uid="{52788F62-2B52-4329-B797-A29527DCB25E}"/>
    <cellStyle name="Normal 2 2 2 2 2 2 2 2 2 2 2 2 9 2" xfId="10112" xr:uid="{8476C0D4-901B-4CA3-8E51-3E346468F6E7}"/>
    <cellStyle name="Normal 2 2 2 2 2 2 2 2 2 2 2 2 9 2 10" xfId="10113" xr:uid="{E204A31A-6732-4853-9214-772BADA6CBC9}"/>
    <cellStyle name="Normal 2 2 2 2 2 2 2 2 2 2 2 2 9 2 11" xfId="10114" xr:uid="{D8131214-B8B5-423B-BA65-A48A69FFB5A6}"/>
    <cellStyle name="Normal 2 2 2 2 2 2 2 2 2 2 2 2 9 2 11 2" xfId="10115" xr:uid="{557AF411-3012-4B49-AE0B-98E9C90AA7CC}"/>
    <cellStyle name="Normal 2 2 2 2 2 2 2 2 2 2 2 2 9 2 11 3" xfId="10116" xr:uid="{2D3F79F6-A724-4348-ADAB-217E38130047}"/>
    <cellStyle name="Normal 2 2 2 2 2 2 2 2 2 2 2 2 9 2 11 4" xfId="10117" xr:uid="{B3159589-CE77-4674-9F29-462B809F1C00}"/>
    <cellStyle name="Normal 2 2 2 2 2 2 2 2 2 2 2 2 9 2 12" xfId="10118" xr:uid="{AA13EB68-7A5D-4365-BC5B-BB83F40172F3}"/>
    <cellStyle name="Normal 2 2 2 2 2 2 2 2 2 2 2 2 9 2 13" xfId="10119" xr:uid="{0FA867DC-8CD5-49A8-A97D-17024A6BAC3A}"/>
    <cellStyle name="Normal 2 2 2 2 2 2 2 2 2 2 2 2 9 2 14" xfId="10120" xr:uid="{A4C33378-ED54-42D0-806C-7DE9C91FC55F}"/>
    <cellStyle name="Normal 2 2 2 2 2 2 2 2 2 2 2 2 9 2 2" xfId="10121" xr:uid="{77922EFD-EA35-408A-8186-C07DF6FA9421}"/>
    <cellStyle name="Normal 2 2 2 2 2 2 2 2 2 2 2 2 9 2 2 10" xfId="10122" xr:uid="{7400CE41-9811-4E1B-BE33-50A61C587E4C}"/>
    <cellStyle name="Normal 2 2 2 2 2 2 2 2 2 2 2 2 9 2 2 11" xfId="10123" xr:uid="{65D1090B-BD58-4491-B019-09FDE33C5661}"/>
    <cellStyle name="Normal 2 2 2 2 2 2 2 2 2 2 2 2 9 2 2 2" xfId="10124" xr:uid="{18F0E870-F01B-4E8D-84CE-68626B523EAE}"/>
    <cellStyle name="Normal 2 2 2 2 2 2 2 2 2 2 2 2 9 2 2 2 10" xfId="10125" xr:uid="{92E3F7C9-AA71-4AB3-ABE5-9C112A1E7FAF}"/>
    <cellStyle name="Normal 2 2 2 2 2 2 2 2 2 2 2 2 9 2 2 2 11" xfId="10126" xr:uid="{8E2D4FF6-B307-4FC0-A16D-9244EE0D3D63}"/>
    <cellStyle name="Normal 2 2 2 2 2 2 2 2 2 2 2 2 9 2 2 2 2" xfId="10127" xr:uid="{5563A265-A94A-427E-9738-98BC8FC496A3}"/>
    <cellStyle name="Normal 2 2 2 2 2 2 2 2 2 2 2 2 9 2 2 2 2 2" xfId="10128" xr:uid="{35147E10-BB10-465C-AB6E-67B4005863B5}"/>
    <cellStyle name="Normal 2 2 2 2 2 2 2 2 2 2 2 2 9 2 2 2 2 2 2" xfId="10129" xr:uid="{7DBEB4A9-F619-4EE7-97DC-A3305B76E172}"/>
    <cellStyle name="Normal 2 2 2 2 2 2 2 2 2 2 2 2 9 2 2 2 2 2 3" xfId="10130" xr:uid="{DEB4E7AE-1480-443B-9D98-5D2F437E543E}"/>
    <cellStyle name="Normal 2 2 2 2 2 2 2 2 2 2 2 2 9 2 2 2 2 2 4" xfId="10131" xr:uid="{9E8B41FF-B1C2-44B8-B238-93F2C6C1B902}"/>
    <cellStyle name="Normal 2 2 2 2 2 2 2 2 2 2 2 2 9 2 2 2 2 3" xfId="10132" xr:uid="{A881AF77-A0CB-4374-818E-9922942CF489}"/>
    <cellStyle name="Normal 2 2 2 2 2 2 2 2 2 2 2 2 9 2 2 2 2 4" xfId="10133" xr:uid="{BEF081A5-6B3E-491C-B647-253BE181F2AF}"/>
    <cellStyle name="Normal 2 2 2 2 2 2 2 2 2 2 2 2 9 2 2 2 2 5" xfId="10134" xr:uid="{10AEEF53-6E22-498B-BDFF-36E25AC35A94}"/>
    <cellStyle name="Normal 2 2 2 2 2 2 2 2 2 2 2 2 9 2 2 2 2 6" xfId="10135" xr:uid="{7D3D93DD-8208-454E-B32F-557823D627A6}"/>
    <cellStyle name="Normal 2 2 2 2 2 2 2 2 2 2 2 2 9 2 2 2 3" xfId="10136" xr:uid="{E000661D-3968-42EE-AAED-CCA5E3891D9E}"/>
    <cellStyle name="Normal 2 2 2 2 2 2 2 2 2 2 2 2 9 2 2 2 4" xfId="10137" xr:uid="{2019B233-AB59-49C7-A519-BC1B795B417F}"/>
    <cellStyle name="Normal 2 2 2 2 2 2 2 2 2 2 2 2 9 2 2 2 5" xfId="10138" xr:uid="{0FF81845-FE7A-4633-9C6A-AFC8D4703DF4}"/>
    <cellStyle name="Normal 2 2 2 2 2 2 2 2 2 2 2 2 9 2 2 2 6" xfId="10139" xr:uid="{1A7FCDAF-6C95-407E-B88F-E3F1E689BA8E}"/>
    <cellStyle name="Normal 2 2 2 2 2 2 2 2 2 2 2 2 9 2 2 2 7" xfId="10140" xr:uid="{F432BE01-16B6-4D8F-A482-6CA88EB0AC82}"/>
    <cellStyle name="Normal 2 2 2 2 2 2 2 2 2 2 2 2 9 2 2 2 8" xfId="10141" xr:uid="{F1B94424-F7D8-4D1E-8FB5-26F0D39580C6}"/>
    <cellStyle name="Normal 2 2 2 2 2 2 2 2 2 2 2 2 9 2 2 2 8 2" xfId="10142" xr:uid="{B5C21ED7-FFE9-4F71-8F94-E998EA1BA00B}"/>
    <cellStyle name="Normal 2 2 2 2 2 2 2 2 2 2 2 2 9 2 2 2 8 3" xfId="10143" xr:uid="{39B6B821-805A-4B32-A129-AF5EA3CB2C5E}"/>
    <cellStyle name="Normal 2 2 2 2 2 2 2 2 2 2 2 2 9 2 2 2 8 4" xfId="10144" xr:uid="{39F57410-8BB8-48D0-B819-3C457200B8BF}"/>
    <cellStyle name="Normal 2 2 2 2 2 2 2 2 2 2 2 2 9 2 2 2 9" xfId="10145" xr:uid="{7A66A1F1-B44D-4C06-B7DC-0A7E08D556CA}"/>
    <cellStyle name="Normal 2 2 2 2 2 2 2 2 2 2 2 2 9 2 2 3" xfId="10146" xr:uid="{4DEBE9FB-1256-4840-BA93-443B3BB3E918}"/>
    <cellStyle name="Normal 2 2 2 2 2 2 2 2 2 2 2 2 9 2 2 3 2" xfId="10147" xr:uid="{ACEE3FA3-3963-4856-80F4-156837B664A9}"/>
    <cellStyle name="Normal 2 2 2 2 2 2 2 2 2 2 2 2 9 2 2 3 2 2" xfId="10148" xr:uid="{A928A103-93FE-462E-B754-06AFB25929A9}"/>
    <cellStyle name="Normal 2 2 2 2 2 2 2 2 2 2 2 2 9 2 2 3 2 3" xfId="10149" xr:uid="{C089BDB9-DED9-4DF8-8D11-F7BFE23FE729}"/>
    <cellStyle name="Normal 2 2 2 2 2 2 2 2 2 2 2 2 9 2 2 3 2 4" xfId="10150" xr:uid="{86F8EB7D-3D61-4600-9D40-C00864B6BED2}"/>
    <cellStyle name="Normal 2 2 2 2 2 2 2 2 2 2 2 2 9 2 2 3 3" xfId="10151" xr:uid="{D605CAE7-F8BC-4E89-8C18-2C6C0A2F99CE}"/>
    <cellStyle name="Normal 2 2 2 2 2 2 2 2 2 2 2 2 9 2 2 3 4" xfId="10152" xr:uid="{F505A259-AA59-47EF-BF3E-2E2C77472909}"/>
    <cellStyle name="Normal 2 2 2 2 2 2 2 2 2 2 2 2 9 2 2 3 5" xfId="10153" xr:uid="{1ED93858-6BF9-42A0-A494-FA38E6080037}"/>
    <cellStyle name="Normal 2 2 2 2 2 2 2 2 2 2 2 2 9 2 2 3 6" xfId="10154" xr:uid="{12C6DC87-4365-4FF9-977C-A27D3138A657}"/>
    <cellStyle name="Normal 2 2 2 2 2 2 2 2 2 2 2 2 9 2 2 4" xfId="10155" xr:uid="{F5CFEF6E-D281-4A00-886A-3F92A2E61CAB}"/>
    <cellStyle name="Normal 2 2 2 2 2 2 2 2 2 2 2 2 9 2 2 5" xfId="10156" xr:uid="{1D79EDC4-1B58-4853-9C6B-990ABA357936}"/>
    <cellStyle name="Normal 2 2 2 2 2 2 2 2 2 2 2 2 9 2 2 6" xfId="10157" xr:uid="{7FA6C11D-2C52-4AFF-B1BC-221515F5092B}"/>
    <cellStyle name="Normal 2 2 2 2 2 2 2 2 2 2 2 2 9 2 2 7" xfId="10158" xr:uid="{0B390C09-8FF7-4DC1-B62C-82E24B76F645}"/>
    <cellStyle name="Normal 2 2 2 2 2 2 2 2 2 2 2 2 9 2 2 8" xfId="10159" xr:uid="{6D8BD6B4-E90C-4CA8-9B24-82F7161516BF}"/>
    <cellStyle name="Normal 2 2 2 2 2 2 2 2 2 2 2 2 9 2 2 8 2" xfId="10160" xr:uid="{49DC1D10-DB3A-43DD-9F49-DF526930A3C4}"/>
    <cellStyle name="Normal 2 2 2 2 2 2 2 2 2 2 2 2 9 2 2 8 3" xfId="10161" xr:uid="{FD92025C-59B4-46FD-B5E5-28AED35802AB}"/>
    <cellStyle name="Normal 2 2 2 2 2 2 2 2 2 2 2 2 9 2 2 8 4" xfId="10162" xr:uid="{38F719E7-ABED-478F-8D3F-EEB4CA182096}"/>
    <cellStyle name="Normal 2 2 2 2 2 2 2 2 2 2 2 2 9 2 2 9" xfId="10163" xr:uid="{6A5BADB0-84B8-4915-9A0A-D0AE83935A8B}"/>
    <cellStyle name="Normal 2 2 2 2 2 2 2 2 2 2 2 2 9 2 3" xfId="10164" xr:uid="{A0C42524-437A-4EE0-9B7C-53A44F1C819E}"/>
    <cellStyle name="Normal 2 2 2 2 2 2 2 2 2 2 2 2 9 2 4" xfId="10165" xr:uid="{293F059F-377D-430F-A5AA-B7D9DC3A0CF1}"/>
    <cellStyle name="Normal 2 2 2 2 2 2 2 2 2 2 2 2 9 2 5" xfId="10166" xr:uid="{4BC980CB-FCC1-43C4-B042-FAA7C9C71FC9}"/>
    <cellStyle name="Normal 2 2 2 2 2 2 2 2 2 2 2 2 9 2 5 2" xfId="10167" xr:uid="{EBB057E5-8DAD-4E44-9E63-F5A6966EFEAE}"/>
    <cellStyle name="Normal 2 2 2 2 2 2 2 2 2 2 2 2 9 2 5 2 2" xfId="10168" xr:uid="{AC931222-7C2D-48C8-943B-3FB1463C098C}"/>
    <cellStyle name="Normal 2 2 2 2 2 2 2 2 2 2 2 2 9 2 5 2 3" xfId="10169" xr:uid="{BE284CB9-4207-43AD-BF88-CAD2CF33939E}"/>
    <cellStyle name="Normal 2 2 2 2 2 2 2 2 2 2 2 2 9 2 5 2 4" xfId="10170" xr:uid="{229CC33A-5F9D-4EE1-8833-F19925F269DE}"/>
    <cellStyle name="Normal 2 2 2 2 2 2 2 2 2 2 2 2 9 2 5 3" xfId="10171" xr:uid="{BDD08BEB-6B71-4610-AB9D-85A869528C67}"/>
    <cellStyle name="Normal 2 2 2 2 2 2 2 2 2 2 2 2 9 2 5 4" xfId="10172" xr:uid="{2AB8500A-C906-4268-B695-F75788754A9F}"/>
    <cellStyle name="Normal 2 2 2 2 2 2 2 2 2 2 2 2 9 2 5 5" xfId="10173" xr:uid="{A9D5E77D-3207-44AB-B447-C2142EDE892F}"/>
    <cellStyle name="Normal 2 2 2 2 2 2 2 2 2 2 2 2 9 2 5 6" xfId="10174" xr:uid="{CFDFF52D-B094-42CF-AE62-C11706C0C236}"/>
    <cellStyle name="Normal 2 2 2 2 2 2 2 2 2 2 2 2 9 2 6" xfId="10175" xr:uid="{DAEE9B45-7B7E-4E54-8A73-D8831FA7421C}"/>
    <cellStyle name="Normal 2 2 2 2 2 2 2 2 2 2 2 2 9 2 7" xfId="10176" xr:uid="{D808E751-403F-4BB0-A2AF-8EDFE366984F}"/>
    <cellStyle name="Normal 2 2 2 2 2 2 2 2 2 2 2 2 9 2 8" xfId="10177" xr:uid="{D689C7AF-13B5-4046-9F3F-113A25BBAADE}"/>
    <cellStyle name="Normal 2 2 2 2 2 2 2 2 2 2 2 2 9 2 9" xfId="10178" xr:uid="{94B06020-F773-48D3-816F-A63049635164}"/>
    <cellStyle name="Normal 2 2 2 2 2 2 2 2 2 2 2 2 9 3" xfId="10179" xr:uid="{B8AB1AF3-E762-42A6-8B12-4B244AF2F7D3}"/>
    <cellStyle name="Normal 2 2 2 2 2 2 2 2 2 2 2 2 9 4" xfId="10180" xr:uid="{F5681975-E92B-415F-BB7E-BAEFB175AAD3}"/>
    <cellStyle name="Normal 2 2 2 2 2 2 2 2 2 2 2 2 9 5" xfId="10181" xr:uid="{4BDBCECD-92BA-4C92-B40D-CDA14EB2405F}"/>
    <cellStyle name="Normal 2 2 2 2 2 2 2 2 2 2 2 2 9 5 10" xfId="10182" xr:uid="{0D006975-648B-426F-882D-E24DA51F2AC3}"/>
    <cellStyle name="Normal 2 2 2 2 2 2 2 2 2 2 2 2 9 5 11" xfId="10183" xr:uid="{12C390F1-7CF9-49A6-829C-D1443B43220E}"/>
    <cellStyle name="Normal 2 2 2 2 2 2 2 2 2 2 2 2 9 5 2" xfId="10184" xr:uid="{059C77D2-424C-4DF0-8324-54A483ABC103}"/>
    <cellStyle name="Normal 2 2 2 2 2 2 2 2 2 2 2 2 9 5 2 10" xfId="10185" xr:uid="{0E87DBFA-497E-4A40-9E1A-735C5DED76DA}"/>
    <cellStyle name="Normal 2 2 2 2 2 2 2 2 2 2 2 2 9 5 2 11" xfId="10186" xr:uid="{60CBD352-5BE0-4ED2-8746-CB88D4E29D1F}"/>
    <cellStyle name="Normal 2 2 2 2 2 2 2 2 2 2 2 2 9 5 2 2" xfId="10187" xr:uid="{633FC01D-41A1-419C-9AC8-4095E42B8DB1}"/>
    <cellStyle name="Normal 2 2 2 2 2 2 2 2 2 2 2 2 9 5 2 2 2" xfId="10188" xr:uid="{457F9A3F-CBA8-4CD0-90B3-9C9F22ECE4A1}"/>
    <cellStyle name="Normal 2 2 2 2 2 2 2 2 2 2 2 2 9 5 2 2 2 2" xfId="10189" xr:uid="{A1599E7F-8A55-4708-9087-52D5301F4BD1}"/>
    <cellStyle name="Normal 2 2 2 2 2 2 2 2 2 2 2 2 9 5 2 2 2 3" xfId="10190" xr:uid="{AE4ECBEB-FE2E-4E93-91AE-9A50FF1A3925}"/>
    <cellStyle name="Normal 2 2 2 2 2 2 2 2 2 2 2 2 9 5 2 2 2 4" xfId="10191" xr:uid="{0B0D89E1-AF42-4B71-BB4F-75FDFBB10ABB}"/>
    <cellStyle name="Normal 2 2 2 2 2 2 2 2 2 2 2 2 9 5 2 2 3" xfId="10192" xr:uid="{BC1AC0F7-4781-47E0-B728-68334D9CA0E5}"/>
    <cellStyle name="Normal 2 2 2 2 2 2 2 2 2 2 2 2 9 5 2 2 4" xfId="10193" xr:uid="{5203E18A-A1A5-4372-B12F-72D0BFF7565C}"/>
    <cellStyle name="Normal 2 2 2 2 2 2 2 2 2 2 2 2 9 5 2 2 5" xfId="10194" xr:uid="{3FB61582-B197-4FC3-88F3-C381F029650E}"/>
    <cellStyle name="Normal 2 2 2 2 2 2 2 2 2 2 2 2 9 5 2 2 6" xfId="10195" xr:uid="{7AF40C0B-526E-48FB-AEC5-337ED3FD0E83}"/>
    <cellStyle name="Normal 2 2 2 2 2 2 2 2 2 2 2 2 9 5 2 3" xfId="10196" xr:uid="{B3E61CBE-97BC-499C-888B-BD4A49BCE05E}"/>
    <cellStyle name="Normal 2 2 2 2 2 2 2 2 2 2 2 2 9 5 2 4" xfId="10197" xr:uid="{1F0F75CC-FB0E-450F-9E51-5642AE9A6820}"/>
    <cellStyle name="Normal 2 2 2 2 2 2 2 2 2 2 2 2 9 5 2 5" xfId="10198" xr:uid="{82CE5E09-7E15-4FF0-8D25-C16EF6ECB341}"/>
    <cellStyle name="Normal 2 2 2 2 2 2 2 2 2 2 2 2 9 5 2 6" xfId="10199" xr:uid="{D5C4A8E1-6ED8-4B26-B031-DA540B57D566}"/>
    <cellStyle name="Normal 2 2 2 2 2 2 2 2 2 2 2 2 9 5 2 7" xfId="10200" xr:uid="{314910EC-7000-44EB-90AF-15F97E18A1A0}"/>
    <cellStyle name="Normal 2 2 2 2 2 2 2 2 2 2 2 2 9 5 2 8" xfId="10201" xr:uid="{15CA8793-558B-4AC9-B46D-41F76BAFCA70}"/>
    <cellStyle name="Normal 2 2 2 2 2 2 2 2 2 2 2 2 9 5 2 8 2" xfId="10202" xr:uid="{4C5D58DC-1655-488A-A5D0-0753ECCA68E0}"/>
    <cellStyle name="Normal 2 2 2 2 2 2 2 2 2 2 2 2 9 5 2 8 3" xfId="10203" xr:uid="{66A1E568-7996-463B-B844-32893A6EA3F4}"/>
    <cellStyle name="Normal 2 2 2 2 2 2 2 2 2 2 2 2 9 5 2 8 4" xfId="10204" xr:uid="{BFC87E7B-80FF-466C-B067-44EBB1CB348B}"/>
    <cellStyle name="Normal 2 2 2 2 2 2 2 2 2 2 2 2 9 5 2 9" xfId="10205" xr:uid="{BCD1C4D5-8E91-44F3-9C47-40CA6BB23FDC}"/>
    <cellStyle name="Normal 2 2 2 2 2 2 2 2 2 2 2 2 9 5 3" xfId="10206" xr:uid="{166F41D5-47BF-4555-A658-70835243BE98}"/>
    <cellStyle name="Normal 2 2 2 2 2 2 2 2 2 2 2 2 9 5 3 2" xfId="10207" xr:uid="{245F7E35-E109-455B-A4D0-03A192016ECC}"/>
    <cellStyle name="Normal 2 2 2 2 2 2 2 2 2 2 2 2 9 5 3 2 2" xfId="10208" xr:uid="{25CF25C3-AA72-462D-9368-7A6DE839A937}"/>
    <cellStyle name="Normal 2 2 2 2 2 2 2 2 2 2 2 2 9 5 3 2 3" xfId="10209" xr:uid="{51763BCD-FF69-4698-A486-6E643EBD2627}"/>
    <cellStyle name="Normal 2 2 2 2 2 2 2 2 2 2 2 2 9 5 3 2 4" xfId="10210" xr:uid="{8B5C7FE9-4EFC-44C2-A874-80A29B7E48F8}"/>
    <cellStyle name="Normal 2 2 2 2 2 2 2 2 2 2 2 2 9 5 3 3" xfId="10211" xr:uid="{D330F502-E888-4E7B-9AFB-0C433B157554}"/>
    <cellStyle name="Normal 2 2 2 2 2 2 2 2 2 2 2 2 9 5 3 4" xfId="10212" xr:uid="{BCD92076-49DD-4200-95DD-6625FDB16EB6}"/>
    <cellStyle name="Normal 2 2 2 2 2 2 2 2 2 2 2 2 9 5 3 5" xfId="10213" xr:uid="{5DA3F66F-3421-49F8-AB93-623C084CB66E}"/>
    <cellStyle name="Normal 2 2 2 2 2 2 2 2 2 2 2 2 9 5 3 6" xfId="10214" xr:uid="{6563BAC8-F026-4050-9274-E959C914E0DC}"/>
    <cellStyle name="Normal 2 2 2 2 2 2 2 2 2 2 2 2 9 5 4" xfId="10215" xr:uid="{C7BFCB45-A4D3-4594-87DF-7C4075513F05}"/>
    <cellStyle name="Normal 2 2 2 2 2 2 2 2 2 2 2 2 9 5 5" xfId="10216" xr:uid="{08B7B559-9503-4117-8E98-742896B20EBE}"/>
    <cellStyle name="Normal 2 2 2 2 2 2 2 2 2 2 2 2 9 5 6" xfId="10217" xr:uid="{7F20D93A-13B2-4397-AF03-F3509022703A}"/>
    <cellStyle name="Normal 2 2 2 2 2 2 2 2 2 2 2 2 9 5 7" xfId="10218" xr:uid="{051BFAAB-59AF-464E-8CB6-B6311162C700}"/>
    <cellStyle name="Normal 2 2 2 2 2 2 2 2 2 2 2 2 9 5 8" xfId="10219" xr:uid="{AC2DFC93-5655-4EF7-9746-FB804DEB445D}"/>
    <cellStyle name="Normal 2 2 2 2 2 2 2 2 2 2 2 2 9 5 8 2" xfId="10220" xr:uid="{35B887F2-460E-4D4F-981A-3F3EF85D8E04}"/>
    <cellStyle name="Normal 2 2 2 2 2 2 2 2 2 2 2 2 9 5 8 3" xfId="10221" xr:uid="{C8639FE1-B39B-4B89-A857-094DB1668B23}"/>
    <cellStyle name="Normal 2 2 2 2 2 2 2 2 2 2 2 2 9 5 8 4" xfId="10222" xr:uid="{5D2F15AC-6C43-4C95-A22F-42384F8A436B}"/>
    <cellStyle name="Normal 2 2 2 2 2 2 2 2 2 2 2 2 9 5 9" xfId="10223" xr:uid="{FF161443-7166-4059-B03B-D971DEB25EC8}"/>
    <cellStyle name="Normal 2 2 2 2 2 2 2 2 2 2 2 2 9 6" xfId="10224" xr:uid="{213A13C1-F8FB-43B9-8E8C-29A17F5BDA87}"/>
    <cellStyle name="Normal 2 2 2 2 2 2 2 2 2 2 2 2 9 7" xfId="10225" xr:uid="{F4250EE8-69B8-4A81-8D60-BA499B4853B7}"/>
    <cellStyle name="Normal 2 2 2 2 2 2 2 2 2 2 2 2 9 7 2" xfId="10226" xr:uid="{F2D666FB-0A6F-4654-9FAD-4C38B2F92EA7}"/>
    <cellStyle name="Normal 2 2 2 2 2 2 2 2 2 2 2 2 9 7 2 2" xfId="10227" xr:uid="{C6C1C5F1-723B-4946-AA71-6D842E979B01}"/>
    <cellStyle name="Normal 2 2 2 2 2 2 2 2 2 2 2 2 9 7 2 3" xfId="10228" xr:uid="{BAEA84B3-DA29-4612-A91B-D78985824C4F}"/>
    <cellStyle name="Normal 2 2 2 2 2 2 2 2 2 2 2 2 9 7 2 4" xfId="10229" xr:uid="{D524F341-3DC0-48E9-B61B-51254E49682B}"/>
    <cellStyle name="Normal 2 2 2 2 2 2 2 2 2 2 2 2 9 7 3" xfId="10230" xr:uid="{AD56D30E-E0B5-4D24-AC1C-94DE63C3CA59}"/>
    <cellStyle name="Normal 2 2 2 2 2 2 2 2 2 2 2 2 9 7 4" xfId="10231" xr:uid="{04F93D17-3C0D-4FC5-A88E-BB2E677CF314}"/>
    <cellStyle name="Normal 2 2 2 2 2 2 2 2 2 2 2 2 9 7 5" xfId="10232" xr:uid="{7E94B9A1-C4FB-42B7-A631-10724CDFFF29}"/>
    <cellStyle name="Normal 2 2 2 2 2 2 2 2 2 2 2 2 9 7 6" xfId="10233" xr:uid="{94C54136-9D94-4451-A1B5-522E59437977}"/>
    <cellStyle name="Normal 2 2 2 2 2 2 2 2 2 2 2 2 9 8" xfId="10234" xr:uid="{A5F80A99-56F4-4DCD-B91E-55C01994B427}"/>
    <cellStyle name="Normal 2 2 2 2 2 2 2 2 2 2 2 2 9 9" xfId="10235" xr:uid="{9F3842EB-8D0B-43F8-9A1F-42300466A7F6}"/>
    <cellStyle name="Normal 2 2 2 2 2 2 2 2 2 2 2 2 90" xfId="10236" xr:uid="{EEBE6121-CE97-42DC-BC25-C604A7CB5B0B}"/>
    <cellStyle name="Normal 2 2 2 2 2 2 2 2 2 2 2 2 91" xfId="10237" xr:uid="{8885E5F7-9A89-47CD-969C-54E1C805C62B}"/>
    <cellStyle name="Normal 2 2 2 2 2 2 2 2 2 2 2 20" xfId="10238" xr:uid="{D91407A8-BC10-4959-AC23-0235D726B237}"/>
    <cellStyle name="Normal 2 2 2 2 2 2 2 2 2 2 2 21" xfId="10239" xr:uid="{0A001351-571C-486E-BE77-F559C42F3B4D}"/>
    <cellStyle name="Normal 2 2 2 2 2 2 2 2 2 2 2 21 2" xfId="10240" xr:uid="{17688E1A-4379-47F9-891F-006E32F9DF46}"/>
    <cellStyle name="Normal 2 2 2 2 2 2 2 2 2 2 2 21 2 2" xfId="10241" xr:uid="{575188C6-4651-4587-9FDD-8A9BAEE1F64A}"/>
    <cellStyle name="Normal 2 2 2 2 2 2 2 2 2 2 2 21 2 3" xfId="10242" xr:uid="{4E360DE7-B83E-4233-B1E4-B6176CC594CA}"/>
    <cellStyle name="Normal 2 2 2 2 2 2 2 2 2 2 2 21 2 4" xfId="10243" xr:uid="{37F06990-4600-46FC-AF52-503F598FBD35}"/>
    <cellStyle name="Normal 2 2 2 2 2 2 2 2 2 2 2 21 3" xfId="10244" xr:uid="{155A9E21-0D38-4C88-97E8-F78919879C79}"/>
    <cellStyle name="Normal 2 2 2 2 2 2 2 2 2 2 2 21 4" xfId="10245" xr:uid="{4A9C21C4-A654-40BE-A378-53962F9AD32E}"/>
    <cellStyle name="Normal 2 2 2 2 2 2 2 2 2 2 2 21 5" xfId="10246" xr:uid="{7F4B6FC2-4856-4B74-9BAF-4271249B6D34}"/>
    <cellStyle name="Normal 2 2 2 2 2 2 2 2 2 2 2 21 6" xfId="10247" xr:uid="{4AA3DB70-25DD-4333-8AFB-85B1B6EA19E5}"/>
    <cellStyle name="Normal 2 2 2 2 2 2 2 2 2 2 2 22" xfId="10248" xr:uid="{62A61149-D8FE-4456-92BC-4CC416E75D66}"/>
    <cellStyle name="Normal 2 2 2 2 2 2 2 2 2 2 2 23" xfId="10249" xr:uid="{24B46F61-ED16-49EF-A4DD-48E48B86B799}"/>
    <cellStyle name="Normal 2 2 2 2 2 2 2 2 2 2 2 24" xfId="10250" xr:uid="{33D5971B-354B-4E65-8FD1-F16A08347B71}"/>
    <cellStyle name="Normal 2 2 2 2 2 2 2 2 2 2 2 25" xfId="10251" xr:uid="{143D76CF-6849-41E2-86D2-9DD274428F75}"/>
    <cellStyle name="Normal 2 2 2 2 2 2 2 2 2 2 2 26" xfId="10252" xr:uid="{236C6C74-4303-4887-9B07-DD5216B43B74}"/>
    <cellStyle name="Normal 2 2 2 2 2 2 2 2 2 2 2 27" xfId="10253" xr:uid="{89F35B01-DCE6-4342-AE81-3FCAAF10D679}"/>
    <cellStyle name="Normal 2 2 2 2 2 2 2 2 2 2 2 27 2" xfId="10254" xr:uid="{5006B1E9-6321-42BD-9961-E85C55A6939B}"/>
    <cellStyle name="Normal 2 2 2 2 2 2 2 2 2 2 2 27 3" xfId="10255" xr:uid="{E54F577D-F33C-4C63-AF50-80C5A01FAD0C}"/>
    <cellStyle name="Normal 2 2 2 2 2 2 2 2 2 2 2 27 4" xfId="10256" xr:uid="{388B3696-7E18-46A2-9CAC-1BBB43D540F8}"/>
    <cellStyle name="Normal 2 2 2 2 2 2 2 2 2 2 2 28" xfId="10257" xr:uid="{69E129B9-265F-481E-A2A1-4AA2526509D2}"/>
    <cellStyle name="Normal 2 2 2 2 2 2 2 2 2 2 2 29" xfId="10258" xr:uid="{E8163C21-2BAC-467E-BF4A-A0E799B4F1EA}"/>
    <cellStyle name="Normal 2 2 2 2 2 2 2 2 2 2 2 3" xfId="10259" xr:uid="{1F8F1717-EF4D-4A4C-9B8F-35CD1A66F1F5}"/>
    <cellStyle name="Normal 2 2 2 2 2 2 2 2 2 2 2 30" xfId="10260" xr:uid="{315146DE-A9EF-419E-A42F-514C2DBC9535}"/>
    <cellStyle name="Normal 2 2 2 2 2 2 2 2 2 2 2 31" xfId="10261" xr:uid="{E176FDA6-5DFC-45D8-A3BF-42550296A666}"/>
    <cellStyle name="Normal 2 2 2 2 2 2 2 2 2 2 2 32" xfId="10262" xr:uid="{FF04DD46-4D56-4BAE-B9CA-ACBD96E2A50C}"/>
    <cellStyle name="Normal 2 2 2 2 2 2 2 2 2 2 2 33" xfId="10263" xr:uid="{8891720A-6280-428D-969C-D8791503002A}"/>
    <cellStyle name="Normal 2 2 2 2 2 2 2 2 2 2 2 34" xfId="10264" xr:uid="{EFD0D46D-0FE1-44EC-BD6D-78C4A7E40E41}"/>
    <cellStyle name="Normal 2 2 2 2 2 2 2 2 2 2 2 35" xfId="10265" xr:uid="{A8F2CB22-7E25-4F72-85C2-54C864DFB2B5}"/>
    <cellStyle name="Normal 2 2 2 2 2 2 2 2 2 2 2 36" xfId="10266" xr:uid="{A9F213BD-2504-46F1-9946-EE91E1EA3168}"/>
    <cellStyle name="Normal 2 2 2 2 2 2 2 2 2 2 2 37" xfId="10267" xr:uid="{6A628F9E-1874-4A1B-AB36-9F71735B0722}"/>
    <cellStyle name="Normal 2 2 2 2 2 2 2 2 2 2 2 38" xfId="10268" xr:uid="{8BAADD19-71BE-49F5-86C6-2C9D50203044}"/>
    <cellStyle name="Normal 2 2 2 2 2 2 2 2 2 2 2 39" xfId="10269" xr:uid="{6511104A-12BD-4816-BFB7-CA47F2F1C18F}"/>
    <cellStyle name="Normal 2 2 2 2 2 2 2 2 2 2 2 4" xfId="10270" xr:uid="{121C4BE2-D9F4-47F4-9188-B5F5DA3D6DEB}"/>
    <cellStyle name="Normal 2 2 2 2 2 2 2 2 2 2 2 40" xfId="10271" xr:uid="{AB5704E5-68DD-4E13-8BE4-C941ACF0DC97}"/>
    <cellStyle name="Normal 2 2 2 2 2 2 2 2 2 2 2 41" xfId="10272" xr:uid="{2718162F-066D-4D73-9DB2-E1221F1E564A}"/>
    <cellStyle name="Normal 2 2 2 2 2 2 2 2 2 2 2 42" xfId="10273" xr:uid="{E9ADAE6B-7EE3-4D94-A31F-3B61141FD176}"/>
    <cellStyle name="Normal 2 2 2 2 2 2 2 2 2 2 2 42 2" xfId="10274" xr:uid="{D599DD50-4A5A-4B29-AFD1-221C4565539C}"/>
    <cellStyle name="Normal 2 2 2 2 2 2 2 2 2 2 2 42 3" xfId="10275" xr:uid="{7703FE74-65D2-498F-A9A0-343AB6F843C3}"/>
    <cellStyle name="Normal 2 2 2 2 2 2 2 2 2 2 2 42 4" xfId="10276" xr:uid="{DD474747-29D2-4AD4-96C3-A60E08A04E9C}"/>
    <cellStyle name="Normal 2 2 2 2 2 2 2 2 2 2 2 42 5" xfId="10277" xr:uid="{D9866423-70FB-45B7-9FA1-9EE30AFBD55E}"/>
    <cellStyle name="Normal 2 2 2 2 2 2 2 2 2 2 2 42 6" xfId="10278" xr:uid="{5B9E3753-79F5-4A66-8FD5-D70FBEDA24C9}"/>
    <cellStyle name="Normal 2 2 2 2 2 2 2 2 2 2 2 42 7" xfId="10279" xr:uid="{C6BCEE02-8961-4CCA-AF9C-C39C59EE4C02}"/>
    <cellStyle name="Normal 2 2 2 2 2 2 2 2 2 2 2 43" xfId="10280" xr:uid="{8B111B3E-1B2D-472E-B9E3-7F76FABC9BDF}"/>
    <cellStyle name="Normal 2 2 2 2 2 2 2 2 2 2 2 44" xfId="10281" xr:uid="{4DFC93C8-1879-4B1A-B891-DF420E47CD44}"/>
    <cellStyle name="Normal 2 2 2 2 2 2 2 2 2 2 2 45" xfId="10282" xr:uid="{0C9F6834-52AF-4AD3-A701-182CEA218809}"/>
    <cellStyle name="Normal 2 2 2 2 2 2 2 2 2 2 2 46" xfId="10283" xr:uid="{B4E0D660-326D-4BB8-AB98-19D01025FB96}"/>
    <cellStyle name="Normal 2 2 2 2 2 2 2 2 2 2 2 47" xfId="10284" xr:uid="{499C7B53-5174-4722-B3A6-9BCB952A0903}"/>
    <cellStyle name="Normal 2 2 2 2 2 2 2 2 2 2 2 48" xfId="10285" xr:uid="{51177DFE-9335-45C9-B32C-9DF04B30B809}"/>
    <cellStyle name="Normal 2 2 2 2 2 2 2 2 2 2 2 49" xfId="10286" xr:uid="{1B819F13-730C-4C9D-94CC-98EF89A960AC}"/>
    <cellStyle name="Normal 2 2 2 2 2 2 2 2 2 2 2 5" xfId="10287" xr:uid="{B4971B21-A129-4DC8-BEA7-C9864A8D7F41}"/>
    <cellStyle name="Normal 2 2 2 2 2 2 2 2 2 2 2 50" xfId="10288" xr:uid="{A3ED8D53-404D-443B-965A-8C12709281CE}"/>
    <cellStyle name="Normal 2 2 2 2 2 2 2 2 2 2 2 51" xfId="10289" xr:uid="{A7B35A86-40C8-4A5C-8288-A3EC7B679ADF}"/>
    <cellStyle name="Normal 2 2 2 2 2 2 2 2 2 2 2 52" xfId="10290" xr:uid="{CF15F6C5-8A10-4E48-A829-056BA89C4B3C}"/>
    <cellStyle name="Normal 2 2 2 2 2 2 2 2 2 2 2 53" xfId="10291" xr:uid="{5AEAA768-E4AF-46EC-BF5F-A38615C15D6C}"/>
    <cellStyle name="Normal 2 2 2 2 2 2 2 2 2 2 2 54" xfId="10292" xr:uid="{8580F082-1E62-409E-8310-B395D5F895D9}"/>
    <cellStyle name="Normal 2 2 2 2 2 2 2 2 2 2 2 55" xfId="10293" xr:uid="{EDE642D8-AE43-4A87-8834-289C162F1B9A}"/>
    <cellStyle name="Normal 2 2 2 2 2 2 2 2 2 2 2 56" xfId="10294" xr:uid="{52485D9B-4F23-45DB-A64C-0E6508F2F97C}"/>
    <cellStyle name="Normal 2 2 2 2 2 2 2 2 2 2 2 57" xfId="10295" xr:uid="{F78FBDBE-231E-49ED-9C55-870436F90843}"/>
    <cellStyle name="Normal 2 2 2 2 2 2 2 2 2 2 2 58" xfId="10296" xr:uid="{B73D6E5A-2399-41D1-911C-1F7E1034529E}"/>
    <cellStyle name="Normal 2 2 2 2 2 2 2 2 2 2 2 59" xfId="10297" xr:uid="{2B267AEB-AA2F-42D4-8EBB-B54721DFBFE3}"/>
    <cellStyle name="Normal 2 2 2 2 2 2 2 2 2 2 2 6" xfId="10298" xr:uid="{7830395A-D374-4FD1-8242-0AEBED515528}"/>
    <cellStyle name="Normal 2 2 2 2 2 2 2 2 2 2 2 60" xfId="10299" xr:uid="{3CB99849-2D4C-4F4B-A35F-5E485EB7265D}"/>
    <cellStyle name="Normal 2 2 2 2 2 2 2 2 2 2 2 61" xfId="10300" xr:uid="{F477E16D-4A8B-46DD-98FC-2F35ECB29548}"/>
    <cellStyle name="Normal 2 2 2 2 2 2 2 2 2 2 2 62" xfId="10301" xr:uid="{F9674F5B-0317-46A6-AA8D-F9E8F5EB0DE4}"/>
    <cellStyle name="Normal 2 2 2 2 2 2 2 2 2 2 2 63" xfId="10302" xr:uid="{C29CABCB-796C-472B-966D-7719D0CBE360}"/>
    <cellStyle name="Normal 2 2 2 2 2 2 2 2 2 2 2 64" xfId="10303" xr:uid="{CD1DE37A-7F86-4112-B84B-4C9E9EFC9C2E}"/>
    <cellStyle name="Normal 2 2 2 2 2 2 2 2 2 2 2 65" xfId="10304" xr:uid="{85457C67-A281-472F-922A-CDB05C5B8207}"/>
    <cellStyle name="Normal 2 2 2 2 2 2 2 2 2 2 2 66" xfId="10305" xr:uid="{2DDDAF77-89BD-4F7A-9332-5CD3355E6F96}"/>
    <cellStyle name="Normal 2 2 2 2 2 2 2 2 2 2 2 67" xfId="10306" xr:uid="{6CEA6AF7-1F12-4B6C-974C-309D2ABAB062}"/>
    <cellStyle name="Normal 2 2 2 2 2 2 2 2 2 2 2 68" xfId="10307" xr:uid="{D32CF413-33CD-4E7B-9274-862F348E7B99}"/>
    <cellStyle name="Normal 2 2 2 2 2 2 2 2 2 2 2 69" xfId="10308" xr:uid="{7021B32D-2F17-475E-9624-6F7873F5FEDC}"/>
    <cellStyle name="Normal 2 2 2 2 2 2 2 2 2 2 2 7" xfId="10309" xr:uid="{853EB6CA-A61F-471B-9AF7-FA35A1F9B224}"/>
    <cellStyle name="Normal 2 2 2 2 2 2 2 2 2 2 2 70" xfId="10310" xr:uid="{AD632172-E72C-4DDC-9E91-98207A73D3F0}"/>
    <cellStyle name="Normal 2 2 2 2 2 2 2 2 2 2 2 71" xfId="10311" xr:uid="{AB35F7D6-6339-4E56-B041-F740606959E0}"/>
    <cellStyle name="Normal 2 2 2 2 2 2 2 2 2 2 2 72" xfId="10312" xr:uid="{D13BA091-4E0D-42F6-9E40-38C93339107F}"/>
    <cellStyle name="Normal 2 2 2 2 2 2 2 2 2 2 2 73" xfId="10313" xr:uid="{08CEB990-9D60-4778-A2E1-68A7452C6844}"/>
    <cellStyle name="Normal 2 2 2 2 2 2 2 2 2 2 2 74" xfId="10314" xr:uid="{22504114-5F61-4C27-9AB8-AAC0D0A981A9}"/>
    <cellStyle name="Normal 2 2 2 2 2 2 2 2 2 2 2 75" xfId="10315" xr:uid="{5B72ACA6-1054-448D-B90E-7B6B546D78C3}"/>
    <cellStyle name="Normal 2 2 2 2 2 2 2 2 2 2 2 76" xfId="10316" xr:uid="{3C00DFE7-BC95-4513-8003-B2987432C204}"/>
    <cellStyle name="Normal 2 2 2 2 2 2 2 2 2 2 2 77" xfId="10317" xr:uid="{CCD383CC-D16F-4D34-890E-14597EC97B04}"/>
    <cellStyle name="Normal 2 2 2 2 2 2 2 2 2 2 2 78" xfId="10318" xr:uid="{E3402B0B-1A40-4ED0-B6F4-7912A46E9D2D}"/>
    <cellStyle name="Normal 2 2 2 2 2 2 2 2 2 2 2 79" xfId="10319" xr:uid="{9C2E1C35-F67B-49BB-86C8-5B70B0DF6370}"/>
    <cellStyle name="Normal 2 2 2 2 2 2 2 2 2 2 2 8" xfId="10320" xr:uid="{FAF16B95-3E63-4272-8703-D47D755FC970}"/>
    <cellStyle name="Normal 2 2 2 2 2 2 2 2 2 2 2 8 10" xfId="10321" xr:uid="{D2085278-3C04-41CC-B906-671592461239}"/>
    <cellStyle name="Normal 2 2 2 2 2 2 2 2 2 2 2 8 11" xfId="10322" xr:uid="{BCE9B884-2F5A-4694-9986-28E726341600}"/>
    <cellStyle name="Normal 2 2 2 2 2 2 2 2 2 2 2 8 11 10" xfId="10323" xr:uid="{FF5B28FE-CD46-4F9E-B46D-7B9B5C39E8B8}"/>
    <cellStyle name="Normal 2 2 2 2 2 2 2 2 2 2 2 8 11 11" xfId="10324" xr:uid="{92E9D4F1-2FB7-4D46-92D1-047CAB01ABB5}"/>
    <cellStyle name="Normal 2 2 2 2 2 2 2 2 2 2 2 8 11 11 2" xfId="10325" xr:uid="{B9A82DDB-BF4E-4936-B6E5-0ED5C1D06BEF}"/>
    <cellStyle name="Normal 2 2 2 2 2 2 2 2 2 2 2 8 11 11 3" xfId="10326" xr:uid="{598C59D9-90D5-47E5-8B63-0F3CDDD1D96A}"/>
    <cellStyle name="Normal 2 2 2 2 2 2 2 2 2 2 2 8 11 11 4" xfId="10327" xr:uid="{406ECAE4-9672-405A-9336-99881FA02811}"/>
    <cellStyle name="Normal 2 2 2 2 2 2 2 2 2 2 2 8 11 12" xfId="10328" xr:uid="{ACD36F18-410B-4FFC-9D4E-11D035126448}"/>
    <cellStyle name="Normal 2 2 2 2 2 2 2 2 2 2 2 8 11 13" xfId="10329" xr:uid="{0A448BB5-CAF2-49BF-A9E7-263ADF2CFFB5}"/>
    <cellStyle name="Normal 2 2 2 2 2 2 2 2 2 2 2 8 11 14" xfId="10330" xr:uid="{B6A3827C-A4BB-4700-A538-31B13AA531AE}"/>
    <cellStyle name="Normal 2 2 2 2 2 2 2 2 2 2 2 8 11 2" xfId="10331" xr:uid="{5B3EC412-1B62-42C4-A7CA-FEDFC0D1D40B}"/>
    <cellStyle name="Normal 2 2 2 2 2 2 2 2 2 2 2 8 11 2 10" xfId="10332" xr:uid="{8A8907BF-18D7-45BE-83DB-45E7741A7EFD}"/>
    <cellStyle name="Normal 2 2 2 2 2 2 2 2 2 2 2 8 11 2 11" xfId="10333" xr:uid="{95776CC8-B021-4847-8772-E18B992B7E8A}"/>
    <cellStyle name="Normal 2 2 2 2 2 2 2 2 2 2 2 8 11 2 2" xfId="10334" xr:uid="{77BF4B0E-FB95-43CB-B02E-D641490DDB53}"/>
    <cellStyle name="Normal 2 2 2 2 2 2 2 2 2 2 2 8 11 2 2 10" xfId="10335" xr:uid="{BD7D4C2A-B791-4B44-83B1-37A938745087}"/>
    <cellStyle name="Normal 2 2 2 2 2 2 2 2 2 2 2 8 11 2 2 11" xfId="10336" xr:uid="{B88F2D68-698E-4219-8A52-71FEED2B8044}"/>
    <cellStyle name="Normal 2 2 2 2 2 2 2 2 2 2 2 8 11 2 2 2" xfId="10337" xr:uid="{007B9B89-AC83-4A8A-865E-E76E1AC9AC48}"/>
    <cellStyle name="Normal 2 2 2 2 2 2 2 2 2 2 2 8 11 2 2 2 2" xfId="10338" xr:uid="{5E5606FD-AACF-4FC9-B1A5-1720D318BF4A}"/>
    <cellStyle name="Normal 2 2 2 2 2 2 2 2 2 2 2 8 11 2 2 2 2 2" xfId="10339" xr:uid="{93F55057-F9C4-48A4-9FEC-A60FBD856705}"/>
    <cellStyle name="Normal 2 2 2 2 2 2 2 2 2 2 2 8 11 2 2 2 2 3" xfId="10340" xr:uid="{DB8146A1-0D48-4C45-8FC0-96F36AAD0454}"/>
    <cellStyle name="Normal 2 2 2 2 2 2 2 2 2 2 2 8 11 2 2 2 2 4" xfId="10341" xr:uid="{BFACDD7C-DE8C-4B98-A32C-772FEE96D5BB}"/>
    <cellStyle name="Normal 2 2 2 2 2 2 2 2 2 2 2 8 11 2 2 2 3" xfId="10342" xr:uid="{E9AA98D6-6D9A-428D-9918-4A70255ADBA0}"/>
    <cellStyle name="Normal 2 2 2 2 2 2 2 2 2 2 2 8 11 2 2 2 4" xfId="10343" xr:uid="{E581C0AA-5268-4993-BFB3-317E96076525}"/>
    <cellStyle name="Normal 2 2 2 2 2 2 2 2 2 2 2 8 11 2 2 2 5" xfId="10344" xr:uid="{DAB01CEC-25C4-4B65-A96B-1C25072DF55B}"/>
    <cellStyle name="Normal 2 2 2 2 2 2 2 2 2 2 2 8 11 2 2 2 6" xfId="10345" xr:uid="{399F8706-5C42-4481-B091-1612915D871A}"/>
    <cellStyle name="Normal 2 2 2 2 2 2 2 2 2 2 2 8 11 2 2 3" xfId="10346" xr:uid="{5E3DC2FF-E07C-479E-89B7-2EDA9650EE05}"/>
    <cellStyle name="Normal 2 2 2 2 2 2 2 2 2 2 2 8 11 2 2 4" xfId="10347" xr:uid="{3CE44BC7-E8FE-4353-AA83-A5B2A72DCB19}"/>
    <cellStyle name="Normal 2 2 2 2 2 2 2 2 2 2 2 8 11 2 2 5" xfId="10348" xr:uid="{7671E635-2DD8-4843-8C74-EBA6BC3EB85E}"/>
    <cellStyle name="Normal 2 2 2 2 2 2 2 2 2 2 2 8 11 2 2 6" xfId="10349" xr:uid="{B28E2BAB-7A74-4771-84C3-B3E917C5E9B6}"/>
    <cellStyle name="Normal 2 2 2 2 2 2 2 2 2 2 2 8 11 2 2 7" xfId="10350" xr:uid="{A108E7B3-461F-4E8D-AD68-5A12339CE672}"/>
    <cellStyle name="Normal 2 2 2 2 2 2 2 2 2 2 2 8 11 2 2 8" xfId="10351" xr:uid="{B0999ACC-759D-4B0B-A93A-7C46B84DD8B6}"/>
    <cellStyle name="Normal 2 2 2 2 2 2 2 2 2 2 2 8 11 2 2 8 2" xfId="10352" xr:uid="{AC3374AA-34B7-4869-B0CD-AC2910A11F65}"/>
    <cellStyle name="Normal 2 2 2 2 2 2 2 2 2 2 2 8 11 2 2 8 3" xfId="10353" xr:uid="{F824963E-D35A-46EE-9C12-E8AB5D9DEA76}"/>
    <cellStyle name="Normal 2 2 2 2 2 2 2 2 2 2 2 8 11 2 2 8 4" xfId="10354" xr:uid="{732FFD65-584E-4B93-BBC8-F513060D059E}"/>
    <cellStyle name="Normal 2 2 2 2 2 2 2 2 2 2 2 8 11 2 2 9" xfId="10355" xr:uid="{F3FF38DE-C643-4C30-AA2F-83313BB42A40}"/>
    <cellStyle name="Normal 2 2 2 2 2 2 2 2 2 2 2 8 11 2 3" xfId="10356" xr:uid="{91FDB166-14A8-4C26-9526-953CFE1BCD92}"/>
    <cellStyle name="Normal 2 2 2 2 2 2 2 2 2 2 2 8 11 2 3 2" xfId="10357" xr:uid="{53FA5210-6EBC-4FE1-85EB-B92E307BDCFE}"/>
    <cellStyle name="Normal 2 2 2 2 2 2 2 2 2 2 2 8 11 2 3 2 2" xfId="10358" xr:uid="{1231AD1A-5952-4871-AB98-F9378767A744}"/>
    <cellStyle name="Normal 2 2 2 2 2 2 2 2 2 2 2 8 11 2 3 2 3" xfId="10359" xr:uid="{002119B8-DF92-409D-88AB-244A85A76FC2}"/>
    <cellStyle name="Normal 2 2 2 2 2 2 2 2 2 2 2 8 11 2 3 2 4" xfId="10360" xr:uid="{47F2C2E5-EF5B-4688-8AE6-2F3E94910521}"/>
    <cellStyle name="Normal 2 2 2 2 2 2 2 2 2 2 2 8 11 2 3 3" xfId="10361" xr:uid="{F0C81432-0160-4996-BE88-4FB6531727B6}"/>
    <cellStyle name="Normal 2 2 2 2 2 2 2 2 2 2 2 8 11 2 3 4" xfId="10362" xr:uid="{37DF01CC-0C78-4C69-A192-31213050127D}"/>
    <cellStyle name="Normal 2 2 2 2 2 2 2 2 2 2 2 8 11 2 3 5" xfId="10363" xr:uid="{DF870561-A53A-4A1A-966E-C63A835513B0}"/>
    <cellStyle name="Normal 2 2 2 2 2 2 2 2 2 2 2 8 11 2 3 6" xfId="10364" xr:uid="{7B93DA90-8BC0-4F49-B6C5-3266170265A1}"/>
    <cellStyle name="Normal 2 2 2 2 2 2 2 2 2 2 2 8 11 2 4" xfId="10365" xr:uid="{46FA2427-8D03-4F99-A726-7B885821BF1A}"/>
    <cellStyle name="Normal 2 2 2 2 2 2 2 2 2 2 2 8 11 2 5" xfId="10366" xr:uid="{E529160E-3973-42F6-9966-9AD71F6230CD}"/>
    <cellStyle name="Normal 2 2 2 2 2 2 2 2 2 2 2 8 11 2 6" xfId="10367" xr:uid="{2D9029C8-5A7E-4680-8AE4-EF374AC23651}"/>
    <cellStyle name="Normal 2 2 2 2 2 2 2 2 2 2 2 8 11 2 7" xfId="10368" xr:uid="{A6CF4550-8E3D-4092-AEAC-53A8D90BA832}"/>
    <cellStyle name="Normal 2 2 2 2 2 2 2 2 2 2 2 8 11 2 8" xfId="10369" xr:uid="{381C6D4D-DE9D-401C-93EE-B73149F62109}"/>
    <cellStyle name="Normal 2 2 2 2 2 2 2 2 2 2 2 8 11 2 8 2" xfId="10370" xr:uid="{2654E2DD-0AD0-408D-8461-F3B6B02C85CB}"/>
    <cellStyle name="Normal 2 2 2 2 2 2 2 2 2 2 2 8 11 2 8 3" xfId="10371" xr:uid="{F5B67761-E493-4B8C-B522-11F92D69A7FB}"/>
    <cellStyle name="Normal 2 2 2 2 2 2 2 2 2 2 2 8 11 2 8 4" xfId="10372" xr:uid="{6BF8C1FE-4AF8-44D5-9B10-9BC2317DB9F2}"/>
    <cellStyle name="Normal 2 2 2 2 2 2 2 2 2 2 2 8 11 2 9" xfId="10373" xr:uid="{BBF88473-4502-49AF-A60E-7313EDE01C19}"/>
    <cellStyle name="Normal 2 2 2 2 2 2 2 2 2 2 2 8 11 3" xfId="10374" xr:uid="{1B81B35C-E600-42BA-8397-CF7AA1F58A3D}"/>
    <cellStyle name="Normal 2 2 2 2 2 2 2 2 2 2 2 8 11 4" xfId="10375" xr:uid="{D89DA9E2-F2ED-4A68-955A-CA40B063D013}"/>
    <cellStyle name="Normal 2 2 2 2 2 2 2 2 2 2 2 8 11 5" xfId="10376" xr:uid="{1F7CA0E6-DAB6-4181-AA1C-D6A163EA6690}"/>
    <cellStyle name="Normal 2 2 2 2 2 2 2 2 2 2 2 8 11 5 2" xfId="10377" xr:uid="{10EF96BD-E4DD-46D7-AA0F-A09595072573}"/>
    <cellStyle name="Normal 2 2 2 2 2 2 2 2 2 2 2 8 11 5 2 2" xfId="10378" xr:uid="{29AD77C3-A879-492F-B952-37E786995AB4}"/>
    <cellStyle name="Normal 2 2 2 2 2 2 2 2 2 2 2 8 11 5 2 3" xfId="10379" xr:uid="{5DEEEBD2-B21E-4814-B0CE-CD123CC45734}"/>
    <cellStyle name="Normal 2 2 2 2 2 2 2 2 2 2 2 8 11 5 2 4" xfId="10380" xr:uid="{D60C11AD-675A-4F92-8F87-EB84155CBDC0}"/>
    <cellStyle name="Normal 2 2 2 2 2 2 2 2 2 2 2 8 11 5 3" xfId="10381" xr:uid="{D50BBD5E-A465-4FCA-9782-DE05520235F5}"/>
    <cellStyle name="Normal 2 2 2 2 2 2 2 2 2 2 2 8 11 5 4" xfId="10382" xr:uid="{0A69EEF1-5AD6-41D4-9B57-1DFD3F6A933A}"/>
    <cellStyle name="Normal 2 2 2 2 2 2 2 2 2 2 2 8 11 5 5" xfId="10383" xr:uid="{27E9EBB9-6E39-447B-B9A1-B64A4F6F22C9}"/>
    <cellStyle name="Normal 2 2 2 2 2 2 2 2 2 2 2 8 11 5 6" xfId="10384" xr:uid="{32B7EC7F-2B92-4E67-8D4E-7A84A53279F9}"/>
    <cellStyle name="Normal 2 2 2 2 2 2 2 2 2 2 2 8 11 6" xfId="10385" xr:uid="{B29F7004-CAE0-43C6-94A6-799B82CB1D0D}"/>
    <cellStyle name="Normal 2 2 2 2 2 2 2 2 2 2 2 8 11 7" xfId="10386" xr:uid="{7B224AA4-675E-41F6-B4F0-56B0A9A3121C}"/>
    <cellStyle name="Normal 2 2 2 2 2 2 2 2 2 2 2 8 11 8" xfId="10387" xr:uid="{D4F363EA-F651-46F5-8617-8E6BC9317104}"/>
    <cellStyle name="Normal 2 2 2 2 2 2 2 2 2 2 2 8 11 9" xfId="10388" xr:uid="{DEFEC1E4-DECE-44DC-9148-30F64CA88077}"/>
    <cellStyle name="Normal 2 2 2 2 2 2 2 2 2 2 2 8 12" xfId="10389" xr:uid="{286A0975-BA99-4347-81A7-DA986FB67DF8}"/>
    <cellStyle name="Normal 2 2 2 2 2 2 2 2 2 2 2 8 13" xfId="10390" xr:uid="{62806550-FDEC-48D2-9133-8B119416F583}"/>
    <cellStyle name="Normal 2 2 2 2 2 2 2 2 2 2 2 8 13 10" xfId="10391" xr:uid="{385D1A62-6B8E-403B-B8FF-6DB8E96F28A9}"/>
    <cellStyle name="Normal 2 2 2 2 2 2 2 2 2 2 2 8 13 11" xfId="10392" xr:uid="{2CD56761-24CB-4168-ABA6-7EEE3147AE42}"/>
    <cellStyle name="Normal 2 2 2 2 2 2 2 2 2 2 2 8 13 2" xfId="10393" xr:uid="{7D3ACCCC-4DCA-4803-BF6B-55D62A67ACB3}"/>
    <cellStyle name="Normal 2 2 2 2 2 2 2 2 2 2 2 8 13 2 10" xfId="10394" xr:uid="{6F80ADA2-FCE6-4EDC-B23A-A1E3527F231A}"/>
    <cellStyle name="Normal 2 2 2 2 2 2 2 2 2 2 2 8 13 2 11" xfId="10395" xr:uid="{FF519E37-0DDA-4642-9CAD-5F3FE2F8D04C}"/>
    <cellStyle name="Normal 2 2 2 2 2 2 2 2 2 2 2 8 13 2 2" xfId="10396" xr:uid="{9DCE46E3-A5D5-4499-98A7-8EC2CEDD9958}"/>
    <cellStyle name="Normal 2 2 2 2 2 2 2 2 2 2 2 8 13 2 2 2" xfId="10397" xr:uid="{B6A4FE43-E7AE-4DA4-8A4B-91E34A559F91}"/>
    <cellStyle name="Normal 2 2 2 2 2 2 2 2 2 2 2 8 13 2 2 2 2" xfId="10398" xr:uid="{B0A6CFE7-3020-4486-808B-6BC8E7C1312D}"/>
    <cellStyle name="Normal 2 2 2 2 2 2 2 2 2 2 2 8 13 2 2 2 3" xfId="10399" xr:uid="{25BFD83D-CE03-4230-ADF4-2B6A9E501025}"/>
    <cellStyle name="Normal 2 2 2 2 2 2 2 2 2 2 2 8 13 2 2 2 4" xfId="10400" xr:uid="{0C23DF8E-D1CB-483B-8AAF-AE5D695AA21D}"/>
    <cellStyle name="Normal 2 2 2 2 2 2 2 2 2 2 2 8 13 2 2 3" xfId="10401" xr:uid="{362B0A17-3760-436C-A932-40F7BEA3A154}"/>
    <cellStyle name="Normal 2 2 2 2 2 2 2 2 2 2 2 8 13 2 2 4" xfId="10402" xr:uid="{926CC397-188A-4F51-8885-642BDAD0B900}"/>
    <cellStyle name="Normal 2 2 2 2 2 2 2 2 2 2 2 8 13 2 2 5" xfId="10403" xr:uid="{3A4AE1E0-D468-4BE7-94CF-984BA959A569}"/>
    <cellStyle name="Normal 2 2 2 2 2 2 2 2 2 2 2 8 13 2 2 6" xfId="10404" xr:uid="{59987670-854E-45F1-91FA-F7DB0F17C018}"/>
    <cellStyle name="Normal 2 2 2 2 2 2 2 2 2 2 2 8 13 2 3" xfId="10405" xr:uid="{F62027CF-DD00-4164-B5B4-B2079A52F35A}"/>
    <cellStyle name="Normal 2 2 2 2 2 2 2 2 2 2 2 8 13 2 4" xfId="10406" xr:uid="{D19E09B6-4039-4DD3-B0B6-C79C7075F3C6}"/>
    <cellStyle name="Normal 2 2 2 2 2 2 2 2 2 2 2 8 13 2 5" xfId="10407" xr:uid="{3AB11715-E63E-45C7-8A25-FB16E2DA25B7}"/>
    <cellStyle name="Normal 2 2 2 2 2 2 2 2 2 2 2 8 13 2 6" xfId="10408" xr:uid="{E8D5BFF6-1820-4468-AD0A-E0250876D595}"/>
    <cellStyle name="Normal 2 2 2 2 2 2 2 2 2 2 2 8 13 2 7" xfId="10409" xr:uid="{F0C66245-86E3-470C-9F1A-243E1897AA69}"/>
    <cellStyle name="Normal 2 2 2 2 2 2 2 2 2 2 2 8 13 2 8" xfId="10410" xr:uid="{5F1FDC76-8ACD-4CD9-B7CF-8D039AD342E3}"/>
    <cellStyle name="Normal 2 2 2 2 2 2 2 2 2 2 2 8 13 2 8 2" xfId="10411" xr:uid="{2A93260C-89FE-49B5-8F1E-88ED15CB22E9}"/>
    <cellStyle name="Normal 2 2 2 2 2 2 2 2 2 2 2 8 13 2 8 3" xfId="10412" xr:uid="{94C84AB8-C127-489B-9108-D810F5BF2BF8}"/>
    <cellStyle name="Normal 2 2 2 2 2 2 2 2 2 2 2 8 13 2 8 4" xfId="10413" xr:uid="{672FF646-6F33-4AD2-A4AC-E7E10AD9D7A7}"/>
    <cellStyle name="Normal 2 2 2 2 2 2 2 2 2 2 2 8 13 2 9" xfId="10414" xr:uid="{F0323CD8-0884-4CFC-93CB-5077785EF96A}"/>
    <cellStyle name="Normal 2 2 2 2 2 2 2 2 2 2 2 8 13 3" xfId="10415" xr:uid="{05666239-6A6B-41DA-AED7-8572CB7EEA94}"/>
    <cellStyle name="Normal 2 2 2 2 2 2 2 2 2 2 2 8 13 3 2" xfId="10416" xr:uid="{60F12F30-7E6E-4C8F-83A8-AB844FAA7819}"/>
    <cellStyle name="Normal 2 2 2 2 2 2 2 2 2 2 2 8 13 3 2 2" xfId="10417" xr:uid="{4AB2A4D7-3E92-4712-8611-00C3E156CE52}"/>
    <cellStyle name="Normal 2 2 2 2 2 2 2 2 2 2 2 8 13 3 2 3" xfId="10418" xr:uid="{BEC1D86B-D09A-45E5-AF78-93E26FB3755E}"/>
    <cellStyle name="Normal 2 2 2 2 2 2 2 2 2 2 2 8 13 3 2 4" xfId="10419" xr:uid="{A4B5F722-E4A1-4C9D-81FD-B901B55C5A94}"/>
    <cellStyle name="Normal 2 2 2 2 2 2 2 2 2 2 2 8 13 3 3" xfId="10420" xr:uid="{C3D75BAD-C0B1-4197-BBC8-85903BBBD41F}"/>
    <cellStyle name="Normal 2 2 2 2 2 2 2 2 2 2 2 8 13 3 4" xfId="10421" xr:uid="{B14AF335-89FE-47F7-8376-B416747B3909}"/>
    <cellStyle name="Normal 2 2 2 2 2 2 2 2 2 2 2 8 13 3 5" xfId="10422" xr:uid="{06640D0F-B008-46C9-917D-6CBC10946009}"/>
    <cellStyle name="Normal 2 2 2 2 2 2 2 2 2 2 2 8 13 3 6" xfId="10423" xr:uid="{D1DD9A15-C766-463F-9E4B-991E251DC673}"/>
    <cellStyle name="Normal 2 2 2 2 2 2 2 2 2 2 2 8 13 4" xfId="10424" xr:uid="{ACABF908-3A98-4585-9177-5310F772ADF7}"/>
    <cellStyle name="Normal 2 2 2 2 2 2 2 2 2 2 2 8 13 5" xfId="10425" xr:uid="{CF9D93B4-BA7C-4A08-B91A-1729C2DCF3BA}"/>
    <cellStyle name="Normal 2 2 2 2 2 2 2 2 2 2 2 8 13 6" xfId="10426" xr:uid="{96B60F53-FE9A-45CE-9DFE-839FE7B942FD}"/>
    <cellStyle name="Normal 2 2 2 2 2 2 2 2 2 2 2 8 13 7" xfId="10427" xr:uid="{9259B375-98F8-40A0-9B68-53D4E0BF6002}"/>
    <cellStyle name="Normal 2 2 2 2 2 2 2 2 2 2 2 8 13 8" xfId="10428" xr:uid="{7A51C7EA-3A01-4C3A-9AA6-9774C732F46E}"/>
    <cellStyle name="Normal 2 2 2 2 2 2 2 2 2 2 2 8 13 8 2" xfId="10429" xr:uid="{2F1977D0-9556-4F6B-A88A-2439FE807ECD}"/>
    <cellStyle name="Normal 2 2 2 2 2 2 2 2 2 2 2 8 13 8 3" xfId="10430" xr:uid="{69599745-6B6B-480C-A94F-A1232A99D4F7}"/>
    <cellStyle name="Normal 2 2 2 2 2 2 2 2 2 2 2 8 13 8 4" xfId="10431" xr:uid="{75866325-17A7-4BB0-B27D-D6BB4646FBD4}"/>
    <cellStyle name="Normal 2 2 2 2 2 2 2 2 2 2 2 8 13 9" xfId="10432" xr:uid="{B9B86FAC-F3BF-413B-AA42-4BBF48E55DC9}"/>
    <cellStyle name="Normal 2 2 2 2 2 2 2 2 2 2 2 8 14" xfId="10433" xr:uid="{C563CEE7-5152-417A-AACD-8A8BBA89198A}"/>
    <cellStyle name="Normal 2 2 2 2 2 2 2 2 2 2 2 8 15" xfId="10434" xr:uid="{88D52FD1-A6F8-4D22-B7D5-7590D125BFE1}"/>
    <cellStyle name="Normal 2 2 2 2 2 2 2 2 2 2 2 8 15 2" xfId="10435" xr:uid="{03522FE6-E5B8-40F1-9BF8-24F2AFEDDC3F}"/>
    <cellStyle name="Normal 2 2 2 2 2 2 2 2 2 2 2 8 15 2 2" xfId="10436" xr:uid="{F56FF596-296E-4AFA-BC73-8AF9EB742AB1}"/>
    <cellStyle name="Normal 2 2 2 2 2 2 2 2 2 2 2 8 15 2 3" xfId="10437" xr:uid="{D9967076-1A67-4561-9CC3-2537276F7319}"/>
    <cellStyle name="Normal 2 2 2 2 2 2 2 2 2 2 2 8 15 2 4" xfId="10438" xr:uid="{E7F08D73-E9FD-4DA8-BC46-0EBCE20EEF72}"/>
    <cellStyle name="Normal 2 2 2 2 2 2 2 2 2 2 2 8 15 3" xfId="10439" xr:uid="{EDBAD897-6D77-4D1A-ACC7-22E885E0539F}"/>
    <cellStyle name="Normal 2 2 2 2 2 2 2 2 2 2 2 8 15 4" xfId="10440" xr:uid="{2E300D36-F4BF-40DB-B557-12BCACA890C1}"/>
    <cellStyle name="Normal 2 2 2 2 2 2 2 2 2 2 2 8 15 5" xfId="10441" xr:uid="{45134BBE-7C71-4D97-B923-D4D9F2722A41}"/>
    <cellStyle name="Normal 2 2 2 2 2 2 2 2 2 2 2 8 15 6" xfId="10442" xr:uid="{FBB47DA9-3A41-4D64-960D-B42636A81F00}"/>
    <cellStyle name="Normal 2 2 2 2 2 2 2 2 2 2 2 8 16" xfId="10443" xr:uid="{7003C5F4-7B17-447D-BE6B-03E21BF74514}"/>
    <cellStyle name="Normal 2 2 2 2 2 2 2 2 2 2 2 8 17" xfId="10444" xr:uid="{F7EFFF31-6F8E-4D47-98CB-86267E51715A}"/>
    <cellStyle name="Normal 2 2 2 2 2 2 2 2 2 2 2 8 18" xfId="10445" xr:uid="{69E3FDE7-A773-42A8-B2A8-6D5249BECF34}"/>
    <cellStyle name="Normal 2 2 2 2 2 2 2 2 2 2 2 8 19" xfId="10446" xr:uid="{25FC47BD-EE7D-4647-A08D-DAB485261AFE}"/>
    <cellStyle name="Normal 2 2 2 2 2 2 2 2 2 2 2 8 2" xfId="10447" xr:uid="{3CACF169-DF54-4C27-9C46-1A9A2D0320F6}"/>
    <cellStyle name="Normal 2 2 2 2 2 2 2 2 2 2 2 8 2 10" xfId="10448" xr:uid="{BA6798F1-73F4-4F81-B458-7631D61DF990}"/>
    <cellStyle name="Normal 2 2 2 2 2 2 2 2 2 2 2 8 2 11" xfId="10449" xr:uid="{9001739E-3800-4D30-B370-FE33E0F6FC0F}"/>
    <cellStyle name="Normal 2 2 2 2 2 2 2 2 2 2 2 8 2 12" xfId="10450" xr:uid="{EC950C9D-B228-4620-B9DA-FEA4370AC5B7}"/>
    <cellStyle name="Normal 2 2 2 2 2 2 2 2 2 2 2 8 2 13" xfId="10451" xr:uid="{F19A0CC5-FAC2-4C3A-A4EB-99818DD8206A}"/>
    <cellStyle name="Normal 2 2 2 2 2 2 2 2 2 2 2 8 2 13 2" xfId="10452" xr:uid="{D0A85214-26B9-4333-83FD-BCC9407CD23E}"/>
    <cellStyle name="Normal 2 2 2 2 2 2 2 2 2 2 2 8 2 13 3" xfId="10453" xr:uid="{81EDE620-B8ED-4BF1-A6C8-A70245B5B0A8}"/>
    <cellStyle name="Normal 2 2 2 2 2 2 2 2 2 2 2 8 2 13 4" xfId="10454" xr:uid="{F59E86EF-F252-4B74-B688-08659F243785}"/>
    <cellStyle name="Normal 2 2 2 2 2 2 2 2 2 2 2 8 2 14" xfId="10455" xr:uid="{74FBD8B8-063E-4B81-9FBC-1F058FC50B66}"/>
    <cellStyle name="Normal 2 2 2 2 2 2 2 2 2 2 2 8 2 15" xfId="10456" xr:uid="{C9B1EB6D-0906-4C28-9AA9-588CE5D00152}"/>
    <cellStyle name="Normal 2 2 2 2 2 2 2 2 2 2 2 8 2 16" xfId="10457" xr:uid="{B4FB9FF6-AB47-4302-8D54-BA1973337B51}"/>
    <cellStyle name="Normal 2 2 2 2 2 2 2 2 2 2 2 8 2 2" xfId="10458" xr:uid="{C1AFD014-6BD9-42C4-9590-6E01773C12E3}"/>
    <cellStyle name="Normal 2 2 2 2 2 2 2 2 2 2 2 8 2 2 10" xfId="10459" xr:uid="{C31E0019-4A29-4EEA-BF3F-6868880BF64E}"/>
    <cellStyle name="Normal 2 2 2 2 2 2 2 2 2 2 2 8 2 2 11" xfId="10460" xr:uid="{82A7A78D-1050-4B3E-854D-0D60BD9477B4}"/>
    <cellStyle name="Normal 2 2 2 2 2 2 2 2 2 2 2 8 2 2 11 2" xfId="10461" xr:uid="{9B4BAB44-8B91-41A9-B71D-9CE30902394D}"/>
    <cellStyle name="Normal 2 2 2 2 2 2 2 2 2 2 2 8 2 2 11 3" xfId="10462" xr:uid="{AD94E5DF-1316-4D88-AC44-823E8B91F0C1}"/>
    <cellStyle name="Normal 2 2 2 2 2 2 2 2 2 2 2 8 2 2 11 4" xfId="10463" xr:uid="{AFC714A3-9569-4F9B-BA38-A1769B43BA44}"/>
    <cellStyle name="Normal 2 2 2 2 2 2 2 2 2 2 2 8 2 2 12" xfId="10464" xr:uid="{A54223D6-B1D8-4B96-ACBD-ABC30D657314}"/>
    <cellStyle name="Normal 2 2 2 2 2 2 2 2 2 2 2 8 2 2 13" xfId="10465" xr:uid="{BB1BCC06-2A81-4EC8-9E26-04BEF7FEC09B}"/>
    <cellStyle name="Normal 2 2 2 2 2 2 2 2 2 2 2 8 2 2 14" xfId="10466" xr:uid="{4AC9B9E4-FA30-4428-908F-D29A3FAD7E85}"/>
    <cellStyle name="Normal 2 2 2 2 2 2 2 2 2 2 2 8 2 2 2" xfId="10467" xr:uid="{66B9A777-6873-4320-86FB-FE02710E039E}"/>
    <cellStyle name="Normal 2 2 2 2 2 2 2 2 2 2 2 8 2 2 2 10" xfId="10468" xr:uid="{8081A5F1-B9F6-4120-8498-F2C01B973EC2}"/>
    <cellStyle name="Normal 2 2 2 2 2 2 2 2 2 2 2 8 2 2 2 11" xfId="10469" xr:uid="{F78C5BDB-D281-47BE-9F57-D5344A3CDB04}"/>
    <cellStyle name="Normal 2 2 2 2 2 2 2 2 2 2 2 8 2 2 2 2" xfId="10470" xr:uid="{9BAE66F6-6E1B-4EF7-B5EA-91ED99B22CFD}"/>
    <cellStyle name="Normal 2 2 2 2 2 2 2 2 2 2 2 8 2 2 2 2 10" xfId="10471" xr:uid="{3A608036-5BC6-47D6-B67B-4FD7CAC22AEE}"/>
    <cellStyle name="Normal 2 2 2 2 2 2 2 2 2 2 2 8 2 2 2 2 11" xfId="10472" xr:uid="{F5DF4C2D-82B0-452C-8C50-0E945EC15A26}"/>
    <cellStyle name="Normal 2 2 2 2 2 2 2 2 2 2 2 8 2 2 2 2 2" xfId="10473" xr:uid="{63A96824-DB55-46C6-B3D6-B20423061053}"/>
    <cellStyle name="Normal 2 2 2 2 2 2 2 2 2 2 2 8 2 2 2 2 2 2" xfId="10474" xr:uid="{3FFDF9FA-12FA-4470-9919-B120B21029C9}"/>
    <cellStyle name="Normal 2 2 2 2 2 2 2 2 2 2 2 8 2 2 2 2 2 2 2" xfId="10475" xr:uid="{D16A89A2-1C6B-4A86-91F1-87C47AFDA296}"/>
    <cellStyle name="Normal 2 2 2 2 2 2 2 2 2 2 2 8 2 2 2 2 2 2 3" xfId="10476" xr:uid="{67B012E5-7933-493D-9AE7-F570E5511C75}"/>
    <cellStyle name="Normal 2 2 2 2 2 2 2 2 2 2 2 8 2 2 2 2 2 2 4" xfId="10477" xr:uid="{AE8A19B2-3A8C-4853-927F-0BAF757A67ED}"/>
    <cellStyle name="Normal 2 2 2 2 2 2 2 2 2 2 2 8 2 2 2 2 2 3" xfId="10478" xr:uid="{7F683D15-24C3-4544-92AA-DD966751D4A1}"/>
    <cellStyle name="Normal 2 2 2 2 2 2 2 2 2 2 2 8 2 2 2 2 2 4" xfId="10479" xr:uid="{EE2585A1-B761-40B8-82D5-DEDA9771F751}"/>
    <cellStyle name="Normal 2 2 2 2 2 2 2 2 2 2 2 8 2 2 2 2 2 5" xfId="10480" xr:uid="{05B37FB4-3B74-464D-92F5-7DDE7E2A647E}"/>
    <cellStyle name="Normal 2 2 2 2 2 2 2 2 2 2 2 8 2 2 2 2 2 6" xfId="10481" xr:uid="{E61DDF7A-FE25-4D9E-AEC5-BF360D4FEBD3}"/>
    <cellStyle name="Normal 2 2 2 2 2 2 2 2 2 2 2 8 2 2 2 2 3" xfId="10482" xr:uid="{CD81CFE8-EB05-4814-A980-36BDF7493B3C}"/>
    <cellStyle name="Normal 2 2 2 2 2 2 2 2 2 2 2 8 2 2 2 2 4" xfId="10483" xr:uid="{78F3902A-FC61-4454-86F2-F4B999EDEB47}"/>
    <cellStyle name="Normal 2 2 2 2 2 2 2 2 2 2 2 8 2 2 2 2 5" xfId="10484" xr:uid="{0D7C7337-7260-4386-B59E-7AC39E50D815}"/>
    <cellStyle name="Normal 2 2 2 2 2 2 2 2 2 2 2 8 2 2 2 2 6" xfId="10485" xr:uid="{D3500464-F7DC-4ECC-805F-F67F30B3ADF9}"/>
    <cellStyle name="Normal 2 2 2 2 2 2 2 2 2 2 2 8 2 2 2 2 7" xfId="10486" xr:uid="{DFC08263-B2FB-4FE0-974B-25D655789F79}"/>
    <cellStyle name="Normal 2 2 2 2 2 2 2 2 2 2 2 8 2 2 2 2 8" xfId="10487" xr:uid="{29CDD5B4-09FC-4E7E-B37A-46ED0FF2E6D6}"/>
    <cellStyle name="Normal 2 2 2 2 2 2 2 2 2 2 2 8 2 2 2 2 8 2" xfId="10488" xr:uid="{1ECFB8B7-ACA6-401C-8841-3497C7DF14E6}"/>
    <cellStyle name="Normal 2 2 2 2 2 2 2 2 2 2 2 8 2 2 2 2 8 3" xfId="10489" xr:uid="{3DB92B68-230C-4ED9-B64B-886CA10E7B35}"/>
    <cellStyle name="Normal 2 2 2 2 2 2 2 2 2 2 2 8 2 2 2 2 8 4" xfId="10490" xr:uid="{C18D2C56-8CC2-470D-BC42-F68B9382687D}"/>
    <cellStyle name="Normal 2 2 2 2 2 2 2 2 2 2 2 8 2 2 2 2 9" xfId="10491" xr:uid="{5E6003F1-C06E-4D58-B92B-97D7F6C93AD3}"/>
    <cellStyle name="Normal 2 2 2 2 2 2 2 2 2 2 2 8 2 2 2 3" xfId="10492" xr:uid="{4D3C40AE-F618-447A-B4ED-0B420C664C29}"/>
    <cellStyle name="Normal 2 2 2 2 2 2 2 2 2 2 2 8 2 2 2 3 2" xfId="10493" xr:uid="{0BE68517-F66A-4A11-8FC1-CC1F18726375}"/>
    <cellStyle name="Normal 2 2 2 2 2 2 2 2 2 2 2 8 2 2 2 3 2 2" xfId="10494" xr:uid="{ACAB97D0-C7D4-41A9-8474-E07E369A1183}"/>
    <cellStyle name="Normal 2 2 2 2 2 2 2 2 2 2 2 8 2 2 2 3 2 3" xfId="10495" xr:uid="{77BF9CFE-D27E-4899-B7D2-5CB2F96DC098}"/>
    <cellStyle name="Normal 2 2 2 2 2 2 2 2 2 2 2 8 2 2 2 3 2 4" xfId="10496" xr:uid="{DE975202-DB59-4A9C-87DE-8CA1B8289EC8}"/>
    <cellStyle name="Normal 2 2 2 2 2 2 2 2 2 2 2 8 2 2 2 3 3" xfId="10497" xr:uid="{C98B389A-6D90-4C39-B14F-0F3737C82CFA}"/>
    <cellStyle name="Normal 2 2 2 2 2 2 2 2 2 2 2 8 2 2 2 3 4" xfId="10498" xr:uid="{C8C8EE13-1008-4F9E-9474-9E8090979878}"/>
    <cellStyle name="Normal 2 2 2 2 2 2 2 2 2 2 2 8 2 2 2 3 5" xfId="10499" xr:uid="{08148ADC-BCDD-4D58-87AA-C224949CC24E}"/>
    <cellStyle name="Normal 2 2 2 2 2 2 2 2 2 2 2 8 2 2 2 3 6" xfId="10500" xr:uid="{70A4902E-233D-42F7-A92A-3A02BE484980}"/>
    <cellStyle name="Normal 2 2 2 2 2 2 2 2 2 2 2 8 2 2 2 4" xfId="10501" xr:uid="{24A5F787-0E27-4351-944B-D990AC2E414E}"/>
    <cellStyle name="Normal 2 2 2 2 2 2 2 2 2 2 2 8 2 2 2 5" xfId="10502" xr:uid="{DF46C383-E0D5-476A-B307-41D6CFF2191D}"/>
    <cellStyle name="Normal 2 2 2 2 2 2 2 2 2 2 2 8 2 2 2 6" xfId="10503" xr:uid="{E2B16619-CC76-4272-B7CD-28CF43667B3A}"/>
    <cellStyle name="Normal 2 2 2 2 2 2 2 2 2 2 2 8 2 2 2 7" xfId="10504" xr:uid="{F37B3DC6-4959-4813-8729-57406968838F}"/>
    <cellStyle name="Normal 2 2 2 2 2 2 2 2 2 2 2 8 2 2 2 8" xfId="10505" xr:uid="{1209BF9A-E3CA-4443-AA33-95668E14B0A4}"/>
    <cellStyle name="Normal 2 2 2 2 2 2 2 2 2 2 2 8 2 2 2 8 2" xfId="10506" xr:uid="{6A854283-50F3-446F-AC77-1987AA2BD133}"/>
    <cellStyle name="Normal 2 2 2 2 2 2 2 2 2 2 2 8 2 2 2 8 3" xfId="10507" xr:uid="{8F09040D-EE35-4E22-8781-7B48E4FA04F6}"/>
    <cellStyle name="Normal 2 2 2 2 2 2 2 2 2 2 2 8 2 2 2 8 4" xfId="10508" xr:uid="{290F2258-06F7-469A-B92B-68B5FB3058BE}"/>
    <cellStyle name="Normal 2 2 2 2 2 2 2 2 2 2 2 8 2 2 2 9" xfId="10509" xr:uid="{20EAFCF6-D6BB-4C4A-87EB-00DE276CB0D3}"/>
    <cellStyle name="Normal 2 2 2 2 2 2 2 2 2 2 2 8 2 2 3" xfId="10510" xr:uid="{0CF12A1A-D1A1-4269-84D2-ACFD9581E867}"/>
    <cellStyle name="Normal 2 2 2 2 2 2 2 2 2 2 2 8 2 2 4" xfId="10511" xr:uid="{6676946D-58E1-426D-A2B5-C79D74E83C71}"/>
    <cellStyle name="Normal 2 2 2 2 2 2 2 2 2 2 2 8 2 2 5" xfId="10512" xr:uid="{89022CF9-FE1A-4EF4-BD1B-0DE4837A574D}"/>
    <cellStyle name="Normal 2 2 2 2 2 2 2 2 2 2 2 8 2 2 5 2" xfId="10513" xr:uid="{EF7D2869-70BF-4996-A675-A0146432F13B}"/>
    <cellStyle name="Normal 2 2 2 2 2 2 2 2 2 2 2 8 2 2 5 2 2" xfId="10514" xr:uid="{DBBC6450-88D4-45D5-AB67-AD7C069C8D15}"/>
    <cellStyle name="Normal 2 2 2 2 2 2 2 2 2 2 2 8 2 2 5 2 3" xfId="10515" xr:uid="{61A4FB8A-6FC3-47F5-AA2E-A1550ECB1A7B}"/>
    <cellStyle name="Normal 2 2 2 2 2 2 2 2 2 2 2 8 2 2 5 2 4" xfId="10516" xr:uid="{974A42DB-B46B-488B-96DD-B7ED8E8C6EE1}"/>
    <cellStyle name="Normal 2 2 2 2 2 2 2 2 2 2 2 8 2 2 5 3" xfId="10517" xr:uid="{8A3CE7F8-AE31-49F3-AEC2-1A3D7D0E43D4}"/>
    <cellStyle name="Normal 2 2 2 2 2 2 2 2 2 2 2 8 2 2 5 4" xfId="10518" xr:uid="{3A7BA33A-A873-46E0-A72F-67FCDF4506B2}"/>
    <cellStyle name="Normal 2 2 2 2 2 2 2 2 2 2 2 8 2 2 5 5" xfId="10519" xr:uid="{7165F38F-CDC6-400D-814C-9729A52EE384}"/>
    <cellStyle name="Normal 2 2 2 2 2 2 2 2 2 2 2 8 2 2 5 6" xfId="10520" xr:uid="{25D89459-D162-4095-A686-E0E3104E395D}"/>
    <cellStyle name="Normal 2 2 2 2 2 2 2 2 2 2 2 8 2 2 6" xfId="10521" xr:uid="{11F82AF9-F64C-4057-A028-667E2E07BF06}"/>
    <cellStyle name="Normal 2 2 2 2 2 2 2 2 2 2 2 8 2 2 7" xfId="10522" xr:uid="{B7A3DCEA-A314-4DE6-91E7-446427F3C9A1}"/>
    <cellStyle name="Normal 2 2 2 2 2 2 2 2 2 2 2 8 2 2 8" xfId="10523" xr:uid="{B35BAD53-DB5F-4D66-B44B-F79B0379F760}"/>
    <cellStyle name="Normal 2 2 2 2 2 2 2 2 2 2 2 8 2 2 9" xfId="10524" xr:uid="{7495E029-568E-4FD3-820E-E4312A6F0E36}"/>
    <cellStyle name="Normal 2 2 2 2 2 2 2 2 2 2 2 8 2 3" xfId="10525" xr:uid="{C6B029BC-2397-40E1-95C5-D52B462A5B30}"/>
    <cellStyle name="Normal 2 2 2 2 2 2 2 2 2 2 2 8 2 4" xfId="10526" xr:uid="{3DAD8031-2ACD-4947-874C-6344C2A4BDDB}"/>
    <cellStyle name="Normal 2 2 2 2 2 2 2 2 2 2 2 8 2 5" xfId="10527" xr:uid="{211F1C24-5353-45CE-96F3-481464F5B281}"/>
    <cellStyle name="Normal 2 2 2 2 2 2 2 2 2 2 2 8 2 5 10" xfId="10528" xr:uid="{BB857B84-B140-408D-90DE-FFEE4B485E79}"/>
    <cellStyle name="Normal 2 2 2 2 2 2 2 2 2 2 2 8 2 5 11" xfId="10529" xr:uid="{8CF5F665-2411-4F1A-BDA6-C80386901782}"/>
    <cellStyle name="Normal 2 2 2 2 2 2 2 2 2 2 2 8 2 5 2" xfId="10530" xr:uid="{F0DAC867-57DC-4929-BFC2-7233A3A9E36A}"/>
    <cellStyle name="Normal 2 2 2 2 2 2 2 2 2 2 2 8 2 5 2 10" xfId="10531" xr:uid="{A1844D51-E23E-416F-90B8-2FD06AA24DB4}"/>
    <cellStyle name="Normal 2 2 2 2 2 2 2 2 2 2 2 8 2 5 2 11" xfId="10532" xr:uid="{7E4E896D-6C14-472E-898A-2962560E7BC3}"/>
    <cellStyle name="Normal 2 2 2 2 2 2 2 2 2 2 2 8 2 5 2 2" xfId="10533" xr:uid="{6ECE8147-2F4F-466F-9DFC-7C85045A6674}"/>
    <cellStyle name="Normal 2 2 2 2 2 2 2 2 2 2 2 8 2 5 2 2 2" xfId="10534" xr:uid="{BEFD15E6-4189-44D8-9811-9812541ABA35}"/>
    <cellStyle name="Normal 2 2 2 2 2 2 2 2 2 2 2 8 2 5 2 2 2 2" xfId="10535" xr:uid="{692DCB43-36DD-4DE2-AD74-715F97622653}"/>
    <cellStyle name="Normal 2 2 2 2 2 2 2 2 2 2 2 8 2 5 2 2 2 3" xfId="10536" xr:uid="{6AC56601-DBD3-4AAD-9482-8E861A3A7CD9}"/>
    <cellStyle name="Normal 2 2 2 2 2 2 2 2 2 2 2 8 2 5 2 2 2 4" xfId="10537" xr:uid="{435E1A56-283F-4303-B4C5-B3DBA91D8016}"/>
    <cellStyle name="Normal 2 2 2 2 2 2 2 2 2 2 2 8 2 5 2 2 3" xfId="10538" xr:uid="{2925E4D0-08C4-42B3-AF45-42E28DF78440}"/>
    <cellStyle name="Normal 2 2 2 2 2 2 2 2 2 2 2 8 2 5 2 2 4" xfId="10539" xr:uid="{AFDBB12B-A1D8-468C-BF55-BE2DAA890E0A}"/>
    <cellStyle name="Normal 2 2 2 2 2 2 2 2 2 2 2 8 2 5 2 2 5" xfId="10540" xr:uid="{FB958316-147E-4C5F-9A54-A7665B5EDEA1}"/>
    <cellStyle name="Normal 2 2 2 2 2 2 2 2 2 2 2 8 2 5 2 2 6" xfId="10541" xr:uid="{A948C00F-28FE-4F7D-8A32-69F6ABDCFFA8}"/>
    <cellStyle name="Normal 2 2 2 2 2 2 2 2 2 2 2 8 2 5 2 3" xfId="10542" xr:uid="{72A7AA5D-E50B-4C11-AF53-57A58A72C0C9}"/>
    <cellStyle name="Normal 2 2 2 2 2 2 2 2 2 2 2 8 2 5 2 4" xfId="10543" xr:uid="{86191F2F-9BA5-43C1-A853-301A5E90A572}"/>
    <cellStyle name="Normal 2 2 2 2 2 2 2 2 2 2 2 8 2 5 2 5" xfId="10544" xr:uid="{7657E23F-5D5F-4B2E-908A-FF628937525F}"/>
    <cellStyle name="Normal 2 2 2 2 2 2 2 2 2 2 2 8 2 5 2 6" xfId="10545" xr:uid="{A4754C6E-11B2-4B8D-9569-28292DF26092}"/>
    <cellStyle name="Normal 2 2 2 2 2 2 2 2 2 2 2 8 2 5 2 7" xfId="10546" xr:uid="{10B0FBBC-B118-4692-BCD3-14F415D4680C}"/>
    <cellStyle name="Normal 2 2 2 2 2 2 2 2 2 2 2 8 2 5 2 8" xfId="10547" xr:uid="{9D93D6B0-89F3-43CF-8E92-F032CFC644FD}"/>
    <cellStyle name="Normal 2 2 2 2 2 2 2 2 2 2 2 8 2 5 2 8 2" xfId="10548" xr:uid="{FA37E400-FB60-494A-B495-76368F77E38C}"/>
    <cellStyle name="Normal 2 2 2 2 2 2 2 2 2 2 2 8 2 5 2 8 3" xfId="10549" xr:uid="{68FF2E04-188A-4400-9B80-7E8BCA756DFC}"/>
    <cellStyle name="Normal 2 2 2 2 2 2 2 2 2 2 2 8 2 5 2 8 4" xfId="10550" xr:uid="{66801F64-9307-4936-8DC2-04F86E132D39}"/>
    <cellStyle name="Normal 2 2 2 2 2 2 2 2 2 2 2 8 2 5 2 9" xfId="10551" xr:uid="{E65D400B-7CB4-487A-92FB-06CB9C75C696}"/>
    <cellStyle name="Normal 2 2 2 2 2 2 2 2 2 2 2 8 2 5 3" xfId="10552" xr:uid="{EB2CC53A-48F6-47BE-8B23-698EAF8D383D}"/>
    <cellStyle name="Normal 2 2 2 2 2 2 2 2 2 2 2 8 2 5 3 2" xfId="10553" xr:uid="{D85F89F1-2DCB-45FA-9F17-FB2C795363C0}"/>
    <cellStyle name="Normal 2 2 2 2 2 2 2 2 2 2 2 8 2 5 3 2 2" xfId="10554" xr:uid="{85CB261F-AAC0-490C-B58C-D4A1F4E24DEE}"/>
    <cellStyle name="Normal 2 2 2 2 2 2 2 2 2 2 2 8 2 5 3 2 3" xfId="10555" xr:uid="{99F3C5D3-21CD-4E5B-B89E-FD9642F9EB48}"/>
    <cellStyle name="Normal 2 2 2 2 2 2 2 2 2 2 2 8 2 5 3 2 4" xfId="10556" xr:uid="{C204191A-F705-4900-81A2-751192AE1B9F}"/>
    <cellStyle name="Normal 2 2 2 2 2 2 2 2 2 2 2 8 2 5 3 3" xfId="10557" xr:uid="{710B71FD-8A67-45A8-A3A0-698CE3ED66F8}"/>
    <cellStyle name="Normal 2 2 2 2 2 2 2 2 2 2 2 8 2 5 3 4" xfId="10558" xr:uid="{6E9FD0BD-BDCC-4E42-A01E-908181EE853F}"/>
    <cellStyle name="Normal 2 2 2 2 2 2 2 2 2 2 2 8 2 5 3 5" xfId="10559" xr:uid="{53F0E82E-FE0E-41E7-9F80-87799C00B7C7}"/>
    <cellStyle name="Normal 2 2 2 2 2 2 2 2 2 2 2 8 2 5 3 6" xfId="10560" xr:uid="{D431C786-E293-4119-A931-CFE0190DF57A}"/>
    <cellStyle name="Normal 2 2 2 2 2 2 2 2 2 2 2 8 2 5 4" xfId="10561" xr:uid="{AE72B7C4-C5F0-4D85-9980-A6C60518E874}"/>
    <cellStyle name="Normal 2 2 2 2 2 2 2 2 2 2 2 8 2 5 5" xfId="10562" xr:uid="{81F7830F-610F-4AA2-9723-BE44D1835DC7}"/>
    <cellStyle name="Normal 2 2 2 2 2 2 2 2 2 2 2 8 2 5 6" xfId="10563" xr:uid="{B1F20ABB-6375-4E84-8A58-BFFBD8EF654E}"/>
    <cellStyle name="Normal 2 2 2 2 2 2 2 2 2 2 2 8 2 5 7" xfId="10564" xr:uid="{086DA8C3-D26D-44CE-9220-9060D9F14E54}"/>
    <cellStyle name="Normal 2 2 2 2 2 2 2 2 2 2 2 8 2 5 8" xfId="10565" xr:uid="{5C8734C0-EF22-4C1B-A6FE-CB102B08F9EC}"/>
    <cellStyle name="Normal 2 2 2 2 2 2 2 2 2 2 2 8 2 5 8 2" xfId="10566" xr:uid="{ED846B96-94B8-4015-AEA1-F7D834D83BB1}"/>
    <cellStyle name="Normal 2 2 2 2 2 2 2 2 2 2 2 8 2 5 8 3" xfId="10567" xr:uid="{BB409038-C4A1-4157-9FF6-3AD21F4B93B1}"/>
    <cellStyle name="Normal 2 2 2 2 2 2 2 2 2 2 2 8 2 5 8 4" xfId="10568" xr:uid="{803FABFA-320F-420B-999B-2FC1DA4E10E0}"/>
    <cellStyle name="Normal 2 2 2 2 2 2 2 2 2 2 2 8 2 5 9" xfId="10569" xr:uid="{040ACE7A-B2C4-4DC6-8C71-9B56D02FF968}"/>
    <cellStyle name="Normal 2 2 2 2 2 2 2 2 2 2 2 8 2 6" xfId="10570" xr:uid="{0EC6F100-2EE0-46A3-B9E4-B2A63D9E81CE}"/>
    <cellStyle name="Normal 2 2 2 2 2 2 2 2 2 2 2 8 2 7" xfId="10571" xr:uid="{FFA01A54-A6ED-443C-B590-42EF03F69B6B}"/>
    <cellStyle name="Normal 2 2 2 2 2 2 2 2 2 2 2 8 2 7 2" xfId="10572" xr:uid="{E3C61A4D-1734-4C9E-947F-7C6F67101D9D}"/>
    <cellStyle name="Normal 2 2 2 2 2 2 2 2 2 2 2 8 2 7 2 2" xfId="10573" xr:uid="{23E97310-2CC8-4BDA-9D76-47D52A2B6958}"/>
    <cellStyle name="Normal 2 2 2 2 2 2 2 2 2 2 2 8 2 7 2 3" xfId="10574" xr:uid="{03226836-888D-4CB3-8BF5-6E331E924252}"/>
    <cellStyle name="Normal 2 2 2 2 2 2 2 2 2 2 2 8 2 7 2 4" xfId="10575" xr:uid="{CEA7318E-60B3-429F-9DDD-25EFF8CB48AD}"/>
    <cellStyle name="Normal 2 2 2 2 2 2 2 2 2 2 2 8 2 7 3" xfId="10576" xr:uid="{9D98B78E-BD87-441E-9758-206581FAD7A5}"/>
    <cellStyle name="Normal 2 2 2 2 2 2 2 2 2 2 2 8 2 7 4" xfId="10577" xr:uid="{3F7F644E-35F3-4BB6-B08A-1BD0FC57BC5A}"/>
    <cellStyle name="Normal 2 2 2 2 2 2 2 2 2 2 2 8 2 7 5" xfId="10578" xr:uid="{A83B53E1-2B29-41E2-BC72-E931F660CDF1}"/>
    <cellStyle name="Normal 2 2 2 2 2 2 2 2 2 2 2 8 2 7 6" xfId="10579" xr:uid="{CDF43103-2C9D-4046-82C5-7E597013A86B}"/>
    <cellStyle name="Normal 2 2 2 2 2 2 2 2 2 2 2 8 2 8" xfId="10580" xr:uid="{1FA6D875-72AE-451A-9B00-BE580665FFBE}"/>
    <cellStyle name="Normal 2 2 2 2 2 2 2 2 2 2 2 8 2 9" xfId="10581" xr:uid="{16550258-949D-43BC-95F8-4F24774B94CF}"/>
    <cellStyle name="Normal 2 2 2 2 2 2 2 2 2 2 2 8 20" xfId="10582" xr:uid="{72C9AE0A-B748-4188-99D6-AA4589733972}"/>
    <cellStyle name="Normal 2 2 2 2 2 2 2 2 2 2 2 8 21" xfId="10583" xr:uid="{9071DC0B-1DC9-45A9-9C73-5768C3837A3B}"/>
    <cellStyle name="Normal 2 2 2 2 2 2 2 2 2 2 2 8 21 2" xfId="10584" xr:uid="{CF091213-78B0-468A-8E66-12B75BD8EDDC}"/>
    <cellStyle name="Normal 2 2 2 2 2 2 2 2 2 2 2 8 21 3" xfId="10585" xr:uid="{372FC2CF-8EEC-4825-AADA-FB63B9820574}"/>
    <cellStyle name="Normal 2 2 2 2 2 2 2 2 2 2 2 8 21 4" xfId="10586" xr:uid="{3398C02F-E704-49E4-AA77-0A62CE4AD65F}"/>
    <cellStyle name="Normal 2 2 2 2 2 2 2 2 2 2 2 8 22" xfId="10587" xr:uid="{1981E4BF-1176-49AD-8115-8C610183E951}"/>
    <cellStyle name="Normal 2 2 2 2 2 2 2 2 2 2 2 8 23" xfId="10588" xr:uid="{7278135C-8DBC-4833-8A3B-29E439D51E76}"/>
    <cellStyle name="Normal 2 2 2 2 2 2 2 2 2 2 2 8 24" xfId="10589" xr:uid="{A5548037-C898-45C2-956A-6E779B309E91}"/>
    <cellStyle name="Normal 2 2 2 2 2 2 2 2 2 2 2 8 3" xfId="10590" xr:uid="{62BE8E71-2871-4450-AAE4-E74CD2929CC0}"/>
    <cellStyle name="Normal 2 2 2 2 2 2 2 2 2 2 2 8 4" xfId="10591" xr:uid="{9C7EC358-123A-41A2-B9BA-82883D6B8DEB}"/>
    <cellStyle name="Normal 2 2 2 2 2 2 2 2 2 2 2 8 5" xfId="10592" xr:uid="{C0F3C5BA-4D90-4F74-81B2-B2DD9AAB0B2D}"/>
    <cellStyle name="Normal 2 2 2 2 2 2 2 2 2 2 2 8 6" xfId="10593" xr:uid="{1C42DAAE-C071-4D58-828F-27BF1863FFB7}"/>
    <cellStyle name="Normal 2 2 2 2 2 2 2 2 2 2 2 8 7" xfId="10594" xr:uid="{BEDC15A9-F9DD-4650-8910-5577B1CE9CA5}"/>
    <cellStyle name="Normal 2 2 2 2 2 2 2 2 2 2 2 8 8" xfId="10595" xr:uid="{7C4C9836-1F89-43F0-9DA7-A05B5916C491}"/>
    <cellStyle name="Normal 2 2 2 2 2 2 2 2 2 2 2 8 9" xfId="10596" xr:uid="{98B5E463-FB37-4E68-96DD-5BD6ECE4C01D}"/>
    <cellStyle name="Normal 2 2 2 2 2 2 2 2 2 2 2 80" xfId="10597" xr:uid="{A41D17B9-FBCF-4149-9353-952B47067FA9}"/>
    <cellStyle name="Normal 2 2 2 2 2 2 2 2 2 2 2 81" xfId="10598" xr:uid="{02399DC3-E5B1-4F4A-B6A1-AD3D2D5E1AB0}"/>
    <cellStyle name="Normal 2 2 2 2 2 2 2 2 2 2 2 82" xfId="10599" xr:uid="{03BA93A9-04FE-4E27-8DC0-0A3226418217}"/>
    <cellStyle name="Normal 2 2 2 2 2 2 2 2 2 2 2 83" xfId="10600" xr:uid="{29D0185A-700C-4F26-AF9A-116CE682B5B3}"/>
    <cellStyle name="Normal 2 2 2 2 2 2 2 2 2 2 2 84" xfId="10601" xr:uid="{B868BDB7-A88F-462B-B4D4-A69FE1B6154F}"/>
    <cellStyle name="Normal 2 2 2 2 2 2 2 2 2 2 2 85" xfId="10602" xr:uid="{7906FEFE-8B02-44AB-8AEF-45393BF0C9F2}"/>
    <cellStyle name="Normal 2 2 2 2 2 2 2 2 2 2 2 86" xfId="10603" xr:uid="{9364AF4D-44ED-4581-BF20-84EF0F3C8F0D}"/>
    <cellStyle name="Normal 2 2 2 2 2 2 2 2 2 2 2 87" xfId="10604" xr:uid="{813C3F1C-90C3-40D5-9FBF-F8B59CDD0E4F}"/>
    <cellStyle name="Normal 2 2 2 2 2 2 2 2 2 2 2 88" xfId="10605" xr:uid="{2E8FCD18-E444-4180-A4F5-E66DA76E1BBF}"/>
    <cellStyle name="Normal 2 2 2 2 2 2 2 2 2 2 2 89" xfId="10606" xr:uid="{5C7F6F17-D110-4FE1-B364-578ADA1A9648}"/>
    <cellStyle name="Normal 2 2 2 2 2 2 2 2 2 2 2 89 2" xfId="10607" xr:uid="{76B15155-158F-4B37-A0CB-63E11263AD04}"/>
    <cellStyle name="Normal 2 2 2 2 2 2 2 2 2 2 2 89 3" xfId="10608" xr:uid="{1C25E7A5-25D8-4852-87AD-F510E5926459}"/>
    <cellStyle name="Normal 2 2 2 2 2 2 2 2 2 2 2 89 4" xfId="10609" xr:uid="{0E166EBD-893A-405A-BD49-893E1564011E}"/>
    <cellStyle name="Normal 2 2 2 2 2 2 2 2 2 2 2 9" xfId="10610" xr:uid="{3514E276-3DD8-4B1A-8FEA-C00461FA392B}"/>
    <cellStyle name="Normal 2 2 2 2 2 2 2 2 2 2 2 9 10" xfId="10611" xr:uid="{32052436-522E-4DA6-9CAA-226C1B140ADB}"/>
    <cellStyle name="Normal 2 2 2 2 2 2 2 2 2 2 2 9 11" xfId="10612" xr:uid="{0172A598-5B92-41B9-85A6-6B0BDC10BB06}"/>
    <cellStyle name="Normal 2 2 2 2 2 2 2 2 2 2 2 9 12" xfId="10613" xr:uid="{769F9BCC-E259-4831-82FB-31C795A4CDC3}"/>
    <cellStyle name="Normal 2 2 2 2 2 2 2 2 2 2 2 9 13" xfId="10614" xr:uid="{4816BFA3-AB96-448E-8E70-BF0E5844355C}"/>
    <cellStyle name="Normal 2 2 2 2 2 2 2 2 2 2 2 9 13 2" xfId="10615" xr:uid="{CB606302-6493-4EAE-9E66-20DBDAC0BD80}"/>
    <cellStyle name="Normal 2 2 2 2 2 2 2 2 2 2 2 9 13 3" xfId="10616" xr:uid="{BD2BFCF3-598F-465F-AA56-6DEFE7C6970F}"/>
    <cellStyle name="Normal 2 2 2 2 2 2 2 2 2 2 2 9 13 4" xfId="10617" xr:uid="{03C47D97-7ACF-4D40-9798-E2A940451591}"/>
    <cellStyle name="Normal 2 2 2 2 2 2 2 2 2 2 2 9 14" xfId="10618" xr:uid="{F72E29AA-1452-45E5-834F-3517B06AF56D}"/>
    <cellStyle name="Normal 2 2 2 2 2 2 2 2 2 2 2 9 15" xfId="10619" xr:uid="{60D29F30-2A5B-42B6-BFC8-7D9671F00982}"/>
    <cellStyle name="Normal 2 2 2 2 2 2 2 2 2 2 2 9 16" xfId="10620" xr:uid="{1163ED32-5E9A-4145-B3D9-08B3EA9AD529}"/>
    <cellStyle name="Normal 2 2 2 2 2 2 2 2 2 2 2 9 2" xfId="10621" xr:uid="{D0E1702F-921D-4EBA-B4FF-2370FBC35CB9}"/>
    <cellStyle name="Normal 2 2 2 2 2 2 2 2 2 2 2 9 2 10" xfId="10622" xr:uid="{1E971807-F654-4DFC-B354-DC952FF7AE91}"/>
    <cellStyle name="Normal 2 2 2 2 2 2 2 2 2 2 2 9 2 11" xfId="10623" xr:uid="{0FD7CCCA-CBDB-4A85-83A9-D9913E471901}"/>
    <cellStyle name="Normal 2 2 2 2 2 2 2 2 2 2 2 9 2 11 2" xfId="10624" xr:uid="{36762006-30DE-4006-A445-C6E4838E87AB}"/>
    <cellStyle name="Normal 2 2 2 2 2 2 2 2 2 2 2 9 2 11 3" xfId="10625" xr:uid="{4114E20D-920A-4705-8FBF-C1DBC3EDCAAA}"/>
    <cellStyle name="Normal 2 2 2 2 2 2 2 2 2 2 2 9 2 11 4" xfId="10626" xr:uid="{8790437C-6057-4479-8BE3-23B07DFDF324}"/>
    <cellStyle name="Normal 2 2 2 2 2 2 2 2 2 2 2 9 2 12" xfId="10627" xr:uid="{6C5C7DE6-23DA-44AE-8E59-C8D27E631BC9}"/>
    <cellStyle name="Normal 2 2 2 2 2 2 2 2 2 2 2 9 2 13" xfId="10628" xr:uid="{929B32EE-8DF2-441E-9826-7FF82C91235B}"/>
    <cellStyle name="Normal 2 2 2 2 2 2 2 2 2 2 2 9 2 14" xfId="10629" xr:uid="{3FB1A449-A4A1-4BFB-831C-8D0BA9E78443}"/>
    <cellStyle name="Normal 2 2 2 2 2 2 2 2 2 2 2 9 2 2" xfId="10630" xr:uid="{5A9462C5-CA99-46E6-8D2C-7F28A9DF60FE}"/>
    <cellStyle name="Normal 2 2 2 2 2 2 2 2 2 2 2 9 2 2 10" xfId="10631" xr:uid="{E96CC5A8-9BB3-4410-B310-4B64D43AE39E}"/>
    <cellStyle name="Normal 2 2 2 2 2 2 2 2 2 2 2 9 2 2 11" xfId="10632" xr:uid="{5684A076-28AB-4239-821B-636378EC528C}"/>
    <cellStyle name="Normal 2 2 2 2 2 2 2 2 2 2 2 9 2 2 2" xfId="10633" xr:uid="{1084CAB7-17E3-439E-A264-3DE1BBA9EB23}"/>
    <cellStyle name="Normal 2 2 2 2 2 2 2 2 2 2 2 9 2 2 2 10" xfId="10634" xr:uid="{7325DB87-4FB1-4910-AEB9-3BEDCED163AD}"/>
    <cellStyle name="Normal 2 2 2 2 2 2 2 2 2 2 2 9 2 2 2 11" xfId="10635" xr:uid="{5069AEF6-B744-4373-9111-E89AB3EFF0FC}"/>
    <cellStyle name="Normal 2 2 2 2 2 2 2 2 2 2 2 9 2 2 2 2" xfId="10636" xr:uid="{6FAF0E7E-7E61-4C2C-9928-5E82FDDDC6F0}"/>
    <cellStyle name="Normal 2 2 2 2 2 2 2 2 2 2 2 9 2 2 2 2 2" xfId="10637" xr:uid="{949D2D57-65E2-4FC0-8EC7-DBD64B4D4229}"/>
    <cellStyle name="Normal 2 2 2 2 2 2 2 2 2 2 2 9 2 2 2 2 2 2" xfId="10638" xr:uid="{2A4E51A2-BB7B-4CF1-A425-A5276D1F9B6C}"/>
    <cellStyle name="Normal 2 2 2 2 2 2 2 2 2 2 2 9 2 2 2 2 2 3" xfId="10639" xr:uid="{09A2D943-B7C2-4A69-80A3-B1E6CB8A92A6}"/>
    <cellStyle name="Normal 2 2 2 2 2 2 2 2 2 2 2 9 2 2 2 2 2 4" xfId="10640" xr:uid="{ED12DF7D-B178-4B1F-88D9-D24AAC83B1C8}"/>
    <cellStyle name="Normal 2 2 2 2 2 2 2 2 2 2 2 9 2 2 2 2 3" xfId="10641" xr:uid="{955D3E48-BD97-4B4F-80FF-C3CA3F99E2DC}"/>
    <cellStyle name="Normal 2 2 2 2 2 2 2 2 2 2 2 9 2 2 2 2 4" xfId="10642" xr:uid="{CF22FC49-52D5-4D18-A102-EE9E895BB632}"/>
    <cellStyle name="Normal 2 2 2 2 2 2 2 2 2 2 2 9 2 2 2 2 5" xfId="10643" xr:uid="{AA86C6BD-204D-43F7-8550-028EB068DBA7}"/>
    <cellStyle name="Normal 2 2 2 2 2 2 2 2 2 2 2 9 2 2 2 2 6" xfId="10644" xr:uid="{77B1FFA6-3F5D-4D9C-A3DB-4CBB35BDE8A0}"/>
    <cellStyle name="Normal 2 2 2 2 2 2 2 2 2 2 2 9 2 2 2 3" xfId="10645" xr:uid="{A8DCAABD-72F4-4CD0-A640-1138A37B43F1}"/>
    <cellStyle name="Normal 2 2 2 2 2 2 2 2 2 2 2 9 2 2 2 4" xfId="10646" xr:uid="{460F5B22-6B56-454C-822B-2DE06B409A86}"/>
    <cellStyle name="Normal 2 2 2 2 2 2 2 2 2 2 2 9 2 2 2 5" xfId="10647" xr:uid="{6CC6ECAB-5F40-49AC-8F34-97308A97550A}"/>
    <cellStyle name="Normal 2 2 2 2 2 2 2 2 2 2 2 9 2 2 2 6" xfId="10648" xr:uid="{790ADB70-D753-46A0-84B5-82966D85441F}"/>
    <cellStyle name="Normal 2 2 2 2 2 2 2 2 2 2 2 9 2 2 2 7" xfId="10649" xr:uid="{ABFE85F0-CBA3-43F7-A1CC-A087887ACB01}"/>
    <cellStyle name="Normal 2 2 2 2 2 2 2 2 2 2 2 9 2 2 2 8" xfId="10650" xr:uid="{2A0652E6-C511-4348-A45C-051459E5096E}"/>
    <cellStyle name="Normal 2 2 2 2 2 2 2 2 2 2 2 9 2 2 2 8 2" xfId="10651" xr:uid="{6C5846AB-D707-4C1B-8CF4-7BBB8EC89484}"/>
    <cellStyle name="Normal 2 2 2 2 2 2 2 2 2 2 2 9 2 2 2 8 3" xfId="10652" xr:uid="{53442905-7DE2-4AAB-81CB-9CED44C46FDB}"/>
    <cellStyle name="Normal 2 2 2 2 2 2 2 2 2 2 2 9 2 2 2 8 4" xfId="10653" xr:uid="{D1EDE802-0A16-47FC-A940-AEB5FC8011FF}"/>
    <cellStyle name="Normal 2 2 2 2 2 2 2 2 2 2 2 9 2 2 2 9" xfId="10654" xr:uid="{3EA33998-0FBF-439B-BAEF-FF8A8AC44C7C}"/>
    <cellStyle name="Normal 2 2 2 2 2 2 2 2 2 2 2 9 2 2 3" xfId="10655" xr:uid="{F357F5F6-1F55-43B1-A758-DEA075DB6891}"/>
    <cellStyle name="Normal 2 2 2 2 2 2 2 2 2 2 2 9 2 2 3 2" xfId="10656" xr:uid="{45C9898C-1041-468E-A5BA-F3B03DA6D44D}"/>
    <cellStyle name="Normal 2 2 2 2 2 2 2 2 2 2 2 9 2 2 3 2 2" xfId="10657" xr:uid="{A39386BF-E48D-409E-87F9-A5ED9A34B362}"/>
    <cellStyle name="Normal 2 2 2 2 2 2 2 2 2 2 2 9 2 2 3 2 3" xfId="10658" xr:uid="{1E0E897B-1AC4-4C59-B3FF-19CA89448277}"/>
    <cellStyle name="Normal 2 2 2 2 2 2 2 2 2 2 2 9 2 2 3 2 4" xfId="10659" xr:uid="{58C26537-59A9-4302-9D78-7589C2C2863A}"/>
    <cellStyle name="Normal 2 2 2 2 2 2 2 2 2 2 2 9 2 2 3 3" xfId="10660" xr:uid="{922DFA0C-606D-43A4-A97C-1CC1E30876D8}"/>
    <cellStyle name="Normal 2 2 2 2 2 2 2 2 2 2 2 9 2 2 3 4" xfId="10661" xr:uid="{F1485751-DBB7-48C8-AD8E-1E4B6F0E5F5E}"/>
    <cellStyle name="Normal 2 2 2 2 2 2 2 2 2 2 2 9 2 2 3 5" xfId="10662" xr:uid="{E3D35FEB-6BFB-44E4-9C2D-7BB9FEF87687}"/>
    <cellStyle name="Normal 2 2 2 2 2 2 2 2 2 2 2 9 2 2 3 6" xfId="10663" xr:uid="{D4F27856-B698-4775-B63B-B997AF34F11F}"/>
    <cellStyle name="Normal 2 2 2 2 2 2 2 2 2 2 2 9 2 2 4" xfId="10664" xr:uid="{8CA96D3E-CB6D-44B4-A002-E30AAE8D39D3}"/>
    <cellStyle name="Normal 2 2 2 2 2 2 2 2 2 2 2 9 2 2 5" xfId="10665" xr:uid="{B5118AB9-394F-46AC-93BE-88C659F5EC77}"/>
    <cellStyle name="Normal 2 2 2 2 2 2 2 2 2 2 2 9 2 2 6" xfId="10666" xr:uid="{104F544B-9EC5-4C4E-86B1-FE9593296328}"/>
    <cellStyle name="Normal 2 2 2 2 2 2 2 2 2 2 2 9 2 2 7" xfId="10667" xr:uid="{7C261AED-35AC-40FD-9E51-61CF8DD847CA}"/>
    <cellStyle name="Normal 2 2 2 2 2 2 2 2 2 2 2 9 2 2 8" xfId="10668" xr:uid="{E2BBDC8C-2350-451B-9187-1E4D8101C359}"/>
    <cellStyle name="Normal 2 2 2 2 2 2 2 2 2 2 2 9 2 2 8 2" xfId="10669" xr:uid="{1546FB4E-CF08-4F66-8D03-35BF51F261A8}"/>
    <cellStyle name="Normal 2 2 2 2 2 2 2 2 2 2 2 9 2 2 8 3" xfId="10670" xr:uid="{75F4EC57-65FA-4E58-83D2-8758292A7AE0}"/>
    <cellStyle name="Normal 2 2 2 2 2 2 2 2 2 2 2 9 2 2 8 4" xfId="10671" xr:uid="{2285EDA9-5999-4BD3-9018-0A426F54A44D}"/>
    <cellStyle name="Normal 2 2 2 2 2 2 2 2 2 2 2 9 2 2 9" xfId="10672" xr:uid="{43A634A1-D802-4072-96AD-957E03BD23DE}"/>
    <cellStyle name="Normal 2 2 2 2 2 2 2 2 2 2 2 9 2 3" xfId="10673" xr:uid="{B80A9871-92F8-4E50-A966-2D774D4EA9E7}"/>
    <cellStyle name="Normal 2 2 2 2 2 2 2 2 2 2 2 9 2 4" xfId="10674" xr:uid="{006AAAEB-822B-43FB-91EB-DD7632895233}"/>
    <cellStyle name="Normal 2 2 2 2 2 2 2 2 2 2 2 9 2 5" xfId="10675" xr:uid="{96261AB0-BDC9-476D-ADC4-1EF700A34E4A}"/>
    <cellStyle name="Normal 2 2 2 2 2 2 2 2 2 2 2 9 2 5 2" xfId="10676" xr:uid="{6E1954FE-E501-4262-A85A-C4FDF8A72EB5}"/>
    <cellStyle name="Normal 2 2 2 2 2 2 2 2 2 2 2 9 2 5 2 2" xfId="10677" xr:uid="{85393705-ABB8-41FF-AB7E-DD1E94A167CE}"/>
    <cellStyle name="Normal 2 2 2 2 2 2 2 2 2 2 2 9 2 5 2 3" xfId="10678" xr:uid="{B75A9ACB-7E51-4A66-B728-3D2C990E1883}"/>
    <cellStyle name="Normal 2 2 2 2 2 2 2 2 2 2 2 9 2 5 2 4" xfId="10679" xr:uid="{76745D43-ECDB-4E32-A1F4-5425E35401D0}"/>
    <cellStyle name="Normal 2 2 2 2 2 2 2 2 2 2 2 9 2 5 3" xfId="10680" xr:uid="{EB1F9336-7741-4B2D-9072-4C7EA83E9264}"/>
    <cellStyle name="Normal 2 2 2 2 2 2 2 2 2 2 2 9 2 5 4" xfId="10681" xr:uid="{93ADDB3C-8F94-48CB-AC0A-2E491AB2E587}"/>
    <cellStyle name="Normal 2 2 2 2 2 2 2 2 2 2 2 9 2 5 5" xfId="10682" xr:uid="{9260659C-0A7B-4879-B8AE-5C5B7316CEEF}"/>
    <cellStyle name="Normal 2 2 2 2 2 2 2 2 2 2 2 9 2 5 6" xfId="10683" xr:uid="{29EAD030-F390-4511-8119-E14A9BF0D71F}"/>
    <cellStyle name="Normal 2 2 2 2 2 2 2 2 2 2 2 9 2 6" xfId="10684" xr:uid="{D3D05C7D-D206-4911-AF70-A16377780D60}"/>
    <cellStyle name="Normal 2 2 2 2 2 2 2 2 2 2 2 9 2 7" xfId="10685" xr:uid="{E9D06396-CAFD-4D77-BC1C-0C7803AEB218}"/>
    <cellStyle name="Normal 2 2 2 2 2 2 2 2 2 2 2 9 2 8" xfId="10686" xr:uid="{489A3498-C543-4950-9813-C34155AACD94}"/>
    <cellStyle name="Normal 2 2 2 2 2 2 2 2 2 2 2 9 2 9" xfId="10687" xr:uid="{BFC8F989-5316-4F16-A274-FCA2FA6DF908}"/>
    <cellStyle name="Normal 2 2 2 2 2 2 2 2 2 2 2 9 3" xfId="10688" xr:uid="{60973293-5233-4BD7-B656-E328729101FF}"/>
    <cellStyle name="Normal 2 2 2 2 2 2 2 2 2 2 2 9 4" xfId="10689" xr:uid="{938EDF6D-FCA6-46D4-B423-002F100867B9}"/>
    <cellStyle name="Normal 2 2 2 2 2 2 2 2 2 2 2 9 5" xfId="10690" xr:uid="{557CA90B-3A87-4557-8165-29020D642B1B}"/>
    <cellStyle name="Normal 2 2 2 2 2 2 2 2 2 2 2 9 5 10" xfId="10691" xr:uid="{F6255AB0-E970-4923-AB2F-8B73D02BAD50}"/>
    <cellStyle name="Normal 2 2 2 2 2 2 2 2 2 2 2 9 5 11" xfId="10692" xr:uid="{3949E73B-94B5-4976-B279-B69F055D7E0A}"/>
    <cellStyle name="Normal 2 2 2 2 2 2 2 2 2 2 2 9 5 2" xfId="10693" xr:uid="{2527B6A2-FCD3-4CAD-97E4-BB4E9C631AF5}"/>
    <cellStyle name="Normal 2 2 2 2 2 2 2 2 2 2 2 9 5 2 10" xfId="10694" xr:uid="{A628B62A-400D-4F8D-8561-6D980E0699CE}"/>
    <cellStyle name="Normal 2 2 2 2 2 2 2 2 2 2 2 9 5 2 11" xfId="10695" xr:uid="{5356F4A3-E7E0-488D-91CA-BFEEA4A286F6}"/>
    <cellStyle name="Normal 2 2 2 2 2 2 2 2 2 2 2 9 5 2 2" xfId="10696" xr:uid="{EDEDCD2F-5AB0-4FC1-88D2-898C2BDDA7EB}"/>
    <cellStyle name="Normal 2 2 2 2 2 2 2 2 2 2 2 9 5 2 2 2" xfId="10697" xr:uid="{B0336279-CE30-4905-A7D5-23B41880524A}"/>
    <cellStyle name="Normal 2 2 2 2 2 2 2 2 2 2 2 9 5 2 2 2 2" xfId="10698" xr:uid="{30BE675F-91AC-46D3-A7A4-A8CC642C902F}"/>
    <cellStyle name="Normal 2 2 2 2 2 2 2 2 2 2 2 9 5 2 2 2 3" xfId="10699" xr:uid="{0193D25A-0AC5-4321-8BCB-956106BB8612}"/>
    <cellStyle name="Normal 2 2 2 2 2 2 2 2 2 2 2 9 5 2 2 2 4" xfId="10700" xr:uid="{56C3ECF2-6361-4F59-9E89-20D67D4E71FF}"/>
    <cellStyle name="Normal 2 2 2 2 2 2 2 2 2 2 2 9 5 2 2 3" xfId="10701" xr:uid="{369D1AD3-3BED-4AA2-A51A-7F61C2C7EDF9}"/>
    <cellStyle name="Normal 2 2 2 2 2 2 2 2 2 2 2 9 5 2 2 4" xfId="10702" xr:uid="{A5CE61DF-81B1-42FB-BA5E-DDEB8F3F2A13}"/>
    <cellStyle name="Normal 2 2 2 2 2 2 2 2 2 2 2 9 5 2 2 5" xfId="10703" xr:uid="{D82C3270-8F34-4AA3-BA0A-2A2E03BFB735}"/>
    <cellStyle name="Normal 2 2 2 2 2 2 2 2 2 2 2 9 5 2 2 6" xfId="10704" xr:uid="{010E89E4-E06E-4D59-BB83-3099010E5508}"/>
    <cellStyle name="Normal 2 2 2 2 2 2 2 2 2 2 2 9 5 2 3" xfId="10705" xr:uid="{29DFD25F-18F6-4035-A991-661B8E56F1AA}"/>
    <cellStyle name="Normal 2 2 2 2 2 2 2 2 2 2 2 9 5 2 4" xfId="10706" xr:uid="{4AFDD3CC-E615-42AE-AB26-0E053B2FA5F2}"/>
    <cellStyle name="Normal 2 2 2 2 2 2 2 2 2 2 2 9 5 2 5" xfId="10707" xr:uid="{3E4A9DBA-2FA2-45B0-8E48-C6259B548676}"/>
    <cellStyle name="Normal 2 2 2 2 2 2 2 2 2 2 2 9 5 2 6" xfId="10708" xr:uid="{1F3D9E85-94FE-482A-B532-1B3ED4B3F68B}"/>
    <cellStyle name="Normal 2 2 2 2 2 2 2 2 2 2 2 9 5 2 7" xfId="10709" xr:uid="{B05FB7C7-39E0-4F54-A027-0AB42DF1442A}"/>
    <cellStyle name="Normal 2 2 2 2 2 2 2 2 2 2 2 9 5 2 8" xfId="10710" xr:uid="{55D56884-D226-479A-93E9-40CA97DFCDEF}"/>
    <cellStyle name="Normal 2 2 2 2 2 2 2 2 2 2 2 9 5 2 8 2" xfId="10711" xr:uid="{55FB0AA4-1320-4F98-8271-D9CB416F7603}"/>
    <cellStyle name="Normal 2 2 2 2 2 2 2 2 2 2 2 9 5 2 8 3" xfId="10712" xr:uid="{E898C783-CD0F-4A93-8B0A-0D962B1016B9}"/>
    <cellStyle name="Normal 2 2 2 2 2 2 2 2 2 2 2 9 5 2 8 4" xfId="10713" xr:uid="{FA6A7C98-2EBC-4A22-91DE-277D7C929B50}"/>
    <cellStyle name="Normal 2 2 2 2 2 2 2 2 2 2 2 9 5 2 9" xfId="10714" xr:uid="{95D00A47-FC24-43AA-8586-486365EB8287}"/>
    <cellStyle name="Normal 2 2 2 2 2 2 2 2 2 2 2 9 5 3" xfId="10715" xr:uid="{83E0AAEE-8BA1-4415-AE9E-9990654960E1}"/>
    <cellStyle name="Normal 2 2 2 2 2 2 2 2 2 2 2 9 5 3 2" xfId="10716" xr:uid="{3C10E2C5-87BE-4B46-AA6D-E5939D686109}"/>
    <cellStyle name="Normal 2 2 2 2 2 2 2 2 2 2 2 9 5 3 2 2" xfId="10717" xr:uid="{4CD7A89E-B2E9-4869-BABD-B4683BFF37D7}"/>
    <cellStyle name="Normal 2 2 2 2 2 2 2 2 2 2 2 9 5 3 2 3" xfId="10718" xr:uid="{57119031-DE80-49A7-8F7E-1F31510779A3}"/>
    <cellStyle name="Normal 2 2 2 2 2 2 2 2 2 2 2 9 5 3 2 4" xfId="10719" xr:uid="{04A357BB-A345-4BEB-9437-E60DE9691F2A}"/>
    <cellStyle name="Normal 2 2 2 2 2 2 2 2 2 2 2 9 5 3 3" xfId="10720" xr:uid="{17A1923B-8CFC-4840-929D-634DB0B7E81F}"/>
    <cellStyle name="Normal 2 2 2 2 2 2 2 2 2 2 2 9 5 3 4" xfId="10721" xr:uid="{A8B7DBAA-4F11-447B-A9BF-97D712586C5B}"/>
    <cellStyle name="Normal 2 2 2 2 2 2 2 2 2 2 2 9 5 3 5" xfId="10722" xr:uid="{386A6E1C-5BED-40D2-8FCB-DCF30118AE92}"/>
    <cellStyle name="Normal 2 2 2 2 2 2 2 2 2 2 2 9 5 3 6" xfId="10723" xr:uid="{FBDBAD1E-1B24-49B7-94DB-24B4D1ADEB23}"/>
    <cellStyle name="Normal 2 2 2 2 2 2 2 2 2 2 2 9 5 4" xfId="10724" xr:uid="{42F39A0E-AC9D-4C0F-8596-E22F16DE9FE7}"/>
    <cellStyle name="Normal 2 2 2 2 2 2 2 2 2 2 2 9 5 5" xfId="10725" xr:uid="{00D1160B-F0F6-4BA2-96F7-686AEE043D9D}"/>
    <cellStyle name="Normal 2 2 2 2 2 2 2 2 2 2 2 9 5 6" xfId="10726" xr:uid="{FE5F59E8-9D53-445B-8F04-6A0D5634991E}"/>
    <cellStyle name="Normal 2 2 2 2 2 2 2 2 2 2 2 9 5 7" xfId="10727" xr:uid="{4E4C845F-EBFE-4995-B747-113D7B120618}"/>
    <cellStyle name="Normal 2 2 2 2 2 2 2 2 2 2 2 9 5 8" xfId="10728" xr:uid="{21E9B63C-879F-44A5-858C-9CDECC09AEE7}"/>
    <cellStyle name="Normal 2 2 2 2 2 2 2 2 2 2 2 9 5 8 2" xfId="10729" xr:uid="{30466F08-3472-4526-9BE2-AC5A1606480B}"/>
    <cellStyle name="Normal 2 2 2 2 2 2 2 2 2 2 2 9 5 8 3" xfId="10730" xr:uid="{5EA5490E-A4F6-4827-96D3-D55B81313020}"/>
    <cellStyle name="Normal 2 2 2 2 2 2 2 2 2 2 2 9 5 8 4" xfId="10731" xr:uid="{740D406B-DCBE-454A-A788-AED684722076}"/>
    <cellStyle name="Normal 2 2 2 2 2 2 2 2 2 2 2 9 5 9" xfId="10732" xr:uid="{8F74F4A0-D8EA-46BA-BF71-07D015598088}"/>
    <cellStyle name="Normal 2 2 2 2 2 2 2 2 2 2 2 9 6" xfId="10733" xr:uid="{97F4C0A3-80D8-45DA-8EE2-9CCF3DC979FE}"/>
    <cellStyle name="Normal 2 2 2 2 2 2 2 2 2 2 2 9 7" xfId="10734" xr:uid="{24C673EB-183C-4452-9676-E88509BE0005}"/>
    <cellStyle name="Normal 2 2 2 2 2 2 2 2 2 2 2 9 7 2" xfId="10735" xr:uid="{CAF20ECB-E97E-44F7-A59C-1B541207BB4C}"/>
    <cellStyle name="Normal 2 2 2 2 2 2 2 2 2 2 2 9 7 2 2" xfId="10736" xr:uid="{96ACE0F9-0372-4108-86BC-E8BF48D97B87}"/>
    <cellStyle name="Normal 2 2 2 2 2 2 2 2 2 2 2 9 7 2 3" xfId="10737" xr:uid="{13CD34EF-5F73-475F-B75A-D9AE93DA92FA}"/>
    <cellStyle name="Normal 2 2 2 2 2 2 2 2 2 2 2 9 7 2 4" xfId="10738" xr:uid="{35548FD0-D28E-40FB-9540-E15F232A4F46}"/>
    <cellStyle name="Normal 2 2 2 2 2 2 2 2 2 2 2 9 7 3" xfId="10739" xr:uid="{4ECC6CB1-0F28-4D6D-ACB2-546D6FF8FB7A}"/>
    <cellStyle name="Normal 2 2 2 2 2 2 2 2 2 2 2 9 7 4" xfId="10740" xr:uid="{DFCB53DB-A50E-4D3E-9F53-7C7620D25770}"/>
    <cellStyle name="Normal 2 2 2 2 2 2 2 2 2 2 2 9 7 5" xfId="10741" xr:uid="{14659854-ECCA-46FB-8FDB-02E94D9850A3}"/>
    <cellStyle name="Normal 2 2 2 2 2 2 2 2 2 2 2 9 7 6" xfId="10742" xr:uid="{215B9688-FA17-4252-8A14-3A285D686771}"/>
    <cellStyle name="Normal 2 2 2 2 2 2 2 2 2 2 2 9 8" xfId="10743" xr:uid="{2A9CECF0-08C6-471F-9646-E7B10F0FCF7A}"/>
    <cellStyle name="Normal 2 2 2 2 2 2 2 2 2 2 2 9 9" xfId="10744" xr:uid="{7CDC61B7-4E30-446B-A9EA-E4C122C77A7D}"/>
    <cellStyle name="Normal 2 2 2 2 2 2 2 2 2 2 2 90" xfId="10745" xr:uid="{2DD66D91-EA42-4DE3-A926-0964378D8C77}"/>
    <cellStyle name="Normal 2 2 2 2 2 2 2 2 2 2 2 91" xfId="10746" xr:uid="{709C4A20-F57A-48EC-B02F-E27D89ADC71A}"/>
    <cellStyle name="Normal 2 2 2 2 2 2 2 2 2 2 20" xfId="10747" xr:uid="{F3C897BD-DB2A-4EDE-9DAA-F6A8915303A3}"/>
    <cellStyle name="Normal 2 2 2 2 2 2 2 2 2 2 21" xfId="10748" xr:uid="{264F4DCF-E8E6-4D2A-99BC-9D0EA0DC5B6D}"/>
    <cellStyle name="Normal 2 2 2 2 2 2 2 2 2 2 21 10" xfId="10749" xr:uid="{EBC7F7D1-B03D-4B20-B124-4FB379D8C4E9}"/>
    <cellStyle name="Normal 2 2 2 2 2 2 2 2 2 2 21 11" xfId="10750" xr:uid="{701C5475-C0A2-4C5C-9B02-C615DBBA2711}"/>
    <cellStyle name="Normal 2 2 2 2 2 2 2 2 2 2 21 11 2" xfId="10751" xr:uid="{5EFCCF91-0795-45D8-B801-F3FA9723D005}"/>
    <cellStyle name="Normal 2 2 2 2 2 2 2 2 2 2 21 11 3" xfId="10752" xr:uid="{12AC76FA-9CCF-4C44-AF1F-003F4A69DBE4}"/>
    <cellStyle name="Normal 2 2 2 2 2 2 2 2 2 2 21 11 4" xfId="10753" xr:uid="{D9261A02-1AE1-4332-808F-3EEEAB86AECD}"/>
    <cellStyle name="Normal 2 2 2 2 2 2 2 2 2 2 21 12" xfId="10754" xr:uid="{4546FC9F-8024-4A56-B7F0-B3093C120C05}"/>
    <cellStyle name="Normal 2 2 2 2 2 2 2 2 2 2 21 13" xfId="10755" xr:uid="{D4336215-3CA6-4A98-97B6-03B1B3ADFDBE}"/>
    <cellStyle name="Normal 2 2 2 2 2 2 2 2 2 2 21 14" xfId="10756" xr:uid="{F68C81F6-0D40-4BB1-B8EB-27BFC34FA964}"/>
    <cellStyle name="Normal 2 2 2 2 2 2 2 2 2 2 21 2" xfId="10757" xr:uid="{2FE90E70-A4BA-4F31-AF55-EA72FE3B26E0}"/>
    <cellStyle name="Normal 2 2 2 2 2 2 2 2 2 2 21 2 10" xfId="10758" xr:uid="{654C732E-FA99-4ED8-9BDB-5682C03158AA}"/>
    <cellStyle name="Normal 2 2 2 2 2 2 2 2 2 2 21 2 11" xfId="10759" xr:uid="{D1B6277C-04EF-4024-9161-5CFFD019703F}"/>
    <cellStyle name="Normal 2 2 2 2 2 2 2 2 2 2 21 2 2" xfId="10760" xr:uid="{1BEAF6D2-7D1F-48D8-99B9-6ACCB215C6CB}"/>
    <cellStyle name="Normal 2 2 2 2 2 2 2 2 2 2 21 2 2 10" xfId="10761" xr:uid="{649F37CA-80F2-41A2-B062-7F1E2E714F4D}"/>
    <cellStyle name="Normal 2 2 2 2 2 2 2 2 2 2 21 2 2 11" xfId="10762" xr:uid="{1EB9F151-1953-44A8-A204-C3EDDAA373EE}"/>
    <cellStyle name="Normal 2 2 2 2 2 2 2 2 2 2 21 2 2 2" xfId="10763" xr:uid="{94E35CD8-0911-4E44-867B-1BF61B1B15BE}"/>
    <cellStyle name="Normal 2 2 2 2 2 2 2 2 2 2 21 2 2 2 2" xfId="10764" xr:uid="{A143DBE1-7D9E-4C67-83B9-3BE745344F90}"/>
    <cellStyle name="Normal 2 2 2 2 2 2 2 2 2 2 21 2 2 2 2 2" xfId="10765" xr:uid="{4059CB98-1288-4A30-8AB7-51C40B4276FC}"/>
    <cellStyle name="Normal 2 2 2 2 2 2 2 2 2 2 21 2 2 2 2 3" xfId="10766" xr:uid="{3BF0B5A2-C4CB-4470-97A8-93662E904FCA}"/>
    <cellStyle name="Normal 2 2 2 2 2 2 2 2 2 2 21 2 2 2 2 4" xfId="10767" xr:uid="{CB0206B1-6832-4B7E-8EE6-5097F3BA118A}"/>
    <cellStyle name="Normal 2 2 2 2 2 2 2 2 2 2 21 2 2 2 3" xfId="10768" xr:uid="{D6AE8301-14D0-4FAA-BF37-F108CC0AD58F}"/>
    <cellStyle name="Normal 2 2 2 2 2 2 2 2 2 2 21 2 2 2 4" xfId="10769" xr:uid="{93F48B53-53DA-4A4D-8E98-478C59DEEAEC}"/>
    <cellStyle name="Normal 2 2 2 2 2 2 2 2 2 2 21 2 2 2 5" xfId="10770" xr:uid="{972522FA-3F79-4CD1-8E95-A2F3D4278BD8}"/>
    <cellStyle name="Normal 2 2 2 2 2 2 2 2 2 2 21 2 2 2 6" xfId="10771" xr:uid="{A38D5E2A-F2ED-4F5E-9914-62D8858136BA}"/>
    <cellStyle name="Normal 2 2 2 2 2 2 2 2 2 2 21 2 2 3" xfId="10772" xr:uid="{CD218D9A-D75A-4CBE-9032-7C49879A1931}"/>
    <cellStyle name="Normal 2 2 2 2 2 2 2 2 2 2 21 2 2 4" xfId="10773" xr:uid="{42570F0E-5D48-4A6D-BB33-1175104C5E88}"/>
    <cellStyle name="Normal 2 2 2 2 2 2 2 2 2 2 21 2 2 5" xfId="10774" xr:uid="{D9ACE01F-8B29-4B4E-9B68-E4DB0628CFF9}"/>
    <cellStyle name="Normal 2 2 2 2 2 2 2 2 2 2 21 2 2 6" xfId="10775" xr:uid="{F323B31B-EF19-4FBF-A5B3-5B3E122B3A28}"/>
    <cellStyle name="Normal 2 2 2 2 2 2 2 2 2 2 21 2 2 7" xfId="10776" xr:uid="{AA804FD3-DEA1-425A-BBF5-E46F9F55EC29}"/>
    <cellStyle name="Normal 2 2 2 2 2 2 2 2 2 2 21 2 2 8" xfId="10777" xr:uid="{4F63CFB1-457B-4100-B06E-4DC1F529EF45}"/>
    <cellStyle name="Normal 2 2 2 2 2 2 2 2 2 2 21 2 2 8 2" xfId="10778" xr:uid="{480E83B8-0001-4160-A952-28B917B9552F}"/>
    <cellStyle name="Normal 2 2 2 2 2 2 2 2 2 2 21 2 2 8 3" xfId="10779" xr:uid="{DF6450B1-10FA-4948-AD57-F61D4B92FE7B}"/>
    <cellStyle name="Normal 2 2 2 2 2 2 2 2 2 2 21 2 2 8 4" xfId="10780" xr:uid="{2672ACA9-0F4D-47F4-9A16-3D313CF37673}"/>
    <cellStyle name="Normal 2 2 2 2 2 2 2 2 2 2 21 2 2 9" xfId="10781" xr:uid="{D23D8290-4730-4C57-92CC-E7CE68C28AE4}"/>
    <cellStyle name="Normal 2 2 2 2 2 2 2 2 2 2 21 2 3" xfId="10782" xr:uid="{8FB633CD-6703-41B8-AF56-E73D3E70DD97}"/>
    <cellStyle name="Normal 2 2 2 2 2 2 2 2 2 2 21 2 3 2" xfId="10783" xr:uid="{DCA94132-7472-4065-94FA-F0A367D3C608}"/>
    <cellStyle name="Normal 2 2 2 2 2 2 2 2 2 2 21 2 3 2 2" xfId="10784" xr:uid="{312D600F-2B01-4105-9D5E-2B4186C4E919}"/>
    <cellStyle name="Normal 2 2 2 2 2 2 2 2 2 2 21 2 3 2 3" xfId="10785" xr:uid="{C1B53D01-BED6-4A8A-8BAB-FD05E516AB58}"/>
    <cellStyle name="Normal 2 2 2 2 2 2 2 2 2 2 21 2 3 2 4" xfId="10786" xr:uid="{CB841802-6CCB-4363-A15D-71CBDE0F1C3E}"/>
    <cellStyle name="Normal 2 2 2 2 2 2 2 2 2 2 21 2 3 3" xfId="10787" xr:uid="{B8E483CB-396B-4E7C-93A0-0B2E862F3FF6}"/>
    <cellStyle name="Normal 2 2 2 2 2 2 2 2 2 2 21 2 3 4" xfId="10788" xr:uid="{F7FD6120-3455-4E79-9424-BDE839CD9A60}"/>
    <cellStyle name="Normal 2 2 2 2 2 2 2 2 2 2 21 2 3 5" xfId="10789" xr:uid="{50444777-806B-4A7E-846D-3D5315EEE0F3}"/>
    <cellStyle name="Normal 2 2 2 2 2 2 2 2 2 2 21 2 3 6" xfId="10790" xr:uid="{5429E99D-C698-40B6-92EB-D684350B4425}"/>
    <cellStyle name="Normal 2 2 2 2 2 2 2 2 2 2 21 2 4" xfId="10791" xr:uid="{8FEC345D-9A65-473E-88D6-0707E20FB088}"/>
    <cellStyle name="Normal 2 2 2 2 2 2 2 2 2 2 21 2 5" xfId="10792" xr:uid="{B8CBB201-27DE-4B23-B927-E2D43581A08D}"/>
    <cellStyle name="Normal 2 2 2 2 2 2 2 2 2 2 21 2 6" xfId="10793" xr:uid="{5D6BA260-E49F-4603-988C-5A179DACE1A0}"/>
    <cellStyle name="Normal 2 2 2 2 2 2 2 2 2 2 21 2 7" xfId="10794" xr:uid="{27B7B93D-89F6-41C0-8569-E6F0AD0D5381}"/>
    <cellStyle name="Normal 2 2 2 2 2 2 2 2 2 2 21 2 8" xfId="10795" xr:uid="{0D717AFA-4323-448B-9DC5-C06690B1FAB8}"/>
    <cellStyle name="Normal 2 2 2 2 2 2 2 2 2 2 21 2 8 2" xfId="10796" xr:uid="{F4D094D5-B1E2-4E22-B689-1DE32B66DE91}"/>
    <cellStyle name="Normal 2 2 2 2 2 2 2 2 2 2 21 2 8 3" xfId="10797" xr:uid="{188CD887-75BC-4DAC-9721-D2DFE45EA757}"/>
    <cellStyle name="Normal 2 2 2 2 2 2 2 2 2 2 21 2 8 4" xfId="10798" xr:uid="{FB2D90AA-FEA9-4037-83FA-92AFF2EDDD80}"/>
    <cellStyle name="Normal 2 2 2 2 2 2 2 2 2 2 21 2 9" xfId="10799" xr:uid="{D60A92E8-C149-4D1B-82A2-ECD65BC35533}"/>
    <cellStyle name="Normal 2 2 2 2 2 2 2 2 2 2 21 3" xfId="10800" xr:uid="{633838AB-6EAC-407F-8E36-ED4EA70F44EB}"/>
    <cellStyle name="Normal 2 2 2 2 2 2 2 2 2 2 21 4" xfId="10801" xr:uid="{4AEFD9FB-07CB-4E25-A2A5-221874E15187}"/>
    <cellStyle name="Normal 2 2 2 2 2 2 2 2 2 2 21 5" xfId="10802" xr:uid="{E307573B-D9D4-411B-8A7D-C8FD5A68C6CD}"/>
    <cellStyle name="Normal 2 2 2 2 2 2 2 2 2 2 21 5 2" xfId="10803" xr:uid="{87946B93-EDC0-4568-BFBF-E2441DFD409A}"/>
    <cellStyle name="Normal 2 2 2 2 2 2 2 2 2 2 21 5 2 2" xfId="10804" xr:uid="{1EA4E84C-51B5-4E7C-962F-5A8D4C873D51}"/>
    <cellStyle name="Normal 2 2 2 2 2 2 2 2 2 2 21 5 2 3" xfId="10805" xr:uid="{22437AEA-425C-41F0-87A0-87422CBE1F50}"/>
    <cellStyle name="Normal 2 2 2 2 2 2 2 2 2 2 21 5 2 4" xfId="10806" xr:uid="{C0E48DEB-6343-49EE-A5F4-B6D94E9B507A}"/>
    <cellStyle name="Normal 2 2 2 2 2 2 2 2 2 2 21 5 3" xfId="10807" xr:uid="{4CB63DD5-AAC4-4C69-8694-AC453D784750}"/>
    <cellStyle name="Normal 2 2 2 2 2 2 2 2 2 2 21 5 4" xfId="10808" xr:uid="{CC9AC0C2-3570-4BE1-9E6E-67CD2CB99210}"/>
    <cellStyle name="Normal 2 2 2 2 2 2 2 2 2 2 21 5 5" xfId="10809" xr:uid="{408FBF74-6060-4AD4-BE6C-2D4A5F0629F0}"/>
    <cellStyle name="Normal 2 2 2 2 2 2 2 2 2 2 21 5 6" xfId="10810" xr:uid="{6C48376D-F385-4964-AF1A-13540230D6A7}"/>
    <cellStyle name="Normal 2 2 2 2 2 2 2 2 2 2 21 6" xfId="10811" xr:uid="{0F07F07A-3C9A-48D8-84B8-93A536C25246}"/>
    <cellStyle name="Normal 2 2 2 2 2 2 2 2 2 2 21 7" xfId="10812" xr:uid="{EFB284AD-0802-4E2E-A280-D35C704AA648}"/>
    <cellStyle name="Normal 2 2 2 2 2 2 2 2 2 2 21 8" xfId="10813" xr:uid="{54379E4A-FC5E-4A52-906A-581CF6579E92}"/>
    <cellStyle name="Normal 2 2 2 2 2 2 2 2 2 2 21 9" xfId="10814" xr:uid="{231F2B57-4EFD-4773-B182-CAF4D4084E92}"/>
    <cellStyle name="Normal 2 2 2 2 2 2 2 2 2 2 22" xfId="10815" xr:uid="{8881D5BD-F8BE-440F-A19F-1AB631503B15}"/>
    <cellStyle name="Normal 2 2 2 2 2 2 2 2 2 2 23" xfId="10816" xr:uid="{249F96BE-E06B-4559-948B-5AD3D6337BE6}"/>
    <cellStyle name="Normal 2 2 2 2 2 2 2 2 2 2 23 10" xfId="10817" xr:uid="{77D8EF81-2CB3-4190-B6D5-2C9612B10DAA}"/>
    <cellStyle name="Normal 2 2 2 2 2 2 2 2 2 2 23 11" xfId="10818" xr:uid="{8C7321E0-5267-424F-AC3D-FB325DBF8C3F}"/>
    <cellStyle name="Normal 2 2 2 2 2 2 2 2 2 2 23 2" xfId="10819" xr:uid="{B7551C16-894B-4273-B74A-FEFE7FBCF2FC}"/>
    <cellStyle name="Normal 2 2 2 2 2 2 2 2 2 2 23 2 10" xfId="10820" xr:uid="{D05D17F4-BDC4-4EAF-AC9D-301BB40DA3C6}"/>
    <cellStyle name="Normal 2 2 2 2 2 2 2 2 2 2 23 2 11" xfId="10821" xr:uid="{A0F74B87-9FEA-4558-B1A7-1ECB2C62CBD1}"/>
    <cellStyle name="Normal 2 2 2 2 2 2 2 2 2 2 23 2 2" xfId="10822" xr:uid="{0FD71295-8764-4219-89E2-B8A72033A4EB}"/>
    <cellStyle name="Normal 2 2 2 2 2 2 2 2 2 2 23 2 2 2" xfId="10823" xr:uid="{F43A2E8B-551A-4356-B56F-052D7DFC3243}"/>
    <cellStyle name="Normal 2 2 2 2 2 2 2 2 2 2 23 2 2 2 2" xfId="10824" xr:uid="{AA9BA509-CA88-4DD6-92B3-BB1D69CD86EE}"/>
    <cellStyle name="Normal 2 2 2 2 2 2 2 2 2 2 23 2 2 2 3" xfId="10825" xr:uid="{AEE0C669-7BEF-43A3-8108-4107F00A0755}"/>
    <cellStyle name="Normal 2 2 2 2 2 2 2 2 2 2 23 2 2 2 4" xfId="10826" xr:uid="{64FF42EB-F778-4EDE-8488-85D8AC3DFD47}"/>
    <cellStyle name="Normal 2 2 2 2 2 2 2 2 2 2 23 2 2 3" xfId="10827" xr:uid="{EF87324B-38E8-4F2A-AE15-A2AFDD27F09B}"/>
    <cellStyle name="Normal 2 2 2 2 2 2 2 2 2 2 23 2 2 4" xfId="10828" xr:uid="{6C7F5F0B-9002-454E-A46E-CDFC70C7B317}"/>
    <cellStyle name="Normal 2 2 2 2 2 2 2 2 2 2 23 2 2 5" xfId="10829" xr:uid="{55EB4E16-5337-444C-AE65-80334263E005}"/>
    <cellStyle name="Normal 2 2 2 2 2 2 2 2 2 2 23 2 2 6" xfId="10830" xr:uid="{EF3F088C-59A7-4327-BF82-988ABCD3BA92}"/>
    <cellStyle name="Normal 2 2 2 2 2 2 2 2 2 2 23 2 3" xfId="10831" xr:uid="{FF7E59C6-49D7-4D24-9805-CAD9816A4374}"/>
    <cellStyle name="Normal 2 2 2 2 2 2 2 2 2 2 23 2 4" xfId="10832" xr:uid="{DAA1D74C-37E5-4029-B3D6-2A3D81DFCE14}"/>
    <cellStyle name="Normal 2 2 2 2 2 2 2 2 2 2 23 2 5" xfId="10833" xr:uid="{B95D8047-7229-41E6-A68C-465F60C6F898}"/>
    <cellStyle name="Normal 2 2 2 2 2 2 2 2 2 2 23 2 6" xfId="10834" xr:uid="{E53A1EB7-5EFE-4087-BB2E-B50CBE0845BA}"/>
    <cellStyle name="Normal 2 2 2 2 2 2 2 2 2 2 23 2 7" xfId="10835" xr:uid="{028272C9-0C1A-4D8E-89DC-C7C843DCE6EF}"/>
    <cellStyle name="Normal 2 2 2 2 2 2 2 2 2 2 23 2 8" xfId="10836" xr:uid="{29ABE755-84F9-41F8-A014-64114DA8F89D}"/>
    <cellStyle name="Normal 2 2 2 2 2 2 2 2 2 2 23 2 8 2" xfId="10837" xr:uid="{FF023261-83D6-4F33-96BF-DB1EE245873A}"/>
    <cellStyle name="Normal 2 2 2 2 2 2 2 2 2 2 23 2 8 3" xfId="10838" xr:uid="{85603EAA-FAD5-4F42-B0F9-B6ACDD753347}"/>
    <cellStyle name="Normal 2 2 2 2 2 2 2 2 2 2 23 2 8 4" xfId="10839" xr:uid="{E9569C30-856F-444D-B91A-9BA6E1EF6254}"/>
    <cellStyle name="Normal 2 2 2 2 2 2 2 2 2 2 23 2 9" xfId="10840" xr:uid="{CD6827F1-C743-46E8-B60B-83063BD2294D}"/>
    <cellStyle name="Normal 2 2 2 2 2 2 2 2 2 2 23 3" xfId="10841" xr:uid="{BE35D624-6742-4DB6-B258-500F1D5E6759}"/>
    <cellStyle name="Normal 2 2 2 2 2 2 2 2 2 2 23 3 2" xfId="10842" xr:uid="{85899A90-E451-41D6-B1D9-B7B08590319B}"/>
    <cellStyle name="Normal 2 2 2 2 2 2 2 2 2 2 23 3 2 2" xfId="10843" xr:uid="{02A89659-8B58-4CC9-A970-56CBD3B9AB70}"/>
    <cellStyle name="Normal 2 2 2 2 2 2 2 2 2 2 23 3 2 3" xfId="10844" xr:uid="{5B5EFF79-AAA8-4881-9F13-7558922114B7}"/>
    <cellStyle name="Normal 2 2 2 2 2 2 2 2 2 2 23 3 2 4" xfId="10845" xr:uid="{600E4173-14E4-49A0-84E1-3AEC519301FE}"/>
    <cellStyle name="Normal 2 2 2 2 2 2 2 2 2 2 23 3 3" xfId="10846" xr:uid="{305576E1-0BAE-4C8B-B409-EB6FC064C682}"/>
    <cellStyle name="Normal 2 2 2 2 2 2 2 2 2 2 23 3 4" xfId="10847" xr:uid="{BC59BA36-F624-4ACD-AF16-3D446EB1FB1B}"/>
    <cellStyle name="Normal 2 2 2 2 2 2 2 2 2 2 23 3 5" xfId="10848" xr:uid="{0657413F-0D4A-4AE2-A808-4CDD7E1A2C0B}"/>
    <cellStyle name="Normal 2 2 2 2 2 2 2 2 2 2 23 3 6" xfId="10849" xr:uid="{DD0E1AE4-0B43-4703-A5BC-232B5A208B16}"/>
    <cellStyle name="Normal 2 2 2 2 2 2 2 2 2 2 23 4" xfId="10850" xr:uid="{7DA13BEE-DF71-4042-BD8E-A73BC2799F96}"/>
    <cellStyle name="Normal 2 2 2 2 2 2 2 2 2 2 23 5" xfId="10851" xr:uid="{0BE78278-8E4D-46DE-9240-CEFBB29942E5}"/>
    <cellStyle name="Normal 2 2 2 2 2 2 2 2 2 2 23 6" xfId="10852" xr:uid="{00C946CA-E441-4C4B-8058-BDEE8E503D83}"/>
    <cellStyle name="Normal 2 2 2 2 2 2 2 2 2 2 23 7" xfId="10853" xr:uid="{1C85B7D0-2D86-4CC1-A2C8-A5F6A9D86A3A}"/>
    <cellStyle name="Normal 2 2 2 2 2 2 2 2 2 2 23 8" xfId="10854" xr:uid="{A2C64022-3C9E-461E-8882-B315F0CBDF5C}"/>
    <cellStyle name="Normal 2 2 2 2 2 2 2 2 2 2 23 8 2" xfId="10855" xr:uid="{C458C479-A730-44DD-9B42-FECFF2B092C0}"/>
    <cellStyle name="Normal 2 2 2 2 2 2 2 2 2 2 23 8 3" xfId="10856" xr:uid="{81A4E5A3-E0CB-4E45-AB70-8EB9CFE18EC3}"/>
    <cellStyle name="Normal 2 2 2 2 2 2 2 2 2 2 23 8 4" xfId="10857" xr:uid="{C1C7FB5B-945A-4A38-8BCB-7EE4C68D93D8}"/>
    <cellStyle name="Normal 2 2 2 2 2 2 2 2 2 2 23 9" xfId="10858" xr:uid="{B009DE44-F4BE-44EB-BB4A-A31277369999}"/>
    <cellStyle name="Normal 2 2 2 2 2 2 2 2 2 2 24" xfId="10859" xr:uid="{FA4A9049-A4B1-4893-A154-539747DAE60D}"/>
    <cellStyle name="Normal 2 2 2 2 2 2 2 2 2 2 25" xfId="10860" xr:uid="{771B10F6-CDA9-4884-A787-60EDA92C93EB}"/>
    <cellStyle name="Normal 2 2 2 2 2 2 2 2 2 2 25 2" xfId="10861" xr:uid="{3B0646C0-B92F-4688-ABD3-352F0BC780F0}"/>
    <cellStyle name="Normal 2 2 2 2 2 2 2 2 2 2 25 2 2" xfId="10862" xr:uid="{3F2E2889-B606-4F15-86E9-8338A770D967}"/>
    <cellStyle name="Normal 2 2 2 2 2 2 2 2 2 2 25 2 3" xfId="10863" xr:uid="{00D5C163-C3D1-497B-AA1D-3B24E3A2DE6B}"/>
    <cellStyle name="Normal 2 2 2 2 2 2 2 2 2 2 25 2 4" xfId="10864" xr:uid="{4061AB0A-FC37-494D-8CB0-A4393EF0D741}"/>
    <cellStyle name="Normal 2 2 2 2 2 2 2 2 2 2 25 3" xfId="10865" xr:uid="{5505E763-18E3-4FA1-88D5-2D6CE66A5186}"/>
    <cellStyle name="Normal 2 2 2 2 2 2 2 2 2 2 25 4" xfId="10866" xr:uid="{160AF5E3-CDD7-478B-B772-4132C047ECFF}"/>
    <cellStyle name="Normal 2 2 2 2 2 2 2 2 2 2 25 5" xfId="10867" xr:uid="{9DFAC05D-9320-49DD-9BB0-4053933CE51D}"/>
    <cellStyle name="Normal 2 2 2 2 2 2 2 2 2 2 25 6" xfId="10868" xr:uid="{D04837E2-ECED-4B83-966C-E623613B3A55}"/>
    <cellStyle name="Normal 2 2 2 2 2 2 2 2 2 2 26" xfId="10869" xr:uid="{66AC1CE1-5280-4E14-B9BF-06552BA5BC84}"/>
    <cellStyle name="Normal 2 2 2 2 2 2 2 2 2 2 27" xfId="10870" xr:uid="{7DEFA90C-6937-47C7-924C-FF12743CB054}"/>
    <cellStyle name="Normal 2 2 2 2 2 2 2 2 2 2 28" xfId="10871" xr:uid="{867BC7EE-DE2E-4080-BF19-6435614037E0}"/>
    <cellStyle name="Normal 2 2 2 2 2 2 2 2 2 2 29" xfId="10872" xr:uid="{88E6806D-C0F8-4539-AD1A-A6D08FB886C7}"/>
    <cellStyle name="Normal 2 2 2 2 2 2 2 2 2 2 3" xfId="10873" xr:uid="{1074E988-4DC4-48EB-B706-74BDFF141668}"/>
    <cellStyle name="Normal 2 2 2 2 2 2 2 2 2 2 30" xfId="10874" xr:uid="{B4BB51A8-6214-45CE-A2F1-31DE6CA616CA}"/>
    <cellStyle name="Normal 2 2 2 2 2 2 2 2 2 2 31" xfId="10875" xr:uid="{5C6CA633-E236-4D1D-B768-7C6A28305B0A}"/>
    <cellStyle name="Normal 2 2 2 2 2 2 2 2 2 2 31 2" xfId="10876" xr:uid="{A5788E01-2200-4FF8-9927-8DA94FF567A6}"/>
    <cellStyle name="Normal 2 2 2 2 2 2 2 2 2 2 31 3" xfId="10877" xr:uid="{081A0085-3942-4A31-9009-2B0B1C862D07}"/>
    <cellStyle name="Normal 2 2 2 2 2 2 2 2 2 2 31 4" xfId="10878" xr:uid="{049EC5D5-99EF-4B1D-B434-80CA8576B8D7}"/>
    <cellStyle name="Normal 2 2 2 2 2 2 2 2 2 2 32" xfId="10879" xr:uid="{526E89C6-1987-4522-9AE7-B795EC248EFD}"/>
    <cellStyle name="Normal 2 2 2 2 2 2 2 2 2 2 33" xfId="10880" xr:uid="{1DA5FEFB-2936-4D40-BFAE-BF9F601EBE97}"/>
    <cellStyle name="Normal 2 2 2 2 2 2 2 2 2 2 34" xfId="10881" xr:uid="{039084C5-F0E3-4B1C-AACE-067C7F836223}"/>
    <cellStyle name="Normal 2 2 2 2 2 2 2 2 2 2 35" xfId="10882" xr:uid="{131317EE-80CF-41CE-91B3-D0FF2FC5F7A9}"/>
    <cellStyle name="Normal 2 2 2 2 2 2 2 2 2 2 36" xfId="10883" xr:uid="{A7002982-CF62-46C8-A53D-54E5CBF2249E}"/>
    <cellStyle name="Normal 2 2 2 2 2 2 2 2 2 2 37" xfId="10884" xr:uid="{94C2D6F4-B059-482E-84FA-35440CE154F0}"/>
    <cellStyle name="Normal 2 2 2 2 2 2 2 2 2 2 38" xfId="10885" xr:uid="{5C7CB7EA-C437-414B-BA79-96E5360AE7A8}"/>
    <cellStyle name="Normal 2 2 2 2 2 2 2 2 2 2 39" xfId="10886" xr:uid="{3BD8A7F5-1FB8-4BE9-A8BA-69C6DB65A8AE}"/>
    <cellStyle name="Normal 2 2 2 2 2 2 2 2 2 2 4" xfId="10887" xr:uid="{0813298B-9B2A-4DFF-933C-BE10D565B15F}"/>
    <cellStyle name="Normal 2 2 2 2 2 2 2 2 2 2 40" xfId="10888" xr:uid="{1512C73B-5D24-425E-92BB-2CFB828C5E06}"/>
    <cellStyle name="Normal 2 2 2 2 2 2 2 2 2 2 41" xfId="10889" xr:uid="{8CCD2956-F6CE-4610-8E76-451E6D5ECD6B}"/>
    <cellStyle name="Normal 2 2 2 2 2 2 2 2 2 2 42" xfId="10890" xr:uid="{6070C68B-391C-4128-A82A-5459631C37C4}"/>
    <cellStyle name="Normal 2 2 2 2 2 2 2 2 2 2 43" xfId="10891" xr:uid="{3DB2D030-C513-4909-A4D6-20DFBC0CFCA6}"/>
    <cellStyle name="Normal 2 2 2 2 2 2 2 2 2 2 44" xfId="10892" xr:uid="{6CCE2F43-60ED-4B97-8B81-10868CDB045B}"/>
    <cellStyle name="Normal 2 2 2 2 2 2 2 2 2 2 45" xfId="10893" xr:uid="{6AEC9928-1407-4E11-A9CB-787B26DB1CFC}"/>
    <cellStyle name="Normal 2 2 2 2 2 2 2 2 2 2 46" xfId="10894" xr:uid="{007BA002-C5D7-4E37-A140-FAAEC5488DDE}"/>
    <cellStyle name="Normal 2 2 2 2 2 2 2 2 2 2 46 2" xfId="10895" xr:uid="{EE9299FB-1A9A-4207-A486-F3C5252034B6}"/>
    <cellStyle name="Normal 2 2 2 2 2 2 2 2 2 2 46 3" xfId="10896" xr:uid="{B226C5C4-1765-4988-AB3B-5D9014BFA090}"/>
    <cellStyle name="Normal 2 2 2 2 2 2 2 2 2 2 46 4" xfId="10897" xr:uid="{ADCD0A3C-4FF7-40E9-9882-77B7D9C45C8E}"/>
    <cellStyle name="Normal 2 2 2 2 2 2 2 2 2 2 46 5" xfId="10898" xr:uid="{AA00A519-0847-40C4-9BFC-C7BD697D6EA7}"/>
    <cellStyle name="Normal 2 2 2 2 2 2 2 2 2 2 46 6" xfId="10899" xr:uid="{48F8D902-C284-47F3-86D3-BA4A051B1A06}"/>
    <cellStyle name="Normal 2 2 2 2 2 2 2 2 2 2 46 7" xfId="10900" xr:uid="{8926CE2B-607C-491E-A962-0E4171869641}"/>
    <cellStyle name="Normal 2 2 2 2 2 2 2 2 2 2 47" xfId="10901" xr:uid="{8C770DBB-DC3D-448C-980D-8A6E300D59B7}"/>
    <cellStyle name="Normal 2 2 2 2 2 2 2 2 2 2 48" xfId="10902" xr:uid="{FCE8E9FE-F36F-41D0-A728-68623185FC29}"/>
    <cellStyle name="Normal 2 2 2 2 2 2 2 2 2 2 49" xfId="10903" xr:uid="{9D64036C-CA02-4E15-B34C-8703E5DCDE9D}"/>
    <cellStyle name="Normal 2 2 2 2 2 2 2 2 2 2 5" xfId="10904" xr:uid="{417293E2-1F0A-4772-B851-EE58EE47DD0B}"/>
    <cellStyle name="Normal 2 2 2 2 2 2 2 2 2 2 50" xfId="10905" xr:uid="{717CF94B-794A-4C5D-9D90-FAE1B6246253}"/>
    <cellStyle name="Normal 2 2 2 2 2 2 2 2 2 2 51" xfId="10906" xr:uid="{9FBD42D6-3F21-40E2-8AB8-231DE68F76B2}"/>
    <cellStyle name="Normal 2 2 2 2 2 2 2 2 2 2 52" xfId="10907" xr:uid="{94442123-1149-4FBF-8762-4070E2AD63BA}"/>
    <cellStyle name="Normal 2 2 2 2 2 2 2 2 2 2 53" xfId="10908" xr:uid="{8343F09A-79A7-48AA-B764-1885652BA035}"/>
    <cellStyle name="Normal 2 2 2 2 2 2 2 2 2 2 54" xfId="10909" xr:uid="{297275D3-DD9E-4B7D-9C77-2E0FADD37EED}"/>
    <cellStyle name="Normal 2 2 2 2 2 2 2 2 2 2 55" xfId="10910" xr:uid="{5928D624-D7AA-43D5-968E-FB2DF9B6AF1B}"/>
    <cellStyle name="Normal 2 2 2 2 2 2 2 2 2 2 56" xfId="10911" xr:uid="{6146E82E-5C3A-42C0-8E5C-A9E4B6354909}"/>
    <cellStyle name="Normal 2 2 2 2 2 2 2 2 2 2 57" xfId="10912" xr:uid="{57EEBAF3-7A25-46DB-AD23-407CD0E11D7D}"/>
    <cellStyle name="Normal 2 2 2 2 2 2 2 2 2 2 58" xfId="10913" xr:uid="{350A5BFE-B06B-44EA-9965-64B4FAE5BB8E}"/>
    <cellStyle name="Normal 2 2 2 2 2 2 2 2 2 2 59" xfId="10914" xr:uid="{8628BDEB-92CA-4255-97AA-2E3CBC21347D}"/>
    <cellStyle name="Normal 2 2 2 2 2 2 2 2 2 2 6" xfId="10915" xr:uid="{B2C57BB8-8F38-429D-82F3-A1C00626B6A0}"/>
    <cellStyle name="Normal 2 2 2 2 2 2 2 2 2 2 60" xfId="10916" xr:uid="{33151E62-B495-4D32-B2AC-BEB822F8797E}"/>
    <cellStyle name="Normal 2 2 2 2 2 2 2 2 2 2 61" xfId="10917" xr:uid="{3B314448-E4C2-4E2E-86F8-54084CB7CC27}"/>
    <cellStyle name="Normal 2 2 2 2 2 2 2 2 2 2 62" xfId="10918" xr:uid="{7697A25F-757C-4A9F-8B72-62DDF7DCB102}"/>
    <cellStyle name="Normal 2 2 2 2 2 2 2 2 2 2 63" xfId="10919" xr:uid="{F24EF068-5153-4800-B4C8-0A31C1912CD2}"/>
    <cellStyle name="Normal 2 2 2 2 2 2 2 2 2 2 64" xfId="10920" xr:uid="{0FAEC3DF-6918-48E5-85FA-1D63F877D654}"/>
    <cellStyle name="Normal 2 2 2 2 2 2 2 2 2 2 65" xfId="10921" xr:uid="{53B9704A-974E-4A8E-9982-9E7441FBE480}"/>
    <cellStyle name="Normal 2 2 2 2 2 2 2 2 2 2 66" xfId="10922" xr:uid="{497AD276-B3EC-4E5A-972B-2FA80116D4EC}"/>
    <cellStyle name="Normal 2 2 2 2 2 2 2 2 2 2 67" xfId="10923" xr:uid="{E49C2E39-F073-43BE-BBEE-F16462BEC342}"/>
    <cellStyle name="Normal 2 2 2 2 2 2 2 2 2 2 68" xfId="10924" xr:uid="{95EBA0AB-8FF9-4C31-B169-5BEA4D7BC80D}"/>
    <cellStyle name="Normal 2 2 2 2 2 2 2 2 2 2 69" xfId="10925" xr:uid="{61A5AAC4-79E7-4A61-8F74-E7D31CE353C9}"/>
    <cellStyle name="Normal 2 2 2 2 2 2 2 2 2 2 7" xfId="10926" xr:uid="{39EC7A71-E3CA-46C7-A89A-181A6EF62BEB}"/>
    <cellStyle name="Normal 2 2 2 2 2 2 2 2 2 2 70" xfId="10927" xr:uid="{60C1AD9D-C98B-4E7F-BCBC-618C0772F81F}"/>
    <cellStyle name="Normal 2 2 2 2 2 2 2 2 2 2 71" xfId="10928" xr:uid="{17B00679-967F-4015-820C-7A674F8BCA0B}"/>
    <cellStyle name="Normal 2 2 2 2 2 2 2 2 2 2 72" xfId="10929" xr:uid="{C6509880-843F-4B49-9C3F-D28CD522DEF3}"/>
    <cellStyle name="Normal 2 2 2 2 2 2 2 2 2 2 73" xfId="10930" xr:uid="{35387E04-D3D8-4CC8-85E8-AEDA7168B1E1}"/>
    <cellStyle name="Normal 2 2 2 2 2 2 2 2 2 2 74" xfId="10931" xr:uid="{06A01055-AC72-4A1F-BC83-45FE639C27DA}"/>
    <cellStyle name="Normal 2 2 2 2 2 2 2 2 2 2 75" xfId="10932" xr:uid="{63FDFF1A-DFDB-48E0-90F2-AB1FE88EC4E2}"/>
    <cellStyle name="Normal 2 2 2 2 2 2 2 2 2 2 76" xfId="10933" xr:uid="{CA3FA550-2DB3-4F11-9A54-215F1D771081}"/>
    <cellStyle name="Normal 2 2 2 2 2 2 2 2 2 2 77" xfId="10934" xr:uid="{1B682974-24A9-4889-891B-8ECC6041ADD8}"/>
    <cellStyle name="Normal 2 2 2 2 2 2 2 2 2 2 78" xfId="10935" xr:uid="{A898D869-F068-4D58-AD69-1C7ADCBF4401}"/>
    <cellStyle name="Normal 2 2 2 2 2 2 2 2 2 2 79" xfId="10936" xr:uid="{11DF1515-7D48-4002-BFAA-1B329FBBCC75}"/>
    <cellStyle name="Normal 2 2 2 2 2 2 2 2 2 2 8" xfId="10937" xr:uid="{323AE844-88B3-4458-B314-8386C1298441}"/>
    <cellStyle name="Normal 2 2 2 2 2 2 2 2 2 2 80" xfId="10938" xr:uid="{500B775C-A721-418B-B5B6-64FE907DE155}"/>
    <cellStyle name="Normal 2 2 2 2 2 2 2 2 2 2 81" xfId="10939" xr:uid="{E24AA104-AEBC-4FEF-94C9-E113F47CA47E}"/>
    <cellStyle name="Normal 2 2 2 2 2 2 2 2 2 2 82" xfId="10940" xr:uid="{6330BE20-2207-4E4F-A3BC-C83CBE8141ED}"/>
    <cellStyle name="Normal 2 2 2 2 2 2 2 2 2 2 83" xfId="10941" xr:uid="{BE7943F1-9963-4BC9-945D-24270BF27465}"/>
    <cellStyle name="Normal 2 2 2 2 2 2 2 2 2 2 84" xfId="10942" xr:uid="{C964373E-B97F-4166-AC55-59DAB3D167DD}"/>
    <cellStyle name="Normal 2 2 2 2 2 2 2 2 2 2 85" xfId="10943" xr:uid="{3D99532C-580A-4695-9321-C487EBF8E376}"/>
    <cellStyle name="Normal 2 2 2 2 2 2 2 2 2 2 86" xfId="10944" xr:uid="{E3431686-416A-4F8A-B394-9070693387C0}"/>
    <cellStyle name="Normal 2 2 2 2 2 2 2 2 2 2 87" xfId="10945" xr:uid="{BCB6FC1E-8580-4220-BDC2-9A9419773A62}"/>
    <cellStyle name="Normal 2 2 2 2 2 2 2 2 2 2 88" xfId="10946" xr:uid="{E5D2735B-9933-4D73-8995-E530F1DB2E6F}"/>
    <cellStyle name="Normal 2 2 2 2 2 2 2 2 2 2 89" xfId="10947" xr:uid="{5717212B-99B3-426C-BA24-339AA8B0DA51}"/>
    <cellStyle name="Normal 2 2 2 2 2 2 2 2 2 2 9" xfId="10948" xr:uid="{3CB193AA-A395-48B3-92CC-4456A3FDDCE5}"/>
    <cellStyle name="Normal 2 2 2 2 2 2 2 2 2 2 90" xfId="10949" xr:uid="{8D43C1AB-1663-4C33-BD93-D8B9A86F3CA7}"/>
    <cellStyle name="Normal 2 2 2 2 2 2 2 2 2 2 91" xfId="10950" xr:uid="{BD0B3C3D-800C-4DFC-A7EB-E6F362735336}"/>
    <cellStyle name="Normal 2 2 2 2 2 2 2 2 2 2 92" xfId="10951" xr:uid="{3B87F1B4-4E50-4DD0-BB6A-60B084334DDA}"/>
    <cellStyle name="Normal 2 2 2 2 2 2 2 2 2 2 93" xfId="10952" xr:uid="{7BEE043F-0AC8-41FA-8083-EB0750E8BD90}"/>
    <cellStyle name="Normal 2 2 2 2 2 2 2 2 2 2 93 2" xfId="10953" xr:uid="{DA81CF92-EF37-49E9-8E2A-1201B5C554B3}"/>
    <cellStyle name="Normal 2 2 2 2 2 2 2 2 2 2 93 3" xfId="10954" xr:uid="{1F8D31AE-D5A2-4406-8018-D703DBA11835}"/>
    <cellStyle name="Normal 2 2 2 2 2 2 2 2 2 2 93 4" xfId="10955" xr:uid="{B11C378F-1320-4821-B1D9-099F2D252709}"/>
    <cellStyle name="Normal 2 2 2 2 2 2 2 2 2 2 94" xfId="10956" xr:uid="{E1BBC5D7-E07A-4174-B0B8-2F5F9DF5FA81}"/>
    <cellStyle name="Normal 2 2 2 2 2 2 2 2 2 2 95" xfId="10957" xr:uid="{7495C8F2-B993-49CB-A4DA-164CE45BC2CB}"/>
    <cellStyle name="Normal 2 2 2 2 2 2 2 2 2 20" xfId="10958" xr:uid="{C3A665E5-878B-42E6-8047-DC02B10AAE14}"/>
    <cellStyle name="Normal 2 2 2 2 2 2 2 2 2 21" xfId="10959" xr:uid="{41DDE0ED-D375-496C-BFAF-C68F6A946367}"/>
    <cellStyle name="Normal 2 2 2 2 2 2 2 2 2 22" xfId="10960" xr:uid="{825BBE9D-6213-4224-B5CC-19435DE37A1B}"/>
    <cellStyle name="Normal 2 2 2 2 2 2 2 2 2 22 10" xfId="10961" xr:uid="{11336A32-AB30-4CB6-BE6E-829750FF6B3C}"/>
    <cellStyle name="Normal 2 2 2 2 2 2 2 2 2 22 11" xfId="10962" xr:uid="{05B6E445-4DFB-4598-B940-F955A4CB38B7}"/>
    <cellStyle name="Normal 2 2 2 2 2 2 2 2 2 22 11 2" xfId="10963" xr:uid="{71ECA480-9360-48D4-8592-AAD93120703C}"/>
    <cellStyle name="Normal 2 2 2 2 2 2 2 2 2 22 11 3" xfId="10964" xr:uid="{F16FBEE1-8D76-4341-ACB5-77569C25966A}"/>
    <cellStyle name="Normal 2 2 2 2 2 2 2 2 2 22 11 4" xfId="10965" xr:uid="{5EEB03B6-46B6-4F90-B071-05A64BF71DA4}"/>
    <cellStyle name="Normal 2 2 2 2 2 2 2 2 2 22 12" xfId="10966" xr:uid="{2146D0A1-F6EA-4BFD-9132-29C6860D34C3}"/>
    <cellStyle name="Normal 2 2 2 2 2 2 2 2 2 22 13" xfId="10967" xr:uid="{B954EB74-6049-43D4-B1F4-8D6DFF97057B}"/>
    <cellStyle name="Normal 2 2 2 2 2 2 2 2 2 22 14" xfId="10968" xr:uid="{A0D902C9-87E4-4E32-BD8E-0AA1EFCB8DE2}"/>
    <cellStyle name="Normal 2 2 2 2 2 2 2 2 2 22 2" xfId="10969" xr:uid="{24C7B1C4-69ED-4195-9148-A2129049793E}"/>
    <cellStyle name="Normal 2 2 2 2 2 2 2 2 2 22 2 10" xfId="10970" xr:uid="{6AFF9A81-A321-45BD-9F60-A675F57017E2}"/>
    <cellStyle name="Normal 2 2 2 2 2 2 2 2 2 22 2 11" xfId="10971" xr:uid="{6478D7C8-8E28-42CA-ABDA-D4F8EC4571B5}"/>
    <cellStyle name="Normal 2 2 2 2 2 2 2 2 2 22 2 2" xfId="10972" xr:uid="{FD22A140-5F7E-46D4-A3DF-CF5A74E9C368}"/>
    <cellStyle name="Normal 2 2 2 2 2 2 2 2 2 22 2 2 10" xfId="10973" xr:uid="{D512508D-B251-4CFD-BD07-A018B75BD989}"/>
    <cellStyle name="Normal 2 2 2 2 2 2 2 2 2 22 2 2 11" xfId="10974" xr:uid="{73475D52-CE5C-4FB6-93B3-207B82428C55}"/>
    <cellStyle name="Normal 2 2 2 2 2 2 2 2 2 22 2 2 2" xfId="10975" xr:uid="{E9637D94-985A-423C-A74F-FCC5DCAB6B6E}"/>
    <cellStyle name="Normal 2 2 2 2 2 2 2 2 2 22 2 2 2 2" xfId="10976" xr:uid="{0A99CCEB-FDC8-40FB-B75F-E122E9DE6EBF}"/>
    <cellStyle name="Normal 2 2 2 2 2 2 2 2 2 22 2 2 2 2 2" xfId="10977" xr:uid="{E6D5719B-164C-4CCE-9EE0-5CE0E48007BD}"/>
    <cellStyle name="Normal 2 2 2 2 2 2 2 2 2 22 2 2 2 2 3" xfId="10978" xr:uid="{37509F74-C21F-4FF2-A53A-B282645D2751}"/>
    <cellStyle name="Normal 2 2 2 2 2 2 2 2 2 22 2 2 2 2 4" xfId="10979" xr:uid="{6757F6F2-45CB-4313-B0C8-8DC404C616C8}"/>
    <cellStyle name="Normal 2 2 2 2 2 2 2 2 2 22 2 2 2 3" xfId="10980" xr:uid="{26719F88-C8C6-47DA-8271-2797A0284900}"/>
    <cellStyle name="Normal 2 2 2 2 2 2 2 2 2 22 2 2 2 4" xfId="10981" xr:uid="{9BC01A87-0CE8-4606-B2B2-06AD52FBAA30}"/>
    <cellStyle name="Normal 2 2 2 2 2 2 2 2 2 22 2 2 2 5" xfId="10982" xr:uid="{F88CFEC2-1F0E-4C3A-B5DE-AE92C1FEA161}"/>
    <cellStyle name="Normal 2 2 2 2 2 2 2 2 2 22 2 2 2 6" xfId="10983" xr:uid="{994E41DE-D1A8-4DEA-B581-2B8237987537}"/>
    <cellStyle name="Normal 2 2 2 2 2 2 2 2 2 22 2 2 3" xfId="10984" xr:uid="{0969C3D2-134C-43C7-B3C8-716D0B403C6B}"/>
    <cellStyle name="Normal 2 2 2 2 2 2 2 2 2 22 2 2 4" xfId="10985" xr:uid="{BB938386-7A91-49F8-8A3C-1814A36F7591}"/>
    <cellStyle name="Normal 2 2 2 2 2 2 2 2 2 22 2 2 5" xfId="10986" xr:uid="{B2DDD962-6012-4B2D-9C0C-82BC8BC36390}"/>
    <cellStyle name="Normal 2 2 2 2 2 2 2 2 2 22 2 2 6" xfId="10987" xr:uid="{341F2DD7-C61B-4AA3-8CAC-3AC186DD62C8}"/>
    <cellStyle name="Normal 2 2 2 2 2 2 2 2 2 22 2 2 7" xfId="10988" xr:uid="{B6668B0D-1888-448E-9E3A-045591A60C11}"/>
    <cellStyle name="Normal 2 2 2 2 2 2 2 2 2 22 2 2 8" xfId="10989" xr:uid="{53B5D690-96A4-4084-9264-9655C0780600}"/>
    <cellStyle name="Normal 2 2 2 2 2 2 2 2 2 22 2 2 8 2" xfId="10990" xr:uid="{F4A5AB1A-00D2-4C9F-BD24-72C7BC7FCCF4}"/>
    <cellStyle name="Normal 2 2 2 2 2 2 2 2 2 22 2 2 8 3" xfId="10991" xr:uid="{A2CD4C30-C1A8-456D-8550-3CA8CE4C1562}"/>
    <cellStyle name="Normal 2 2 2 2 2 2 2 2 2 22 2 2 8 4" xfId="10992" xr:uid="{8AE60122-B8C9-42F3-AC4C-74B88CD767F2}"/>
    <cellStyle name="Normal 2 2 2 2 2 2 2 2 2 22 2 2 9" xfId="10993" xr:uid="{AF405DE7-9D78-4E14-88FF-E7A5DD5F3E2E}"/>
    <cellStyle name="Normal 2 2 2 2 2 2 2 2 2 22 2 3" xfId="10994" xr:uid="{232C8F15-C834-4951-8B51-B2C57C7EA6C4}"/>
    <cellStyle name="Normal 2 2 2 2 2 2 2 2 2 22 2 3 2" xfId="10995" xr:uid="{FB5B702F-4E1C-4AC3-92DD-8AFF3E6A8288}"/>
    <cellStyle name="Normal 2 2 2 2 2 2 2 2 2 22 2 3 2 2" xfId="10996" xr:uid="{F081FEEF-56FC-4B89-A28F-6C38444DA4DD}"/>
    <cellStyle name="Normal 2 2 2 2 2 2 2 2 2 22 2 3 2 3" xfId="10997" xr:uid="{B590DA1A-F64F-4695-A9CA-230AB246FEE0}"/>
    <cellStyle name="Normal 2 2 2 2 2 2 2 2 2 22 2 3 2 4" xfId="10998" xr:uid="{B000273F-02DD-4C7A-B0EE-750F506A8555}"/>
    <cellStyle name="Normal 2 2 2 2 2 2 2 2 2 22 2 3 3" xfId="10999" xr:uid="{E0B6D6CD-01EC-40C6-BE91-60AD79741BBE}"/>
    <cellStyle name="Normal 2 2 2 2 2 2 2 2 2 22 2 3 4" xfId="11000" xr:uid="{DD1F87BA-5213-4ECF-8FFC-40925A70721A}"/>
    <cellStyle name="Normal 2 2 2 2 2 2 2 2 2 22 2 3 5" xfId="11001" xr:uid="{921432C1-4F9C-4B97-B7B4-9EFA4E31A4B0}"/>
    <cellStyle name="Normal 2 2 2 2 2 2 2 2 2 22 2 3 6" xfId="11002" xr:uid="{8C73B167-E309-4A54-8597-86B630F46B26}"/>
    <cellStyle name="Normal 2 2 2 2 2 2 2 2 2 22 2 4" xfId="11003" xr:uid="{929AC0C7-D429-4FE7-9DD7-7EB23BD8B06A}"/>
    <cellStyle name="Normal 2 2 2 2 2 2 2 2 2 22 2 5" xfId="11004" xr:uid="{7C0357F3-23D6-47F7-8B71-F4B872712A3D}"/>
    <cellStyle name="Normal 2 2 2 2 2 2 2 2 2 22 2 6" xfId="11005" xr:uid="{B478F329-3505-4343-8253-2931B0050C06}"/>
    <cellStyle name="Normal 2 2 2 2 2 2 2 2 2 22 2 7" xfId="11006" xr:uid="{C4100238-715C-4FDB-954A-3E9532A09FAE}"/>
    <cellStyle name="Normal 2 2 2 2 2 2 2 2 2 22 2 8" xfId="11007" xr:uid="{CE396EE0-DEBA-4A80-BCBD-C2E3779CD669}"/>
    <cellStyle name="Normal 2 2 2 2 2 2 2 2 2 22 2 8 2" xfId="11008" xr:uid="{40CC44E9-50A2-4818-B886-4B9682E4CE7E}"/>
    <cellStyle name="Normal 2 2 2 2 2 2 2 2 2 22 2 8 3" xfId="11009" xr:uid="{30195337-E824-4A3A-9F06-7489CDC6466B}"/>
    <cellStyle name="Normal 2 2 2 2 2 2 2 2 2 22 2 8 4" xfId="11010" xr:uid="{FACC611C-83D6-4FBE-BD40-EED841CF42DF}"/>
    <cellStyle name="Normal 2 2 2 2 2 2 2 2 2 22 2 9" xfId="11011" xr:uid="{E284D026-4C8C-4133-A550-4E138613A7DD}"/>
    <cellStyle name="Normal 2 2 2 2 2 2 2 2 2 22 3" xfId="11012" xr:uid="{156F0414-35E4-4DE0-B20E-39256389F9B2}"/>
    <cellStyle name="Normal 2 2 2 2 2 2 2 2 2 22 4" xfId="11013" xr:uid="{D8D18E73-3804-47D1-BB61-2ED9FE9E2BE8}"/>
    <cellStyle name="Normal 2 2 2 2 2 2 2 2 2 22 5" xfId="11014" xr:uid="{31D4FC83-64B5-4C8F-86AF-CDD655489C63}"/>
    <cellStyle name="Normal 2 2 2 2 2 2 2 2 2 22 5 2" xfId="11015" xr:uid="{1EB2B39E-58DB-4B14-B2B3-C0AF845DCB1E}"/>
    <cellStyle name="Normal 2 2 2 2 2 2 2 2 2 22 5 2 2" xfId="11016" xr:uid="{A2FA0C60-45D1-4715-9ABE-0440078E7B94}"/>
    <cellStyle name="Normal 2 2 2 2 2 2 2 2 2 22 5 2 3" xfId="11017" xr:uid="{FCAF3847-3F16-47E0-B69B-62971D552F6D}"/>
    <cellStyle name="Normal 2 2 2 2 2 2 2 2 2 22 5 2 4" xfId="11018" xr:uid="{E18E2EEB-1A95-4C32-BF88-042A9ACE15E4}"/>
    <cellStyle name="Normal 2 2 2 2 2 2 2 2 2 22 5 3" xfId="11019" xr:uid="{7BD2C85B-F6B8-4984-97B6-4A9E567A624A}"/>
    <cellStyle name="Normal 2 2 2 2 2 2 2 2 2 22 5 4" xfId="11020" xr:uid="{8FF5628B-095A-423A-92B4-E3D5768D4C71}"/>
    <cellStyle name="Normal 2 2 2 2 2 2 2 2 2 22 5 5" xfId="11021" xr:uid="{046325E2-542D-40DB-B1E2-01DF6801BB54}"/>
    <cellStyle name="Normal 2 2 2 2 2 2 2 2 2 22 5 6" xfId="11022" xr:uid="{69D2135A-8923-4013-B5AF-7697D87383B6}"/>
    <cellStyle name="Normal 2 2 2 2 2 2 2 2 2 22 6" xfId="11023" xr:uid="{92F55BC4-BA4E-4523-9C34-C915D1508097}"/>
    <cellStyle name="Normal 2 2 2 2 2 2 2 2 2 22 7" xfId="11024" xr:uid="{C2BB155B-F120-4884-AD49-40D40026F3A7}"/>
    <cellStyle name="Normal 2 2 2 2 2 2 2 2 2 22 8" xfId="11025" xr:uid="{ABF2011A-8334-4D2E-829E-0ED6A95DF943}"/>
    <cellStyle name="Normal 2 2 2 2 2 2 2 2 2 22 9" xfId="11026" xr:uid="{C3C41075-76F5-403F-AEF2-5EDFCCC60BC3}"/>
    <cellStyle name="Normal 2 2 2 2 2 2 2 2 2 23" xfId="11027" xr:uid="{EBC6A7F6-E227-43BA-A76C-1FB1FB396BF5}"/>
    <cellStyle name="Normal 2 2 2 2 2 2 2 2 2 24" xfId="11028" xr:uid="{3EBAD6B4-A5C4-42BA-9622-76165A863214}"/>
    <cellStyle name="Normal 2 2 2 2 2 2 2 2 2 24 10" xfId="11029" xr:uid="{51F40C2E-F30F-43D2-94F5-8BCFDEFD1482}"/>
    <cellStyle name="Normal 2 2 2 2 2 2 2 2 2 24 11" xfId="11030" xr:uid="{F9502361-E434-4138-B81A-F20244F8E4E9}"/>
    <cellStyle name="Normal 2 2 2 2 2 2 2 2 2 24 2" xfId="11031" xr:uid="{30CCB9AE-EED9-418C-B45A-82B5692B8B25}"/>
    <cellStyle name="Normal 2 2 2 2 2 2 2 2 2 24 2 10" xfId="11032" xr:uid="{FBEB797D-7E6F-463B-B3CF-8386D1136E2A}"/>
    <cellStyle name="Normal 2 2 2 2 2 2 2 2 2 24 2 11" xfId="11033" xr:uid="{9F274A86-A9AD-41F7-9811-46108D0ACB76}"/>
    <cellStyle name="Normal 2 2 2 2 2 2 2 2 2 24 2 2" xfId="11034" xr:uid="{F0A4F2C9-B83C-495C-B69B-6289E104F488}"/>
    <cellStyle name="Normal 2 2 2 2 2 2 2 2 2 24 2 2 2" xfId="11035" xr:uid="{41A48501-A234-4F1A-903D-60F2FACB4981}"/>
    <cellStyle name="Normal 2 2 2 2 2 2 2 2 2 24 2 2 2 2" xfId="11036" xr:uid="{4824EB57-A507-4136-999E-EE9B4055B4AB}"/>
    <cellStyle name="Normal 2 2 2 2 2 2 2 2 2 24 2 2 2 3" xfId="11037" xr:uid="{DEF8B49C-6124-4BCA-8EE1-DA515C308B36}"/>
    <cellStyle name="Normal 2 2 2 2 2 2 2 2 2 24 2 2 2 4" xfId="11038" xr:uid="{337D5DE0-9BCF-4EC4-9B9A-020CCA70A56B}"/>
    <cellStyle name="Normal 2 2 2 2 2 2 2 2 2 24 2 2 3" xfId="11039" xr:uid="{79333932-B215-4EAE-8B2C-B90AAFDDA566}"/>
    <cellStyle name="Normal 2 2 2 2 2 2 2 2 2 24 2 2 4" xfId="11040" xr:uid="{85BE7923-2A32-4326-8855-1B0D3B4D62A8}"/>
    <cellStyle name="Normal 2 2 2 2 2 2 2 2 2 24 2 2 5" xfId="11041" xr:uid="{B9ADBEBF-D09E-4C5E-ADC6-32519F84F666}"/>
    <cellStyle name="Normal 2 2 2 2 2 2 2 2 2 24 2 2 6" xfId="11042" xr:uid="{8AD704A8-EE1A-472A-9C8B-61934ACA7F7D}"/>
    <cellStyle name="Normal 2 2 2 2 2 2 2 2 2 24 2 3" xfId="11043" xr:uid="{DE68BF6F-2FE1-4E8F-A2E1-475C72CDBBA0}"/>
    <cellStyle name="Normal 2 2 2 2 2 2 2 2 2 24 2 4" xfId="11044" xr:uid="{5CB835CF-6398-41A9-95BC-0B8A51F2D9D7}"/>
    <cellStyle name="Normal 2 2 2 2 2 2 2 2 2 24 2 5" xfId="11045" xr:uid="{B9E31637-0679-4714-9663-A7902382CB7A}"/>
    <cellStyle name="Normal 2 2 2 2 2 2 2 2 2 24 2 6" xfId="11046" xr:uid="{75546180-DEFA-40FB-856F-9EB929E9152E}"/>
    <cellStyle name="Normal 2 2 2 2 2 2 2 2 2 24 2 7" xfId="11047" xr:uid="{2F87C0C3-B22D-4A15-A8C3-8EED49625E39}"/>
    <cellStyle name="Normal 2 2 2 2 2 2 2 2 2 24 2 8" xfId="11048" xr:uid="{E3971C8C-0375-4BFD-A56F-2F1C880E2EFC}"/>
    <cellStyle name="Normal 2 2 2 2 2 2 2 2 2 24 2 8 2" xfId="11049" xr:uid="{E02359A6-67D2-496B-B7F4-BB174B4DA040}"/>
    <cellStyle name="Normal 2 2 2 2 2 2 2 2 2 24 2 8 3" xfId="11050" xr:uid="{F625B30E-2A42-41BA-8681-915EE3BB02D5}"/>
    <cellStyle name="Normal 2 2 2 2 2 2 2 2 2 24 2 8 4" xfId="11051" xr:uid="{5C1EA740-4DF4-47F0-AF0C-5F05E4A23C6F}"/>
    <cellStyle name="Normal 2 2 2 2 2 2 2 2 2 24 2 9" xfId="11052" xr:uid="{58CFDB05-F819-4E0E-B63E-FD2E17173A73}"/>
    <cellStyle name="Normal 2 2 2 2 2 2 2 2 2 24 3" xfId="11053" xr:uid="{1506DE94-98D7-4B33-B514-5ED9DB71CDBE}"/>
    <cellStyle name="Normal 2 2 2 2 2 2 2 2 2 24 3 2" xfId="11054" xr:uid="{1611C28A-3297-4FE1-9060-AABC5DF35A04}"/>
    <cellStyle name="Normal 2 2 2 2 2 2 2 2 2 24 3 2 2" xfId="11055" xr:uid="{60AC6065-7941-4219-B612-5C6F24C8902C}"/>
    <cellStyle name="Normal 2 2 2 2 2 2 2 2 2 24 3 2 3" xfId="11056" xr:uid="{5DA52336-9D6B-4E6C-AB37-7513F5C27B00}"/>
    <cellStyle name="Normal 2 2 2 2 2 2 2 2 2 24 3 2 4" xfId="11057" xr:uid="{45BF9B12-F019-4747-8910-F46E52262C1A}"/>
    <cellStyle name="Normal 2 2 2 2 2 2 2 2 2 24 3 3" xfId="11058" xr:uid="{37B439FD-2B4D-482D-8CBD-1E3F6933407C}"/>
    <cellStyle name="Normal 2 2 2 2 2 2 2 2 2 24 3 4" xfId="11059" xr:uid="{EB52C523-D7F4-4C43-B344-65F3C1FF4F65}"/>
    <cellStyle name="Normal 2 2 2 2 2 2 2 2 2 24 3 5" xfId="11060" xr:uid="{0A280016-EC6A-4C62-B246-B5A9C81F3E28}"/>
    <cellStyle name="Normal 2 2 2 2 2 2 2 2 2 24 3 6" xfId="11061" xr:uid="{5172E666-F55A-4643-9979-AC37EEA5F617}"/>
    <cellStyle name="Normal 2 2 2 2 2 2 2 2 2 24 4" xfId="11062" xr:uid="{64DF16EA-ABA5-4069-849F-26FAF143FF81}"/>
    <cellStyle name="Normal 2 2 2 2 2 2 2 2 2 24 5" xfId="11063" xr:uid="{7FF98A29-AB1B-4219-BE35-AF4A024A1469}"/>
    <cellStyle name="Normal 2 2 2 2 2 2 2 2 2 24 6" xfId="11064" xr:uid="{1F54C66E-79CF-4E45-8174-719352331B0F}"/>
    <cellStyle name="Normal 2 2 2 2 2 2 2 2 2 24 7" xfId="11065" xr:uid="{956A19E3-03A7-4A2C-AF95-3EE33DED1A9E}"/>
    <cellStyle name="Normal 2 2 2 2 2 2 2 2 2 24 8" xfId="11066" xr:uid="{4FF72FE3-033A-4545-942C-C564916869E4}"/>
    <cellStyle name="Normal 2 2 2 2 2 2 2 2 2 24 8 2" xfId="11067" xr:uid="{5D36557D-3D15-4F14-B1F9-C76E17698022}"/>
    <cellStyle name="Normal 2 2 2 2 2 2 2 2 2 24 8 3" xfId="11068" xr:uid="{13B6D7EA-6B6C-4D5D-AEDD-6569C46BE3B9}"/>
    <cellStyle name="Normal 2 2 2 2 2 2 2 2 2 24 8 4" xfId="11069" xr:uid="{DF3D0F2F-BD47-4F22-BD19-EFFD1B7B0A91}"/>
    <cellStyle name="Normal 2 2 2 2 2 2 2 2 2 24 9" xfId="11070" xr:uid="{32F17ED1-FE66-4DD4-964C-E91D38DED92F}"/>
    <cellStyle name="Normal 2 2 2 2 2 2 2 2 2 25" xfId="11071" xr:uid="{EFEF055D-93AC-494D-8E44-B1A0E51AEC3E}"/>
    <cellStyle name="Normal 2 2 2 2 2 2 2 2 2 26" xfId="11072" xr:uid="{45DC3A0A-BF3D-496A-B45E-69787034E9CF}"/>
    <cellStyle name="Normal 2 2 2 2 2 2 2 2 2 26 2" xfId="11073" xr:uid="{E6E2D40B-E56A-4D07-8346-34DA206168B7}"/>
    <cellStyle name="Normal 2 2 2 2 2 2 2 2 2 26 2 2" xfId="11074" xr:uid="{2DF16BB5-EF7F-4909-B471-17139203F6AD}"/>
    <cellStyle name="Normal 2 2 2 2 2 2 2 2 2 26 2 3" xfId="11075" xr:uid="{8052A80B-5329-4399-826E-6D8A84044BB6}"/>
    <cellStyle name="Normal 2 2 2 2 2 2 2 2 2 26 2 4" xfId="11076" xr:uid="{09073B3B-ED62-463E-9566-40F5ED4854FC}"/>
    <cellStyle name="Normal 2 2 2 2 2 2 2 2 2 26 3" xfId="11077" xr:uid="{5C53E1FB-D600-445D-B88A-8B32BD9D5B61}"/>
    <cellStyle name="Normal 2 2 2 2 2 2 2 2 2 26 4" xfId="11078" xr:uid="{CA670C93-D92D-4F8F-B2EC-52FBA5222946}"/>
    <cellStyle name="Normal 2 2 2 2 2 2 2 2 2 26 5" xfId="11079" xr:uid="{1B0700CD-F167-4590-834A-733DE6E192F0}"/>
    <cellStyle name="Normal 2 2 2 2 2 2 2 2 2 26 6" xfId="11080" xr:uid="{F9D09010-A4F2-41DF-9399-ECA9337618E7}"/>
    <cellStyle name="Normal 2 2 2 2 2 2 2 2 2 27" xfId="11081" xr:uid="{78803BAA-6A4D-4E5F-B238-91EBC43CCE57}"/>
    <cellStyle name="Normal 2 2 2 2 2 2 2 2 2 28" xfId="11082" xr:uid="{48F7EE35-5016-4E82-BFCE-216948E2D955}"/>
    <cellStyle name="Normal 2 2 2 2 2 2 2 2 2 29" xfId="11083" xr:uid="{55EAA402-3EAD-49EB-958B-994A8EA9D3D2}"/>
    <cellStyle name="Normal 2 2 2 2 2 2 2 2 2 3" xfId="11084" xr:uid="{3E9EC17A-1BEF-46DA-8BBF-668F737E93A0}"/>
    <cellStyle name="Normal 2 2 2 2 2 2 2 2 2 30" xfId="11085" xr:uid="{1EEC8F04-7168-42FA-AC34-B3C0BCE757F3}"/>
    <cellStyle name="Normal 2 2 2 2 2 2 2 2 2 31" xfId="11086" xr:uid="{D7B5B55C-2E7C-4299-AC72-3A28606C5AAB}"/>
    <cellStyle name="Normal 2 2 2 2 2 2 2 2 2 32" xfId="11087" xr:uid="{95E8FDF0-1874-4D9B-BCF6-1F503080D32E}"/>
    <cellStyle name="Normal 2 2 2 2 2 2 2 2 2 32 2" xfId="11088" xr:uid="{B1F17B86-1445-43F5-9E82-F16610984676}"/>
    <cellStyle name="Normal 2 2 2 2 2 2 2 2 2 32 3" xfId="11089" xr:uid="{EF729404-DDDA-45B8-AC67-2DFF669210C8}"/>
    <cellStyle name="Normal 2 2 2 2 2 2 2 2 2 32 4" xfId="11090" xr:uid="{A1EEE1EC-7795-4A19-9DFE-68C2C2E34542}"/>
    <cellStyle name="Normal 2 2 2 2 2 2 2 2 2 33" xfId="11091" xr:uid="{441050D6-2FBD-4883-9196-BE62325E4979}"/>
    <cellStyle name="Normal 2 2 2 2 2 2 2 2 2 34" xfId="11092" xr:uid="{F626E556-1240-48FD-8703-31BC89829238}"/>
    <cellStyle name="Normal 2 2 2 2 2 2 2 2 2 35" xfId="11093" xr:uid="{4D71ECA2-E813-4C67-88DD-B8F5FEA226D3}"/>
    <cellStyle name="Normal 2 2 2 2 2 2 2 2 2 36" xfId="11094" xr:uid="{06DF1502-D78B-4CB4-9501-582C2ED51448}"/>
    <cellStyle name="Normal 2 2 2 2 2 2 2 2 2 37" xfId="11095" xr:uid="{39493671-C623-4482-99C9-3DF75A5703C9}"/>
    <cellStyle name="Normal 2 2 2 2 2 2 2 2 2 38" xfId="11096" xr:uid="{2C5A1D10-689E-497A-A30A-6016DE47BA77}"/>
    <cellStyle name="Normal 2 2 2 2 2 2 2 2 2 39" xfId="11097" xr:uid="{E8349DB5-D48C-4B48-90D9-44D9B3941508}"/>
    <cellStyle name="Normal 2 2 2 2 2 2 2 2 2 4" xfId="11098" xr:uid="{33F8EDFE-345D-41A0-B9C4-D0B67FAE5F1C}"/>
    <cellStyle name="Normal 2 2 2 2 2 2 2 2 2 4 2" xfId="11099" xr:uid="{89069940-A824-4B87-8364-2BE4663786BB}"/>
    <cellStyle name="Normal 2 2 2 2 2 2 2 2 2 4 2 2" xfId="11100" xr:uid="{423BAE05-9803-43EB-B8B1-EF52D5A18403}"/>
    <cellStyle name="Normal 2 2 2 2 2 2 2 2 2 40" xfId="11101" xr:uid="{2D2686B5-7ADC-44D8-8549-B7611CB0EDED}"/>
    <cellStyle name="Normal 2 2 2 2 2 2 2 2 2 41" xfId="11102" xr:uid="{723CE116-561D-41BF-A64C-AE7BEEAEC85B}"/>
    <cellStyle name="Normal 2 2 2 2 2 2 2 2 2 42" xfId="11103" xr:uid="{7AE1A1B1-2F94-45F0-A835-38341C7FDD92}"/>
    <cellStyle name="Normal 2 2 2 2 2 2 2 2 2 43" xfId="11104" xr:uid="{EE6BFB89-275F-4225-A664-F2AA8FFC8B01}"/>
    <cellStyle name="Normal 2 2 2 2 2 2 2 2 2 44" xfId="11105" xr:uid="{73D52A35-CAFB-4421-B9E4-83A56B3B145E}"/>
    <cellStyle name="Normal 2 2 2 2 2 2 2 2 2 45" xfId="11106" xr:uid="{CEBB5B71-B915-42E6-AD6A-B39EDD514CF0}"/>
    <cellStyle name="Normal 2 2 2 2 2 2 2 2 2 46" xfId="11107" xr:uid="{8400C3A4-1264-4291-AE0F-945FD3CB6720}"/>
    <cellStyle name="Normal 2 2 2 2 2 2 2 2 2 47" xfId="11108" xr:uid="{27DB44F9-D175-4397-9779-B92CFE9B0874}"/>
    <cellStyle name="Normal 2 2 2 2 2 2 2 2 2 47 2" xfId="11109" xr:uid="{D4D06DBD-0EDD-4E56-95A9-8744F27797B1}"/>
    <cellStyle name="Normal 2 2 2 2 2 2 2 2 2 47 3" xfId="11110" xr:uid="{1AFF325F-956A-4397-A96C-8AE7055AEEFC}"/>
    <cellStyle name="Normal 2 2 2 2 2 2 2 2 2 47 4" xfId="11111" xr:uid="{8A10E42E-D442-4864-9ADD-F075073EBC21}"/>
    <cellStyle name="Normal 2 2 2 2 2 2 2 2 2 47 5" xfId="11112" xr:uid="{6C6B6288-7011-401B-A144-310DB5FBC6D7}"/>
    <cellStyle name="Normal 2 2 2 2 2 2 2 2 2 47 6" xfId="11113" xr:uid="{9B5F1A9A-BF8C-4F88-A572-106267A9942B}"/>
    <cellStyle name="Normal 2 2 2 2 2 2 2 2 2 47 7" xfId="11114" xr:uid="{A7D17AB7-ECEC-421F-842B-C2A9AD8CCDA1}"/>
    <cellStyle name="Normal 2 2 2 2 2 2 2 2 2 48" xfId="11115" xr:uid="{982CD0A7-EC4B-47DC-90DB-798F646B38BD}"/>
    <cellStyle name="Normal 2 2 2 2 2 2 2 2 2 49" xfId="11116" xr:uid="{774FC26D-939E-4C0C-B1C4-12D9D68F452A}"/>
    <cellStyle name="Normal 2 2 2 2 2 2 2 2 2 5" xfId="11117" xr:uid="{600EE820-77B3-45FB-A860-6634C98E75B9}"/>
    <cellStyle name="Normal 2 2 2 2 2 2 2 2 2 50" xfId="11118" xr:uid="{2177959E-66F5-4204-B2A3-2EAAB5B38368}"/>
    <cellStyle name="Normal 2 2 2 2 2 2 2 2 2 51" xfId="11119" xr:uid="{F001A33B-D4FC-4D5D-A3C7-15E2027D7CF0}"/>
    <cellStyle name="Normal 2 2 2 2 2 2 2 2 2 52" xfId="11120" xr:uid="{0D908BB0-B97E-412E-AF6E-9C0B599EC370}"/>
    <cellStyle name="Normal 2 2 2 2 2 2 2 2 2 53" xfId="11121" xr:uid="{6EFB5C50-6347-4144-8DC5-EE0011E051BE}"/>
    <cellStyle name="Normal 2 2 2 2 2 2 2 2 2 54" xfId="11122" xr:uid="{4C36171C-B499-4120-B7BD-279B055D4AFA}"/>
    <cellStyle name="Normal 2 2 2 2 2 2 2 2 2 55" xfId="11123" xr:uid="{2BA6DF30-E9E0-460E-9B91-676409F660EF}"/>
    <cellStyle name="Normal 2 2 2 2 2 2 2 2 2 56" xfId="11124" xr:uid="{17671C4B-6C88-4D5E-81AA-20013957BF8A}"/>
    <cellStyle name="Normal 2 2 2 2 2 2 2 2 2 57" xfId="11125" xr:uid="{4D8D96DF-8537-4E93-B2D0-1A8BC7B30E04}"/>
    <cellStyle name="Normal 2 2 2 2 2 2 2 2 2 58" xfId="11126" xr:uid="{BEE29BA0-8F16-49E7-82E9-D69FC482EF01}"/>
    <cellStyle name="Normal 2 2 2 2 2 2 2 2 2 59" xfId="11127" xr:uid="{DAAB96F3-1489-4761-B7D1-5027DBF78B6C}"/>
    <cellStyle name="Normal 2 2 2 2 2 2 2 2 2 6" xfId="11128" xr:uid="{EF8D38E6-26B0-47A1-8AD0-E3E8B4C1806B}"/>
    <cellStyle name="Normal 2 2 2 2 2 2 2 2 2 60" xfId="11129" xr:uid="{260FCC41-45CB-4FE2-BDDF-305AB105B36B}"/>
    <cellStyle name="Normal 2 2 2 2 2 2 2 2 2 61" xfId="11130" xr:uid="{3A4D0880-DE84-4CAC-9953-00C928F77F2B}"/>
    <cellStyle name="Normal 2 2 2 2 2 2 2 2 2 62" xfId="11131" xr:uid="{1ACDA80B-975E-4503-A183-55548BF948A0}"/>
    <cellStyle name="Normal 2 2 2 2 2 2 2 2 2 63" xfId="11132" xr:uid="{D76B7E9F-47A8-40D6-B1FD-EF75285495F2}"/>
    <cellStyle name="Normal 2 2 2 2 2 2 2 2 2 64" xfId="11133" xr:uid="{D3F6DD83-F1E0-4E13-9A15-A2ED1E9B41EF}"/>
    <cellStyle name="Normal 2 2 2 2 2 2 2 2 2 65" xfId="11134" xr:uid="{BA839A30-8C5E-4AD7-94B7-D3E872E472A9}"/>
    <cellStyle name="Normal 2 2 2 2 2 2 2 2 2 66" xfId="11135" xr:uid="{736A0CBD-1519-4856-B75B-FECD341681CA}"/>
    <cellStyle name="Normal 2 2 2 2 2 2 2 2 2 67" xfId="11136" xr:uid="{CCF7E23D-2AB6-4632-9248-2576A316066A}"/>
    <cellStyle name="Normal 2 2 2 2 2 2 2 2 2 68" xfId="11137" xr:uid="{A1C41707-A7F2-4AD6-85E7-1C568F657C39}"/>
    <cellStyle name="Normal 2 2 2 2 2 2 2 2 2 69" xfId="11138" xr:uid="{EDA4E1F1-A553-4ABE-8D07-C88155D11ED2}"/>
    <cellStyle name="Normal 2 2 2 2 2 2 2 2 2 7" xfId="11139" xr:uid="{8B2325C9-C8E8-4E80-92C4-4B465A309DEF}"/>
    <cellStyle name="Normal 2 2 2 2 2 2 2 2 2 70" xfId="11140" xr:uid="{036A2835-6568-490C-BAB3-DCAC7A38DD87}"/>
    <cellStyle name="Normal 2 2 2 2 2 2 2 2 2 71" xfId="11141" xr:uid="{EA5B7EB4-B84F-4F21-876B-1199D406E1F3}"/>
    <cellStyle name="Normal 2 2 2 2 2 2 2 2 2 72" xfId="11142" xr:uid="{D9D46839-B352-43C9-8B55-91F326793278}"/>
    <cellStyle name="Normal 2 2 2 2 2 2 2 2 2 73" xfId="11143" xr:uid="{AD192561-03F3-4143-8583-20A402B0D6DE}"/>
    <cellStyle name="Normal 2 2 2 2 2 2 2 2 2 74" xfId="11144" xr:uid="{0E46E408-4B47-4438-A711-7C652BF97619}"/>
    <cellStyle name="Normal 2 2 2 2 2 2 2 2 2 75" xfId="11145" xr:uid="{7AC0384F-EAD6-4833-8503-3D9E292F3C54}"/>
    <cellStyle name="Normal 2 2 2 2 2 2 2 2 2 76" xfId="11146" xr:uid="{53F2CD09-5974-48B0-86DA-CCF848113B77}"/>
    <cellStyle name="Normal 2 2 2 2 2 2 2 2 2 77" xfId="11147" xr:uid="{3CE1859F-4F9C-4607-879C-D5E50D7CD3B2}"/>
    <cellStyle name="Normal 2 2 2 2 2 2 2 2 2 78" xfId="11148" xr:uid="{7CAF6D09-417F-4C1F-BFF1-3A6DE051ED75}"/>
    <cellStyle name="Normal 2 2 2 2 2 2 2 2 2 79" xfId="11149" xr:uid="{AD3178C0-495F-46AB-9C11-7D34E622DDE4}"/>
    <cellStyle name="Normal 2 2 2 2 2 2 2 2 2 8" xfId="11150" xr:uid="{3DDA55AA-5292-4947-915F-4B24F232DB2D}"/>
    <cellStyle name="Normal 2 2 2 2 2 2 2 2 2 80" xfId="11151" xr:uid="{86FE11F8-CF36-4E11-AF14-D3D17AFE0F8A}"/>
    <cellStyle name="Normal 2 2 2 2 2 2 2 2 2 81" xfId="11152" xr:uid="{68353C78-DD71-4470-B35A-EF40608C2EB3}"/>
    <cellStyle name="Normal 2 2 2 2 2 2 2 2 2 82" xfId="11153" xr:uid="{39934B76-ACFF-4841-A355-ED99B51982E1}"/>
    <cellStyle name="Normal 2 2 2 2 2 2 2 2 2 83" xfId="11154" xr:uid="{6CE3D462-9336-406E-824A-FD438BE965B1}"/>
    <cellStyle name="Normal 2 2 2 2 2 2 2 2 2 84" xfId="11155" xr:uid="{B868EC69-606A-4436-8957-9EF4885ED572}"/>
    <cellStyle name="Normal 2 2 2 2 2 2 2 2 2 85" xfId="11156" xr:uid="{EF2FD195-A3A9-423E-8CB2-3F7614B634E9}"/>
    <cellStyle name="Normal 2 2 2 2 2 2 2 2 2 86" xfId="11157" xr:uid="{747C4956-8095-41F9-99CB-8E21F092B482}"/>
    <cellStyle name="Normal 2 2 2 2 2 2 2 2 2 87" xfId="11158" xr:uid="{AD918BF1-B380-4098-8BC9-1F4767E4A0AC}"/>
    <cellStyle name="Normal 2 2 2 2 2 2 2 2 2 88" xfId="11159" xr:uid="{A2B6EE27-2144-45D2-B7F0-DE2A245F0FBD}"/>
    <cellStyle name="Normal 2 2 2 2 2 2 2 2 2 89" xfId="11160" xr:uid="{57C88119-2AE6-42F6-AA2A-E7D7829B0412}"/>
    <cellStyle name="Normal 2 2 2 2 2 2 2 2 2 9" xfId="11161" xr:uid="{F24C5288-3DAD-4829-92FD-3C6A6F5C0861}"/>
    <cellStyle name="Normal 2 2 2 2 2 2 2 2 2 90" xfId="11162" xr:uid="{95DE69B9-F7E0-4363-81D9-71A245D3D459}"/>
    <cellStyle name="Normal 2 2 2 2 2 2 2 2 2 91" xfId="11163" xr:uid="{14569331-1E41-4ADB-B6FE-94900F9B5D54}"/>
    <cellStyle name="Normal 2 2 2 2 2 2 2 2 2 92" xfId="11164" xr:uid="{629F6A4E-3007-4E5D-8233-89956FB4FE75}"/>
    <cellStyle name="Normal 2 2 2 2 2 2 2 2 2 93" xfId="11165" xr:uid="{1B879E00-FCAF-4FBC-AF16-638561C6FAE5}"/>
    <cellStyle name="Normal 2 2 2 2 2 2 2 2 2 94" xfId="11166" xr:uid="{176EAA3C-1423-4791-B940-08718E0D0117}"/>
    <cellStyle name="Normal 2 2 2 2 2 2 2 2 2 94 2" xfId="11167" xr:uid="{09A3233D-7075-440F-A9CA-184C2B58F84C}"/>
    <cellStyle name="Normal 2 2 2 2 2 2 2 2 2 94 3" xfId="11168" xr:uid="{44A54DC5-546F-4C73-8B34-D8A1B5863EEA}"/>
    <cellStyle name="Normal 2 2 2 2 2 2 2 2 2 94 4" xfId="11169" xr:uid="{239C55F3-753E-418E-8C05-F189C28A567D}"/>
    <cellStyle name="Normal 2 2 2 2 2 2 2 2 2 95" xfId="11170" xr:uid="{7B512287-A6EE-4EFC-85EC-5592B6517962}"/>
    <cellStyle name="Normal 2 2 2 2 2 2 2 2 2 96" xfId="11171" xr:uid="{525B208F-592B-4E47-A111-E14BE297895E}"/>
    <cellStyle name="Normal 2 2 2 2 2 2 2 2 20" xfId="11172" xr:uid="{F096268B-3BBD-4119-AE81-2A9FFFC35482}"/>
    <cellStyle name="Normal 2 2 2 2 2 2 2 2 20 10" xfId="11173" xr:uid="{685BCD5F-A3D3-456B-BC0D-0B6EFBEC3D18}"/>
    <cellStyle name="Normal 2 2 2 2 2 2 2 2 20 11" xfId="11174" xr:uid="{160D3781-ACDC-4B81-BE57-ADAA61499F46}"/>
    <cellStyle name="Normal 2 2 2 2 2 2 2 2 20 11 10" xfId="11175" xr:uid="{83BBE11A-6EF4-44B5-86DD-36E7854563FD}"/>
    <cellStyle name="Normal 2 2 2 2 2 2 2 2 20 11 11" xfId="11176" xr:uid="{DD6201DD-3181-4F54-8B99-07D2C92E5932}"/>
    <cellStyle name="Normal 2 2 2 2 2 2 2 2 20 11 11 2" xfId="11177" xr:uid="{49D41F12-89FE-42BE-A1F4-E9D5A1F49C91}"/>
    <cellStyle name="Normal 2 2 2 2 2 2 2 2 20 11 11 3" xfId="11178" xr:uid="{75724C3A-E078-4962-9830-4F1E574CF76D}"/>
    <cellStyle name="Normal 2 2 2 2 2 2 2 2 20 11 11 4" xfId="11179" xr:uid="{D74B10E6-EC96-4C4E-9492-5EA22D800262}"/>
    <cellStyle name="Normal 2 2 2 2 2 2 2 2 20 11 12" xfId="11180" xr:uid="{D3896A3B-B8D9-4DCF-874D-F4679189321B}"/>
    <cellStyle name="Normal 2 2 2 2 2 2 2 2 20 11 13" xfId="11181" xr:uid="{A82C2B18-0C5C-4EB6-9E69-29F05E0232A2}"/>
    <cellStyle name="Normal 2 2 2 2 2 2 2 2 20 11 14" xfId="11182" xr:uid="{0B0305E9-AFD2-4917-8E12-FFD14827FA9D}"/>
    <cellStyle name="Normal 2 2 2 2 2 2 2 2 20 11 2" xfId="11183" xr:uid="{5B032E01-860C-42F1-94B8-363AA06D002F}"/>
    <cellStyle name="Normal 2 2 2 2 2 2 2 2 20 11 2 10" xfId="11184" xr:uid="{ABCA6D21-F9EF-436D-BD48-F84A7E2B2677}"/>
    <cellStyle name="Normal 2 2 2 2 2 2 2 2 20 11 2 11" xfId="11185" xr:uid="{3D9747AE-02B3-48BA-AE07-63CB9E5B27D6}"/>
    <cellStyle name="Normal 2 2 2 2 2 2 2 2 20 11 2 2" xfId="11186" xr:uid="{DC16E069-7AD3-468E-A074-8ED0B60C4FCE}"/>
    <cellStyle name="Normal 2 2 2 2 2 2 2 2 20 11 2 2 10" xfId="11187" xr:uid="{BA8F1B0D-A7CD-4017-885B-BB1263D6260B}"/>
    <cellStyle name="Normal 2 2 2 2 2 2 2 2 20 11 2 2 11" xfId="11188" xr:uid="{672C8FE1-823F-4B18-B8FC-CD5282CEC13C}"/>
    <cellStyle name="Normal 2 2 2 2 2 2 2 2 20 11 2 2 2" xfId="11189" xr:uid="{E8736485-6653-4972-B3B1-40F344146CDD}"/>
    <cellStyle name="Normal 2 2 2 2 2 2 2 2 20 11 2 2 2 2" xfId="11190" xr:uid="{AC912E2C-E906-4EA5-B005-ABE11D0FBBA3}"/>
    <cellStyle name="Normal 2 2 2 2 2 2 2 2 20 11 2 2 2 2 2" xfId="11191" xr:uid="{F277A93E-C5C0-4FB6-92D2-1A53E694C513}"/>
    <cellStyle name="Normal 2 2 2 2 2 2 2 2 20 11 2 2 2 2 3" xfId="11192" xr:uid="{40D43215-F68F-46DE-9308-4608336633D1}"/>
    <cellStyle name="Normal 2 2 2 2 2 2 2 2 20 11 2 2 2 2 4" xfId="11193" xr:uid="{BCBF558D-2DF2-430E-8460-A61235B1B761}"/>
    <cellStyle name="Normal 2 2 2 2 2 2 2 2 20 11 2 2 2 3" xfId="11194" xr:uid="{5ECF6CA5-7080-4D20-B3E4-7BA37F8F73B4}"/>
    <cellStyle name="Normal 2 2 2 2 2 2 2 2 20 11 2 2 2 4" xfId="11195" xr:uid="{DB886FEA-C071-4220-B413-4C205998920F}"/>
    <cellStyle name="Normal 2 2 2 2 2 2 2 2 20 11 2 2 2 5" xfId="11196" xr:uid="{78AC34C7-531E-4868-9F5D-568583A5A687}"/>
    <cellStyle name="Normal 2 2 2 2 2 2 2 2 20 11 2 2 2 6" xfId="11197" xr:uid="{ECB55755-4419-4362-87F2-B30F34930487}"/>
    <cellStyle name="Normal 2 2 2 2 2 2 2 2 20 11 2 2 3" xfId="11198" xr:uid="{D35F2FA4-8A49-4ECD-838A-001C41AAE01D}"/>
    <cellStyle name="Normal 2 2 2 2 2 2 2 2 20 11 2 2 4" xfId="11199" xr:uid="{09BD1057-7945-4321-8118-683828362916}"/>
    <cellStyle name="Normal 2 2 2 2 2 2 2 2 20 11 2 2 5" xfId="11200" xr:uid="{E6134CE5-6161-4744-98B8-E06F7A889E33}"/>
    <cellStyle name="Normal 2 2 2 2 2 2 2 2 20 11 2 2 6" xfId="11201" xr:uid="{EED788E3-6F6A-47FE-AC2A-319DA2DF5A92}"/>
    <cellStyle name="Normal 2 2 2 2 2 2 2 2 20 11 2 2 7" xfId="11202" xr:uid="{7DEA56F7-A06F-4575-9E8F-CC46870CBF8C}"/>
    <cellStyle name="Normal 2 2 2 2 2 2 2 2 20 11 2 2 8" xfId="11203" xr:uid="{63E7B165-B24C-45FD-99DB-CBD5521B7791}"/>
    <cellStyle name="Normal 2 2 2 2 2 2 2 2 20 11 2 2 8 2" xfId="11204" xr:uid="{D1CF0A23-C18B-4096-97D7-EB2E177425EE}"/>
    <cellStyle name="Normal 2 2 2 2 2 2 2 2 20 11 2 2 8 3" xfId="11205" xr:uid="{C38B594B-5101-4AE3-BF24-753D450AD472}"/>
    <cellStyle name="Normal 2 2 2 2 2 2 2 2 20 11 2 2 8 4" xfId="11206" xr:uid="{D0910223-A3C2-4CF5-9A74-4B53A56BAC7D}"/>
    <cellStyle name="Normal 2 2 2 2 2 2 2 2 20 11 2 2 9" xfId="11207" xr:uid="{FC138C32-96C0-4276-AFA9-7DD3D25304DB}"/>
    <cellStyle name="Normal 2 2 2 2 2 2 2 2 20 11 2 3" xfId="11208" xr:uid="{62704BB1-A7F9-47A7-BF50-BEAA3E884DC5}"/>
    <cellStyle name="Normal 2 2 2 2 2 2 2 2 20 11 2 3 2" xfId="11209" xr:uid="{1F7974C1-0113-466D-A5DF-813487290B4E}"/>
    <cellStyle name="Normal 2 2 2 2 2 2 2 2 20 11 2 3 2 2" xfId="11210" xr:uid="{AAA5330B-B07A-41BE-BA25-337C38EC8A60}"/>
    <cellStyle name="Normal 2 2 2 2 2 2 2 2 20 11 2 3 2 3" xfId="11211" xr:uid="{0E633183-3DEC-4209-91BC-359921A183C6}"/>
    <cellStyle name="Normal 2 2 2 2 2 2 2 2 20 11 2 3 2 4" xfId="11212" xr:uid="{8A0E688A-410C-4568-9ED4-0A0B39658B5F}"/>
    <cellStyle name="Normal 2 2 2 2 2 2 2 2 20 11 2 3 3" xfId="11213" xr:uid="{1F1B9576-9148-4460-8C23-78B7710517CD}"/>
    <cellStyle name="Normal 2 2 2 2 2 2 2 2 20 11 2 3 4" xfId="11214" xr:uid="{CE5BA881-D653-402A-9258-7DFB62714560}"/>
    <cellStyle name="Normal 2 2 2 2 2 2 2 2 20 11 2 3 5" xfId="11215" xr:uid="{EE2556BB-E208-4001-9A41-2492AD9DC257}"/>
    <cellStyle name="Normal 2 2 2 2 2 2 2 2 20 11 2 3 6" xfId="11216" xr:uid="{4F250CE7-7224-4246-81F3-9C60A12F7D86}"/>
    <cellStyle name="Normal 2 2 2 2 2 2 2 2 20 11 2 4" xfId="11217" xr:uid="{B5E63AE6-7EFC-4B2A-8EF0-62EC3AF31042}"/>
    <cellStyle name="Normal 2 2 2 2 2 2 2 2 20 11 2 5" xfId="11218" xr:uid="{DB20E975-59A2-4B9D-A4D2-436A9658CF93}"/>
    <cellStyle name="Normal 2 2 2 2 2 2 2 2 20 11 2 6" xfId="11219" xr:uid="{DF10B75F-7811-471A-938F-2736CCF49CF4}"/>
    <cellStyle name="Normal 2 2 2 2 2 2 2 2 20 11 2 7" xfId="11220" xr:uid="{322C03C1-DC97-4380-B5C0-85D877E01564}"/>
    <cellStyle name="Normal 2 2 2 2 2 2 2 2 20 11 2 8" xfId="11221" xr:uid="{CF1CC86E-6069-409D-AB82-EBF57E42FBEF}"/>
    <cellStyle name="Normal 2 2 2 2 2 2 2 2 20 11 2 8 2" xfId="11222" xr:uid="{1CF2E06F-4B01-4453-8639-5E09EC92B90A}"/>
    <cellStyle name="Normal 2 2 2 2 2 2 2 2 20 11 2 8 3" xfId="11223" xr:uid="{1311B23A-9C3C-4250-8D05-3C29E32731BA}"/>
    <cellStyle name="Normal 2 2 2 2 2 2 2 2 20 11 2 8 4" xfId="11224" xr:uid="{5D32F880-A8F4-4521-ACB7-562B98BC5BC8}"/>
    <cellStyle name="Normal 2 2 2 2 2 2 2 2 20 11 2 9" xfId="11225" xr:uid="{68FE2770-3AAB-4466-B597-BE623C7C7C1C}"/>
    <cellStyle name="Normal 2 2 2 2 2 2 2 2 20 11 3" xfId="11226" xr:uid="{0112282C-FCCD-42A1-91C3-BDA9BAE1AFAE}"/>
    <cellStyle name="Normal 2 2 2 2 2 2 2 2 20 11 4" xfId="11227" xr:uid="{BDE9855E-8B86-49ED-8775-6A37BD6C65DB}"/>
    <cellStyle name="Normal 2 2 2 2 2 2 2 2 20 11 5" xfId="11228" xr:uid="{207526B4-5C4C-46B2-8803-4AC511EC70DD}"/>
    <cellStyle name="Normal 2 2 2 2 2 2 2 2 20 11 5 2" xfId="11229" xr:uid="{5CB9205A-416A-41DA-BEDD-D18A1A7FCD58}"/>
    <cellStyle name="Normal 2 2 2 2 2 2 2 2 20 11 5 2 2" xfId="11230" xr:uid="{A404C89B-7EBA-47EB-A07E-4D7470D08158}"/>
    <cellStyle name="Normal 2 2 2 2 2 2 2 2 20 11 5 2 3" xfId="11231" xr:uid="{A3144FF9-5605-415D-BB96-9BCEECC3ED47}"/>
    <cellStyle name="Normal 2 2 2 2 2 2 2 2 20 11 5 2 4" xfId="11232" xr:uid="{D4408357-7A01-4185-902E-B1C8FBD38C40}"/>
    <cellStyle name="Normal 2 2 2 2 2 2 2 2 20 11 5 3" xfId="11233" xr:uid="{5EC14578-27E3-4797-B801-A0B305BCFA29}"/>
    <cellStyle name="Normal 2 2 2 2 2 2 2 2 20 11 5 4" xfId="11234" xr:uid="{432876B8-5AFC-40AB-9A31-3202E16B479C}"/>
    <cellStyle name="Normal 2 2 2 2 2 2 2 2 20 11 5 5" xfId="11235" xr:uid="{7612DD29-50C1-4D6C-87B0-33405B170B74}"/>
    <cellStyle name="Normal 2 2 2 2 2 2 2 2 20 11 5 6" xfId="11236" xr:uid="{6E91349B-7B80-4476-B096-01025293E61F}"/>
    <cellStyle name="Normal 2 2 2 2 2 2 2 2 20 11 6" xfId="11237" xr:uid="{EA492BF8-147D-47C4-9D4F-E53CA685C687}"/>
    <cellStyle name="Normal 2 2 2 2 2 2 2 2 20 11 7" xfId="11238" xr:uid="{FCFD05B2-B014-40A3-AD99-C6C58846F38B}"/>
    <cellStyle name="Normal 2 2 2 2 2 2 2 2 20 11 8" xfId="11239" xr:uid="{2F5A37FF-88A0-417A-AFC3-3299E4AE8054}"/>
    <cellStyle name="Normal 2 2 2 2 2 2 2 2 20 11 9" xfId="11240" xr:uid="{E2B2BED1-91D2-46C4-80C5-9D13FFDB2A19}"/>
    <cellStyle name="Normal 2 2 2 2 2 2 2 2 20 12" xfId="11241" xr:uid="{59F61FCD-E9FC-4107-BDF5-ADA7A8F2FDBE}"/>
    <cellStyle name="Normal 2 2 2 2 2 2 2 2 20 13" xfId="11242" xr:uid="{A847004F-F81C-4E5C-B30B-53D1195D5743}"/>
    <cellStyle name="Normal 2 2 2 2 2 2 2 2 20 13 10" xfId="11243" xr:uid="{2630FE56-DBD8-4EC3-9487-422E41FEA292}"/>
    <cellStyle name="Normal 2 2 2 2 2 2 2 2 20 13 11" xfId="11244" xr:uid="{449F4F8A-2D39-4BF0-87C0-445B6841F0E9}"/>
    <cellStyle name="Normal 2 2 2 2 2 2 2 2 20 13 2" xfId="11245" xr:uid="{13DD9C36-A536-40D6-AEA7-0A44511789BD}"/>
    <cellStyle name="Normal 2 2 2 2 2 2 2 2 20 13 2 10" xfId="11246" xr:uid="{AE84006A-243E-433C-8D64-C9DFBB0FB219}"/>
    <cellStyle name="Normal 2 2 2 2 2 2 2 2 20 13 2 11" xfId="11247" xr:uid="{D52F7764-5EB5-413F-9DEF-71AFE1409927}"/>
    <cellStyle name="Normal 2 2 2 2 2 2 2 2 20 13 2 2" xfId="11248" xr:uid="{2E433014-A4EF-4D83-8E88-40E05B422AF1}"/>
    <cellStyle name="Normal 2 2 2 2 2 2 2 2 20 13 2 2 2" xfId="11249" xr:uid="{4F0FE6C6-39F8-4E31-A9B2-E95B744CD6D9}"/>
    <cellStyle name="Normal 2 2 2 2 2 2 2 2 20 13 2 2 2 2" xfId="11250" xr:uid="{29056F49-383A-4506-91C4-85E5D78EFEC3}"/>
    <cellStyle name="Normal 2 2 2 2 2 2 2 2 20 13 2 2 2 3" xfId="11251" xr:uid="{31AAA465-C041-44C6-B807-AA109D9D0EA1}"/>
    <cellStyle name="Normal 2 2 2 2 2 2 2 2 20 13 2 2 2 4" xfId="11252" xr:uid="{913E188E-2771-41BD-86C3-28EBB8D06416}"/>
    <cellStyle name="Normal 2 2 2 2 2 2 2 2 20 13 2 2 3" xfId="11253" xr:uid="{6D195288-B0E7-4331-A00F-F9ED1295CB56}"/>
    <cellStyle name="Normal 2 2 2 2 2 2 2 2 20 13 2 2 4" xfId="11254" xr:uid="{3D387C0B-4B42-4A7A-883F-F92455C474DC}"/>
    <cellStyle name="Normal 2 2 2 2 2 2 2 2 20 13 2 2 5" xfId="11255" xr:uid="{8CB53F34-B149-48DA-834F-55AC79127BD8}"/>
    <cellStyle name="Normal 2 2 2 2 2 2 2 2 20 13 2 2 6" xfId="11256" xr:uid="{954961F5-F46A-401D-8416-579DC3964184}"/>
    <cellStyle name="Normal 2 2 2 2 2 2 2 2 20 13 2 3" xfId="11257" xr:uid="{CE90FA03-DC69-4F9D-AC28-F0D68625550D}"/>
    <cellStyle name="Normal 2 2 2 2 2 2 2 2 20 13 2 4" xfId="11258" xr:uid="{43C099D2-941A-4A89-A388-0E9D0250662D}"/>
    <cellStyle name="Normal 2 2 2 2 2 2 2 2 20 13 2 5" xfId="11259" xr:uid="{9B101F40-778E-4B82-9A2E-FE38827802D9}"/>
    <cellStyle name="Normal 2 2 2 2 2 2 2 2 20 13 2 6" xfId="11260" xr:uid="{5A40C56F-7AB2-445F-A9D2-4900F02EE542}"/>
    <cellStyle name="Normal 2 2 2 2 2 2 2 2 20 13 2 7" xfId="11261" xr:uid="{8145BB0D-105E-4966-AA35-837AE55C59F2}"/>
    <cellStyle name="Normal 2 2 2 2 2 2 2 2 20 13 2 8" xfId="11262" xr:uid="{EE9E516A-D02E-42F6-B3C0-BFF0D64C725D}"/>
    <cellStyle name="Normal 2 2 2 2 2 2 2 2 20 13 2 8 2" xfId="11263" xr:uid="{45AA9DE6-2CD7-4E4D-945E-96F81E4C97C0}"/>
    <cellStyle name="Normal 2 2 2 2 2 2 2 2 20 13 2 8 3" xfId="11264" xr:uid="{3BBE1E78-987E-4C7A-9ACF-E8834B724D4D}"/>
    <cellStyle name="Normal 2 2 2 2 2 2 2 2 20 13 2 8 4" xfId="11265" xr:uid="{61BFCD60-0164-4045-8327-F5350524C36D}"/>
    <cellStyle name="Normal 2 2 2 2 2 2 2 2 20 13 2 9" xfId="11266" xr:uid="{358D46FA-3E55-47A5-B6FC-D517C2C8A159}"/>
    <cellStyle name="Normal 2 2 2 2 2 2 2 2 20 13 3" xfId="11267" xr:uid="{FC593361-5319-4E0B-A44D-071B7AA5118A}"/>
    <cellStyle name="Normal 2 2 2 2 2 2 2 2 20 13 3 2" xfId="11268" xr:uid="{5C371B06-D7D4-455E-9857-3F41BA2D8BCE}"/>
    <cellStyle name="Normal 2 2 2 2 2 2 2 2 20 13 3 2 2" xfId="11269" xr:uid="{B272B96E-3C8A-4605-8D50-DD5383773907}"/>
    <cellStyle name="Normal 2 2 2 2 2 2 2 2 20 13 3 2 3" xfId="11270" xr:uid="{4B827BB4-5141-4DCE-B9AE-D465DB3309D0}"/>
    <cellStyle name="Normal 2 2 2 2 2 2 2 2 20 13 3 2 4" xfId="11271" xr:uid="{362EA5B7-2168-4871-8317-C8687853E3F9}"/>
    <cellStyle name="Normal 2 2 2 2 2 2 2 2 20 13 3 3" xfId="11272" xr:uid="{8F778662-365B-474C-897E-542BFEBD906C}"/>
    <cellStyle name="Normal 2 2 2 2 2 2 2 2 20 13 3 4" xfId="11273" xr:uid="{A05AF727-BA92-4C05-BFE4-A3D70815BDFD}"/>
    <cellStyle name="Normal 2 2 2 2 2 2 2 2 20 13 3 5" xfId="11274" xr:uid="{45E5FF3F-1125-43D0-9327-43C29CAD4A00}"/>
    <cellStyle name="Normal 2 2 2 2 2 2 2 2 20 13 3 6" xfId="11275" xr:uid="{07B8E14B-6571-4B74-8E76-432517B91ABA}"/>
    <cellStyle name="Normal 2 2 2 2 2 2 2 2 20 13 4" xfId="11276" xr:uid="{1B2BF4DA-8D72-48A2-8925-65DB6B1B7916}"/>
    <cellStyle name="Normal 2 2 2 2 2 2 2 2 20 13 5" xfId="11277" xr:uid="{E2483002-3F26-4DDB-9155-CC81F3F34C8F}"/>
    <cellStyle name="Normal 2 2 2 2 2 2 2 2 20 13 6" xfId="11278" xr:uid="{84E7D0A9-21BE-4DC1-A0AB-E222F876EF9D}"/>
    <cellStyle name="Normal 2 2 2 2 2 2 2 2 20 13 7" xfId="11279" xr:uid="{E580DF9F-31B8-4D81-9A79-1E9455002B0E}"/>
    <cellStyle name="Normal 2 2 2 2 2 2 2 2 20 13 8" xfId="11280" xr:uid="{6F78B5EF-24B8-43A2-B0F6-A017AD10C734}"/>
    <cellStyle name="Normal 2 2 2 2 2 2 2 2 20 13 8 2" xfId="11281" xr:uid="{C64A7F83-E431-4E7B-B661-DB566B1A6646}"/>
    <cellStyle name="Normal 2 2 2 2 2 2 2 2 20 13 8 3" xfId="11282" xr:uid="{36C2B458-F581-4B41-80BB-1624BD40A640}"/>
    <cellStyle name="Normal 2 2 2 2 2 2 2 2 20 13 8 4" xfId="11283" xr:uid="{BB6A8858-6C20-4A76-944C-4D0DABAEBD9C}"/>
    <cellStyle name="Normal 2 2 2 2 2 2 2 2 20 13 9" xfId="11284" xr:uid="{26D4A552-BD1A-4BCD-9CE1-BB76349B6CC1}"/>
    <cellStyle name="Normal 2 2 2 2 2 2 2 2 20 14" xfId="11285" xr:uid="{0985802C-84AD-4E95-8E9F-32FE461B683C}"/>
    <cellStyle name="Normal 2 2 2 2 2 2 2 2 20 15" xfId="11286" xr:uid="{2DE3BDB7-16E9-420E-9AAC-57CCFDD8C8B9}"/>
    <cellStyle name="Normal 2 2 2 2 2 2 2 2 20 15 2" xfId="11287" xr:uid="{92605858-B54D-4C76-8CEC-DB56D3EFA559}"/>
    <cellStyle name="Normal 2 2 2 2 2 2 2 2 20 15 2 2" xfId="11288" xr:uid="{BF8FF091-0F4C-43D2-8462-7FED0C71D99D}"/>
    <cellStyle name="Normal 2 2 2 2 2 2 2 2 20 15 2 3" xfId="11289" xr:uid="{84514A93-EE6D-4582-BECE-30DD8C5B026E}"/>
    <cellStyle name="Normal 2 2 2 2 2 2 2 2 20 15 2 4" xfId="11290" xr:uid="{D298DAEE-6FDD-43C9-8672-D3081122EC26}"/>
    <cellStyle name="Normal 2 2 2 2 2 2 2 2 20 15 3" xfId="11291" xr:uid="{9FBF9B37-5C65-4F0B-8489-1DBB32CD65FB}"/>
    <cellStyle name="Normal 2 2 2 2 2 2 2 2 20 15 4" xfId="11292" xr:uid="{42959DA3-7B3B-4E7D-B1D7-71D1B5DE94DB}"/>
    <cellStyle name="Normal 2 2 2 2 2 2 2 2 20 15 5" xfId="11293" xr:uid="{9FFE2815-1E2C-4522-8217-5124EDACC304}"/>
    <cellStyle name="Normal 2 2 2 2 2 2 2 2 20 15 6" xfId="11294" xr:uid="{C463E075-6307-49B9-862B-B77378DCF3D5}"/>
    <cellStyle name="Normal 2 2 2 2 2 2 2 2 20 16" xfId="11295" xr:uid="{F1B3025E-6508-42CB-AB84-074A0C896B78}"/>
    <cellStyle name="Normal 2 2 2 2 2 2 2 2 20 17" xfId="11296" xr:uid="{98CE048B-7620-422B-ACD2-6D6D000AC8ED}"/>
    <cellStyle name="Normal 2 2 2 2 2 2 2 2 20 18" xfId="11297" xr:uid="{DB8211CF-3428-4829-A374-8A79881B4B9D}"/>
    <cellStyle name="Normal 2 2 2 2 2 2 2 2 20 19" xfId="11298" xr:uid="{6EBA6D3F-2D26-44FA-B56A-2F75E029E0F6}"/>
    <cellStyle name="Normal 2 2 2 2 2 2 2 2 20 2" xfId="11299" xr:uid="{4A1FCABD-2970-491F-9FB6-A344EB37A01B}"/>
    <cellStyle name="Normal 2 2 2 2 2 2 2 2 20 2 10" xfId="11300" xr:uid="{1BE6D779-FD32-42A7-9BED-FB28CA512367}"/>
    <cellStyle name="Normal 2 2 2 2 2 2 2 2 20 2 11" xfId="11301" xr:uid="{0474065A-DD51-4611-AF32-7A396CF692CA}"/>
    <cellStyle name="Normal 2 2 2 2 2 2 2 2 20 2 12" xfId="11302" xr:uid="{7CC76107-58F9-492B-A00E-2EC7A7BAAC2C}"/>
    <cellStyle name="Normal 2 2 2 2 2 2 2 2 20 2 13" xfId="11303" xr:uid="{DB16BE83-76A5-41FB-BBDB-2DF9A8D59A0D}"/>
    <cellStyle name="Normal 2 2 2 2 2 2 2 2 20 2 13 2" xfId="11304" xr:uid="{D7135A15-1D3B-4C45-986E-9F894003A25B}"/>
    <cellStyle name="Normal 2 2 2 2 2 2 2 2 20 2 13 3" xfId="11305" xr:uid="{B2336F4C-9E9E-4A51-A117-991E3746B278}"/>
    <cellStyle name="Normal 2 2 2 2 2 2 2 2 20 2 13 4" xfId="11306" xr:uid="{CEE271C4-7B8E-488B-B86E-CF176D550C6F}"/>
    <cellStyle name="Normal 2 2 2 2 2 2 2 2 20 2 14" xfId="11307" xr:uid="{C047B2B9-E3B7-4231-B490-E8AD77102DC4}"/>
    <cellStyle name="Normal 2 2 2 2 2 2 2 2 20 2 15" xfId="11308" xr:uid="{46F1E5B9-BD25-4068-A913-8214ECDB612B}"/>
    <cellStyle name="Normal 2 2 2 2 2 2 2 2 20 2 16" xfId="11309" xr:uid="{357B1BFE-9A7E-49CE-8396-5AAAEA0A8E44}"/>
    <cellStyle name="Normal 2 2 2 2 2 2 2 2 20 2 2" xfId="11310" xr:uid="{65EA5FDC-535B-40A0-9EF5-6CD2593F39E6}"/>
    <cellStyle name="Normal 2 2 2 2 2 2 2 2 20 2 2 10" xfId="11311" xr:uid="{55455AB6-C7D9-4FDB-8A79-35EF3CB0C8AD}"/>
    <cellStyle name="Normal 2 2 2 2 2 2 2 2 20 2 2 11" xfId="11312" xr:uid="{6E5118EF-68A2-441E-9A28-00DE02DA6C47}"/>
    <cellStyle name="Normal 2 2 2 2 2 2 2 2 20 2 2 11 2" xfId="11313" xr:uid="{261DA4DB-5E7C-49E0-AEEE-4A53B9FF99CA}"/>
    <cellStyle name="Normal 2 2 2 2 2 2 2 2 20 2 2 11 3" xfId="11314" xr:uid="{91B6A23C-9D8D-4106-8332-84FC1057987A}"/>
    <cellStyle name="Normal 2 2 2 2 2 2 2 2 20 2 2 11 4" xfId="11315" xr:uid="{E34F84DB-86E5-4B2E-8CE2-00E76E0B001F}"/>
    <cellStyle name="Normal 2 2 2 2 2 2 2 2 20 2 2 12" xfId="11316" xr:uid="{EA501B08-9944-4B88-9632-7119BFE07965}"/>
    <cellStyle name="Normal 2 2 2 2 2 2 2 2 20 2 2 13" xfId="11317" xr:uid="{CD33DA28-F916-4FBE-B1D6-CCBC3898A624}"/>
    <cellStyle name="Normal 2 2 2 2 2 2 2 2 20 2 2 14" xfId="11318" xr:uid="{CA082AD5-186D-48BD-AFD5-C05ED9C83ECA}"/>
    <cellStyle name="Normal 2 2 2 2 2 2 2 2 20 2 2 2" xfId="11319" xr:uid="{2BAADE49-84D5-40D0-ABF9-589E1CA8012C}"/>
    <cellStyle name="Normal 2 2 2 2 2 2 2 2 20 2 2 2 10" xfId="11320" xr:uid="{855CA852-F5E1-413B-864D-342C01EAEE5E}"/>
    <cellStyle name="Normal 2 2 2 2 2 2 2 2 20 2 2 2 11" xfId="11321" xr:uid="{110AB1FB-C674-438A-A8FE-BA056013A8DC}"/>
    <cellStyle name="Normal 2 2 2 2 2 2 2 2 20 2 2 2 2" xfId="11322" xr:uid="{0F3A978C-D0F6-4E04-8B9E-948A3C35D185}"/>
    <cellStyle name="Normal 2 2 2 2 2 2 2 2 20 2 2 2 2 10" xfId="11323" xr:uid="{50B64F43-67E6-4758-9CFB-85FE8540BA86}"/>
    <cellStyle name="Normal 2 2 2 2 2 2 2 2 20 2 2 2 2 11" xfId="11324" xr:uid="{5E56E60B-C09C-42E3-859D-E3D1F1EE2F57}"/>
    <cellStyle name="Normal 2 2 2 2 2 2 2 2 20 2 2 2 2 2" xfId="11325" xr:uid="{322C7694-1DD8-423E-9A9A-B982BA4820F1}"/>
    <cellStyle name="Normal 2 2 2 2 2 2 2 2 20 2 2 2 2 2 2" xfId="11326" xr:uid="{FDF9494C-BBE3-44BF-BCE4-C3303B7A26CF}"/>
    <cellStyle name="Normal 2 2 2 2 2 2 2 2 20 2 2 2 2 2 2 2" xfId="11327" xr:uid="{32518BC7-0B30-45E2-B38E-94698F801B8C}"/>
    <cellStyle name="Normal 2 2 2 2 2 2 2 2 20 2 2 2 2 2 2 3" xfId="11328" xr:uid="{3B18863D-A0F5-4683-98CB-02C467DC57BD}"/>
    <cellStyle name="Normal 2 2 2 2 2 2 2 2 20 2 2 2 2 2 2 4" xfId="11329" xr:uid="{A68B6B19-D503-4F5D-AC7C-C1E833912694}"/>
    <cellStyle name="Normal 2 2 2 2 2 2 2 2 20 2 2 2 2 2 3" xfId="11330" xr:uid="{28BDDCE3-5C7E-49F8-B47E-D63C7F7E1568}"/>
    <cellStyle name="Normal 2 2 2 2 2 2 2 2 20 2 2 2 2 2 4" xfId="11331" xr:uid="{80430907-12D1-4A14-93B4-C98C571F3FF3}"/>
    <cellStyle name="Normal 2 2 2 2 2 2 2 2 20 2 2 2 2 2 5" xfId="11332" xr:uid="{B53E9F43-7BAE-4A6C-9E8B-D403A2FECB6F}"/>
    <cellStyle name="Normal 2 2 2 2 2 2 2 2 20 2 2 2 2 2 6" xfId="11333" xr:uid="{A5912402-40A4-4C57-ACFF-CF3325B3F53D}"/>
    <cellStyle name="Normal 2 2 2 2 2 2 2 2 20 2 2 2 2 3" xfId="11334" xr:uid="{C941BB5A-941C-48B5-8B68-32E8A8833C1D}"/>
    <cellStyle name="Normal 2 2 2 2 2 2 2 2 20 2 2 2 2 4" xfId="11335" xr:uid="{F99F5458-D6D2-4D66-91A0-26787F29B520}"/>
    <cellStyle name="Normal 2 2 2 2 2 2 2 2 20 2 2 2 2 5" xfId="11336" xr:uid="{DAB0E9A2-D20E-4C08-A83A-9F4D27A60659}"/>
    <cellStyle name="Normal 2 2 2 2 2 2 2 2 20 2 2 2 2 6" xfId="11337" xr:uid="{227330F9-1272-4F0D-A9AA-739F92D87B3C}"/>
    <cellStyle name="Normal 2 2 2 2 2 2 2 2 20 2 2 2 2 7" xfId="11338" xr:uid="{68C0BFF1-BF8F-4592-92D2-CA6A669F8D1D}"/>
    <cellStyle name="Normal 2 2 2 2 2 2 2 2 20 2 2 2 2 8" xfId="11339" xr:uid="{6B607A5A-4D33-43C7-A7DC-31118757F2F0}"/>
    <cellStyle name="Normal 2 2 2 2 2 2 2 2 20 2 2 2 2 8 2" xfId="11340" xr:uid="{6834311B-8A4D-4412-A75B-FD3AEEF7AE6C}"/>
    <cellStyle name="Normal 2 2 2 2 2 2 2 2 20 2 2 2 2 8 3" xfId="11341" xr:uid="{4A2D9F39-A57A-42B3-900A-4FF3569D74CA}"/>
    <cellStyle name="Normal 2 2 2 2 2 2 2 2 20 2 2 2 2 8 4" xfId="11342" xr:uid="{F5EA6BD6-2E8A-434B-98EA-34058D9E8EAE}"/>
    <cellStyle name="Normal 2 2 2 2 2 2 2 2 20 2 2 2 2 9" xfId="11343" xr:uid="{7376D735-95F8-4CB4-AFAB-DC16102F3C6D}"/>
    <cellStyle name="Normal 2 2 2 2 2 2 2 2 20 2 2 2 3" xfId="11344" xr:uid="{6E0F63AF-7392-449F-876C-F07ECE8C2302}"/>
    <cellStyle name="Normal 2 2 2 2 2 2 2 2 20 2 2 2 3 2" xfId="11345" xr:uid="{32CBE786-68B6-43D9-A403-58A43E58F1AF}"/>
    <cellStyle name="Normal 2 2 2 2 2 2 2 2 20 2 2 2 3 2 2" xfId="11346" xr:uid="{CC7C8038-E6E9-4C55-95F7-88B500B02E9E}"/>
    <cellStyle name="Normal 2 2 2 2 2 2 2 2 20 2 2 2 3 2 3" xfId="11347" xr:uid="{25EE3476-F46B-487F-8D9C-C5572CA83A9A}"/>
    <cellStyle name="Normal 2 2 2 2 2 2 2 2 20 2 2 2 3 2 4" xfId="11348" xr:uid="{E833FF0F-E2BE-4B1F-BBD7-BFBCB77493A8}"/>
    <cellStyle name="Normal 2 2 2 2 2 2 2 2 20 2 2 2 3 3" xfId="11349" xr:uid="{9BFD1A7D-185E-4D75-902F-74A09F6B378C}"/>
    <cellStyle name="Normal 2 2 2 2 2 2 2 2 20 2 2 2 3 4" xfId="11350" xr:uid="{D7DAE08B-3DB1-4E76-97F4-E49AB4AE8057}"/>
    <cellStyle name="Normal 2 2 2 2 2 2 2 2 20 2 2 2 3 5" xfId="11351" xr:uid="{F0417F9B-E812-4E97-B71E-F2B2678C02F9}"/>
    <cellStyle name="Normal 2 2 2 2 2 2 2 2 20 2 2 2 3 6" xfId="11352" xr:uid="{FC8ED373-E080-49C8-A6AF-B90F3249A594}"/>
    <cellStyle name="Normal 2 2 2 2 2 2 2 2 20 2 2 2 4" xfId="11353" xr:uid="{93765354-1556-4E29-B700-E875EA92A5B4}"/>
    <cellStyle name="Normal 2 2 2 2 2 2 2 2 20 2 2 2 5" xfId="11354" xr:uid="{489BD8EC-A2E3-4DEE-A9B0-44B07A2635DF}"/>
    <cellStyle name="Normal 2 2 2 2 2 2 2 2 20 2 2 2 6" xfId="11355" xr:uid="{9E38E9E0-4D57-40CD-A1B9-D3440BF38003}"/>
    <cellStyle name="Normal 2 2 2 2 2 2 2 2 20 2 2 2 7" xfId="11356" xr:uid="{AE4F545A-7D14-4266-8338-E24A481650B5}"/>
    <cellStyle name="Normal 2 2 2 2 2 2 2 2 20 2 2 2 8" xfId="11357" xr:uid="{8AC60B8C-12CD-47E2-8138-B99D6653AEAD}"/>
    <cellStyle name="Normal 2 2 2 2 2 2 2 2 20 2 2 2 8 2" xfId="11358" xr:uid="{833FD028-DF2D-4809-8DA6-2B845B039EE7}"/>
    <cellStyle name="Normal 2 2 2 2 2 2 2 2 20 2 2 2 8 3" xfId="11359" xr:uid="{706338DF-8E82-42C6-BA9E-D415FAF02284}"/>
    <cellStyle name="Normal 2 2 2 2 2 2 2 2 20 2 2 2 8 4" xfId="11360" xr:uid="{06247CE2-2AC6-4A99-ABC0-33DC9703405F}"/>
    <cellStyle name="Normal 2 2 2 2 2 2 2 2 20 2 2 2 9" xfId="11361" xr:uid="{379A473F-00CF-471E-98F6-F585B14B81F5}"/>
    <cellStyle name="Normal 2 2 2 2 2 2 2 2 20 2 2 3" xfId="11362" xr:uid="{680A3C3D-B3F4-48EE-ADAE-B20EAADBBC8C}"/>
    <cellStyle name="Normal 2 2 2 2 2 2 2 2 20 2 2 4" xfId="11363" xr:uid="{20FD771F-BD57-42AA-A9B5-475D35670C27}"/>
    <cellStyle name="Normal 2 2 2 2 2 2 2 2 20 2 2 5" xfId="11364" xr:uid="{D2291748-FA3E-449F-ADBB-9F8458418635}"/>
    <cellStyle name="Normal 2 2 2 2 2 2 2 2 20 2 2 5 2" xfId="11365" xr:uid="{95C63D62-872D-42C1-A99A-4A53CFE6BEBA}"/>
    <cellStyle name="Normal 2 2 2 2 2 2 2 2 20 2 2 5 2 2" xfId="11366" xr:uid="{6A9E6028-7489-4457-A86C-8AC602AE7583}"/>
    <cellStyle name="Normal 2 2 2 2 2 2 2 2 20 2 2 5 2 3" xfId="11367" xr:uid="{EAF04FAB-6816-4966-8EF1-2470A1D425E4}"/>
    <cellStyle name="Normal 2 2 2 2 2 2 2 2 20 2 2 5 2 4" xfId="11368" xr:uid="{9D316437-1DF0-4643-A4C2-151BD31C0154}"/>
    <cellStyle name="Normal 2 2 2 2 2 2 2 2 20 2 2 5 3" xfId="11369" xr:uid="{E3BE6750-B250-4AB0-9A65-D2E0754FAEF6}"/>
    <cellStyle name="Normal 2 2 2 2 2 2 2 2 20 2 2 5 4" xfId="11370" xr:uid="{87681F97-E786-4B95-8C18-F62155840EF8}"/>
    <cellStyle name="Normal 2 2 2 2 2 2 2 2 20 2 2 5 5" xfId="11371" xr:uid="{7EDD2E5B-1C0B-4A28-9AAD-8656355A1422}"/>
    <cellStyle name="Normal 2 2 2 2 2 2 2 2 20 2 2 5 6" xfId="11372" xr:uid="{077CC92B-DEA7-4B71-9736-8425687982FC}"/>
    <cellStyle name="Normal 2 2 2 2 2 2 2 2 20 2 2 6" xfId="11373" xr:uid="{C97754ED-CE37-44E3-929E-663D476BF286}"/>
    <cellStyle name="Normal 2 2 2 2 2 2 2 2 20 2 2 7" xfId="11374" xr:uid="{99C58B65-8F79-4DE7-8406-CBDCF1CB6E32}"/>
    <cellStyle name="Normal 2 2 2 2 2 2 2 2 20 2 2 8" xfId="11375" xr:uid="{81BD7F8A-E095-4263-89BF-2B6746597EC0}"/>
    <cellStyle name="Normal 2 2 2 2 2 2 2 2 20 2 2 9" xfId="11376" xr:uid="{5ED692B0-5578-4E91-B109-C7902485A4CE}"/>
    <cellStyle name="Normal 2 2 2 2 2 2 2 2 20 2 3" xfId="11377" xr:uid="{D40B6DAB-706C-47D2-A4BD-7AAC5A22CCCC}"/>
    <cellStyle name="Normal 2 2 2 2 2 2 2 2 20 2 4" xfId="11378" xr:uid="{8268F2B1-3583-4DE3-9AEA-414CC01234E9}"/>
    <cellStyle name="Normal 2 2 2 2 2 2 2 2 20 2 5" xfId="11379" xr:uid="{DA1279FE-DBCF-442E-9E9A-83836D151D39}"/>
    <cellStyle name="Normal 2 2 2 2 2 2 2 2 20 2 5 10" xfId="11380" xr:uid="{09ED8310-AB44-434B-B648-E6405AC462D9}"/>
    <cellStyle name="Normal 2 2 2 2 2 2 2 2 20 2 5 11" xfId="11381" xr:uid="{F5884872-C3BF-47D9-B4BF-21CE20EB73D7}"/>
    <cellStyle name="Normal 2 2 2 2 2 2 2 2 20 2 5 2" xfId="11382" xr:uid="{CDBE3C5E-14D7-40FD-93FA-2BCFC3E1B2AB}"/>
    <cellStyle name="Normal 2 2 2 2 2 2 2 2 20 2 5 2 10" xfId="11383" xr:uid="{2F4FF2CB-0284-451F-A6AB-D7ADC70424FC}"/>
    <cellStyle name="Normal 2 2 2 2 2 2 2 2 20 2 5 2 11" xfId="11384" xr:uid="{3AEBD809-45C3-4D4B-84EF-2BA80F80F95B}"/>
    <cellStyle name="Normal 2 2 2 2 2 2 2 2 20 2 5 2 2" xfId="11385" xr:uid="{55AA358C-6104-4686-A3AF-66FA0C25EF93}"/>
    <cellStyle name="Normal 2 2 2 2 2 2 2 2 20 2 5 2 2 2" xfId="11386" xr:uid="{6113EE27-0593-4B47-88BB-5F5CF64E5AC9}"/>
    <cellStyle name="Normal 2 2 2 2 2 2 2 2 20 2 5 2 2 2 2" xfId="11387" xr:uid="{18FFA8C9-1DA4-41CC-BB0E-7D935136795B}"/>
    <cellStyle name="Normal 2 2 2 2 2 2 2 2 20 2 5 2 2 2 3" xfId="11388" xr:uid="{D58081E3-7DE5-467B-BDD3-580E596777C7}"/>
    <cellStyle name="Normal 2 2 2 2 2 2 2 2 20 2 5 2 2 2 4" xfId="11389" xr:uid="{B2F7DF19-1513-496C-9D28-7B09DE7A3F0B}"/>
    <cellStyle name="Normal 2 2 2 2 2 2 2 2 20 2 5 2 2 3" xfId="11390" xr:uid="{AB00D28A-57A0-4B81-8661-CBF44E04BAF2}"/>
    <cellStyle name="Normal 2 2 2 2 2 2 2 2 20 2 5 2 2 4" xfId="11391" xr:uid="{91EC179E-9821-457C-8C32-0556CE5F1877}"/>
    <cellStyle name="Normal 2 2 2 2 2 2 2 2 20 2 5 2 2 5" xfId="11392" xr:uid="{4E41D16C-11CC-40C7-98FB-CA7DC60CDCA2}"/>
    <cellStyle name="Normal 2 2 2 2 2 2 2 2 20 2 5 2 2 6" xfId="11393" xr:uid="{965BBBB0-0376-4872-9135-740320FFF584}"/>
    <cellStyle name="Normal 2 2 2 2 2 2 2 2 20 2 5 2 3" xfId="11394" xr:uid="{97CA5391-4C03-4B4B-975D-5F4D6E6651CE}"/>
    <cellStyle name="Normal 2 2 2 2 2 2 2 2 20 2 5 2 4" xfId="11395" xr:uid="{54D1753B-DEF5-46D2-A753-02E7BAE9E189}"/>
    <cellStyle name="Normal 2 2 2 2 2 2 2 2 20 2 5 2 5" xfId="11396" xr:uid="{E39A729C-81E0-4C61-B22B-17C933BFAA2A}"/>
    <cellStyle name="Normal 2 2 2 2 2 2 2 2 20 2 5 2 6" xfId="11397" xr:uid="{27AC9681-F7EF-4BE1-865F-81461A10507A}"/>
    <cellStyle name="Normal 2 2 2 2 2 2 2 2 20 2 5 2 7" xfId="11398" xr:uid="{5B157203-F466-449C-B806-DDD93156C2A8}"/>
    <cellStyle name="Normal 2 2 2 2 2 2 2 2 20 2 5 2 8" xfId="11399" xr:uid="{BA531375-9417-4C87-9FB5-AC4C2A3B45A6}"/>
    <cellStyle name="Normal 2 2 2 2 2 2 2 2 20 2 5 2 8 2" xfId="11400" xr:uid="{4BADCB32-8378-48B3-BF32-57A71E50D64B}"/>
    <cellStyle name="Normal 2 2 2 2 2 2 2 2 20 2 5 2 8 3" xfId="11401" xr:uid="{DA340FCB-7952-40D4-9A13-49BA7CE924A6}"/>
    <cellStyle name="Normal 2 2 2 2 2 2 2 2 20 2 5 2 8 4" xfId="11402" xr:uid="{968EAEA8-CC96-4217-8148-74D72F248007}"/>
    <cellStyle name="Normal 2 2 2 2 2 2 2 2 20 2 5 2 9" xfId="11403" xr:uid="{E06ABEC7-FF92-4854-ADAF-D5CD8802AC8A}"/>
    <cellStyle name="Normal 2 2 2 2 2 2 2 2 20 2 5 3" xfId="11404" xr:uid="{4FD24B16-C037-4538-B9BD-42C9B950E23D}"/>
    <cellStyle name="Normal 2 2 2 2 2 2 2 2 20 2 5 3 2" xfId="11405" xr:uid="{F85F6E94-0197-44D9-A494-048E3E40199F}"/>
    <cellStyle name="Normal 2 2 2 2 2 2 2 2 20 2 5 3 2 2" xfId="11406" xr:uid="{5B64EEE5-C55C-4FF7-916A-6216DA8D3CB4}"/>
    <cellStyle name="Normal 2 2 2 2 2 2 2 2 20 2 5 3 2 3" xfId="11407" xr:uid="{46A41A43-C7A7-4F4C-9A87-DBBE1F035248}"/>
    <cellStyle name="Normal 2 2 2 2 2 2 2 2 20 2 5 3 2 4" xfId="11408" xr:uid="{5293364B-804C-44FB-A98E-8ADBBD9AA37A}"/>
    <cellStyle name="Normal 2 2 2 2 2 2 2 2 20 2 5 3 3" xfId="11409" xr:uid="{86C5E927-17A8-4979-AC0B-B7C860707BC6}"/>
    <cellStyle name="Normal 2 2 2 2 2 2 2 2 20 2 5 3 4" xfId="11410" xr:uid="{26EB8680-66FC-4023-8710-61FC5624D1F8}"/>
    <cellStyle name="Normal 2 2 2 2 2 2 2 2 20 2 5 3 5" xfId="11411" xr:uid="{6706C2DE-ED9C-4DD8-9A20-AB50A509F947}"/>
    <cellStyle name="Normal 2 2 2 2 2 2 2 2 20 2 5 3 6" xfId="11412" xr:uid="{72A3C989-3071-4EF3-82ED-22051A73926D}"/>
    <cellStyle name="Normal 2 2 2 2 2 2 2 2 20 2 5 4" xfId="11413" xr:uid="{9EB13947-D878-499C-9D75-7A2265F2F9A6}"/>
    <cellStyle name="Normal 2 2 2 2 2 2 2 2 20 2 5 5" xfId="11414" xr:uid="{C0F53912-6CAE-4BE7-A0C4-0D3709718594}"/>
    <cellStyle name="Normal 2 2 2 2 2 2 2 2 20 2 5 6" xfId="11415" xr:uid="{A23A8101-A2F3-4BC0-B2A9-707C1CF7F769}"/>
    <cellStyle name="Normal 2 2 2 2 2 2 2 2 20 2 5 7" xfId="11416" xr:uid="{B8C51D70-3639-4F58-8BC4-E8EEFED63C66}"/>
    <cellStyle name="Normal 2 2 2 2 2 2 2 2 20 2 5 8" xfId="11417" xr:uid="{FB6EF5AC-5CBC-461E-8EF2-6FF14F4CC1EE}"/>
    <cellStyle name="Normal 2 2 2 2 2 2 2 2 20 2 5 8 2" xfId="11418" xr:uid="{67E4A412-7152-425E-BE01-F93609E2D626}"/>
    <cellStyle name="Normal 2 2 2 2 2 2 2 2 20 2 5 8 3" xfId="11419" xr:uid="{C453D97B-2DB0-4BFD-AC94-2341B97A14E7}"/>
    <cellStyle name="Normal 2 2 2 2 2 2 2 2 20 2 5 8 4" xfId="11420" xr:uid="{D7940482-3597-431C-BA71-0D6A413DC37D}"/>
    <cellStyle name="Normal 2 2 2 2 2 2 2 2 20 2 5 9" xfId="11421" xr:uid="{A2AB5F75-FE34-4468-98AD-4141C9F714D8}"/>
    <cellStyle name="Normal 2 2 2 2 2 2 2 2 20 2 6" xfId="11422" xr:uid="{1C291729-5492-4AD1-B417-BE8CE62667C7}"/>
    <cellStyle name="Normal 2 2 2 2 2 2 2 2 20 2 7" xfId="11423" xr:uid="{BCD9E0BF-38B4-4C5C-884B-F7FFF006806A}"/>
    <cellStyle name="Normal 2 2 2 2 2 2 2 2 20 2 7 2" xfId="11424" xr:uid="{1F15EF13-D6F9-42A7-97FE-5B095FE4C935}"/>
    <cellStyle name="Normal 2 2 2 2 2 2 2 2 20 2 7 2 2" xfId="11425" xr:uid="{0E95585B-BA61-4B46-96A3-878E4CC40686}"/>
    <cellStyle name="Normal 2 2 2 2 2 2 2 2 20 2 7 2 3" xfId="11426" xr:uid="{670FF502-2FDF-4A4D-BCBF-A5051CCD9B2F}"/>
    <cellStyle name="Normal 2 2 2 2 2 2 2 2 20 2 7 2 4" xfId="11427" xr:uid="{22D45F83-C95C-41BF-BE9C-11E41A6D7898}"/>
    <cellStyle name="Normal 2 2 2 2 2 2 2 2 20 2 7 3" xfId="11428" xr:uid="{563E2DFF-BECA-432C-8056-54DB47FD1DE9}"/>
    <cellStyle name="Normal 2 2 2 2 2 2 2 2 20 2 7 4" xfId="11429" xr:uid="{BDE3E93E-059F-49B3-A660-CE07A32B7275}"/>
    <cellStyle name="Normal 2 2 2 2 2 2 2 2 20 2 7 5" xfId="11430" xr:uid="{92693786-99F7-4588-995F-C05F1B6062D5}"/>
    <cellStyle name="Normal 2 2 2 2 2 2 2 2 20 2 7 6" xfId="11431" xr:uid="{DD8CFACA-91EE-4FC3-B4DF-D1EDED5BE6CA}"/>
    <cellStyle name="Normal 2 2 2 2 2 2 2 2 20 2 8" xfId="11432" xr:uid="{31CE6905-9E07-446C-8AD7-B4FCE376079A}"/>
    <cellStyle name="Normal 2 2 2 2 2 2 2 2 20 2 9" xfId="11433" xr:uid="{3BBFB9C6-B5F7-4687-A621-16743F169C6D}"/>
    <cellStyle name="Normal 2 2 2 2 2 2 2 2 20 20" xfId="11434" xr:uid="{BFD94C37-440F-4388-8D13-7F45EAA06F52}"/>
    <cellStyle name="Normal 2 2 2 2 2 2 2 2 20 21" xfId="11435" xr:uid="{AA54F729-5FF6-48E4-BA18-9C392E55A188}"/>
    <cellStyle name="Normal 2 2 2 2 2 2 2 2 20 21 2" xfId="11436" xr:uid="{F6D81804-302C-47A1-8F49-7109202B9CC1}"/>
    <cellStyle name="Normal 2 2 2 2 2 2 2 2 20 21 3" xfId="11437" xr:uid="{59678F05-DC46-4A77-AFA9-41C9AFF577F3}"/>
    <cellStyle name="Normal 2 2 2 2 2 2 2 2 20 21 4" xfId="11438" xr:uid="{B3711DA5-4957-4DB1-85D1-91E4FE223345}"/>
    <cellStyle name="Normal 2 2 2 2 2 2 2 2 20 22" xfId="11439" xr:uid="{95C5C255-2602-49D4-A758-BC116BC4DF3F}"/>
    <cellStyle name="Normal 2 2 2 2 2 2 2 2 20 23" xfId="11440" xr:uid="{7D7CFDA6-4B79-450D-9EA1-6C06BF56281E}"/>
    <cellStyle name="Normal 2 2 2 2 2 2 2 2 20 24" xfId="11441" xr:uid="{9E672D10-BF85-4499-B11C-6A5C1C580FE9}"/>
    <cellStyle name="Normal 2 2 2 2 2 2 2 2 20 3" xfId="11442" xr:uid="{5A04FE88-2427-4EDB-AB59-C74F67AB37A7}"/>
    <cellStyle name="Normal 2 2 2 2 2 2 2 2 20 4" xfId="11443" xr:uid="{67E2B1B5-8DA3-4052-ADE1-96E9AE4244F3}"/>
    <cellStyle name="Normal 2 2 2 2 2 2 2 2 20 5" xfId="11444" xr:uid="{B1AABAFD-97BE-4022-AA54-807E8A6058E4}"/>
    <cellStyle name="Normal 2 2 2 2 2 2 2 2 20 6" xfId="11445" xr:uid="{0B622BD0-0533-4042-AE70-45B208EDBCBE}"/>
    <cellStyle name="Normal 2 2 2 2 2 2 2 2 20 7" xfId="11446" xr:uid="{C49E4686-D6BF-441E-8A8C-49E4E3197870}"/>
    <cellStyle name="Normal 2 2 2 2 2 2 2 2 20 8" xfId="11447" xr:uid="{B871C15A-0AD2-467D-9FEB-B7C7CFE8ECC8}"/>
    <cellStyle name="Normal 2 2 2 2 2 2 2 2 20 9" xfId="11448" xr:uid="{41CDD7A8-A2DE-4EB6-A180-36A2D329E6C2}"/>
    <cellStyle name="Normal 2 2 2 2 2 2 2 2 21" xfId="11449" xr:uid="{22238E9D-5043-4778-9A15-A97BDEEE9CAC}"/>
    <cellStyle name="Normal 2 2 2 2 2 2 2 2 21 10" xfId="11450" xr:uid="{5CA9BE5B-E0F5-4234-8380-027DA6D3EF1C}"/>
    <cellStyle name="Normal 2 2 2 2 2 2 2 2 21 11" xfId="11451" xr:uid="{DCFFFF1C-0E74-4E56-8E1E-9A94D5D8CA5D}"/>
    <cellStyle name="Normal 2 2 2 2 2 2 2 2 21 12" xfId="11452" xr:uid="{E6F2F58A-71D4-4CD7-8D9E-598B8D94DC90}"/>
    <cellStyle name="Normal 2 2 2 2 2 2 2 2 21 13" xfId="11453" xr:uid="{E4F02285-F1E3-4024-8E7D-43293FB878B5}"/>
    <cellStyle name="Normal 2 2 2 2 2 2 2 2 21 13 2" xfId="11454" xr:uid="{128D007A-C9BE-44CD-80D7-E8AD75677DED}"/>
    <cellStyle name="Normal 2 2 2 2 2 2 2 2 21 13 3" xfId="11455" xr:uid="{79355469-FF56-4BA8-8518-5B759FC22A10}"/>
    <cellStyle name="Normal 2 2 2 2 2 2 2 2 21 13 4" xfId="11456" xr:uid="{A1D25801-DCF0-46DF-970D-0771C6EE9E35}"/>
    <cellStyle name="Normal 2 2 2 2 2 2 2 2 21 14" xfId="11457" xr:uid="{C4880AE7-03A5-4D91-A300-7405F7218C39}"/>
    <cellStyle name="Normal 2 2 2 2 2 2 2 2 21 15" xfId="11458" xr:uid="{319A1727-30BF-46C7-AE77-0A5D75D2822A}"/>
    <cellStyle name="Normal 2 2 2 2 2 2 2 2 21 16" xfId="11459" xr:uid="{544C4E7D-EDE7-487B-87F8-E00AD2DA125F}"/>
    <cellStyle name="Normal 2 2 2 2 2 2 2 2 21 2" xfId="11460" xr:uid="{643AC5AA-B922-4DD3-9284-662F52EC2798}"/>
    <cellStyle name="Normal 2 2 2 2 2 2 2 2 21 2 10" xfId="11461" xr:uid="{D5CEBD5D-0C09-410A-A983-D6D924A350BD}"/>
    <cellStyle name="Normal 2 2 2 2 2 2 2 2 21 2 11" xfId="11462" xr:uid="{10555ADE-863A-4A26-A77A-5A775F4B57DF}"/>
    <cellStyle name="Normal 2 2 2 2 2 2 2 2 21 2 11 2" xfId="11463" xr:uid="{5DF8049B-2EB4-47D4-8441-48F63F4F6769}"/>
    <cellStyle name="Normal 2 2 2 2 2 2 2 2 21 2 11 3" xfId="11464" xr:uid="{59644F7F-5687-42E7-BC7F-B0036A498142}"/>
    <cellStyle name="Normal 2 2 2 2 2 2 2 2 21 2 11 4" xfId="11465" xr:uid="{6A4EA368-AACE-441A-A951-2DE4C54C1D92}"/>
    <cellStyle name="Normal 2 2 2 2 2 2 2 2 21 2 12" xfId="11466" xr:uid="{27572491-F900-4D94-ACD7-5B0432E6D9B1}"/>
    <cellStyle name="Normal 2 2 2 2 2 2 2 2 21 2 13" xfId="11467" xr:uid="{DFBBA7E8-786B-4BB1-9A48-E24408EE043D}"/>
    <cellStyle name="Normal 2 2 2 2 2 2 2 2 21 2 14" xfId="11468" xr:uid="{C2D1763C-9E49-42A0-82FB-C3CC3F14268C}"/>
    <cellStyle name="Normal 2 2 2 2 2 2 2 2 21 2 2" xfId="11469" xr:uid="{393A733D-F380-42DA-87CF-07FCF9793AFC}"/>
    <cellStyle name="Normal 2 2 2 2 2 2 2 2 21 2 2 10" xfId="11470" xr:uid="{A3B38C84-A89B-4FC4-82D0-AE9FA4B96588}"/>
    <cellStyle name="Normal 2 2 2 2 2 2 2 2 21 2 2 11" xfId="11471" xr:uid="{9E997C22-E488-472E-AD36-C36A1E160F74}"/>
    <cellStyle name="Normal 2 2 2 2 2 2 2 2 21 2 2 2" xfId="11472" xr:uid="{7A6267F9-9142-4105-BCFB-118110D26C22}"/>
    <cellStyle name="Normal 2 2 2 2 2 2 2 2 21 2 2 2 10" xfId="11473" xr:uid="{0C0EC40F-26EF-41D6-9F0F-EAE47E1110AA}"/>
    <cellStyle name="Normal 2 2 2 2 2 2 2 2 21 2 2 2 11" xfId="11474" xr:uid="{535119BE-8B43-4073-8C66-BD7559AC0804}"/>
    <cellStyle name="Normal 2 2 2 2 2 2 2 2 21 2 2 2 2" xfId="11475" xr:uid="{56270AA5-ED99-4D61-A480-6016D88F1870}"/>
    <cellStyle name="Normal 2 2 2 2 2 2 2 2 21 2 2 2 2 2" xfId="11476" xr:uid="{60038124-7F30-4E66-978A-07B613832D87}"/>
    <cellStyle name="Normal 2 2 2 2 2 2 2 2 21 2 2 2 2 2 2" xfId="11477" xr:uid="{1862B643-7A4B-48B4-85D0-28DA7864E3F6}"/>
    <cellStyle name="Normal 2 2 2 2 2 2 2 2 21 2 2 2 2 2 3" xfId="11478" xr:uid="{102372AA-5944-4E59-9E48-54F85389D576}"/>
    <cellStyle name="Normal 2 2 2 2 2 2 2 2 21 2 2 2 2 2 4" xfId="11479" xr:uid="{BB6A0502-E71B-4870-92AD-352E91C613F1}"/>
    <cellStyle name="Normal 2 2 2 2 2 2 2 2 21 2 2 2 2 3" xfId="11480" xr:uid="{C4D38A89-BFBA-469F-850C-2E1DB0F0D004}"/>
    <cellStyle name="Normal 2 2 2 2 2 2 2 2 21 2 2 2 2 4" xfId="11481" xr:uid="{9D2CC818-1DF6-49DC-A911-5D5A10185FA9}"/>
    <cellStyle name="Normal 2 2 2 2 2 2 2 2 21 2 2 2 2 5" xfId="11482" xr:uid="{E13DB7ED-5584-4175-A263-9E43D9E4A2BA}"/>
    <cellStyle name="Normal 2 2 2 2 2 2 2 2 21 2 2 2 2 6" xfId="11483" xr:uid="{206D6782-D666-4D3B-8807-85FF5A22E303}"/>
    <cellStyle name="Normal 2 2 2 2 2 2 2 2 21 2 2 2 3" xfId="11484" xr:uid="{B1294209-FC2E-47A7-AEAC-495EAD463FB5}"/>
    <cellStyle name="Normal 2 2 2 2 2 2 2 2 21 2 2 2 4" xfId="11485" xr:uid="{28E4B664-F9E9-43C7-8C68-0627AF2AF2A1}"/>
    <cellStyle name="Normal 2 2 2 2 2 2 2 2 21 2 2 2 5" xfId="11486" xr:uid="{93748B26-FD2A-4E18-A6D1-17882EE7B82B}"/>
    <cellStyle name="Normal 2 2 2 2 2 2 2 2 21 2 2 2 6" xfId="11487" xr:uid="{227AA1BF-5A6E-4211-9440-5F5C5E60F3CA}"/>
    <cellStyle name="Normal 2 2 2 2 2 2 2 2 21 2 2 2 7" xfId="11488" xr:uid="{6ACA1A2A-38B7-4E4E-B368-CE948F9E6C60}"/>
    <cellStyle name="Normal 2 2 2 2 2 2 2 2 21 2 2 2 8" xfId="11489" xr:uid="{48D96A0D-4243-4402-9914-0922964B5656}"/>
    <cellStyle name="Normal 2 2 2 2 2 2 2 2 21 2 2 2 8 2" xfId="11490" xr:uid="{447EBEA3-6BB4-4326-B42A-912F2904C182}"/>
    <cellStyle name="Normal 2 2 2 2 2 2 2 2 21 2 2 2 8 3" xfId="11491" xr:uid="{49C051AF-1C6E-4159-97D9-08DACA697838}"/>
    <cellStyle name="Normal 2 2 2 2 2 2 2 2 21 2 2 2 8 4" xfId="11492" xr:uid="{F4B71DC4-01C0-48C7-95E1-853A9EBE62DF}"/>
    <cellStyle name="Normal 2 2 2 2 2 2 2 2 21 2 2 2 9" xfId="11493" xr:uid="{91A31971-2FAB-4318-88A0-AE602BA0023A}"/>
    <cellStyle name="Normal 2 2 2 2 2 2 2 2 21 2 2 3" xfId="11494" xr:uid="{B073B61F-DFA7-41F0-B759-62DD70937FD8}"/>
    <cellStyle name="Normal 2 2 2 2 2 2 2 2 21 2 2 3 2" xfId="11495" xr:uid="{1ED146D7-D14D-4A9A-B643-F9388BF92463}"/>
    <cellStyle name="Normal 2 2 2 2 2 2 2 2 21 2 2 3 2 2" xfId="11496" xr:uid="{33E19E48-A470-47A8-8888-D055245C4D9B}"/>
    <cellStyle name="Normal 2 2 2 2 2 2 2 2 21 2 2 3 2 3" xfId="11497" xr:uid="{06FEAD25-C4EE-404F-8A90-07C9B85A6050}"/>
    <cellStyle name="Normal 2 2 2 2 2 2 2 2 21 2 2 3 2 4" xfId="11498" xr:uid="{143364E6-2ABC-487F-93CE-AC703C421944}"/>
    <cellStyle name="Normal 2 2 2 2 2 2 2 2 21 2 2 3 3" xfId="11499" xr:uid="{FB162BB4-CDDE-418E-84A4-F9EE50D83605}"/>
    <cellStyle name="Normal 2 2 2 2 2 2 2 2 21 2 2 3 4" xfId="11500" xr:uid="{7B59F457-07B6-4C46-8EE7-0BCF36584156}"/>
    <cellStyle name="Normal 2 2 2 2 2 2 2 2 21 2 2 3 5" xfId="11501" xr:uid="{FDD045B9-A742-4861-9FD6-CBFFDCDA6464}"/>
    <cellStyle name="Normal 2 2 2 2 2 2 2 2 21 2 2 3 6" xfId="11502" xr:uid="{85CF1D5A-EA66-4D36-AB41-5310E6EAEDFA}"/>
    <cellStyle name="Normal 2 2 2 2 2 2 2 2 21 2 2 4" xfId="11503" xr:uid="{6F285757-B07E-4D4D-9387-89CD7F10D216}"/>
    <cellStyle name="Normal 2 2 2 2 2 2 2 2 21 2 2 5" xfId="11504" xr:uid="{C362443C-FB92-4A7C-AE0F-ED4324A8FD5D}"/>
    <cellStyle name="Normal 2 2 2 2 2 2 2 2 21 2 2 6" xfId="11505" xr:uid="{DCE57005-8C7A-47DE-ABDD-F6D691898A75}"/>
    <cellStyle name="Normal 2 2 2 2 2 2 2 2 21 2 2 7" xfId="11506" xr:uid="{08F5B9D6-C62E-4AC2-B1D3-6BAE8BCEB13C}"/>
    <cellStyle name="Normal 2 2 2 2 2 2 2 2 21 2 2 8" xfId="11507" xr:uid="{B8F5F6B6-A38F-42B6-B8BA-489E80FCFCD2}"/>
    <cellStyle name="Normal 2 2 2 2 2 2 2 2 21 2 2 8 2" xfId="11508" xr:uid="{998777D8-F9BC-4D39-B8E8-A4F814D88203}"/>
    <cellStyle name="Normal 2 2 2 2 2 2 2 2 21 2 2 8 3" xfId="11509" xr:uid="{AEB2C10E-2D5B-4081-BAAA-5BBD77A48000}"/>
    <cellStyle name="Normal 2 2 2 2 2 2 2 2 21 2 2 8 4" xfId="11510" xr:uid="{3F81F182-D20F-41CC-9BF1-8EFDF3034256}"/>
    <cellStyle name="Normal 2 2 2 2 2 2 2 2 21 2 2 9" xfId="11511" xr:uid="{224841DC-8D95-4133-86F5-ABC62B17A415}"/>
    <cellStyle name="Normal 2 2 2 2 2 2 2 2 21 2 3" xfId="11512" xr:uid="{46346327-86FD-4083-BD4B-FF26AF0F2D07}"/>
    <cellStyle name="Normal 2 2 2 2 2 2 2 2 21 2 4" xfId="11513" xr:uid="{7FAC78BA-7219-4F20-B4D5-71B23A62D202}"/>
    <cellStyle name="Normal 2 2 2 2 2 2 2 2 21 2 5" xfId="11514" xr:uid="{0867C247-1A4F-4242-BB44-12E94235DBD5}"/>
    <cellStyle name="Normal 2 2 2 2 2 2 2 2 21 2 5 2" xfId="11515" xr:uid="{CB2F0913-6360-409C-86A3-89362C6444B0}"/>
    <cellStyle name="Normal 2 2 2 2 2 2 2 2 21 2 5 2 2" xfId="11516" xr:uid="{7D23AE7B-DA92-411C-8B55-E5A965A9D820}"/>
    <cellStyle name="Normal 2 2 2 2 2 2 2 2 21 2 5 2 3" xfId="11517" xr:uid="{1BE83250-7A23-46C8-B04B-13F97DDCC668}"/>
    <cellStyle name="Normal 2 2 2 2 2 2 2 2 21 2 5 2 4" xfId="11518" xr:uid="{BBBF544B-5D3D-4EB0-A338-3C0DF2521B8D}"/>
    <cellStyle name="Normal 2 2 2 2 2 2 2 2 21 2 5 3" xfId="11519" xr:uid="{E06EA511-9748-4CC5-AEA2-0A78BCEA925A}"/>
    <cellStyle name="Normal 2 2 2 2 2 2 2 2 21 2 5 4" xfId="11520" xr:uid="{DE9B409A-7A05-41CD-BA74-A18BAC8A0016}"/>
    <cellStyle name="Normal 2 2 2 2 2 2 2 2 21 2 5 5" xfId="11521" xr:uid="{B356B558-5E1F-4C45-A0C9-746AB4AE428F}"/>
    <cellStyle name="Normal 2 2 2 2 2 2 2 2 21 2 5 6" xfId="11522" xr:uid="{204D7815-5AB8-4D6F-BFD4-5EE3C776DDF9}"/>
    <cellStyle name="Normal 2 2 2 2 2 2 2 2 21 2 6" xfId="11523" xr:uid="{6FC7A826-5B3A-4AB2-9FCA-76FE77CBD4F3}"/>
    <cellStyle name="Normal 2 2 2 2 2 2 2 2 21 2 7" xfId="11524" xr:uid="{68EAEB6E-024D-4269-BB32-80ED5A394D52}"/>
    <cellStyle name="Normal 2 2 2 2 2 2 2 2 21 2 8" xfId="11525" xr:uid="{1E074E2A-EE7E-49C5-8778-5CA715FFBC91}"/>
    <cellStyle name="Normal 2 2 2 2 2 2 2 2 21 2 9" xfId="11526" xr:uid="{B869281A-FC3D-418F-83A6-E573A9E42294}"/>
    <cellStyle name="Normal 2 2 2 2 2 2 2 2 21 3" xfId="11527" xr:uid="{79CB4363-7D62-4706-AF26-F8CC5FD1269B}"/>
    <cellStyle name="Normal 2 2 2 2 2 2 2 2 21 4" xfId="11528" xr:uid="{A859BDD0-5BB6-4B6F-9B2F-53FC8ACE0906}"/>
    <cellStyle name="Normal 2 2 2 2 2 2 2 2 21 5" xfId="11529" xr:uid="{9FD09333-CD25-4FC8-A450-4AC24F96AABA}"/>
    <cellStyle name="Normal 2 2 2 2 2 2 2 2 21 5 10" xfId="11530" xr:uid="{67CE3C1F-7624-4795-A81A-07945802C6F3}"/>
    <cellStyle name="Normal 2 2 2 2 2 2 2 2 21 5 11" xfId="11531" xr:uid="{4BC155FF-C2A7-479F-94FE-A9374707120F}"/>
    <cellStyle name="Normal 2 2 2 2 2 2 2 2 21 5 2" xfId="11532" xr:uid="{E3AD1415-7958-4E44-A394-B2F821732995}"/>
    <cellStyle name="Normal 2 2 2 2 2 2 2 2 21 5 2 10" xfId="11533" xr:uid="{53D8A98B-52D3-4814-B6B5-2DEAAAF45816}"/>
    <cellStyle name="Normal 2 2 2 2 2 2 2 2 21 5 2 11" xfId="11534" xr:uid="{25D91AE4-3D0F-41BD-97A9-09777AB1F8A6}"/>
    <cellStyle name="Normal 2 2 2 2 2 2 2 2 21 5 2 2" xfId="11535" xr:uid="{74DF7E0E-BED2-4DC2-81BB-51617E6CD22A}"/>
    <cellStyle name="Normal 2 2 2 2 2 2 2 2 21 5 2 2 2" xfId="11536" xr:uid="{57705137-CE83-48AE-8818-55DA18FFCC26}"/>
    <cellStyle name="Normal 2 2 2 2 2 2 2 2 21 5 2 2 2 2" xfId="11537" xr:uid="{EDE9E147-F54C-4BCA-BCB6-7FFA57387A91}"/>
    <cellStyle name="Normal 2 2 2 2 2 2 2 2 21 5 2 2 2 3" xfId="11538" xr:uid="{03F92469-5CFE-48CD-BD7E-A1B4AFB5AF5E}"/>
    <cellStyle name="Normal 2 2 2 2 2 2 2 2 21 5 2 2 2 4" xfId="11539" xr:uid="{68F1C50D-E9FB-41C2-9D21-96A1D88FC604}"/>
    <cellStyle name="Normal 2 2 2 2 2 2 2 2 21 5 2 2 3" xfId="11540" xr:uid="{AF3DF8B1-76E9-4C4F-9695-7160121997BF}"/>
    <cellStyle name="Normal 2 2 2 2 2 2 2 2 21 5 2 2 4" xfId="11541" xr:uid="{6AE63CE9-0BE7-48C7-8104-3EF69C44493B}"/>
    <cellStyle name="Normal 2 2 2 2 2 2 2 2 21 5 2 2 5" xfId="11542" xr:uid="{F2E183EC-EBFF-4FEA-8EEC-F1F168261BD6}"/>
    <cellStyle name="Normal 2 2 2 2 2 2 2 2 21 5 2 2 6" xfId="11543" xr:uid="{9AF7498A-8867-4B4D-9122-CBB09CECEA77}"/>
    <cellStyle name="Normal 2 2 2 2 2 2 2 2 21 5 2 3" xfId="11544" xr:uid="{A0F353F2-CB1F-4D5B-BF70-39C5C23DBD97}"/>
    <cellStyle name="Normal 2 2 2 2 2 2 2 2 21 5 2 4" xfId="11545" xr:uid="{398E0B57-AB38-4596-A05B-209DA6324B13}"/>
    <cellStyle name="Normal 2 2 2 2 2 2 2 2 21 5 2 5" xfId="11546" xr:uid="{AD29A9DA-1DB8-4C99-BD0D-59BBB4CEEA64}"/>
    <cellStyle name="Normal 2 2 2 2 2 2 2 2 21 5 2 6" xfId="11547" xr:uid="{B69B412B-B7FB-4F78-B6F0-C2781CBBC201}"/>
    <cellStyle name="Normal 2 2 2 2 2 2 2 2 21 5 2 7" xfId="11548" xr:uid="{E474F7D5-7F77-4D8D-B37D-4AAE4E823F04}"/>
    <cellStyle name="Normal 2 2 2 2 2 2 2 2 21 5 2 8" xfId="11549" xr:uid="{F12FF813-6359-4347-9039-11F5F1094F80}"/>
    <cellStyle name="Normal 2 2 2 2 2 2 2 2 21 5 2 8 2" xfId="11550" xr:uid="{6EAFDEF6-B96E-4CA6-927C-FD853A8DE3F8}"/>
    <cellStyle name="Normal 2 2 2 2 2 2 2 2 21 5 2 8 3" xfId="11551" xr:uid="{31C8F4F3-8C25-4261-AF1A-7BF98FABFDC1}"/>
    <cellStyle name="Normal 2 2 2 2 2 2 2 2 21 5 2 8 4" xfId="11552" xr:uid="{0E0DC70E-CF71-4CF8-A266-6F4859DCE08B}"/>
    <cellStyle name="Normal 2 2 2 2 2 2 2 2 21 5 2 9" xfId="11553" xr:uid="{009EEA9B-3A66-4C60-9674-E0E5FBA3B556}"/>
    <cellStyle name="Normal 2 2 2 2 2 2 2 2 21 5 3" xfId="11554" xr:uid="{C601969F-EFB7-49EF-86D8-28EDEC69FF0F}"/>
    <cellStyle name="Normal 2 2 2 2 2 2 2 2 21 5 3 2" xfId="11555" xr:uid="{DBF5BF9B-3907-45B7-A7FE-CF624BAE5E0E}"/>
    <cellStyle name="Normal 2 2 2 2 2 2 2 2 21 5 3 2 2" xfId="11556" xr:uid="{2D717F2C-6329-4551-AF99-FBA824068119}"/>
    <cellStyle name="Normal 2 2 2 2 2 2 2 2 21 5 3 2 3" xfId="11557" xr:uid="{EC505FFC-F82F-444D-87B7-8CCBCDA05660}"/>
    <cellStyle name="Normal 2 2 2 2 2 2 2 2 21 5 3 2 4" xfId="11558" xr:uid="{226207FB-FEDD-4BA1-8CA0-6000B4E9568B}"/>
    <cellStyle name="Normal 2 2 2 2 2 2 2 2 21 5 3 3" xfId="11559" xr:uid="{6D0DCB6A-8985-4053-B8F0-FC7C693F2D9B}"/>
    <cellStyle name="Normal 2 2 2 2 2 2 2 2 21 5 3 4" xfId="11560" xr:uid="{35DBC679-47FE-44C7-BABA-5185189D9981}"/>
    <cellStyle name="Normal 2 2 2 2 2 2 2 2 21 5 3 5" xfId="11561" xr:uid="{871F93E3-422B-4FE6-B45E-C34C49FA67DF}"/>
    <cellStyle name="Normal 2 2 2 2 2 2 2 2 21 5 3 6" xfId="11562" xr:uid="{E140E0B9-7671-4FE5-89FD-981A7E55A301}"/>
    <cellStyle name="Normal 2 2 2 2 2 2 2 2 21 5 4" xfId="11563" xr:uid="{D067050F-C614-4654-B0DB-F2AFE8C2CA85}"/>
    <cellStyle name="Normal 2 2 2 2 2 2 2 2 21 5 5" xfId="11564" xr:uid="{1886A129-AD58-4CEC-B7E6-2DBAD13F0E55}"/>
    <cellStyle name="Normal 2 2 2 2 2 2 2 2 21 5 6" xfId="11565" xr:uid="{F7E5FA18-4EF8-4E99-9914-FC3BF8FC2E81}"/>
    <cellStyle name="Normal 2 2 2 2 2 2 2 2 21 5 7" xfId="11566" xr:uid="{C3E5B6A2-FDE2-4A65-8ADB-280CA0BA32E6}"/>
    <cellStyle name="Normal 2 2 2 2 2 2 2 2 21 5 8" xfId="11567" xr:uid="{3AFC1D3C-F05D-4744-A9E8-44FC3A0AD752}"/>
    <cellStyle name="Normal 2 2 2 2 2 2 2 2 21 5 8 2" xfId="11568" xr:uid="{1C45002E-BF4F-4599-B181-1664D84F15E4}"/>
    <cellStyle name="Normal 2 2 2 2 2 2 2 2 21 5 8 3" xfId="11569" xr:uid="{398D4D32-305B-4A8C-A313-68F48FBB901F}"/>
    <cellStyle name="Normal 2 2 2 2 2 2 2 2 21 5 8 4" xfId="11570" xr:uid="{7151A583-B098-436F-BCEF-49BF7CF68A3E}"/>
    <cellStyle name="Normal 2 2 2 2 2 2 2 2 21 5 9" xfId="11571" xr:uid="{1457A2C7-271C-4273-AEAC-27A91EF4627C}"/>
    <cellStyle name="Normal 2 2 2 2 2 2 2 2 21 6" xfId="11572" xr:uid="{9A323E01-9F17-4AB3-ACD3-15EF4C2CB4A1}"/>
    <cellStyle name="Normal 2 2 2 2 2 2 2 2 21 7" xfId="11573" xr:uid="{D159D2F2-D3A3-4F11-9D52-B200C5E373D0}"/>
    <cellStyle name="Normal 2 2 2 2 2 2 2 2 21 7 2" xfId="11574" xr:uid="{A9432D70-7443-4502-A1E8-181F1E08AF40}"/>
    <cellStyle name="Normal 2 2 2 2 2 2 2 2 21 7 2 2" xfId="11575" xr:uid="{5EA03EA6-329B-4A0F-9DDD-49F9CFB75B9D}"/>
    <cellStyle name="Normal 2 2 2 2 2 2 2 2 21 7 2 3" xfId="11576" xr:uid="{BC9992E8-6E84-4EDF-8E37-5CD3D825D58E}"/>
    <cellStyle name="Normal 2 2 2 2 2 2 2 2 21 7 2 4" xfId="11577" xr:uid="{C5251C8C-D6C4-4133-AC9C-6EFAD64488B0}"/>
    <cellStyle name="Normal 2 2 2 2 2 2 2 2 21 7 3" xfId="11578" xr:uid="{B7D26E0D-C1FF-4693-AA19-FD2A757061A5}"/>
    <cellStyle name="Normal 2 2 2 2 2 2 2 2 21 7 4" xfId="11579" xr:uid="{1852B124-BF35-4DD4-8A53-3CBD1307A030}"/>
    <cellStyle name="Normal 2 2 2 2 2 2 2 2 21 7 5" xfId="11580" xr:uid="{27FC8E58-85DE-4224-BFDB-7E49035B36E4}"/>
    <cellStyle name="Normal 2 2 2 2 2 2 2 2 21 7 6" xfId="11581" xr:uid="{BE9E4591-B436-4B1D-980D-502F070C95EF}"/>
    <cellStyle name="Normal 2 2 2 2 2 2 2 2 21 8" xfId="11582" xr:uid="{2C69D40C-B190-4573-81EA-E8A4761FE713}"/>
    <cellStyle name="Normal 2 2 2 2 2 2 2 2 21 9" xfId="11583" xr:uid="{1E99F42C-D943-467C-A943-BD66AFED03CC}"/>
    <cellStyle name="Normal 2 2 2 2 2 2 2 2 22" xfId="11584" xr:uid="{DE507F6F-672D-4CBA-AF47-B39377023E3C}"/>
    <cellStyle name="Normal 2 2 2 2 2 2 2 2 23" xfId="11585" xr:uid="{6E8FC20A-FA23-490B-B91F-353C5276E7C1}"/>
    <cellStyle name="Normal 2 2 2 2 2 2 2 2 24" xfId="11586" xr:uid="{6B78B97B-D084-439B-9C06-7B5011F1FE5F}"/>
    <cellStyle name="Normal 2 2 2 2 2 2 2 2 25" xfId="11587" xr:uid="{471813BF-0F3B-4C18-A304-374AB36B53C9}"/>
    <cellStyle name="Normal 2 2 2 2 2 2 2 2 26" xfId="11588" xr:uid="{47F341D9-304F-4F72-B216-B38B838B007B}"/>
    <cellStyle name="Normal 2 2 2 2 2 2 2 2 27" xfId="11589" xr:uid="{4097949B-A098-4433-AA73-5A60C976FF36}"/>
    <cellStyle name="Normal 2 2 2 2 2 2 2 2 28" xfId="11590" xr:uid="{7B820775-F4A6-4B37-B765-7DF8AABFB189}"/>
    <cellStyle name="Normal 2 2 2 2 2 2 2 2 29" xfId="11591" xr:uid="{7636A6C0-C486-471A-8C53-2FAC2B7372B1}"/>
    <cellStyle name="Normal 2 2 2 2 2 2 2 2 29 10" xfId="11592" xr:uid="{264FEE4C-55F4-499C-A85E-312C6670C124}"/>
    <cellStyle name="Normal 2 2 2 2 2 2 2 2 29 11" xfId="11593" xr:uid="{B62D8F42-DBDE-4204-8D51-796F407F0B14}"/>
    <cellStyle name="Normal 2 2 2 2 2 2 2 2 29 11 2" xfId="11594" xr:uid="{FD4B34A6-DBEE-4A71-BC11-72F4364CBD38}"/>
    <cellStyle name="Normal 2 2 2 2 2 2 2 2 29 11 3" xfId="11595" xr:uid="{CBAE7308-861C-42F6-A6B3-3F7E928F801A}"/>
    <cellStyle name="Normal 2 2 2 2 2 2 2 2 29 11 4" xfId="11596" xr:uid="{707C3009-B310-4A13-931D-D7F7202376E8}"/>
    <cellStyle name="Normal 2 2 2 2 2 2 2 2 29 12" xfId="11597" xr:uid="{95A3843D-E092-4604-BCB6-0B805369ABE4}"/>
    <cellStyle name="Normal 2 2 2 2 2 2 2 2 29 13" xfId="11598" xr:uid="{EAF1BC68-61AE-400A-9E8C-B83EB8B1EE43}"/>
    <cellStyle name="Normal 2 2 2 2 2 2 2 2 29 14" xfId="11599" xr:uid="{934C4774-68B9-4223-AFB8-DD2273AFEFF9}"/>
    <cellStyle name="Normal 2 2 2 2 2 2 2 2 29 2" xfId="11600" xr:uid="{226D78AB-52E4-43A2-827E-3652CF831CC8}"/>
    <cellStyle name="Normal 2 2 2 2 2 2 2 2 29 2 10" xfId="11601" xr:uid="{2A07913E-131D-4B5D-BDCF-9A155F9ABE85}"/>
    <cellStyle name="Normal 2 2 2 2 2 2 2 2 29 2 11" xfId="11602" xr:uid="{B3EE9192-6547-4BAD-8543-A0B9A6EDEBD3}"/>
    <cellStyle name="Normal 2 2 2 2 2 2 2 2 29 2 2" xfId="11603" xr:uid="{876DB760-E7F5-461B-92D4-6742AB5062AF}"/>
    <cellStyle name="Normal 2 2 2 2 2 2 2 2 29 2 2 10" xfId="11604" xr:uid="{EB80612A-5325-4136-B30C-9BF53F97F349}"/>
    <cellStyle name="Normal 2 2 2 2 2 2 2 2 29 2 2 11" xfId="11605" xr:uid="{D16A492D-04CC-4720-9F7B-ED27029B189B}"/>
    <cellStyle name="Normal 2 2 2 2 2 2 2 2 29 2 2 2" xfId="11606" xr:uid="{34F0F50A-9314-4F8B-9528-B36C115E1E4C}"/>
    <cellStyle name="Normal 2 2 2 2 2 2 2 2 29 2 2 2 2" xfId="11607" xr:uid="{48DF444C-14B6-432F-A329-B87C72DD82A2}"/>
    <cellStyle name="Normal 2 2 2 2 2 2 2 2 29 2 2 2 2 2" xfId="11608" xr:uid="{B5B29935-190A-4E79-8E9D-B127D471B358}"/>
    <cellStyle name="Normal 2 2 2 2 2 2 2 2 29 2 2 2 2 3" xfId="11609" xr:uid="{1DE01E5D-31EB-49F3-8129-CCBC2CAEE6C2}"/>
    <cellStyle name="Normal 2 2 2 2 2 2 2 2 29 2 2 2 2 4" xfId="11610" xr:uid="{7F64E5E7-E08E-4006-88FF-FBE488788A19}"/>
    <cellStyle name="Normal 2 2 2 2 2 2 2 2 29 2 2 2 3" xfId="11611" xr:uid="{663152BD-EB6B-47E1-B07B-6BEEB771165A}"/>
    <cellStyle name="Normal 2 2 2 2 2 2 2 2 29 2 2 2 4" xfId="11612" xr:uid="{5D7E6789-9003-4946-B584-37AF4A81F304}"/>
    <cellStyle name="Normal 2 2 2 2 2 2 2 2 29 2 2 2 5" xfId="11613" xr:uid="{6D5350B8-1C53-4D1B-8581-532E9961280C}"/>
    <cellStyle name="Normal 2 2 2 2 2 2 2 2 29 2 2 2 6" xfId="11614" xr:uid="{91178465-06C8-4AF9-B8DF-1E85EAD6381F}"/>
    <cellStyle name="Normal 2 2 2 2 2 2 2 2 29 2 2 3" xfId="11615" xr:uid="{45055206-EF18-4554-901D-AEEE0451D9E1}"/>
    <cellStyle name="Normal 2 2 2 2 2 2 2 2 29 2 2 4" xfId="11616" xr:uid="{22298BF6-CF88-4600-A8B9-66F6C5144AAC}"/>
    <cellStyle name="Normal 2 2 2 2 2 2 2 2 29 2 2 5" xfId="11617" xr:uid="{D677DE4D-075B-4629-8D27-23B919DDBC9D}"/>
    <cellStyle name="Normal 2 2 2 2 2 2 2 2 29 2 2 6" xfId="11618" xr:uid="{160470E9-0055-4713-9CE5-63F17729A915}"/>
    <cellStyle name="Normal 2 2 2 2 2 2 2 2 29 2 2 7" xfId="11619" xr:uid="{D650BD53-9A93-4FDB-ACC2-E2D0AF8BD82A}"/>
    <cellStyle name="Normal 2 2 2 2 2 2 2 2 29 2 2 8" xfId="11620" xr:uid="{2797DC0B-AD70-44B2-B9AA-7F5798C548C5}"/>
    <cellStyle name="Normal 2 2 2 2 2 2 2 2 29 2 2 8 2" xfId="11621" xr:uid="{6D853E68-2361-4385-98AB-C72F96E185C4}"/>
    <cellStyle name="Normal 2 2 2 2 2 2 2 2 29 2 2 8 3" xfId="11622" xr:uid="{F92E579C-CB40-46BA-B7B2-FD4EB4585E1D}"/>
    <cellStyle name="Normal 2 2 2 2 2 2 2 2 29 2 2 8 4" xfId="11623" xr:uid="{02810321-3EE5-429F-B4E8-B9E44937231C}"/>
    <cellStyle name="Normal 2 2 2 2 2 2 2 2 29 2 2 9" xfId="11624" xr:uid="{56D8C979-933E-4EE6-B9A1-4CFC3E1DA25D}"/>
    <cellStyle name="Normal 2 2 2 2 2 2 2 2 29 2 3" xfId="11625" xr:uid="{FF5BA756-27D8-4371-A5C0-0494F11776F6}"/>
    <cellStyle name="Normal 2 2 2 2 2 2 2 2 29 2 3 2" xfId="11626" xr:uid="{EE8BA604-955C-40C7-B918-707F2E9BD424}"/>
    <cellStyle name="Normal 2 2 2 2 2 2 2 2 29 2 3 2 2" xfId="11627" xr:uid="{E6D1FDF4-1C08-4AA1-A92D-7B997CC1EDE3}"/>
    <cellStyle name="Normal 2 2 2 2 2 2 2 2 29 2 3 2 3" xfId="11628" xr:uid="{E65C14CF-296E-4DC4-8768-C9CC37621E26}"/>
    <cellStyle name="Normal 2 2 2 2 2 2 2 2 29 2 3 2 4" xfId="11629" xr:uid="{23A6AF6B-4A3E-42EE-A0F1-F32FF9B60018}"/>
    <cellStyle name="Normal 2 2 2 2 2 2 2 2 29 2 3 3" xfId="11630" xr:uid="{1831A1A1-1FB3-46C1-8A6E-41729B26C74A}"/>
    <cellStyle name="Normal 2 2 2 2 2 2 2 2 29 2 3 4" xfId="11631" xr:uid="{34DE96B9-7D15-46EE-8DCF-8D646FE1FAA7}"/>
    <cellStyle name="Normal 2 2 2 2 2 2 2 2 29 2 3 5" xfId="11632" xr:uid="{3BF33CE5-BB6E-4BE3-AAC0-9FD11C2DEBD8}"/>
    <cellStyle name="Normal 2 2 2 2 2 2 2 2 29 2 3 6" xfId="11633" xr:uid="{4F2AE360-0374-4E62-97BA-552E0B3E793E}"/>
    <cellStyle name="Normal 2 2 2 2 2 2 2 2 29 2 4" xfId="11634" xr:uid="{32C305D1-2ED1-4A5E-A519-3D5F153797A5}"/>
    <cellStyle name="Normal 2 2 2 2 2 2 2 2 29 2 5" xfId="11635" xr:uid="{6A404418-7F62-4E1B-97B9-5091F94FB7F2}"/>
    <cellStyle name="Normal 2 2 2 2 2 2 2 2 29 2 6" xfId="11636" xr:uid="{6AAF6410-F473-4241-BCDF-E69D616A8527}"/>
    <cellStyle name="Normal 2 2 2 2 2 2 2 2 29 2 7" xfId="11637" xr:uid="{3D88C530-3C6C-422C-8259-26AB442522CA}"/>
    <cellStyle name="Normal 2 2 2 2 2 2 2 2 29 2 8" xfId="11638" xr:uid="{7197800C-7A96-46E1-B893-84DE1B98CCC6}"/>
    <cellStyle name="Normal 2 2 2 2 2 2 2 2 29 2 8 2" xfId="11639" xr:uid="{492A8251-E63A-4467-9042-A800C04264B8}"/>
    <cellStyle name="Normal 2 2 2 2 2 2 2 2 29 2 8 3" xfId="11640" xr:uid="{C9F03659-B89D-4C15-A047-6AB10701E9F0}"/>
    <cellStyle name="Normal 2 2 2 2 2 2 2 2 29 2 8 4" xfId="11641" xr:uid="{B332CD21-0F85-46FB-AB74-658709980396}"/>
    <cellStyle name="Normal 2 2 2 2 2 2 2 2 29 2 9" xfId="11642" xr:uid="{7B304979-53B7-4E17-878A-09A128FDAD61}"/>
    <cellStyle name="Normal 2 2 2 2 2 2 2 2 29 3" xfId="11643" xr:uid="{0D8D5B17-3AE6-4C72-8AB8-A6FFBF215860}"/>
    <cellStyle name="Normal 2 2 2 2 2 2 2 2 29 4" xfId="11644" xr:uid="{31D4A04F-5A68-44A7-877F-DA5C5A28F178}"/>
    <cellStyle name="Normal 2 2 2 2 2 2 2 2 29 5" xfId="11645" xr:uid="{9EFD02A7-56DB-4A6D-859D-57DDBF0E4DDF}"/>
    <cellStyle name="Normal 2 2 2 2 2 2 2 2 29 5 2" xfId="11646" xr:uid="{316BF979-2784-47EE-83F9-5AC01B0435B0}"/>
    <cellStyle name="Normal 2 2 2 2 2 2 2 2 29 5 2 2" xfId="11647" xr:uid="{2CFB8567-0229-462F-9C3A-F0BB1867CACA}"/>
    <cellStyle name="Normal 2 2 2 2 2 2 2 2 29 5 2 3" xfId="11648" xr:uid="{2AB4E623-E954-4DE8-B445-8FBF96D7CB7A}"/>
    <cellStyle name="Normal 2 2 2 2 2 2 2 2 29 5 2 4" xfId="11649" xr:uid="{F2FE4AA3-2D5E-4D6A-8737-4CC4591F1C00}"/>
    <cellStyle name="Normal 2 2 2 2 2 2 2 2 29 5 3" xfId="11650" xr:uid="{851DBD2F-EA2F-442F-A4D6-1A18921FCDB5}"/>
    <cellStyle name="Normal 2 2 2 2 2 2 2 2 29 5 4" xfId="11651" xr:uid="{AE7F1504-2C66-4EB0-885B-937CE7D5A538}"/>
    <cellStyle name="Normal 2 2 2 2 2 2 2 2 29 5 5" xfId="11652" xr:uid="{245D1833-E54D-430B-B2E0-74B9C76CDFCC}"/>
    <cellStyle name="Normal 2 2 2 2 2 2 2 2 29 5 6" xfId="11653" xr:uid="{6CB933D6-6DD4-45D4-9BD7-4C212D5269AD}"/>
    <cellStyle name="Normal 2 2 2 2 2 2 2 2 29 6" xfId="11654" xr:uid="{AA50BF9B-8971-492E-9349-5BCD092D66DB}"/>
    <cellStyle name="Normal 2 2 2 2 2 2 2 2 29 7" xfId="11655" xr:uid="{E06839D0-A90E-4D8F-B77D-00DE27C9A826}"/>
    <cellStyle name="Normal 2 2 2 2 2 2 2 2 29 8" xfId="11656" xr:uid="{87FB7A25-8BCF-46B9-9F2D-C6C7AA5D8559}"/>
    <cellStyle name="Normal 2 2 2 2 2 2 2 2 29 9" xfId="11657" xr:uid="{D6B5A215-72E1-4294-B014-EB45461BF6C4}"/>
    <cellStyle name="Normal 2 2 2 2 2 2 2 2 3" xfId="11658" xr:uid="{3E1400C6-ADF2-4A9C-BB71-16DDCBBD15E4}"/>
    <cellStyle name="Normal 2 2 2 2 2 2 2 2 30" xfId="11659" xr:uid="{92201450-2A1A-49EF-A1E8-2DF2F737504E}"/>
    <cellStyle name="Normal 2 2 2 2 2 2 2 2 31" xfId="11660" xr:uid="{405FFB8F-614F-4ED8-94E8-D7A994F310D2}"/>
    <cellStyle name="Normal 2 2 2 2 2 2 2 2 31 10" xfId="11661" xr:uid="{C0999437-426D-4854-BB92-349179FE6E3F}"/>
    <cellStyle name="Normal 2 2 2 2 2 2 2 2 31 11" xfId="11662" xr:uid="{1CE34F50-39C4-411A-BAD6-B3F40D724D9A}"/>
    <cellStyle name="Normal 2 2 2 2 2 2 2 2 31 2" xfId="11663" xr:uid="{4CC4AD14-817C-485B-A2CE-18EA70553F95}"/>
    <cellStyle name="Normal 2 2 2 2 2 2 2 2 31 2 10" xfId="11664" xr:uid="{227CD98B-3D71-4BB4-8704-D04E861B340B}"/>
    <cellStyle name="Normal 2 2 2 2 2 2 2 2 31 2 11" xfId="11665" xr:uid="{7579BC16-C634-48FE-9ADF-5503A2D0A1D7}"/>
    <cellStyle name="Normal 2 2 2 2 2 2 2 2 31 2 2" xfId="11666" xr:uid="{1C02D304-57ED-41D3-8D9E-DCC8707FCEB4}"/>
    <cellStyle name="Normal 2 2 2 2 2 2 2 2 31 2 2 2" xfId="11667" xr:uid="{8C6E5ACA-9F6B-4E6D-B19B-62408BD3E621}"/>
    <cellStyle name="Normal 2 2 2 2 2 2 2 2 31 2 2 2 2" xfId="11668" xr:uid="{A0797AD4-86F4-4302-80E0-1670872FAAF4}"/>
    <cellStyle name="Normal 2 2 2 2 2 2 2 2 31 2 2 2 3" xfId="11669" xr:uid="{6ABC7D1B-A607-4292-BFC3-D87ADC02793A}"/>
    <cellStyle name="Normal 2 2 2 2 2 2 2 2 31 2 2 2 4" xfId="11670" xr:uid="{0286A1FA-867C-4391-9547-F4052FAF1451}"/>
    <cellStyle name="Normal 2 2 2 2 2 2 2 2 31 2 2 3" xfId="11671" xr:uid="{BE871EE8-0B8F-4573-B7DD-14A4455670D5}"/>
    <cellStyle name="Normal 2 2 2 2 2 2 2 2 31 2 2 4" xfId="11672" xr:uid="{218A786F-5334-40C3-8AAE-E0AA91F07529}"/>
    <cellStyle name="Normal 2 2 2 2 2 2 2 2 31 2 2 5" xfId="11673" xr:uid="{33465D7C-7CA0-4CD5-B0D4-CDA96A0324EB}"/>
    <cellStyle name="Normal 2 2 2 2 2 2 2 2 31 2 2 6" xfId="11674" xr:uid="{E85B4855-28D5-41F7-8525-B009CA9F0C01}"/>
    <cellStyle name="Normal 2 2 2 2 2 2 2 2 31 2 3" xfId="11675" xr:uid="{A8379A82-5601-45A5-8B70-EAC5733213D7}"/>
    <cellStyle name="Normal 2 2 2 2 2 2 2 2 31 2 4" xfId="11676" xr:uid="{58AFB3D2-BF07-4680-A751-F12A08B02018}"/>
    <cellStyle name="Normal 2 2 2 2 2 2 2 2 31 2 5" xfId="11677" xr:uid="{3957E627-D6E9-4D16-8EAD-E58C948F3427}"/>
    <cellStyle name="Normal 2 2 2 2 2 2 2 2 31 2 6" xfId="11678" xr:uid="{EFFD7C3C-7846-4482-88CC-D895DFEE3D30}"/>
    <cellStyle name="Normal 2 2 2 2 2 2 2 2 31 2 7" xfId="11679" xr:uid="{45D62FC5-AD33-462B-AA29-F350E9AFCDDA}"/>
    <cellStyle name="Normal 2 2 2 2 2 2 2 2 31 2 8" xfId="11680" xr:uid="{E1A0D9C0-2040-44F5-945E-BD87C6AE0E88}"/>
    <cellStyle name="Normal 2 2 2 2 2 2 2 2 31 2 8 2" xfId="11681" xr:uid="{DCADD9E4-0928-473D-A358-CC45D2425296}"/>
    <cellStyle name="Normal 2 2 2 2 2 2 2 2 31 2 8 3" xfId="11682" xr:uid="{A5FE0D47-E6C4-4F2D-9852-29CA0679F198}"/>
    <cellStyle name="Normal 2 2 2 2 2 2 2 2 31 2 8 4" xfId="11683" xr:uid="{E6E703DA-F628-4316-9A40-11B52981C67C}"/>
    <cellStyle name="Normal 2 2 2 2 2 2 2 2 31 2 9" xfId="11684" xr:uid="{EDB9F53B-4FD8-4A02-AD19-77243F8AF1EA}"/>
    <cellStyle name="Normal 2 2 2 2 2 2 2 2 31 3" xfId="11685" xr:uid="{D3A6CCA0-32BC-4983-B58F-13E9EBD4FBD1}"/>
    <cellStyle name="Normal 2 2 2 2 2 2 2 2 31 3 2" xfId="11686" xr:uid="{9E1D40F4-87D6-4431-9F05-200E5771EFB3}"/>
    <cellStyle name="Normal 2 2 2 2 2 2 2 2 31 3 2 2" xfId="11687" xr:uid="{D4DC96E5-B50E-4D74-8FA4-361F17070D56}"/>
    <cellStyle name="Normal 2 2 2 2 2 2 2 2 31 3 2 3" xfId="11688" xr:uid="{D7992BB9-90A5-4C41-AFF5-DC432EF07A9F}"/>
    <cellStyle name="Normal 2 2 2 2 2 2 2 2 31 3 2 4" xfId="11689" xr:uid="{3457D9D9-9E21-4016-8C32-72728E933008}"/>
    <cellStyle name="Normal 2 2 2 2 2 2 2 2 31 3 3" xfId="11690" xr:uid="{F13ECFBA-F2FB-43D8-A58A-F8F34F1AA22F}"/>
    <cellStyle name="Normal 2 2 2 2 2 2 2 2 31 3 4" xfId="11691" xr:uid="{8EA332FE-2E52-4CD4-BA72-85D52D97348F}"/>
    <cellStyle name="Normal 2 2 2 2 2 2 2 2 31 3 5" xfId="11692" xr:uid="{70607655-CCC4-4ECA-BD6A-F29B4B2D0A8D}"/>
    <cellStyle name="Normal 2 2 2 2 2 2 2 2 31 3 6" xfId="11693" xr:uid="{3147BCD5-BDB6-48AD-A56D-6E563317C916}"/>
    <cellStyle name="Normal 2 2 2 2 2 2 2 2 31 4" xfId="11694" xr:uid="{DF7E0868-FDFF-411A-99AA-F16B29734AFA}"/>
    <cellStyle name="Normal 2 2 2 2 2 2 2 2 31 5" xfId="11695" xr:uid="{7983BB3A-0541-4474-8242-90771E56E1E7}"/>
    <cellStyle name="Normal 2 2 2 2 2 2 2 2 31 6" xfId="11696" xr:uid="{18FDBFB6-2946-4CD4-A197-62D6CD5D8203}"/>
    <cellStyle name="Normal 2 2 2 2 2 2 2 2 31 7" xfId="11697" xr:uid="{7F6A2453-93F5-4F61-859B-B06FC4B66411}"/>
    <cellStyle name="Normal 2 2 2 2 2 2 2 2 31 8" xfId="11698" xr:uid="{9FB3DE3F-7804-4A3E-A557-1F4F51561065}"/>
    <cellStyle name="Normal 2 2 2 2 2 2 2 2 31 8 2" xfId="11699" xr:uid="{EE6BD345-8390-46B4-B1AB-1D51693E5819}"/>
    <cellStyle name="Normal 2 2 2 2 2 2 2 2 31 8 3" xfId="11700" xr:uid="{22DC0AE7-C6B8-4208-A8AD-F4406A5C772C}"/>
    <cellStyle name="Normal 2 2 2 2 2 2 2 2 31 8 4" xfId="11701" xr:uid="{D171EB0E-E807-4BBE-9CAA-C1E47A5E4AED}"/>
    <cellStyle name="Normal 2 2 2 2 2 2 2 2 31 9" xfId="11702" xr:uid="{D1C992A8-E7F7-4D35-B5D0-4631CFA9D8D2}"/>
    <cellStyle name="Normal 2 2 2 2 2 2 2 2 32" xfId="11703" xr:uid="{A59AFDF0-E266-41AA-8C76-A88BFC0F4349}"/>
    <cellStyle name="Normal 2 2 2 2 2 2 2 2 33" xfId="11704" xr:uid="{61129F10-C775-4BE3-9A6A-8C29C06B0710}"/>
    <cellStyle name="Normal 2 2 2 2 2 2 2 2 33 2" xfId="11705" xr:uid="{DF5FD157-9CB5-4C09-942C-933521E92D32}"/>
    <cellStyle name="Normal 2 2 2 2 2 2 2 2 33 2 2" xfId="11706" xr:uid="{30121E92-2BB0-4D33-AB0A-5F83745C43D4}"/>
    <cellStyle name="Normal 2 2 2 2 2 2 2 2 33 2 3" xfId="11707" xr:uid="{38664EAA-DE48-4D7C-B30E-7B631377B623}"/>
    <cellStyle name="Normal 2 2 2 2 2 2 2 2 33 2 4" xfId="11708" xr:uid="{D0146754-197C-4072-9DDC-117219084333}"/>
    <cellStyle name="Normal 2 2 2 2 2 2 2 2 33 3" xfId="11709" xr:uid="{62D95190-E5DC-4079-B72A-D3C0693B442F}"/>
    <cellStyle name="Normal 2 2 2 2 2 2 2 2 33 4" xfId="11710" xr:uid="{DD4756A1-3744-4CD9-B34C-65D1D3A1B8EB}"/>
    <cellStyle name="Normal 2 2 2 2 2 2 2 2 33 5" xfId="11711" xr:uid="{81DD9301-B0BE-4EFC-B9AC-2FC575E4CF79}"/>
    <cellStyle name="Normal 2 2 2 2 2 2 2 2 33 6" xfId="11712" xr:uid="{5370CC57-85A0-46C1-AA4C-1A23A25ED7FA}"/>
    <cellStyle name="Normal 2 2 2 2 2 2 2 2 34" xfId="11713" xr:uid="{153B8412-E0D8-487C-AA70-953D2CB8A9E6}"/>
    <cellStyle name="Normal 2 2 2 2 2 2 2 2 35" xfId="11714" xr:uid="{08E2CB16-DC3D-411D-8D90-D2ED5E59E3AC}"/>
    <cellStyle name="Normal 2 2 2 2 2 2 2 2 36" xfId="11715" xr:uid="{82823635-D750-41F2-8C45-A096DEFC51A6}"/>
    <cellStyle name="Normal 2 2 2 2 2 2 2 2 37" xfId="11716" xr:uid="{1BC9C176-533D-4E26-9D27-5DB8065C6AC0}"/>
    <cellStyle name="Normal 2 2 2 2 2 2 2 2 38" xfId="11717" xr:uid="{7870B4E7-9B24-44C1-ACA8-A60F4F316794}"/>
    <cellStyle name="Normal 2 2 2 2 2 2 2 2 39" xfId="11718" xr:uid="{C74D300C-64DC-4F93-9C76-B6A30D381DF0}"/>
    <cellStyle name="Normal 2 2 2 2 2 2 2 2 39 2" xfId="11719" xr:uid="{5722619B-CA15-4015-8F9B-4E6FA59D8284}"/>
    <cellStyle name="Normal 2 2 2 2 2 2 2 2 39 3" xfId="11720" xr:uid="{D5ECEF8C-A100-4D44-96F2-789A80A39920}"/>
    <cellStyle name="Normal 2 2 2 2 2 2 2 2 39 4" xfId="11721" xr:uid="{9BA1D1AE-E601-4ECE-965D-286D3DEE03A1}"/>
    <cellStyle name="Normal 2 2 2 2 2 2 2 2 4" xfId="11722" xr:uid="{9A4754B5-2472-4A45-A6E2-FAEA9A035729}"/>
    <cellStyle name="Normal 2 2 2 2 2 2 2 2 40" xfId="11723" xr:uid="{9A3B0C09-A25C-49C7-9830-3D501EDBD8B9}"/>
    <cellStyle name="Normal 2 2 2 2 2 2 2 2 41" xfId="11724" xr:uid="{F014E986-CA33-40D8-8A10-F6048C351417}"/>
    <cellStyle name="Normal 2 2 2 2 2 2 2 2 42" xfId="11725" xr:uid="{6DB25C92-57CB-4E87-B256-6E27CC1552C4}"/>
    <cellStyle name="Normal 2 2 2 2 2 2 2 2 43" xfId="11726" xr:uid="{11AFDD79-7EA7-428C-8E93-486ECAFC397E}"/>
    <cellStyle name="Normal 2 2 2 2 2 2 2 2 44" xfId="11727" xr:uid="{E7A0F712-C6CC-4A33-8545-6561A89DED6E}"/>
    <cellStyle name="Normal 2 2 2 2 2 2 2 2 45" xfId="11728" xr:uid="{5E3D6BA0-9595-479E-B97C-76D72DAB9EA3}"/>
    <cellStyle name="Normal 2 2 2 2 2 2 2 2 46" xfId="11729" xr:uid="{4B0BA8F3-4B84-409C-87C1-C820941DD420}"/>
    <cellStyle name="Normal 2 2 2 2 2 2 2 2 47" xfId="11730" xr:uid="{27D4781B-2904-4299-8679-D08272C2EFDE}"/>
    <cellStyle name="Normal 2 2 2 2 2 2 2 2 48" xfId="11731" xr:uid="{728DA2E1-B17F-456E-AD3D-1B0CE8DC481C}"/>
    <cellStyle name="Normal 2 2 2 2 2 2 2 2 49" xfId="11732" xr:uid="{C1F678F9-6472-4F05-BF49-008B4A310EED}"/>
    <cellStyle name="Normal 2 2 2 2 2 2 2 2 5" xfId="11733" xr:uid="{E0A9F280-26D4-402F-A05E-AF0D5AD940F0}"/>
    <cellStyle name="Normal 2 2 2 2 2 2 2 2 50" xfId="11734" xr:uid="{FC90FDF4-088B-4EB9-9398-0A4D37942611}"/>
    <cellStyle name="Normal 2 2 2 2 2 2 2 2 51" xfId="11735" xr:uid="{A49EE461-B3B1-43C6-A61F-BA27674E5EA5}"/>
    <cellStyle name="Normal 2 2 2 2 2 2 2 2 52" xfId="11736" xr:uid="{4B089AAF-822B-4DFC-A409-23AFCDB2D21E}"/>
    <cellStyle name="Normal 2 2 2 2 2 2 2 2 53" xfId="11737" xr:uid="{CEB8D7E8-CC3A-4CCD-B59C-50BDAE2156CC}"/>
    <cellStyle name="Normal 2 2 2 2 2 2 2 2 54" xfId="11738" xr:uid="{511EF6BD-9A6F-4B63-875E-5029F38E0A59}"/>
    <cellStyle name="Normal 2 2 2 2 2 2 2 2 54 2" xfId="11739" xr:uid="{339D77C2-7615-4249-8607-5E307B0CFD87}"/>
    <cellStyle name="Normal 2 2 2 2 2 2 2 2 54 3" xfId="11740" xr:uid="{70BCE273-D42A-4343-A13D-2FD8A893EF53}"/>
    <cellStyle name="Normal 2 2 2 2 2 2 2 2 54 4" xfId="11741" xr:uid="{DBD26C1C-AF77-40CD-8D83-A4EE2F593B14}"/>
    <cellStyle name="Normal 2 2 2 2 2 2 2 2 54 5" xfId="11742" xr:uid="{B3487AB2-FB60-4ACF-BDF9-9D187A61D681}"/>
    <cellStyle name="Normal 2 2 2 2 2 2 2 2 54 6" xfId="11743" xr:uid="{9298C5BB-69FF-4DF4-AEA8-251B7F31D2CF}"/>
    <cellStyle name="Normal 2 2 2 2 2 2 2 2 54 7" xfId="11744" xr:uid="{EFF04316-C238-402B-9618-B1FF625DD3EB}"/>
    <cellStyle name="Normal 2 2 2 2 2 2 2 2 55" xfId="11745" xr:uid="{0F86B1AA-826C-4786-A93E-7518D3B79E18}"/>
    <cellStyle name="Normal 2 2 2 2 2 2 2 2 56" xfId="11746" xr:uid="{E9E1CCA1-36A7-430C-A6BD-90A123E6C6D4}"/>
    <cellStyle name="Normal 2 2 2 2 2 2 2 2 57" xfId="11747" xr:uid="{43D4F658-921F-4947-9C06-407A19E85CF4}"/>
    <cellStyle name="Normal 2 2 2 2 2 2 2 2 58" xfId="11748" xr:uid="{75B0441E-0434-4C32-89C5-4791FE69A502}"/>
    <cellStyle name="Normal 2 2 2 2 2 2 2 2 59" xfId="11749" xr:uid="{C08218A3-FC83-4E63-B661-619B6905EBD4}"/>
    <cellStyle name="Normal 2 2 2 2 2 2 2 2 6" xfId="11750" xr:uid="{6CE0BE81-9F81-4817-910A-A7CCB5AB9243}"/>
    <cellStyle name="Normal 2 2 2 2 2 2 2 2 60" xfId="11751" xr:uid="{62F991BA-0EB6-4CBA-9CA0-AB611457DCD7}"/>
    <cellStyle name="Normal 2 2 2 2 2 2 2 2 61" xfId="11752" xr:uid="{5419118B-7E2E-470D-8A79-7FEA944C5385}"/>
    <cellStyle name="Normal 2 2 2 2 2 2 2 2 62" xfId="11753" xr:uid="{FDC90E4C-355D-4F14-9F45-768632850FC3}"/>
    <cellStyle name="Normal 2 2 2 2 2 2 2 2 63" xfId="11754" xr:uid="{BF0C7DB8-B281-4803-91E0-F59C4F5B70A6}"/>
    <cellStyle name="Normal 2 2 2 2 2 2 2 2 64" xfId="11755" xr:uid="{F6EA4689-7B4C-4D7D-9E5E-F7915C4CA3AF}"/>
    <cellStyle name="Normal 2 2 2 2 2 2 2 2 65" xfId="11756" xr:uid="{89AA3FEC-3085-4E72-B4C9-60117039DB24}"/>
    <cellStyle name="Normal 2 2 2 2 2 2 2 2 66" xfId="11757" xr:uid="{729CF2C2-0617-446D-8EB6-073B9D6DEC71}"/>
    <cellStyle name="Normal 2 2 2 2 2 2 2 2 67" xfId="11758" xr:uid="{1EA8660D-4AA1-47BA-8AAC-81694B21D80C}"/>
    <cellStyle name="Normal 2 2 2 2 2 2 2 2 68" xfId="11759" xr:uid="{CAAD16E7-5ECF-4BC4-A015-9C67FCBA4C26}"/>
    <cellStyle name="Normal 2 2 2 2 2 2 2 2 69" xfId="11760" xr:uid="{A421C368-6DA6-4222-A555-C7E96BEB2672}"/>
    <cellStyle name="Normal 2 2 2 2 2 2 2 2 7" xfId="11761" xr:uid="{F3CB296D-A0B1-432F-AAFA-1B1A9996BEA6}"/>
    <cellStyle name="Normal 2 2 2 2 2 2 2 2 70" xfId="11762" xr:uid="{584616DD-1046-40E3-9CBD-C3AAC7B0D4EA}"/>
    <cellStyle name="Normal 2 2 2 2 2 2 2 2 71" xfId="11763" xr:uid="{6BB6D804-EAA9-4476-A981-CE840581F3DB}"/>
    <cellStyle name="Normal 2 2 2 2 2 2 2 2 72" xfId="11764" xr:uid="{A180A05B-F6BE-400E-A60E-D5C569C0A71E}"/>
    <cellStyle name="Normal 2 2 2 2 2 2 2 2 73" xfId="11765" xr:uid="{66547F9D-B90A-43EE-AF06-EA972F82512E}"/>
    <cellStyle name="Normal 2 2 2 2 2 2 2 2 74" xfId="11766" xr:uid="{50732AD0-D834-4A03-A276-5120EB1B75A1}"/>
    <cellStyle name="Normal 2 2 2 2 2 2 2 2 75" xfId="11767" xr:uid="{2C7F8194-4D64-43EC-B0F7-F9839F51A4CF}"/>
    <cellStyle name="Normal 2 2 2 2 2 2 2 2 76" xfId="11768" xr:uid="{4AA972A5-A732-40EE-9E3C-E69C8E89BD90}"/>
    <cellStyle name="Normal 2 2 2 2 2 2 2 2 77" xfId="11769" xr:uid="{074957C1-2C19-47CC-9DFA-F377BA6FD8A5}"/>
    <cellStyle name="Normal 2 2 2 2 2 2 2 2 78" xfId="11770" xr:uid="{1F966EF4-3026-41CE-94C5-9623B20AD175}"/>
    <cellStyle name="Normal 2 2 2 2 2 2 2 2 79" xfId="11771" xr:uid="{CC528CAE-9379-46AB-B39F-CC27D6614307}"/>
    <cellStyle name="Normal 2 2 2 2 2 2 2 2 8" xfId="11772" xr:uid="{925ADDB1-A620-45BB-B830-11E4D2165B72}"/>
    <cellStyle name="Normal 2 2 2 2 2 2 2 2 80" xfId="11773" xr:uid="{E683C74F-5A50-41AB-B6B5-521B088E2384}"/>
    <cellStyle name="Normal 2 2 2 2 2 2 2 2 81" xfId="11774" xr:uid="{FD1529E9-B32A-4A8C-A919-B2286AFFAC33}"/>
    <cellStyle name="Normal 2 2 2 2 2 2 2 2 82" xfId="11775" xr:uid="{B80D811B-C8D4-43F6-92FE-120815969391}"/>
    <cellStyle name="Normal 2 2 2 2 2 2 2 2 83" xfId="11776" xr:uid="{9B8A8C36-B9AF-43EC-90E2-C0C589A73230}"/>
    <cellStyle name="Normal 2 2 2 2 2 2 2 2 84" xfId="11777" xr:uid="{71E02D1F-8998-4B3C-93CB-595FB8ECB481}"/>
    <cellStyle name="Normal 2 2 2 2 2 2 2 2 85" xfId="11778" xr:uid="{806B7632-7154-49AE-BCA7-EB32AF551088}"/>
    <cellStyle name="Normal 2 2 2 2 2 2 2 2 86" xfId="11779" xr:uid="{A6A0681A-37CE-4A2B-AFD2-CD95FD2510BE}"/>
    <cellStyle name="Normal 2 2 2 2 2 2 2 2 87" xfId="11780" xr:uid="{E7198056-5B51-4411-9264-1C6654A301C2}"/>
    <cellStyle name="Normal 2 2 2 2 2 2 2 2 88" xfId="11781" xr:uid="{7AC2E22D-9185-4D3B-B651-7B39533482D3}"/>
    <cellStyle name="Normal 2 2 2 2 2 2 2 2 89" xfId="11782" xr:uid="{449568A3-80D1-4BF7-A64B-BE530351C69E}"/>
    <cellStyle name="Normal 2 2 2 2 2 2 2 2 9" xfId="11783" xr:uid="{36FBC523-C351-48A5-B1D7-EA789094796D}"/>
    <cellStyle name="Normal 2 2 2 2 2 2 2 2 90" xfId="11784" xr:uid="{ADE55B05-991A-4A7C-8884-92227C91E725}"/>
    <cellStyle name="Normal 2 2 2 2 2 2 2 2 91" xfId="11785" xr:uid="{CFE49A6D-CE40-4914-94CE-9806D57A1DAC}"/>
    <cellStyle name="Normal 2 2 2 2 2 2 2 2 92" xfId="11786" xr:uid="{A9D943F2-0D07-4788-AE7F-D2A3A9C0712D}"/>
    <cellStyle name="Normal 2 2 2 2 2 2 2 2 93" xfId="11787" xr:uid="{38D70911-7ACB-4D40-B04D-278F7FD2489D}"/>
    <cellStyle name="Normal 2 2 2 2 2 2 2 2 94" xfId="11788" xr:uid="{3BA21A7A-7879-4BC3-9D60-42CD97B78273}"/>
    <cellStyle name="Normal 2 2 2 2 2 2 2 2 95" xfId="11789" xr:uid="{13909DAF-6B3F-41CF-88E8-37D87731694E}"/>
    <cellStyle name="Normal 2 2 2 2 2 2 2 2 96" xfId="11790" xr:uid="{E40D9802-CF16-48A9-9F3D-D2867BE0CF53}"/>
    <cellStyle name="Normal 2 2 2 2 2 2 2 2 97" xfId="11791" xr:uid="{25082303-F0AD-4B7B-98EF-D95BFB956A60}"/>
    <cellStyle name="Normal 2 2 2 2 2 2 2 2 98" xfId="11792" xr:uid="{4C8D3323-A47B-4EC3-8B92-848605CD209A}"/>
    <cellStyle name="Normal 2 2 2 2 2 2 2 2 99" xfId="11793" xr:uid="{6869BB30-2655-4C48-8456-602A752AFEF9}"/>
    <cellStyle name="Normal 2 2 2 2 2 2 2 20" xfId="11794" xr:uid="{5DC8C68B-184C-4031-BA52-B20932901721}"/>
    <cellStyle name="Normal 2 2 2 2 2 2 2 20 10" xfId="11795" xr:uid="{93549D2C-A2F2-4BFD-B0D4-515CB60580F5}"/>
    <cellStyle name="Normal 2 2 2 2 2 2 2 20 11" xfId="11796" xr:uid="{52616393-C3C7-4C6C-A4D9-3C9090FC73C0}"/>
    <cellStyle name="Normal 2 2 2 2 2 2 2 20 11 10" xfId="11797" xr:uid="{E2EACE08-E2F8-43A9-836A-175F5A0C3BDE}"/>
    <cellStyle name="Normal 2 2 2 2 2 2 2 20 11 11" xfId="11798" xr:uid="{53DC6984-EB82-4082-945B-EBA418BE555B}"/>
    <cellStyle name="Normal 2 2 2 2 2 2 2 20 11 11 2" xfId="11799" xr:uid="{0C6B22E1-D9AF-47E4-99A6-6E9C1AED1E5A}"/>
    <cellStyle name="Normal 2 2 2 2 2 2 2 20 11 11 3" xfId="11800" xr:uid="{E484D1CF-69C4-4467-B021-F8FEF4C28FDC}"/>
    <cellStyle name="Normal 2 2 2 2 2 2 2 20 11 11 4" xfId="11801" xr:uid="{FCCAA31A-2025-46E5-8013-9721794E3761}"/>
    <cellStyle name="Normal 2 2 2 2 2 2 2 20 11 12" xfId="11802" xr:uid="{388A2F8C-0622-4043-994F-007D4BD0801E}"/>
    <cellStyle name="Normal 2 2 2 2 2 2 2 20 11 13" xfId="11803" xr:uid="{5652C0E3-5F7A-4026-AD7E-FF1BBBB9A103}"/>
    <cellStyle name="Normal 2 2 2 2 2 2 2 20 11 14" xfId="11804" xr:uid="{10E6323E-D69E-4FB2-A6D8-D4B52E2A6C58}"/>
    <cellStyle name="Normal 2 2 2 2 2 2 2 20 11 2" xfId="11805" xr:uid="{9DE59F48-7C05-4139-AA44-14AA45A0F7E5}"/>
    <cellStyle name="Normal 2 2 2 2 2 2 2 20 11 2 10" xfId="11806" xr:uid="{70F8867F-B467-442B-8073-3A363ACF36EE}"/>
    <cellStyle name="Normal 2 2 2 2 2 2 2 20 11 2 11" xfId="11807" xr:uid="{197DEC9D-96FB-4E96-90F3-C5B8A8E47314}"/>
    <cellStyle name="Normal 2 2 2 2 2 2 2 20 11 2 2" xfId="11808" xr:uid="{6DDD7933-CA53-4229-BBB9-CA09F891B394}"/>
    <cellStyle name="Normal 2 2 2 2 2 2 2 20 11 2 2 10" xfId="11809" xr:uid="{6D48E1E9-900C-4EFD-BD1A-C3B03E50AA7A}"/>
    <cellStyle name="Normal 2 2 2 2 2 2 2 20 11 2 2 11" xfId="11810" xr:uid="{1B359644-D1F5-4206-AFCA-E5D131B374D7}"/>
    <cellStyle name="Normal 2 2 2 2 2 2 2 20 11 2 2 2" xfId="11811" xr:uid="{613ACEC7-BDE0-49EB-8207-526086312282}"/>
    <cellStyle name="Normal 2 2 2 2 2 2 2 20 11 2 2 2 2" xfId="11812" xr:uid="{28686D3F-3ACB-42B6-A303-4EEE298A241B}"/>
    <cellStyle name="Normal 2 2 2 2 2 2 2 20 11 2 2 2 2 2" xfId="11813" xr:uid="{454E984C-E389-4348-9D1B-3942ED6CC5E0}"/>
    <cellStyle name="Normal 2 2 2 2 2 2 2 20 11 2 2 2 2 3" xfId="11814" xr:uid="{B2B8274F-EFDD-4189-985F-EFA54844C243}"/>
    <cellStyle name="Normal 2 2 2 2 2 2 2 20 11 2 2 2 2 4" xfId="11815" xr:uid="{EBFEE6D9-9123-456D-B49C-2F72D5F8F5FC}"/>
    <cellStyle name="Normal 2 2 2 2 2 2 2 20 11 2 2 2 3" xfId="11816" xr:uid="{2BF5279F-F0C8-45A4-AFA8-4C65EDA7B1DF}"/>
    <cellStyle name="Normal 2 2 2 2 2 2 2 20 11 2 2 2 4" xfId="11817" xr:uid="{89E9F2BA-7D98-4ABB-9A2D-319C3C85D5CB}"/>
    <cellStyle name="Normal 2 2 2 2 2 2 2 20 11 2 2 2 5" xfId="11818" xr:uid="{7A240BD2-99A7-42EC-9043-54E35C772BAC}"/>
    <cellStyle name="Normal 2 2 2 2 2 2 2 20 11 2 2 2 6" xfId="11819" xr:uid="{734DC82D-121E-42B2-B495-3703F8967E5F}"/>
    <cellStyle name="Normal 2 2 2 2 2 2 2 20 11 2 2 3" xfId="11820" xr:uid="{54BC158B-032E-4950-9C21-7F283B2DFA72}"/>
    <cellStyle name="Normal 2 2 2 2 2 2 2 20 11 2 2 4" xfId="11821" xr:uid="{F3954C20-ABCC-4DC2-AB56-FFF81788CE2B}"/>
    <cellStyle name="Normal 2 2 2 2 2 2 2 20 11 2 2 5" xfId="11822" xr:uid="{1DBF6BB3-CEA7-404C-8ED9-C283D597B6D1}"/>
    <cellStyle name="Normal 2 2 2 2 2 2 2 20 11 2 2 6" xfId="11823" xr:uid="{E2466178-D8BE-4427-A9F1-E51DB8B9F83E}"/>
    <cellStyle name="Normal 2 2 2 2 2 2 2 20 11 2 2 7" xfId="11824" xr:uid="{B634FD31-E65F-4D09-9164-D5077B255A71}"/>
    <cellStyle name="Normal 2 2 2 2 2 2 2 20 11 2 2 8" xfId="11825" xr:uid="{66DB7883-B806-4D7B-B612-57FD13C871EC}"/>
    <cellStyle name="Normal 2 2 2 2 2 2 2 20 11 2 2 8 2" xfId="11826" xr:uid="{48827876-3D63-4461-A9EF-F1BA5FCB84A0}"/>
    <cellStyle name="Normal 2 2 2 2 2 2 2 20 11 2 2 8 3" xfId="11827" xr:uid="{F7942993-D5FB-45A4-8B9C-623A62CEA5E3}"/>
    <cellStyle name="Normal 2 2 2 2 2 2 2 20 11 2 2 8 4" xfId="11828" xr:uid="{BAEA64C5-48B4-405D-9EFB-B5877A52AFDD}"/>
    <cellStyle name="Normal 2 2 2 2 2 2 2 20 11 2 2 9" xfId="11829" xr:uid="{3ED6EDA9-E923-4F50-8616-7CBFEE8D8EA6}"/>
    <cellStyle name="Normal 2 2 2 2 2 2 2 20 11 2 3" xfId="11830" xr:uid="{37CED9D9-7D61-44AE-B039-247363A41E37}"/>
    <cellStyle name="Normal 2 2 2 2 2 2 2 20 11 2 3 2" xfId="11831" xr:uid="{538DFEC5-F494-4DE5-A5BE-58AB46A1D6C7}"/>
    <cellStyle name="Normal 2 2 2 2 2 2 2 20 11 2 3 2 2" xfId="11832" xr:uid="{2AA5FC62-EDB9-49EF-9482-EE4E96724C8B}"/>
    <cellStyle name="Normal 2 2 2 2 2 2 2 20 11 2 3 2 3" xfId="11833" xr:uid="{C2B25193-751E-436F-BF11-445B2644D7A1}"/>
    <cellStyle name="Normal 2 2 2 2 2 2 2 20 11 2 3 2 4" xfId="11834" xr:uid="{F7ACD798-23EB-4DA4-A6C6-BE0F287FF2B4}"/>
    <cellStyle name="Normal 2 2 2 2 2 2 2 20 11 2 3 3" xfId="11835" xr:uid="{D2728CA2-3017-4EEB-84A7-CF85E4AF15BA}"/>
    <cellStyle name="Normal 2 2 2 2 2 2 2 20 11 2 3 4" xfId="11836" xr:uid="{C96CD55D-4E95-4EDE-80D1-B2FA22E89D33}"/>
    <cellStyle name="Normal 2 2 2 2 2 2 2 20 11 2 3 5" xfId="11837" xr:uid="{D94A4F3C-0056-4C53-B050-306996D3AD6D}"/>
    <cellStyle name="Normal 2 2 2 2 2 2 2 20 11 2 3 6" xfId="11838" xr:uid="{6F6A90C9-1AF9-41CA-B0A0-F4179744580A}"/>
    <cellStyle name="Normal 2 2 2 2 2 2 2 20 11 2 4" xfId="11839" xr:uid="{903E4AC1-E0D3-4335-9D9C-9CD4CC7E118E}"/>
    <cellStyle name="Normal 2 2 2 2 2 2 2 20 11 2 5" xfId="11840" xr:uid="{50451277-C318-4E87-ADA9-218AC49E1150}"/>
    <cellStyle name="Normal 2 2 2 2 2 2 2 20 11 2 6" xfId="11841" xr:uid="{783D9046-575E-4E0F-B303-4951C8FCABE5}"/>
    <cellStyle name="Normal 2 2 2 2 2 2 2 20 11 2 7" xfId="11842" xr:uid="{B018DFAD-AC75-4B26-AC1D-DF71566ACFBD}"/>
    <cellStyle name="Normal 2 2 2 2 2 2 2 20 11 2 8" xfId="11843" xr:uid="{24ED375A-97ED-43FB-BE19-3E434BDFC2A4}"/>
    <cellStyle name="Normal 2 2 2 2 2 2 2 20 11 2 8 2" xfId="11844" xr:uid="{3288E39F-3326-4AF0-8631-66094A3F22D7}"/>
    <cellStyle name="Normal 2 2 2 2 2 2 2 20 11 2 8 3" xfId="11845" xr:uid="{CC380F50-0DB4-4E40-8A65-7B8567026DCF}"/>
    <cellStyle name="Normal 2 2 2 2 2 2 2 20 11 2 8 4" xfId="11846" xr:uid="{0141F1F4-947B-4CE1-B3D5-4924A500070E}"/>
    <cellStyle name="Normal 2 2 2 2 2 2 2 20 11 2 9" xfId="11847" xr:uid="{6488C547-7A56-4733-A17F-76A4AD505D3D}"/>
    <cellStyle name="Normal 2 2 2 2 2 2 2 20 11 3" xfId="11848" xr:uid="{08673F54-9FB2-4EEF-9274-BF395D71D08E}"/>
    <cellStyle name="Normal 2 2 2 2 2 2 2 20 11 4" xfId="11849" xr:uid="{FBDC576D-7007-4219-B72D-7E25E19E34BB}"/>
    <cellStyle name="Normal 2 2 2 2 2 2 2 20 11 5" xfId="11850" xr:uid="{C457A1C4-1B48-4639-ADEA-01AD8E4D2C81}"/>
    <cellStyle name="Normal 2 2 2 2 2 2 2 20 11 5 2" xfId="11851" xr:uid="{C9FB7B5E-66CB-4C1A-BD10-A8C0CCDED27D}"/>
    <cellStyle name="Normal 2 2 2 2 2 2 2 20 11 5 2 2" xfId="11852" xr:uid="{EA692018-6BAF-4C16-9CD3-B3C8E9E4E531}"/>
    <cellStyle name="Normal 2 2 2 2 2 2 2 20 11 5 2 3" xfId="11853" xr:uid="{800F5839-3938-423B-9EBE-4C5B77F619ED}"/>
    <cellStyle name="Normal 2 2 2 2 2 2 2 20 11 5 2 4" xfId="11854" xr:uid="{D95B2D1A-9285-4D6A-9B1B-9379C3784174}"/>
    <cellStyle name="Normal 2 2 2 2 2 2 2 20 11 5 3" xfId="11855" xr:uid="{2636A4F7-7E82-4E20-ABB7-8802A097037B}"/>
    <cellStyle name="Normal 2 2 2 2 2 2 2 20 11 5 4" xfId="11856" xr:uid="{D325F0F4-7F25-413A-8E3A-664E44F89561}"/>
    <cellStyle name="Normal 2 2 2 2 2 2 2 20 11 5 5" xfId="11857" xr:uid="{2E5A0BA3-D3F5-48D7-AE0B-BD2B775B8FEA}"/>
    <cellStyle name="Normal 2 2 2 2 2 2 2 20 11 5 6" xfId="11858" xr:uid="{747EBBB6-4AE0-46CA-8D5D-FCF93B96EFB6}"/>
    <cellStyle name="Normal 2 2 2 2 2 2 2 20 11 6" xfId="11859" xr:uid="{763E0CA0-8DBE-4BFD-BF22-1C6248507C70}"/>
    <cellStyle name="Normal 2 2 2 2 2 2 2 20 11 7" xfId="11860" xr:uid="{C0DABB6E-716D-4E00-8128-792E125103B8}"/>
    <cellStyle name="Normal 2 2 2 2 2 2 2 20 11 8" xfId="11861" xr:uid="{71735F4A-9C7C-492C-9744-AB0859C6E58C}"/>
    <cellStyle name="Normal 2 2 2 2 2 2 2 20 11 9" xfId="11862" xr:uid="{3C2A382A-291D-453D-A3C8-FC4776AB1344}"/>
    <cellStyle name="Normal 2 2 2 2 2 2 2 20 12" xfId="11863" xr:uid="{54F52582-2252-4BFD-BEDF-3EE6AB1A51B9}"/>
    <cellStyle name="Normal 2 2 2 2 2 2 2 20 13" xfId="11864" xr:uid="{382018F7-ECDA-416A-BC15-6B199DC38196}"/>
    <cellStyle name="Normal 2 2 2 2 2 2 2 20 13 10" xfId="11865" xr:uid="{64060444-0F9F-443F-9621-33C66A87029A}"/>
    <cellStyle name="Normal 2 2 2 2 2 2 2 20 13 11" xfId="11866" xr:uid="{F502A711-B6A1-4F8C-8C3A-0CB5A3E57541}"/>
    <cellStyle name="Normal 2 2 2 2 2 2 2 20 13 2" xfId="11867" xr:uid="{92933CD0-4D61-45FE-BCC1-0D7FB28FADE0}"/>
    <cellStyle name="Normal 2 2 2 2 2 2 2 20 13 2 10" xfId="11868" xr:uid="{82EF4F82-94ED-4789-ADEB-A428F73B8969}"/>
    <cellStyle name="Normal 2 2 2 2 2 2 2 20 13 2 11" xfId="11869" xr:uid="{FDDE1069-EEF6-4F16-AABD-DEB48775F2AA}"/>
    <cellStyle name="Normal 2 2 2 2 2 2 2 20 13 2 2" xfId="11870" xr:uid="{4BDDE402-23E3-44D2-BC8E-A7A2EA4C715C}"/>
    <cellStyle name="Normal 2 2 2 2 2 2 2 20 13 2 2 2" xfId="11871" xr:uid="{FA5AA46F-016F-4B7B-AB45-152E83FB46DF}"/>
    <cellStyle name="Normal 2 2 2 2 2 2 2 20 13 2 2 2 2" xfId="11872" xr:uid="{CFFA087F-73B0-4BBB-9DAD-F1D36E150BC7}"/>
    <cellStyle name="Normal 2 2 2 2 2 2 2 20 13 2 2 2 3" xfId="11873" xr:uid="{33055E5E-C4ED-4CD6-A043-0B77269F6C6B}"/>
    <cellStyle name="Normal 2 2 2 2 2 2 2 20 13 2 2 2 4" xfId="11874" xr:uid="{64CFB62E-19FF-4566-8039-0FA7E4149992}"/>
    <cellStyle name="Normal 2 2 2 2 2 2 2 20 13 2 2 3" xfId="11875" xr:uid="{803090EC-5FC2-4E21-9D2A-0037E9AD6F1B}"/>
    <cellStyle name="Normal 2 2 2 2 2 2 2 20 13 2 2 4" xfId="11876" xr:uid="{3FF0A913-FA7F-40F2-9B53-6D6C4A56B039}"/>
    <cellStyle name="Normal 2 2 2 2 2 2 2 20 13 2 2 5" xfId="11877" xr:uid="{E5A818A4-84C8-4A85-B1CE-AA7E8CC533B3}"/>
    <cellStyle name="Normal 2 2 2 2 2 2 2 20 13 2 2 6" xfId="11878" xr:uid="{7D245A5B-AA40-48A3-AF16-3A36DE5F21B9}"/>
    <cellStyle name="Normal 2 2 2 2 2 2 2 20 13 2 3" xfId="11879" xr:uid="{E6099345-3162-4DDA-9BA8-3309D405E4CF}"/>
    <cellStyle name="Normal 2 2 2 2 2 2 2 20 13 2 4" xfId="11880" xr:uid="{0B20C696-FA13-475F-892A-9521CC3385BB}"/>
    <cellStyle name="Normal 2 2 2 2 2 2 2 20 13 2 5" xfId="11881" xr:uid="{78B3B9C5-4769-4F4B-B477-FDAA52A96E90}"/>
    <cellStyle name="Normal 2 2 2 2 2 2 2 20 13 2 6" xfId="11882" xr:uid="{517FBDFA-317B-49C3-8634-FE6B389B27BB}"/>
    <cellStyle name="Normal 2 2 2 2 2 2 2 20 13 2 7" xfId="11883" xr:uid="{1CD5656A-6E05-4479-8CCB-2497443F69EF}"/>
    <cellStyle name="Normal 2 2 2 2 2 2 2 20 13 2 8" xfId="11884" xr:uid="{412796BB-1365-472A-B44B-BC24B0CBEA2A}"/>
    <cellStyle name="Normal 2 2 2 2 2 2 2 20 13 2 8 2" xfId="11885" xr:uid="{4C738C14-03B1-4D73-8791-CE28AF7DCA8A}"/>
    <cellStyle name="Normal 2 2 2 2 2 2 2 20 13 2 8 3" xfId="11886" xr:uid="{E585B38B-E2DC-4BCC-B6D1-9AD140197CA1}"/>
    <cellStyle name="Normal 2 2 2 2 2 2 2 20 13 2 8 4" xfId="11887" xr:uid="{4CB3C498-4ADA-4D1F-9875-9003045D93E0}"/>
    <cellStyle name="Normal 2 2 2 2 2 2 2 20 13 2 9" xfId="11888" xr:uid="{37FD7FBA-ACED-4941-9586-4D3066EB0620}"/>
    <cellStyle name="Normal 2 2 2 2 2 2 2 20 13 3" xfId="11889" xr:uid="{1C958AFB-282C-4AED-87F8-09A69A1C251B}"/>
    <cellStyle name="Normal 2 2 2 2 2 2 2 20 13 3 2" xfId="11890" xr:uid="{AC2ADE83-F1B2-41BE-A064-3E327E7C7ECD}"/>
    <cellStyle name="Normal 2 2 2 2 2 2 2 20 13 3 2 2" xfId="11891" xr:uid="{FC143DF4-5890-482A-8D72-2AA9CDCC53D0}"/>
    <cellStyle name="Normal 2 2 2 2 2 2 2 20 13 3 2 3" xfId="11892" xr:uid="{ECB87648-1485-4F0A-B9E6-CCE00E09E156}"/>
    <cellStyle name="Normal 2 2 2 2 2 2 2 20 13 3 2 4" xfId="11893" xr:uid="{03ABC7CF-7D72-4B02-BF74-F62E6D88D4A3}"/>
    <cellStyle name="Normal 2 2 2 2 2 2 2 20 13 3 3" xfId="11894" xr:uid="{8B86D0D4-6847-446B-99EB-351B57E73C58}"/>
    <cellStyle name="Normal 2 2 2 2 2 2 2 20 13 3 4" xfId="11895" xr:uid="{E9830E61-EC56-4108-A9C0-CAFB2701679D}"/>
    <cellStyle name="Normal 2 2 2 2 2 2 2 20 13 3 5" xfId="11896" xr:uid="{22B30077-4089-4CA2-A099-795497A8805B}"/>
    <cellStyle name="Normal 2 2 2 2 2 2 2 20 13 3 6" xfId="11897" xr:uid="{DAB9D40A-060D-4A25-A661-7569E5D8BE8E}"/>
    <cellStyle name="Normal 2 2 2 2 2 2 2 20 13 4" xfId="11898" xr:uid="{C9F8243E-6AAD-40F4-8C76-99D2B0E4B120}"/>
    <cellStyle name="Normal 2 2 2 2 2 2 2 20 13 5" xfId="11899" xr:uid="{F9C3DB76-5B6A-4379-B01A-18AF99B19C16}"/>
    <cellStyle name="Normal 2 2 2 2 2 2 2 20 13 6" xfId="11900" xr:uid="{94B761C7-35D3-43D6-BB95-F4C110E460A2}"/>
    <cellStyle name="Normal 2 2 2 2 2 2 2 20 13 7" xfId="11901" xr:uid="{8C5604D2-4D3E-4C75-969F-3E35B0074B10}"/>
    <cellStyle name="Normal 2 2 2 2 2 2 2 20 13 8" xfId="11902" xr:uid="{371D0FA1-4C07-4D1B-A854-8B86DD3938A7}"/>
    <cellStyle name="Normal 2 2 2 2 2 2 2 20 13 8 2" xfId="11903" xr:uid="{7381B056-6920-4B6B-99F8-C221866EE90E}"/>
    <cellStyle name="Normal 2 2 2 2 2 2 2 20 13 8 3" xfId="11904" xr:uid="{E994B792-92C5-4C99-BC42-106058E0FB93}"/>
    <cellStyle name="Normal 2 2 2 2 2 2 2 20 13 8 4" xfId="11905" xr:uid="{3532D988-EBEB-4B0B-8318-7DB22E2AE2A4}"/>
    <cellStyle name="Normal 2 2 2 2 2 2 2 20 13 9" xfId="11906" xr:uid="{45A89950-0731-42E8-B8A5-F4EBC1E557D8}"/>
    <cellStyle name="Normal 2 2 2 2 2 2 2 20 14" xfId="11907" xr:uid="{7BCADF73-8060-4CB3-B12F-84F3DDB7E136}"/>
    <cellStyle name="Normal 2 2 2 2 2 2 2 20 15" xfId="11908" xr:uid="{3F58BD79-F1AB-449F-8E4C-D4A3B160FAE2}"/>
    <cellStyle name="Normal 2 2 2 2 2 2 2 20 15 2" xfId="11909" xr:uid="{42DB8712-05CB-4492-A557-CF858F719BF1}"/>
    <cellStyle name="Normal 2 2 2 2 2 2 2 20 15 2 2" xfId="11910" xr:uid="{789DEEA3-31E0-44DF-9E9D-A46D6651C164}"/>
    <cellStyle name="Normal 2 2 2 2 2 2 2 20 15 2 3" xfId="11911" xr:uid="{D1FB7E2A-C077-402F-8C10-7D851CBA2556}"/>
    <cellStyle name="Normal 2 2 2 2 2 2 2 20 15 2 4" xfId="11912" xr:uid="{719E26B7-4D25-45F0-9C45-89D4DDFB443F}"/>
    <cellStyle name="Normal 2 2 2 2 2 2 2 20 15 3" xfId="11913" xr:uid="{8231A716-E3C8-4D9E-8CF9-7439C9633722}"/>
    <cellStyle name="Normal 2 2 2 2 2 2 2 20 15 4" xfId="11914" xr:uid="{3FB96960-4BB9-4A36-9AC3-3723D9C149EB}"/>
    <cellStyle name="Normal 2 2 2 2 2 2 2 20 15 5" xfId="11915" xr:uid="{9907FD9F-94D0-4EB5-B16F-775442111F3D}"/>
    <cellStyle name="Normal 2 2 2 2 2 2 2 20 15 6" xfId="11916" xr:uid="{2F1D36FF-78BA-4763-86C2-377148DDE84C}"/>
    <cellStyle name="Normal 2 2 2 2 2 2 2 20 16" xfId="11917" xr:uid="{9E229C5C-F556-4BFB-AC26-2DC5ACA206A2}"/>
    <cellStyle name="Normal 2 2 2 2 2 2 2 20 17" xfId="11918" xr:uid="{5D386947-1BD1-4011-9587-A5515E00999D}"/>
    <cellStyle name="Normal 2 2 2 2 2 2 2 20 18" xfId="11919" xr:uid="{E53C961F-944B-41B3-B4B1-7A2E9B3D590E}"/>
    <cellStyle name="Normal 2 2 2 2 2 2 2 20 19" xfId="11920" xr:uid="{8BB5AE2E-20D0-4F8E-BD27-12CE215E12CF}"/>
    <cellStyle name="Normal 2 2 2 2 2 2 2 20 2" xfId="11921" xr:uid="{4CD5B62A-0D0A-467A-A716-2ED62D142EC9}"/>
    <cellStyle name="Normal 2 2 2 2 2 2 2 20 2 10" xfId="11922" xr:uid="{D891E77E-CB34-47E6-BAE5-5663783B1E43}"/>
    <cellStyle name="Normal 2 2 2 2 2 2 2 20 2 11" xfId="11923" xr:uid="{BA250A00-FB2B-43C9-B4D0-26179DB772A9}"/>
    <cellStyle name="Normal 2 2 2 2 2 2 2 20 2 12" xfId="11924" xr:uid="{7E73308B-665A-4DE5-BEDA-57C254B75364}"/>
    <cellStyle name="Normal 2 2 2 2 2 2 2 20 2 13" xfId="11925" xr:uid="{7DDA512B-C6EB-4F57-A82A-1E04B28D3F84}"/>
    <cellStyle name="Normal 2 2 2 2 2 2 2 20 2 13 2" xfId="11926" xr:uid="{D6BBF3BB-55E2-49CF-AE48-5F40202F1FD5}"/>
    <cellStyle name="Normal 2 2 2 2 2 2 2 20 2 13 3" xfId="11927" xr:uid="{9972BB26-1984-40F3-A231-7B6DD06B5D30}"/>
    <cellStyle name="Normal 2 2 2 2 2 2 2 20 2 13 4" xfId="11928" xr:uid="{911FBA68-02E6-4CA8-B506-2B39C2A5F2B8}"/>
    <cellStyle name="Normal 2 2 2 2 2 2 2 20 2 14" xfId="11929" xr:uid="{E3404E34-B445-42BD-A7D9-C3F7249717A1}"/>
    <cellStyle name="Normal 2 2 2 2 2 2 2 20 2 15" xfId="11930" xr:uid="{9422C007-E787-49E0-B6CF-980BC978FF6D}"/>
    <cellStyle name="Normal 2 2 2 2 2 2 2 20 2 16" xfId="11931" xr:uid="{6F67C0CD-7ECD-4C99-976A-1223FE26095C}"/>
    <cellStyle name="Normal 2 2 2 2 2 2 2 20 2 2" xfId="11932" xr:uid="{6691CC10-84E2-471F-90A0-FD4F29544153}"/>
    <cellStyle name="Normal 2 2 2 2 2 2 2 20 2 2 10" xfId="11933" xr:uid="{756CCACD-A01B-425F-AAFC-19E27A24E0B1}"/>
    <cellStyle name="Normal 2 2 2 2 2 2 2 20 2 2 11" xfId="11934" xr:uid="{6D940BFB-4F7B-4906-A3CB-3A719640FB42}"/>
    <cellStyle name="Normal 2 2 2 2 2 2 2 20 2 2 11 2" xfId="11935" xr:uid="{93C471C1-4EA3-405E-A4F4-78921FC58F97}"/>
    <cellStyle name="Normal 2 2 2 2 2 2 2 20 2 2 11 3" xfId="11936" xr:uid="{8FCA79C0-697E-4063-B85A-F2F439DFE3CD}"/>
    <cellStyle name="Normal 2 2 2 2 2 2 2 20 2 2 11 4" xfId="11937" xr:uid="{90F3CCCE-3B3E-4BF0-9A39-EF802DF4B365}"/>
    <cellStyle name="Normal 2 2 2 2 2 2 2 20 2 2 12" xfId="11938" xr:uid="{1EBE1AA0-A6EC-40D5-B77E-63FFF9EB9ED9}"/>
    <cellStyle name="Normal 2 2 2 2 2 2 2 20 2 2 13" xfId="11939" xr:uid="{A12DFA15-B850-4683-8815-FE40E98F1A4A}"/>
    <cellStyle name="Normal 2 2 2 2 2 2 2 20 2 2 14" xfId="11940" xr:uid="{A2F67A21-9BAB-4F1B-90B9-62D5D209BFF6}"/>
    <cellStyle name="Normal 2 2 2 2 2 2 2 20 2 2 2" xfId="11941" xr:uid="{B5A417A4-5CE2-4027-99F7-CA71AF80EAC5}"/>
    <cellStyle name="Normal 2 2 2 2 2 2 2 20 2 2 2 10" xfId="11942" xr:uid="{556A995C-9BA2-4DED-9596-898531B4C075}"/>
    <cellStyle name="Normal 2 2 2 2 2 2 2 20 2 2 2 11" xfId="11943" xr:uid="{D08B588A-BBB4-4CFC-8E05-137918220639}"/>
    <cellStyle name="Normal 2 2 2 2 2 2 2 20 2 2 2 2" xfId="11944" xr:uid="{4900D182-8E46-45FA-AAA5-31DFDA400D58}"/>
    <cellStyle name="Normal 2 2 2 2 2 2 2 20 2 2 2 2 10" xfId="11945" xr:uid="{F72B3647-EB70-4922-88A6-8EA506FAC53C}"/>
    <cellStyle name="Normal 2 2 2 2 2 2 2 20 2 2 2 2 11" xfId="11946" xr:uid="{F0EB3C82-2323-4435-850D-0DED87425DE2}"/>
    <cellStyle name="Normal 2 2 2 2 2 2 2 20 2 2 2 2 2" xfId="11947" xr:uid="{D6680C5E-E186-46DB-B81D-D7A13097D66C}"/>
    <cellStyle name="Normal 2 2 2 2 2 2 2 20 2 2 2 2 2 2" xfId="11948" xr:uid="{E166BBA1-9535-4428-BF80-473678E0E5B9}"/>
    <cellStyle name="Normal 2 2 2 2 2 2 2 20 2 2 2 2 2 2 2" xfId="11949" xr:uid="{BDDD34FD-16AF-4C89-B995-651AEE0A3E4E}"/>
    <cellStyle name="Normal 2 2 2 2 2 2 2 20 2 2 2 2 2 2 3" xfId="11950" xr:uid="{FBAF9B7A-5213-4373-BCD3-ACB47F0DB693}"/>
    <cellStyle name="Normal 2 2 2 2 2 2 2 20 2 2 2 2 2 2 4" xfId="11951" xr:uid="{5D8818CF-1F96-4FEC-88C3-B600A49428D3}"/>
    <cellStyle name="Normal 2 2 2 2 2 2 2 20 2 2 2 2 2 3" xfId="11952" xr:uid="{1748EDA1-015D-4CB4-AB5E-7427914AD020}"/>
    <cellStyle name="Normal 2 2 2 2 2 2 2 20 2 2 2 2 2 4" xfId="11953" xr:uid="{A6949467-EE2E-4257-B194-8B5B0C0A2D87}"/>
    <cellStyle name="Normal 2 2 2 2 2 2 2 20 2 2 2 2 2 5" xfId="11954" xr:uid="{9D4B4E58-3C58-4150-AC63-2A03359B9A9B}"/>
    <cellStyle name="Normal 2 2 2 2 2 2 2 20 2 2 2 2 2 6" xfId="11955" xr:uid="{99C45074-871C-453E-A848-7671463A0BB0}"/>
    <cellStyle name="Normal 2 2 2 2 2 2 2 20 2 2 2 2 3" xfId="11956" xr:uid="{41F74EB8-3691-4578-8611-133AA93D9F25}"/>
    <cellStyle name="Normal 2 2 2 2 2 2 2 20 2 2 2 2 4" xfId="11957" xr:uid="{93E9FB1F-9DBE-462D-88F8-354CD65BDAE1}"/>
    <cellStyle name="Normal 2 2 2 2 2 2 2 20 2 2 2 2 5" xfId="11958" xr:uid="{DC3E22FA-EC73-43E6-B64F-E18E0311B419}"/>
    <cellStyle name="Normal 2 2 2 2 2 2 2 20 2 2 2 2 6" xfId="11959" xr:uid="{774F597E-6176-4B9B-B55F-E4F74AC18880}"/>
    <cellStyle name="Normal 2 2 2 2 2 2 2 20 2 2 2 2 7" xfId="11960" xr:uid="{E5CD72E0-1D38-4478-A132-09EF588C3CB8}"/>
    <cellStyle name="Normal 2 2 2 2 2 2 2 20 2 2 2 2 8" xfId="11961" xr:uid="{9FEDF9CD-7F16-4C2E-A733-BC09208421B2}"/>
    <cellStyle name="Normal 2 2 2 2 2 2 2 20 2 2 2 2 8 2" xfId="11962" xr:uid="{91D121DA-2851-4579-9A0A-FA1F7F48C534}"/>
    <cellStyle name="Normal 2 2 2 2 2 2 2 20 2 2 2 2 8 3" xfId="11963" xr:uid="{6ED51251-492B-4193-A343-8DFF01BEA357}"/>
    <cellStyle name="Normal 2 2 2 2 2 2 2 20 2 2 2 2 8 4" xfId="11964" xr:uid="{79B05E63-93BE-424B-9B65-DD4DEAA17C2F}"/>
    <cellStyle name="Normal 2 2 2 2 2 2 2 20 2 2 2 2 9" xfId="11965" xr:uid="{A4DC5A0E-52EE-43B4-BBDE-0FC6D8E0E23D}"/>
    <cellStyle name="Normal 2 2 2 2 2 2 2 20 2 2 2 3" xfId="11966" xr:uid="{6F43EA81-48DE-42C3-B3BA-8E48FDEECD63}"/>
    <cellStyle name="Normal 2 2 2 2 2 2 2 20 2 2 2 3 2" xfId="11967" xr:uid="{20036BED-A113-4F37-9399-2B981B1C3FF2}"/>
    <cellStyle name="Normal 2 2 2 2 2 2 2 20 2 2 2 3 2 2" xfId="11968" xr:uid="{F87B0DC4-1746-478E-BA8E-E4D5ECA85F73}"/>
    <cellStyle name="Normal 2 2 2 2 2 2 2 20 2 2 2 3 2 3" xfId="11969" xr:uid="{443AD71E-8ED1-48D8-8252-BE4368F0E8CC}"/>
    <cellStyle name="Normal 2 2 2 2 2 2 2 20 2 2 2 3 2 4" xfId="11970" xr:uid="{3ACFA74B-5D31-4A6B-8634-84B71AC68CBC}"/>
    <cellStyle name="Normal 2 2 2 2 2 2 2 20 2 2 2 3 3" xfId="11971" xr:uid="{2CE5B5D9-12A6-436B-A411-10DDE4AEC6A9}"/>
    <cellStyle name="Normal 2 2 2 2 2 2 2 20 2 2 2 3 4" xfId="11972" xr:uid="{36F6D196-8FEB-46CE-B8A6-8DB67462619B}"/>
    <cellStyle name="Normal 2 2 2 2 2 2 2 20 2 2 2 3 5" xfId="11973" xr:uid="{4AC10949-3171-42C9-B394-A739D0667BBC}"/>
    <cellStyle name="Normal 2 2 2 2 2 2 2 20 2 2 2 3 6" xfId="11974" xr:uid="{B9D9B43C-FB88-4251-A5BA-BF2BD9CAE231}"/>
    <cellStyle name="Normal 2 2 2 2 2 2 2 20 2 2 2 4" xfId="11975" xr:uid="{10BA5C1A-D63C-47F3-9CF4-F6143528DBAF}"/>
    <cellStyle name="Normal 2 2 2 2 2 2 2 20 2 2 2 5" xfId="11976" xr:uid="{1916C563-3D01-4E4D-94F2-DAD792031E06}"/>
    <cellStyle name="Normal 2 2 2 2 2 2 2 20 2 2 2 6" xfId="11977" xr:uid="{BAE87D05-BEFB-49E5-8D5C-E9CDAB2DFB0D}"/>
    <cellStyle name="Normal 2 2 2 2 2 2 2 20 2 2 2 7" xfId="11978" xr:uid="{6D8F3ED9-10EA-4DF6-98B6-CE4A1937B97D}"/>
    <cellStyle name="Normal 2 2 2 2 2 2 2 20 2 2 2 8" xfId="11979" xr:uid="{334E29B4-7D20-45DC-BABC-619D5AFEA6C3}"/>
    <cellStyle name="Normal 2 2 2 2 2 2 2 20 2 2 2 8 2" xfId="11980" xr:uid="{CDD6B7C4-233C-454E-AE22-9D8249B1B1A4}"/>
    <cellStyle name="Normal 2 2 2 2 2 2 2 20 2 2 2 8 3" xfId="11981" xr:uid="{F0C9675D-6F40-4FA7-ACDB-469D5F309BDB}"/>
    <cellStyle name="Normal 2 2 2 2 2 2 2 20 2 2 2 8 4" xfId="11982" xr:uid="{7644C38E-3EEE-4F66-888B-829B7807065F}"/>
    <cellStyle name="Normal 2 2 2 2 2 2 2 20 2 2 2 9" xfId="11983" xr:uid="{851394F2-9A59-4931-9936-F284870BC881}"/>
    <cellStyle name="Normal 2 2 2 2 2 2 2 20 2 2 3" xfId="11984" xr:uid="{890BF2A3-4356-40DB-8E98-D50F3ABF69E1}"/>
    <cellStyle name="Normal 2 2 2 2 2 2 2 20 2 2 4" xfId="11985" xr:uid="{90A067AF-8074-4189-8779-79395E34A06D}"/>
    <cellStyle name="Normal 2 2 2 2 2 2 2 20 2 2 5" xfId="11986" xr:uid="{4C2710BA-CE44-460A-9B36-073353B8ACE4}"/>
    <cellStyle name="Normal 2 2 2 2 2 2 2 20 2 2 5 2" xfId="11987" xr:uid="{5B4E5D2D-3C11-487A-A680-7B2D16C87CD7}"/>
    <cellStyle name="Normal 2 2 2 2 2 2 2 20 2 2 5 2 2" xfId="11988" xr:uid="{63BA06C9-FA75-4DA1-B351-5A53A1BF2AA3}"/>
    <cellStyle name="Normal 2 2 2 2 2 2 2 20 2 2 5 2 3" xfId="11989" xr:uid="{24B5F847-36D2-4DBD-A93E-88D1C79AB224}"/>
    <cellStyle name="Normal 2 2 2 2 2 2 2 20 2 2 5 2 4" xfId="11990" xr:uid="{562D4A13-8C80-484E-A8B5-64C281621377}"/>
    <cellStyle name="Normal 2 2 2 2 2 2 2 20 2 2 5 3" xfId="11991" xr:uid="{82EC427F-5C59-4B69-9D54-D573794D06F9}"/>
    <cellStyle name="Normal 2 2 2 2 2 2 2 20 2 2 5 4" xfId="11992" xr:uid="{74F13222-3F46-4E0C-85A6-8E04E1B5A697}"/>
    <cellStyle name="Normal 2 2 2 2 2 2 2 20 2 2 5 5" xfId="11993" xr:uid="{7801E2BC-4B77-43AB-BA45-7B6DDD62F3FD}"/>
    <cellStyle name="Normal 2 2 2 2 2 2 2 20 2 2 5 6" xfId="11994" xr:uid="{F28068EE-DBE5-4272-A6B3-73AADB8D8AE8}"/>
    <cellStyle name="Normal 2 2 2 2 2 2 2 20 2 2 6" xfId="11995" xr:uid="{EA544CE3-49BE-4F99-AC90-80DA324CE25A}"/>
    <cellStyle name="Normal 2 2 2 2 2 2 2 20 2 2 7" xfId="11996" xr:uid="{7491F4DC-FBD3-497D-AEF9-D3B4E984F048}"/>
    <cellStyle name="Normal 2 2 2 2 2 2 2 20 2 2 8" xfId="11997" xr:uid="{E54041C8-509A-4CEF-8994-CCAE050F99B7}"/>
    <cellStyle name="Normal 2 2 2 2 2 2 2 20 2 2 9" xfId="11998" xr:uid="{2067DC90-8CFD-4E32-B7A9-4474262A3600}"/>
    <cellStyle name="Normal 2 2 2 2 2 2 2 20 2 3" xfId="11999" xr:uid="{B54E4B56-BC96-4AC4-9281-022E320A9812}"/>
    <cellStyle name="Normal 2 2 2 2 2 2 2 20 2 4" xfId="12000" xr:uid="{26C51622-4FF2-43F5-B3E5-DC26FF870B80}"/>
    <cellStyle name="Normal 2 2 2 2 2 2 2 20 2 5" xfId="12001" xr:uid="{CF40997B-AA7B-43AF-9DCB-045676C272D9}"/>
    <cellStyle name="Normal 2 2 2 2 2 2 2 20 2 5 10" xfId="12002" xr:uid="{4DD44752-84AA-4FF0-A049-B9DB223DC002}"/>
    <cellStyle name="Normal 2 2 2 2 2 2 2 20 2 5 11" xfId="12003" xr:uid="{CCBBE93D-A05E-4263-94CB-F5F5FD421D8A}"/>
    <cellStyle name="Normal 2 2 2 2 2 2 2 20 2 5 2" xfId="12004" xr:uid="{29376392-D2D9-429D-ADB9-485E356648B8}"/>
    <cellStyle name="Normal 2 2 2 2 2 2 2 20 2 5 2 10" xfId="12005" xr:uid="{99F12483-0C1B-4304-8A06-237AF6F51257}"/>
    <cellStyle name="Normal 2 2 2 2 2 2 2 20 2 5 2 11" xfId="12006" xr:uid="{EC23E906-7D6B-40A7-90E2-64CD8F7322DE}"/>
    <cellStyle name="Normal 2 2 2 2 2 2 2 20 2 5 2 2" xfId="12007" xr:uid="{13109781-6B40-43AE-8BEB-0DB024AF1D8A}"/>
    <cellStyle name="Normal 2 2 2 2 2 2 2 20 2 5 2 2 2" xfId="12008" xr:uid="{ED9DB9C8-FA6F-4D66-9E25-2552A0FF0AEC}"/>
    <cellStyle name="Normal 2 2 2 2 2 2 2 20 2 5 2 2 2 2" xfId="12009" xr:uid="{36E12F23-30F4-42AA-874A-AA0B77DC9579}"/>
    <cellStyle name="Normal 2 2 2 2 2 2 2 20 2 5 2 2 2 3" xfId="12010" xr:uid="{0F12513F-3DB8-4F57-8DC1-B5D6FA3F56B4}"/>
    <cellStyle name="Normal 2 2 2 2 2 2 2 20 2 5 2 2 2 4" xfId="12011" xr:uid="{387CC074-1EE3-498D-830D-05C9774CDED6}"/>
    <cellStyle name="Normal 2 2 2 2 2 2 2 20 2 5 2 2 3" xfId="12012" xr:uid="{41CF02AD-67DE-4D97-8368-FFD5914C4FE2}"/>
    <cellStyle name="Normal 2 2 2 2 2 2 2 20 2 5 2 2 4" xfId="12013" xr:uid="{657F6876-C7B2-405F-8130-9DD1F50F0AD1}"/>
    <cellStyle name="Normal 2 2 2 2 2 2 2 20 2 5 2 2 5" xfId="12014" xr:uid="{6CEC805F-7C3B-41FF-B599-11AB7E548538}"/>
    <cellStyle name="Normal 2 2 2 2 2 2 2 20 2 5 2 2 6" xfId="12015" xr:uid="{A954261F-77F3-41B2-9388-5F4F893AB509}"/>
    <cellStyle name="Normal 2 2 2 2 2 2 2 20 2 5 2 3" xfId="12016" xr:uid="{C1FC4CDF-8D73-4388-AF88-31C3F291CC28}"/>
    <cellStyle name="Normal 2 2 2 2 2 2 2 20 2 5 2 4" xfId="12017" xr:uid="{BFA839BA-B716-4CCA-9D78-CF84FB4729B0}"/>
    <cellStyle name="Normal 2 2 2 2 2 2 2 20 2 5 2 5" xfId="12018" xr:uid="{B6688840-5078-47D0-823D-AB6383083439}"/>
    <cellStyle name="Normal 2 2 2 2 2 2 2 20 2 5 2 6" xfId="12019" xr:uid="{8DD8E1E9-FC54-4120-AC78-E3CA7CA82B4E}"/>
    <cellStyle name="Normal 2 2 2 2 2 2 2 20 2 5 2 7" xfId="12020" xr:uid="{04C47236-1C6E-43B0-87B9-49B279B723C0}"/>
    <cellStyle name="Normal 2 2 2 2 2 2 2 20 2 5 2 8" xfId="12021" xr:uid="{493D19A0-2135-4CAC-8C12-8B07E57F09B3}"/>
    <cellStyle name="Normal 2 2 2 2 2 2 2 20 2 5 2 8 2" xfId="12022" xr:uid="{59C0190C-FFB1-45F7-8CD7-670AA4C00D32}"/>
    <cellStyle name="Normal 2 2 2 2 2 2 2 20 2 5 2 8 3" xfId="12023" xr:uid="{D40AFCF2-A45B-47AD-A9FF-6B4D777BA0AB}"/>
    <cellStyle name="Normal 2 2 2 2 2 2 2 20 2 5 2 8 4" xfId="12024" xr:uid="{B197CB2E-12C0-4ADA-8F22-4C221EFB7725}"/>
    <cellStyle name="Normal 2 2 2 2 2 2 2 20 2 5 2 9" xfId="12025" xr:uid="{F30D4AB6-BBC6-4B93-B5B0-7A56EC3E4B9B}"/>
    <cellStyle name="Normal 2 2 2 2 2 2 2 20 2 5 3" xfId="12026" xr:uid="{050AEA18-8139-45F5-B422-510745A7E11E}"/>
    <cellStyle name="Normal 2 2 2 2 2 2 2 20 2 5 3 2" xfId="12027" xr:uid="{56ECBC03-C6BA-4B2B-9199-BFDD46BC3527}"/>
    <cellStyle name="Normal 2 2 2 2 2 2 2 20 2 5 3 2 2" xfId="12028" xr:uid="{0C828A45-B5F0-4EB7-BF1F-DC234E387778}"/>
    <cellStyle name="Normal 2 2 2 2 2 2 2 20 2 5 3 2 3" xfId="12029" xr:uid="{0A1B8ED5-9977-4574-A51E-EB93AB3EE5C6}"/>
    <cellStyle name="Normal 2 2 2 2 2 2 2 20 2 5 3 2 4" xfId="12030" xr:uid="{6EC50B67-0474-4422-96A4-224DC7183C90}"/>
    <cellStyle name="Normal 2 2 2 2 2 2 2 20 2 5 3 3" xfId="12031" xr:uid="{013464FC-173B-4DE8-8889-304594AF0957}"/>
    <cellStyle name="Normal 2 2 2 2 2 2 2 20 2 5 3 4" xfId="12032" xr:uid="{1C838F22-FF83-4547-A695-89F4D13B7492}"/>
    <cellStyle name="Normal 2 2 2 2 2 2 2 20 2 5 3 5" xfId="12033" xr:uid="{85703580-6211-4CA7-B0AD-9DF78C420223}"/>
    <cellStyle name="Normal 2 2 2 2 2 2 2 20 2 5 3 6" xfId="12034" xr:uid="{6B9B4479-62A9-452A-BC73-3984ED0EF79C}"/>
    <cellStyle name="Normal 2 2 2 2 2 2 2 20 2 5 4" xfId="12035" xr:uid="{0E40C2B7-2F29-462C-A774-BD93D3DB67CD}"/>
    <cellStyle name="Normal 2 2 2 2 2 2 2 20 2 5 5" xfId="12036" xr:uid="{413620A6-7476-445D-ACE2-8719B2776657}"/>
    <cellStyle name="Normal 2 2 2 2 2 2 2 20 2 5 6" xfId="12037" xr:uid="{2E87AA8E-70A2-4958-810A-7AEA7BCD9047}"/>
    <cellStyle name="Normal 2 2 2 2 2 2 2 20 2 5 7" xfId="12038" xr:uid="{A77B3612-673E-484B-9B5C-3D4E93EC9BFF}"/>
    <cellStyle name="Normal 2 2 2 2 2 2 2 20 2 5 8" xfId="12039" xr:uid="{24A65FEE-B060-411A-BF7F-FC29F73A381B}"/>
    <cellStyle name="Normal 2 2 2 2 2 2 2 20 2 5 8 2" xfId="12040" xr:uid="{70B56142-75F6-4E5E-8F50-0D916B226E9A}"/>
    <cellStyle name="Normal 2 2 2 2 2 2 2 20 2 5 8 3" xfId="12041" xr:uid="{397A286A-D56F-43EA-BE22-FB3FC47FE688}"/>
    <cellStyle name="Normal 2 2 2 2 2 2 2 20 2 5 8 4" xfId="12042" xr:uid="{D5BB02BA-B090-4EB4-B103-AC021591CCFD}"/>
    <cellStyle name="Normal 2 2 2 2 2 2 2 20 2 5 9" xfId="12043" xr:uid="{EAC2AB20-CD9C-4349-BFA5-EB37CD688669}"/>
    <cellStyle name="Normal 2 2 2 2 2 2 2 20 2 6" xfId="12044" xr:uid="{EEE18A70-6142-4FF3-8E17-D8E121A05A85}"/>
    <cellStyle name="Normal 2 2 2 2 2 2 2 20 2 7" xfId="12045" xr:uid="{176C8BFC-89B2-4A63-9020-314E7A379FF1}"/>
    <cellStyle name="Normal 2 2 2 2 2 2 2 20 2 7 2" xfId="12046" xr:uid="{02D2255D-C196-4143-90E7-0155F77092FF}"/>
    <cellStyle name="Normal 2 2 2 2 2 2 2 20 2 7 2 2" xfId="12047" xr:uid="{64216032-760D-46E9-A021-04C3016AB732}"/>
    <cellStyle name="Normal 2 2 2 2 2 2 2 20 2 7 2 3" xfId="12048" xr:uid="{C858F4BA-BA8F-44DA-81F4-F21CAC769E7C}"/>
    <cellStyle name="Normal 2 2 2 2 2 2 2 20 2 7 2 4" xfId="12049" xr:uid="{479E7ACC-6F3D-417D-9B43-9C005D55CF2F}"/>
    <cellStyle name="Normal 2 2 2 2 2 2 2 20 2 7 3" xfId="12050" xr:uid="{CC41573B-94CB-474D-886E-F1854A5A415E}"/>
    <cellStyle name="Normal 2 2 2 2 2 2 2 20 2 7 4" xfId="12051" xr:uid="{81F10DF7-A8FB-4C79-9BA9-CCD01778EA4C}"/>
    <cellStyle name="Normal 2 2 2 2 2 2 2 20 2 7 5" xfId="12052" xr:uid="{413CDB3C-9649-46E2-8A65-7480A449EFE2}"/>
    <cellStyle name="Normal 2 2 2 2 2 2 2 20 2 7 6" xfId="12053" xr:uid="{106B7A4C-F29B-469D-A07C-10CDE6EC3E21}"/>
    <cellStyle name="Normal 2 2 2 2 2 2 2 20 2 8" xfId="12054" xr:uid="{FD38E31F-31A1-47FC-89ED-4F784734FEA1}"/>
    <cellStyle name="Normal 2 2 2 2 2 2 2 20 2 9" xfId="12055" xr:uid="{6A392A95-23BF-4912-8312-004F0F89D0EE}"/>
    <cellStyle name="Normal 2 2 2 2 2 2 2 20 20" xfId="12056" xr:uid="{33ED24E3-A63B-4142-824F-72AEA69A8185}"/>
    <cellStyle name="Normal 2 2 2 2 2 2 2 20 21" xfId="12057" xr:uid="{C5BA62EF-0E54-435C-BB7F-E10D9B7A25C4}"/>
    <cellStyle name="Normal 2 2 2 2 2 2 2 20 21 2" xfId="12058" xr:uid="{5400607D-11A2-4A86-A5A1-6CA43EF3C1DA}"/>
    <cellStyle name="Normal 2 2 2 2 2 2 2 20 21 3" xfId="12059" xr:uid="{527771E5-2F49-41BA-99F9-0E6BB67FCF59}"/>
    <cellStyle name="Normal 2 2 2 2 2 2 2 20 21 4" xfId="12060" xr:uid="{7109CA75-F8D2-41A9-8C9B-4502C672D966}"/>
    <cellStyle name="Normal 2 2 2 2 2 2 2 20 22" xfId="12061" xr:uid="{E26BA397-DDB1-40CD-839F-9E38C8DEAEAF}"/>
    <cellStyle name="Normal 2 2 2 2 2 2 2 20 23" xfId="12062" xr:uid="{84E8FF11-243F-4FB9-B943-CBD93B89E016}"/>
    <cellStyle name="Normal 2 2 2 2 2 2 2 20 24" xfId="12063" xr:uid="{E9B449A4-B6AB-445A-A0D1-18DEAEE5766D}"/>
    <cellStyle name="Normal 2 2 2 2 2 2 2 20 3" xfId="12064" xr:uid="{E887DE33-9790-493D-9FA2-3EFF150F51F6}"/>
    <cellStyle name="Normal 2 2 2 2 2 2 2 20 4" xfId="12065" xr:uid="{CB02B93C-B3AA-43C8-8D3C-2F0B2BBF9154}"/>
    <cellStyle name="Normal 2 2 2 2 2 2 2 20 5" xfId="12066" xr:uid="{BCE1F71C-93FD-4E33-AE35-00B1F5CFFE4D}"/>
    <cellStyle name="Normal 2 2 2 2 2 2 2 20 6" xfId="12067" xr:uid="{6C8441EB-A0BB-4F8F-8841-6BB18BD8CAFF}"/>
    <cellStyle name="Normal 2 2 2 2 2 2 2 20 7" xfId="12068" xr:uid="{7E347484-9254-41B7-BE65-33A23A56A999}"/>
    <cellStyle name="Normal 2 2 2 2 2 2 2 20 8" xfId="12069" xr:uid="{F7D7B7C2-E662-4500-9588-B0BD5F790632}"/>
    <cellStyle name="Normal 2 2 2 2 2 2 2 20 9" xfId="12070" xr:uid="{15D1EFDB-23F6-45C3-AECC-F28D6A48AF97}"/>
    <cellStyle name="Normal 2 2 2 2 2 2 2 21" xfId="12071" xr:uid="{C5915571-7A23-41A2-A8D8-471D44ADA9EE}"/>
    <cellStyle name="Normal 2 2 2 2 2 2 2 21 10" xfId="12072" xr:uid="{1755BBAF-B03F-440C-A146-67D39EB0069F}"/>
    <cellStyle name="Normal 2 2 2 2 2 2 2 21 11" xfId="12073" xr:uid="{0236C2DB-BA03-43D2-BD85-FD5173A5D3F3}"/>
    <cellStyle name="Normal 2 2 2 2 2 2 2 21 12" xfId="12074" xr:uid="{7123CD02-51BB-44AE-B625-816EEF60616F}"/>
    <cellStyle name="Normal 2 2 2 2 2 2 2 21 13" xfId="12075" xr:uid="{661CD9D7-08B9-437A-8438-B33AF7AE8183}"/>
    <cellStyle name="Normal 2 2 2 2 2 2 2 21 13 2" xfId="12076" xr:uid="{6F73FBEB-B2E7-4438-AB72-392A5F0F757C}"/>
    <cellStyle name="Normal 2 2 2 2 2 2 2 21 13 3" xfId="12077" xr:uid="{6D0B5C68-75A6-4C60-9572-B87373993F25}"/>
    <cellStyle name="Normal 2 2 2 2 2 2 2 21 13 4" xfId="12078" xr:uid="{2951B903-1C17-4898-ADBE-0FB4094791CC}"/>
    <cellStyle name="Normal 2 2 2 2 2 2 2 21 14" xfId="12079" xr:uid="{394FC8DF-33D7-4628-8972-2442120BC650}"/>
    <cellStyle name="Normal 2 2 2 2 2 2 2 21 15" xfId="12080" xr:uid="{8FC4D64B-9749-4E18-9B8F-1AC1B900F14E}"/>
    <cellStyle name="Normal 2 2 2 2 2 2 2 21 16" xfId="12081" xr:uid="{72309E78-5989-44EC-9F4D-C0FF5EB1E2F8}"/>
    <cellStyle name="Normal 2 2 2 2 2 2 2 21 2" xfId="12082" xr:uid="{41D6A612-69CF-4CCA-9DEC-4AE94FD0B625}"/>
    <cellStyle name="Normal 2 2 2 2 2 2 2 21 2 10" xfId="12083" xr:uid="{880FB1DD-DA65-46D1-8F3E-303DA6A51B8E}"/>
    <cellStyle name="Normal 2 2 2 2 2 2 2 21 2 11" xfId="12084" xr:uid="{D4EAFE58-D77C-4719-B2DB-1AA6F7D3329E}"/>
    <cellStyle name="Normal 2 2 2 2 2 2 2 21 2 11 2" xfId="12085" xr:uid="{FA340A87-DE57-4A31-BF21-98C7CFE6482F}"/>
    <cellStyle name="Normal 2 2 2 2 2 2 2 21 2 11 3" xfId="12086" xr:uid="{1A654437-9434-4C97-8822-AFC6ED24E0DF}"/>
    <cellStyle name="Normal 2 2 2 2 2 2 2 21 2 11 4" xfId="12087" xr:uid="{85FB664E-207C-47B3-9198-29686BC778D9}"/>
    <cellStyle name="Normal 2 2 2 2 2 2 2 21 2 12" xfId="12088" xr:uid="{F32963F9-2CBC-4631-8C90-276976DD0D43}"/>
    <cellStyle name="Normal 2 2 2 2 2 2 2 21 2 13" xfId="12089" xr:uid="{DB780E11-73DE-4887-A469-3CDEB3086D8A}"/>
    <cellStyle name="Normal 2 2 2 2 2 2 2 21 2 14" xfId="12090" xr:uid="{6BB98FB5-A6AA-451C-BA82-E369D98FFB65}"/>
    <cellStyle name="Normal 2 2 2 2 2 2 2 21 2 2" xfId="12091" xr:uid="{AC160183-E7F8-45AF-B4AC-96248D814A3C}"/>
    <cellStyle name="Normal 2 2 2 2 2 2 2 21 2 2 10" xfId="12092" xr:uid="{D4FCFB99-D02D-4C35-B54E-940CABFD7DD4}"/>
    <cellStyle name="Normal 2 2 2 2 2 2 2 21 2 2 11" xfId="12093" xr:uid="{7D062BDB-2E42-4606-929B-A4FF26BA4579}"/>
    <cellStyle name="Normal 2 2 2 2 2 2 2 21 2 2 2" xfId="12094" xr:uid="{3EF4BE9A-2406-4D8F-8701-9DBD67EED543}"/>
    <cellStyle name="Normal 2 2 2 2 2 2 2 21 2 2 2 10" xfId="12095" xr:uid="{27451C11-B7BE-4DA1-A0F0-2BC703424EEB}"/>
    <cellStyle name="Normal 2 2 2 2 2 2 2 21 2 2 2 11" xfId="12096" xr:uid="{57ADDC68-C26C-46D7-9DB5-E3D6B0D5C6B6}"/>
    <cellStyle name="Normal 2 2 2 2 2 2 2 21 2 2 2 2" xfId="12097" xr:uid="{AF159DE0-3D9F-48A1-BF99-DC0E0187343B}"/>
    <cellStyle name="Normal 2 2 2 2 2 2 2 21 2 2 2 2 2" xfId="12098" xr:uid="{6BD7D353-4A96-4490-805A-5C390E2EC086}"/>
    <cellStyle name="Normal 2 2 2 2 2 2 2 21 2 2 2 2 2 2" xfId="12099" xr:uid="{79706509-15AE-433C-89E5-DE057B7B2524}"/>
    <cellStyle name="Normal 2 2 2 2 2 2 2 21 2 2 2 2 2 3" xfId="12100" xr:uid="{EE923C8B-9316-4780-92BC-5E274AC38C0A}"/>
    <cellStyle name="Normal 2 2 2 2 2 2 2 21 2 2 2 2 2 4" xfId="12101" xr:uid="{C446656A-9E86-4A96-B76C-F81529A2B8B4}"/>
    <cellStyle name="Normal 2 2 2 2 2 2 2 21 2 2 2 2 3" xfId="12102" xr:uid="{65C33D77-18B5-46F1-90D4-3D759354EAEA}"/>
    <cellStyle name="Normal 2 2 2 2 2 2 2 21 2 2 2 2 4" xfId="12103" xr:uid="{19C441C8-17B9-45C0-BE2B-1340F6E81DEF}"/>
    <cellStyle name="Normal 2 2 2 2 2 2 2 21 2 2 2 2 5" xfId="12104" xr:uid="{4B2C482A-47ED-4B55-A4D4-E1D0296215A1}"/>
    <cellStyle name="Normal 2 2 2 2 2 2 2 21 2 2 2 2 6" xfId="12105" xr:uid="{E835823A-7C3E-46B7-BD99-FC99F583C75D}"/>
    <cellStyle name="Normal 2 2 2 2 2 2 2 21 2 2 2 3" xfId="12106" xr:uid="{07BE9782-5EA8-43F2-97E0-62889ABD3389}"/>
    <cellStyle name="Normal 2 2 2 2 2 2 2 21 2 2 2 4" xfId="12107" xr:uid="{F392A849-D0AE-4E4E-BDF8-C0A885383BE4}"/>
    <cellStyle name="Normal 2 2 2 2 2 2 2 21 2 2 2 5" xfId="12108" xr:uid="{6CCBDC28-8552-4243-B2D1-C4D409C99F5E}"/>
    <cellStyle name="Normal 2 2 2 2 2 2 2 21 2 2 2 6" xfId="12109" xr:uid="{0B904DD2-36DE-44BD-AC04-2E76206BA718}"/>
    <cellStyle name="Normal 2 2 2 2 2 2 2 21 2 2 2 7" xfId="12110" xr:uid="{08DF73DE-F3BA-4E23-A8C4-0E28467C5AAF}"/>
    <cellStyle name="Normal 2 2 2 2 2 2 2 21 2 2 2 8" xfId="12111" xr:uid="{451621F9-49AB-413B-ACB7-2491D104BA16}"/>
    <cellStyle name="Normal 2 2 2 2 2 2 2 21 2 2 2 8 2" xfId="12112" xr:uid="{847AE46C-3719-4AA1-B951-A4C3D07281EE}"/>
    <cellStyle name="Normal 2 2 2 2 2 2 2 21 2 2 2 8 3" xfId="12113" xr:uid="{F6D6FFCD-FD95-4A27-9E0C-4218A7E915B5}"/>
    <cellStyle name="Normal 2 2 2 2 2 2 2 21 2 2 2 8 4" xfId="12114" xr:uid="{01DAB114-768B-4EDC-915A-D3AC7B92D200}"/>
    <cellStyle name="Normal 2 2 2 2 2 2 2 21 2 2 2 9" xfId="12115" xr:uid="{FAE974EE-13EF-4AF2-A01B-927A75C530C3}"/>
    <cellStyle name="Normal 2 2 2 2 2 2 2 21 2 2 3" xfId="12116" xr:uid="{7C464B30-0DF8-4794-9F93-A6FA74DE801B}"/>
    <cellStyle name="Normal 2 2 2 2 2 2 2 21 2 2 3 2" xfId="12117" xr:uid="{00913D24-A0C2-4C3E-992E-1515B38E87A4}"/>
    <cellStyle name="Normal 2 2 2 2 2 2 2 21 2 2 3 2 2" xfId="12118" xr:uid="{3ACBF0EC-A050-414D-88F4-B0402A52DEBD}"/>
    <cellStyle name="Normal 2 2 2 2 2 2 2 21 2 2 3 2 3" xfId="12119" xr:uid="{8ACE7A5D-DB7A-42EF-A03A-3DBA8C913AA5}"/>
    <cellStyle name="Normal 2 2 2 2 2 2 2 21 2 2 3 2 4" xfId="12120" xr:uid="{41CF0AEB-007B-40E5-83A0-047AEFAADF14}"/>
    <cellStyle name="Normal 2 2 2 2 2 2 2 21 2 2 3 3" xfId="12121" xr:uid="{3A4ABCA3-EE17-4980-B90C-E212008DB5A5}"/>
    <cellStyle name="Normal 2 2 2 2 2 2 2 21 2 2 3 4" xfId="12122" xr:uid="{463F022F-2E9B-47F1-A6D8-B70D45E5F0F4}"/>
    <cellStyle name="Normal 2 2 2 2 2 2 2 21 2 2 3 5" xfId="12123" xr:uid="{84F9CE9D-09BA-4001-ABA4-07E0F5DC2CAF}"/>
    <cellStyle name="Normal 2 2 2 2 2 2 2 21 2 2 3 6" xfId="12124" xr:uid="{326AC7A0-1CBD-43EB-A493-CD85A55D767A}"/>
    <cellStyle name="Normal 2 2 2 2 2 2 2 21 2 2 4" xfId="12125" xr:uid="{3F0D7BDB-1239-427F-A175-CBE3069B797F}"/>
    <cellStyle name="Normal 2 2 2 2 2 2 2 21 2 2 5" xfId="12126" xr:uid="{CCFCC0B9-F713-43BA-B5D7-E401E524BA18}"/>
    <cellStyle name="Normal 2 2 2 2 2 2 2 21 2 2 6" xfId="12127" xr:uid="{3401DBDD-C550-475F-838C-0162B1B3F493}"/>
    <cellStyle name="Normal 2 2 2 2 2 2 2 21 2 2 7" xfId="12128" xr:uid="{6F03F7C7-E301-4B63-97BF-49EAC840EFA7}"/>
    <cellStyle name="Normal 2 2 2 2 2 2 2 21 2 2 8" xfId="12129" xr:uid="{1E5C1163-16B8-4FFB-A882-96DE50F724C3}"/>
    <cellStyle name="Normal 2 2 2 2 2 2 2 21 2 2 8 2" xfId="12130" xr:uid="{EBC928C4-2A76-460E-8E0B-D52534B959EF}"/>
    <cellStyle name="Normal 2 2 2 2 2 2 2 21 2 2 8 3" xfId="12131" xr:uid="{FB472C69-FCA6-4AED-ADDB-0F294A2862B7}"/>
    <cellStyle name="Normal 2 2 2 2 2 2 2 21 2 2 8 4" xfId="12132" xr:uid="{52456E16-C4DC-4841-9476-5E9878B1CAFE}"/>
    <cellStyle name="Normal 2 2 2 2 2 2 2 21 2 2 9" xfId="12133" xr:uid="{795E0E72-B2BE-404D-9CD7-17B832E50791}"/>
    <cellStyle name="Normal 2 2 2 2 2 2 2 21 2 3" xfId="12134" xr:uid="{5189558A-017D-4927-82A1-A136B9E7D0D7}"/>
    <cellStyle name="Normal 2 2 2 2 2 2 2 21 2 4" xfId="12135" xr:uid="{226EE038-2126-4EB3-8AED-337CD0FF16D1}"/>
    <cellStyle name="Normal 2 2 2 2 2 2 2 21 2 5" xfId="12136" xr:uid="{11FA670F-6AE1-47F2-A4D6-2D03C5755C6F}"/>
    <cellStyle name="Normal 2 2 2 2 2 2 2 21 2 5 2" xfId="12137" xr:uid="{35B2E5BF-0E38-4954-8CE6-341CBD98C4D4}"/>
    <cellStyle name="Normal 2 2 2 2 2 2 2 21 2 5 2 2" xfId="12138" xr:uid="{421665C1-4B01-4645-A123-87DAC52BB9BD}"/>
    <cellStyle name="Normal 2 2 2 2 2 2 2 21 2 5 2 3" xfId="12139" xr:uid="{E389AAD2-0129-41C7-BE9C-F3A71DC7FC81}"/>
    <cellStyle name="Normal 2 2 2 2 2 2 2 21 2 5 2 4" xfId="12140" xr:uid="{89FE165E-45B4-4CBC-978E-DF948C86CBB3}"/>
    <cellStyle name="Normal 2 2 2 2 2 2 2 21 2 5 3" xfId="12141" xr:uid="{9B27DB33-1F6E-4DE5-A062-CAF68E4C85D1}"/>
    <cellStyle name="Normal 2 2 2 2 2 2 2 21 2 5 4" xfId="12142" xr:uid="{F1DCAC9E-8C82-41F6-BC3D-54BF46D9571F}"/>
    <cellStyle name="Normal 2 2 2 2 2 2 2 21 2 5 5" xfId="12143" xr:uid="{9E5A534A-BFA8-4E8A-887F-A0CB7A204488}"/>
    <cellStyle name="Normal 2 2 2 2 2 2 2 21 2 5 6" xfId="12144" xr:uid="{470C08D6-9770-4144-9A1B-176FE23186DB}"/>
    <cellStyle name="Normal 2 2 2 2 2 2 2 21 2 6" xfId="12145" xr:uid="{CE0154C6-4FF9-4302-8B6B-F531D9BA155C}"/>
    <cellStyle name="Normal 2 2 2 2 2 2 2 21 2 7" xfId="12146" xr:uid="{FA9188C8-028D-4124-B6A2-4BE764B926A7}"/>
    <cellStyle name="Normal 2 2 2 2 2 2 2 21 2 8" xfId="12147" xr:uid="{99A6C577-3087-418B-8B94-EDF4555E8B2D}"/>
    <cellStyle name="Normal 2 2 2 2 2 2 2 21 2 9" xfId="12148" xr:uid="{C32524FF-8E35-4CE7-97E3-423A52C6EE06}"/>
    <cellStyle name="Normal 2 2 2 2 2 2 2 21 3" xfId="12149" xr:uid="{942F622F-335A-4B8A-BBD6-F9C1E07F7F7C}"/>
    <cellStyle name="Normal 2 2 2 2 2 2 2 21 4" xfId="12150" xr:uid="{2B46A469-4BE1-45BF-B80B-483A358C2E18}"/>
    <cellStyle name="Normal 2 2 2 2 2 2 2 21 5" xfId="12151" xr:uid="{C97DC41B-6035-46AB-AF9A-DFBB2B2754C7}"/>
    <cellStyle name="Normal 2 2 2 2 2 2 2 21 5 10" xfId="12152" xr:uid="{C849A70B-5BAF-44A5-A588-BCE1FB152DED}"/>
    <cellStyle name="Normal 2 2 2 2 2 2 2 21 5 11" xfId="12153" xr:uid="{991AEEC1-43E8-4B23-8D11-D87BC31DE128}"/>
    <cellStyle name="Normal 2 2 2 2 2 2 2 21 5 2" xfId="12154" xr:uid="{CDF51F62-4712-48D9-9B6D-5702AFD834B5}"/>
    <cellStyle name="Normal 2 2 2 2 2 2 2 21 5 2 10" xfId="12155" xr:uid="{9839E4A6-E103-4D1F-A125-153FFDCB7A61}"/>
    <cellStyle name="Normal 2 2 2 2 2 2 2 21 5 2 11" xfId="12156" xr:uid="{F5598B80-14A7-48AD-9007-60986AC6D871}"/>
    <cellStyle name="Normal 2 2 2 2 2 2 2 21 5 2 2" xfId="12157" xr:uid="{CE395228-866D-4769-9929-2E45124E9562}"/>
    <cellStyle name="Normal 2 2 2 2 2 2 2 21 5 2 2 2" xfId="12158" xr:uid="{7EA8F4B1-78E7-4C8B-8BF8-E0432C8F7FD5}"/>
    <cellStyle name="Normal 2 2 2 2 2 2 2 21 5 2 2 2 2" xfId="12159" xr:uid="{E91FAE01-8121-44D0-A35E-8F190FB460EA}"/>
    <cellStyle name="Normal 2 2 2 2 2 2 2 21 5 2 2 2 3" xfId="12160" xr:uid="{8EB8C236-D670-464B-9312-D0189563B30E}"/>
    <cellStyle name="Normal 2 2 2 2 2 2 2 21 5 2 2 2 4" xfId="12161" xr:uid="{5235CE53-A967-410D-9109-D846FAEDFD48}"/>
    <cellStyle name="Normal 2 2 2 2 2 2 2 21 5 2 2 3" xfId="12162" xr:uid="{3987136D-08C3-4648-9FA1-9A323931B412}"/>
    <cellStyle name="Normal 2 2 2 2 2 2 2 21 5 2 2 4" xfId="12163" xr:uid="{4F1A1CD7-E658-4A13-81AD-C2119D78F94E}"/>
    <cellStyle name="Normal 2 2 2 2 2 2 2 21 5 2 2 5" xfId="12164" xr:uid="{D8A757C9-8F53-402D-BEB0-DC998F3EB37C}"/>
    <cellStyle name="Normal 2 2 2 2 2 2 2 21 5 2 2 6" xfId="12165" xr:uid="{C91B6048-EDD3-4992-830A-F6E733C027C8}"/>
    <cellStyle name="Normal 2 2 2 2 2 2 2 21 5 2 3" xfId="12166" xr:uid="{3B5973B9-2EAA-438F-BF0A-C3F6A2DC8282}"/>
    <cellStyle name="Normal 2 2 2 2 2 2 2 21 5 2 4" xfId="12167" xr:uid="{3198008F-EC27-48B3-8558-7574BC647325}"/>
    <cellStyle name="Normal 2 2 2 2 2 2 2 21 5 2 5" xfId="12168" xr:uid="{188EC67B-BA82-4710-BFF0-FB10B5BE4AB4}"/>
    <cellStyle name="Normal 2 2 2 2 2 2 2 21 5 2 6" xfId="12169" xr:uid="{8292957F-8370-4B34-9DF0-029ADB621DB0}"/>
    <cellStyle name="Normal 2 2 2 2 2 2 2 21 5 2 7" xfId="12170" xr:uid="{1F6EE860-DE52-4488-B800-0BB68872CEE8}"/>
    <cellStyle name="Normal 2 2 2 2 2 2 2 21 5 2 8" xfId="12171" xr:uid="{204E13FE-5AA7-4CB7-A476-52F6F2B0DCD2}"/>
    <cellStyle name="Normal 2 2 2 2 2 2 2 21 5 2 8 2" xfId="12172" xr:uid="{80AEF432-B484-470C-A2D6-9AE028FAB16A}"/>
    <cellStyle name="Normal 2 2 2 2 2 2 2 21 5 2 8 3" xfId="12173" xr:uid="{BF3B3EB3-DAFA-4DAC-A258-F27D49917B46}"/>
    <cellStyle name="Normal 2 2 2 2 2 2 2 21 5 2 8 4" xfId="12174" xr:uid="{4F7ED00A-A0F8-4BFD-BE8D-2A27484080D7}"/>
    <cellStyle name="Normal 2 2 2 2 2 2 2 21 5 2 9" xfId="12175" xr:uid="{D68A8D68-ABD6-4769-B459-78E426D1AC91}"/>
    <cellStyle name="Normal 2 2 2 2 2 2 2 21 5 3" xfId="12176" xr:uid="{7EFF9F91-F685-40E2-BAF2-E93E05B30F59}"/>
    <cellStyle name="Normal 2 2 2 2 2 2 2 21 5 3 2" xfId="12177" xr:uid="{9B695A4C-C2EE-4CD3-8592-758DC3BEA893}"/>
    <cellStyle name="Normal 2 2 2 2 2 2 2 21 5 3 2 2" xfId="12178" xr:uid="{3A52B9E3-5239-45C0-B133-9F8B563208A3}"/>
    <cellStyle name="Normal 2 2 2 2 2 2 2 21 5 3 2 3" xfId="12179" xr:uid="{71ABA5B0-A8E7-40C5-A625-D66A62F8B1A6}"/>
    <cellStyle name="Normal 2 2 2 2 2 2 2 21 5 3 2 4" xfId="12180" xr:uid="{C87AFBFF-BDB8-40FA-A78B-FE96E1EFAFFF}"/>
    <cellStyle name="Normal 2 2 2 2 2 2 2 21 5 3 3" xfId="12181" xr:uid="{05459159-E57C-467D-BC39-D63DE0A3DC4A}"/>
    <cellStyle name="Normal 2 2 2 2 2 2 2 21 5 3 4" xfId="12182" xr:uid="{7FE381A7-91D1-4B0B-939B-F46D65AF0287}"/>
    <cellStyle name="Normal 2 2 2 2 2 2 2 21 5 3 5" xfId="12183" xr:uid="{00351CE3-A146-4F2A-BA47-8353F4053A35}"/>
    <cellStyle name="Normal 2 2 2 2 2 2 2 21 5 3 6" xfId="12184" xr:uid="{8920BD49-8ED8-4D5B-AE0A-4644180B00FA}"/>
    <cellStyle name="Normal 2 2 2 2 2 2 2 21 5 4" xfId="12185" xr:uid="{52CA68F9-1AFD-4C32-92AE-F1654AAF6F04}"/>
    <cellStyle name="Normal 2 2 2 2 2 2 2 21 5 5" xfId="12186" xr:uid="{C5DA1E75-7944-4AF8-8C81-85028444254C}"/>
    <cellStyle name="Normal 2 2 2 2 2 2 2 21 5 6" xfId="12187" xr:uid="{7518DC7F-DEEF-4ED5-948F-7B1718E199A5}"/>
    <cellStyle name="Normal 2 2 2 2 2 2 2 21 5 7" xfId="12188" xr:uid="{D8F5B28A-D387-4B3B-9418-DC3C5EEC586D}"/>
    <cellStyle name="Normal 2 2 2 2 2 2 2 21 5 8" xfId="12189" xr:uid="{F5392D02-C10A-49AA-B260-14C7D7A99C60}"/>
    <cellStyle name="Normal 2 2 2 2 2 2 2 21 5 8 2" xfId="12190" xr:uid="{842DF142-F834-48E3-8A04-37B45FB884BE}"/>
    <cellStyle name="Normal 2 2 2 2 2 2 2 21 5 8 3" xfId="12191" xr:uid="{D5CBB9F6-52F6-4409-B777-50181BF0B495}"/>
    <cellStyle name="Normal 2 2 2 2 2 2 2 21 5 8 4" xfId="12192" xr:uid="{FB6E0E52-A89D-4222-9823-DECAED2D109E}"/>
    <cellStyle name="Normal 2 2 2 2 2 2 2 21 5 9" xfId="12193" xr:uid="{18527472-027F-4127-B701-FB20EEFD5698}"/>
    <cellStyle name="Normal 2 2 2 2 2 2 2 21 6" xfId="12194" xr:uid="{797B0F93-F362-4BC9-A5BB-546D9F2CE09F}"/>
    <cellStyle name="Normal 2 2 2 2 2 2 2 21 7" xfId="12195" xr:uid="{2A43C9C5-BCD2-48A0-9C88-211CAC654B0B}"/>
    <cellStyle name="Normal 2 2 2 2 2 2 2 21 7 2" xfId="12196" xr:uid="{E48FACB9-D457-43DA-AB1A-51990A9112F7}"/>
    <cellStyle name="Normal 2 2 2 2 2 2 2 21 7 2 2" xfId="12197" xr:uid="{845F6C7E-FC90-4687-8A8C-DB518FC7131D}"/>
    <cellStyle name="Normal 2 2 2 2 2 2 2 21 7 2 3" xfId="12198" xr:uid="{390551B5-06D5-4960-9F71-AA27E9D0C4D4}"/>
    <cellStyle name="Normal 2 2 2 2 2 2 2 21 7 2 4" xfId="12199" xr:uid="{F777E701-2E97-4B5E-A058-8521C5EACF9A}"/>
    <cellStyle name="Normal 2 2 2 2 2 2 2 21 7 3" xfId="12200" xr:uid="{8032A8FE-FD52-4740-AD22-3DAC5FC6C506}"/>
    <cellStyle name="Normal 2 2 2 2 2 2 2 21 7 4" xfId="12201" xr:uid="{A575203B-AEBE-4CD5-8078-A7B791798DC4}"/>
    <cellStyle name="Normal 2 2 2 2 2 2 2 21 7 5" xfId="12202" xr:uid="{40B2E08F-3C67-4A10-9FAA-E0B60EBEB8D8}"/>
    <cellStyle name="Normal 2 2 2 2 2 2 2 21 7 6" xfId="12203" xr:uid="{EFEF6526-49C0-4507-B9E2-D5E407654628}"/>
    <cellStyle name="Normal 2 2 2 2 2 2 2 21 8" xfId="12204" xr:uid="{A67F7813-5460-49C5-A270-D6B2272F2629}"/>
    <cellStyle name="Normal 2 2 2 2 2 2 2 21 9" xfId="12205" xr:uid="{9D0B437F-7E99-437C-9B29-6F0C6D5F6468}"/>
    <cellStyle name="Normal 2 2 2 2 2 2 2 22" xfId="12206" xr:uid="{7FC50418-2D39-4E83-AC08-7C4D17DB9A44}"/>
    <cellStyle name="Normal 2 2 2 2 2 2 2 23" xfId="12207" xr:uid="{B48246DC-0A24-4A33-8E24-141A6435A47F}"/>
    <cellStyle name="Normal 2 2 2 2 2 2 2 24" xfId="12208" xr:uid="{00806A3E-A760-44CC-A98B-F25271160184}"/>
    <cellStyle name="Normal 2 2 2 2 2 2 2 25" xfId="12209" xr:uid="{B51A4A5A-304C-4F7C-BDE6-0737F603D727}"/>
    <cellStyle name="Normal 2 2 2 2 2 2 2 26" xfId="12210" xr:uid="{34F73B86-DE37-42B0-B5C1-91B5A392B942}"/>
    <cellStyle name="Normal 2 2 2 2 2 2 2 27" xfId="12211" xr:uid="{F7DDC00B-280E-49FD-B71A-BA6507138C0D}"/>
    <cellStyle name="Normal 2 2 2 2 2 2 2 28" xfId="12212" xr:uid="{F482FE32-2B3A-4353-BFF3-12F43E80E4E9}"/>
    <cellStyle name="Normal 2 2 2 2 2 2 2 29" xfId="12213" xr:uid="{C36D35F4-1EC4-418B-B860-918A0F2AC88F}"/>
    <cellStyle name="Normal 2 2 2 2 2 2 2 29 10" xfId="12214" xr:uid="{37427332-C6FC-4B26-8006-CB7122F5DC1C}"/>
    <cellStyle name="Normal 2 2 2 2 2 2 2 29 11" xfId="12215" xr:uid="{B7EDA0EE-C39A-4CD8-B980-52769CAEA15B}"/>
    <cellStyle name="Normal 2 2 2 2 2 2 2 29 11 2" xfId="12216" xr:uid="{CD808D53-5056-4BB4-B2B0-E862D735EDB7}"/>
    <cellStyle name="Normal 2 2 2 2 2 2 2 29 11 3" xfId="12217" xr:uid="{ABBB7BCE-7EDD-44CD-B836-CC756B2046A5}"/>
    <cellStyle name="Normal 2 2 2 2 2 2 2 29 11 4" xfId="12218" xr:uid="{C5DFBA76-9CEC-4EC6-98F0-BD1C58B2EAE9}"/>
    <cellStyle name="Normal 2 2 2 2 2 2 2 29 12" xfId="12219" xr:uid="{EA17C7A0-6FC0-4423-B813-D901B2F85B27}"/>
    <cellStyle name="Normal 2 2 2 2 2 2 2 29 13" xfId="12220" xr:uid="{936D5701-05F1-49D4-9530-9E84C07DD10A}"/>
    <cellStyle name="Normal 2 2 2 2 2 2 2 29 14" xfId="12221" xr:uid="{5221EFC8-7849-4745-8838-BEB8EC7B822E}"/>
    <cellStyle name="Normal 2 2 2 2 2 2 2 29 2" xfId="12222" xr:uid="{E77B4526-D367-4862-81D1-08E2324AC856}"/>
    <cellStyle name="Normal 2 2 2 2 2 2 2 29 2 10" xfId="12223" xr:uid="{BE2A95C2-EF5C-4F86-995D-E08706FA168D}"/>
    <cellStyle name="Normal 2 2 2 2 2 2 2 29 2 11" xfId="12224" xr:uid="{386B95FA-4D0F-4B18-9246-E3117BCFEB43}"/>
    <cellStyle name="Normal 2 2 2 2 2 2 2 29 2 2" xfId="12225" xr:uid="{F2352E32-290B-48CC-9C34-A5340F609F6C}"/>
    <cellStyle name="Normal 2 2 2 2 2 2 2 29 2 2 10" xfId="12226" xr:uid="{B0B319C0-FDD5-4215-9847-50D0005F2C8D}"/>
    <cellStyle name="Normal 2 2 2 2 2 2 2 29 2 2 11" xfId="12227" xr:uid="{E69EC06E-AC15-4DBB-882F-804CDE3909B9}"/>
    <cellStyle name="Normal 2 2 2 2 2 2 2 29 2 2 2" xfId="12228" xr:uid="{A19179F3-D06A-4A9F-ADE9-EC94621EBCF3}"/>
    <cellStyle name="Normal 2 2 2 2 2 2 2 29 2 2 2 2" xfId="12229" xr:uid="{425BE5D1-20E0-49BF-AD66-6E6A8D08B0F0}"/>
    <cellStyle name="Normal 2 2 2 2 2 2 2 29 2 2 2 2 2" xfId="12230" xr:uid="{3999E5E8-4AD3-4CEB-BD57-3EA594BFAF92}"/>
    <cellStyle name="Normal 2 2 2 2 2 2 2 29 2 2 2 2 3" xfId="12231" xr:uid="{83552D98-9544-4723-943B-D03155CAAC7C}"/>
    <cellStyle name="Normal 2 2 2 2 2 2 2 29 2 2 2 2 4" xfId="12232" xr:uid="{1CFAC2B8-C4C1-4583-83CE-D5874ED75735}"/>
    <cellStyle name="Normal 2 2 2 2 2 2 2 29 2 2 2 3" xfId="12233" xr:uid="{377B1A25-3621-4ECD-9F12-EA6B79DF46CE}"/>
    <cellStyle name="Normal 2 2 2 2 2 2 2 29 2 2 2 4" xfId="12234" xr:uid="{8B0EDF17-1F5C-4D39-BC09-918DD283B2BF}"/>
    <cellStyle name="Normal 2 2 2 2 2 2 2 29 2 2 2 5" xfId="12235" xr:uid="{0FAD8313-D272-49C7-B9D2-8C2E1D71622E}"/>
    <cellStyle name="Normal 2 2 2 2 2 2 2 29 2 2 2 6" xfId="12236" xr:uid="{32A9787E-0F24-4364-BF20-49CA1AA625FB}"/>
    <cellStyle name="Normal 2 2 2 2 2 2 2 29 2 2 3" xfId="12237" xr:uid="{90FC2A9E-68FE-4C5E-8B04-03A4F372AB61}"/>
    <cellStyle name="Normal 2 2 2 2 2 2 2 29 2 2 4" xfId="12238" xr:uid="{7525E045-EEAE-480E-B566-0D9984869D0D}"/>
    <cellStyle name="Normal 2 2 2 2 2 2 2 29 2 2 5" xfId="12239" xr:uid="{98AAA24E-E12F-4E94-863D-677EA4A18938}"/>
    <cellStyle name="Normal 2 2 2 2 2 2 2 29 2 2 6" xfId="12240" xr:uid="{AE9C2B21-BDFD-4C86-9D99-2FE58F4D8A2B}"/>
    <cellStyle name="Normal 2 2 2 2 2 2 2 29 2 2 7" xfId="12241" xr:uid="{98D9980D-12CC-498D-A2B5-CF6E39847656}"/>
    <cellStyle name="Normal 2 2 2 2 2 2 2 29 2 2 8" xfId="12242" xr:uid="{AC9C3A8D-6FFB-4A01-A86D-B13E23A3166A}"/>
    <cellStyle name="Normal 2 2 2 2 2 2 2 29 2 2 8 2" xfId="12243" xr:uid="{DEE9971B-39F0-4157-924F-FBF45B50E01B}"/>
    <cellStyle name="Normal 2 2 2 2 2 2 2 29 2 2 8 3" xfId="12244" xr:uid="{B7A2458C-4E65-470C-98F0-4C4091DEF8FB}"/>
    <cellStyle name="Normal 2 2 2 2 2 2 2 29 2 2 8 4" xfId="12245" xr:uid="{6728C310-0A14-4AF8-9B56-83E0D8AD2284}"/>
    <cellStyle name="Normal 2 2 2 2 2 2 2 29 2 2 9" xfId="12246" xr:uid="{DFFAE93D-AE6B-4CAC-8AB9-9EF51A45598D}"/>
    <cellStyle name="Normal 2 2 2 2 2 2 2 29 2 3" xfId="12247" xr:uid="{7E3737A7-6BF2-462C-A242-9BB61CF434FC}"/>
    <cellStyle name="Normal 2 2 2 2 2 2 2 29 2 3 2" xfId="12248" xr:uid="{0E0041BD-6D89-4265-95B3-A1C6DB41B363}"/>
    <cellStyle name="Normal 2 2 2 2 2 2 2 29 2 3 2 2" xfId="12249" xr:uid="{370BFD0A-0744-4F5E-BB26-BB5509EE57BF}"/>
    <cellStyle name="Normal 2 2 2 2 2 2 2 29 2 3 2 3" xfId="12250" xr:uid="{5613CB00-F2FC-44ED-8771-B3DC32D70684}"/>
    <cellStyle name="Normal 2 2 2 2 2 2 2 29 2 3 2 4" xfId="12251" xr:uid="{0EA21782-2E47-435A-958F-9748550C6696}"/>
    <cellStyle name="Normal 2 2 2 2 2 2 2 29 2 3 3" xfId="12252" xr:uid="{33400B29-C524-4D40-AB37-FD79F1AB2C01}"/>
    <cellStyle name="Normal 2 2 2 2 2 2 2 29 2 3 4" xfId="12253" xr:uid="{84ED5EF0-29AB-4460-B114-454BB5179AA2}"/>
    <cellStyle name="Normal 2 2 2 2 2 2 2 29 2 3 5" xfId="12254" xr:uid="{5B7460D2-6460-4468-A23E-EA1148F4811E}"/>
    <cellStyle name="Normal 2 2 2 2 2 2 2 29 2 3 6" xfId="12255" xr:uid="{AB885DAC-D5F6-408D-A1B9-F0233CD626DE}"/>
    <cellStyle name="Normal 2 2 2 2 2 2 2 29 2 4" xfId="12256" xr:uid="{0C55C522-B2D8-4891-84F6-AE64621685C4}"/>
    <cellStyle name="Normal 2 2 2 2 2 2 2 29 2 5" xfId="12257" xr:uid="{42A47F07-810D-4D58-9B7A-09051B393E9B}"/>
    <cellStyle name="Normal 2 2 2 2 2 2 2 29 2 6" xfId="12258" xr:uid="{DD911A44-0B99-4ADD-85DB-B5C1DA23F27E}"/>
    <cellStyle name="Normal 2 2 2 2 2 2 2 29 2 7" xfId="12259" xr:uid="{BE477800-BC3A-4E4C-89B0-A76D38617F19}"/>
    <cellStyle name="Normal 2 2 2 2 2 2 2 29 2 8" xfId="12260" xr:uid="{27E65B9C-27B4-40C5-9224-4AA9B823B202}"/>
    <cellStyle name="Normal 2 2 2 2 2 2 2 29 2 8 2" xfId="12261" xr:uid="{CA41A2D9-2B4A-4EE2-9DE7-A0D2878C668A}"/>
    <cellStyle name="Normal 2 2 2 2 2 2 2 29 2 8 3" xfId="12262" xr:uid="{7F2B7483-CAD7-4A72-8DE2-4E0646D50F64}"/>
    <cellStyle name="Normal 2 2 2 2 2 2 2 29 2 8 4" xfId="12263" xr:uid="{55AD5ABB-674D-4FB9-9D81-22788C9CF018}"/>
    <cellStyle name="Normal 2 2 2 2 2 2 2 29 2 9" xfId="12264" xr:uid="{E91B9F9A-387A-4413-B2F8-40A6CEB99E4A}"/>
    <cellStyle name="Normal 2 2 2 2 2 2 2 29 3" xfId="12265" xr:uid="{69280E00-008E-4D62-B978-9865F57F0348}"/>
    <cellStyle name="Normal 2 2 2 2 2 2 2 29 4" xfId="12266" xr:uid="{EE621797-4A8C-4B84-BCFD-9EB8455A2C97}"/>
    <cellStyle name="Normal 2 2 2 2 2 2 2 29 5" xfId="12267" xr:uid="{4E4FA083-3801-41D5-A718-5C6A680D0FD0}"/>
    <cellStyle name="Normal 2 2 2 2 2 2 2 29 5 2" xfId="12268" xr:uid="{E68C2E26-8A81-4383-91E8-18E3B975F484}"/>
    <cellStyle name="Normal 2 2 2 2 2 2 2 29 5 2 2" xfId="12269" xr:uid="{EA578240-A217-45B6-9C5A-F80B6351190A}"/>
    <cellStyle name="Normal 2 2 2 2 2 2 2 29 5 2 3" xfId="12270" xr:uid="{7579C210-2B2E-4CFC-BFD7-1BDE39DD7702}"/>
    <cellStyle name="Normal 2 2 2 2 2 2 2 29 5 2 4" xfId="12271" xr:uid="{ADF01D09-9F4C-48C9-8956-586433002394}"/>
    <cellStyle name="Normal 2 2 2 2 2 2 2 29 5 3" xfId="12272" xr:uid="{7A81FC59-41D6-4BA1-BAE1-65D303D5FDF6}"/>
    <cellStyle name="Normal 2 2 2 2 2 2 2 29 5 4" xfId="12273" xr:uid="{FA8EA593-558C-4502-A06C-87B13D5CEA12}"/>
    <cellStyle name="Normal 2 2 2 2 2 2 2 29 5 5" xfId="12274" xr:uid="{2DAE54F0-8BD1-4D17-B04D-23C6C54760A7}"/>
    <cellStyle name="Normal 2 2 2 2 2 2 2 29 5 6" xfId="12275" xr:uid="{46CDFABD-87FD-4297-BF0A-75029A22A7F9}"/>
    <cellStyle name="Normal 2 2 2 2 2 2 2 29 6" xfId="12276" xr:uid="{C88E2540-365C-4A7F-BCED-48499ED7D53A}"/>
    <cellStyle name="Normal 2 2 2 2 2 2 2 29 7" xfId="12277" xr:uid="{224B1C7E-D9CE-4AD3-9B8A-24737627F589}"/>
    <cellStyle name="Normal 2 2 2 2 2 2 2 29 8" xfId="12278" xr:uid="{8A273C1E-6263-468C-AA6E-0C07097C700E}"/>
    <cellStyle name="Normal 2 2 2 2 2 2 2 29 9" xfId="12279" xr:uid="{BBAC1F13-B58F-4A61-9D77-E194A7DB2057}"/>
    <cellStyle name="Normal 2 2 2 2 2 2 2 3" xfId="12280" xr:uid="{0EAF3AA6-EE81-419F-88D0-BA09AE18A901}"/>
    <cellStyle name="Normal 2 2 2 2 2 2 2 30" xfId="12281" xr:uid="{4DE99C80-5DD0-49C5-96D7-02D3603DB6D9}"/>
    <cellStyle name="Normal 2 2 2 2 2 2 2 31" xfId="12282" xr:uid="{211DA1DC-ADCB-4A01-826C-BC94D74BC9E5}"/>
    <cellStyle name="Normal 2 2 2 2 2 2 2 31 10" xfId="12283" xr:uid="{3DD121FE-3739-4E52-9B84-54BBA9C38A67}"/>
    <cellStyle name="Normal 2 2 2 2 2 2 2 31 11" xfId="12284" xr:uid="{336622A8-3595-4480-A067-7B9A8E832591}"/>
    <cellStyle name="Normal 2 2 2 2 2 2 2 31 2" xfId="12285" xr:uid="{18CF270C-019C-4703-A41B-32E7E018D6F6}"/>
    <cellStyle name="Normal 2 2 2 2 2 2 2 31 2 10" xfId="12286" xr:uid="{9672F43E-DFC1-4223-8880-51CAF0CBC64A}"/>
    <cellStyle name="Normal 2 2 2 2 2 2 2 31 2 11" xfId="12287" xr:uid="{C7360D28-FD27-4736-BD4C-01CA6DFB12F9}"/>
    <cellStyle name="Normal 2 2 2 2 2 2 2 31 2 2" xfId="12288" xr:uid="{4F16C90C-CABE-4E67-B003-C4465125B73F}"/>
    <cellStyle name="Normal 2 2 2 2 2 2 2 31 2 2 2" xfId="12289" xr:uid="{3ADF3E8B-AB99-4429-A274-89BBC5C4212C}"/>
    <cellStyle name="Normal 2 2 2 2 2 2 2 31 2 2 2 2" xfId="12290" xr:uid="{395AF312-B4F1-47C3-846B-641B8B5B3455}"/>
    <cellStyle name="Normal 2 2 2 2 2 2 2 31 2 2 2 3" xfId="12291" xr:uid="{CD2CF34A-2256-4DA3-8920-EC353B487B03}"/>
    <cellStyle name="Normal 2 2 2 2 2 2 2 31 2 2 2 4" xfId="12292" xr:uid="{39008F7F-C768-42C8-84DD-08082986B7DB}"/>
    <cellStyle name="Normal 2 2 2 2 2 2 2 31 2 2 3" xfId="12293" xr:uid="{997DA9E7-ECD5-47E8-AE4F-3863DDC2034D}"/>
    <cellStyle name="Normal 2 2 2 2 2 2 2 31 2 2 4" xfId="12294" xr:uid="{64E3E023-B982-4378-81EA-22DCFA98CBD2}"/>
    <cellStyle name="Normal 2 2 2 2 2 2 2 31 2 2 5" xfId="12295" xr:uid="{23F7967A-12CC-4AEE-9EFD-5B72AD99CF0D}"/>
    <cellStyle name="Normal 2 2 2 2 2 2 2 31 2 2 6" xfId="12296" xr:uid="{E3676A0B-86C6-4582-B156-E6927A9BCA09}"/>
    <cellStyle name="Normal 2 2 2 2 2 2 2 31 2 3" xfId="12297" xr:uid="{9C23D58B-2367-4598-A6C4-7C94617848ED}"/>
    <cellStyle name="Normal 2 2 2 2 2 2 2 31 2 4" xfId="12298" xr:uid="{BED48D62-BF59-4941-A2F8-BC7250B96DB7}"/>
    <cellStyle name="Normal 2 2 2 2 2 2 2 31 2 5" xfId="12299" xr:uid="{00013312-3EC3-44FF-A85E-FC705097157B}"/>
    <cellStyle name="Normal 2 2 2 2 2 2 2 31 2 6" xfId="12300" xr:uid="{050266BA-AF49-4256-97B8-4FF14816C891}"/>
    <cellStyle name="Normal 2 2 2 2 2 2 2 31 2 7" xfId="12301" xr:uid="{B7718902-1D8F-48AE-BC65-AFD68F04D770}"/>
    <cellStyle name="Normal 2 2 2 2 2 2 2 31 2 8" xfId="12302" xr:uid="{063CF583-B201-4352-8AD6-2AC8C116F724}"/>
    <cellStyle name="Normal 2 2 2 2 2 2 2 31 2 8 2" xfId="12303" xr:uid="{DA96DF4C-760F-4E8A-9CF4-B2D89F29D6E8}"/>
    <cellStyle name="Normal 2 2 2 2 2 2 2 31 2 8 3" xfId="12304" xr:uid="{2DB39C7B-C49F-46FC-B96D-2EE169735235}"/>
    <cellStyle name="Normal 2 2 2 2 2 2 2 31 2 8 4" xfId="12305" xr:uid="{806BBDD1-9DB6-468C-9E21-7410D748BAE4}"/>
    <cellStyle name="Normal 2 2 2 2 2 2 2 31 2 9" xfId="12306" xr:uid="{103E96B7-C6D9-477C-8F1E-554CDCE093B9}"/>
    <cellStyle name="Normal 2 2 2 2 2 2 2 31 3" xfId="12307" xr:uid="{732D91AE-DEFA-4FA5-89B1-ED307084F2E2}"/>
    <cellStyle name="Normal 2 2 2 2 2 2 2 31 3 2" xfId="12308" xr:uid="{689A7DE5-1F76-431F-9BFC-D7A37263A8E5}"/>
    <cellStyle name="Normal 2 2 2 2 2 2 2 31 3 2 2" xfId="12309" xr:uid="{9DCBD549-67FD-494F-BC33-E624BEDD2CD0}"/>
    <cellStyle name="Normal 2 2 2 2 2 2 2 31 3 2 3" xfId="12310" xr:uid="{244042B4-2C75-4A0F-B15B-5BC5EA408B11}"/>
    <cellStyle name="Normal 2 2 2 2 2 2 2 31 3 2 4" xfId="12311" xr:uid="{F4424C8A-C9E1-4907-AA22-688DF098644F}"/>
    <cellStyle name="Normal 2 2 2 2 2 2 2 31 3 3" xfId="12312" xr:uid="{4EA99D28-C538-4E99-A200-A2C1E980DCC4}"/>
    <cellStyle name="Normal 2 2 2 2 2 2 2 31 3 4" xfId="12313" xr:uid="{8EF29351-5B67-454E-97D3-44FFE4A762E5}"/>
    <cellStyle name="Normal 2 2 2 2 2 2 2 31 3 5" xfId="12314" xr:uid="{FF73AD34-2B80-4E06-B97B-0444742F4560}"/>
    <cellStyle name="Normal 2 2 2 2 2 2 2 31 3 6" xfId="12315" xr:uid="{45EF01DD-E854-4090-A36E-FAC659856CFD}"/>
    <cellStyle name="Normal 2 2 2 2 2 2 2 31 4" xfId="12316" xr:uid="{45A0D39F-C082-4754-AD3D-29C0A03FE541}"/>
    <cellStyle name="Normal 2 2 2 2 2 2 2 31 5" xfId="12317" xr:uid="{5E881E01-D6B8-4813-B0AE-EDF92BCF7DB5}"/>
    <cellStyle name="Normal 2 2 2 2 2 2 2 31 6" xfId="12318" xr:uid="{F5BE21E0-58FF-4345-9504-273F17BB9D8F}"/>
    <cellStyle name="Normal 2 2 2 2 2 2 2 31 7" xfId="12319" xr:uid="{C3068EEF-43FE-41B6-8D16-C506921FFD2B}"/>
    <cellStyle name="Normal 2 2 2 2 2 2 2 31 8" xfId="12320" xr:uid="{A0DAE50E-0F8A-48A0-9D7D-E1B1C6BCCBE6}"/>
    <cellStyle name="Normal 2 2 2 2 2 2 2 31 8 2" xfId="12321" xr:uid="{1CD3CD60-3E8E-44F8-B37A-A8B6F87E0274}"/>
    <cellStyle name="Normal 2 2 2 2 2 2 2 31 8 3" xfId="12322" xr:uid="{1A80EC21-BF72-4462-8594-24B9118BA629}"/>
    <cellStyle name="Normal 2 2 2 2 2 2 2 31 8 4" xfId="12323" xr:uid="{ABED991A-5572-4D40-9EB9-2B23A827C642}"/>
    <cellStyle name="Normal 2 2 2 2 2 2 2 31 9" xfId="12324" xr:uid="{42F25AD6-A3F4-4D67-9C57-1E7BB12DF663}"/>
    <cellStyle name="Normal 2 2 2 2 2 2 2 32" xfId="12325" xr:uid="{F0DEEAA3-163E-412E-B704-4BC2694013E5}"/>
    <cellStyle name="Normal 2 2 2 2 2 2 2 33" xfId="12326" xr:uid="{261B4250-7C50-4704-AD4B-17FC8DA94313}"/>
    <cellStyle name="Normal 2 2 2 2 2 2 2 33 2" xfId="12327" xr:uid="{B3DC6365-317D-4950-9D82-A7C40B595A09}"/>
    <cellStyle name="Normal 2 2 2 2 2 2 2 33 2 2" xfId="12328" xr:uid="{24C0F8B1-F63F-4E23-88D6-FDED452CDA64}"/>
    <cellStyle name="Normal 2 2 2 2 2 2 2 33 2 3" xfId="12329" xr:uid="{1DF2D008-CECE-4A00-A884-3BB43903345C}"/>
    <cellStyle name="Normal 2 2 2 2 2 2 2 33 2 4" xfId="12330" xr:uid="{D9AE1B07-2B41-40C3-89EB-07EBEDF4F869}"/>
    <cellStyle name="Normal 2 2 2 2 2 2 2 33 3" xfId="12331" xr:uid="{28D8D4CE-B27F-4149-854E-D43E5812D6C6}"/>
    <cellStyle name="Normal 2 2 2 2 2 2 2 33 4" xfId="12332" xr:uid="{2BEF1B77-3BBC-4580-B6C8-B0F6A72AD4FB}"/>
    <cellStyle name="Normal 2 2 2 2 2 2 2 33 5" xfId="12333" xr:uid="{CB855F35-87C9-4A1E-B2ED-EB41095B311B}"/>
    <cellStyle name="Normal 2 2 2 2 2 2 2 33 6" xfId="12334" xr:uid="{EC7FEA96-3461-4070-96E7-33441F4597AE}"/>
    <cellStyle name="Normal 2 2 2 2 2 2 2 34" xfId="12335" xr:uid="{4DE87730-788A-4CF4-AC5D-BA01AB9087C3}"/>
    <cellStyle name="Normal 2 2 2 2 2 2 2 35" xfId="12336" xr:uid="{91DF47B5-9EBA-4942-B4FC-786671DF7C69}"/>
    <cellStyle name="Normal 2 2 2 2 2 2 2 36" xfId="12337" xr:uid="{0110EA85-E995-41EE-8903-4EEFA5DD2683}"/>
    <cellStyle name="Normal 2 2 2 2 2 2 2 37" xfId="12338" xr:uid="{F7E2618F-2AB5-44DD-9E62-9C6CA40752AA}"/>
    <cellStyle name="Normal 2 2 2 2 2 2 2 38" xfId="12339" xr:uid="{3F272FC1-C0BE-46EF-B729-45EC64D14F46}"/>
    <cellStyle name="Normal 2 2 2 2 2 2 2 39" xfId="12340" xr:uid="{D9DBA9DA-B530-4166-8C7D-A90C8B8A3096}"/>
    <cellStyle name="Normal 2 2 2 2 2 2 2 39 2" xfId="12341" xr:uid="{03683C40-0BE6-46FD-B665-2A076FE444DE}"/>
    <cellStyle name="Normal 2 2 2 2 2 2 2 39 3" xfId="12342" xr:uid="{896FAB27-999C-460D-BF25-CF7FF71A3AC2}"/>
    <cellStyle name="Normal 2 2 2 2 2 2 2 39 4" xfId="12343" xr:uid="{A68E6AFD-8C03-46F2-9B58-805AB1585E24}"/>
    <cellStyle name="Normal 2 2 2 2 2 2 2 4" xfId="12344" xr:uid="{F7BCE35A-20DD-411E-992D-77534082D4E0}"/>
    <cellStyle name="Normal 2 2 2 2 2 2 2 40" xfId="12345" xr:uid="{6AEE8869-D61A-4808-A1FA-1C34D8A8B8FA}"/>
    <cellStyle name="Normal 2 2 2 2 2 2 2 41" xfId="12346" xr:uid="{538127E8-66F6-4B9F-8E10-11AA8D29EF77}"/>
    <cellStyle name="Normal 2 2 2 2 2 2 2 42" xfId="12347" xr:uid="{E2EBEE54-4A06-424A-ADE4-C8FADEA96D95}"/>
    <cellStyle name="Normal 2 2 2 2 2 2 2 43" xfId="12348" xr:uid="{19B1F99B-9523-4FF9-9517-2E0D187E61C5}"/>
    <cellStyle name="Normal 2 2 2 2 2 2 2 44" xfId="12349" xr:uid="{2A731422-8D77-4676-8546-6435EEE0A7DD}"/>
    <cellStyle name="Normal 2 2 2 2 2 2 2 45" xfId="12350" xr:uid="{77830DC5-C8E1-4707-A594-924821776499}"/>
    <cellStyle name="Normal 2 2 2 2 2 2 2 46" xfId="12351" xr:uid="{6A2E3B70-D289-43BC-80C5-737273528208}"/>
    <cellStyle name="Normal 2 2 2 2 2 2 2 47" xfId="12352" xr:uid="{D7E60609-3CF5-4910-BE27-E3F0415C858C}"/>
    <cellStyle name="Normal 2 2 2 2 2 2 2 48" xfId="12353" xr:uid="{CDDE82FC-A473-486B-BEAE-6718E57316AC}"/>
    <cellStyle name="Normal 2 2 2 2 2 2 2 49" xfId="12354" xr:uid="{E84A0DEE-6EB4-4CAE-9EBB-43DB66197651}"/>
    <cellStyle name="Normal 2 2 2 2 2 2 2 5" xfId="12355" xr:uid="{851B12BC-6BDD-4D57-810D-0F89007B1AFD}"/>
    <cellStyle name="Normal 2 2 2 2 2 2 2 50" xfId="12356" xr:uid="{4913C492-FAD0-4563-A957-E56F90226D75}"/>
    <cellStyle name="Normal 2 2 2 2 2 2 2 51" xfId="12357" xr:uid="{F04A3780-329E-4127-A3DC-92265211FBD3}"/>
    <cellStyle name="Normal 2 2 2 2 2 2 2 52" xfId="12358" xr:uid="{C77806AA-D945-4B3D-8A3A-8619D531317C}"/>
    <cellStyle name="Normal 2 2 2 2 2 2 2 53" xfId="12359" xr:uid="{71C764E7-3EFD-4FF8-B15F-D0374971691B}"/>
    <cellStyle name="Normal 2 2 2 2 2 2 2 54" xfId="12360" xr:uid="{F26E18A3-D6F7-4F7E-A256-BEB4B50C12F3}"/>
    <cellStyle name="Normal 2 2 2 2 2 2 2 54 2" xfId="12361" xr:uid="{5AC40E4F-FE5D-48B6-8B7B-F1ACABE60000}"/>
    <cellStyle name="Normal 2 2 2 2 2 2 2 54 3" xfId="12362" xr:uid="{2214F82A-396A-4EF1-92A8-38D06557BD71}"/>
    <cellStyle name="Normal 2 2 2 2 2 2 2 54 4" xfId="12363" xr:uid="{C16340F1-FDEA-493B-AC51-5A0A2B167E77}"/>
    <cellStyle name="Normal 2 2 2 2 2 2 2 54 5" xfId="12364" xr:uid="{43E5FA67-18A9-43DC-AB7F-376E2B0214B3}"/>
    <cellStyle name="Normal 2 2 2 2 2 2 2 54 6" xfId="12365" xr:uid="{F24E9BAF-B34E-427D-B437-0F07E9B58BEF}"/>
    <cellStyle name="Normal 2 2 2 2 2 2 2 54 7" xfId="12366" xr:uid="{5A504FBF-A3C1-4AA3-ADCD-2E53B8C8CDF7}"/>
    <cellStyle name="Normal 2 2 2 2 2 2 2 55" xfId="12367" xr:uid="{1B923EC9-936F-440E-8749-7FC7A7124132}"/>
    <cellStyle name="Normal 2 2 2 2 2 2 2 56" xfId="12368" xr:uid="{50DBDF2C-F860-447A-A7E1-63252AD3D9E4}"/>
    <cellStyle name="Normal 2 2 2 2 2 2 2 57" xfId="12369" xr:uid="{39085702-9C41-441C-BBF4-05DC28B03B85}"/>
    <cellStyle name="Normal 2 2 2 2 2 2 2 58" xfId="12370" xr:uid="{4DD8931A-A013-48D7-98A7-3D7362D1D927}"/>
    <cellStyle name="Normal 2 2 2 2 2 2 2 59" xfId="12371" xr:uid="{0F330EC3-1AE2-4B34-9451-FA9001788873}"/>
    <cellStyle name="Normal 2 2 2 2 2 2 2 6" xfId="12372" xr:uid="{16132849-A10F-48BF-B46D-EB7097E11AE9}"/>
    <cellStyle name="Normal 2 2 2 2 2 2 2 60" xfId="12373" xr:uid="{63799129-C57B-4AA2-9B80-A9BC75604945}"/>
    <cellStyle name="Normal 2 2 2 2 2 2 2 61" xfId="12374" xr:uid="{14E6318C-0A78-4010-BEAC-2EAA79D6A26F}"/>
    <cellStyle name="Normal 2 2 2 2 2 2 2 62" xfId="12375" xr:uid="{23CCA0C3-A91D-4DC7-96F9-8B3FD41B28FA}"/>
    <cellStyle name="Normal 2 2 2 2 2 2 2 63" xfId="12376" xr:uid="{4990F55F-F44C-49AC-99F1-53087CE79015}"/>
    <cellStyle name="Normal 2 2 2 2 2 2 2 64" xfId="12377" xr:uid="{EB6BD844-978A-438C-8553-5677E42B680B}"/>
    <cellStyle name="Normal 2 2 2 2 2 2 2 65" xfId="12378" xr:uid="{AC0215F5-C46E-4AD0-8078-E449E63ACA43}"/>
    <cellStyle name="Normal 2 2 2 2 2 2 2 66" xfId="12379" xr:uid="{88FAF64C-2F5B-4F7A-AD9A-D5736CA52A79}"/>
    <cellStyle name="Normal 2 2 2 2 2 2 2 67" xfId="12380" xr:uid="{0CE5291F-6F14-4846-B4B2-43A601E7C9D4}"/>
    <cellStyle name="Normal 2 2 2 2 2 2 2 68" xfId="12381" xr:uid="{7E79947B-A377-45A5-A3BD-2BD9404EB438}"/>
    <cellStyle name="Normal 2 2 2 2 2 2 2 69" xfId="12382" xr:uid="{4F921053-E479-47AF-8AC7-47423F8DE4DD}"/>
    <cellStyle name="Normal 2 2 2 2 2 2 2 7" xfId="12383" xr:uid="{82CDDCD2-4129-4D02-9A22-C2BD53C3A9BA}"/>
    <cellStyle name="Normal 2 2 2 2 2 2 2 70" xfId="12384" xr:uid="{857E4958-4B30-4837-ADC2-01BA39801CFB}"/>
    <cellStyle name="Normal 2 2 2 2 2 2 2 71" xfId="12385" xr:uid="{490D5D94-B689-48C6-9459-6B27C822FE42}"/>
    <cellStyle name="Normal 2 2 2 2 2 2 2 72" xfId="12386" xr:uid="{7ED5FBE2-69A6-4EB6-82A8-7D0461ABDFC2}"/>
    <cellStyle name="Normal 2 2 2 2 2 2 2 73" xfId="12387" xr:uid="{A3D06E8C-614C-4533-BA8F-8449E42BF4B2}"/>
    <cellStyle name="Normal 2 2 2 2 2 2 2 74" xfId="12388" xr:uid="{7B3C34DD-E2C3-4A2D-9447-6DF9B18BC356}"/>
    <cellStyle name="Normal 2 2 2 2 2 2 2 75" xfId="12389" xr:uid="{48D7FBD5-7F7F-401E-995D-E8A60C768E5A}"/>
    <cellStyle name="Normal 2 2 2 2 2 2 2 76" xfId="12390" xr:uid="{73E48C0F-9B30-43F2-ACCD-EE142C2E592B}"/>
    <cellStyle name="Normal 2 2 2 2 2 2 2 77" xfId="12391" xr:uid="{D16A9AC0-8334-4D88-BDF8-597870000E3A}"/>
    <cellStyle name="Normal 2 2 2 2 2 2 2 78" xfId="12392" xr:uid="{865F83A5-A00A-4BB4-BEA5-4867EBFF577D}"/>
    <cellStyle name="Normal 2 2 2 2 2 2 2 79" xfId="12393" xr:uid="{0236A097-4053-4965-9A87-A095ABEF1037}"/>
    <cellStyle name="Normal 2 2 2 2 2 2 2 8" xfId="12394" xr:uid="{437F081E-A8A6-4541-B5F1-DEC05D45168A}"/>
    <cellStyle name="Normal 2 2 2 2 2 2 2 80" xfId="12395" xr:uid="{4314A1A7-FC01-43A3-BCD3-4A01E4068FC6}"/>
    <cellStyle name="Normal 2 2 2 2 2 2 2 81" xfId="12396" xr:uid="{A1893E03-6366-4282-96BF-710E089AEDD8}"/>
    <cellStyle name="Normal 2 2 2 2 2 2 2 82" xfId="12397" xr:uid="{F45A36EA-6179-44F9-847B-EAEAADB0AE1D}"/>
    <cellStyle name="Normal 2 2 2 2 2 2 2 83" xfId="12398" xr:uid="{9280D152-F1F3-4642-AC20-900E836AFC0E}"/>
    <cellStyle name="Normal 2 2 2 2 2 2 2 84" xfId="12399" xr:uid="{9022FCD7-F9F1-4604-9CBD-4231B4E2A118}"/>
    <cellStyle name="Normal 2 2 2 2 2 2 2 85" xfId="12400" xr:uid="{07DDF123-416D-450D-B262-3740D16B3EFA}"/>
    <cellStyle name="Normal 2 2 2 2 2 2 2 86" xfId="12401" xr:uid="{D092F506-B47F-4673-B408-5E94B91033CC}"/>
    <cellStyle name="Normal 2 2 2 2 2 2 2 87" xfId="12402" xr:uid="{57A82F36-9665-4AEA-ABBF-0A0477EF1280}"/>
    <cellStyle name="Normal 2 2 2 2 2 2 2 88" xfId="12403" xr:uid="{3205A87C-5490-4BAC-99F0-EA7D47A2003E}"/>
    <cellStyle name="Normal 2 2 2 2 2 2 2 89" xfId="12404" xr:uid="{C20DDBCB-0E09-4E49-9157-86AEF9DBFFF9}"/>
    <cellStyle name="Normal 2 2 2 2 2 2 2 9" xfId="12405" xr:uid="{6193062D-7D64-41E6-8697-88E3BA563F5E}"/>
    <cellStyle name="Normal 2 2 2 2 2 2 2 90" xfId="12406" xr:uid="{B891FCCA-FA49-4BEA-ADBD-627F2863FADB}"/>
    <cellStyle name="Normal 2 2 2 2 2 2 2 91" xfId="12407" xr:uid="{187D61F9-3CBC-46F1-ABBC-56875DAF7309}"/>
    <cellStyle name="Normal 2 2 2 2 2 2 2 92" xfId="12408" xr:uid="{8037DC03-4E23-4E5B-899D-9A4510FC1330}"/>
    <cellStyle name="Normal 2 2 2 2 2 2 2 93" xfId="12409" xr:uid="{F8C4D1AA-0751-4015-BE89-89825821E244}"/>
    <cellStyle name="Normal 2 2 2 2 2 2 2 94" xfId="12410" xr:uid="{D871A237-FA98-48C1-BA15-C4CE4745DB61}"/>
    <cellStyle name="Normal 2 2 2 2 2 2 2 95" xfId="12411" xr:uid="{9BE42721-2696-45D3-A645-8B9765AE9345}"/>
    <cellStyle name="Normal 2 2 2 2 2 2 2 96" xfId="12412" xr:uid="{7FBA153C-85DA-4AE1-A4E9-71371FA0F8AF}"/>
    <cellStyle name="Normal 2 2 2 2 2 2 2 97" xfId="12413" xr:uid="{D4DBA4F8-D807-413C-801B-FCF928C8E28D}"/>
    <cellStyle name="Normal 2 2 2 2 2 2 2 98" xfId="12414" xr:uid="{526F81F4-8EB8-4029-8C34-9FBEB87846D1}"/>
    <cellStyle name="Normal 2 2 2 2 2 2 2 99" xfId="12415" xr:uid="{2332BD7C-EDD6-4B2A-8B7B-F2EAE24815F9}"/>
    <cellStyle name="Normal 2 2 2 2 2 2 20" xfId="12416" xr:uid="{DA418C6F-5913-4C9A-88C8-F23EA8756932}"/>
    <cellStyle name="Normal 2 2 2 2 2 2 21" xfId="12417" xr:uid="{C4124612-DBCB-4961-856C-51D6898C7579}"/>
    <cellStyle name="Normal 2 2 2 2 2 2 22" xfId="12418" xr:uid="{54C2E8B8-3B06-4783-8C4B-F3BA9A9DC160}"/>
    <cellStyle name="Normal 2 2 2 2 2 2 23" xfId="12419" xr:uid="{88E74331-879B-453D-82EB-27518CB05290}"/>
    <cellStyle name="Normal 2 2 2 2 2 2 24" xfId="12420" xr:uid="{2E8A86C4-4B94-4BF1-903A-6C6CB03BDE49}"/>
    <cellStyle name="Normal 2 2 2 2 2 2 25" xfId="12421" xr:uid="{B6AAD01F-FC7F-47A4-81CE-56369370F644}"/>
    <cellStyle name="Normal 2 2 2 2 2 2 26" xfId="12422" xr:uid="{556BF73A-0E83-4383-8AEC-AEBB757E28DC}"/>
    <cellStyle name="Normal 2 2 2 2 2 2 27" xfId="12423" xr:uid="{4A131D39-7E02-4B0E-B915-575E8770E345}"/>
    <cellStyle name="Normal 2 2 2 2 2 2 28" xfId="12424" xr:uid="{B89FD21E-E2A9-4F23-83E5-4B57E81848A5}"/>
    <cellStyle name="Normal 2 2 2 2 2 2 28 10" xfId="12425" xr:uid="{BC881ABC-6A67-4298-ABED-A96CF660733F}"/>
    <cellStyle name="Normal 2 2 2 2 2 2 28 11" xfId="12426" xr:uid="{E0349E65-0234-49DB-AEF4-2131468B7DCE}"/>
    <cellStyle name="Normal 2 2 2 2 2 2 28 11 10" xfId="12427" xr:uid="{DB050719-CF25-4E90-ACCE-04CFF22EE147}"/>
    <cellStyle name="Normal 2 2 2 2 2 2 28 11 11" xfId="12428" xr:uid="{702D6E19-C42A-4295-8162-A600128B7FF3}"/>
    <cellStyle name="Normal 2 2 2 2 2 2 28 11 11 2" xfId="12429" xr:uid="{F9881413-03CC-4237-9C1C-604AD0734512}"/>
    <cellStyle name="Normal 2 2 2 2 2 2 28 11 11 3" xfId="12430" xr:uid="{F8303350-BE74-409E-9BED-14DBD689258A}"/>
    <cellStyle name="Normal 2 2 2 2 2 2 28 11 11 4" xfId="12431" xr:uid="{67025C54-234D-4600-9D33-CF3C71AD50E9}"/>
    <cellStyle name="Normal 2 2 2 2 2 2 28 11 12" xfId="12432" xr:uid="{FFF5B1D4-20FB-4D48-93E2-66840540EAD0}"/>
    <cellStyle name="Normal 2 2 2 2 2 2 28 11 13" xfId="12433" xr:uid="{A6516C20-AF09-4654-B380-47FE488273BB}"/>
    <cellStyle name="Normal 2 2 2 2 2 2 28 11 14" xfId="12434" xr:uid="{A22A236D-E376-4377-8D4A-2BD7994B76D4}"/>
    <cellStyle name="Normal 2 2 2 2 2 2 28 11 2" xfId="12435" xr:uid="{9A0BBF31-5AF0-43ED-9AF6-BE9D935F6891}"/>
    <cellStyle name="Normal 2 2 2 2 2 2 28 11 2 10" xfId="12436" xr:uid="{9AF5748E-6032-4523-A895-92DD96CBDBAD}"/>
    <cellStyle name="Normal 2 2 2 2 2 2 28 11 2 11" xfId="12437" xr:uid="{9DE6C1F6-6C81-440E-86A3-791750094712}"/>
    <cellStyle name="Normal 2 2 2 2 2 2 28 11 2 2" xfId="12438" xr:uid="{4C4170CB-88AB-42D5-9B84-8C74376018C5}"/>
    <cellStyle name="Normal 2 2 2 2 2 2 28 11 2 2 10" xfId="12439" xr:uid="{268C8024-1787-48F4-BFDA-7959A4CB7C34}"/>
    <cellStyle name="Normal 2 2 2 2 2 2 28 11 2 2 11" xfId="12440" xr:uid="{13F24744-6D8B-4367-8FF9-5D872634BD2F}"/>
    <cellStyle name="Normal 2 2 2 2 2 2 28 11 2 2 2" xfId="12441" xr:uid="{4603D6E2-C3D3-4645-BBA3-CB22706CE16D}"/>
    <cellStyle name="Normal 2 2 2 2 2 2 28 11 2 2 2 2" xfId="12442" xr:uid="{204A455D-AD1D-4323-93A2-CBB00C7C9A17}"/>
    <cellStyle name="Normal 2 2 2 2 2 2 28 11 2 2 2 2 2" xfId="12443" xr:uid="{127C8B5B-408B-4B40-BC9B-EB3BBFA93601}"/>
    <cellStyle name="Normal 2 2 2 2 2 2 28 11 2 2 2 2 3" xfId="12444" xr:uid="{2F4C1E66-BB04-43F0-9C66-4DADA828DC0E}"/>
    <cellStyle name="Normal 2 2 2 2 2 2 28 11 2 2 2 2 4" xfId="12445" xr:uid="{E495CEF1-3EA2-4255-B92B-E4463E49E271}"/>
    <cellStyle name="Normal 2 2 2 2 2 2 28 11 2 2 2 3" xfId="12446" xr:uid="{8D28EF85-46DC-4ABC-A7F9-0AD3F227E743}"/>
    <cellStyle name="Normal 2 2 2 2 2 2 28 11 2 2 2 4" xfId="12447" xr:uid="{48415EDF-D8EA-41DC-8C4A-929C0122D32E}"/>
    <cellStyle name="Normal 2 2 2 2 2 2 28 11 2 2 2 5" xfId="12448" xr:uid="{7E37D470-E7C1-42EA-AA07-51C3D8E51B50}"/>
    <cellStyle name="Normal 2 2 2 2 2 2 28 11 2 2 2 6" xfId="12449" xr:uid="{C3313E1D-B909-46D6-9FBD-ACA4D873250B}"/>
    <cellStyle name="Normal 2 2 2 2 2 2 28 11 2 2 3" xfId="12450" xr:uid="{6409C0E5-421B-4A73-9D91-6CE8F1C0FBB3}"/>
    <cellStyle name="Normal 2 2 2 2 2 2 28 11 2 2 4" xfId="12451" xr:uid="{52AA79A2-C92F-4D45-B1A3-910F39FB675A}"/>
    <cellStyle name="Normal 2 2 2 2 2 2 28 11 2 2 5" xfId="12452" xr:uid="{493C7134-F10C-414C-A67C-40910F3AAA35}"/>
    <cellStyle name="Normal 2 2 2 2 2 2 28 11 2 2 6" xfId="12453" xr:uid="{85E03CAA-DB8A-4206-A931-732D403957B6}"/>
    <cellStyle name="Normal 2 2 2 2 2 2 28 11 2 2 7" xfId="12454" xr:uid="{F128C4D3-3367-4B63-BAD0-3134BA718682}"/>
    <cellStyle name="Normal 2 2 2 2 2 2 28 11 2 2 8" xfId="12455" xr:uid="{AE6D2715-83C8-4CB3-A6B3-13BD82A30AE3}"/>
    <cellStyle name="Normal 2 2 2 2 2 2 28 11 2 2 8 2" xfId="12456" xr:uid="{3FBF85F6-B6CF-4D17-A7DC-9FAE604A537F}"/>
    <cellStyle name="Normal 2 2 2 2 2 2 28 11 2 2 8 3" xfId="12457" xr:uid="{EFDC8642-BAC6-41A1-BC85-47706D3DD9B8}"/>
    <cellStyle name="Normal 2 2 2 2 2 2 28 11 2 2 8 4" xfId="12458" xr:uid="{7143F7CB-47C0-4253-83CF-7B5BF6A90CB5}"/>
    <cellStyle name="Normal 2 2 2 2 2 2 28 11 2 2 9" xfId="12459" xr:uid="{7EC28AEC-8A3D-46C1-BAF7-7B9C29777694}"/>
    <cellStyle name="Normal 2 2 2 2 2 2 28 11 2 3" xfId="12460" xr:uid="{30C7D8DA-E14C-4377-ADCC-85375328488A}"/>
    <cellStyle name="Normal 2 2 2 2 2 2 28 11 2 3 2" xfId="12461" xr:uid="{BBF43CBA-D63B-44A3-9478-340D9FA45DB0}"/>
    <cellStyle name="Normal 2 2 2 2 2 2 28 11 2 3 2 2" xfId="12462" xr:uid="{1F1CE9A6-63F9-4B3C-9409-C580B08D31BA}"/>
    <cellStyle name="Normal 2 2 2 2 2 2 28 11 2 3 2 3" xfId="12463" xr:uid="{CDB21A39-DA3C-4CCC-B756-4F10EA3D9F18}"/>
    <cellStyle name="Normal 2 2 2 2 2 2 28 11 2 3 2 4" xfId="12464" xr:uid="{4606BA0D-3ADB-44BD-B419-279CFCF86A7D}"/>
    <cellStyle name="Normal 2 2 2 2 2 2 28 11 2 3 3" xfId="12465" xr:uid="{3E94AE93-BD6C-4FB0-8F07-26E1D4D62293}"/>
    <cellStyle name="Normal 2 2 2 2 2 2 28 11 2 3 4" xfId="12466" xr:uid="{71DE84AA-3A2E-4C8C-8170-75AEC26ABABF}"/>
    <cellStyle name="Normal 2 2 2 2 2 2 28 11 2 3 5" xfId="12467" xr:uid="{87A578A8-2CAA-4F70-8FED-100DE21D5643}"/>
    <cellStyle name="Normal 2 2 2 2 2 2 28 11 2 3 6" xfId="12468" xr:uid="{DB51BA80-2DA2-442B-9891-1546C4EE0910}"/>
    <cellStyle name="Normal 2 2 2 2 2 2 28 11 2 4" xfId="12469" xr:uid="{11CC5DBE-5115-40A3-9A24-631B15A13F45}"/>
    <cellStyle name="Normal 2 2 2 2 2 2 28 11 2 5" xfId="12470" xr:uid="{37C4D7B7-87D9-4E68-9B0F-63CB87D80A1D}"/>
    <cellStyle name="Normal 2 2 2 2 2 2 28 11 2 6" xfId="12471" xr:uid="{C30DA8FF-DB09-42CE-B675-EFAAF3BBD714}"/>
    <cellStyle name="Normal 2 2 2 2 2 2 28 11 2 7" xfId="12472" xr:uid="{81C81E6B-D477-47EA-8BDB-ABFC7C451030}"/>
    <cellStyle name="Normal 2 2 2 2 2 2 28 11 2 8" xfId="12473" xr:uid="{298348E8-FE6A-4005-85C6-E4F2DF2EE95E}"/>
    <cellStyle name="Normal 2 2 2 2 2 2 28 11 2 8 2" xfId="12474" xr:uid="{E2F0FF44-9EC8-48BF-86A7-96D45C8DAAF8}"/>
    <cellStyle name="Normal 2 2 2 2 2 2 28 11 2 8 3" xfId="12475" xr:uid="{48F88DE9-CF9D-44A0-BDF1-7796DDAFEA93}"/>
    <cellStyle name="Normal 2 2 2 2 2 2 28 11 2 8 4" xfId="12476" xr:uid="{ADC756E9-AB56-4738-AAB6-25121A01ACE5}"/>
    <cellStyle name="Normal 2 2 2 2 2 2 28 11 2 9" xfId="12477" xr:uid="{4CA42704-5141-4E0E-98FA-05ED1C0DC3DA}"/>
    <cellStyle name="Normal 2 2 2 2 2 2 28 11 3" xfId="12478" xr:uid="{511C339F-DC88-4513-BA6E-91FDF94345E7}"/>
    <cellStyle name="Normal 2 2 2 2 2 2 28 11 4" xfId="12479" xr:uid="{9E6B2C13-6DF9-4719-AA05-06F53D8638B2}"/>
    <cellStyle name="Normal 2 2 2 2 2 2 28 11 5" xfId="12480" xr:uid="{70CE4BB7-4260-438E-9692-B41A980D1233}"/>
    <cellStyle name="Normal 2 2 2 2 2 2 28 11 5 2" xfId="12481" xr:uid="{9AB535AD-AC3B-468D-A5C8-683F15033128}"/>
    <cellStyle name="Normal 2 2 2 2 2 2 28 11 5 2 2" xfId="12482" xr:uid="{A933220A-6840-4006-877E-80822E23D946}"/>
    <cellStyle name="Normal 2 2 2 2 2 2 28 11 5 2 3" xfId="12483" xr:uid="{FA9683C6-DFA2-4F98-84A7-55099DB7FA5B}"/>
    <cellStyle name="Normal 2 2 2 2 2 2 28 11 5 2 4" xfId="12484" xr:uid="{88F6C75A-9483-4346-8D0E-B8FCD236B4E9}"/>
    <cellStyle name="Normal 2 2 2 2 2 2 28 11 5 3" xfId="12485" xr:uid="{4923FCC8-FD13-46A0-8368-49183A0FBA71}"/>
    <cellStyle name="Normal 2 2 2 2 2 2 28 11 5 4" xfId="12486" xr:uid="{7E9E2248-C4DB-4B77-9325-567BA5ECAECC}"/>
    <cellStyle name="Normal 2 2 2 2 2 2 28 11 5 5" xfId="12487" xr:uid="{78F93635-EF45-49DE-BE26-BE1FC51DBD3A}"/>
    <cellStyle name="Normal 2 2 2 2 2 2 28 11 5 6" xfId="12488" xr:uid="{45706AF4-42E0-4123-9921-C1F081EBD23E}"/>
    <cellStyle name="Normal 2 2 2 2 2 2 28 11 6" xfId="12489" xr:uid="{643D71D6-5CBA-4BBC-9DB5-45BA2E6344D5}"/>
    <cellStyle name="Normal 2 2 2 2 2 2 28 11 7" xfId="12490" xr:uid="{61F71ADB-2B17-4AB1-A89A-3DC0C4EA314C}"/>
    <cellStyle name="Normal 2 2 2 2 2 2 28 11 8" xfId="12491" xr:uid="{3A48880E-D42B-4A79-B58C-8BBDB518301C}"/>
    <cellStyle name="Normal 2 2 2 2 2 2 28 11 9" xfId="12492" xr:uid="{04CF3D72-396D-4DC4-B9FE-071C8286D779}"/>
    <cellStyle name="Normal 2 2 2 2 2 2 28 12" xfId="12493" xr:uid="{2B44A9CD-7363-4EA9-BEA6-297847FCE595}"/>
    <cellStyle name="Normal 2 2 2 2 2 2 28 13" xfId="12494" xr:uid="{69A2E602-EB4B-4453-8B21-EBB56AAB7CB2}"/>
    <cellStyle name="Normal 2 2 2 2 2 2 28 13 10" xfId="12495" xr:uid="{BA4EF29E-BB2F-4F0B-AB50-E28CFE964563}"/>
    <cellStyle name="Normal 2 2 2 2 2 2 28 13 11" xfId="12496" xr:uid="{00B394DF-2469-4572-BA36-14611B88D308}"/>
    <cellStyle name="Normal 2 2 2 2 2 2 28 13 2" xfId="12497" xr:uid="{18A117BE-2FB3-4749-9CBD-124419099518}"/>
    <cellStyle name="Normal 2 2 2 2 2 2 28 13 2 10" xfId="12498" xr:uid="{8481C38E-0B0B-4154-BE25-3679532F2079}"/>
    <cellStyle name="Normal 2 2 2 2 2 2 28 13 2 11" xfId="12499" xr:uid="{B7511AB6-0165-4A92-A916-9B74583DCF13}"/>
    <cellStyle name="Normal 2 2 2 2 2 2 28 13 2 2" xfId="12500" xr:uid="{3C7BD64E-8076-441B-B749-B16ACF3B827C}"/>
    <cellStyle name="Normal 2 2 2 2 2 2 28 13 2 2 2" xfId="12501" xr:uid="{C208F0C7-848D-483C-BF60-9824CC459C8B}"/>
    <cellStyle name="Normal 2 2 2 2 2 2 28 13 2 2 2 2" xfId="12502" xr:uid="{1DF63A74-5385-40C2-8224-88BEC8058321}"/>
    <cellStyle name="Normal 2 2 2 2 2 2 28 13 2 2 2 3" xfId="12503" xr:uid="{1502428F-D168-4ECB-9E2E-71528D95A743}"/>
    <cellStyle name="Normal 2 2 2 2 2 2 28 13 2 2 2 4" xfId="12504" xr:uid="{088FAFDD-E4F1-4560-83C2-2EEDBD2E4F42}"/>
    <cellStyle name="Normal 2 2 2 2 2 2 28 13 2 2 3" xfId="12505" xr:uid="{E8D726EF-5964-4214-9D1D-3FA856946F4D}"/>
    <cellStyle name="Normal 2 2 2 2 2 2 28 13 2 2 4" xfId="12506" xr:uid="{0967359D-5EB5-4118-8888-60C7AC6D78A9}"/>
    <cellStyle name="Normal 2 2 2 2 2 2 28 13 2 2 5" xfId="12507" xr:uid="{1707AB8F-073D-4793-961A-28AC4BB67E76}"/>
    <cellStyle name="Normal 2 2 2 2 2 2 28 13 2 2 6" xfId="12508" xr:uid="{681F1CAB-8204-4854-B462-44E05CDB73FB}"/>
    <cellStyle name="Normal 2 2 2 2 2 2 28 13 2 3" xfId="12509" xr:uid="{28DFD068-2736-4EB6-9A55-0DB82489AC1D}"/>
    <cellStyle name="Normal 2 2 2 2 2 2 28 13 2 4" xfId="12510" xr:uid="{27026678-C037-4661-9D01-45CE09CB276D}"/>
    <cellStyle name="Normal 2 2 2 2 2 2 28 13 2 5" xfId="12511" xr:uid="{382D4E47-C602-4474-83BB-D147C19B40C0}"/>
    <cellStyle name="Normal 2 2 2 2 2 2 28 13 2 6" xfId="12512" xr:uid="{FBD7FD45-695C-400C-A9B1-16376E7A33BB}"/>
    <cellStyle name="Normal 2 2 2 2 2 2 28 13 2 7" xfId="12513" xr:uid="{8E940195-0B39-4FFB-BE92-E49461574E07}"/>
    <cellStyle name="Normal 2 2 2 2 2 2 28 13 2 8" xfId="12514" xr:uid="{D7887116-644F-4031-BE36-1C88E4E77BC4}"/>
    <cellStyle name="Normal 2 2 2 2 2 2 28 13 2 8 2" xfId="12515" xr:uid="{0AB92BAC-5BA6-4BC6-868A-C4FEF38F51D2}"/>
    <cellStyle name="Normal 2 2 2 2 2 2 28 13 2 8 3" xfId="12516" xr:uid="{6DE972AF-3C3C-4FD8-B961-396CE3712D69}"/>
    <cellStyle name="Normal 2 2 2 2 2 2 28 13 2 8 4" xfId="12517" xr:uid="{218427CC-4203-49D7-9053-8C8C8B7C801F}"/>
    <cellStyle name="Normal 2 2 2 2 2 2 28 13 2 9" xfId="12518" xr:uid="{D3D320F0-818F-4CBC-9539-9D9F26F69220}"/>
    <cellStyle name="Normal 2 2 2 2 2 2 28 13 3" xfId="12519" xr:uid="{1FA77E97-FD5C-44D4-9D66-437CCCE8A232}"/>
    <cellStyle name="Normal 2 2 2 2 2 2 28 13 3 2" xfId="12520" xr:uid="{31E0F4B9-F021-4EF8-B5F3-EBCDB8D51D9B}"/>
    <cellStyle name="Normal 2 2 2 2 2 2 28 13 3 2 2" xfId="12521" xr:uid="{38F2853E-F060-48D2-B752-0B768BDDF9DD}"/>
    <cellStyle name="Normal 2 2 2 2 2 2 28 13 3 2 3" xfId="12522" xr:uid="{DA76AAC2-FACC-4154-ADFA-55F121C4AB86}"/>
    <cellStyle name="Normal 2 2 2 2 2 2 28 13 3 2 4" xfId="12523" xr:uid="{76E7A871-116D-4953-9794-CD964FA413B7}"/>
    <cellStyle name="Normal 2 2 2 2 2 2 28 13 3 3" xfId="12524" xr:uid="{63ADF7AC-2F0B-4113-B673-307809D9D990}"/>
    <cellStyle name="Normal 2 2 2 2 2 2 28 13 3 4" xfId="12525" xr:uid="{BFCA2B60-08AD-452A-9614-34EBC21AB315}"/>
    <cellStyle name="Normal 2 2 2 2 2 2 28 13 3 5" xfId="12526" xr:uid="{7746A64D-D29B-4DAA-997C-E9D1B46B0505}"/>
    <cellStyle name="Normal 2 2 2 2 2 2 28 13 3 6" xfId="12527" xr:uid="{F202FAB1-2879-464F-839D-BC0D91DC3F87}"/>
    <cellStyle name="Normal 2 2 2 2 2 2 28 13 4" xfId="12528" xr:uid="{312AAF97-8FC0-428B-871D-07B2D546C2D3}"/>
    <cellStyle name="Normal 2 2 2 2 2 2 28 13 5" xfId="12529" xr:uid="{55729EBB-FA5A-4823-A418-F03A858241DB}"/>
    <cellStyle name="Normal 2 2 2 2 2 2 28 13 6" xfId="12530" xr:uid="{D1A25ECE-1B02-40CB-980E-3266A6BBFF30}"/>
    <cellStyle name="Normal 2 2 2 2 2 2 28 13 7" xfId="12531" xr:uid="{9017CC32-0C4C-4850-AD23-C75873898AC0}"/>
    <cellStyle name="Normal 2 2 2 2 2 2 28 13 8" xfId="12532" xr:uid="{C0E71C60-82CB-4D26-B170-B5964A3CB0FB}"/>
    <cellStyle name="Normal 2 2 2 2 2 2 28 13 8 2" xfId="12533" xr:uid="{A4B86BA3-5155-4D9A-A6CB-6C99FCBB4A2D}"/>
    <cellStyle name="Normal 2 2 2 2 2 2 28 13 8 3" xfId="12534" xr:uid="{2FEC5924-F8C9-4F0C-BABF-C67AC300D5C7}"/>
    <cellStyle name="Normal 2 2 2 2 2 2 28 13 8 4" xfId="12535" xr:uid="{AA5A5BC1-0896-4D81-849D-F14C9E4480F7}"/>
    <cellStyle name="Normal 2 2 2 2 2 2 28 13 9" xfId="12536" xr:uid="{32C1F3EB-DFFD-4480-9BA8-ACB873FDE03A}"/>
    <cellStyle name="Normal 2 2 2 2 2 2 28 14" xfId="12537" xr:uid="{B72D8803-B395-45D3-916E-FB9816B78597}"/>
    <cellStyle name="Normal 2 2 2 2 2 2 28 15" xfId="12538" xr:uid="{21EEF2FC-4FAA-465F-B600-A88AD870EA54}"/>
    <cellStyle name="Normal 2 2 2 2 2 2 28 15 2" xfId="12539" xr:uid="{ECD7D6BC-8B76-46D1-B4BC-28C47ED670B3}"/>
    <cellStyle name="Normal 2 2 2 2 2 2 28 15 2 2" xfId="12540" xr:uid="{5C67BE75-452C-40F1-BE88-DA24CBD9B203}"/>
    <cellStyle name="Normal 2 2 2 2 2 2 28 15 2 3" xfId="12541" xr:uid="{D1AE20FE-552E-49A5-962C-42BD0F159B49}"/>
    <cellStyle name="Normal 2 2 2 2 2 2 28 15 2 4" xfId="12542" xr:uid="{D44BE9F6-A93F-4E05-BB51-5C1612174012}"/>
    <cellStyle name="Normal 2 2 2 2 2 2 28 15 3" xfId="12543" xr:uid="{E5D66503-FE50-4FD0-A8F5-5346DA02D7EE}"/>
    <cellStyle name="Normal 2 2 2 2 2 2 28 15 4" xfId="12544" xr:uid="{3B1AC6A6-344B-4A42-B28E-1D1E9A872A5B}"/>
    <cellStyle name="Normal 2 2 2 2 2 2 28 15 5" xfId="12545" xr:uid="{8DD689E9-99E7-408D-B657-D256DC27F07E}"/>
    <cellStyle name="Normal 2 2 2 2 2 2 28 15 6" xfId="12546" xr:uid="{DCE71B23-A69D-40E1-9DF9-1A69A90CD37D}"/>
    <cellStyle name="Normal 2 2 2 2 2 2 28 16" xfId="12547" xr:uid="{7015D83D-44AD-49B7-B10A-F96D647514AD}"/>
    <cellStyle name="Normal 2 2 2 2 2 2 28 17" xfId="12548" xr:uid="{D3884A92-D155-4B69-9ECF-C6230667A8D0}"/>
    <cellStyle name="Normal 2 2 2 2 2 2 28 18" xfId="12549" xr:uid="{FD058406-0E50-4B33-98A8-F724EBA8D4A8}"/>
    <cellStyle name="Normal 2 2 2 2 2 2 28 19" xfId="12550" xr:uid="{69BA8071-3F17-485B-BF81-612EB666FFE5}"/>
    <cellStyle name="Normal 2 2 2 2 2 2 28 2" xfId="12551" xr:uid="{DDEA5B17-1683-46BD-886B-1BE81136A618}"/>
    <cellStyle name="Normal 2 2 2 2 2 2 28 2 10" xfId="12552" xr:uid="{3AF0B43B-9C75-4C70-A62D-138FAF07D948}"/>
    <cellStyle name="Normal 2 2 2 2 2 2 28 2 11" xfId="12553" xr:uid="{2FC87D4F-8E34-481B-A0AA-525938A941A3}"/>
    <cellStyle name="Normal 2 2 2 2 2 2 28 2 12" xfId="12554" xr:uid="{A82C6509-1FEC-40AE-9A60-1C9E622AB175}"/>
    <cellStyle name="Normal 2 2 2 2 2 2 28 2 13" xfId="12555" xr:uid="{C4002BAD-49E5-4E9D-8B9D-FF54285C564A}"/>
    <cellStyle name="Normal 2 2 2 2 2 2 28 2 13 2" xfId="12556" xr:uid="{A6374600-41F2-4855-9E27-30C9A061E2D1}"/>
    <cellStyle name="Normal 2 2 2 2 2 2 28 2 13 3" xfId="12557" xr:uid="{3577AEE1-8964-44C7-ADA6-E74E3587635B}"/>
    <cellStyle name="Normal 2 2 2 2 2 2 28 2 13 4" xfId="12558" xr:uid="{6DB69FB4-A9F1-4649-934D-94068190DB2C}"/>
    <cellStyle name="Normal 2 2 2 2 2 2 28 2 14" xfId="12559" xr:uid="{92F1CF01-866F-487E-87C7-8961C0EBF966}"/>
    <cellStyle name="Normal 2 2 2 2 2 2 28 2 15" xfId="12560" xr:uid="{B632F275-5E35-4E68-9D17-1C2D7C63004F}"/>
    <cellStyle name="Normal 2 2 2 2 2 2 28 2 16" xfId="12561" xr:uid="{53CDB154-B263-4449-B68B-0A52F24D18DE}"/>
    <cellStyle name="Normal 2 2 2 2 2 2 28 2 2" xfId="12562" xr:uid="{D893C885-9807-4BF5-B180-F5861A5FC071}"/>
    <cellStyle name="Normal 2 2 2 2 2 2 28 2 2 10" xfId="12563" xr:uid="{9CE125DF-93F4-42D0-9EA0-DDA8B88307DD}"/>
    <cellStyle name="Normal 2 2 2 2 2 2 28 2 2 11" xfId="12564" xr:uid="{0505A395-31F9-4200-91FF-19F3C0D8E9DE}"/>
    <cellStyle name="Normal 2 2 2 2 2 2 28 2 2 11 2" xfId="12565" xr:uid="{7F4DE6EB-4982-4F7B-AF38-EAD175A32013}"/>
    <cellStyle name="Normal 2 2 2 2 2 2 28 2 2 11 3" xfId="12566" xr:uid="{542A1D33-21B5-4844-BA33-C4CFE93BBB38}"/>
    <cellStyle name="Normal 2 2 2 2 2 2 28 2 2 11 4" xfId="12567" xr:uid="{DFE03FA0-4018-4EB8-84B7-CCAD08F44196}"/>
    <cellStyle name="Normal 2 2 2 2 2 2 28 2 2 12" xfId="12568" xr:uid="{32F50D83-52B7-4FA7-BC39-146EB71D950A}"/>
    <cellStyle name="Normal 2 2 2 2 2 2 28 2 2 13" xfId="12569" xr:uid="{3E6ACB5C-66EF-47DC-A1BF-832CF88F0E84}"/>
    <cellStyle name="Normal 2 2 2 2 2 2 28 2 2 14" xfId="12570" xr:uid="{EDCD2E79-045D-44DF-9036-B7F9EF406A7D}"/>
    <cellStyle name="Normal 2 2 2 2 2 2 28 2 2 2" xfId="12571" xr:uid="{F87E8F94-F799-44A7-A3A4-27E5C438D48F}"/>
    <cellStyle name="Normal 2 2 2 2 2 2 28 2 2 2 10" xfId="12572" xr:uid="{1278CB5C-22E5-42BF-BCA3-AF8D64E224A7}"/>
    <cellStyle name="Normal 2 2 2 2 2 2 28 2 2 2 11" xfId="12573" xr:uid="{7ACAC429-5FC4-497B-A89D-24DDB22B39D5}"/>
    <cellStyle name="Normal 2 2 2 2 2 2 28 2 2 2 2" xfId="12574" xr:uid="{825DFDF3-1C52-4AFD-B032-69640881C174}"/>
    <cellStyle name="Normal 2 2 2 2 2 2 28 2 2 2 2 10" xfId="12575" xr:uid="{53181A47-5173-4689-AF8D-E8D17FDD2775}"/>
    <cellStyle name="Normal 2 2 2 2 2 2 28 2 2 2 2 11" xfId="12576" xr:uid="{A55AE5C2-8977-4EC9-8720-0512CDA243CB}"/>
    <cellStyle name="Normal 2 2 2 2 2 2 28 2 2 2 2 2" xfId="12577" xr:uid="{6E946D63-90BC-4089-BE7F-74F04AC33665}"/>
    <cellStyle name="Normal 2 2 2 2 2 2 28 2 2 2 2 2 2" xfId="12578" xr:uid="{A67381C9-B400-4182-ABAC-54BEE88156F8}"/>
    <cellStyle name="Normal 2 2 2 2 2 2 28 2 2 2 2 2 2 2" xfId="12579" xr:uid="{E9FC92B9-D6B8-4E73-B00B-4635DB2EC1D8}"/>
    <cellStyle name="Normal 2 2 2 2 2 2 28 2 2 2 2 2 2 3" xfId="12580" xr:uid="{0E447369-6B62-4401-9F86-38260AE16267}"/>
    <cellStyle name="Normal 2 2 2 2 2 2 28 2 2 2 2 2 2 4" xfId="12581" xr:uid="{EE36A90A-04B3-4C94-A4C2-E4F20901DAAF}"/>
    <cellStyle name="Normal 2 2 2 2 2 2 28 2 2 2 2 2 3" xfId="12582" xr:uid="{DE570CD4-3470-43D8-9983-4984DA175B56}"/>
    <cellStyle name="Normal 2 2 2 2 2 2 28 2 2 2 2 2 4" xfId="12583" xr:uid="{B521595D-CBF0-4D69-A8D2-BF1C3D64598E}"/>
    <cellStyle name="Normal 2 2 2 2 2 2 28 2 2 2 2 2 5" xfId="12584" xr:uid="{035AF36A-0FC0-4B98-8317-BB079F491EFE}"/>
    <cellStyle name="Normal 2 2 2 2 2 2 28 2 2 2 2 2 6" xfId="12585" xr:uid="{55CD19E9-8441-4D67-B4A5-EF3E21C697F7}"/>
    <cellStyle name="Normal 2 2 2 2 2 2 28 2 2 2 2 3" xfId="12586" xr:uid="{B130BB2F-E814-46DA-97F2-53B15CDBEAE2}"/>
    <cellStyle name="Normal 2 2 2 2 2 2 28 2 2 2 2 4" xfId="12587" xr:uid="{386AA04C-4F3F-4725-B555-F0D20C7DDA1F}"/>
    <cellStyle name="Normal 2 2 2 2 2 2 28 2 2 2 2 5" xfId="12588" xr:uid="{26CC9FE1-03C8-4721-A281-4EEB9B765D4B}"/>
    <cellStyle name="Normal 2 2 2 2 2 2 28 2 2 2 2 6" xfId="12589" xr:uid="{DC20AA00-4388-44C9-A241-0C89754ADBD5}"/>
    <cellStyle name="Normal 2 2 2 2 2 2 28 2 2 2 2 7" xfId="12590" xr:uid="{6E474135-6F3D-4E0E-80B5-47331C80D0EA}"/>
    <cellStyle name="Normal 2 2 2 2 2 2 28 2 2 2 2 8" xfId="12591" xr:uid="{8AC2B0E6-DC3A-4366-A58A-5116CEE316B4}"/>
    <cellStyle name="Normal 2 2 2 2 2 2 28 2 2 2 2 8 2" xfId="12592" xr:uid="{DBD922A1-A567-41DA-8559-090AF6F5464E}"/>
    <cellStyle name="Normal 2 2 2 2 2 2 28 2 2 2 2 8 3" xfId="12593" xr:uid="{40986188-0FC2-405C-8D30-164376449537}"/>
    <cellStyle name="Normal 2 2 2 2 2 2 28 2 2 2 2 8 4" xfId="12594" xr:uid="{B2A7F90F-EF70-46FB-BAA4-DF38715C2E47}"/>
    <cellStyle name="Normal 2 2 2 2 2 2 28 2 2 2 2 9" xfId="12595" xr:uid="{CE848450-817C-4C7F-86FB-32A837D5E77F}"/>
    <cellStyle name="Normal 2 2 2 2 2 2 28 2 2 2 3" xfId="12596" xr:uid="{DA65C9D5-DF73-45B5-A0D5-0AB56BD98FDD}"/>
    <cellStyle name="Normal 2 2 2 2 2 2 28 2 2 2 3 2" xfId="12597" xr:uid="{A3EE3C98-1AF6-4052-AD41-85846D434028}"/>
    <cellStyle name="Normal 2 2 2 2 2 2 28 2 2 2 3 2 2" xfId="12598" xr:uid="{483649E7-D2A8-422F-B49F-0CB23CC4F9DE}"/>
    <cellStyle name="Normal 2 2 2 2 2 2 28 2 2 2 3 2 3" xfId="12599" xr:uid="{569DE476-356A-4F9F-A7C4-60532E9C96F0}"/>
    <cellStyle name="Normal 2 2 2 2 2 2 28 2 2 2 3 2 4" xfId="12600" xr:uid="{BCF5DF6E-AE02-43F6-AFE6-9807A6E4D63E}"/>
    <cellStyle name="Normal 2 2 2 2 2 2 28 2 2 2 3 3" xfId="12601" xr:uid="{F9E6C13F-2DC5-43C5-9A45-71AFB0EC564B}"/>
    <cellStyle name="Normal 2 2 2 2 2 2 28 2 2 2 3 4" xfId="12602" xr:uid="{91408482-E4CD-448D-A272-3B124D964D4F}"/>
    <cellStyle name="Normal 2 2 2 2 2 2 28 2 2 2 3 5" xfId="12603" xr:uid="{FEF76FF7-0019-4195-B78A-BBEBB75D76B9}"/>
    <cellStyle name="Normal 2 2 2 2 2 2 28 2 2 2 3 6" xfId="12604" xr:uid="{6185CC81-7555-4A66-AC77-F0E7BBD0C595}"/>
    <cellStyle name="Normal 2 2 2 2 2 2 28 2 2 2 4" xfId="12605" xr:uid="{93321AAF-0977-445A-AB3C-184FEF3B9635}"/>
    <cellStyle name="Normal 2 2 2 2 2 2 28 2 2 2 5" xfId="12606" xr:uid="{5E55E444-4C29-4A52-84CF-22259A56D8E3}"/>
    <cellStyle name="Normal 2 2 2 2 2 2 28 2 2 2 6" xfId="12607" xr:uid="{7C94D47B-D4B9-4D1D-BCA8-6112A5DEFACF}"/>
    <cellStyle name="Normal 2 2 2 2 2 2 28 2 2 2 7" xfId="12608" xr:uid="{01605C19-82EA-4044-9E2C-D93CEF7C311F}"/>
    <cellStyle name="Normal 2 2 2 2 2 2 28 2 2 2 8" xfId="12609" xr:uid="{39716EDA-79E7-452D-91CD-8AD8A01640A5}"/>
    <cellStyle name="Normal 2 2 2 2 2 2 28 2 2 2 8 2" xfId="12610" xr:uid="{2880FC73-8DF8-4E30-A1D0-CAC5C3A37D26}"/>
    <cellStyle name="Normal 2 2 2 2 2 2 28 2 2 2 8 3" xfId="12611" xr:uid="{6CD9572B-7F04-4A5C-99C7-19163EA13DAA}"/>
    <cellStyle name="Normal 2 2 2 2 2 2 28 2 2 2 8 4" xfId="12612" xr:uid="{AE8B5692-E7CF-4E37-8E83-2A44ED142CE4}"/>
    <cellStyle name="Normal 2 2 2 2 2 2 28 2 2 2 9" xfId="12613" xr:uid="{146D90B0-8FCB-4F5B-8151-727CA1239854}"/>
    <cellStyle name="Normal 2 2 2 2 2 2 28 2 2 3" xfId="12614" xr:uid="{53CFDBAC-6797-4D2B-8A09-76A230AAD3EA}"/>
    <cellStyle name="Normal 2 2 2 2 2 2 28 2 2 4" xfId="12615" xr:uid="{72D4502E-8027-44E7-89A0-26CFA151ABD9}"/>
    <cellStyle name="Normal 2 2 2 2 2 2 28 2 2 5" xfId="12616" xr:uid="{45DE66B2-6346-4919-B370-83D51D538954}"/>
    <cellStyle name="Normal 2 2 2 2 2 2 28 2 2 5 2" xfId="12617" xr:uid="{D7039F55-C197-4015-B096-40598582C909}"/>
    <cellStyle name="Normal 2 2 2 2 2 2 28 2 2 5 2 2" xfId="12618" xr:uid="{68ABFD54-CB0F-4AB1-9540-9920A2958F6C}"/>
    <cellStyle name="Normal 2 2 2 2 2 2 28 2 2 5 2 3" xfId="12619" xr:uid="{92A169CD-4CF1-4F53-8E4C-9F8B4EA36825}"/>
    <cellStyle name="Normal 2 2 2 2 2 2 28 2 2 5 2 4" xfId="12620" xr:uid="{E42BCFD9-F3DC-416E-B10E-BA782639981E}"/>
    <cellStyle name="Normal 2 2 2 2 2 2 28 2 2 5 3" xfId="12621" xr:uid="{96F786D3-3AC5-4175-BF54-6B632029F6C3}"/>
    <cellStyle name="Normal 2 2 2 2 2 2 28 2 2 5 4" xfId="12622" xr:uid="{6506AF78-24F8-4F10-8C55-0C0119830AE3}"/>
    <cellStyle name="Normal 2 2 2 2 2 2 28 2 2 5 5" xfId="12623" xr:uid="{593BBA96-8228-4F25-BEA0-2B40B59B407E}"/>
    <cellStyle name="Normal 2 2 2 2 2 2 28 2 2 5 6" xfId="12624" xr:uid="{AB465413-0728-4118-9BC8-BB669F46CAA7}"/>
    <cellStyle name="Normal 2 2 2 2 2 2 28 2 2 6" xfId="12625" xr:uid="{40ADBAE0-E1BA-461B-8B89-3B7CA9F640B1}"/>
    <cellStyle name="Normal 2 2 2 2 2 2 28 2 2 7" xfId="12626" xr:uid="{3F6669AF-23BD-421B-9D86-8252C14BD4FD}"/>
    <cellStyle name="Normal 2 2 2 2 2 2 28 2 2 8" xfId="12627" xr:uid="{176E2D43-07BE-41B9-BF64-B491B492B41A}"/>
    <cellStyle name="Normal 2 2 2 2 2 2 28 2 2 9" xfId="12628" xr:uid="{28CC43A6-2418-4DC8-9C98-EE6B2DE73F91}"/>
    <cellStyle name="Normal 2 2 2 2 2 2 28 2 3" xfId="12629" xr:uid="{2455C22C-47A7-42ED-BFBF-88D42C6D9A05}"/>
    <cellStyle name="Normal 2 2 2 2 2 2 28 2 4" xfId="12630" xr:uid="{55AAAC3B-497D-418C-93E0-ABECF5D5A7E4}"/>
    <cellStyle name="Normal 2 2 2 2 2 2 28 2 5" xfId="12631" xr:uid="{7DB87811-4FD7-4D0B-AE0C-E30DDABDDAAD}"/>
    <cellStyle name="Normal 2 2 2 2 2 2 28 2 5 10" xfId="12632" xr:uid="{A9ABFD5B-45F8-457C-972E-F537E35F571D}"/>
    <cellStyle name="Normal 2 2 2 2 2 2 28 2 5 11" xfId="12633" xr:uid="{18A2DFB0-BDDC-41A5-A741-34E638511B0A}"/>
    <cellStyle name="Normal 2 2 2 2 2 2 28 2 5 2" xfId="12634" xr:uid="{E7DB5D4A-3FEB-4B10-9DFA-5180CA4B15C6}"/>
    <cellStyle name="Normal 2 2 2 2 2 2 28 2 5 2 10" xfId="12635" xr:uid="{934BFA6A-F479-4412-B895-65272E25FB2C}"/>
    <cellStyle name="Normal 2 2 2 2 2 2 28 2 5 2 11" xfId="12636" xr:uid="{C2F05023-422C-47E3-AA79-C91D4FD5AE8D}"/>
    <cellStyle name="Normal 2 2 2 2 2 2 28 2 5 2 2" xfId="12637" xr:uid="{11A84E3D-C040-4689-AD08-25C0EC1102DA}"/>
    <cellStyle name="Normal 2 2 2 2 2 2 28 2 5 2 2 2" xfId="12638" xr:uid="{E01E0D1C-4710-4CBA-8B13-FEDF90F6D5B3}"/>
    <cellStyle name="Normal 2 2 2 2 2 2 28 2 5 2 2 2 2" xfId="12639" xr:uid="{122A545A-F1F6-4641-905D-08297CBB7B7F}"/>
    <cellStyle name="Normal 2 2 2 2 2 2 28 2 5 2 2 2 3" xfId="12640" xr:uid="{B1821C79-051F-4516-B7E0-5FA629FC9438}"/>
    <cellStyle name="Normal 2 2 2 2 2 2 28 2 5 2 2 2 4" xfId="12641" xr:uid="{2EC4EBA0-F607-4A20-8750-07C9791DA8AE}"/>
    <cellStyle name="Normal 2 2 2 2 2 2 28 2 5 2 2 3" xfId="12642" xr:uid="{4E0EF4FE-1FE2-402A-9F53-C62DD0831F27}"/>
    <cellStyle name="Normal 2 2 2 2 2 2 28 2 5 2 2 4" xfId="12643" xr:uid="{65F7A00D-9F5C-4A76-A1D7-8C2F64DED971}"/>
    <cellStyle name="Normal 2 2 2 2 2 2 28 2 5 2 2 5" xfId="12644" xr:uid="{5BF7F2FE-8211-44E2-ADF5-C27137D23964}"/>
    <cellStyle name="Normal 2 2 2 2 2 2 28 2 5 2 2 6" xfId="12645" xr:uid="{DDCF5AF6-6AA5-44DF-9339-19780CB1A94E}"/>
    <cellStyle name="Normal 2 2 2 2 2 2 28 2 5 2 3" xfId="12646" xr:uid="{5B9C41B9-9FA5-4E76-83B1-329DBB0D4155}"/>
    <cellStyle name="Normal 2 2 2 2 2 2 28 2 5 2 4" xfId="12647" xr:uid="{B8E8D64A-797A-4148-BF14-C7A41B7EF54C}"/>
    <cellStyle name="Normal 2 2 2 2 2 2 28 2 5 2 5" xfId="12648" xr:uid="{F8CD796C-6428-4E05-A246-1D625C3B7062}"/>
    <cellStyle name="Normal 2 2 2 2 2 2 28 2 5 2 6" xfId="12649" xr:uid="{9251C554-1E8A-4290-9334-F683CDC1059F}"/>
    <cellStyle name="Normal 2 2 2 2 2 2 28 2 5 2 7" xfId="12650" xr:uid="{07ED903D-D348-4B3A-A57E-7102D13EDB97}"/>
    <cellStyle name="Normal 2 2 2 2 2 2 28 2 5 2 8" xfId="12651" xr:uid="{960C6F48-35E0-48DD-BAD4-A4E7DCE6DD44}"/>
    <cellStyle name="Normal 2 2 2 2 2 2 28 2 5 2 8 2" xfId="12652" xr:uid="{8E623767-9728-4FB4-91D8-299486F55A1D}"/>
    <cellStyle name="Normal 2 2 2 2 2 2 28 2 5 2 8 3" xfId="12653" xr:uid="{2CD47C06-4295-42A1-AA52-08342E582130}"/>
    <cellStyle name="Normal 2 2 2 2 2 2 28 2 5 2 8 4" xfId="12654" xr:uid="{5F40867D-5BC6-465D-9388-A7CC60AD17CD}"/>
    <cellStyle name="Normal 2 2 2 2 2 2 28 2 5 2 9" xfId="12655" xr:uid="{7F30058C-A4DC-41AB-9F65-95B8A657AE9C}"/>
    <cellStyle name="Normal 2 2 2 2 2 2 28 2 5 3" xfId="12656" xr:uid="{AD77D131-7DDA-4CD0-BF9B-B8AE3C9BF865}"/>
    <cellStyle name="Normal 2 2 2 2 2 2 28 2 5 3 2" xfId="12657" xr:uid="{6C57BC51-49B7-4056-B301-148E239E8A74}"/>
    <cellStyle name="Normal 2 2 2 2 2 2 28 2 5 3 2 2" xfId="12658" xr:uid="{8E5EC2DD-D789-468D-B646-B3FEF633EC8E}"/>
    <cellStyle name="Normal 2 2 2 2 2 2 28 2 5 3 2 3" xfId="12659" xr:uid="{D1DB8DFB-DCD3-48E2-A592-DF6B1A2239A7}"/>
    <cellStyle name="Normal 2 2 2 2 2 2 28 2 5 3 2 4" xfId="12660" xr:uid="{64939874-221F-4D6C-A0A2-28AAF861DF50}"/>
    <cellStyle name="Normal 2 2 2 2 2 2 28 2 5 3 3" xfId="12661" xr:uid="{1089C7D4-97D0-43DB-AB2F-C6D499F7B914}"/>
    <cellStyle name="Normal 2 2 2 2 2 2 28 2 5 3 4" xfId="12662" xr:uid="{79738E6D-66D3-49D0-B28F-B667810E8FB9}"/>
    <cellStyle name="Normal 2 2 2 2 2 2 28 2 5 3 5" xfId="12663" xr:uid="{DBF976EB-BD9D-4591-A5D4-42E148DA925C}"/>
    <cellStyle name="Normal 2 2 2 2 2 2 28 2 5 3 6" xfId="12664" xr:uid="{186911BA-52ED-4B2D-AF16-C90C07835B28}"/>
    <cellStyle name="Normal 2 2 2 2 2 2 28 2 5 4" xfId="12665" xr:uid="{F7638490-9768-4197-8EC7-5D0DE56A7249}"/>
    <cellStyle name="Normal 2 2 2 2 2 2 28 2 5 5" xfId="12666" xr:uid="{356AA0CF-9A03-4C64-B11E-D37B6A32E123}"/>
    <cellStyle name="Normal 2 2 2 2 2 2 28 2 5 6" xfId="12667" xr:uid="{20A0D134-907D-4C8C-A524-09F3D088E115}"/>
    <cellStyle name="Normal 2 2 2 2 2 2 28 2 5 7" xfId="12668" xr:uid="{61E08498-3092-4A55-932E-B741D32959FF}"/>
    <cellStyle name="Normal 2 2 2 2 2 2 28 2 5 8" xfId="12669" xr:uid="{8A238EDF-496B-470D-BCAE-97584C9DE514}"/>
    <cellStyle name="Normal 2 2 2 2 2 2 28 2 5 8 2" xfId="12670" xr:uid="{E1B47ACA-9384-41F8-A74F-5E9FBC4D9A20}"/>
    <cellStyle name="Normal 2 2 2 2 2 2 28 2 5 8 3" xfId="12671" xr:uid="{07EA6055-906C-4F38-BEFC-E80AD6505B92}"/>
    <cellStyle name="Normal 2 2 2 2 2 2 28 2 5 8 4" xfId="12672" xr:uid="{F91DB09F-7F45-49E5-B0FD-8B74575FB519}"/>
    <cellStyle name="Normal 2 2 2 2 2 2 28 2 5 9" xfId="12673" xr:uid="{CADF22DC-33AF-4002-A4CD-DB8DE4946CBA}"/>
    <cellStyle name="Normal 2 2 2 2 2 2 28 2 6" xfId="12674" xr:uid="{5244277E-272B-4151-B360-627DBA20F5A3}"/>
    <cellStyle name="Normal 2 2 2 2 2 2 28 2 7" xfId="12675" xr:uid="{9FB4BC51-5057-4AC4-B45C-672DD9522898}"/>
    <cellStyle name="Normal 2 2 2 2 2 2 28 2 7 2" xfId="12676" xr:uid="{FF06942B-0731-4379-9BD8-ACD6785B100D}"/>
    <cellStyle name="Normal 2 2 2 2 2 2 28 2 7 2 2" xfId="12677" xr:uid="{94492FC3-9446-40AA-B587-DF6905C3CFC7}"/>
    <cellStyle name="Normal 2 2 2 2 2 2 28 2 7 2 3" xfId="12678" xr:uid="{AA81E7A7-A6A7-4DF5-A8AF-3F8D94B9A377}"/>
    <cellStyle name="Normal 2 2 2 2 2 2 28 2 7 2 4" xfId="12679" xr:uid="{1F1878D5-1A18-4F73-A21F-71E676C9F0A4}"/>
    <cellStyle name="Normal 2 2 2 2 2 2 28 2 7 3" xfId="12680" xr:uid="{C3B07C36-0FF5-4E74-A1B4-90011A6D7F35}"/>
    <cellStyle name="Normal 2 2 2 2 2 2 28 2 7 4" xfId="12681" xr:uid="{A81B76EC-F083-4952-A8D6-E6084A671210}"/>
    <cellStyle name="Normal 2 2 2 2 2 2 28 2 7 5" xfId="12682" xr:uid="{B581BA4D-B0E8-443F-AC56-C55944C722A2}"/>
    <cellStyle name="Normal 2 2 2 2 2 2 28 2 7 6" xfId="12683" xr:uid="{3CF1B5E1-0D43-4099-9385-ED1C732A8DD5}"/>
    <cellStyle name="Normal 2 2 2 2 2 2 28 2 8" xfId="12684" xr:uid="{C829D7B0-CC01-4DC1-9E11-92EDC35F736B}"/>
    <cellStyle name="Normal 2 2 2 2 2 2 28 2 9" xfId="12685" xr:uid="{11A6D705-E3E7-495B-93D7-A9FFC527AF6D}"/>
    <cellStyle name="Normal 2 2 2 2 2 2 28 20" xfId="12686" xr:uid="{53D963BA-C2D8-444E-9D09-FD8A44B2EA7E}"/>
    <cellStyle name="Normal 2 2 2 2 2 2 28 21" xfId="12687" xr:uid="{D0CBF556-925E-4F0D-A5E7-D83605F3E42D}"/>
    <cellStyle name="Normal 2 2 2 2 2 2 28 21 2" xfId="12688" xr:uid="{F073D098-601F-4561-98C6-C0A325E0E667}"/>
    <cellStyle name="Normal 2 2 2 2 2 2 28 21 3" xfId="12689" xr:uid="{E4DE0FD1-C42B-40A7-876B-3E72A6B75B10}"/>
    <cellStyle name="Normal 2 2 2 2 2 2 28 21 4" xfId="12690" xr:uid="{B13D9515-F1E7-426A-BC0E-3ACB2824C55B}"/>
    <cellStyle name="Normal 2 2 2 2 2 2 28 22" xfId="12691" xr:uid="{0BCDC603-8949-4A32-BABD-0B411E585CEE}"/>
    <cellStyle name="Normal 2 2 2 2 2 2 28 23" xfId="12692" xr:uid="{222247FA-B8A4-43DB-81C3-39B1677C633B}"/>
    <cellStyle name="Normal 2 2 2 2 2 2 28 24" xfId="12693" xr:uid="{09A245FC-85C8-4C1D-A510-3B360CE99240}"/>
    <cellStyle name="Normal 2 2 2 2 2 2 28 3" xfId="12694" xr:uid="{FBAF832F-02F5-4271-9BE6-20975D3208DF}"/>
    <cellStyle name="Normal 2 2 2 2 2 2 28 4" xfId="12695" xr:uid="{1C462138-7468-4400-AD6F-7691B22DCC44}"/>
    <cellStyle name="Normal 2 2 2 2 2 2 28 5" xfId="12696" xr:uid="{7FB381FF-607C-4136-B7A4-62FABD7B3402}"/>
    <cellStyle name="Normal 2 2 2 2 2 2 28 6" xfId="12697" xr:uid="{3137527A-61E5-4C68-9478-8FF215773F54}"/>
    <cellStyle name="Normal 2 2 2 2 2 2 28 7" xfId="12698" xr:uid="{ACC19382-0A38-47B7-A35D-4383351E46B8}"/>
    <cellStyle name="Normal 2 2 2 2 2 2 28 8" xfId="12699" xr:uid="{5CA12BB1-1817-4A7D-BD67-EBA07B8A7DC7}"/>
    <cellStyle name="Normal 2 2 2 2 2 2 28 9" xfId="12700" xr:uid="{0A9A0F53-FC69-4795-9EF3-ABBA8B5C3741}"/>
    <cellStyle name="Normal 2 2 2 2 2 2 29" xfId="12701" xr:uid="{01E96AE2-0B11-4EEC-9BE0-54B0EE294628}"/>
    <cellStyle name="Normal 2 2 2 2 2 2 29 10" xfId="12702" xr:uid="{5BEE0F22-1572-462E-B48B-E449248E9AED}"/>
    <cellStyle name="Normal 2 2 2 2 2 2 29 11" xfId="12703" xr:uid="{2A98FFA0-74EB-4393-A03D-D969E21AAC3A}"/>
    <cellStyle name="Normal 2 2 2 2 2 2 29 12" xfId="12704" xr:uid="{7B3F8CB1-54D2-42C2-9F7A-1798374B8722}"/>
    <cellStyle name="Normal 2 2 2 2 2 2 29 13" xfId="12705" xr:uid="{BC52D2FA-E797-473F-8F47-41D048B1F6F2}"/>
    <cellStyle name="Normal 2 2 2 2 2 2 29 13 2" xfId="12706" xr:uid="{A1BDD59C-EE4D-4ECD-A11C-A670DAAD8AD6}"/>
    <cellStyle name="Normal 2 2 2 2 2 2 29 13 3" xfId="12707" xr:uid="{56C2DE14-58C9-4A44-A45F-AD81DCF431DD}"/>
    <cellStyle name="Normal 2 2 2 2 2 2 29 13 4" xfId="12708" xr:uid="{41328362-9CFF-4A78-BB4A-D51629DA5D62}"/>
    <cellStyle name="Normal 2 2 2 2 2 2 29 14" xfId="12709" xr:uid="{F8EFB896-65FC-4481-80BF-2AE74D22E840}"/>
    <cellStyle name="Normal 2 2 2 2 2 2 29 15" xfId="12710" xr:uid="{2A469C27-B9B6-434B-B905-072FBB080B6B}"/>
    <cellStyle name="Normal 2 2 2 2 2 2 29 16" xfId="12711" xr:uid="{BBC6E972-B256-4991-BB21-822565AD345C}"/>
    <cellStyle name="Normal 2 2 2 2 2 2 29 2" xfId="12712" xr:uid="{0264EEB6-EB01-416E-B897-0CF674374082}"/>
    <cellStyle name="Normal 2 2 2 2 2 2 29 2 10" xfId="12713" xr:uid="{65CD310F-673C-4EF7-A0E1-2FC686852794}"/>
    <cellStyle name="Normal 2 2 2 2 2 2 29 2 11" xfId="12714" xr:uid="{ADF137FA-E947-4E62-9DD4-BD3CFBC273A1}"/>
    <cellStyle name="Normal 2 2 2 2 2 2 29 2 11 2" xfId="12715" xr:uid="{F5F1C588-A6C7-45E8-B0F6-2F08D2A34834}"/>
    <cellStyle name="Normal 2 2 2 2 2 2 29 2 11 3" xfId="12716" xr:uid="{95B5172F-4918-47C2-BDEB-BCA5B4CEDD96}"/>
    <cellStyle name="Normal 2 2 2 2 2 2 29 2 11 4" xfId="12717" xr:uid="{060E7179-9BE9-48A1-9503-DE8AA9E7CAAE}"/>
    <cellStyle name="Normal 2 2 2 2 2 2 29 2 12" xfId="12718" xr:uid="{8FF6A67A-9656-4081-AD66-1537B67727B5}"/>
    <cellStyle name="Normal 2 2 2 2 2 2 29 2 13" xfId="12719" xr:uid="{DBC04CA5-7BBD-4DAC-881D-2385AA9CA6F4}"/>
    <cellStyle name="Normal 2 2 2 2 2 2 29 2 14" xfId="12720" xr:uid="{71C73DD3-A510-423A-A86C-C8EBF90D259C}"/>
    <cellStyle name="Normal 2 2 2 2 2 2 29 2 2" xfId="12721" xr:uid="{B57BD5C2-DAF8-42FF-98D5-0D3D253B7DCB}"/>
    <cellStyle name="Normal 2 2 2 2 2 2 29 2 2 10" xfId="12722" xr:uid="{37216883-0E54-48C8-AB56-5236D81A1C47}"/>
    <cellStyle name="Normal 2 2 2 2 2 2 29 2 2 11" xfId="12723" xr:uid="{A6E1B198-F288-497E-A45B-28C402944D08}"/>
    <cellStyle name="Normal 2 2 2 2 2 2 29 2 2 2" xfId="12724" xr:uid="{631A4CF4-295B-40F1-A57D-68786A055D4F}"/>
    <cellStyle name="Normal 2 2 2 2 2 2 29 2 2 2 10" xfId="12725" xr:uid="{2F21AE17-9AB2-4C92-A717-CF143AEF68C1}"/>
    <cellStyle name="Normal 2 2 2 2 2 2 29 2 2 2 11" xfId="12726" xr:uid="{AB2B0807-0C2D-4C12-B105-B658217507CF}"/>
    <cellStyle name="Normal 2 2 2 2 2 2 29 2 2 2 2" xfId="12727" xr:uid="{90CB41A1-FB8E-46CC-8868-BDBB3792DA57}"/>
    <cellStyle name="Normal 2 2 2 2 2 2 29 2 2 2 2 2" xfId="12728" xr:uid="{9EFC35D4-01F6-42F1-9D82-2D22707029E7}"/>
    <cellStyle name="Normal 2 2 2 2 2 2 29 2 2 2 2 2 2" xfId="12729" xr:uid="{FBBD527B-9A0E-48DB-83B0-B6AA12464B9C}"/>
    <cellStyle name="Normal 2 2 2 2 2 2 29 2 2 2 2 2 3" xfId="12730" xr:uid="{DC4FF099-5AD2-46E8-B2ED-2C1A673A0F87}"/>
    <cellStyle name="Normal 2 2 2 2 2 2 29 2 2 2 2 2 4" xfId="12731" xr:uid="{4661F8E7-B75A-4A3E-8603-CB2CAE50E354}"/>
    <cellStyle name="Normal 2 2 2 2 2 2 29 2 2 2 2 3" xfId="12732" xr:uid="{454FE835-A3A7-4354-88B2-9CF1500C1ECA}"/>
    <cellStyle name="Normal 2 2 2 2 2 2 29 2 2 2 2 4" xfId="12733" xr:uid="{953EF1C4-FA00-462B-9BFE-2EFC4C111742}"/>
    <cellStyle name="Normal 2 2 2 2 2 2 29 2 2 2 2 5" xfId="12734" xr:uid="{0496BB8A-5A7D-46F1-B0D8-40FA220E956E}"/>
    <cellStyle name="Normal 2 2 2 2 2 2 29 2 2 2 2 6" xfId="12735" xr:uid="{7D703392-C02D-4543-9D9B-6AED69CF11E6}"/>
    <cellStyle name="Normal 2 2 2 2 2 2 29 2 2 2 3" xfId="12736" xr:uid="{71BF73C3-DE63-4544-A9ED-1C1A5444825E}"/>
    <cellStyle name="Normal 2 2 2 2 2 2 29 2 2 2 4" xfId="12737" xr:uid="{9AB8DBDE-1621-4E3B-BC83-CFF676350C63}"/>
    <cellStyle name="Normal 2 2 2 2 2 2 29 2 2 2 5" xfId="12738" xr:uid="{12BF07D8-46D9-4247-A87C-E97ED18ECEBB}"/>
    <cellStyle name="Normal 2 2 2 2 2 2 29 2 2 2 6" xfId="12739" xr:uid="{EC819E40-D531-4D73-B1E0-E3696462C4A4}"/>
    <cellStyle name="Normal 2 2 2 2 2 2 29 2 2 2 7" xfId="12740" xr:uid="{CB43BE57-D0D2-421C-8527-E31980AA950B}"/>
    <cellStyle name="Normal 2 2 2 2 2 2 29 2 2 2 8" xfId="12741" xr:uid="{CD2CE56D-C6D1-4E08-A9FE-C5D3CA9D4E4A}"/>
    <cellStyle name="Normal 2 2 2 2 2 2 29 2 2 2 8 2" xfId="12742" xr:uid="{F44284F3-5927-48F5-9C04-2FA0302E8D89}"/>
    <cellStyle name="Normal 2 2 2 2 2 2 29 2 2 2 8 3" xfId="12743" xr:uid="{7ADF00F0-5E38-41A3-930D-9B58AEABC753}"/>
    <cellStyle name="Normal 2 2 2 2 2 2 29 2 2 2 8 4" xfId="12744" xr:uid="{AB50B587-26A1-4ACC-A46B-0499A6553F14}"/>
    <cellStyle name="Normal 2 2 2 2 2 2 29 2 2 2 9" xfId="12745" xr:uid="{4706FD26-FF69-4356-A5B9-C25FFFEA2A33}"/>
    <cellStyle name="Normal 2 2 2 2 2 2 29 2 2 3" xfId="12746" xr:uid="{C5415021-C185-4128-AB6C-86B52575F3C9}"/>
    <cellStyle name="Normal 2 2 2 2 2 2 29 2 2 3 2" xfId="12747" xr:uid="{78AFBD7A-0584-4CD5-BE21-C0BBF2134DA8}"/>
    <cellStyle name="Normal 2 2 2 2 2 2 29 2 2 3 2 2" xfId="12748" xr:uid="{B571BE4C-CB65-4B76-B99D-604FBE23533A}"/>
    <cellStyle name="Normal 2 2 2 2 2 2 29 2 2 3 2 3" xfId="12749" xr:uid="{BC42E6D4-591B-4621-8AF2-86D6D72156BF}"/>
    <cellStyle name="Normal 2 2 2 2 2 2 29 2 2 3 2 4" xfId="12750" xr:uid="{F276CE25-F466-4287-A7E9-8FBF8F0918E6}"/>
    <cellStyle name="Normal 2 2 2 2 2 2 29 2 2 3 3" xfId="12751" xr:uid="{507C28CF-B990-4271-A4CA-28F30B7F343B}"/>
    <cellStyle name="Normal 2 2 2 2 2 2 29 2 2 3 4" xfId="12752" xr:uid="{727B47E5-E7C0-40EF-B6D5-2282EBB65BEF}"/>
    <cellStyle name="Normal 2 2 2 2 2 2 29 2 2 3 5" xfId="12753" xr:uid="{3DF7458D-7C6B-4B4C-85CF-D16302D781AE}"/>
    <cellStyle name="Normal 2 2 2 2 2 2 29 2 2 3 6" xfId="12754" xr:uid="{C7523AF2-3AA4-4F3C-9297-9E454624EF10}"/>
    <cellStyle name="Normal 2 2 2 2 2 2 29 2 2 4" xfId="12755" xr:uid="{A7EBC529-8E79-4FAF-9F34-28C5B3CBB582}"/>
    <cellStyle name="Normal 2 2 2 2 2 2 29 2 2 5" xfId="12756" xr:uid="{66A24FD1-8739-4198-9BC0-C1376298A6D4}"/>
    <cellStyle name="Normal 2 2 2 2 2 2 29 2 2 6" xfId="12757" xr:uid="{279FE5EF-D0BD-482D-B032-846402797C70}"/>
    <cellStyle name="Normal 2 2 2 2 2 2 29 2 2 7" xfId="12758" xr:uid="{CC720AA3-7514-465B-9DD8-C9F209BED62C}"/>
    <cellStyle name="Normal 2 2 2 2 2 2 29 2 2 8" xfId="12759" xr:uid="{72990CEF-C6B9-4BC4-85B1-1266D53C6A2A}"/>
    <cellStyle name="Normal 2 2 2 2 2 2 29 2 2 8 2" xfId="12760" xr:uid="{992991C2-4876-4E67-8A6D-418573B3B937}"/>
    <cellStyle name="Normal 2 2 2 2 2 2 29 2 2 8 3" xfId="12761" xr:uid="{039CAE98-755F-42AC-8533-48F09840DEF1}"/>
    <cellStyle name="Normal 2 2 2 2 2 2 29 2 2 8 4" xfId="12762" xr:uid="{66ECF8DB-ACC7-4553-8C06-9415E82ED743}"/>
    <cellStyle name="Normal 2 2 2 2 2 2 29 2 2 9" xfId="12763" xr:uid="{3C2AD8FD-80A5-4B84-9B54-9A295586F956}"/>
    <cellStyle name="Normal 2 2 2 2 2 2 29 2 3" xfId="12764" xr:uid="{22534611-B3AC-4819-BA40-DCED23FA736C}"/>
    <cellStyle name="Normal 2 2 2 2 2 2 29 2 4" xfId="12765" xr:uid="{87585220-F14C-45A0-B0A7-52859012C5FD}"/>
    <cellStyle name="Normal 2 2 2 2 2 2 29 2 5" xfId="12766" xr:uid="{10213107-007E-46A5-BF94-D27EC9728A7D}"/>
    <cellStyle name="Normal 2 2 2 2 2 2 29 2 5 2" xfId="12767" xr:uid="{84869F38-7DB7-4E4D-B8B6-D43CC3BD37DD}"/>
    <cellStyle name="Normal 2 2 2 2 2 2 29 2 5 2 2" xfId="12768" xr:uid="{2F0B19F2-C310-447C-9FEC-D969F73AA12B}"/>
    <cellStyle name="Normal 2 2 2 2 2 2 29 2 5 2 3" xfId="12769" xr:uid="{E02E2DC0-B329-46AA-98A7-A238DFC9DEAF}"/>
    <cellStyle name="Normal 2 2 2 2 2 2 29 2 5 2 4" xfId="12770" xr:uid="{E5C10B08-5D00-4E48-93BB-B874069C228C}"/>
    <cellStyle name="Normal 2 2 2 2 2 2 29 2 5 3" xfId="12771" xr:uid="{213F82DC-7DD5-4DC1-B19C-8E8763897581}"/>
    <cellStyle name="Normal 2 2 2 2 2 2 29 2 5 4" xfId="12772" xr:uid="{B896A699-0786-4D75-9FB3-658AF8FD7357}"/>
    <cellStyle name="Normal 2 2 2 2 2 2 29 2 5 5" xfId="12773" xr:uid="{DD9F452F-41F0-4D7D-B396-A41467A765F4}"/>
    <cellStyle name="Normal 2 2 2 2 2 2 29 2 5 6" xfId="12774" xr:uid="{AB79297A-C8B2-4948-A7A6-EE398EAE28EB}"/>
    <cellStyle name="Normal 2 2 2 2 2 2 29 2 6" xfId="12775" xr:uid="{DDF79242-F7BB-4CCE-92B5-36955BC170A8}"/>
    <cellStyle name="Normal 2 2 2 2 2 2 29 2 7" xfId="12776" xr:uid="{B9577083-EF2B-48A7-A8B4-7CBE366F849D}"/>
    <cellStyle name="Normal 2 2 2 2 2 2 29 2 8" xfId="12777" xr:uid="{2894BD37-9FD7-4483-95D6-759F439F2870}"/>
    <cellStyle name="Normal 2 2 2 2 2 2 29 2 9" xfId="12778" xr:uid="{538FE665-DB44-4AA1-A484-D28B098732CF}"/>
    <cellStyle name="Normal 2 2 2 2 2 2 29 3" xfId="12779" xr:uid="{45FC6710-FE75-418A-AC6B-46BB1793771D}"/>
    <cellStyle name="Normal 2 2 2 2 2 2 29 4" xfId="12780" xr:uid="{9CA63C22-A467-4D34-89B0-B268AD2B65FC}"/>
    <cellStyle name="Normal 2 2 2 2 2 2 29 5" xfId="12781" xr:uid="{7F35147C-CD95-400C-8478-A537F4861096}"/>
    <cellStyle name="Normal 2 2 2 2 2 2 29 5 10" xfId="12782" xr:uid="{5F0A1391-7230-4F59-9BE8-619AAA522508}"/>
    <cellStyle name="Normal 2 2 2 2 2 2 29 5 11" xfId="12783" xr:uid="{F0CF12F1-83B6-4AA9-A2A1-B591568153BE}"/>
    <cellStyle name="Normal 2 2 2 2 2 2 29 5 2" xfId="12784" xr:uid="{7C814FEB-EA55-4184-8231-DB7D2BA9E48E}"/>
    <cellStyle name="Normal 2 2 2 2 2 2 29 5 2 10" xfId="12785" xr:uid="{EAD31FC8-51CC-4459-A7E4-4830959525F6}"/>
    <cellStyle name="Normal 2 2 2 2 2 2 29 5 2 11" xfId="12786" xr:uid="{C5EB40A6-1090-46D2-882B-85412D4FF1B5}"/>
    <cellStyle name="Normal 2 2 2 2 2 2 29 5 2 2" xfId="12787" xr:uid="{A3B0E3D5-D1AE-4D5B-ADBE-DC91310F51DA}"/>
    <cellStyle name="Normal 2 2 2 2 2 2 29 5 2 2 2" xfId="12788" xr:uid="{2531A770-632D-4185-B894-C42D3F458AA0}"/>
    <cellStyle name="Normal 2 2 2 2 2 2 29 5 2 2 2 2" xfId="12789" xr:uid="{4628D20A-3629-4937-BAB6-B6F9FDDC027E}"/>
    <cellStyle name="Normal 2 2 2 2 2 2 29 5 2 2 2 3" xfId="12790" xr:uid="{56E93250-4675-42BF-8387-876C34C88C8E}"/>
    <cellStyle name="Normal 2 2 2 2 2 2 29 5 2 2 2 4" xfId="12791" xr:uid="{3488FE11-8DCA-45DA-86BA-9D09BE927D97}"/>
    <cellStyle name="Normal 2 2 2 2 2 2 29 5 2 2 3" xfId="12792" xr:uid="{8329ED5B-D753-4EC9-8695-91403DD9639B}"/>
    <cellStyle name="Normal 2 2 2 2 2 2 29 5 2 2 4" xfId="12793" xr:uid="{1B63079E-FC8E-44E3-8599-0D4AAA814DAF}"/>
    <cellStyle name="Normal 2 2 2 2 2 2 29 5 2 2 5" xfId="12794" xr:uid="{16522F2B-C3D3-4FEE-A2C2-F61ACA332AF3}"/>
    <cellStyle name="Normal 2 2 2 2 2 2 29 5 2 2 6" xfId="12795" xr:uid="{C264A669-5E45-4A5C-92B8-331CAE06EC90}"/>
    <cellStyle name="Normal 2 2 2 2 2 2 29 5 2 3" xfId="12796" xr:uid="{DF21B6E1-9B39-4704-A5D0-10A6070B1FB1}"/>
    <cellStyle name="Normal 2 2 2 2 2 2 29 5 2 4" xfId="12797" xr:uid="{3E5A6978-2E92-4217-8713-7947EA1DA731}"/>
    <cellStyle name="Normal 2 2 2 2 2 2 29 5 2 5" xfId="12798" xr:uid="{2BCB73BD-86ED-4F06-BF0A-35F2D2A15B3B}"/>
    <cellStyle name="Normal 2 2 2 2 2 2 29 5 2 6" xfId="12799" xr:uid="{1F6B7696-A35F-42BB-A7B4-E5EA0055FDF6}"/>
    <cellStyle name="Normal 2 2 2 2 2 2 29 5 2 7" xfId="12800" xr:uid="{92D23137-A886-4DF0-9BD8-4EDBE1C3C0AB}"/>
    <cellStyle name="Normal 2 2 2 2 2 2 29 5 2 8" xfId="12801" xr:uid="{328A19D2-7809-439A-BB99-4BC2B8ADAD54}"/>
    <cellStyle name="Normal 2 2 2 2 2 2 29 5 2 8 2" xfId="12802" xr:uid="{B02B22A9-1780-456E-A86B-5FEF85BB25A5}"/>
    <cellStyle name="Normal 2 2 2 2 2 2 29 5 2 8 3" xfId="12803" xr:uid="{9256198A-9BD8-4F3A-A30C-7BCE88027FCD}"/>
    <cellStyle name="Normal 2 2 2 2 2 2 29 5 2 8 4" xfId="12804" xr:uid="{492C8C06-9715-4BCA-84B3-C77AC210327B}"/>
    <cellStyle name="Normal 2 2 2 2 2 2 29 5 2 9" xfId="12805" xr:uid="{8EDCB3DB-A104-4566-BD69-00F6D503ECEF}"/>
    <cellStyle name="Normal 2 2 2 2 2 2 29 5 3" xfId="12806" xr:uid="{1EF04421-6619-47FE-B230-B47799D5F816}"/>
    <cellStyle name="Normal 2 2 2 2 2 2 29 5 3 2" xfId="12807" xr:uid="{FB68D0AD-2265-49AB-9B0D-ED1208713E2A}"/>
    <cellStyle name="Normal 2 2 2 2 2 2 29 5 3 2 2" xfId="12808" xr:uid="{D350E2A3-1FF9-40CA-AD47-92032CF1416C}"/>
    <cellStyle name="Normal 2 2 2 2 2 2 29 5 3 2 3" xfId="12809" xr:uid="{CFF8226B-1743-4C28-B5CA-96CB1B78521A}"/>
    <cellStyle name="Normal 2 2 2 2 2 2 29 5 3 2 4" xfId="12810" xr:uid="{862952C9-C0DD-4FB3-8A1C-3A7524584E5F}"/>
    <cellStyle name="Normal 2 2 2 2 2 2 29 5 3 3" xfId="12811" xr:uid="{C0A0AFE2-9AE6-4A36-9D8C-26E112F572F1}"/>
    <cellStyle name="Normal 2 2 2 2 2 2 29 5 3 4" xfId="12812" xr:uid="{C0C4276F-AFC7-4C5B-8E68-67AC8E83D88D}"/>
    <cellStyle name="Normal 2 2 2 2 2 2 29 5 3 5" xfId="12813" xr:uid="{7639D273-4538-407E-BD0C-C1C4A84F9A7E}"/>
    <cellStyle name="Normal 2 2 2 2 2 2 29 5 3 6" xfId="12814" xr:uid="{85558DCC-6F7E-40DF-B91B-35C03F626CF5}"/>
    <cellStyle name="Normal 2 2 2 2 2 2 29 5 4" xfId="12815" xr:uid="{58F1F522-D81D-4C50-BC2F-F5BD76161F67}"/>
    <cellStyle name="Normal 2 2 2 2 2 2 29 5 5" xfId="12816" xr:uid="{580E4C54-E3D8-4215-8AC9-87CE76647036}"/>
    <cellStyle name="Normal 2 2 2 2 2 2 29 5 6" xfId="12817" xr:uid="{8B7D2619-177B-46FD-A82F-444B58019CA5}"/>
    <cellStyle name="Normal 2 2 2 2 2 2 29 5 7" xfId="12818" xr:uid="{0DC2AE23-190C-4178-8903-105DB5E67465}"/>
    <cellStyle name="Normal 2 2 2 2 2 2 29 5 8" xfId="12819" xr:uid="{8178C86D-33BF-454F-9E82-3B94DA747D8A}"/>
    <cellStyle name="Normal 2 2 2 2 2 2 29 5 8 2" xfId="12820" xr:uid="{6C2CB8DA-5BBC-4DDC-925A-20EE34E89E83}"/>
    <cellStyle name="Normal 2 2 2 2 2 2 29 5 8 3" xfId="12821" xr:uid="{E0BF64FE-748F-4334-ADC7-C73A9260DEB5}"/>
    <cellStyle name="Normal 2 2 2 2 2 2 29 5 8 4" xfId="12822" xr:uid="{2DCEBCBD-33EB-4002-802F-7058C38D20C0}"/>
    <cellStyle name="Normal 2 2 2 2 2 2 29 5 9" xfId="12823" xr:uid="{CB39F656-AA64-413B-8011-53CA0A3A325A}"/>
    <cellStyle name="Normal 2 2 2 2 2 2 29 6" xfId="12824" xr:uid="{4AB78AD6-ECA4-4969-A60E-2323EDAE13C1}"/>
    <cellStyle name="Normal 2 2 2 2 2 2 29 7" xfId="12825" xr:uid="{76C9B7F7-123F-48C8-BCD5-8AEB38F3F1A8}"/>
    <cellStyle name="Normal 2 2 2 2 2 2 29 7 2" xfId="12826" xr:uid="{EE6D63F8-0013-44FF-92EA-09E896DF31EE}"/>
    <cellStyle name="Normal 2 2 2 2 2 2 29 7 2 2" xfId="12827" xr:uid="{6CB1D39D-A718-4468-9BE0-63CEC5F4F92B}"/>
    <cellStyle name="Normal 2 2 2 2 2 2 29 7 2 3" xfId="12828" xr:uid="{CD207D08-0768-4772-A9FA-0D5D1CCFFFE8}"/>
    <cellStyle name="Normal 2 2 2 2 2 2 29 7 2 4" xfId="12829" xr:uid="{14CB9F29-D007-4864-9220-D325E1AA2E75}"/>
    <cellStyle name="Normal 2 2 2 2 2 2 29 7 3" xfId="12830" xr:uid="{B8559C41-2474-470D-AC68-36E24410CDAD}"/>
    <cellStyle name="Normal 2 2 2 2 2 2 29 7 4" xfId="12831" xr:uid="{7B0C02F3-FC7F-4E20-84C5-741BC3C99093}"/>
    <cellStyle name="Normal 2 2 2 2 2 2 29 7 5" xfId="12832" xr:uid="{82D7321A-3D35-491D-9314-0309E4337840}"/>
    <cellStyle name="Normal 2 2 2 2 2 2 29 7 6" xfId="12833" xr:uid="{6D30D90F-46D3-45BB-B426-DB1F90C05838}"/>
    <cellStyle name="Normal 2 2 2 2 2 2 29 8" xfId="12834" xr:uid="{611C581C-C7F8-41F4-AEA4-354629CA22F1}"/>
    <cellStyle name="Normal 2 2 2 2 2 2 29 9" xfId="12835" xr:uid="{457B1B06-AEA4-48F0-8FA3-B8AD9CF8D815}"/>
    <cellStyle name="Normal 2 2 2 2 2 2 3" xfId="12836" xr:uid="{81958011-085E-40DC-8C09-4DF9D08928D7}"/>
    <cellStyle name="Normal 2 2 2 2 2 2 30" xfId="12837" xr:uid="{93E7DF8C-2C75-486C-A1A1-6817613EDA41}"/>
    <cellStyle name="Normal 2 2 2 2 2 2 31" xfId="12838" xr:uid="{7504A449-5AC6-43DD-8AF0-43CC78695C2B}"/>
    <cellStyle name="Normal 2 2 2 2 2 2 32" xfId="12839" xr:uid="{D8AD2F0F-4D9C-4748-BCBD-B6A6E880D7B7}"/>
    <cellStyle name="Normal 2 2 2 2 2 2 33" xfId="12840" xr:uid="{9932A65E-F0EE-4A75-8F4E-B1AC15D4E7C3}"/>
    <cellStyle name="Normal 2 2 2 2 2 2 34" xfId="12841" xr:uid="{F299CA13-DF20-4595-A256-F51176D45CA7}"/>
    <cellStyle name="Normal 2 2 2 2 2 2 35" xfId="12842" xr:uid="{44F414F3-ED5C-4FB6-BDEF-30C9B2A73912}"/>
    <cellStyle name="Normal 2 2 2 2 2 2 36" xfId="12843" xr:uid="{3ED918A9-BCFC-4AD4-82D5-8DB0D95B94C8}"/>
    <cellStyle name="Normal 2 2 2 2 2 2 37" xfId="12844" xr:uid="{24878A82-5643-4DCF-B553-7A265336AB71}"/>
    <cellStyle name="Normal 2 2 2 2 2 2 37 10" xfId="12845" xr:uid="{42CA785F-9137-4620-B74A-1671DE3B23E0}"/>
    <cellStyle name="Normal 2 2 2 2 2 2 37 11" xfId="12846" xr:uid="{ABF635E5-CA50-40B4-B9B1-DE2275B80436}"/>
    <cellStyle name="Normal 2 2 2 2 2 2 37 11 2" xfId="12847" xr:uid="{F652B7D6-D6DC-40F2-ABE9-05E24B20E35A}"/>
    <cellStyle name="Normal 2 2 2 2 2 2 37 11 3" xfId="12848" xr:uid="{3FB3F9D7-6A39-42D9-8F26-9CF6F8FB5709}"/>
    <cellStyle name="Normal 2 2 2 2 2 2 37 11 4" xfId="12849" xr:uid="{CDC936D4-D46A-46D7-9EC1-5A4B1A1A796E}"/>
    <cellStyle name="Normal 2 2 2 2 2 2 37 12" xfId="12850" xr:uid="{3AA63292-22E5-49B7-8D40-E228563C1068}"/>
    <cellStyle name="Normal 2 2 2 2 2 2 37 13" xfId="12851" xr:uid="{4EAD72D3-2BFF-498E-A775-FA39E00C1A53}"/>
    <cellStyle name="Normal 2 2 2 2 2 2 37 14" xfId="12852" xr:uid="{8A8190C5-3CF9-446C-A249-494DC3B6C01B}"/>
    <cellStyle name="Normal 2 2 2 2 2 2 37 2" xfId="12853" xr:uid="{AC31CAD3-8D8B-4372-A685-D70A221A3AF0}"/>
    <cellStyle name="Normal 2 2 2 2 2 2 37 2 10" xfId="12854" xr:uid="{4C9E9B11-FD3E-468F-9C0F-30E934E9CC93}"/>
    <cellStyle name="Normal 2 2 2 2 2 2 37 2 11" xfId="12855" xr:uid="{6D3F53A0-0518-4D84-B2F3-1C98CC9881F7}"/>
    <cellStyle name="Normal 2 2 2 2 2 2 37 2 2" xfId="12856" xr:uid="{05B7067F-5214-4813-99B5-82AF0EF23126}"/>
    <cellStyle name="Normal 2 2 2 2 2 2 37 2 2 10" xfId="12857" xr:uid="{A1EB711E-1121-4790-8BD5-7D6E415D4A10}"/>
    <cellStyle name="Normal 2 2 2 2 2 2 37 2 2 11" xfId="12858" xr:uid="{1DE00C5E-09A4-4A94-9395-8544404F816A}"/>
    <cellStyle name="Normal 2 2 2 2 2 2 37 2 2 2" xfId="12859" xr:uid="{D0CD3BFB-CCAE-4DF1-BD98-86948952E0A5}"/>
    <cellStyle name="Normal 2 2 2 2 2 2 37 2 2 2 2" xfId="12860" xr:uid="{218423A3-2EF9-4138-8CE1-53AFF13AC956}"/>
    <cellStyle name="Normal 2 2 2 2 2 2 37 2 2 2 2 2" xfId="12861" xr:uid="{00DC2838-1F77-42FD-BA1D-023737FAB5BE}"/>
    <cellStyle name="Normal 2 2 2 2 2 2 37 2 2 2 2 3" xfId="12862" xr:uid="{BDD16CA7-427D-402D-A1C2-9DBFE8877464}"/>
    <cellStyle name="Normal 2 2 2 2 2 2 37 2 2 2 2 4" xfId="12863" xr:uid="{9929912B-4145-425D-9101-C9193DD122FB}"/>
    <cellStyle name="Normal 2 2 2 2 2 2 37 2 2 2 3" xfId="12864" xr:uid="{7966B3B6-F015-4AE8-B783-3EED968E5690}"/>
    <cellStyle name="Normal 2 2 2 2 2 2 37 2 2 2 4" xfId="12865" xr:uid="{C0F9D616-DEF8-4BAF-942D-A6DFE6A9B1B2}"/>
    <cellStyle name="Normal 2 2 2 2 2 2 37 2 2 2 5" xfId="12866" xr:uid="{465F71DD-81C7-4AD2-9B8C-304F3B5142D6}"/>
    <cellStyle name="Normal 2 2 2 2 2 2 37 2 2 2 6" xfId="12867" xr:uid="{32E254AA-AD30-4170-802A-C75E0FC8B150}"/>
    <cellStyle name="Normal 2 2 2 2 2 2 37 2 2 3" xfId="12868" xr:uid="{CEDCFE29-7CBE-4352-AF78-BD424969CB8E}"/>
    <cellStyle name="Normal 2 2 2 2 2 2 37 2 2 4" xfId="12869" xr:uid="{1039A566-A48F-463A-AE2A-1BCDA13388F7}"/>
    <cellStyle name="Normal 2 2 2 2 2 2 37 2 2 5" xfId="12870" xr:uid="{8F4378E5-87D5-474B-AC89-390ECC853DE0}"/>
    <cellStyle name="Normal 2 2 2 2 2 2 37 2 2 6" xfId="12871" xr:uid="{5BCFE822-A737-4B0A-A461-41F52B49C169}"/>
    <cellStyle name="Normal 2 2 2 2 2 2 37 2 2 7" xfId="12872" xr:uid="{8F4DBC42-6F43-4CF0-8ADF-6DD54E15C165}"/>
    <cellStyle name="Normal 2 2 2 2 2 2 37 2 2 8" xfId="12873" xr:uid="{EE3E4F4F-5086-45F5-A72D-8DA246FF2FAE}"/>
    <cellStyle name="Normal 2 2 2 2 2 2 37 2 2 8 2" xfId="12874" xr:uid="{5DE0802C-EE18-4C24-BD12-ABBC3A13384F}"/>
    <cellStyle name="Normal 2 2 2 2 2 2 37 2 2 8 3" xfId="12875" xr:uid="{029EF30E-F5FB-4A9C-82E2-2AFC72DCA415}"/>
    <cellStyle name="Normal 2 2 2 2 2 2 37 2 2 8 4" xfId="12876" xr:uid="{ED696041-1171-4329-BE5A-3650A9151C70}"/>
    <cellStyle name="Normal 2 2 2 2 2 2 37 2 2 9" xfId="12877" xr:uid="{C8AAB556-DAE3-45F5-BC5B-D0CDA2A4E983}"/>
    <cellStyle name="Normal 2 2 2 2 2 2 37 2 3" xfId="12878" xr:uid="{8395E9F7-909B-4236-A388-BA207B40A615}"/>
    <cellStyle name="Normal 2 2 2 2 2 2 37 2 3 2" xfId="12879" xr:uid="{0818096D-4491-4FEA-AD6E-23E0073CB48A}"/>
    <cellStyle name="Normal 2 2 2 2 2 2 37 2 3 2 2" xfId="12880" xr:uid="{72A17A83-BC1C-4C78-B5DA-67C02AD89BC5}"/>
    <cellStyle name="Normal 2 2 2 2 2 2 37 2 3 2 3" xfId="12881" xr:uid="{38EF4AEC-5D8F-4BDC-B146-A0127DB2C86E}"/>
    <cellStyle name="Normal 2 2 2 2 2 2 37 2 3 2 4" xfId="12882" xr:uid="{12C052D5-897B-4A7A-8DE4-590681CEB025}"/>
    <cellStyle name="Normal 2 2 2 2 2 2 37 2 3 3" xfId="12883" xr:uid="{2ABFDDDC-E3CE-4F28-8E74-2505635AB186}"/>
    <cellStyle name="Normal 2 2 2 2 2 2 37 2 3 4" xfId="12884" xr:uid="{F4612AAE-84EC-4EB8-A10E-B4BB55DED4FA}"/>
    <cellStyle name="Normal 2 2 2 2 2 2 37 2 3 5" xfId="12885" xr:uid="{E718B24A-BA27-4A91-BD4F-BCDBD6000369}"/>
    <cellStyle name="Normal 2 2 2 2 2 2 37 2 3 6" xfId="12886" xr:uid="{737D6BCD-2ED2-4C01-8FF6-EA098B92EFB3}"/>
    <cellStyle name="Normal 2 2 2 2 2 2 37 2 4" xfId="12887" xr:uid="{0293385D-AA4B-4825-9687-D40F22072210}"/>
    <cellStyle name="Normal 2 2 2 2 2 2 37 2 5" xfId="12888" xr:uid="{C9172408-47E4-4D4A-A403-B3A149A5D77D}"/>
    <cellStyle name="Normal 2 2 2 2 2 2 37 2 6" xfId="12889" xr:uid="{0E9247CE-BA3F-4538-A4B2-A2E345EA406C}"/>
    <cellStyle name="Normal 2 2 2 2 2 2 37 2 7" xfId="12890" xr:uid="{0C97FF4B-6E4F-4C1E-AE4E-10E36350222B}"/>
    <cellStyle name="Normal 2 2 2 2 2 2 37 2 8" xfId="12891" xr:uid="{55B0A885-67A1-40CB-8848-749E060DB056}"/>
    <cellStyle name="Normal 2 2 2 2 2 2 37 2 8 2" xfId="12892" xr:uid="{4F66DA67-D1D2-4567-9AE0-FBF8A72AE513}"/>
    <cellStyle name="Normal 2 2 2 2 2 2 37 2 8 3" xfId="12893" xr:uid="{CF0D9F99-4FF0-45D3-B6E1-49FB3FF08838}"/>
    <cellStyle name="Normal 2 2 2 2 2 2 37 2 8 4" xfId="12894" xr:uid="{D1B94512-ED88-4532-9A62-699DEE3C8E0F}"/>
    <cellStyle name="Normal 2 2 2 2 2 2 37 2 9" xfId="12895" xr:uid="{198B20A3-ED37-477B-B057-236FE5C1C438}"/>
    <cellStyle name="Normal 2 2 2 2 2 2 37 3" xfId="12896" xr:uid="{28F680D3-CA16-4878-9863-27308084F442}"/>
    <cellStyle name="Normal 2 2 2 2 2 2 37 4" xfId="12897" xr:uid="{59C22468-CCC4-4B7E-84DB-657E0ECD53E7}"/>
    <cellStyle name="Normal 2 2 2 2 2 2 37 5" xfId="12898" xr:uid="{1DDEAB0D-2DF6-4FB9-ACA4-074B841CD56A}"/>
    <cellStyle name="Normal 2 2 2 2 2 2 37 5 2" xfId="12899" xr:uid="{CC91BD59-6D3E-4C60-9974-C2BAE82EFC28}"/>
    <cellStyle name="Normal 2 2 2 2 2 2 37 5 2 2" xfId="12900" xr:uid="{657232AE-3CBB-4F82-A42A-6C9D7112562D}"/>
    <cellStyle name="Normal 2 2 2 2 2 2 37 5 2 3" xfId="12901" xr:uid="{8C771529-581B-42A1-BB76-94AF145B95CF}"/>
    <cellStyle name="Normal 2 2 2 2 2 2 37 5 2 4" xfId="12902" xr:uid="{BA50AAA6-3586-4E56-9438-16BA4EEDFC3D}"/>
    <cellStyle name="Normal 2 2 2 2 2 2 37 5 3" xfId="12903" xr:uid="{782A42E4-8B69-4A97-B92F-48CC7693F103}"/>
    <cellStyle name="Normal 2 2 2 2 2 2 37 5 4" xfId="12904" xr:uid="{A1CB1A67-CAE7-458C-9CFE-80A5E0A3E691}"/>
    <cellStyle name="Normal 2 2 2 2 2 2 37 5 5" xfId="12905" xr:uid="{882FC3E4-2B99-408A-A501-7021C3C22B0B}"/>
    <cellStyle name="Normal 2 2 2 2 2 2 37 5 6" xfId="12906" xr:uid="{474C769A-1EB7-40C1-8B48-796A93C8F4C2}"/>
    <cellStyle name="Normal 2 2 2 2 2 2 37 6" xfId="12907" xr:uid="{C0DE095A-FFF9-4FC9-8522-0DA760A4E98F}"/>
    <cellStyle name="Normal 2 2 2 2 2 2 37 7" xfId="12908" xr:uid="{945CF109-F720-4B60-A12E-381D3451581B}"/>
    <cellStyle name="Normal 2 2 2 2 2 2 37 8" xfId="12909" xr:uid="{BADEE5FA-9202-47DA-A2D0-BBC62E362185}"/>
    <cellStyle name="Normal 2 2 2 2 2 2 37 9" xfId="12910" xr:uid="{2C9DB61D-1D40-4057-A9AA-4BBBB4983A0C}"/>
    <cellStyle name="Normal 2 2 2 2 2 2 38" xfId="12911" xr:uid="{0A2BE47E-57FA-4C74-ABC1-C49F5AEE6CB4}"/>
    <cellStyle name="Normal 2 2 2 2 2 2 39" xfId="12912" xr:uid="{F9DABD78-1DF7-4776-B0EB-CC7C4554A0F9}"/>
    <cellStyle name="Normal 2 2 2 2 2 2 39 10" xfId="12913" xr:uid="{0E1406E0-151A-4767-B74C-7771C6DBBFA3}"/>
    <cellStyle name="Normal 2 2 2 2 2 2 39 11" xfId="12914" xr:uid="{A86F1246-8B57-488B-BC6C-69B8DF95A46C}"/>
    <cellStyle name="Normal 2 2 2 2 2 2 39 2" xfId="12915" xr:uid="{1086B3DB-0EAE-4ADB-BFE8-17E88CA53EA7}"/>
    <cellStyle name="Normal 2 2 2 2 2 2 39 2 10" xfId="12916" xr:uid="{77AA7C62-7D2F-4284-BE2A-7E05F63D91B8}"/>
    <cellStyle name="Normal 2 2 2 2 2 2 39 2 11" xfId="12917" xr:uid="{DC8E3B4B-1755-49F6-A61C-16E19D7F393A}"/>
    <cellStyle name="Normal 2 2 2 2 2 2 39 2 2" xfId="12918" xr:uid="{4011C0F2-3777-4976-93D5-22F2A627CFB4}"/>
    <cellStyle name="Normal 2 2 2 2 2 2 39 2 2 2" xfId="12919" xr:uid="{5456E05D-A71D-475D-BB9A-05785C4014A5}"/>
    <cellStyle name="Normal 2 2 2 2 2 2 39 2 2 2 2" xfId="12920" xr:uid="{18033205-6AA6-4782-83ED-3E208FEA70CA}"/>
    <cellStyle name="Normal 2 2 2 2 2 2 39 2 2 2 3" xfId="12921" xr:uid="{11D31610-94AB-4CEC-9E61-78DA862950CF}"/>
    <cellStyle name="Normal 2 2 2 2 2 2 39 2 2 2 4" xfId="12922" xr:uid="{9BBE8D74-1FF3-44FB-AF9E-9488522EFE41}"/>
    <cellStyle name="Normal 2 2 2 2 2 2 39 2 2 3" xfId="12923" xr:uid="{BB78FAA6-137F-43D6-ACE2-45090FADD74D}"/>
    <cellStyle name="Normal 2 2 2 2 2 2 39 2 2 4" xfId="12924" xr:uid="{122E792E-2123-4FFB-B4C0-08A9FB6147A5}"/>
    <cellStyle name="Normal 2 2 2 2 2 2 39 2 2 5" xfId="12925" xr:uid="{5DD2C6C2-45A9-4E1F-B2A7-371604B4A50F}"/>
    <cellStyle name="Normal 2 2 2 2 2 2 39 2 2 6" xfId="12926" xr:uid="{9702DBCE-E01C-4FFD-9632-E747F5770B65}"/>
    <cellStyle name="Normal 2 2 2 2 2 2 39 2 3" xfId="12927" xr:uid="{80C8DA5A-A098-4F9A-89B3-4F68134E34C7}"/>
    <cellStyle name="Normal 2 2 2 2 2 2 39 2 4" xfId="12928" xr:uid="{3365A587-1BD7-4257-9160-318B4A7A4037}"/>
    <cellStyle name="Normal 2 2 2 2 2 2 39 2 5" xfId="12929" xr:uid="{701BEB54-F3F9-42D5-B598-AFEA8DDEE7D3}"/>
    <cellStyle name="Normal 2 2 2 2 2 2 39 2 6" xfId="12930" xr:uid="{83E25F93-D477-4FF7-920F-9F8146D002AC}"/>
    <cellStyle name="Normal 2 2 2 2 2 2 39 2 7" xfId="12931" xr:uid="{E927B5AC-E999-4C67-B992-5E9C709B73FF}"/>
    <cellStyle name="Normal 2 2 2 2 2 2 39 2 8" xfId="12932" xr:uid="{13DB371C-98F3-4D18-8794-6CCDE03D7BDF}"/>
    <cellStyle name="Normal 2 2 2 2 2 2 39 2 8 2" xfId="12933" xr:uid="{6A5E38C9-549B-4DE3-82D3-68B8724D68FA}"/>
    <cellStyle name="Normal 2 2 2 2 2 2 39 2 8 3" xfId="12934" xr:uid="{0B545B9F-9654-4218-9C7C-0741F17E01C1}"/>
    <cellStyle name="Normal 2 2 2 2 2 2 39 2 8 4" xfId="12935" xr:uid="{DC8DF7D5-01A3-4587-AE9B-210E557025F3}"/>
    <cellStyle name="Normal 2 2 2 2 2 2 39 2 9" xfId="12936" xr:uid="{62FE7663-5B59-4830-BD05-DA226D3C6E87}"/>
    <cellStyle name="Normal 2 2 2 2 2 2 39 3" xfId="12937" xr:uid="{0E7A6962-7E34-49CF-91DF-D3ECB1FCA97A}"/>
    <cellStyle name="Normal 2 2 2 2 2 2 39 3 2" xfId="12938" xr:uid="{487D9911-5193-407E-8447-653EBD8727F4}"/>
    <cellStyle name="Normal 2 2 2 2 2 2 39 3 2 2" xfId="12939" xr:uid="{B7F24CF3-2771-4F7B-B737-080679EC966E}"/>
    <cellStyle name="Normal 2 2 2 2 2 2 39 3 2 3" xfId="12940" xr:uid="{9142730D-079A-479E-AF21-0689395FDD9D}"/>
    <cellStyle name="Normal 2 2 2 2 2 2 39 3 2 4" xfId="12941" xr:uid="{876900BC-FCB2-47F4-8F24-215CF94059A6}"/>
    <cellStyle name="Normal 2 2 2 2 2 2 39 3 3" xfId="12942" xr:uid="{19DE7542-EEC9-465C-ADEE-0B86B5D4D316}"/>
    <cellStyle name="Normal 2 2 2 2 2 2 39 3 4" xfId="12943" xr:uid="{5571EE64-C66E-40F6-95B9-460A0A6ABA25}"/>
    <cellStyle name="Normal 2 2 2 2 2 2 39 3 5" xfId="12944" xr:uid="{64DBAA12-B687-47DD-BC11-B354341AEA88}"/>
    <cellStyle name="Normal 2 2 2 2 2 2 39 3 6" xfId="12945" xr:uid="{2D1CE6BE-CFA2-4E55-97F7-9878156C2112}"/>
    <cellStyle name="Normal 2 2 2 2 2 2 39 4" xfId="12946" xr:uid="{65E17A8F-F6FC-417C-8F9B-C2D00E54DB9A}"/>
    <cellStyle name="Normal 2 2 2 2 2 2 39 5" xfId="12947" xr:uid="{2ADBCA3F-4440-40AE-BCC7-888CF1AD968E}"/>
    <cellStyle name="Normal 2 2 2 2 2 2 39 6" xfId="12948" xr:uid="{07CC3F18-A379-4C42-B7AB-8E991700A615}"/>
    <cellStyle name="Normal 2 2 2 2 2 2 39 7" xfId="12949" xr:uid="{7D78C5E5-0DE8-4EE4-B991-329B1F3783CA}"/>
    <cellStyle name="Normal 2 2 2 2 2 2 39 8" xfId="12950" xr:uid="{A63CAFFD-B89D-4380-8C74-74F78316108F}"/>
    <cellStyle name="Normal 2 2 2 2 2 2 39 8 2" xfId="12951" xr:uid="{B2A2833E-E29C-4659-8497-8FF2B414BCA2}"/>
    <cellStyle name="Normal 2 2 2 2 2 2 39 8 3" xfId="12952" xr:uid="{71EEC21E-CF0E-425A-B39F-4A60A88B62BB}"/>
    <cellStyle name="Normal 2 2 2 2 2 2 39 8 4" xfId="12953" xr:uid="{0F10E267-9F9E-4CFB-BF61-AD1AF034357B}"/>
    <cellStyle name="Normal 2 2 2 2 2 2 39 9" xfId="12954" xr:uid="{6A6C12A3-89E1-4F56-9283-4AE451C40018}"/>
    <cellStyle name="Normal 2 2 2 2 2 2 4" xfId="12955" xr:uid="{3A2BE377-0F4E-439C-A220-239CBFA4E88D}"/>
    <cellStyle name="Normal 2 2 2 2 2 2 40" xfId="12956" xr:uid="{FBF84988-DD12-4C58-9D15-E0D6BB4CD519}"/>
    <cellStyle name="Normal 2 2 2 2 2 2 41" xfId="12957" xr:uid="{E4DB80B9-9C06-4744-9979-4F82ADBD39D3}"/>
    <cellStyle name="Normal 2 2 2 2 2 2 41 2" xfId="12958" xr:uid="{54D74024-B7A5-44B5-82E8-695AF7105432}"/>
    <cellStyle name="Normal 2 2 2 2 2 2 41 2 2" xfId="12959" xr:uid="{AE9BE849-7F8A-4044-A884-2ACE76CB1A06}"/>
    <cellStyle name="Normal 2 2 2 2 2 2 41 2 3" xfId="12960" xr:uid="{A43D4680-777B-4DC5-9710-37E94AF99EAD}"/>
    <cellStyle name="Normal 2 2 2 2 2 2 41 2 4" xfId="12961" xr:uid="{9D1437F3-7665-4CC4-8AB4-BA9101BC5D3F}"/>
    <cellStyle name="Normal 2 2 2 2 2 2 41 3" xfId="12962" xr:uid="{2CDA5B29-E4D9-4AB5-90AD-4CD86D6913AC}"/>
    <cellStyle name="Normal 2 2 2 2 2 2 41 4" xfId="12963" xr:uid="{3EDAA9D2-2ED1-4DC6-8E90-128D5AE969ED}"/>
    <cellStyle name="Normal 2 2 2 2 2 2 41 5" xfId="12964" xr:uid="{9EAA8284-C47C-4414-88CF-38B27E2181D2}"/>
    <cellStyle name="Normal 2 2 2 2 2 2 41 6" xfId="12965" xr:uid="{D8D31F0C-6C35-4486-9217-68ED1021C849}"/>
    <cellStyle name="Normal 2 2 2 2 2 2 42" xfId="12966" xr:uid="{4205AFDF-303A-4527-88CA-6D7F86DE525C}"/>
    <cellStyle name="Normal 2 2 2 2 2 2 43" xfId="12967" xr:uid="{4B25A703-E086-46BC-A995-13FAFF90DEAC}"/>
    <cellStyle name="Normal 2 2 2 2 2 2 44" xfId="12968" xr:uid="{11D4F13A-81B0-499C-8D51-51D0AAD9E0C5}"/>
    <cellStyle name="Normal 2 2 2 2 2 2 45" xfId="12969" xr:uid="{E85A552A-6B02-4232-A411-CBC082A7E31A}"/>
    <cellStyle name="Normal 2 2 2 2 2 2 46" xfId="12970" xr:uid="{011672F3-FE78-4738-9C5B-5C00EEA0C409}"/>
    <cellStyle name="Normal 2 2 2 2 2 2 47" xfId="12971" xr:uid="{F8669175-A7E6-4A9F-B8B5-5D54FB3CF788}"/>
    <cellStyle name="Normal 2 2 2 2 2 2 47 2" xfId="12972" xr:uid="{B9EDD417-659B-4835-A2CC-0147042E4061}"/>
    <cellStyle name="Normal 2 2 2 2 2 2 47 3" xfId="12973" xr:uid="{B1DBD09A-AF26-4A00-A1B6-D3EB3B33B23A}"/>
    <cellStyle name="Normal 2 2 2 2 2 2 47 4" xfId="12974" xr:uid="{298DA127-E51C-4F1D-AA64-28FB769F9854}"/>
    <cellStyle name="Normal 2 2 2 2 2 2 48" xfId="12975" xr:uid="{3A40950C-891E-46FA-ABC1-882BDB6105CD}"/>
    <cellStyle name="Normal 2 2 2 2 2 2 49" xfId="12976" xr:uid="{BBECE830-F842-4209-86AD-DA4B94E3C0AC}"/>
    <cellStyle name="Normal 2 2 2 2 2 2 5" xfId="12977" xr:uid="{D848BBCE-07A5-4B10-8306-2FEB10586CF3}"/>
    <cellStyle name="Normal 2 2 2 2 2 2 50" xfId="12978" xr:uid="{3DD0B416-48B9-4A70-8F80-949A9B1096EA}"/>
    <cellStyle name="Normal 2 2 2 2 2 2 51" xfId="12979" xr:uid="{CADA8148-5310-4FC8-A308-45FA5CE2690D}"/>
    <cellStyle name="Normal 2 2 2 2 2 2 52" xfId="12980" xr:uid="{72246216-CE12-40CA-AA90-6AF083232CEA}"/>
    <cellStyle name="Normal 2 2 2 2 2 2 53" xfId="12981" xr:uid="{41025248-3361-4762-B1C5-0BB2591CEF4A}"/>
    <cellStyle name="Normal 2 2 2 2 2 2 54" xfId="12982" xr:uid="{9FB1EFE8-D7D7-49A1-982C-E2B8030C50E1}"/>
    <cellStyle name="Normal 2 2 2 2 2 2 55" xfId="12983" xr:uid="{724671D2-6906-4086-94CF-E474FDE99FEA}"/>
    <cellStyle name="Normal 2 2 2 2 2 2 56" xfId="12984" xr:uid="{B454E3E2-9B5D-4123-A8E8-C1C1FFFCBE31}"/>
    <cellStyle name="Normal 2 2 2 2 2 2 57" xfId="12985" xr:uid="{E9A04B04-CF75-4EBD-B2A5-D833E551B8E4}"/>
    <cellStyle name="Normal 2 2 2 2 2 2 58" xfId="12986" xr:uid="{0967615E-7A1D-4E0F-9DE8-A016BED40C63}"/>
    <cellStyle name="Normal 2 2 2 2 2 2 59" xfId="12987" xr:uid="{55AC89BE-A877-4AA5-A91D-663C020F7B75}"/>
    <cellStyle name="Normal 2 2 2 2 2 2 6" xfId="12988" xr:uid="{93F222E4-B7F7-43E6-A1E4-8B7A97E3C89B}"/>
    <cellStyle name="Normal 2 2 2 2 2 2 60" xfId="12989" xr:uid="{2DA3D0C0-46F4-42B1-9611-3176B3210900}"/>
    <cellStyle name="Normal 2 2 2 2 2 2 61" xfId="12990" xr:uid="{6F091102-1860-41A9-82B8-EBBF2617652E}"/>
    <cellStyle name="Normal 2 2 2 2 2 2 62" xfId="12991" xr:uid="{F24FDD5F-DA9B-4FE1-AB93-0060BCE814FB}"/>
    <cellStyle name="Normal 2 2 2 2 2 2 62 2" xfId="12992" xr:uid="{29767AF8-735C-4E7D-8CDF-278621D07D53}"/>
    <cellStyle name="Normal 2 2 2 2 2 2 62 3" xfId="12993" xr:uid="{A9C0E881-5E69-4DE7-B2C0-5E604CF76B41}"/>
    <cellStyle name="Normal 2 2 2 2 2 2 62 4" xfId="12994" xr:uid="{0D1B46B0-ABAC-485C-9D78-A7D0638FF8F5}"/>
    <cellStyle name="Normal 2 2 2 2 2 2 62 5" xfId="12995" xr:uid="{D5E387B9-ED14-462C-963A-AC05B68B7006}"/>
    <cellStyle name="Normal 2 2 2 2 2 2 62 6" xfId="12996" xr:uid="{87533E96-3D6A-4374-A637-620C84F1539B}"/>
    <cellStyle name="Normal 2 2 2 2 2 2 62 7" xfId="12997" xr:uid="{237C57A1-567C-4B9B-9F2B-5C92931A810A}"/>
    <cellStyle name="Normal 2 2 2 2 2 2 63" xfId="12998" xr:uid="{74132650-C8D5-4FD8-83E5-0E8D0362B3C8}"/>
    <cellStyle name="Normal 2 2 2 2 2 2 64" xfId="12999" xr:uid="{0545CB7B-65EB-4A2E-8CEA-9557ACEB92FA}"/>
    <cellStyle name="Normal 2 2 2 2 2 2 65" xfId="13000" xr:uid="{FFD3D3B6-36A3-48C8-9903-570895C3E831}"/>
    <cellStyle name="Normal 2 2 2 2 2 2 66" xfId="13001" xr:uid="{FEE3307B-77EC-49B8-93F3-1DCFD9740412}"/>
    <cellStyle name="Normal 2 2 2 2 2 2 67" xfId="13002" xr:uid="{C2CF1960-3392-47F9-8E2C-392F3D57C79E}"/>
    <cellStyle name="Normal 2 2 2 2 2 2 68" xfId="13003" xr:uid="{F19932FC-A57D-4C50-933E-2673727823F6}"/>
    <cellStyle name="Normal 2 2 2 2 2 2 69" xfId="13004" xr:uid="{1F1EAA7B-6F19-47F4-B05D-3D00D660623B}"/>
    <cellStyle name="Normal 2 2 2 2 2 2 7" xfId="13005" xr:uid="{1A5D58A3-DDFA-4D90-84B4-BB25A0E2CDB7}"/>
    <cellStyle name="Normal 2 2 2 2 2 2 70" xfId="13006" xr:uid="{AADF4730-A6C3-4310-BBD0-36BB307EC333}"/>
    <cellStyle name="Normal 2 2 2 2 2 2 71" xfId="13007" xr:uid="{A435D616-0C61-4A1E-A1E5-782A1F3F00F8}"/>
    <cellStyle name="Normal 2 2 2 2 2 2 72" xfId="13008" xr:uid="{2FBDA055-3930-4549-AA9C-902741424891}"/>
    <cellStyle name="Normal 2 2 2 2 2 2 73" xfId="13009" xr:uid="{1ED81566-BA5C-4688-9FAA-9BDEFB4E71B8}"/>
    <cellStyle name="Normal 2 2 2 2 2 2 74" xfId="13010" xr:uid="{B93CDD4E-5A58-417C-9BAD-084E7E05B5D3}"/>
    <cellStyle name="Normal 2 2 2 2 2 2 75" xfId="13011" xr:uid="{28042049-B9DF-4B0C-B024-026F902507C6}"/>
    <cellStyle name="Normal 2 2 2 2 2 2 76" xfId="13012" xr:uid="{73E52044-6492-4E61-807E-ACDDBEFF7D7D}"/>
    <cellStyle name="Normal 2 2 2 2 2 2 77" xfId="13013" xr:uid="{89BB334F-E67B-4FF4-A2C8-4E2F7BA293BE}"/>
    <cellStyle name="Normal 2 2 2 2 2 2 78" xfId="13014" xr:uid="{1A43035D-8CA2-4D9F-8EE3-A0288CBEC48E}"/>
    <cellStyle name="Normal 2 2 2 2 2 2 79" xfId="13015" xr:uid="{CE855CA9-25C4-4045-8593-E263C3C144D2}"/>
    <cellStyle name="Normal 2 2 2 2 2 2 8" xfId="13016" xr:uid="{C5CB77D7-F542-4DB0-903A-616C16BDF6F0}"/>
    <cellStyle name="Normal 2 2 2 2 2 2 80" xfId="13017" xr:uid="{A442BA5E-5908-4D4D-986B-04473B3B6274}"/>
    <cellStyle name="Normal 2 2 2 2 2 2 81" xfId="13018" xr:uid="{00057D4D-8890-4814-A8C4-B59D17A9150E}"/>
    <cellStyle name="Normal 2 2 2 2 2 2 82" xfId="13019" xr:uid="{7C0782EF-CFE2-4026-AF61-4B3E8B8E1D2B}"/>
    <cellStyle name="Normal 2 2 2 2 2 2 83" xfId="13020" xr:uid="{B08FBED2-87F4-43B7-9EF1-81ECE5338752}"/>
    <cellStyle name="Normal 2 2 2 2 2 2 84" xfId="13021" xr:uid="{0171045E-36A2-4BCA-8C88-F7F52EF8569D}"/>
    <cellStyle name="Normal 2 2 2 2 2 2 85" xfId="13022" xr:uid="{80B2A06B-A5DF-4CF3-A6C5-4AA807FA3727}"/>
    <cellStyle name="Normal 2 2 2 2 2 2 86" xfId="13023" xr:uid="{C36F5931-E2F9-44B4-8B91-90BDFC313C1B}"/>
    <cellStyle name="Normal 2 2 2 2 2 2 87" xfId="13024" xr:uid="{2DE6967A-D75F-45A8-B0C5-2DD0460C0DE2}"/>
    <cellStyle name="Normal 2 2 2 2 2 2 88" xfId="13025" xr:uid="{E993280D-E169-4B29-9045-5496B29FE055}"/>
    <cellStyle name="Normal 2 2 2 2 2 2 89" xfId="13026" xr:uid="{1CF196B1-ECD1-4A44-A153-B037C4A155DF}"/>
    <cellStyle name="Normal 2 2 2 2 2 2 9" xfId="13027" xr:uid="{6BBBB4BA-CB27-4039-86BE-E6B6B8C203EC}"/>
    <cellStyle name="Normal 2 2 2 2 2 2 90" xfId="13028" xr:uid="{7982288F-6003-443B-99B3-DA0457668B4A}"/>
    <cellStyle name="Normal 2 2 2 2 2 2 91" xfId="13029" xr:uid="{9B9D11D3-C4B7-44E3-8344-EE43F5904FE9}"/>
    <cellStyle name="Normal 2 2 2 2 2 2 92" xfId="13030" xr:uid="{AD82C1EB-7AF7-426C-A320-C99B1902919E}"/>
    <cellStyle name="Normal 2 2 2 2 2 2 93" xfId="13031" xr:uid="{938F39C6-F51A-4CA9-B1AE-A903306D22A9}"/>
    <cellStyle name="Normal 2 2 2 2 2 2 94" xfId="13032" xr:uid="{CB934575-7E77-478A-B17E-1B7FFCB57E61}"/>
    <cellStyle name="Normal 2 2 2 2 2 2 95" xfId="13033" xr:uid="{F09BCC4C-9F60-4AF3-9218-087629D1F850}"/>
    <cellStyle name="Normal 2 2 2 2 2 2 96" xfId="13034" xr:uid="{0B221C46-E9E2-4697-9967-91FFC6743C2C}"/>
    <cellStyle name="Normal 2 2 2 2 2 2 97" xfId="13035" xr:uid="{5B693B02-8035-4753-A0DD-BC07318010C1}"/>
    <cellStyle name="Normal 2 2 2 2 2 2 98" xfId="13036" xr:uid="{00DB15C0-8F3D-483D-A3C8-3857C0B40B38}"/>
    <cellStyle name="Normal 2 2 2 2 2 2 99" xfId="13037" xr:uid="{DF30955A-B40A-4BCC-BEE1-9BB2483F340C}"/>
    <cellStyle name="Normal 2 2 2 2 2 20" xfId="13038" xr:uid="{317A6790-46A8-48D4-970D-4D7DCB33C2B5}"/>
    <cellStyle name="Normal 2 2 2 2 2 21" xfId="13039" xr:uid="{9281657B-8149-4B88-8CCF-CC6E98CF288E}"/>
    <cellStyle name="Normal 2 2 2 2 2 22" xfId="13040" xr:uid="{B109995F-590B-4922-B843-6D98886F281E}"/>
    <cellStyle name="Normal 2 2 2 2 2 23" xfId="13041" xr:uid="{657E53DC-4855-488E-AB9F-6DE1DFA5635F}"/>
    <cellStyle name="Normal 2 2 2 2 2 24" xfId="13042" xr:uid="{5F166AEF-BCCD-4835-93F2-4F771886B575}"/>
    <cellStyle name="Normal 2 2 2 2 2 25" xfId="13043" xr:uid="{0D9D75CF-3F8C-4ACC-A964-00C0C9795B56}"/>
    <cellStyle name="Normal 2 2 2 2 2 26" xfId="13044" xr:uid="{D3E88376-F078-404B-AF4C-62CBA8C7E312}"/>
    <cellStyle name="Normal 2 2 2 2 2 27" xfId="13045" xr:uid="{EEE61BAB-17FA-4886-A2FA-F3385D8650D6}"/>
    <cellStyle name="Normal 2 2 2 2 2 28" xfId="13046" xr:uid="{AE276405-55BB-401A-BC95-4445AADB6781}"/>
    <cellStyle name="Normal 2 2 2 2 2 28 10" xfId="13047" xr:uid="{BEDB745F-AF90-4419-9F91-25F299B1610F}"/>
    <cellStyle name="Normal 2 2 2 2 2 28 11" xfId="13048" xr:uid="{799B416A-048E-4AE1-AD04-4C17056E33D7}"/>
    <cellStyle name="Normal 2 2 2 2 2 28 11 10" xfId="13049" xr:uid="{D244C6E0-91C3-463C-AB52-453C1FA1D6A6}"/>
    <cellStyle name="Normal 2 2 2 2 2 28 11 11" xfId="13050" xr:uid="{7FCC7FBE-3808-42FF-840C-7E558DB9E37E}"/>
    <cellStyle name="Normal 2 2 2 2 2 28 11 11 2" xfId="13051" xr:uid="{B185EE91-C651-45C7-A805-560FF59B9DD4}"/>
    <cellStyle name="Normal 2 2 2 2 2 28 11 11 3" xfId="13052" xr:uid="{E6295640-6093-43FC-994D-2B58BAE30015}"/>
    <cellStyle name="Normal 2 2 2 2 2 28 11 11 4" xfId="13053" xr:uid="{5B7BF3B6-A253-489E-B935-F1F1ECFE64E1}"/>
    <cellStyle name="Normal 2 2 2 2 2 28 11 12" xfId="13054" xr:uid="{32858A94-B1D7-4326-AF71-83988E87324C}"/>
    <cellStyle name="Normal 2 2 2 2 2 28 11 13" xfId="13055" xr:uid="{D7876F03-7E78-4C35-AD41-879091F76E52}"/>
    <cellStyle name="Normal 2 2 2 2 2 28 11 14" xfId="13056" xr:uid="{23C8F21D-F18C-4887-98E7-7257B965F82D}"/>
    <cellStyle name="Normal 2 2 2 2 2 28 11 2" xfId="13057" xr:uid="{13C044E9-53C2-4ECD-AC10-DBDC4BAD4159}"/>
    <cellStyle name="Normal 2 2 2 2 2 28 11 2 10" xfId="13058" xr:uid="{5AA7DB10-8392-4DC6-9335-CF7A80902DC7}"/>
    <cellStyle name="Normal 2 2 2 2 2 28 11 2 11" xfId="13059" xr:uid="{AE064E2F-21E2-4260-8A13-71FDDAC90824}"/>
    <cellStyle name="Normal 2 2 2 2 2 28 11 2 2" xfId="13060" xr:uid="{4CEEE85A-0128-4968-A81E-8F4EE40DD5ED}"/>
    <cellStyle name="Normal 2 2 2 2 2 28 11 2 2 10" xfId="13061" xr:uid="{17C2091F-D89D-4EEB-AB95-1C38BB5C5EDD}"/>
    <cellStyle name="Normal 2 2 2 2 2 28 11 2 2 11" xfId="13062" xr:uid="{A5D8E45F-51A9-4E58-95C2-6E36FEBDD270}"/>
    <cellStyle name="Normal 2 2 2 2 2 28 11 2 2 2" xfId="13063" xr:uid="{77A06FDB-BB6C-4CFE-840F-3E830E8CF790}"/>
    <cellStyle name="Normal 2 2 2 2 2 28 11 2 2 2 2" xfId="13064" xr:uid="{1B4CA857-2F15-4FDB-837D-DB0118DCA162}"/>
    <cellStyle name="Normal 2 2 2 2 2 28 11 2 2 2 2 2" xfId="13065" xr:uid="{B68E8D6C-6096-4DA1-BDCA-F8F4DFE7A165}"/>
    <cellStyle name="Normal 2 2 2 2 2 28 11 2 2 2 2 3" xfId="13066" xr:uid="{DCEA576A-7FCC-4A86-AEC3-94B5AAFD282E}"/>
    <cellStyle name="Normal 2 2 2 2 2 28 11 2 2 2 2 4" xfId="13067" xr:uid="{A3FD970E-FFB0-45CF-99FA-C27EC0449499}"/>
    <cellStyle name="Normal 2 2 2 2 2 28 11 2 2 2 3" xfId="13068" xr:uid="{9C9204D1-86FE-40CB-A7B7-3F8052544F9B}"/>
    <cellStyle name="Normal 2 2 2 2 2 28 11 2 2 2 4" xfId="13069" xr:uid="{57158534-A532-4D3B-B297-FF0E15A0193B}"/>
    <cellStyle name="Normal 2 2 2 2 2 28 11 2 2 2 5" xfId="13070" xr:uid="{2E8C95D5-57A1-4867-9174-CC157CFAF879}"/>
    <cellStyle name="Normal 2 2 2 2 2 28 11 2 2 2 6" xfId="13071" xr:uid="{E8706923-7E90-44A9-8A9D-72F246E2AA54}"/>
    <cellStyle name="Normal 2 2 2 2 2 28 11 2 2 3" xfId="13072" xr:uid="{C6B9E9EC-CCC0-483A-B812-D541FF0710E3}"/>
    <cellStyle name="Normal 2 2 2 2 2 28 11 2 2 4" xfId="13073" xr:uid="{D31C22AD-B9BC-458D-AD65-A509C4F2BD60}"/>
    <cellStyle name="Normal 2 2 2 2 2 28 11 2 2 5" xfId="13074" xr:uid="{3E4C11BE-835D-44C0-95EE-9614A29B3082}"/>
    <cellStyle name="Normal 2 2 2 2 2 28 11 2 2 6" xfId="13075" xr:uid="{26E7E6E2-9C5F-41DA-AD34-29E16ADA869E}"/>
    <cellStyle name="Normal 2 2 2 2 2 28 11 2 2 7" xfId="13076" xr:uid="{0F949F43-869E-4BD6-98B2-D8ABC070FD75}"/>
    <cellStyle name="Normal 2 2 2 2 2 28 11 2 2 8" xfId="13077" xr:uid="{6DAC97D9-047B-4475-9897-B6F2A262B6E2}"/>
    <cellStyle name="Normal 2 2 2 2 2 28 11 2 2 8 2" xfId="13078" xr:uid="{1C420693-730A-4C51-9261-CA75E09325A5}"/>
    <cellStyle name="Normal 2 2 2 2 2 28 11 2 2 8 3" xfId="13079" xr:uid="{755670A0-80A0-4657-BA42-2589D2D77D64}"/>
    <cellStyle name="Normal 2 2 2 2 2 28 11 2 2 8 4" xfId="13080" xr:uid="{B8C2A722-D1ED-47D8-931E-37A236C645DF}"/>
    <cellStyle name="Normal 2 2 2 2 2 28 11 2 2 9" xfId="13081" xr:uid="{7E2D789D-F204-4C87-BE5F-B6E0BC2F6474}"/>
    <cellStyle name="Normal 2 2 2 2 2 28 11 2 3" xfId="13082" xr:uid="{B9955965-F473-48C6-8DA3-29F87E664067}"/>
    <cellStyle name="Normal 2 2 2 2 2 28 11 2 3 2" xfId="13083" xr:uid="{2B269280-5ED3-4E57-ABB2-82AB9E5BE966}"/>
    <cellStyle name="Normal 2 2 2 2 2 28 11 2 3 2 2" xfId="13084" xr:uid="{985588D2-82D1-4DDF-8C6E-FE79983047E5}"/>
    <cellStyle name="Normal 2 2 2 2 2 28 11 2 3 2 3" xfId="13085" xr:uid="{0BAE790C-264D-4171-8A18-1EB0E9B95868}"/>
    <cellStyle name="Normal 2 2 2 2 2 28 11 2 3 2 4" xfId="13086" xr:uid="{FF098582-B29D-4F78-8B9E-ECE471B84214}"/>
    <cellStyle name="Normal 2 2 2 2 2 28 11 2 3 3" xfId="13087" xr:uid="{35A5CF24-EBDB-4AE9-BD95-2044D948A844}"/>
    <cellStyle name="Normal 2 2 2 2 2 28 11 2 3 4" xfId="13088" xr:uid="{F8B6F7CB-74E4-405E-AB50-581288545205}"/>
    <cellStyle name="Normal 2 2 2 2 2 28 11 2 3 5" xfId="13089" xr:uid="{681961D0-D6B2-4509-BC10-1330AF69C520}"/>
    <cellStyle name="Normal 2 2 2 2 2 28 11 2 3 6" xfId="13090" xr:uid="{85177544-A85C-4D77-B187-D16D317EC2A5}"/>
    <cellStyle name="Normal 2 2 2 2 2 28 11 2 4" xfId="13091" xr:uid="{2591A58A-7D24-4873-8AB6-B6025A6AD9D1}"/>
    <cellStyle name="Normal 2 2 2 2 2 28 11 2 5" xfId="13092" xr:uid="{83F30FDF-F7C5-407B-A31F-DA9217189693}"/>
    <cellStyle name="Normal 2 2 2 2 2 28 11 2 6" xfId="13093" xr:uid="{931F0BA1-3AE3-4C89-A716-87C6B77D3CF2}"/>
    <cellStyle name="Normal 2 2 2 2 2 28 11 2 7" xfId="13094" xr:uid="{42EF51A5-C735-443B-8F29-BBA37FB10F6D}"/>
    <cellStyle name="Normal 2 2 2 2 2 28 11 2 8" xfId="13095" xr:uid="{2532CF5F-3B9C-42A1-8BA1-6410E7C15D34}"/>
    <cellStyle name="Normal 2 2 2 2 2 28 11 2 8 2" xfId="13096" xr:uid="{B6B0C92D-7239-411D-BA61-4FF746FF923A}"/>
    <cellStyle name="Normal 2 2 2 2 2 28 11 2 8 3" xfId="13097" xr:uid="{08EF49A6-A771-4033-8A99-A62DA1B18224}"/>
    <cellStyle name="Normal 2 2 2 2 2 28 11 2 8 4" xfId="13098" xr:uid="{87F39570-58B4-455C-BF91-16E0EB0142D6}"/>
    <cellStyle name="Normal 2 2 2 2 2 28 11 2 9" xfId="13099" xr:uid="{61AD36D3-E6E8-40A4-8CD9-27C3D029E603}"/>
    <cellStyle name="Normal 2 2 2 2 2 28 11 3" xfId="13100" xr:uid="{683851FD-EBA0-48AE-B58F-D24A3882463F}"/>
    <cellStyle name="Normal 2 2 2 2 2 28 11 4" xfId="13101" xr:uid="{96AF8082-7B9F-4402-A88E-C5F43EBDAB03}"/>
    <cellStyle name="Normal 2 2 2 2 2 28 11 5" xfId="13102" xr:uid="{441AEEBA-07B6-4291-89AF-5BFCA19CB1E8}"/>
    <cellStyle name="Normal 2 2 2 2 2 28 11 5 2" xfId="13103" xr:uid="{69D3CD5C-3067-425C-8EF6-2883CE230393}"/>
    <cellStyle name="Normal 2 2 2 2 2 28 11 5 2 2" xfId="13104" xr:uid="{2F5B4770-F879-46CE-9925-A6649C01056B}"/>
    <cellStyle name="Normal 2 2 2 2 2 28 11 5 2 3" xfId="13105" xr:uid="{644EFBDB-D59B-4641-A124-8C46B204E284}"/>
    <cellStyle name="Normal 2 2 2 2 2 28 11 5 2 4" xfId="13106" xr:uid="{D05E5036-7D36-49AF-8355-24E00F3DEE2B}"/>
    <cellStyle name="Normal 2 2 2 2 2 28 11 5 3" xfId="13107" xr:uid="{FC4D3608-A5CA-4FFA-9B00-F406E25B75DF}"/>
    <cellStyle name="Normal 2 2 2 2 2 28 11 5 4" xfId="13108" xr:uid="{C7448EC9-74D2-4024-A19F-4CA1506EB607}"/>
    <cellStyle name="Normal 2 2 2 2 2 28 11 5 5" xfId="13109" xr:uid="{64E8A8CC-82A6-4F2E-91D3-E8EE86587EC2}"/>
    <cellStyle name="Normal 2 2 2 2 2 28 11 5 6" xfId="13110" xr:uid="{67B44960-BCAB-47E5-9A14-5E0BA2A4C2C2}"/>
    <cellStyle name="Normal 2 2 2 2 2 28 11 6" xfId="13111" xr:uid="{3C92BC1B-461E-4494-9A02-DC4279586497}"/>
    <cellStyle name="Normal 2 2 2 2 2 28 11 7" xfId="13112" xr:uid="{09322FA8-135B-48E3-97D2-E1AF9066CA89}"/>
    <cellStyle name="Normal 2 2 2 2 2 28 11 8" xfId="13113" xr:uid="{4EF025A2-0791-42C5-8E94-55F098C3D838}"/>
    <cellStyle name="Normal 2 2 2 2 2 28 11 9" xfId="13114" xr:uid="{55FD5B1A-2AA0-454F-BD9B-D5D533729045}"/>
    <cellStyle name="Normal 2 2 2 2 2 28 12" xfId="13115" xr:uid="{5215A6CF-6CCB-45BB-8F09-B306EF359A42}"/>
    <cellStyle name="Normal 2 2 2 2 2 28 13" xfId="13116" xr:uid="{90CC9688-FB94-42FF-9972-C3F03A07792B}"/>
    <cellStyle name="Normal 2 2 2 2 2 28 13 10" xfId="13117" xr:uid="{70B7F473-6FD2-40FA-ACE1-CEBDE5DE8580}"/>
    <cellStyle name="Normal 2 2 2 2 2 28 13 11" xfId="13118" xr:uid="{1AE2A33A-E338-47B2-B05C-21150B8F0817}"/>
    <cellStyle name="Normal 2 2 2 2 2 28 13 2" xfId="13119" xr:uid="{E6DF51AE-933F-46D0-B435-32F4ABAA60EE}"/>
    <cellStyle name="Normal 2 2 2 2 2 28 13 2 10" xfId="13120" xr:uid="{FD5A5EAB-0775-465B-9E03-EFB393F385BF}"/>
    <cellStyle name="Normal 2 2 2 2 2 28 13 2 11" xfId="13121" xr:uid="{9640B54B-75BF-4A57-880B-8161885DEA46}"/>
    <cellStyle name="Normal 2 2 2 2 2 28 13 2 2" xfId="13122" xr:uid="{9984B9DC-97DA-4A9D-9609-F956F3B2D94C}"/>
    <cellStyle name="Normal 2 2 2 2 2 28 13 2 2 2" xfId="13123" xr:uid="{069B2A66-5F11-47C9-A5AB-F0F17BBB8859}"/>
    <cellStyle name="Normal 2 2 2 2 2 28 13 2 2 2 2" xfId="13124" xr:uid="{07160BBC-AC2F-4BDD-BC33-F0BD13CBFFF6}"/>
    <cellStyle name="Normal 2 2 2 2 2 28 13 2 2 2 3" xfId="13125" xr:uid="{C2CB5488-F60D-49A9-B0CA-62667DA34739}"/>
    <cellStyle name="Normal 2 2 2 2 2 28 13 2 2 2 4" xfId="13126" xr:uid="{C9562BC5-FE5B-4837-ACE2-ABE273BC032A}"/>
    <cellStyle name="Normal 2 2 2 2 2 28 13 2 2 3" xfId="13127" xr:uid="{450BC90C-F410-46DC-B440-F47EF682925F}"/>
    <cellStyle name="Normal 2 2 2 2 2 28 13 2 2 4" xfId="13128" xr:uid="{D2C4BFC4-55E4-4BD7-862A-5A084E242C5B}"/>
    <cellStyle name="Normal 2 2 2 2 2 28 13 2 2 5" xfId="13129" xr:uid="{B6E3729D-36F9-47A2-A7EE-F771381BA8B1}"/>
    <cellStyle name="Normal 2 2 2 2 2 28 13 2 2 6" xfId="13130" xr:uid="{17BD525E-47E6-4C46-8FDD-724E1BE454ED}"/>
    <cellStyle name="Normal 2 2 2 2 2 28 13 2 3" xfId="13131" xr:uid="{73275ECE-7D67-4572-8918-0EF1A7E57BE9}"/>
    <cellStyle name="Normal 2 2 2 2 2 28 13 2 4" xfId="13132" xr:uid="{3DD46A0D-5359-4170-9A9F-D313E8517ADA}"/>
    <cellStyle name="Normal 2 2 2 2 2 28 13 2 5" xfId="13133" xr:uid="{A9CD0A67-B1AA-4873-9647-10420D279B80}"/>
    <cellStyle name="Normal 2 2 2 2 2 28 13 2 6" xfId="13134" xr:uid="{4E9D3EFA-6EEB-4A2C-B91D-FABB3A3D5DD5}"/>
    <cellStyle name="Normal 2 2 2 2 2 28 13 2 7" xfId="13135" xr:uid="{C3D7CDB1-CB9E-46D0-B90E-2D47C68CC1F3}"/>
    <cellStyle name="Normal 2 2 2 2 2 28 13 2 8" xfId="13136" xr:uid="{ADF0A102-4572-4B9B-8E79-AA03DC7C74CB}"/>
    <cellStyle name="Normal 2 2 2 2 2 28 13 2 8 2" xfId="13137" xr:uid="{091105FD-9B43-4CD8-80E0-581EFD3535F4}"/>
    <cellStyle name="Normal 2 2 2 2 2 28 13 2 8 3" xfId="13138" xr:uid="{83620EDE-B920-49FC-A9BA-6355A3605D44}"/>
    <cellStyle name="Normal 2 2 2 2 2 28 13 2 8 4" xfId="13139" xr:uid="{996FC5A8-FB26-47D4-B638-8CA040BE0FB0}"/>
    <cellStyle name="Normal 2 2 2 2 2 28 13 2 9" xfId="13140" xr:uid="{C3760CBA-4400-41B0-851D-C109F5DB73D3}"/>
    <cellStyle name="Normal 2 2 2 2 2 28 13 3" xfId="13141" xr:uid="{C2313259-DF72-4876-8BEA-674AA26EA042}"/>
    <cellStyle name="Normal 2 2 2 2 2 28 13 3 2" xfId="13142" xr:uid="{ADB375D1-8B06-443A-A6DD-E11747A44BF7}"/>
    <cellStyle name="Normal 2 2 2 2 2 28 13 3 2 2" xfId="13143" xr:uid="{2AEEB1A4-4096-42D3-9C48-FDE2306A45A0}"/>
    <cellStyle name="Normal 2 2 2 2 2 28 13 3 2 3" xfId="13144" xr:uid="{FC50E7CD-42B1-4EFC-81B5-7CC7F9D7A21E}"/>
    <cellStyle name="Normal 2 2 2 2 2 28 13 3 2 4" xfId="13145" xr:uid="{B770B756-59EF-4983-A316-FA5699D9DD11}"/>
    <cellStyle name="Normal 2 2 2 2 2 28 13 3 3" xfId="13146" xr:uid="{D440D782-6825-4C63-ACA1-5BD7172DC51C}"/>
    <cellStyle name="Normal 2 2 2 2 2 28 13 3 4" xfId="13147" xr:uid="{C14527B8-D848-4E6D-B68E-91B081154F66}"/>
    <cellStyle name="Normal 2 2 2 2 2 28 13 3 5" xfId="13148" xr:uid="{58A7BBED-A12A-4B79-B7F7-CDC75CA77229}"/>
    <cellStyle name="Normal 2 2 2 2 2 28 13 3 6" xfId="13149" xr:uid="{68CC0B7E-D5CC-4332-AA50-C3215508ADD4}"/>
    <cellStyle name="Normal 2 2 2 2 2 28 13 4" xfId="13150" xr:uid="{0FC228B4-E123-4DF6-B4F7-BDF22A4006EC}"/>
    <cellStyle name="Normal 2 2 2 2 2 28 13 5" xfId="13151" xr:uid="{ACC799DB-4FD8-4595-AAAF-9EF86D8D718C}"/>
    <cellStyle name="Normal 2 2 2 2 2 28 13 6" xfId="13152" xr:uid="{AE1551DE-3D34-47E6-AE97-8A9A1AF08E98}"/>
    <cellStyle name="Normal 2 2 2 2 2 28 13 7" xfId="13153" xr:uid="{7B69EF98-4851-4C46-9D01-D49680280B4B}"/>
    <cellStyle name="Normal 2 2 2 2 2 28 13 8" xfId="13154" xr:uid="{7E19607D-4C75-404E-8B2E-3BAFDF0F5043}"/>
    <cellStyle name="Normal 2 2 2 2 2 28 13 8 2" xfId="13155" xr:uid="{244DF768-CD28-4653-BA04-F60EB8C5F8E2}"/>
    <cellStyle name="Normal 2 2 2 2 2 28 13 8 3" xfId="13156" xr:uid="{BDF2A155-E603-474C-A654-CDF145C79457}"/>
    <cellStyle name="Normal 2 2 2 2 2 28 13 8 4" xfId="13157" xr:uid="{4BF09054-9DC1-4BBF-A17C-90E925B7B2C6}"/>
    <cellStyle name="Normal 2 2 2 2 2 28 13 9" xfId="13158" xr:uid="{BE586955-DA4A-402F-AADE-22C104C9A44F}"/>
    <cellStyle name="Normal 2 2 2 2 2 28 14" xfId="13159" xr:uid="{351FCB93-EE48-4B55-B424-8EE1C1E67868}"/>
    <cellStyle name="Normal 2 2 2 2 2 28 15" xfId="13160" xr:uid="{9806B154-D451-4F19-BE4D-4F4629DE5CD6}"/>
    <cellStyle name="Normal 2 2 2 2 2 28 15 2" xfId="13161" xr:uid="{E9BFCC8F-4F92-42EA-A90F-70E63CEF2C90}"/>
    <cellStyle name="Normal 2 2 2 2 2 28 15 2 2" xfId="13162" xr:uid="{C7324772-7AF0-4D92-AE0E-D0294CEBB160}"/>
    <cellStyle name="Normal 2 2 2 2 2 28 15 2 3" xfId="13163" xr:uid="{8C93D837-B5D3-45F7-A137-195AE424EF6B}"/>
    <cellStyle name="Normal 2 2 2 2 2 28 15 2 4" xfId="13164" xr:uid="{869F96BE-E674-4259-9445-28E45ACB6E26}"/>
    <cellStyle name="Normal 2 2 2 2 2 28 15 3" xfId="13165" xr:uid="{4BF2D19E-62A7-4093-81DD-46976C6BF339}"/>
    <cellStyle name="Normal 2 2 2 2 2 28 15 4" xfId="13166" xr:uid="{F7DBE3E9-4F9D-4EFA-85D9-AEE75A110036}"/>
    <cellStyle name="Normal 2 2 2 2 2 28 15 5" xfId="13167" xr:uid="{F52621CE-1D1C-462B-8E7F-28F50CF45D1A}"/>
    <cellStyle name="Normal 2 2 2 2 2 28 15 6" xfId="13168" xr:uid="{0831CD08-D74D-4F79-9161-24F7DD028BA4}"/>
    <cellStyle name="Normal 2 2 2 2 2 28 16" xfId="13169" xr:uid="{AA743148-8743-4186-9BCA-5ACE87501226}"/>
    <cellStyle name="Normal 2 2 2 2 2 28 17" xfId="13170" xr:uid="{67C504BC-6295-48B0-9BD7-4E00079AB509}"/>
    <cellStyle name="Normal 2 2 2 2 2 28 18" xfId="13171" xr:uid="{C2FD10F5-32A9-4C51-9685-E238CB712B19}"/>
    <cellStyle name="Normal 2 2 2 2 2 28 19" xfId="13172" xr:uid="{DA0DBD3B-7B25-4B63-8372-94BD53B27A68}"/>
    <cellStyle name="Normal 2 2 2 2 2 28 2" xfId="13173" xr:uid="{8C5B6F98-B68C-4E52-ACAF-6E29D66DDEA4}"/>
    <cellStyle name="Normal 2 2 2 2 2 28 2 10" xfId="13174" xr:uid="{11458D53-AC46-41A0-9F08-0F6C90746A38}"/>
    <cellStyle name="Normal 2 2 2 2 2 28 2 11" xfId="13175" xr:uid="{41B1C097-B278-41AF-AAC0-9F9D89692739}"/>
    <cellStyle name="Normal 2 2 2 2 2 28 2 12" xfId="13176" xr:uid="{17EFDD84-BB14-4A7E-B424-58B653300C48}"/>
    <cellStyle name="Normal 2 2 2 2 2 28 2 13" xfId="13177" xr:uid="{9773674E-4890-4A1C-8961-6CE8A43E39D7}"/>
    <cellStyle name="Normal 2 2 2 2 2 28 2 13 2" xfId="13178" xr:uid="{58B40AC0-1237-41BB-9836-B854265D0C57}"/>
    <cellStyle name="Normal 2 2 2 2 2 28 2 13 3" xfId="13179" xr:uid="{90A78B5A-1E0F-42C7-8EC8-267CE9341EBE}"/>
    <cellStyle name="Normal 2 2 2 2 2 28 2 13 4" xfId="13180" xr:uid="{9EE8983B-0D3D-4488-A132-2CE92506056D}"/>
    <cellStyle name="Normal 2 2 2 2 2 28 2 14" xfId="13181" xr:uid="{00758399-375E-4424-B29F-6BE50BD7362A}"/>
    <cellStyle name="Normal 2 2 2 2 2 28 2 15" xfId="13182" xr:uid="{C9A98DE5-EA58-4719-BF01-791EAE7DDE79}"/>
    <cellStyle name="Normal 2 2 2 2 2 28 2 16" xfId="13183" xr:uid="{C092E196-B881-496F-BC45-3A428B5CBE87}"/>
    <cellStyle name="Normal 2 2 2 2 2 28 2 2" xfId="13184" xr:uid="{1EC06CFC-FFFD-421E-9BF6-51D204CEFDA4}"/>
    <cellStyle name="Normal 2 2 2 2 2 28 2 2 10" xfId="13185" xr:uid="{9EE3CB78-F600-4CFC-BE4F-502F7B4734FB}"/>
    <cellStyle name="Normal 2 2 2 2 2 28 2 2 11" xfId="13186" xr:uid="{CB3B2C45-7609-44CD-B607-036AC4FE2536}"/>
    <cellStyle name="Normal 2 2 2 2 2 28 2 2 11 2" xfId="13187" xr:uid="{DFC4CD12-E7F9-4BA9-A6B7-EE0B670DC2BF}"/>
    <cellStyle name="Normal 2 2 2 2 2 28 2 2 11 3" xfId="13188" xr:uid="{6FC5F1A5-6213-49E3-BBDD-0853256DD54B}"/>
    <cellStyle name="Normal 2 2 2 2 2 28 2 2 11 4" xfId="13189" xr:uid="{202D9400-57B0-4791-AB96-439FBA425093}"/>
    <cellStyle name="Normal 2 2 2 2 2 28 2 2 12" xfId="13190" xr:uid="{DF3C19C1-D847-4D72-888F-DFA15C15B281}"/>
    <cellStyle name="Normal 2 2 2 2 2 28 2 2 13" xfId="13191" xr:uid="{5BA1E5DB-EB84-4F3C-8834-70E6CDD3B7BC}"/>
    <cellStyle name="Normal 2 2 2 2 2 28 2 2 14" xfId="13192" xr:uid="{3BDE2290-BE1C-4AF0-A710-2B421D2CF149}"/>
    <cellStyle name="Normal 2 2 2 2 2 28 2 2 2" xfId="13193" xr:uid="{417A085D-C342-49C9-91B9-B99483BD7737}"/>
    <cellStyle name="Normal 2 2 2 2 2 28 2 2 2 10" xfId="13194" xr:uid="{1FEF4317-74DF-41C5-AAC3-7B23EEB9B51E}"/>
    <cellStyle name="Normal 2 2 2 2 2 28 2 2 2 11" xfId="13195" xr:uid="{2394B797-0CE1-433A-B927-82EE66A93072}"/>
    <cellStyle name="Normal 2 2 2 2 2 28 2 2 2 2" xfId="13196" xr:uid="{189D4AB1-25FE-487F-8636-ED72D437E814}"/>
    <cellStyle name="Normal 2 2 2 2 2 28 2 2 2 2 10" xfId="13197" xr:uid="{0824DDF6-629D-4482-91BE-C28FD9913BCB}"/>
    <cellStyle name="Normal 2 2 2 2 2 28 2 2 2 2 11" xfId="13198" xr:uid="{3FD15DF1-4325-49DC-AE1B-E5B1FBAD5438}"/>
    <cellStyle name="Normal 2 2 2 2 2 28 2 2 2 2 2" xfId="13199" xr:uid="{7075BA44-9337-4775-9531-7F433C1AAD1A}"/>
    <cellStyle name="Normal 2 2 2 2 2 28 2 2 2 2 2 2" xfId="13200" xr:uid="{D7A36C7F-6AB5-409C-88DB-83493F4C33AE}"/>
    <cellStyle name="Normal 2 2 2 2 2 28 2 2 2 2 2 2 2" xfId="13201" xr:uid="{2C7C3FA3-FEF5-4811-8F05-8879E9C27522}"/>
    <cellStyle name="Normal 2 2 2 2 2 28 2 2 2 2 2 2 3" xfId="13202" xr:uid="{5F6996D6-7317-40E1-B0B2-E150BF047975}"/>
    <cellStyle name="Normal 2 2 2 2 2 28 2 2 2 2 2 2 4" xfId="13203" xr:uid="{164C516F-3A1A-48C0-95A3-9DFD0D6E769E}"/>
    <cellStyle name="Normal 2 2 2 2 2 28 2 2 2 2 2 3" xfId="13204" xr:uid="{E77AB2C1-00B0-4B0A-8139-448DEDD75AA1}"/>
    <cellStyle name="Normal 2 2 2 2 2 28 2 2 2 2 2 4" xfId="13205" xr:uid="{69BCDD92-F8C4-4EAA-8D8F-80C616CC8898}"/>
    <cellStyle name="Normal 2 2 2 2 2 28 2 2 2 2 2 5" xfId="13206" xr:uid="{56708202-5FFA-40E8-9C57-35C123EDA7A7}"/>
    <cellStyle name="Normal 2 2 2 2 2 28 2 2 2 2 2 6" xfId="13207" xr:uid="{85469692-D959-4044-AD4B-DC870A5A3A67}"/>
    <cellStyle name="Normal 2 2 2 2 2 28 2 2 2 2 3" xfId="13208" xr:uid="{3879B443-112B-4FF0-AB20-EE293987A687}"/>
    <cellStyle name="Normal 2 2 2 2 2 28 2 2 2 2 4" xfId="13209" xr:uid="{ED863995-A417-4C2F-AE79-A82EBF7EFFE0}"/>
    <cellStyle name="Normal 2 2 2 2 2 28 2 2 2 2 5" xfId="13210" xr:uid="{F0689250-5A76-457C-8B09-D5B6B4592B8B}"/>
    <cellStyle name="Normal 2 2 2 2 2 28 2 2 2 2 6" xfId="13211" xr:uid="{3F184143-A8B4-4AFE-B231-E69B93D4CC6C}"/>
    <cellStyle name="Normal 2 2 2 2 2 28 2 2 2 2 7" xfId="13212" xr:uid="{C73C0454-15FD-46D4-A820-1EE03AEFAC05}"/>
    <cellStyle name="Normal 2 2 2 2 2 28 2 2 2 2 8" xfId="13213" xr:uid="{2B06E02B-D71A-4D3D-BE2D-6440BA7356BA}"/>
    <cellStyle name="Normal 2 2 2 2 2 28 2 2 2 2 8 2" xfId="13214" xr:uid="{B69008AA-CA1E-4187-8AC6-A9582014A630}"/>
    <cellStyle name="Normal 2 2 2 2 2 28 2 2 2 2 8 3" xfId="13215" xr:uid="{A2964A22-7327-4BDC-92C8-0E6B42701E1F}"/>
    <cellStyle name="Normal 2 2 2 2 2 28 2 2 2 2 8 4" xfId="13216" xr:uid="{128A100E-6F0F-4D2F-8F97-ECFFED8C0A80}"/>
    <cellStyle name="Normal 2 2 2 2 2 28 2 2 2 2 9" xfId="13217" xr:uid="{8776242F-DB8E-4900-BA59-8C26144E5A9A}"/>
    <cellStyle name="Normal 2 2 2 2 2 28 2 2 2 3" xfId="13218" xr:uid="{ABF9FFCA-E1E7-4B55-B73E-1E0FFBEF2D95}"/>
    <cellStyle name="Normal 2 2 2 2 2 28 2 2 2 3 2" xfId="13219" xr:uid="{226540AE-D158-482F-83E5-11007F465C9E}"/>
    <cellStyle name="Normal 2 2 2 2 2 28 2 2 2 3 2 2" xfId="13220" xr:uid="{A8B3274A-0CE9-40F0-ACE0-B6C23E5206AC}"/>
    <cellStyle name="Normal 2 2 2 2 2 28 2 2 2 3 2 3" xfId="13221" xr:uid="{4A1B30A8-C90F-4DD7-8D67-2E492A4901ED}"/>
    <cellStyle name="Normal 2 2 2 2 2 28 2 2 2 3 2 4" xfId="13222" xr:uid="{0B2515FB-24A9-42DD-9C0F-7ED1D5D9ACB3}"/>
    <cellStyle name="Normal 2 2 2 2 2 28 2 2 2 3 3" xfId="13223" xr:uid="{53389176-8C06-4914-A263-E004F2201167}"/>
    <cellStyle name="Normal 2 2 2 2 2 28 2 2 2 3 4" xfId="13224" xr:uid="{A8AFBAD2-65E5-4AE1-8DBA-93F6474415B9}"/>
    <cellStyle name="Normal 2 2 2 2 2 28 2 2 2 3 5" xfId="13225" xr:uid="{36260F03-04E2-402A-937E-FF64135DD9E5}"/>
    <cellStyle name="Normal 2 2 2 2 2 28 2 2 2 3 6" xfId="13226" xr:uid="{85967CD6-35FB-436F-B537-C06C1717B40B}"/>
    <cellStyle name="Normal 2 2 2 2 2 28 2 2 2 4" xfId="13227" xr:uid="{EFEEB4FD-2D0A-4F53-91CB-89C663011F75}"/>
    <cellStyle name="Normal 2 2 2 2 2 28 2 2 2 5" xfId="13228" xr:uid="{87F36B26-ED16-4F1A-AC7E-36C8474884E9}"/>
    <cellStyle name="Normal 2 2 2 2 2 28 2 2 2 6" xfId="13229" xr:uid="{640FFADB-6EF5-47F9-B62C-E7AC924C7451}"/>
    <cellStyle name="Normal 2 2 2 2 2 28 2 2 2 7" xfId="13230" xr:uid="{EDB32771-8201-4E80-AB72-EEA774445063}"/>
    <cellStyle name="Normal 2 2 2 2 2 28 2 2 2 8" xfId="13231" xr:uid="{53976A3D-B09F-4377-BD51-0CECC3E90462}"/>
    <cellStyle name="Normal 2 2 2 2 2 28 2 2 2 8 2" xfId="13232" xr:uid="{8C98D93A-ED17-44D9-841F-797F6CB38061}"/>
    <cellStyle name="Normal 2 2 2 2 2 28 2 2 2 8 3" xfId="13233" xr:uid="{070344AC-92AB-4130-89FE-88FEABA7F0AE}"/>
    <cellStyle name="Normal 2 2 2 2 2 28 2 2 2 8 4" xfId="13234" xr:uid="{26D6DE3E-C142-49AB-A355-C05D78CA43BA}"/>
    <cellStyle name="Normal 2 2 2 2 2 28 2 2 2 9" xfId="13235" xr:uid="{09D35422-37CC-42CF-BA05-3A07C2FECF2B}"/>
    <cellStyle name="Normal 2 2 2 2 2 28 2 2 3" xfId="13236" xr:uid="{DE993FDD-6C54-4B63-94D8-084853EEA08A}"/>
    <cellStyle name="Normal 2 2 2 2 2 28 2 2 4" xfId="13237" xr:uid="{0BC74C56-A253-477F-AED4-1B25CF32B5FE}"/>
    <cellStyle name="Normal 2 2 2 2 2 28 2 2 5" xfId="13238" xr:uid="{5A036F43-6472-4CF5-B8B7-20A55A7FDB21}"/>
    <cellStyle name="Normal 2 2 2 2 2 28 2 2 5 2" xfId="13239" xr:uid="{D8647D2E-E319-4DD8-9D8B-C66DE1C1F551}"/>
    <cellStyle name="Normal 2 2 2 2 2 28 2 2 5 2 2" xfId="13240" xr:uid="{AE8686B8-7507-47EC-AD82-76AA83EB5646}"/>
    <cellStyle name="Normal 2 2 2 2 2 28 2 2 5 2 3" xfId="13241" xr:uid="{2897D07D-9228-4680-A3ED-495B0E9124E8}"/>
    <cellStyle name="Normal 2 2 2 2 2 28 2 2 5 2 4" xfId="13242" xr:uid="{AA093A2F-F37E-4C5F-BD52-D4FE5CF86CBE}"/>
    <cellStyle name="Normal 2 2 2 2 2 28 2 2 5 3" xfId="13243" xr:uid="{75569711-E459-4109-A2CD-613BB099F0B5}"/>
    <cellStyle name="Normal 2 2 2 2 2 28 2 2 5 4" xfId="13244" xr:uid="{2667045F-A182-4BAA-82DD-30AD737AE4BF}"/>
    <cellStyle name="Normal 2 2 2 2 2 28 2 2 5 5" xfId="13245" xr:uid="{97CBAE65-71A1-48E2-8A23-2AAD2A30BEE3}"/>
    <cellStyle name="Normal 2 2 2 2 2 28 2 2 5 6" xfId="13246" xr:uid="{7EE69E5F-5613-4F13-AFEC-6289A6EF57D7}"/>
    <cellStyle name="Normal 2 2 2 2 2 28 2 2 6" xfId="13247" xr:uid="{2CA1D126-50DB-473B-9C75-F87483149C5C}"/>
    <cellStyle name="Normal 2 2 2 2 2 28 2 2 7" xfId="13248" xr:uid="{0FE97CD7-7779-4CF0-823B-BE69688A9D71}"/>
    <cellStyle name="Normal 2 2 2 2 2 28 2 2 8" xfId="13249" xr:uid="{22CB7D82-D0DB-4AE7-9E26-9F35A9941996}"/>
    <cellStyle name="Normal 2 2 2 2 2 28 2 2 9" xfId="13250" xr:uid="{4AF3E81D-697E-4511-8326-71C6425F9542}"/>
    <cellStyle name="Normal 2 2 2 2 2 28 2 3" xfId="13251" xr:uid="{C4369ED9-59E3-478F-AECA-E9DACA2F2116}"/>
    <cellStyle name="Normal 2 2 2 2 2 28 2 4" xfId="13252" xr:uid="{C251D810-050B-4A37-94F2-77AA12B951AC}"/>
    <cellStyle name="Normal 2 2 2 2 2 28 2 5" xfId="13253" xr:uid="{C69D914B-61FE-4B80-8734-EEBAF289DA59}"/>
    <cellStyle name="Normal 2 2 2 2 2 28 2 5 10" xfId="13254" xr:uid="{5778EF47-93E5-492D-930E-52B1CF38CC89}"/>
    <cellStyle name="Normal 2 2 2 2 2 28 2 5 11" xfId="13255" xr:uid="{1252E2A0-0E57-4A7D-988B-2CA5E60AEF14}"/>
    <cellStyle name="Normal 2 2 2 2 2 28 2 5 2" xfId="13256" xr:uid="{F0218A1D-A839-48F4-9BC0-F0CD3DB31B5B}"/>
    <cellStyle name="Normal 2 2 2 2 2 28 2 5 2 10" xfId="13257" xr:uid="{AD9DE243-7102-492F-9593-2F0261A59873}"/>
    <cellStyle name="Normal 2 2 2 2 2 28 2 5 2 11" xfId="13258" xr:uid="{2D6DCD6D-9CB9-453D-8C7D-1D4312CC9A7A}"/>
    <cellStyle name="Normal 2 2 2 2 2 28 2 5 2 2" xfId="13259" xr:uid="{DA0D839C-799B-4154-B36F-A2C241DBBE4E}"/>
    <cellStyle name="Normal 2 2 2 2 2 28 2 5 2 2 2" xfId="13260" xr:uid="{73780DFF-F11B-4AE4-9892-8040DD349914}"/>
    <cellStyle name="Normal 2 2 2 2 2 28 2 5 2 2 2 2" xfId="13261" xr:uid="{5C498CDC-D251-42EA-B0D5-9A3566CDA8C7}"/>
    <cellStyle name="Normal 2 2 2 2 2 28 2 5 2 2 2 3" xfId="13262" xr:uid="{EF85838C-303E-49BD-A1FE-9A5BAC8897F8}"/>
    <cellStyle name="Normal 2 2 2 2 2 28 2 5 2 2 2 4" xfId="13263" xr:uid="{D37ECD1C-CAE2-4326-9DE0-C28457030E49}"/>
    <cellStyle name="Normal 2 2 2 2 2 28 2 5 2 2 3" xfId="13264" xr:uid="{1C526CFB-BB5D-488B-90BC-808EE8C405CD}"/>
    <cellStyle name="Normal 2 2 2 2 2 28 2 5 2 2 4" xfId="13265" xr:uid="{39E6F57F-DDAF-42CD-890C-6AD61FDF3988}"/>
    <cellStyle name="Normal 2 2 2 2 2 28 2 5 2 2 5" xfId="13266" xr:uid="{283817B7-5CBB-4E02-A626-F9F5E761847A}"/>
    <cellStyle name="Normal 2 2 2 2 2 28 2 5 2 2 6" xfId="13267" xr:uid="{0DC5D293-CDF0-48C2-A8A2-FD1154FCED83}"/>
    <cellStyle name="Normal 2 2 2 2 2 28 2 5 2 3" xfId="13268" xr:uid="{8216E148-137C-4EC6-BCCF-261E95E33CED}"/>
    <cellStyle name="Normal 2 2 2 2 2 28 2 5 2 4" xfId="13269" xr:uid="{195511B9-FA5F-48CF-8C03-B9CA7317C0B2}"/>
    <cellStyle name="Normal 2 2 2 2 2 28 2 5 2 5" xfId="13270" xr:uid="{BAB65AE1-55EE-45FF-9551-56C33BA29257}"/>
    <cellStyle name="Normal 2 2 2 2 2 28 2 5 2 6" xfId="13271" xr:uid="{B503C11D-1D3F-4DC0-8C61-AD82E624D85B}"/>
    <cellStyle name="Normal 2 2 2 2 2 28 2 5 2 7" xfId="13272" xr:uid="{9311AFC2-6B7C-4F1F-B8C7-16F7527039BD}"/>
    <cellStyle name="Normal 2 2 2 2 2 28 2 5 2 8" xfId="13273" xr:uid="{1435B43B-5EE3-46FA-889F-4C88C051F830}"/>
    <cellStyle name="Normal 2 2 2 2 2 28 2 5 2 8 2" xfId="13274" xr:uid="{8829BB03-B1C7-4AA2-92A6-43DE08D759AC}"/>
    <cellStyle name="Normal 2 2 2 2 2 28 2 5 2 8 3" xfId="13275" xr:uid="{524B23A3-D6DD-49A2-9AD5-CBDAC238BA36}"/>
    <cellStyle name="Normal 2 2 2 2 2 28 2 5 2 8 4" xfId="13276" xr:uid="{C8A954E7-2A71-464B-8337-13302AA4051B}"/>
    <cellStyle name="Normal 2 2 2 2 2 28 2 5 2 9" xfId="13277" xr:uid="{62EBC7B7-813B-4242-A4DE-657D7FCD6730}"/>
    <cellStyle name="Normal 2 2 2 2 2 28 2 5 3" xfId="13278" xr:uid="{95B569A2-9B09-421D-ABAF-E4B777123527}"/>
    <cellStyle name="Normal 2 2 2 2 2 28 2 5 3 2" xfId="13279" xr:uid="{D62035A1-307C-4FE6-9BA3-EF35A8EF6BE5}"/>
    <cellStyle name="Normal 2 2 2 2 2 28 2 5 3 2 2" xfId="13280" xr:uid="{4072412E-C001-4A51-8D4A-D2813D9B9443}"/>
    <cellStyle name="Normal 2 2 2 2 2 28 2 5 3 2 3" xfId="13281" xr:uid="{F8294B5F-AC50-4E21-A709-E64A6F281FCF}"/>
    <cellStyle name="Normal 2 2 2 2 2 28 2 5 3 2 4" xfId="13282" xr:uid="{3480707A-3AB9-4EDB-8A46-4B8D624CEBA8}"/>
    <cellStyle name="Normal 2 2 2 2 2 28 2 5 3 3" xfId="13283" xr:uid="{D28E71A9-DE35-4B52-84EA-0EA4D8F62753}"/>
    <cellStyle name="Normal 2 2 2 2 2 28 2 5 3 4" xfId="13284" xr:uid="{69F392A3-E11D-444E-BBBD-94ECE54B7883}"/>
    <cellStyle name="Normal 2 2 2 2 2 28 2 5 3 5" xfId="13285" xr:uid="{2A3735F3-7F00-4704-9A85-A8A92F82EDF3}"/>
    <cellStyle name="Normal 2 2 2 2 2 28 2 5 3 6" xfId="13286" xr:uid="{D731CA81-54E7-440B-8BE3-177B199F43F0}"/>
    <cellStyle name="Normal 2 2 2 2 2 28 2 5 4" xfId="13287" xr:uid="{B90488E7-3C95-4EDD-AE65-D9B46BACD944}"/>
    <cellStyle name="Normal 2 2 2 2 2 28 2 5 5" xfId="13288" xr:uid="{DACAF984-6695-4A50-A3A3-43E29B22E42A}"/>
    <cellStyle name="Normal 2 2 2 2 2 28 2 5 6" xfId="13289" xr:uid="{5B5106EB-41C5-49EE-BB98-0032E85952B2}"/>
    <cellStyle name="Normal 2 2 2 2 2 28 2 5 7" xfId="13290" xr:uid="{2B7D107F-BF9F-4079-A849-83D77C7233DC}"/>
    <cellStyle name="Normal 2 2 2 2 2 28 2 5 8" xfId="13291" xr:uid="{1AFE076F-AC8A-49FD-9DCB-C89FAD26D764}"/>
    <cellStyle name="Normal 2 2 2 2 2 28 2 5 8 2" xfId="13292" xr:uid="{96D3C3E7-CB0D-4DAF-99F7-60D1FC3A4AF6}"/>
    <cellStyle name="Normal 2 2 2 2 2 28 2 5 8 3" xfId="13293" xr:uid="{921708AD-305B-4988-B1A3-488AA40C4C62}"/>
    <cellStyle name="Normal 2 2 2 2 2 28 2 5 8 4" xfId="13294" xr:uid="{053AE231-0467-4413-94EB-DD70EB93CA39}"/>
    <cellStyle name="Normal 2 2 2 2 2 28 2 5 9" xfId="13295" xr:uid="{CA1F1FDD-A91B-4377-A0F3-C89F00DB2C63}"/>
    <cellStyle name="Normal 2 2 2 2 2 28 2 6" xfId="13296" xr:uid="{F7FE5598-4CC8-4C88-8B15-DCD71A0D285A}"/>
    <cellStyle name="Normal 2 2 2 2 2 28 2 7" xfId="13297" xr:uid="{D4782C25-54B2-4A65-905B-AF404D710AB7}"/>
    <cellStyle name="Normal 2 2 2 2 2 28 2 7 2" xfId="13298" xr:uid="{EF2BED84-BF3C-49F1-B100-5DC09B0DE5FB}"/>
    <cellStyle name="Normal 2 2 2 2 2 28 2 7 2 2" xfId="13299" xr:uid="{F380B9B3-C98C-4E37-8C35-1B404FF7A8FA}"/>
    <cellStyle name="Normal 2 2 2 2 2 28 2 7 2 3" xfId="13300" xr:uid="{24E23B56-5691-40BD-A588-AB794CFC583A}"/>
    <cellStyle name="Normal 2 2 2 2 2 28 2 7 2 4" xfId="13301" xr:uid="{583EA26D-7DF5-40DA-B78E-0FB97C91EDEC}"/>
    <cellStyle name="Normal 2 2 2 2 2 28 2 7 3" xfId="13302" xr:uid="{3F85BEA4-D9FE-499B-BE73-5616F4E8CBBA}"/>
    <cellStyle name="Normal 2 2 2 2 2 28 2 7 4" xfId="13303" xr:uid="{1BF39126-CF9E-4B8B-8EA3-B8E9470D3722}"/>
    <cellStyle name="Normal 2 2 2 2 2 28 2 7 5" xfId="13304" xr:uid="{FE3E9FE5-343B-463D-A4FD-294FB4E204B0}"/>
    <cellStyle name="Normal 2 2 2 2 2 28 2 7 6" xfId="13305" xr:uid="{09878B4E-78D3-4A12-95F6-AC57DCADCE96}"/>
    <cellStyle name="Normal 2 2 2 2 2 28 2 8" xfId="13306" xr:uid="{3AF3BD53-47FE-4C30-AED2-DF56C396976B}"/>
    <cellStyle name="Normal 2 2 2 2 2 28 2 9" xfId="13307" xr:uid="{86E3EB93-53A3-4790-B3AE-44E921FD1454}"/>
    <cellStyle name="Normal 2 2 2 2 2 28 20" xfId="13308" xr:uid="{C42074C4-D7F0-41B4-8026-ED1DEB04A990}"/>
    <cellStyle name="Normal 2 2 2 2 2 28 21" xfId="13309" xr:uid="{959FA77F-C497-4988-9C51-931816940C2D}"/>
    <cellStyle name="Normal 2 2 2 2 2 28 21 2" xfId="13310" xr:uid="{70C16C22-EE3D-4BBF-AB59-A5AFD421AD39}"/>
    <cellStyle name="Normal 2 2 2 2 2 28 21 3" xfId="13311" xr:uid="{CCE2756C-0F86-4F48-AF23-0BCCD54B75A3}"/>
    <cellStyle name="Normal 2 2 2 2 2 28 21 4" xfId="13312" xr:uid="{C1EE28E3-B914-4881-AEEA-EA8B8F9B9221}"/>
    <cellStyle name="Normal 2 2 2 2 2 28 22" xfId="13313" xr:uid="{9BCECFEA-A13E-4665-99C2-BCF68558E819}"/>
    <cellStyle name="Normal 2 2 2 2 2 28 23" xfId="13314" xr:uid="{A67C26E6-2D18-47BC-AD6E-0762CEB835EB}"/>
    <cellStyle name="Normal 2 2 2 2 2 28 24" xfId="13315" xr:uid="{238A4F2C-38F7-4FCF-BE4F-E83F536000C6}"/>
    <cellStyle name="Normal 2 2 2 2 2 28 3" xfId="13316" xr:uid="{A1E37D9D-8DEF-4E09-9D6E-D0968B5E8995}"/>
    <cellStyle name="Normal 2 2 2 2 2 28 4" xfId="13317" xr:uid="{45D0D204-89BD-41D7-B029-B0E999C05734}"/>
    <cellStyle name="Normal 2 2 2 2 2 28 5" xfId="13318" xr:uid="{A9300A83-1208-455D-A6A0-58BA31A47622}"/>
    <cellStyle name="Normal 2 2 2 2 2 28 6" xfId="13319" xr:uid="{8196D99A-2413-4603-B60F-DECA0DE4AEFF}"/>
    <cellStyle name="Normal 2 2 2 2 2 28 7" xfId="13320" xr:uid="{C1E94D50-D59A-4403-8FC4-0886B41E7E0F}"/>
    <cellStyle name="Normal 2 2 2 2 2 28 8" xfId="13321" xr:uid="{34FD477E-4B6F-47D4-AF7D-5117A8077456}"/>
    <cellStyle name="Normal 2 2 2 2 2 28 9" xfId="13322" xr:uid="{54DC8E50-4E64-4293-AF22-EDB7CE00539B}"/>
    <cellStyle name="Normal 2 2 2 2 2 29" xfId="13323" xr:uid="{A3E8E83C-C52B-4BEE-8471-9FECADD11098}"/>
    <cellStyle name="Normal 2 2 2 2 2 29 10" xfId="13324" xr:uid="{074CA92E-1117-41FE-9DAE-5E639C21C473}"/>
    <cellStyle name="Normal 2 2 2 2 2 29 11" xfId="13325" xr:uid="{12EB7421-ADDA-41D6-A63A-8D6F4F5B6C7A}"/>
    <cellStyle name="Normal 2 2 2 2 2 29 12" xfId="13326" xr:uid="{0E4CE3FD-DE23-46B6-92C7-0D4C3D16D87B}"/>
    <cellStyle name="Normal 2 2 2 2 2 29 13" xfId="13327" xr:uid="{024F0F9D-7F41-42AC-97DE-BA9EB951F7C2}"/>
    <cellStyle name="Normal 2 2 2 2 2 29 13 2" xfId="13328" xr:uid="{762C8C47-802A-456F-962B-1F011840DE15}"/>
    <cellStyle name="Normal 2 2 2 2 2 29 13 3" xfId="13329" xr:uid="{8AB92E8E-2944-4DE9-9C20-EB5AE66A2AB3}"/>
    <cellStyle name="Normal 2 2 2 2 2 29 13 4" xfId="13330" xr:uid="{1EF4CC0F-11FC-4ED5-B380-181BEB58ED7E}"/>
    <cellStyle name="Normal 2 2 2 2 2 29 14" xfId="13331" xr:uid="{68838663-CD14-4380-B2A2-3E0A09E9A787}"/>
    <cellStyle name="Normal 2 2 2 2 2 29 15" xfId="13332" xr:uid="{288D442E-96A1-4F99-A8C2-A8C180B91363}"/>
    <cellStyle name="Normal 2 2 2 2 2 29 16" xfId="13333" xr:uid="{B9EA694D-B3BB-4DA3-BDB2-C4DD014836D8}"/>
    <cellStyle name="Normal 2 2 2 2 2 29 2" xfId="13334" xr:uid="{90E825DC-A1EC-4ABF-B1D7-6AF005A5C086}"/>
    <cellStyle name="Normal 2 2 2 2 2 29 2 10" xfId="13335" xr:uid="{4AA3C405-D883-4EE0-9E73-7DCAFB4FABB4}"/>
    <cellStyle name="Normal 2 2 2 2 2 29 2 11" xfId="13336" xr:uid="{80A3ACC2-053F-43DD-8C33-D4B303280A4C}"/>
    <cellStyle name="Normal 2 2 2 2 2 29 2 11 2" xfId="13337" xr:uid="{B4306807-092E-4869-ACD7-FD7419691709}"/>
    <cellStyle name="Normal 2 2 2 2 2 29 2 11 3" xfId="13338" xr:uid="{EC7FA512-EEA9-4D42-A43D-DE362E10C9BB}"/>
    <cellStyle name="Normal 2 2 2 2 2 29 2 11 4" xfId="13339" xr:uid="{BF5734E8-FC4F-4AEF-8863-3F9636F27470}"/>
    <cellStyle name="Normal 2 2 2 2 2 29 2 12" xfId="13340" xr:uid="{497D86CE-5FF1-41F5-B937-29AC6C094112}"/>
    <cellStyle name="Normal 2 2 2 2 2 29 2 13" xfId="13341" xr:uid="{60357C76-5F05-4A8D-BCEF-1C894E279005}"/>
    <cellStyle name="Normal 2 2 2 2 2 29 2 14" xfId="13342" xr:uid="{B781BED6-070C-421D-8F3F-26FC04295290}"/>
    <cellStyle name="Normal 2 2 2 2 2 29 2 2" xfId="13343" xr:uid="{F9B9659F-9B9F-416B-822B-ABF3D5AB4D44}"/>
    <cellStyle name="Normal 2 2 2 2 2 29 2 2 10" xfId="13344" xr:uid="{E6B0BF9D-BD85-412C-8C9D-4FFA2B2EB25E}"/>
    <cellStyle name="Normal 2 2 2 2 2 29 2 2 11" xfId="13345" xr:uid="{F746EDBC-A101-4B00-8AAB-426CF0D68636}"/>
    <cellStyle name="Normal 2 2 2 2 2 29 2 2 2" xfId="13346" xr:uid="{3245A03E-8FEE-4A23-8B46-43AFA8DF24D0}"/>
    <cellStyle name="Normal 2 2 2 2 2 29 2 2 2 10" xfId="13347" xr:uid="{117547EC-D8D6-4C4F-BBC3-D417B9AFB11C}"/>
    <cellStyle name="Normal 2 2 2 2 2 29 2 2 2 11" xfId="13348" xr:uid="{817261E9-9C2B-47DA-AB20-26349562752A}"/>
    <cellStyle name="Normal 2 2 2 2 2 29 2 2 2 2" xfId="13349" xr:uid="{59178592-D28B-452F-B38C-296D45C7CA8E}"/>
    <cellStyle name="Normal 2 2 2 2 2 29 2 2 2 2 2" xfId="13350" xr:uid="{6F2A7A20-BB76-4910-A08F-0F7866CA7A5D}"/>
    <cellStyle name="Normal 2 2 2 2 2 29 2 2 2 2 2 2" xfId="13351" xr:uid="{D9572D2A-0014-4970-BBF1-128D59D3C5D6}"/>
    <cellStyle name="Normal 2 2 2 2 2 29 2 2 2 2 2 3" xfId="13352" xr:uid="{4C732AF4-9E58-4074-B747-6AD4A359B50D}"/>
    <cellStyle name="Normal 2 2 2 2 2 29 2 2 2 2 2 4" xfId="13353" xr:uid="{9F7C7C8A-F5B5-4192-BF16-B0A1F801C818}"/>
    <cellStyle name="Normal 2 2 2 2 2 29 2 2 2 2 3" xfId="13354" xr:uid="{1E709DB7-22CE-4DCD-B5D9-87343C506DCB}"/>
    <cellStyle name="Normal 2 2 2 2 2 29 2 2 2 2 4" xfId="13355" xr:uid="{CC11709A-906E-4AFB-A569-56AC5AF3096A}"/>
    <cellStyle name="Normal 2 2 2 2 2 29 2 2 2 2 5" xfId="13356" xr:uid="{01142CF2-0536-4F98-B607-F4CD22EE20F8}"/>
    <cellStyle name="Normal 2 2 2 2 2 29 2 2 2 2 6" xfId="13357" xr:uid="{A2B24B2C-30BE-4FAF-9212-EB01844DE87E}"/>
    <cellStyle name="Normal 2 2 2 2 2 29 2 2 2 3" xfId="13358" xr:uid="{A0269D20-0748-49F5-A053-3CA462C89CC3}"/>
    <cellStyle name="Normal 2 2 2 2 2 29 2 2 2 4" xfId="13359" xr:uid="{CE45BA3E-2636-4797-A3DF-975801F4275B}"/>
    <cellStyle name="Normal 2 2 2 2 2 29 2 2 2 5" xfId="13360" xr:uid="{DFAD820A-EFDF-4A77-8887-CBDED47301C2}"/>
    <cellStyle name="Normal 2 2 2 2 2 29 2 2 2 6" xfId="13361" xr:uid="{F5C1C4F3-62DA-43D5-B582-D6FB273786A4}"/>
    <cellStyle name="Normal 2 2 2 2 2 29 2 2 2 7" xfId="13362" xr:uid="{C65C6891-AE27-4C08-BDAF-0F2CFD9CB42D}"/>
    <cellStyle name="Normal 2 2 2 2 2 29 2 2 2 8" xfId="13363" xr:uid="{95640DF1-02FE-402A-B1F0-C77FC6A940B3}"/>
    <cellStyle name="Normal 2 2 2 2 2 29 2 2 2 8 2" xfId="13364" xr:uid="{CB8C35B7-2DFA-4A26-AD02-2A70071A4C2B}"/>
    <cellStyle name="Normal 2 2 2 2 2 29 2 2 2 8 3" xfId="13365" xr:uid="{0578CA62-61B8-46AD-A168-2B2F1D872007}"/>
    <cellStyle name="Normal 2 2 2 2 2 29 2 2 2 8 4" xfId="13366" xr:uid="{B7AB907E-E30E-426A-93A2-B2B47B0197B5}"/>
    <cellStyle name="Normal 2 2 2 2 2 29 2 2 2 9" xfId="13367" xr:uid="{9A519272-31EC-47C1-B648-23EF63FDAE11}"/>
    <cellStyle name="Normal 2 2 2 2 2 29 2 2 3" xfId="13368" xr:uid="{96FA06D0-9C58-433A-B0BD-24854FDADABF}"/>
    <cellStyle name="Normal 2 2 2 2 2 29 2 2 3 2" xfId="13369" xr:uid="{81449133-D958-489F-87CB-58622776A549}"/>
    <cellStyle name="Normal 2 2 2 2 2 29 2 2 3 2 2" xfId="13370" xr:uid="{AF401390-706C-41F6-A4C4-919EF52052C8}"/>
    <cellStyle name="Normal 2 2 2 2 2 29 2 2 3 2 3" xfId="13371" xr:uid="{02EC5F38-6F55-4DB2-BB2E-476AF5BBFE2E}"/>
    <cellStyle name="Normal 2 2 2 2 2 29 2 2 3 2 4" xfId="13372" xr:uid="{3153D8F5-5286-4B41-AE7F-3B2DA06F96BB}"/>
    <cellStyle name="Normal 2 2 2 2 2 29 2 2 3 3" xfId="13373" xr:uid="{37349521-E5A2-42C3-B7D8-9C5C4D9928E8}"/>
    <cellStyle name="Normal 2 2 2 2 2 29 2 2 3 4" xfId="13374" xr:uid="{B595B664-9712-4EEE-A8D6-EF7C646A0BBB}"/>
    <cellStyle name="Normal 2 2 2 2 2 29 2 2 3 5" xfId="13375" xr:uid="{206C25F8-EBED-408A-AC4A-3B2458B25998}"/>
    <cellStyle name="Normal 2 2 2 2 2 29 2 2 3 6" xfId="13376" xr:uid="{256396AE-5296-45DB-A85F-105AF20A0020}"/>
    <cellStyle name="Normal 2 2 2 2 2 29 2 2 4" xfId="13377" xr:uid="{27B432C8-D981-48BB-9C61-ADA21D3642E0}"/>
    <cellStyle name="Normal 2 2 2 2 2 29 2 2 5" xfId="13378" xr:uid="{AB9FA575-27EA-40E6-BA51-3778D779F635}"/>
    <cellStyle name="Normal 2 2 2 2 2 29 2 2 6" xfId="13379" xr:uid="{E9187C3D-EBC4-4191-A44A-801536A4A006}"/>
    <cellStyle name="Normal 2 2 2 2 2 29 2 2 7" xfId="13380" xr:uid="{046C6CB1-95C3-4158-9DE4-12238634AB5E}"/>
    <cellStyle name="Normal 2 2 2 2 2 29 2 2 8" xfId="13381" xr:uid="{3E17A01B-3112-4508-AF91-5D112EE2E6FB}"/>
    <cellStyle name="Normal 2 2 2 2 2 29 2 2 8 2" xfId="13382" xr:uid="{8BBC2296-CE66-4CC8-8C81-3F8E551F916B}"/>
    <cellStyle name="Normal 2 2 2 2 2 29 2 2 8 3" xfId="13383" xr:uid="{387F7DE9-591B-461A-B476-F366AA1D3E6D}"/>
    <cellStyle name="Normal 2 2 2 2 2 29 2 2 8 4" xfId="13384" xr:uid="{6F897A17-FEFD-4B5E-B420-5DB7C5289B0E}"/>
    <cellStyle name="Normal 2 2 2 2 2 29 2 2 9" xfId="13385" xr:uid="{58DEDA0D-A57E-4882-8DE2-85EB798FAAA8}"/>
    <cellStyle name="Normal 2 2 2 2 2 29 2 3" xfId="13386" xr:uid="{7BFE271E-1DF3-4D80-AE0D-0006FC7871C1}"/>
    <cellStyle name="Normal 2 2 2 2 2 29 2 4" xfId="13387" xr:uid="{9BAC6E66-D342-4C7D-89E2-C328F74DEDE8}"/>
    <cellStyle name="Normal 2 2 2 2 2 29 2 5" xfId="13388" xr:uid="{1DDD7750-9A6F-444F-B6B6-0ACE734F138E}"/>
    <cellStyle name="Normal 2 2 2 2 2 29 2 5 2" xfId="13389" xr:uid="{642DCFB9-9747-4B4D-8036-E65A17E4BAAD}"/>
    <cellStyle name="Normal 2 2 2 2 2 29 2 5 2 2" xfId="13390" xr:uid="{B16829FC-3163-4C8F-B046-362AE27F9FEC}"/>
    <cellStyle name="Normal 2 2 2 2 2 29 2 5 2 3" xfId="13391" xr:uid="{04E2C0E2-1CDC-4148-95A4-CAF7C860B19B}"/>
    <cellStyle name="Normal 2 2 2 2 2 29 2 5 2 4" xfId="13392" xr:uid="{A9C38276-3B1C-41EB-ADE4-BD8FD1BF3C02}"/>
    <cellStyle name="Normal 2 2 2 2 2 29 2 5 3" xfId="13393" xr:uid="{847554E4-0F3F-45C3-A743-AFC2AA2F27CF}"/>
    <cellStyle name="Normal 2 2 2 2 2 29 2 5 4" xfId="13394" xr:uid="{2819EF9E-78D1-4438-AD51-CC7968D0953D}"/>
    <cellStyle name="Normal 2 2 2 2 2 29 2 5 5" xfId="13395" xr:uid="{FE22EA78-97BF-425B-A323-0363989B60D9}"/>
    <cellStyle name="Normal 2 2 2 2 2 29 2 5 6" xfId="13396" xr:uid="{D2DEBBFD-0C40-4A35-88C5-DEB31A821879}"/>
    <cellStyle name="Normal 2 2 2 2 2 29 2 6" xfId="13397" xr:uid="{28BE4053-9073-4874-B4C5-8F8BC5A6EBD0}"/>
    <cellStyle name="Normal 2 2 2 2 2 29 2 7" xfId="13398" xr:uid="{4A2E835B-EE6E-46A7-AB2A-ADE79502387A}"/>
    <cellStyle name="Normal 2 2 2 2 2 29 2 8" xfId="13399" xr:uid="{8CA8D11A-0DC2-4D2D-A596-1597D0D89AEC}"/>
    <cellStyle name="Normal 2 2 2 2 2 29 2 9" xfId="13400" xr:uid="{221CE078-0498-4AD8-82C7-568C10C7EDCE}"/>
    <cellStyle name="Normal 2 2 2 2 2 29 3" xfId="13401" xr:uid="{57A408D3-7249-42B3-BD1A-DC6551321B49}"/>
    <cellStyle name="Normal 2 2 2 2 2 29 4" xfId="13402" xr:uid="{F3A54075-8E0D-4937-A494-E2BE74F29F16}"/>
    <cellStyle name="Normal 2 2 2 2 2 29 5" xfId="13403" xr:uid="{6012B7E4-4618-4407-B64F-0B620696A973}"/>
    <cellStyle name="Normal 2 2 2 2 2 29 5 10" xfId="13404" xr:uid="{65F9321F-D91E-4538-BEC1-3B2EBE0738A3}"/>
    <cellStyle name="Normal 2 2 2 2 2 29 5 11" xfId="13405" xr:uid="{E397EE99-F146-44E8-BC73-DECD194E28C1}"/>
    <cellStyle name="Normal 2 2 2 2 2 29 5 2" xfId="13406" xr:uid="{68009A83-549B-415D-B1AF-7F112C4938BB}"/>
    <cellStyle name="Normal 2 2 2 2 2 29 5 2 10" xfId="13407" xr:uid="{4B3754D4-F697-4D0F-B85D-D96CC1F4A268}"/>
    <cellStyle name="Normal 2 2 2 2 2 29 5 2 11" xfId="13408" xr:uid="{687F643C-526D-41F2-873B-54173F78CC35}"/>
    <cellStyle name="Normal 2 2 2 2 2 29 5 2 2" xfId="13409" xr:uid="{2C3FB49D-BB39-49ED-870D-FA693B8B9C52}"/>
    <cellStyle name="Normal 2 2 2 2 2 29 5 2 2 2" xfId="13410" xr:uid="{90061C8F-9FB9-4BD3-8AE3-64EB9DBFDEA7}"/>
    <cellStyle name="Normal 2 2 2 2 2 29 5 2 2 2 2" xfId="13411" xr:uid="{E12F0EB4-731D-4CDB-B655-0A8617EFB3D4}"/>
    <cellStyle name="Normal 2 2 2 2 2 29 5 2 2 2 3" xfId="13412" xr:uid="{98FA5F03-EE7E-4726-B724-786A27DCB8DD}"/>
    <cellStyle name="Normal 2 2 2 2 2 29 5 2 2 2 4" xfId="13413" xr:uid="{B465B73C-83D8-4D83-A49B-DC53FE94BAE3}"/>
    <cellStyle name="Normal 2 2 2 2 2 29 5 2 2 3" xfId="13414" xr:uid="{0CF938A6-2AD8-4B60-A63F-E2FB6224F48B}"/>
    <cellStyle name="Normal 2 2 2 2 2 29 5 2 2 4" xfId="13415" xr:uid="{4CD6C7F7-6923-4E64-87A8-CA22BD7D11D8}"/>
    <cellStyle name="Normal 2 2 2 2 2 29 5 2 2 5" xfId="13416" xr:uid="{515E8799-5B55-42F0-815C-E52FA625B37B}"/>
    <cellStyle name="Normal 2 2 2 2 2 29 5 2 2 6" xfId="13417" xr:uid="{CF940B24-22D5-4A4F-80BB-D83A14EB0A1D}"/>
    <cellStyle name="Normal 2 2 2 2 2 29 5 2 3" xfId="13418" xr:uid="{BFC9187D-4FE9-4AB5-B721-2FEB48B3AE15}"/>
    <cellStyle name="Normal 2 2 2 2 2 29 5 2 4" xfId="13419" xr:uid="{63FB1FA7-9819-4852-A42F-BDE0ACF18D07}"/>
    <cellStyle name="Normal 2 2 2 2 2 29 5 2 5" xfId="13420" xr:uid="{CCD06076-41FE-403E-A9D2-BDD6C39FBF0A}"/>
    <cellStyle name="Normal 2 2 2 2 2 29 5 2 6" xfId="13421" xr:uid="{814DB8EE-983B-45DB-AC3A-39C70876CF7C}"/>
    <cellStyle name="Normal 2 2 2 2 2 29 5 2 7" xfId="13422" xr:uid="{1353E3AF-709F-4BB9-911D-A87422214875}"/>
    <cellStyle name="Normal 2 2 2 2 2 29 5 2 8" xfId="13423" xr:uid="{8CEAE209-D626-4E03-8551-F20CF7185197}"/>
    <cellStyle name="Normal 2 2 2 2 2 29 5 2 8 2" xfId="13424" xr:uid="{A43BD4A7-B58D-4C96-AC9F-F7F42FCDD0E3}"/>
    <cellStyle name="Normal 2 2 2 2 2 29 5 2 8 3" xfId="13425" xr:uid="{CFB4D666-1911-47B8-9DE2-25C8AE505375}"/>
    <cellStyle name="Normal 2 2 2 2 2 29 5 2 8 4" xfId="13426" xr:uid="{5D885528-7705-4AEF-AD45-A277C164A8B6}"/>
    <cellStyle name="Normal 2 2 2 2 2 29 5 2 9" xfId="13427" xr:uid="{9D25C82B-E862-4504-8E6B-E098187DDE6B}"/>
    <cellStyle name="Normal 2 2 2 2 2 29 5 3" xfId="13428" xr:uid="{0936EDF7-2A29-4D1E-AFF3-9AE45A4267C1}"/>
    <cellStyle name="Normal 2 2 2 2 2 29 5 3 2" xfId="13429" xr:uid="{A15C7979-D915-4058-AE36-DACB91C62E86}"/>
    <cellStyle name="Normal 2 2 2 2 2 29 5 3 2 2" xfId="13430" xr:uid="{F910E997-DEB0-4C54-A3D5-DC24B2F1308A}"/>
    <cellStyle name="Normal 2 2 2 2 2 29 5 3 2 3" xfId="13431" xr:uid="{C4475691-9A14-4FEC-AE4F-5C63E396AA24}"/>
    <cellStyle name="Normal 2 2 2 2 2 29 5 3 2 4" xfId="13432" xr:uid="{F6B647CC-07CD-422E-A286-A3A57C8F1332}"/>
    <cellStyle name="Normal 2 2 2 2 2 29 5 3 3" xfId="13433" xr:uid="{5A71C7E3-8E88-4233-8A37-46DD92F73FD5}"/>
    <cellStyle name="Normal 2 2 2 2 2 29 5 3 4" xfId="13434" xr:uid="{C984D1FE-549B-4089-B50A-8800BD5106D0}"/>
    <cellStyle name="Normal 2 2 2 2 2 29 5 3 5" xfId="13435" xr:uid="{7C5349D2-9BDA-4898-94CF-969C4A8C0E5C}"/>
    <cellStyle name="Normal 2 2 2 2 2 29 5 3 6" xfId="13436" xr:uid="{0E750332-D420-4DFB-B0CD-38B93B77F77F}"/>
    <cellStyle name="Normal 2 2 2 2 2 29 5 4" xfId="13437" xr:uid="{C6FFCBBF-9968-4E8E-8F10-95A7C4E8D0C2}"/>
    <cellStyle name="Normal 2 2 2 2 2 29 5 5" xfId="13438" xr:uid="{2F3CBE72-7173-4E51-A6F1-1945D8729B82}"/>
    <cellStyle name="Normal 2 2 2 2 2 29 5 6" xfId="13439" xr:uid="{2EAB0B93-283C-4342-B866-BAC3700C8DBF}"/>
    <cellStyle name="Normal 2 2 2 2 2 29 5 7" xfId="13440" xr:uid="{B114A898-A127-4351-8DAC-84847B69EC3F}"/>
    <cellStyle name="Normal 2 2 2 2 2 29 5 8" xfId="13441" xr:uid="{D6B8A334-2B07-498E-9B42-DBE18D521633}"/>
    <cellStyle name="Normal 2 2 2 2 2 29 5 8 2" xfId="13442" xr:uid="{BD275054-6C7D-4378-9494-893A67BF6577}"/>
    <cellStyle name="Normal 2 2 2 2 2 29 5 8 3" xfId="13443" xr:uid="{33614608-09F6-4274-A9B7-97D0FEB81232}"/>
    <cellStyle name="Normal 2 2 2 2 2 29 5 8 4" xfId="13444" xr:uid="{ECFB2C07-7B72-4F9C-B735-D2979BE7BC36}"/>
    <cellStyle name="Normal 2 2 2 2 2 29 5 9" xfId="13445" xr:uid="{6522AB11-575C-498A-B4C3-05A38C3FA1B7}"/>
    <cellStyle name="Normal 2 2 2 2 2 29 6" xfId="13446" xr:uid="{B9C9CD42-596D-4902-A5E7-14A5C7F74EAD}"/>
    <cellStyle name="Normal 2 2 2 2 2 29 7" xfId="13447" xr:uid="{4DE174B5-54C7-4841-8467-61CF5F2F081A}"/>
    <cellStyle name="Normal 2 2 2 2 2 29 7 2" xfId="13448" xr:uid="{7B868303-EC9F-4F4A-94F0-E1240E2CC9C7}"/>
    <cellStyle name="Normal 2 2 2 2 2 29 7 2 2" xfId="13449" xr:uid="{149D4CA7-5B3D-4367-9DC3-7E89610F9A66}"/>
    <cellStyle name="Normal 2 2 2 2 2 29 7 2 3" xfId="13450" xr:uid="{7839B5CD-B51D-43A6-A411-7753927D94AE}"/>
    <cellStyle name="Normal 2 2 2 2 2 29 7 2 4" xfId="13451" xr:uid="{70004879-25F3-4DBD-921D-F7D418AED2F9}"/>
    <cellStyle name="Normal 2 2 2 2 2 29 7 3" xfId="13452" xr:uid="{1DCBDF6E-BA6B-49DA-B633-1B963D397FA4}"/>
    <cellStyle name="Normal 2 2 2 2 2 29 7 4" xfId="13453" xr:uid="{ADABDF93-091B-47A2-A481-629D50583679}"/>
    <cellStyle name="Normal 2 2 2 2 2 29 7 5" xfId="13454" xr:uid="{7277474E-2CCB-4C64-9CFB-C81F9550BFBB}"/>
    <cellStyle name="Normal 2 2 2 2 2 29 7 6" xfId="13455" xr:uid="{4AB31A36-9C12-4209-9586-C647F6DA050A}"/>
    <cellStyle name="Normal 2 2 2 2 2 29 8" xfId="13456" xr:uid="{1E0D6237-3EBA-45EC-921A-993C7E7AD8CD}"/>
    <cellStyle name="Normal 2 2 2 2 2 29 9" xfId="13457" xr:uid="{CF19FD3E-BF6A-4273-ADE4-E2A207A94C96}"/>
    <cellStyle name="Normal 2 2 2 2 2 3" xfId="13458" xr:uid="{37DC5F72-28DD-4F41-934A-A7EC0D71FCAF}"/>
    <cellStyle name="Normal 2 2 2 2 2 3 10" xfId="13459" xr:uid="{A144FA93-B87E-4325-879C-05F3A4F15938}"/>
    <cellStyle name="Normal 2 2 2 2 2 3 2" xfId="13460" xr:uid="{0644E679-675F-4AAA-9AC5-7C4CBD388DD2}"/>
    <cellStyle name="Normal 2 2 2 2 2 3 2 2" xfId="13461" xr:uid="{993453CD-1DD1-4501-BD43-2331B5F1EB7E}"/>
    <cellStyle name="Normal 2 2 2 2 2 3 2 3" xfId="13462" xr:uid="{7CB2EC02-08A7-4A9D-AC5A-AF843A59DD12}"/>
    <cellStyle name="Normal 2 2 2 2 2 3 2 4" xfId="13463" xr:uid="{AD35A1E5-0534-47DB-A217-9CF3275794B7}"/>
    <cellStyle name="Normal 2 2 2 2 2 3 2 5" xfId="13464" xr:uid="{E3FBAF87-6A52-4B10-8D2F-2502CC495B6C}"/>
    <cellStyle name="Normal 2 2 2 2 2 3 2 6" xfId="13465" xr:uid="{74107A1F-CDC5-409D-B05D-DA7DE045FAF9}"/>
    <cellStyle name="Normal 2 2 2 2 2 3 2 7" xfId="13466" xr:uid="{F5A133DF-2C97-4774-9225-EBE35F48EC64}"/>
    <cellStyle name="Normal 2 2 2 2 2 3 2 8" xfId="13467" xr:uid="{2609F7BD-FFC4-4028-B7CD-E4992704CC22}"/>
    <cellStyle name="Normal 2 2 2 2 2 3 2 9" xfId="13468" xr:uid="{5CF91FE0-DBB0-4315-8286-73EF88955DDC}"/>
    <cellStyle name="Normal 2 2 2 2 2 3 3" xfId="13469" xr:uid="{F0B75971-5D7E-47A4-A427-8F3B7DC2C8D3}"/>
    <cellStyle name="Normal 2 2 2 2 2 3 4" xfId="13470" xr:uid="{1128D649-331D-42EA-83CE-377A9C232AC3}"/>
    <cellStyle name="Normal 2 2 2 2 2 3 5" xfId="13471" xr:uid="{B6D0A00F-82BA-4491-A815-FB4F89A0BC09}"/>
    <cellStyle name="Normal 2 2 2 2 2 3 6" xfId="13472" xr:uid="{A87676D4-E5AA-4D4C-A881-C84ACA01FD81}"/>
    <cellStyle name="Normal 2 2 2 2 2 3 7" xfId="13473" xr:uid="{5898784F-7DB9-4DF7-BE50-8B679F554C6D}"/>
    <cellStyle name="Normal 2 2 2 2 2 3 8" xfId="13474" xr:uid="{CCCE6E95-BB74-470A-B4CC-868B74703753}"/>
    <cellStyle name="Normal 2 2 2 2 2 3 9" xfId="13475" xr:uid="{8762DD58-9343-4918-B17E-7AAF7CE5ED35}"/>
    <cellStyle name="Normal 2 2 2 2 2 30" xfId="13476" xr:uid="{6889220F-909F-4891-8E55-43171AF55652}"/>
    <cellStyle name="Normal 2 2 2 2 2 31" xfId="13477" xr:uid="{10DA74F9-FB20-47D3-8065-08766F48BA51}"/>
    <cellStyle name="Normal 2 2 2 2 2 32" xfId="13478" xr:uid="{CCA29441-BFCA-437E-9A48-1804202B546E}"/>
    <cellStyle name="Normal 2 2 2 2 2 33" xfId="13479" xr:uid="{F6D2C3E7-F378-444F-879F-2E081DCE2909}"/>
    <cellStyle name="Normal 2 2 2 2 2 34" xfId="13480" xr:uid="{F7A19B6F-9B69-47B1-BBEC-F84CF90892F2}"/>
    <cellStyle name="Normal 2 2 2 2 2 35" xfId="13481" xr:uid="{344FE57B-DF5D-41ED-9AB6-EE845A97BB19}"/>
    <cellStyle name="Normal 2 2 2 2 2 36" xfId="13482" xr:uid="{F00A3F94-5124-4A38-87E4-389C8F26A5A0}"/>
    <cellStyle name="Normal 2 2 2 2 2 37" xfId="13483" xr:uid="{F9DC13C7-AE0E-44C4-8065-B4AF66D9B4BB}"/>
    <cellStyle name="Normal 2 2 2 2 2 37 10" xfId="13484" xr:uid="{1A233A63-9815-4001-B340-7593465A64FB}"/>
    <cellStyle name="Normal 2 2 2 2 2 37 11" xfId="13485" xr:uid="{26B5CD10-EC0F-4AAA-B12A-D22931F3587C}"/>
    <cellStyle name="Normal 2 2 2 2 2 37 11 2" xfId="13486" xr:uid="{C5BCDA90-F6F3-4E81-80DF-77E57CA8BD9D}"/>
    <cellStyle name="Normal 2 2 2 2 2 37 11 3" xfId="13487" xr:uid="{57820703-6652-4B3C-8E18-3370752A7325}"/>
    <cellStyle name="Normal 2 2 2 2 2 37 11 4" xfId="13488" xr:uid="{6C7D0C39-8BE8-4D8F-A9CB-802FE126937B}"/>
    <cellStyle name="Normal 2 2 2 2 2 37 12" xfId="13489" xr:uid="{6A9C2A42-F04D-4F8D-BC6E-949D9C80360B}"/>
    <cellStyle name="Normal 2 2 2 2 2 37 13" xfId="13490" xr:uid="{2E0FE987-FD19-4150-93E9-7FF08228863F}"/>
    <cellStyle name="Normal 2 2 2 2 2 37 14" xfId="13491" xr:uid="{3E2875A3-124E-435B-9E52-9E58BFEBA5A7}"/>
    <cellStyle name="Normal 2 2 2 2 2 37 2" xfId="13492" xr:uid="{DE2B3A00-13FE-4634-B60F-AF4285582252}"/>
    <cellStyle name="Normal 2 2 2 2 2 37 2 10" xfId="13493" xr:uid="{09D0DAA3-DA08-42C4-AA0C-B804B090885F}"/>
    <cellStyle name="Normal 2 2 2 2 2 37 2 11" xfId="13494" xr:uid="{6D822704-EC38-43E6-916F-AE2D1870C72A}"/>
    <cellStyle name="Normal 2 2 2 2 2 37 2 2" xfId="13495" xr:uid="{C0AB4458-B0D6-4915-A85F-9D5BF6E88A30}"/>
    <cellStyle name="Normal 2 2 2 2 2 37 2 2 10" xfId="13496" xr:uid="{8ED65C57-13F9-4C74-8859-17367CAF273E}"/>
    <cellStyle name="Normal 2 2 2 2 2 37 2 2 11" xfId="13497" xr:uid="{CADC0687-AE12-4D6C-A2A2-74532ACCC2A2}"/>
    <cellStyle name="Normal 2 2 2 2 2 37 2 2 2" xfId="13498" xr:uid="{B3FD01EA-F922-4F15-8277-50066953518D}"/>
    <cellStyle name="Normal 2 2 2 2 2 37 2 2 2 2" xfId="13499" xr:uid="{7CDF6604-63AC-4031-ABE5-A139DFE04296}"/>
    <cellStyle name="Normal 2 2 2 2 2 37 2 2 2 2 2" xfId="13500" xr:uid="{574F20A1-1063-4BB6-A6D8-C605AC78AE7D}"/>
    <cellStyle name="Normal 2 2 2 2 2 37 2 2 2 2 3" xfId="13501" xr:uid="{B75E32AC-41FB-4992-8F37-017B35468794}"/>
    <cellStyle name="Normal 2 2 2 2 2 37 2 2 2 2 4" xfId="13502" xr:uid="{E809E591-EF07-4F26-BAC5-8C2B241A1DD5}"/>
    <cellStyle name="Normal 2 2 2 2 2 37 2 2 2 3" xfId="13503" xr:uid="{62AEEF0A-7F30-4CFB-AC1C-6B9FF1D49829}"/>
    <cellStyle name="Normal 2 2 2 2 2 37 2 2 2 4" xfId="13504" xr:uid="{BE0757EF-3C98-4600-8510-05037DCFEBB5}"/>
    <cellStyle name="Normal 2 2 2 2 2 37 2 2 2 5" xfId="13505" xr:uid="{CE6D4F1C-C758-4E09-B283-5C35F93CF422}"/>
    <cellStyle name="Normal 2 2 2 2 2 37 2 2 2 6" xfId="13506" xr:uid="{23976A39-218C-4FEB-9528-AB8739D14326}"/>
    <cellStyle name="Normal 2 2 2 2 2 37 2 2 3" xfId="13507" xr:uid="{0DE3CFD3-BD8B-4D30-ADE3-1F1A8C07F348}"/>
    <cellStyle name="Normal 2 2 2 2 2 37 2 2 4" xfId="13508" xr:uid="{7E006646-75B6-4B4D-AAC5-68470BA24AFF}"/>
    <cellStyle name="Normal 2 2 2 2 2 37 2 2 5" xfId="13509" xr:uid="{7EF1D42B-0EBA-4A72-959C-93A662B6088E}"/>
    <cellStyle name="Normal 2 2 2 2 2 37 2 2 6" xfId="13510" xr:uid="{0D7FC794-22A4-4954-B8C9-995CBC40786B}"/>
    <cellStyle name="Normal 2 2 2 2 2 37 2 2 7" xfId="13511" xr:uid="{6813E0D8-87DC-4306-92A8-EFC2D5B9D8D8}"/>
    <cellStyle name="Normal 2 2 2 2 2 37 2 2 8" xfId="13512" xr:uid="{684FAFF4-70ED-4A0F-B891-DE2C81E0109D}"/>
    <cellStyle name="Normal 2 2 2 2 2 37 2 2 8 2" xfId="13513" xr:uid="{F1FD6E08-0291-4C2F-BE47-C5E451287AF0}"/>
    <cellStyle name="Normal 2 2 2 2 2 37 2 2 8 3" xfId="13514" xr:uid="{D143C680-5EC1-4C82-8B05-1BC766D6023D}"/>
    <cellStyle name="Normal 2 2 2 2 2 37 2 2 8 4" xfId="13515" xr:uid="{B9E64C8D-15B3-4554-BE0F-218D0E97BACF}"/>
    <cellStyle name="Normal 2 2 2 2 2 37 2 2 9" xfId="13516" xr:uid="{83CE195A-B7D8-45AE-A710-A110581D2880}"/>
    <cellStyle name="Normal 2 2 2 2 2 37 2 3" xfId="13517" xr:uid="{160F30C9-A378-43BA-B3B9-A17EB9E21BD3}"/>
    <cellStyle name="Normal 2 2 2 2 2 37 2 3 2" xfId="13518" xr:uid="{2C96FB6B-F41D-4119-A08B-1EA665FF8249}"/>
    <cellStyle name="Normal 2 2 2 2 2 37 2 3 2 2" xfId="13519" xr:uid="{3F0B8949-0A24-49E7-843B-3445CC2A0879}"/>
    <cellStyle name="Normal 2 2 2 2 2 37 2 3 2 3" xfId="13520" xr:uid="{D7BEAC9A-E855-4C76-A0E6-E403AE1AD2E0}"/>
    <cellStyle name="Normal 2 2 2 2 2 37 2 3 2 4" xfId="13521" xr:uid="{8C459DE3-2AD8-4C98-AD77-41D539D4B321}"/>
    <cellStyle name="Normal 2 2 2 2 2 37 2 3 3" xfId="13522" xr:uid="{0030A1E1-C2BE-44F5-8026-0B2C772D9479}"/>
    <cellStyle name="Normal 2 2 2 2 2 37 2 3 4" xfId="13523" xr:uid="{50FB4E4C-D097-440F-9513-8096B0F924FA}"/>
    <cellStyle name="Normal 2 2 2 2 2 37 2 3 5" xfId="13524" xr:uid="{91E480D5-39E1-4BC1-8720-935AD82A3D06}"/>
    <cellStyle name="Normal 2 2 2 2 2 37 2 3 6" xfId="13525" xr:uid="{267F0559-3541-431B-ABF4-0AE78A62D45E}"/>
    <cellStyle name="Normal 2 2 2 2 2 37 2 4" xfId="13526" xr:uid="{9B7A03E8-93D4-4A29-BF2C-1F5905E36979}"/>
    <cellStyle name="Normal 2 2 2 2 2 37 2 5" xfId="13527" xr:uid="{A702DC41-B81D-415C-823B-83D27657ED95}"/>
    <cellStyle name="Normal 2 2 2 2 2 37 2 6" xfId="13528" xr:uid="{EC082B50-716D-47D4-934E-2DC2E1FEA1CA}"/>
    <cellStyle name="Normal 2 2 2 2 2 37 2 7" xfId="13529" xr:uid="{B458E4DA-9DCF-4FB9-BA60-80B84C7254BC}"/>
    <cellStyle name="Normal 2 2 2 2 2 37 2 8" xfId="13530" xr:uid="{EE417222-F73A-402A-A369-257E85075A3A}"/>
    <cellStyle name="Normal 2 2 2 2 2 37 2 8 2" xfId="13531" xr:uid="{5CFC8D25-F546-4745-9F3F-47D412AA77F8}"/>
    <cellStyle name="Normal 2 2 2 2 2 37 2 8 3" xfId="13532" xr:uid="{A622B903-FB0D-4C6F-A592-DCD24A3FAF93}"/>
    <cellStyle name="Normal 2 2 2 2 2 37 2 8 4" xfId="13533" xr:uid="{1BBB0BB8-424B-414E-AFEE-85C750D89BE1}"/>
    <cellStyle name="Normal 2 2 2 2 2 37 2 9" xfId="13534" xr:uid="{A57C3726-09FF-415B-9B59-CE886A25287C}"/>
    <cellStyle name="Normal 2 2 2 2 2 37 3" xfId="13535" xr:uid="{A94D17B6-62BB-4FCB-9CB6-F4DD31296E98}"/>
    <cellStyle name="Normal 2 2 2 2 2 37 4" xfId="13536" xr:uid="{24FC0431-F2C8-4E5A-8ABA-4C543F91C8EE}"/>
    <cellStyle name="Normal 2 2 2 2 2 37 5" xfId="13537" xr:uid="{A9F2F34B-CB63-437C-A010-FE873AAD0AD6}"/>
    <cellStyle name="Normal 2 2 2 2 2 37 5 2" xfId="13538" xr:uid="{7181D35C-26FB-4773-9F7E-589494E6ED46}"/>
    <cellStyle name="Normal 2 2 2 2 2 37 5 2 2" xfId="13539" xr:uid="{1C215469-0983-4856-9EDE-70F168B148A9}"/>
    <cellStyle name="Normal 2 2 2 2 2 37 5 2 3" xfId="13540" xr:uid="{39E28B54-6888-4B45-8754-09D3EDE40725}"/>
    <cellStyle name="Normal 2 2 2 2 2 37 5 2 4" xfId="13541" xr:uid="{86E7AEFD-D48B-4873-AE2E-B736401EE2F9}"/>
    <cellStyle name="Normal 2 2 2 2 2 37 5 3" xfId="13542" xr:uid="{84D8B751-0C7F-4AA4-9A52-41598D9E3C91}"/>
    <cellStyle name="Normal 2 2 2 2 2 37 5 4" xfId="13543" xr:uid="{15B91412-6570-474D-9E23-1A7666E7EE10}"/>
    <cellStyle name="Normal 2 2 2 2 2 37 5 5" xfId="13544" xr:uid="{CC41FD41-995F-49E5-BF16-F47E7E9CCCA8}"/>
    <cellStyle name="Normal 2 2 2 2 2 37 5 6" xfId="13545" xr:uid="{73CF4F4E-8A7A-432D-ACC7-9C65B93803B0}"/>
    <cellStyle name="Normal 2 2 2 2 2 37 6" xfId="13546" xr:uid="{C497B2EC-11AF-474B-A1E8-4413EE77DE75}"/>
    <cellStyle name="Normal 2 2 2 2 2 37 7" xfId="13547" xr:uid="{62243508-2EDF-414B-B3AD-B94C957EFEF1}"/>
    <cellStyle name="Normal 2 2 2 2 2 37 8" xfId="13548" xr:uid="{BF252562-6567-4CFF-AEB8-5185E5ECD145}"/>
    <cellStyle name="Normal 2 2 2 2 2 37 9" xfId="13549" xr:uid="{4C3E1090-36AF-4DE7-9BDE-C2EF24D19A2C}"/>
    <cellStyle name="Normal 2 2 2 2 2 38" xfId="13550" xr:uid="{EF855B2F-68AB-4045-A8C5-F8FF6034469A}"/>
    <cellStyle name="Normal 2 2 2 2 2 39" xfId="13551" xr:uid="{CA0FB874-1958-4DDF-AF85-6171CE986389}"/>
    <cellStyle name="Normal 2 2 2 2 2 39 10" xfId="13552" xr:uid="{FB76DF39-66AC-4116-9B08-559630E1F8D5}"/>
    <cellStyle name="Normal 2 2 2 2 2 39 11" xfId="13553" xr:uid="{0283D96D-6268-47BF-AEB7-FFB70791357E}"/>
    <cellStyle name="Normal 2 2 2 2 2 39 2" xfId="13554" xr:uid="{7E3D3F5D-2466-4006-82BE-9D2B21C0A9DE}"/>
    <cellStyle name="Normal 2 2 2 2 2 39 2 10" xfId="13555" xr:uid="{29654CC4-5D09-405D-8DEF-B5E985DC94D5}"/>
    <cellStyle name="Normal 2 2 2 2 2 39 2 11" xfId="13556" xr:uid="{BDF46332-29DA-402E-B45C-A57D349F6D6D}"/>
    <cellStyle name="Normal 2 2 2 2 2 39 2 2" xfId="13557" xr:uid="{D4817C9E-4C8E-4457-A0F5-93C6A0183B52}"/>
    <cellStyle name="Normal 2 2 2 2 2 39 2 2 2" xfId="13558" xr:uid="{26481007-A154-4927-A95C-9425065ADA05}"/>
    <cellStyle name="Normal 2 2 2 2 2 39 2 2 2 2" xfId="13559" xr:uid="{FEB7873F-3B14-475E-AF6E-73DDE29DC046}"/>
    <cellStyle name="Normal 2 2 2 2 2 39 2 2 2 3" xfId="13560" xr:uid="{64556CF1-983D-45F2-954C-EE809DAE0387}"/>
    <cellStyle name="Normal 2 2 2 2 2 39 2 2 2 4" xfId="13561" xr:uid="{648710A4-0275-4CF5-8BD6-E78FBAD425D9}"/>
    <cellStyle name="Normal 2 2 2 2 2 39 2 2 3" xfId="13562" xr:uid="{2C94A304-D64B-4571-A74A-3343254603DC}"/>
    <cellStyle name="Normal 2 2 2 2 2 39 2 2 4" xfId="13563" xr:uid="{70EF4FD4-A602-48A7-97C8-39661647D604}"/>
    <cellStyle name="Normal 2 2 2 2 2 39 2 2 5" xfId="13564" xr:uid="{147DF1DF-967B-4ACC-AA5B-B17DAC6B9A4E}"/>
    <cellStyle name="Normal 2 2 2 2 2 39 2 2 6" xfId="13565" xr:uid="{38A88011-AC3F-4AFE-93DD-DB7695569F9B}"/>
    <cellStyle name="Normal 2 2 2 2 2 39 2 3" xfId="13566" xr:uid="{E7834E34-9D3E-4CAC-8DA2-E228A4F01534}"/>
    <cellStyle name="Normal 2 2 2 2 2 39 2 4" xfId="13567" xr:uid="{A60CBEE4-F4DA-4ECA-9F6D-410C33EB11CA}"/>
    <cellStyle name="Normal 2 2 2 2 2 39 2 5" xfId="13568" xr:uid="{A22E3FA9-4C31-4549-9DA7-DD4A1EAB1319}"/>
    <cellStyle name="Normal 2 2 2 2 2 39 2 6" xfId="13569" xr:uid="{DCD1D90D-DCC2-44F2-AA4A-10EFDA2FB9D2}"/>
    <cellStyle name="Normal 2 2 2 2 2 39 2 7" xfId="13570" xr:uid="{3193BCDA-6A5E-424C-A2CB-7BE5DD1B9CB2}"/>
    <cellStyle name="Normal 2 2 2 2 2 39 2 8" xfId="13571" xr:uid="{362A5823-74AC-4833-B48F-9EC2A5A9FA15}"/>
    <cellStyle name="Normal 2 2 2 2 2 39 2 8 2" xfId="13572" xr:uid="{48B6B36D-F151-4523-A863-F67A493E86BD}"/>
    <cellStyle name="Normal 2 2 2 2 2 39 2 8 3" xfId="13573" xr:uid="{AB89C44C-591C-4AEF-90DF-D9197BF4B3E3}"/>
    <cellStyle name="Normal 2 2 2 2 2 39 2 8 4" xfId="13574" xr:uid="{51705475-C3F1-4E55-8417-C04F5E3D2AFB}"/>
    <cellStyle name="Normal 2 2 2 2 2 39 2 9" xfId="13575" xr:uid="{2FD9000D-827B-4773-BCF5-2F6A426A5559}"/>
    <cellStyle name="Normal 2 2 2 2 2 39 3" xfId="13576" xr:uid="{58F8EF20-D25A-491D-AED3-3FBDE456B4ED}"/>
    <cellStyle name="Normal 2 2 2 2 2 39 3 2" xfId="13577" xr:uid="{0D46ECC7-7ABE-4F6D-A948-23B46EC0DA55}"/>
    <cellStyle name="Normal 2 2 2 2 2 39 3 2 2" xfId="13578" xr:uid="{B07D04F0-A34C-4A8E-8889-10C00F45A24A}"/>
    <cellStyle name="Normal 2 2 2 2 2 39 3 2 3" xfId="13579" xr:uid="{0EC89909-8EC5-417E-8DE1-C0337A15F304}"/>
    <cellStyle name="Normal 2 2 2 2 2 39 3 2 4" xfId="13580" xr:uid="{779B072C-9254-4054-9342-23479BFB07D9}"/>
    <cellStyle name="Normal 2 2 2 2 2 39 3 3" xfId="13581" xr:uid="{D91A2373-A5F7-4433-AE98-B018BADCA8D9}"/>
    <cellStyle name="Normal 2 2 2 2 2 39 3 4" xfId="13582" xr:uid="{170433A8-7614-4EFD-A54B-3085A32CC92A}"/>
    <cellStyle name="Normal 2 2 2 2 2 39 3 5" xfId="13583" xr:uid="{E9F12BF4-80CD-478B-9E62-7D65CBE27D31}"/>
    <cellStyle name="Normal 2 2 2 2 2 39 3 6" xfId="13584" xr:uid="{BA702FD0-8486-4C45-8622-2AF3AA9D49FD}"/>
    <cellStyle name="Normal 2 2 2 2 2 39 4" xfId="13585" xr:uid="{046284FE-10AC-457F-AAC0-45038B0E5205}"/>
    <cellStyle name="Normal 2 2 2 2 2 39 5" xfId="13586" xr:uid="{3C469A8C-1A83-4EC4-A81A-7588E659A842}"/>
    <cellStyle name="Normal 2 2 2 2 2 39 6" xfId="13587" xr:uid="{880D8662-F092-4855-8863-D8AEC484806B}"/>
    <cellStyle name="Normal 2 2 2 2 2 39 7" xfId="13588" xr:uid="{AAC56047-54FA-4DCE-8954-558433741515}"/>
    <cellStyle name="Normal 2 2 2 2 2 39 8" xfId="13589" xr:uid="{F36D2023-E512-4D3F-873B-FF3408FA871C}"/>
    <cellStyle name="Normal 2 2 2 2 2 39 8 2" xfId="13590" xr:uid="{8CE186B1-3C18-44A7-BC19-42AA07FFF7C0}"/>
    <cellStyle name="Normal 2 2 2 2 2 39 8 3" xfId="13591" xr:uid="{F619C658-3556-401A-AC76-80B2EA96FA8A}"/>
    <cellStyle name="Normal 2 2 2 2 2 39 8 4" xfId="13592" xr:uid="{C5B207ED-A6BD-45CA-A455-8A385C7C5794}"/>
    <cellStyle name="Normal 2 2 2 2 2 39 9" xfId="13593" xr:uid="{16314DE4-6187-4065-8094-B52D707BFA79}"/>
    <cellStyle name="Normal 2 2 2 2 2 4" xfId="13594" xr:uid="{20D382D1-6986-4114-B288-EA33993BFA0C}"/>
    <cellStyle name="Normal 2 2 2 2 2 40" xfId="13595" xr:uid="{FFE13DDC-A5E7-47E9-B8E9-0DBE5CD4EE90}"/>
    <cellStyle name="Normal 2 2 2 2 2 41" xfId="13596" xr:uid="{8BFDA94A-A560-43F7-9C60-72A4E1A2F69D}"/>
    <cellStyle name="Normal 2 2 2 2 2 41 2" xfId="13597" xr:uid="{976930E6-F8F6-4C97-8953-965A6490618A}"/>
    <cellStyle name="Normal 2 2 2 2 2 41 2 2" xfId="13598" xr:uid="{842C2F41-E52E-4A49-A015-192FAEDCE02A}"/>
    <cellStyle name="Normal 2 2 2 2 2 41 2 3" xfId="13599" xr:uid="{9C575DC2-B346-4A3C-B719-DC6CF616F7F1}"/>
    <cellStyle name="Normal 2 2 2 2 2 41 2 4" xfId="13600" xr:uid="{596C82FE-A8BD-454A-A300-1945971C4043}"/>
    <cellStyle name="Normal 2 2 2 2 2 41 3" xfId="13601" xr:uid="{402CA4B5-1013-4ABA-B1DA-30BB18E77600}"/>
    <cellStyle name="Normal 2 2 2 2 2 41 4" xfId="13602" xr:uid="{6C024502-4C89-4FAE-BF3B-4B329C66DCD4}"/>
    <cellStyle name="Normal 2 2 2 2 2 41 5" xfId="13603" xr:uid="{83ADED25-57CD-451F-85A9-0521DB968D36}"/>
    <cellStyle name="Normal 2 2 2 2 2 41 6" xfId="13604" xr:uid="{455CB4C3-480E-4BF4-94D0-54E2352EFA73}"/>
    <cellStyle name="Normal 2 2 2 2 2 42" xfId="13605" xr:uid="{CBB4E6D3-9B84-49A2-880F-1A5DDDC9DFAB}"/>
    <cellStyle name="Normal 2 2 2 2 2 43" xfId="13606" xr:uid="{7B48A06B-A1D4-4A91-A40F-93205CB366DD}"/>
    <cellStyle name="Normal 2 2 2 2 2 44" xfId="13607" xr:uid="{DEF10C7B-1815-4683-8849-0E8D68EB7F04}"/>
    <cellStyle name="Normal 2 2 2 2 2 45" xfId="13608" xr:uid="{EAEA8EDB-008A-4DFF-A846-2CE9F90D4B5F}"/>
    <cellStyle name="Normal 2 2 2 2 2 46" xfId="13609" xr:uid="{A7835E7C-6274-43FA-B52D-16E886371CC0}"/>
    <cellStyle name="Normal 2 2 2 2 2 47" xfId="13610" xr:uid="{55DA4BF0-10B8-49D0-BAA9-773CD4E2E3EE}"/>
    <cellStyle name="Normal 2 2 2 2 2 47 2" xfId="13611" xr:uid="{F4B418D6-4919-4ABD-BA57-C6C0EDEE8F25}"/>
    <cellStyle name="Normal 2 2 2 2 2 47 3" xfId="13612" xr:uid="{D9C6F8DD-CB7E-42DE-AF64-67D71BB309AE}"/>
    <cellStyle name="Normal 2 2 2 2 2 47 4" xfId="13613" xr:uid="{1AA1A231-9F76-41C8-B7D2-C22BFA714FE4}"/>
    <cellStyle name="Normal 2 2 2 2 2 48" xfId="13614" xr:uid="{4BD8E6E6-FBE4-4993-A627-3605BE422223}"/>
    <cellStyle name="Normal 2 2 2 2 2 49" xfId="13615" xr:uid="{E16D8573-F8A5-4B98-A231-E1B07C2B48F9}"/>
    <cellStyle name="Normal 2 2 2 2 2 5" xfId="13616" xr:uid="{D2F84937-B084-410E-984D-CAF7DFFF041D}"/>
    <cellStyle name="Normal 2 2 2 2 2 50" xfId="13617" xr:uid="{9B81AE55-858B-4917-A472-DF025C3A7C2B}"/>
    <cellStyle name="Normal 2 2 2 2 2 51" xfId="13618" xr:uid="{D27768DB-9111-463F-8BA2-BEAF34105EC8}"/>
    <cellStyle name="Normal 2 2 2 2 2 52" xfId="13619" xr:uid="{19029818-85E5-40CB-90BF-4430A39F67ED}"/>
    <cellStyle name="Normal 2 2 2 2 2 53" xfId="13620" xr:uid="{7CBEBC98-1CDD-424C-BB88-6B3AD2964DF1}"/>
    <cellStyle name="Normal 2 2 2 2 2 54" xfId="13621" xr:uid="{86CEBEBB-0361-4F96-B040-70C6CA26E6CB}"/>
    <cellStyle name="Normal 2 2 2 2 2 55" xfId="13622" xr:uid="{CD499B6B-498C-4471-B0FB-BCCBFF18A85C}"/>
    <cellStyle name="Normal 2 2 2 2 2 56" xfId="13623" xr:uid="{71CE633F-497A-4EBA-BAF6-D7FA1480B70A}"/>
    <cellStyle name="Normal 2 2 2 2 2 57" xfId="13624" xr:uid="{905E5BED-AE6D-48F9-80F7-43D6C89875F8}"/>
    <cellStyle name="Normal 2 2 2 2 2 58" xfId="13625" xr:uid="{54DE1F64-E517-404F-B737-B7F78164C527}"/>
    <cellStyle name="Normal 2 2 2 2 2 59" xfId="13626" xr:uid="{57A04CFF-9E12-4727-B7F3-DCB0BEBE1A23}"/>
    <cellStyle name="Normal 2 2 2 2 2 6" xfId="13627" xr:uid="{16EADA4C-411F-4332-A612-D532D1E14FB5}"/>
    <cellStyle name="Normal 2 2 2 2 2 60" xfId="13628" xr:uid="{1F333956-2BC6-4600-B287-618C05936350}"/>
    <cellStyle name="Normal 2 2 2 2 2 61" xfId="13629" xr:uid="{B2A289C9-CB66-4F94-944D-3F362FEBCDE8}"/>
    <cellStyle name="Normal 2 2 2 2 2 62" xfId="13630" xr:uid="{6BC98012-EED3-4AA5-A2E9-CAB5B5977362}"/>
    <cellStyle name="Normal 2 2 2 2 2 62 2" xfId="13631" xr:uid="{362A2A07-9DFD-458E-838D-99825FFEC62B}"/>
    <cellStyle name="Normal 2 2 2 2 2 62 3" xfId="13632" xr:uid="{F98DFED3-FC99-4E12-A6EE-C69B5CDB4CB0}"/>
    <cellStyle name="Normal 2 2 2 2 2 62 4" xfId="13633" xr:uid="{F2A09FF8-48C9-4CEB-9811-456ED591B831}"/>
    <cellStyle name="Normal 2 2 2 2 2 62 5" xfId="13634" xr:uid="{4BA6FDD9-FD29-4B77-AE84-8A16526A1FCB}"/>
    <cellStyle name="Normal 2 2 2 2 2 62 6" xfId="13635" xr:uid="{088ECFA4-3BD3-41F6-843B-BDD7BEFD4F69}"/>
    <cellStyle name="Normal 2 2 2 2 2 62 7" xfId="13636" xr:uid="{D568113B-6660-4F68-8C59-DE54AF955E73}"/>
    <cellStyle name="Normal 2 2 2 2 2 63" xfId="13637" xr:uid="{1E293974-9079-4635-83D6-8DD6EBCB9D46}"/>
    <cellStyle name="Normal 2 2 2 2 2 64" xfId="13638" xr:uid="{84FF03EB-E62B-4429-9320-243D682022AE}"/>
    <cellStyle name="Normal 2 2 2 2 2 65" xfId="13639" xr:uid="{6C2EA2CB-B9F8-4F4D-950C-17A5298E0F1E}"/>
    <cellStyle name="Normal 2 2 2 2 2 66" xfId="13640" xr:uid="{2C09E457-CEF7-4BDC-B2CF-97C979B46B47}"/>
    <cellStyle name="Normal 2 2 2 2 2 67" xfId="13641" xr:uid="{0BFBF813-930D-454B-8411-3589788ACA5C}"/>
    <cellStyle name="Normal 2 2 2 2 2 68" xfId="13642" xr:uid="{E9DFE047-3B86-4907-BEA7-DD96D9D42476}"/>
    <cellStyle name="Normal 2 2 2 2 2 69" xfId="13643" xr:uid="{7D723298-9BE7-4A22-A108-78BB4EEC6992}"/>
    <cellStyle name="Normal 2 2 2 2 2 7" xfId="13644" xr:uid="{9E595251-BB88-4C02-A212-AEC3EAF84CF0}"/>
    <cellStyle name="Normal 2 2 2 2 2 70" xfId="13645" xr:uid="{E4DB48B2-811D-45FE-9148-1A5006B92B89}"/>
    <cellStyle name="Normal 2 2 2 2 2 71" xfId="13646" xr:uid="{5D8FCD5A-FC5C-478C-AA77-8DFD50C7EAA7}"/>
    <cellStyle name="Normal 2 2 2 2 2 72" xfId="13647" xr:uid="{649FCDFC-1474-459A-ADC7-9CF0E1FD612B}"/>
    <cellStyle name="Normal 2 2 2 2 2 73" xfId="13648" xr:uid="{3E5DFFA5-217F-4CFC-AFD5-66874E8ED5E5}"/>
    <cellStyle name="Normal 2 2 2 2 2 74" xfId="13649" xr:uid="{30027AA0-4B6A-48D9-9BC1-75B315AA4F3B}"/>
    <cellStyle name="Normal 2 2 2 2 2 75" xfId="13650" xr:uid="{7F2EC275-5035-4864-BC7E-E07FB8404463}"/>
    <cellStyle name="Normal 2 2 2 2 2 76" xfId="13651" xr:uid="{085A0338-A7FC-462A-81D2-3E62A59E991F}"/>
    <cellStyle name="Normal 2 2 2 2 2 77" xfId="13652" xr:uid="{9ED80F7E-7611-4761-B584-E3161002D4A4}"/>
    <cellStyle name="Normal 2 2 2 2 2 78" xfId="13653" xr:uid="{E5BED512-906D-4CAD-BE73-1A5F5721706C}"/>
    <cellStyle name="Normal 2 2 2 2 2 79" xfId="13654" xr:uid="{46C85C03-EAF6-43AA-8ED9-95A5585AE38A}"/>
    <cellStyle name="Normal 2 2 2 2 2 8" xfId="13655" xr:uid="{00E6BCED-FE5E-4BF2-8414-11F07F513523}"/>
    <cellStyle name="Normal 2 2 2 2 2 80" xfId="13656" xr:uid="{03800F13-1C97-48ED-9E61-40A3A98A3051}"/>
    <cellStyle name="Normal 2 2 2 2 2 81" xfId="13657" xr:uid="{7AC08422-7544-4FD9-B2AB-2B703D9981AE}"/>
    <cellStyle name="Normal 2 2 2 2 2 82" xfId="13658" xr:uid="{8D405BD2-8C38-4700-964E-48BDFFAB4FAB}"/>
    <cellStyle name="Normal 2 2 2 2 2 83" xfId="13659" xr:uid="{9A221B48-6A0B-4923-B016-D29A93A7222E}"/>
    <cellStyle name="Normal 2 2 2 2 2 84" xfId="13660" xr:uid="{CC7BB50F-FED8-4B74-BBF8-289F08A691C5}"/>
    <cellStyle name="Normal 2 2 2 2 2 85" xfId="13661" xr:uid="{A765D092-8F9A-4A6A-BBC5-C0C5E889CBA0}"/>
    <cellStyle name="Normal 2 2 2 2 2 86" xfId="13662" xr:uid="{343DA292-D508-4169-92E8-1D4AA1660019}"/>
    <cellStyle name="Normal 2 2 2 2 2 87" xfId="13663" xr:uid="{3075C89B-AAF6-47CD-865E-1FD1E3865EDD}"/>
    <cellStyle name="Normal 2 2 2 2 2 88" xfId="13664" xr:uid="{12617F91-C565-4B66-9F15-6981F93B95D9}"/>
    <cellStyle name="Normal 2 2 2 2 2 89" xfId="13665" xr:uid="{424EA6D0-5EBC-44F4-A2B2-E966A8C8FB7C}"/>
    <cellStyle name="Normal 2 2 2 2 2 9" xfId="13666" xr:uid="{E6076832-D53B-40EF-83A8-BAA0CD01D953}"/>
    <cellStyle name="Normal 2 2 2 2 2 90" xfId="13667" xr:uid="{1013AD29-FD3F-4611-99CE-E2220156D3F7}"/>
    <cellStyle name="Normal 2 2 2 2 2 91" xfId="13668" xr:uid="{C7CA9223-CB85-49C3-854D-74FB290FD2BC}"/>
    <cellStyle name="Normal 2 2 2 2 2 92" xfId="13669" xr:uid="{A09A39CF-1A74-42C9-B637-21B3536DD7D1}"/>
    <cellStyle name="Normal 2 2 2 2 2 93" xfId="13670" xr:uid="{45A2ACC2-C888-4D94-9F00-D2E4648913F8}"/>
    <cellStyle name="Normal 2 2 2 2 2 94" xfId="13671" xr:uid="{DFBEB166-2350-4B10-BD4A-E71EF18718A7}"/>
    <cellStyle name="Normal 2 2 2 2 2 95" xfId="13672" xr:uid="{00B7CC24-6A53-4E8A-98EB-A29081981661}"/>
    <cellStyle name="Normal 2 2 2 2 2 96" xfId="13673" xr:uid="{A44BE7EF-ADF8-45AA-88B4-277EE9D8EF90}"/>
    <cellStyle name="Normal 2 2 2 2 2 97" xfId="13674" xr:uid="{5A23884C-B697-4B8E-88E4-69C83E7FDAB1}"/>
    <cellStyle name="Normal 2 2 2 2 2 98" xfId="13675" xr:uid="{5EF68496-1DDC-4D2C-B0AE-5B9D81BB855A}"/>
    <cellStyle name="Normal 2 2 2 2 2 99" xfId="13676" xr:uid="{1761E64D-7B16-40F4-BAC7-95AB98E750F4}"/>
    <cellStyle name="Normal 2 2 2 2 20" xfId="13677" xr:uid="{87DFED27-2CB5-466B-8C67-015A955C0407}"/>
    <cellStyle name="Normal 2 2 2 2 20 2" xfId="13678" xr:uid="{78EEFC26-E26E-4203-8B1F-A1E1EB0A51A3}"/>
    <cellStyle name="Normal 2 2 2 2 21" xfId="13679" xr:uid="{F15633C3-9460-448E-98FA-AA4A9F416C73}"/>
    <cellStyle name="Normal 2 2 2 2 21 2" xfId="13680" xr:uid="{3BD26B16-D63D-4A89-A2E9-6546F7E33662}"/>
    <cellStyle name="Normal 2 2 2 2 22" xfId="13681" xr:uid="{DA0E377C-A62C-4921-BE47-5338C3ADC98D}"/>
    <cellStyle name="Normal 2 2 2 2 22 2" xfId="13682" xr:uid="{1958F564-FDDE-4103-BEDB-CF93B59D9042}"/>
    <cellStyle name="Normal 2 2 2 2 23" xfId="13683" xr:uid="{AE399A89-EBA8-4919-99A4-4BC2D43DF157}"/>
    <cellStyle name="Normal 2 2 2 2 23 2" xfId="13684" xr:uid="{43AB296E-66F1-42C0-BD42-7E1867C8C7B0}"/>
    <cellStyle name="Normal 2 2 2 2 24" xfId="13685" xr:uid="{84C79DAD-45DC-43C2-9D0B-72FC12921FC9}"/>
    <cellStyle name="Normal 2 2 2 2 24 2" xfId="13686" xr:uid="{D3009D52-80E5-469A-A373-8C5162BD675C}"/>
    <cellStyle name="Normal 2 2 2 2 25" xfId="13687" xr:uid="{D2B7D24F-0506-4FAF-8E53-9048896FDF6C}"/>
    <cellStyle name="Normal 2 2 2 2 25 2" xfId="13688" xr:uid="{C3E1CB15-18DB-4555-894A-C44301AFA40C}"/>
    <cellStyle name="Normal 2 2 2 2 26" xfId="13689" xr:uid="{2103165C-FDE5-4B25-8152-54ECDF97B903}"/>
    <cellStyle name="Normal 2 2 2 2 26 2" xfId="13690" xr:uid="{43FDD751-0A31-4EBD-8BE3-E7E82C4AE6A3}"/>
    <cellStyle name="Normal 2 2 2 2 27" xfId="13691" xr:uid="{9788B728-7176-4272-80EE-403393678CA2}"/>
    <cellStyle name="Normal 2 2 2 2 27 2" xfId="13692" xr:uid="{7ADAF87B-1A6F-4A91-BD83-1D177C47D8DF}"/>
    <cellStyle name="Normal 2 2 2 2 28" xfId="13693" xr:uid="{2DD0A9EE-422A-4205-8B35-CE4CD4EB3D39}"/>
    <cellStyle name="Normal 2 2 2 2 28 2" xfId="13694" xr:uid="{505EF083-7EE1-4257-9C39-0DA599AD070D}"/>
    <cellStyle name="Normal 2 2 2 2 28 2 2" xfId="13695" xr:uid="{63233ACF-F095-436A-A4B8-17513BAFA42F}"/>
    <cellStyle name="Normal 2 2 2 2 28 2 2 2" xfId="13696" xr:uid="{E1E00A6E-8BCF-4914-B4F4-B03D70D2CBB2}"/>
    <cellStyle name="Normal 2 2 2 2 28 2 3" xfId="13697" xr:uid="{A353E1E8-A039-4620-BF4B-ABE6C8B96BFF}"/>
    <cellStyle name="Normal 2 2 2 2 28 3" xfId="13698" xr:uid="{FDCC8B16-7BC3-4035-ADED-FA9F7FBBE633}"/>
    <cellStyle name="Normal 2 2 2 2 28 4" xfId="13699" xr:uid="{BE98428B-30A3-4039-921F-9DD2AF80D8CA}"/>
    <cellStyle name="Normal 2 2 2 2 28 5" xfId="13700" xr:uid="{2E60951A-E5D6-48ED-A6AA-C35E00F36AFB}"/>
    <cellStyle name="Normal 2 2 2 2 28 6" xfId="13701" xr:uid="{14C9A0B3-AD6A-4F28-83BE-1E2766C3961D}"/>
    <cellStyle name="Normal 2 2 2 2 28 7" xfId="13702" xr:uid="{54DD67AC-508E-4265-930C-8C1F4711C100}"/>
    <cellStyle name="Normal 2 2 2 2 29" xfId="13703" xr:uid="{75A3DDF3-71E0-4550-B926-0CD7893660F3}"/>
    <cellStyle name="Normal 2 2 2 2 29 2" xfId="13704" xr:uid="{7058FC6E-DCE6-4F18-9480-190443D8570D}"/>
    <cellStyle name="Normal 2 2 2 2 29 2 2" xfId="13705" xr:uid="{67EA6C0E-76C5-4202-A62E-6AD9444046DD}"/>
    <cellStyle name="Normal 2 2 2 2 29 3" xfId="13706" xr:uid="{87043694-81C1-4120-AE79-74EE49A5953D}"/>
    <cellStyle name="Normal 2 2 2 2 3" xfId="13707" xr:uid="{A5BAF111-62B5-408F-9C01-4AA86A0633CF}"/>
    <cellStyle name="Normal 2 2 2 2 3 2" xfId="13708" xr:uid="{91D3762E-DD04-47C3-8FA3-03C3304DB79E}"/>
    <cellStyle name="Normal 2 2 2 2 30" xfId="13709" xr:uid="{FE27A34C-8139-441E-BB91-D424DB8D5698}"/>
    <cellStyle name="Normal 2 2 2 2 30 2" xfId="13710" xr:uid="{FF28F106-E876-4D74-9D3D-A305A6B32466}"/>
    <cellStyle name="Normal 2 2 2 2 31" xfId="13711" xr:uid="{D44265A2-F425-495F-82D3-343C561DE814}"/>
    <cellStyle name="Normal 2 2 2 2 32" xfId="13712" xr:uid="{2C1B5E76-7A99-4E59-B4BC-F1C3C6D7233D}"/>
    <cellStyle name="Normal 2 2 2 2 33" xfId="13713" xr:uid="{A7DE93F8-F034-4166-B98F-5939AD413135}"/>
    <cellStyle name="Normal 2 2 2 2 34" xfId="13714" xr:uid="{E0E2DBED-63B9-42A9-8182-E30DF554B740}"/>
    <cellStyle name="Normal 2 2 2 2 35" xfId="13715" xr:uid="{B855F5B2-E03C-44AB-B912-53B1F2DB8E88}"/>
    <cellStyle name="Normal 2 2 2 2 36" xfId="13716" xr:uid="{FB307CFE-07FD-4F86-A492-877F6CF33743}"/>
    <cellStyle name="Normal 2 2 2 2 37" xfId="13717" xr:uid="{C8623EC5-D07F-40C6-B322-66C6545C6D95}"/>
    <cellStyle name="Normal 2 2 2 2 38" xfId="13718" xr:uid="{7E03212B-26DC-40D4-A429-BA4DF5FB7A16}"/>
    <cellStyle name="Normal 2 2 2 2 38 10" xfId="13719" xr:uid="{53D6190A-784A-4385-8894-45ADFB759B63}"/>
    <cellStyle name="Normal 2 2 2 2 38 11" xfId="13720" xr:uid="{3DA4A4FA-1437-41DD-BECF-DC4F300BE6A0}"/>
    <cellStyle name="Normal 2 2 2 2 38 11 10" xfId="13721" xr:uid="{089A27DE-0A88-45B1-8F0C-BC2F9DA953B5}"/>
    <cellStyle name="Normal 2 2 2 2 38 11 11" xfId="13722" xr:uid="{BB3E9E66-892C-4BC4-A302-F313238F002D}"/>
    <cellStyle name="Normal 2 2 2 2 38 11 11 2" xfId="13723" xr:uid="{1A0FDE66-0D9A-4C24-BDA8-B97C55E8DC3E}"/>
    <cellStyle name="Normal 2 2 2 2 38 11 11 3" xfId="13724" xr:uid="{CBB6ECA7-4F39-42E7-B9A6-66588300C5AB}"/>
    <cellStyle name="Normal 2 2 2 2 38 11 11 4" xfId="13725" xr:uid="{55181A3A-C145-4EA3-B68B-F6A9BD6757FB}"/>
    <cellStyle name="Normal 2 2 2 2 38 11 12" xfId="13726" xr:uid="{6B668C0F-4EC8-4B3C-9F2B-B23A7642A859}"/>
    <cellStyle name="Normal 2 2 2 2 38 11 13" xfId="13727" xr:uid="{153C6D41-F277-496E-88AF-4D0AFA577DC8}"/>
    <cellStyle name="Normal 2 2 2 2 38 11 14" xfId="13728" xr:uid="{328FCB41-03DD-4F9C-ADB7-0BB1B224E9E2}"/>
    <cellStyle name="Normal 2 2 2 2 38 11 2" xfId="13729" xr:uid="{2ECAFC62-F13E-4527-923B-E6D8581FFFD2}"/>
    <cellStyle name="Normal 2 2 2 2 38 11 2 10" xfId="13730" xr:uid="{E5C7E8AE-BA7F-458D-A41E-00E8BB53CF5A}"/>
    <cellStyle name="Normal 2 2 2 2 38 11 2 11" xfId="13731" xr:uid="{1734F86B-78D6-4D15-A309-E927DCB0CB74}"/>
    <cellStyle name="Normal 2 2 2 2 38 11 2 2" xfId="13732" xr:uid="{A59D2693-D33C-4A01-8C60-3C809BC9AF04}"/>
    <cellStyle name="Normal 2 2 2 2 38 11 2 2 10" xfId="13733" xr:uid="{53CCDE48-A417-4F77-B879-FE74AE94B911}"/>
    <cellStyle name="Normal 2 2 2 2 38 11 2 2 11" xfId="13734" xr:uid="{8E080E3E-2DED-4A12-AA32-FF1A381F06B6}"/>
    <cellStyle name="Normal 2 2 2 2 38 11 2 2 2" xfId="13735" xr:uid="{0A2AC308-283A-4FFB-BC52-1A8365DFADB3}"/>
    <cellStyle name="Normal 2 2 2 2 38 11 2 2 2 2" xfId="13736" xr:uid="{34792D98-37D0-45EB-A44A-CA44D322F79D}"/>
    <cellStyle name="Normal 2 2 2 2 38 11 2 2 2 2 2" xfId="13737" xr:uid="{DEE607EC-01CB-4477-94A9-999B1366ABAA}"/>
    <cellStyle name="Normal 2 2 2 2 38 11 2 2 2 2 3" xfId="13738" xr:uid="{428BCC6A-7EE6-406E-9058-D2FA4A663113}"/>
    <cellStyle name="Normal 2 2 2 2 38 11 2 2 2 2 4" xfId="13739" xr:uid="{8776C86F-05E8-4242-BC20-B4C0BBCFAB45}"/>
    <cellStyle name="Normal 2 2 2 2 38 11 2 2 2 3" xfId="13740" xr:uid="{FD0F0066-23C1-4BD2-BE35-2ABDBFEB109B}"/>
    <cellStyle name="Normal 2 2 2 2 38 11 2 2 2 4" xfId="13741" xr:uid="{4A7C72CB-BBDC-4A50-BFA4-C50BCF19C1C5}"/>
    <cellStyle name="Normal 2 2 2 2 38 11 2 2 2 5" xfId="13742" xr:uid="{DE92BEDF-F924-4231-A962-F98549AFF5BD}"/>
    <cellStyle name="Normal 2 2 2 2 38 11 2 2 2 6" xfId="13743" xr:uid="{B4BA8AFC-835D-4978-B9C7-55EC84E1DCC6}"/>
    <cellStyle name="Normal 2 2 2 2 38 11 2 2 3" xfId="13744" xr:uid="{7DBF461B-DBDB-40EC-AC82-5FC0F2F1933D}"/>
    <cellStyle name="Normal 2 2 2 2 38 11 2 2 4" xfId="13745" xr:uid="{7200976F-D6CE-4C85-9D80-DF4FD30B2606}"/>
    <cellStyle name="Normal 2 2 2 2 38 11 2 2 5" xfId="13746" xr:uid="{A0C98F5D-F2C4-4327-B13E-BE0CDEB38160}"/>
    <cellStyle name="Normal 2 2 2 2 38 11 2 2 6" xfId="13747" xr:uid="{E813B044-8731-4124-89E4-4138DC31FF4C}"/>
    <cellStyle name="Normal 2 2 2 2 38 11 2 2 7" xfId="13748" xr:uid="{BF49D220-2793-40BE-8EBE-BE0E1B845B93}"/>
    <cellStyle name="Normal 2 2 2 2 38 11 2 2 8" xfId="13749" xr:uid="{6AD9642F-5BED-4F26-BA79-FDC0A6ED6B73}"/>
    <cellStyle name="Normal 2 2 2 2 38 11 2 2 8 2" xfId="13750" xr:uid="{BB18E340-0EE3-42CA-9A07-C6B256CB85FB}"/>
    <cellStyle name="Normal 2 2 2 2 38 11 2 2 8 3" xfId="13751" xr:uid="{2A87E366-0418-48BB-AB57-963F5FDB26EE}"/>
    <cellStyle name="Normal 2 2 2 2 38 11 2 2 8 4" xfId="13752" xr:uid="{AF1D27DC-8166-43DE-9C4F-85942FA184EB}"/>
    <cellStyle name="Normal 2 2 2 2 38 11 2 2 9" xfId="13753" xr:uid="{C43D0FFB-AF5B-43FA-A2D8-6E3D5B2407E8}"/>
    <cellStyle name="Normal 2 2 2 2 38 11 2 3" xfId="13754" xr:uid="{4C2DA9D7-D1E6-4063-8AC6-D97D5385E270}"/>
    <cellStyle name="Normal 2 2 2 2 38 11 2 3 2" xfId="13755" xr:uid="{9104425B-51C5-46B6-ACAD-7BF063FDFD81}"/>
    <cellStyle name="Normal 2 2 2 2 38 11 2 3 2 2" xfId="13756" xr:uid="{69FB7232-7097-477E-AE63-ED1FD352FFB1}"/>
    <cellStyle name="Normal 2 2 2 2 38 11 2 3 2 3" xfId="13757" xr:uid="{C68A2C38-F5F4-4942-B403-DC1F1E2209FF}"/>
    <cellStyle name="Normal 2 2 2 2 38 11 2 3 2 4" xfId="13758" xr:uid="{6844640C-323B-402D-B78A-385A6C4A5CC2}"/>
    <cellStyle name="Normal 2 2 2 2 38 11 2 3 3" xfId="13759" xr:uid="{A81F30C7-1F66-41CE-A1C8-27F1D9E7C03A}"/>
    <cellStyle name="Normal 2 2 2 2 38 11 2 3 4" xfId="13760" xr:uid="{DAC13CD8-E72F-4FEB-B66C-9DC21927CCAD}"/>
    <cellStyle name="Normal 2 2 2 2 38 11 2 3 5" xfId="13761" xr:uid="{60EF7187-589B-4C53-A3AA-BA242804471A}"/>
    <cellStyle name="Normal 2 2 2 2 38 11 2 3 6" xfId="13762" xr:uid="{F8B02196-FE9D-4087-9195-ED6F34570DF8}"/>
    <cellStyle name="Normal 2 2 2 2 38 11 2 4" xfId="13763" xr:uid="{AF272BC9-7999-4175-B7EE-590118FD7F42}"/>
    <cellStyle name="Normal 2 2 2 2 38 11 2 5" xfId="13764" xr:uid="{74764848-76B4-45C3-B264-8D743CC65480}"/>
    <cellStyle name="Normal 2 2 2 2 38 11 2 6" xfId="13765" xr:uid="{CC273D3D-E2F9-42E8-825F-518BAA02F149}"/>
    <cellStyle name="Normal 2 2 2 2 38 11 2 7" xfId="13766" xr:uid="{7CBCE64E-74FB-40D0-A266-84B7AFF29E3A}"/>
    <cellStyle name="Normal 2 2 2 2 38 11 2 8" xfId="13767" xr:uid="{618EFA7B-FDAD-402E-8620-BEF629618F8A}"/>
    <cellStyle name="Normal 2 2 2 2 38 11 2 8 2" xfId="13768" xr:uid="{A1B8AC3D-5DD4-4A35-9315-F9D349388FBE}"/>
    <cellStyle name="Normal 2 2 2 2 38 11 2 8 3" xfId="13769" xr:uid="{1454ADD1-EC42-45AF-AECE-02BC59A4CC15}"/>
    <cellStyle name="Normal 2 2 2 2 38 11 2 8 4" xfId="13770" xr:uid="{BF3D5BBC-BAEC-458B-B0C7-B45010967F64}"/>
    <cellStyle name="Normal 2 2 2 2 38 11 2 9" xfId="13771" xr:uid="{D98F75ED-3160-410B-9B9F-4A9FA50D3A1C}"/>
    <cellStyle name="Normal 2 2 2 2 38 11 3" xfId="13772" xr:uid="{079B9508-6240-4325-B4E3-F436A25DE3B6}"/>
    <cellStyle name="Normal 2 2 2 2 38 11 4" xfId="13773" xr:uid="{A185FC6D-925A-410D-B5D3-1D355C33FA7B}"/>
    <cellStyle name="Normal 2 2 2 2 38 11 5" xfId="13774" xr:uid="{D9300E88-831A-4EC4-AE96-F70154D6F2CE}"/>
    <cellStyle name="Normal 2 2 2 2 38 11 5 2" xfId="13775" xr:uid="{AF2A6922-5F0D-49C8-A06E-12E00758F095}"/>
    <cellStyle name="Normal 2 2 2 2 38 11 5 2 2" xfId="13776" xr:uid="{35E4A26A-AAE4-45B3-9B3E-82453A27CFD7}"/>
    <cellStyle name="Normal 2 2 2 2 38 11 5 2 3" xfId="13777" xr:uid="{DBF08AB8-5FCE-43BE-93CE-0C625DD7A38C}"/>
    <cellStyle name="Normal 2 2 2 2 38 11 5 2 4" xfId="13778" xr:uid="{ACAD9471-FA97-4F1E-8D37-A09DF30C6E9F}"/>
    <cellStyle name="Normal 2 2 2 2 38 11 5 3" xfId="13779" xr:uid="{70534C28-E2F9-4A93-B3A1-3DCDA0B6BC2C}"/>
    <cellStyle name="Normal 2 2 2 2 38 11 5 4" xfId="13780" xr:uid="{26C47EF4-4F6B-49CA-975E-F1C7F0B8D192}"/>
    <cellStyle name="Normal 2 2 2 2 38 11 5 5" xfId="13781" xr:uid="{37339B20-7978-41F6-A3F5-149A0DC425AC}"/>
    <cellStyle name="Normal 2 2 2 2 38 11 5 6" xfId="13782" xr:uid="{9A329C4B-4607-430B-BCCD-14032578FC87}"/>
    <cellStyle name="Normal 2 2 2 2 38 11 6" xfId="13783" xr:uid="{7FCD1E5D-67BD-448D-988F-5D91F4129A9D}"/>
    <cellStyle name="Normal 2 2 2 2 38 11 7" xfId="13784" xr:uid="{FAA211B2-2C85-4526-A9EE-1C8CE2B1FAC9}"/>
    <cellStyle name="Normal 2 2 2 2 38 11 8" xfId="13785" xr:uid="{EEA80B9B-5464-47A6-9CCD-CEB49BAF04B6}"/>
    <cellStyle name="Normal 2 2 2 2 38 11 9" xfId="13786" xr:uid="{41507863-FB96-42FE-84FB-0113612BA130}"/>
    <cellStyle name="Normal 2 2 2 2 38 12" xfId="13787" xr:uid="{A8772D2F-1DEF-4E8B-B918-B4934EFD175D}"/>
    <cellStyle name="Normal 2 2 2 2 38 13" xfId="13788" xr:uid="{EF3364D6-DD09-4895-9578-173B25B8D5AF}"/>
    <cellStyle name="Normal 2 2 2 2 38 13 10" xfId="13789" xr:uid="{9B5E3617-03E5-495C-AEBA-D977D26273A9}"/>
    <cellStyle name="Normal 2 2 2 2 38 13 11" xfId="13790" xr:uid="{33C428A3-0120-4A4A-A37F-135957621719}"/>
    <cellStyle name="Normal 2 2 2 2 38 13 2" xfId="13791" xr:uid="{D89F7014-C21C-472D-8055-88EB76F467BA}"/>
    <cellStyle name="Normal 2 2 2 2 38 13 2 10" xfId="13792" xr:uid="{2A4216F6-862B-408C-8536-90115A8F1A6F}"/>
    <cellStyle name="Normal 2 2 2 2 38 13 2 11" xfId="13793" xr:uid="{66371452-74BD-4279-BE01-0F0D4FDB6CE6}"/>
    <cellStyle name="Normal 2 2 2 2 38 13 2 2" xfId="13794" xr:uid="{3F90E38C-C19E-4716-A1EA-F36F1B8F29C2}"/>
    <cellStyle name="Normal 2 2 2 2 38 13 2 2 2" xfId="13795" xr:uid="{CB240E42-F8E8-4716-A268-F77628FF8DDB}"/>
    <cellStyle name="Normal 2 2 2 2 38 13 2 2 2 2" xfId="13796" xr:uid="{5ECE1C9E-1909-4CBF-A20E-311493591719}"/>
    <cellStyle name="Normal 2 2 2 2 38 13 2 2 2 3" xfId="13797" xr:uid="{62B13BE4-D1D0-4326-93B6-FDB0151BBAF7}"/>
    <cellStyle name="Normal 2 2 2 2 38 13 2 2 2 4" xfId="13798" xr:uid="{3E95F3A1-1492-4D6B-873D-E09D5EF4448F}"/>
    <cellStyle name="Normal 2 2 2 2 38 13 2 2 3" xfId="13799" xr:uid="{16FB6F09-8FD4-4C23-8F0A-0A3A4CEA20C2}"/>
    <cellStyle name="Normal 2 2 2 2 38 13 2 2 4" xfId="13800" xr:uid="{E94F5F98-BEFA-44D6-9253-2399838398E1}"/>
    <cellStyle name="Normal 2 2 2 2 38 13 2 2 5" xfId="13801" xr:uid="{CA52E6D7-49FB-4CE8-B0A8-BCE5994A6ABE}"/>
    <cellStyle name="Normal 2 2 2 2 38 13 2 2 6" xfId="13802" xr:uid="{537B6600-C73C-4633-88DA-6F550844D5CB}"/>
    <cellStyle name="Normal 2 2 2 2 38 13 2 3" xfId="13803" xr:uid="{EE79C089-CFE4-4CE6-890D-E6927A5E65CB}"/>
    <cellStyle name="Normal 2 2 2 2 38 13 2 4" xfId="13804" xr:uid="{CE8127B8-2488-4974-9CD0-A8858EE2E2CD}"/>
    <cellStyle name="Normal 2 2 2 2 38 13 2 5" xfId="13805" xr:uid="{D5E6E4A5-9477-427C-B6B9-900F13635A48}"/>
    <cellStyle name="Normal 2 2 2 2 38 13 2 6" xfId="13806" xr:uid="{52D46EED-9781-4BFA-90FD-8086882D4F0D}"/>
    <cellStyle name="Normal 2 2 2 2 38 13 2 7" xfId="13807" xr:uid="{6C669D01-0476-4E77-BC01-5653EACEB202}"/>
    <cellStyle name="Normal 2 2 2 2 38 13 2 8" xfId="13808" xr:uid="{EC107B08-34B8-44CE-BF4A-A867D11819B0}"/>
    <cellStyle name="Normal 2 2 2 2 38 13 2 8 2" xfId="13809" xr:uid="{0F99EBB4-7239-418A-AFDC-85C3D2D2F030}"/>
    <cellStyle name="Normal 2 2 2 2 38 13 2 8 3" xfId="13810" xr:uid="{37DEAAEC-DB3A-46D9-B126-06A8DB67EED3}"/>
    <cellStyle name="Normal 2 2 2 2 38 13 2 8 4" xfId="13811" xr:uid="{4AA7D8D3-C4D0-47B0-895D-9FD871660A0A}"/>
    <cellStyle name="Normal 2 2 2 2 38 13 2 9" xfId="13812" xr:uid="{9F358F77-85D2-4B00-B708-A1E68CCDEF98}"/>
    <cellStyle name="Normal 2 2 2 2 38 13 3" xfId="13813" xr:uid="{38F7209C-C307-44DB-AE27-6EF62CF980C9}"/>
    <cellStyle name="Normal 2 2 2 2 38 13 3 2" xfId="13814" xr:uid="{87F9146E-5E41-4E94-B696-AE344E2D92F2}"/>
    <cellStyle name="Normal 2 2 2 2 38 13 3 2 2" xfId="13815" xr:uid="{BAF0DE7E-59A6-4806-A428-E376F081BBE5}"/>
    <cellStyle name="Normal 2 2 2 2 38 13 3 2 3" xfId="13816" xr:uid="{31B44188-65D2-41DE-8628-C25731A92E85}"/>
    <cellStyle name="Normal 2 2 2 2 38 13 3 2 4" xfId="13817" xr:uid="{498ADABC-E392-4984-AB62-6274E18196A2}"/>
    <cellStyle name="Normal 2 2 2 2 38 13 3 3" xfId="13818" xr:uid="{0D237CC2-E15F-447C-B4F8-CA543AA8A53C}"/>
    <cellStyle name="Normal 2 2 2 2 38 13 3 4" xfId="13819" xr:uid="{80C95AFC-099B-40A8-A818-D72D3DBE7A31}"/>
    <cellStyle name="Normal 2 2 2 2 38 13 3 5" xfId="13820" xr:uid="{1855F32B-B8C2-4056-BC43-680D4ECB8C41}"/>
    <cellStyle name="Normal 2 2 2 2 38 13 3 6" xfId="13821" xr:uid="{00130D83-FEC5-4697-BF21-D4505F59E013}"/>
    <cellStyle name="Normal 2 2 2 2 38 13 4" xfId="13822" xr:uid="{9C9CE267-23A2-40DD-A8D2-7E7789647A08}"/>
    <cellStyle name="Normal 2 2 2 2 38 13 5" xfId="13823" xr:uid="{FAB424EF-4F96-4A14-8921-A52714C1BB60}"/>
    <cellStyle name="Normal 2 2 2 2 38 13 6" xfId="13824" xr:uid="{45E9A69C-A499-4DA1-A6CD-1BF50C42A8A1}"/>
    <cellStyle name="Normal 2 2 2 2 38 13 7" xfId="13825" xr:uid="{9703616F-80F0-4E67-8221-22CCF3224CA9}"/>
    <cellStyle name="Normal 2 2 2 2 38 13 8" xfId="13826" xr:uid="{04A23A58-7171-43AA-A9B5-0F38082927CD}"/>
    <cellStyle name="Normal 2 2 2 2 38 13 8 2" xfId="13827" xr:uid="{D801CC17-19BE-418A-957A-A52FCAD5E3F3}"/>
    <cellStyle name="Normal 2 2 2 2 38 13 8 3" xfId="13828" xr:uid="{D35F250E-C100-4E16-B4C3-8D927B78EDA9}"/>
    <cellStyle name="Normal 2 2 2 2 38 13 8 4" xfId="13829" xr:uid="{F1D09E09-86AA-4BFB-8D61-D05109432580}"/>
    <cellStyle name="Normal 2 2 2 2 38 13 9" xfId="13830" xr:uid="{727D4A67-D470-44FE-99DC-3F0906CADB43}"/>
    <cellStyle name="Normal 2 2 2 2 38 14" xfId="13831" xr:uid="{24E20CAF-9D27-4D06-B474-D422E1EEA756}"/>
    <cellStyle name="Normal 2 2 2 2 38 15" xfId="13832" xr:uid="{918A720E-ADFB-4E87-96AD-7C97EDE0DC73}"/>
    <cellStyle name="Normal 2 2 2 2 38 15 2" xfId="13833" xr:uid="{A9AB0C46-97BC-416A-809B-ADEC63831DDC}"/>
    <cellStyle name="Normal 2 2 2 2 38 15 2 2" xfId="13834" xr:uid="{9B2F1418-C3AD-4F65-8F31-316220080DBA}"/>
    <cellStyle name="Normal 2 2 2 2 38 15 2 3" xfId="13835" xr:uid="{24046B09-7D98-459D-9CBA-215C6079DEC2}"/>
    <cellStyle name="Normal 2 2 2 2 38 15 2 4" xfId="13836" xr:uid="{7E5C0A13-46AA-4DA2-925B-2330C6C523B9}"/>
    <cellStyle name="Normal 2 2 2 2 38 15 3" xfId="13837" xr:uid="{C821CB54-2CE6-451D-A2C9-AA0E760F43EE}"/>
    <cellStyle name="Normal 2 2 2 2 38 15 4" xfId="13838" xr:uid="{7823C55C-5E8B-4D95-986C-EBC0A3796532}"/>
    <cellStyle name="Normal 2 2 2 2 38 15 5" xfId="13839" xr:uid="{B1BF4D35-671F-4538-A30C-2360500F41EB}"/>
    <cellStyle name="Normal 2 2 2 2 38 15 6" xfId="13840" xr:uid="{85063889-C9BC-4F0A-A570-32401352A5A0}"/>
    <cellStyle name="Normal 2 2 2 2 38 16" xfId="13841" xr:uid="{A070A938-EDD2-4785-852E-CFA613D97CB9}"/>
    <cellStyle name="Normal 2 2 2 2 38 17" xfId="13842" xr:uid="{64DACF88-2AF4-464C-A574-2ECD634E6B86}"/>
    <cellStyle name="Normal 2 2 2 2 38 18" xfId="13843" xr:uid="{1DB85164-28EA-4B97-B2B0-76A493FB31EB}"/>
    <cellStyle name="Normal 2 2 2 2 38 19" xfId="13844" xr:uid="{361F3748-3C17-432E-95B6-4D1653CCBA83}"/>
    <cellStyle name="Normal 2 2 2 2 38 2" xfId="13845" xr:uid="{70D9C488-08ED-4A7F-B3D7-CA5FF7AF553B}"/>
    <cellStyle name="Normal 2 2 2 2 38 2 10" xfId="13846" xr:uid="{61E425F6-8E73-490C-ADBF-182AF13F040A}"/>
    <cellStyle name="Normal 2 2 2 2 38 2 11" xfId="13847" xr:uid="{60FA7966-B70F-489E-A23A-A82E43B43ADF}"/>
    <cellStyle name="Normal 2 2 2 2 38 2 12" xfId="13848" xr:uid="{1E0C3230-363F-4B0B-91FB-1AF71591BC1D}"/>
    <cellStyle name="Normal 2 2 2 2 38 2 13" xfId="13849" xr:uid="{8DC1616C-9E55-45DB-8D0C-71D358E1084C}"/>
    <cellStyle name="Normal 2 2 2 2 38 2 13 2" xfId="13850" xr:uid="{FD0EE58B-F24F-4266-B25B-08350788904C}"/>
    <cellStyle name="Normal 2 2 2 2 38 2 13 3" xfId="13851" xr:uid="{A88A9AEF-6AFD-4DEC-ABB9-3FDE9FC732A6}"/>
    <cellStyle name="Normal 2 2 2 2 38 2 13 4" xfId="13852" xr:uid="{78A052A8-62E0-4D56-A249-9432A437CF6B}"/>
    <cellStyle name="Normal 2 2 2 2 38 2 14" xfId="13853" xr:uid="{0B1FA1B7-3D16-4588-B70F-D8415733B52F}"/>
    <cellStyle name="Normal 2 2 2 2 38 2 15" xfId="13854" xr:uid="{ED049C58-DD71-405A-985E-05D2539F6469}"/>
    <cellStyle name="Normal 2 2 2 2 38 2 16" xfId="13855" xr:uid="{97704F75-ECA8-4C32-AA1D-2D75E7574920}"/>
    <cellStyle name="Normal 2 2 2 2 38 2 2" xfId="13856" xr:uid="{FBEDE0D8-4DD8-4E4A-8B53-1C02C9823D63}"/>
    <cellStyle name="Normal 2 2 2 2 38 2 2 10" xfId="13857" xr:uid="{CC0442C9-6603-4E70-82E2-4BF63D22208D}"/>
    <cellStyle name="Normal 2 2 2 2 38 2 2 11" xfId="13858" xr:uid="{32212336-2E27-4511-A0EA-361C8E689B58}"/>
    <cellStyle name="Normal 2 2 2 2 38 2 2 11 2" xfId="13859" xr:uid="{E552C8FD-3FCB-46BD-B077-4863E64DA031}"/>
    <cellStyle name="Normal 2 2 2 2 38 2 2 11 3" xfId="13860" xr:uid="{1F5EB751-7840-444B-8397-2B6DB04155E5}"/>
    <cellStyle name="Normal 2 2 2 2 38 2 2 11 4" xfId="13861" xr:uid="{C2999437-8565-415B-BE39-7D1C42ECB363}"/>
    <cellStyle name="Normal 2 2 2 2 38 2 2 12" xfId="13862" xr:uid="{CFEC8095-2D08-4019-A253-DFE16BB544A0}"/>
    <cellStyle name="Normal 2 2 2 2 38 2 2 13" xfId="13863" xr:uid="{8614495A-4604-4821-93DC-C77780C4063B}"/>
    <cellStyle name="Normal 2 2 2 2 38 2 2 14" xfId="13864" xr:uid="{BF31B775-5853-4EB1-9B01-590B307695F3}"/>
    <cellStyle name="Normal 2 2 2 2 38 2 2 2" xfId="13865" xr:uid="{E7380B32-E74E-4C8C-9857-BE1D2F30E3CD}"/>
    <cellStyle name="Normal 2 2 2 2 38 2 2 2 10" xfId="13866" xr:uid="{4A240752-1173-435A-A15A-3C1E621CB088}"/>
    <cellStyle name="Normal 2 2 2 2 38 2 2 2 11" xfId="13867" xr:uid="{47B195E7-7A03-4D26-ACCC-C2C479CBA608}"/>
    <cellStyle name="Normal 2 2 2 2 38 2 2 2 2" xfId="13868" xr:uid="{2D070C4D-B369-4DD5-9768-418E9302D6BF}"/>
    <cellStyle name="Normal 2 2 2 2 38 2 2 2 2 10" xfId="13869" xr:uid="{733DAA29-934C-4E1D-985E-AC47713F0CFA}"/>
    <cellStyle name="Normal 2 2 2 2 38 2 2 2 2 11" xfId="13870" xr:uid="{77BB9CC9-0A83-4B82-BAF5-C4BF7C3C536F}"/>
    <cellStyle name="Normal 2 2 2 2 38 2 2 2 2 2" xfId="13871" xr:uid="{B521F88B-E5DE-4BA4-8D1E-AB7F1B003D3A}"/>
    <cellStyle name="Normal 2 2 2 2 38 2 2 2 2 2 2" xfId="13872" xr:uid="{191E9C54-828D-415C-8CF4-236C0CDE672D}"/>
    <cellStyle name="Normal 2 2 2 2 38 2 2 2 2 2 2 2" xfId="13873" xr:uid="{18B7854F-C76E-4B42-9F2F-A3956361CA77}"/>
    <cellStyle name="Normal 2 2 2 2 38 2 2 2 2 2 2 3" xfId="13874" xr:uid="{91A62010-E06D-46A6-A953-67FDCC6A5307}"/>
    <cellStyle name="Normal 2 2 2 2 38 2 2 2 2 2 2 4" xfId="13875" xr:uid="{3423CC02-8C61-4F61-95C1-CD881290BB71}"/>
    <cellStyle name="Normal 2 2 2 2 38 2 2 2 2 2 3" xfId="13876" xr:uid="{C761922E-D665-47D1-A6FA-6E974954BCE9}"/>
    <cellStyle name="Normal 2 2 2 2 38 2 2 2 2 2 4" xfId="13877" xr:uid="{56D2E332-039E-4037-B848-9A51B11F876E}"/>
    <cellStyle name="Normal 2 2 2 2 38 2 2 2 2 2 5" xfId="13878" xr:uid="{F48A0B7C-D3DD-4F29-8CC8-FC1DD8D060A0}"/>
    <cellStyle name="Normal 2 2 2 2 38 2 2 2 2 2 6" xfId="13879" xr:uid="{A0F513DB-E8C6-4D83-890C-15EFB56E39E9}"/>
    <cellStyle name="Normal 2 2 2 2 38 2 2 2 2 3" xfId="13880" xr:uid="{8E76A8E1-458A-49C7-992F-6ADEE6F0B27B}"/>
    <cellStyle name="Normal 2 2 2 2 38 2 2 2 2 4" xfId="13881" xr:uid="{6B6C5AAA-D533-4A07-939C-2706AFE07223}"/>
    <cellStyle name="Normal 2 2 2 2 38 2 2 2 2 5" xfId="13882" xr:uid="{FF228D83-017B-4541-A4DE-9D35DF70A079}"/>
    <cellStyle name="Normal 2 2 2 2 38 2 2 2 2 6" xfId="13883" xr:uid="{2B515410-DFDF-4409-A199-9115F4A8CA0B}"/>
    <cellStyle name="Normal 2 2 2 2 38 2 2 2 2 7" xfId="13884" xr:uid="{26B062BC-D2FE-442B-83D5-EC7AFCA2D8E9}"/>
    <cellStyle name="Normal 2 2 2 2 38 2 2 2 2 8" xfId="13885" xr:uid="{0994BC04-3530-48F1-B7A3-D557728C07B0}"/>
    <cellStyle name="Normal 2 2 2 2 38 2 2 2 2 8 2" xfId="13886" xr:uid="{6F71241E-A4E8-4CAE-ABF5-1D0DA719D08F}"/>
    <cellStyle name="Normal 2 2 2 2 38 2 2 2 2 8 3" xfId="13887" xr:uid="{C12CE7B0-4991-4563-809E-7A297812FE97}"/>
    <cellStyle name="Normal 2 2 2 2 38 2 2 2 2 8 4" xfId="13888" xr:uid="{E42A7ADE-479B-4B94-A7CF-125C27F1AA9E}"/>
    <cellStyle name="Normal 2 2 2 2 38 2 2 2 2 9" xfId="13889" xr:uid="{F3659795-8F29-403B-AD8F-5CF49957B7FE}"/>
    <cellStyle name="Normal 2 2 2 2 38 2 2 2 3" xfId="13890" xr:uid="{64BF441A-B47F-49FE-BE47-44F6D9E3E5DD}"/>
    <cellStyle name="Normal 2 2 2 2 38 2 2 2 3 2" xfId="13891" xr:uid="{E2D4787F-51F8-4103-B4DB-2E360B238D02}"/>
    <cellStyle name="Normal 2 2 2 2 38 2 2 2 3 2 2" xfId="13892" xr:uid="{F04B25D6-720E-415F-A852-E1C938D9ADC0}"/>
    <cellStyle name="Normal 2 2 2 2 38 2 2 2 3 2 3" xfId="13893" xr:uid="{F4A3BBC9-6477-4389-84A2-4178E0718386}"/>
    <cellStyle name="Normal 2 2 2 2 38 2 2 2 3 2 4" xfId="13894" xr:uid="{6CC44149-0EF0-4D29-BC88-BBD1CC7A3840}"/>
    <cellStyle name="Normal 2 2 2 2 38 2 2 2 3 3" xfId="13895" xr:uid="{BBF771ED-ACB6-47BD-9520-265AD435095A}"/>
    <cellStyle name="Normal 2 2 2 2 38 2 2 2 3 4" xfId="13896" xr:uid="{F6E98CCA-B492-4909-8BB1-67C6C5F12783}"/>
    <cellStyle name="Normal 2 2 2 2 38 2 2 2 3 5" xfId="13897" xr:uid="{EEA011B5-36E4-4F0A-A30C-A81A8FDE7008}"/>
    <cellStyle name="Normal 2 2 2 2 38 2 2 2 3 6" xfId="13898" xr:uid="{F6BDF5DF-04F9-414B-A3E9-62263FE623CE}"/>
    <cellStyle name="Normal 2 2 2 2 38 2 2 2 4" xfId="13899" xr:uid="{C1882456-138C-4E88-9FB5-59CE65CEC4C0}"/>
    <cellStyle name="Normal 2 2 2 2 38 2 2 2 5" xfId="13900" xr:uid="{FFCC943F-17C9-484E-8B7C-22012C089E5E}"/>
    <cellStyle name="Normal 2 2 2 2 38 2 2 2 6" xfId="13901" xr:uid="{57EF827E-99C4-466E-98C9-7AEBA77A6A43}"/>
    <cellStyle name="Normal 2 2 2 2 38 2 2 2 7" xfId="13902" xr:uid="{3F311A27-9DE2-496C-B780-DE85C82A22AE}"/>
    <cellStyle name="Normal 2 2 2 2 38 2 2 2 8" xfId="13903" xr:uid="{39538925-AC36-4969-ADAE-9B68FCE8548D}"/>
    <cellStyle name="Normal 2 2 2 2 38 2 2 2 8 2" xfId="13904" xr:uid="{C14BC7D0-BB10-470B-B47B-72A06A64487E}"/>
    <cellStyle name="Normal 2 2 2 2 38 2 2 2 8 3" xfId="13905" xr:uid="{CEFFC58E-539E-4EE2-9A85-8FB395AF7A08}"/>
    <cellStyle name="Normal 2 2 2 2 38 2 2 2 8 4" xfId="13906" xr:uid="{02799CC1-CA11-4689-8A09-32453D03E89D}"/>
    <cellStyle name="Normal 2 2 2 2 38 2 2 2 9" xfId="13907" xr:uid="{5576EE1F-3DAF-4125-BACB-F108C500B8CB}"/>
    <cellStyle name="Normal 2 2 2 2 38 2 2 3" xfId="13908" xr:uid="{75C4C4D4-0662-48F2-90B5-3E393194F62D}"/>
    <cellStyle name="Normal 2 2 2 2 38 2 2 4" xfId="13909" xr:uid="{1F9881F8-707D-4E81-962F-8D0B52B8551F}"/>
    <cellStyle name="Normal 2 2 2 2 38 2 2 5" xfId="13910" xr:uid="{BFD71DA4-6A58-4F29-9A3A-CA1C53F4D345}"/>
    <cellStyle name="Normal 2 2 2 2 38 2 2 5 2" xfId="13911" xr:uid="{C0B830CE-BEAC-47BD-AA9A-CE8C61221589}"/>
    <cellStyle name="Normal 2 2 2 2 38 2 2 5 2 2" xfId="13912" xr:uid="{6CBE2F38-5672-44AD-BE3C-3110B313B3B4}"/>
    <cellStyle name="Normal 2 2 2 2 38 2 2 5 2 3" xfId="13913" xr:uid="{7FF9270A-40BF-4C32-9524-144ADE5C4289}"/>
    <cellStyle name="Normal 2 2 2 2 38 2 2 5 2 4" xfId="13914" xr:uid="{519DE630-56F9-4124-85A8-583C6317459A}"/>
    <cellStyle name="Normal 2 2 2 2 38 2 2 5 3" xfId="13915" xr:uid="{40FD61AA-7B47-4F60-93A7-D41CA1C20C7B}"/>
    <cellStyle name="Normal 2 2 2 2 38 2 2 5 4" xfId="13916" xr:uid="{0D734B68-3CFC-4224-BA38-C2E79A3F9434}"/>
    <cellStyle name="Normal 2 2 2 2 38 2 2 5 5" xfId="13917" xr:uid="{C30451DC-0E9E-4186-A712-E117694FD2EE}"/>
    <cellStyle name="Normal 2 2 2 2 38 2 2 5 6" xfId="13918" xr:uid="{AC6A21F8-5C84-4C47-853F-079426B648E1}"/>
    <cellStyle name="Normal 2 2 2 2 38 2 2 6" xfId="13919" xr:uid="{18581C1C-7816-433C-8F0C-80B5BA7B0FA9}"/>
    <cellStyle name="Normal 2 2 2 2 38 2 2 7" xfId="13920" xr:uid="{E5BCE27B-2CAF-4A8F-AC59-0B6FCAF67504}"/>
    <cellStyle name="Normal 2 2 2 2 38 2 2 8" xfId="13921" xr:uid="{B70B3F26-0944-425C-AC6A-F8F34948E3C8}"/>
    <cellStyle name="Normal 2 2 2 2 38 2 2 9" xfId="13922" xr:uid="{CFC460CD-294F-483C-BD9B-2C45F67781E2}"/>
    <cellStyle name="Normal 2 2 2 2 38 2 3" xfId="13923" xr:uid="{5F2BF240-D364-464B-B67D-B08EF50087A2}"/>
    <cellStyle name="Normal 2 2 2 2 38 2 4" xfId="13924" xr:uid="{DCC80665-0F78-4144-AE4D-D62D3A98DC36}"/>
    <cellStyle name="Normal 2 2 2 2 38 2 5" xfId="13925" xr:uid="{38FD208A-FE1F-4C8E-BE1D-0BA8EFAFE447}"/>
    <cellStyle name="Normal 2 2 2 2 38 2 5 10" xfId="13926" xr:uid="{D7686C00-FCFA-4506-9122-C8D08CEF1BE0}"/>
    <cellStyle name="Normal 2 2 2 2 38 2 5 11" xfId="13927" xr:uid="{15CC3433-BC67-4299-B46C-A0E84008FD4A}"/>
    <cellStyle name="Normal 2 2 2 2 38 2 5 2" xfId="13928" xr:uid="{173E4891-082B-4099-B10E-32AF1856C634}"/>
    <cellStyle name="Normal 2 2 2 2 38 2 5 2 10" xfId="13929" xr:uid="{626AC0C2-5EF1-4E4D-9867-E0405FD136EF}"/>
    <cellStyle name="Normal 2 2 2 2 38 2 5 2 11" xfId="13930" xr:uid="{2E8BF769-34E4-4217-B0BC-F9862A6B09FA}"/>
    <cellStyle name="Normal 2 2 2 2 38 2 5 2 2" xfId="13931" xr:uid="{7D8493C9-B792-4305-8AEB-82EFEF99043E}"/>
    <cellStyle name="Normal 2 2 2 2 38 2 5 2 2 2" xfId="13932" xr:uid="{973F3DC5-769D-4853-B17C-4D9407DAB7B3}"/>
    <cellStyle name="Normal 2 2 2 2 38 2 5 2 2 2 2" xfId="13933" xr:uid="{DDEE84D0-AF41-4484-ABE2-39AB6CC30CC5}"/>
    <cellStyle name="Normal 2 2 2 2 38 2 5 2 2 2 3" xfId="13934" xr:uid="{790A5A42-514D-45CE-937A-DCCEFB2A10D4}"/>
    <cellStyle name="Normal 2 2 2 2 38 2 5 2 2 2 4" xfId="13935" xr:uid="{F1E805B5-6F1B-4597-9990-336B22907CF1}"/>
    <cellStyle name="Normal 2 2 2 2 38 2 5 2 2 3" xfId="13936" xr:uid="{73B53AEC-1D26-48AB-A7F8-EBBD82F19C86}"/>
    <cellStyle name="Normal 2 2 2 2 38 2 5 2 2 4" xfId="13937" xr:uid="{FF12BC58-EA71-494B-860B-724B1B0F88D8}"/>
    <cellStyle name="Normal 2 2 2 2 38 2 5 2 2 5" xfId="13938" xr:uid="{B60E3814-981A-4828-86DC-D477DC83BD9D}"/>
    <cellStyle name="Normal 2 2 2 2 38 2 5 2 2 6" xfId="13939" xr:uid="{1827D077-4657-4ABA-9E72-F69FAD36165E}"/>
    <cellStyle name="Normal 2 2 2 2 38 2 5 2 3" xfId="13940" xr:uid="{F7C52FF9-AD64-4128-9C45-C167B8AFA5F5}"/>
    <cellStyle name="Normal 2 2 2 2 38 2 5 2 4" xfId="13941" xr:uid="{C6BBB49E-56D0-4F58-A42C-1F5F12CD94C3}"/>
    <cellStyle name="Normal 2 2 2 2 38 2 5 2 5" xfId="13942" xr:uid="{495404E0-6A73-4AF5-8C32-47F371239887}"/>
    <cellStyle name="Normal 2 2 2 2 38 2 5 2 6" xfId="13943" xr:uid="{CA67AA35-14B9-43FC-80C0-AE83ACE0B953}"/>
    <cellStyle name="Normal 2 2 2 2 38 2 5 2 7" xfId="13944" xr:uid="{1F59515E-5C0A-4EAC-AD5D-AE3F05D1EAAE}"/>
    <cellStyle name="Normal 2 2 2 2 38 2 5 2 8" xfId="13945" xr:uid="{D6C6894F-2717-43FF-AB9C-FFAEB4404E97}"/>
    <cellStyle name="Normal 2 2 2 2 38 2 5 2 8 2" xfId="13946" xr:uid="{82DA590E-6A51-490F-96C0-5F09F031A460}"/>
    <cellStyle name="Normal 2 2 2 2 38 2 5 2 8 3" xfId="13947" xr:uid="{E57E7AB3-F6BB-4B5C-8B93-AADCB9828EE6}"/>
    <cellStyle name="Normal 2 2 2 2 38 2 5 2 8 4" xfId="13948" xr:uid="{9C3E74BF-3A6C-49F6-8251-0BA104A09434}"/>
    <cellStyle name="Normal 2 2 2 2 38 2 5 2 9" xfId="13949" xr:uid="{C891E0C9-A3EA-48BD-B27D-16E6DD4DC301}"/>
    <cellStyle name="Normal 2 2 2 2 38 2 5 3" xfId="13950" xr:uid="{D9199D45-AF31-4F8B-BBCC-64B345ED8E31}"/>
    <cellStyle name="Normal 2 2 2 2 38 2 5 3 2" xfId="13951" xr:uid="{6EACADEC-3DEC-4E88-8D8D-81BA421314FE}"/>
    <cellStyle name="Normal 2 2 2 2 38 2 5 3 2 2" xfId="13952" xr:uid="{63389A8F-A56E-40CB-9F89-2C1AA93345B4}"/>
    <cellStyle name="Normal 2 2 2 2 38 2 5 3 2 3" xfId="13953" xr:uid="{6728FAF1-413C-4DB4-B640-ED0CAFE4E26E}"/>
    <cellStyle name="Normal 2 2 2 2 38 2 5 3 2 4" xfId="13954" xr:uid="{1C70839F-45F9-4C1D-B71F-B8EDC582F094}"/>
    <cellStyle name="Normal 2 2 2 2 38 2 5 3 3" xfId="13955" xr:uid="{F29AE463-DCC5-4514-BDC2-DCFE8288CCB7}"/>
    <cellStyle name="Normal 2 2 2 2 38 2 5 3 4" xfId="13956" xr:uid="{C0556601-1EAA-498D-B4D8-CDE24D9F07EF}"/>
    <cellStyle name="Normal 2 2 2 2 38 2 5 3 5" xfId="13957" xr:uid="{7BA03C41-D79E-48E2-AD50-CE2E03BFC79D}"/>
    <cellStyle name="Normal 2 2 2 2 38 2 5 3 6" xfId="13958" xr:uid="{90241DFB-5185-4FC3-8AAD-BEAEF109F93E}"/>
    <cellStyle name="Normal 2 2 2 2 38 2 5 4" xfId="13959" xr:uid="{10CA93E4-4FEB-4085-8971-7E16AE8750C5}"/>
    <cellStyle name="Normal 2 2 2 2 38 2 5 5" xfId="13960" xr:uid="{59968DBD-30BD-44FF-BBD8-D326DE5F6F25}"/>
    <cellStyle name="Normal 2 2 2 2 38 2 5 6" xfId="13961" xr:uid="{3A61F5C6-3E99-4ECD-9F2B-0334A4A892E3}"/>
    <cellStyle name="Normal 2 2 2 2 38 2 5 7" xfId="13962" xr:uid="{A8FEA7B7-BA21-4372-921C-758BA4A464C2}"/>
    <cellStyle name="Normal 2 2 2 2 38 2 5 8" xfId="13963" xr:uid="{1E96B427-5A96-4291-8984-2BD55626E0C6}"/>
    <cellStyle name="Normal 2 2 2 2 38 2 5 8 2" xfId="13964" xr:uid="{28A649F2-611A-40A4-899B-420AAB8B4B4E}"/>
    <cellStyle name="Normal 2 2 2 2 38 2 5 8 3" xfId="13965" xr:uid="{A422E5D8-E6F4-4408-9784-7E344EA13538}"/>
    <cellStyle name="Normal 2 2 2 2 38 2 5 8 4" xfId="13966" xr:uid="{C1EA7D3E-AA46-489B-B04D-EFE0D1FE38F4}"/>
    <cellStyle name="Normal 2 2 2 2 38 2 5 9" xfId="13967" xr:uid="{586A672F-F28E-402F-9C4B-1101D29269D1}"/>
    <cellStyle name="Normal 2 2 2 2 38 2 6" xfId="13968" xr:uid="{E1721C7A-388F-4874-9827-75F3A8592272}"/>
    <cellStyle name="Normal 2 2 2 2 38 2 7" xfId="13969" xr:uid="{E631D6C1-4116-4293-B2DF-106FB2E84E5C}"/>
    <cellStyle name="Normal 2 2 2 2 38 2 7 2" xfId="13970" xr:uid="{8B194175-CFD5-4712-A0CF-5BB739EF4BFE}"/>
    <cellStyle name="Normal 2 2 2 2 38 2 7 2 2" xfId="13971" xr:uid="{660BC7B4-0305-4FC8-A577-5BEC17EC2F0B}"/>
    <cellStyle name="Normal 2 2 2 2 38 2 7 2 3" xfId="13972" xr:uid="{C0E733DF-EF9C-4654-A0F4-234184C011CC}"/>
    <cellStyle name="Normal 2 2 2 2 38 2 7 2 4" xfId="13973" xr:uid="{54FDE89A-D577-40C6-811D-D9733E52272E}"/>
    <cellStyle name="Normal 2 2 2 2 38 2 7 3" xfId="13974" xr:uid="{5F6F5E03-1AF7-4412-B398-4668CD4833F4}"/>
    <cellStyle name="Normal 2 2 2 2 38 2 7 4" xfId="13975" xr:uid="{ABE7FA43-C728-4C99-9CB5-239CAFC2C10B}"/>
    <cellStyle name="Normal 2 2 2 2 38 2 7 5" xfId="13976" xr:uid="{F1036161-DF33-40B5-8532-CA80356E3FBE}"/>
    <cellStyle name="Normal 2 2 2 2 38 2 7 6" xfId="13977" xr:uid="{0372C8C7-049A-4853-983A-0A5E12435A88}"/>
    <cellStyle name="Normal 2 2 2 2 38 2 8" xfId="13978" xr:uid="{9D6C5C83-924B-4D30-AA59-2D46FD6EFAED}"/>
    <cellStyle name="Normal 2 2 2 2 38 2 9" xfId="13979" xr:uid="{4B9F7AC6-BF5B-4D64-8D52-06EB3483C8D9}"/>
    <cellStyle name="Normal 2 2 2 2 38 20" xfId="13980" xr:uid="{3032CDEE-7AE8-4C33-BBFE-CB23933A03FA}"/>
    <cellStyle name="Normal 2 2 2 2 38 21" xfId="13981" xr:uid="{6E41D32F-EBC4-46FD-AE91-3899164AE718}"/>
    <cellStyle name="Normal 2 2 2 2 38 21 2" xfId="13982" xr:uid="{58BF1088-9A25-4FC4-98F6-3AFF2A99BE37}"/>
    <cellStyle name="Normal 2 2 2 2 38 21 3" xfId="13983" xr:uid="{86648C8A-2178-45A8-B06C-78B6A5C9E526}"/>
    <cellStyle name="Normal 2 2 2 2 38 21 4" xfId="13984" xr:uid="{1C600D69-1832-47E2-A834-06E4DDAF9B97}"/>
    <cellStyle name="Normal 2 2 2 2 38 22" xfId="13985" xr:uid="{453DC5F4-34FB-4036-8D37-5432CC93FFFC}"/>
    <cellStyle name="Normal 2 2 2 2 38 23" xfId="13986" xr:uid="{5BD622D1-D80B-4063-A4BE-6B7EA232F62F}"/>
    <cellStyle name="Normal 2 2 2 2 38 24" xfId="13987" xr:uid="{C9AEAEB2-6532-422A-B34A-BAAFBFDAC3F3}"/>
    <cellStyle name="Normal 2 2 2 2 38 3" xfId="13988" xr:uid="{1080D920-051D-42B7-9654-D535C4A4CE68}"/>
    <cellStyle name="Normal 2 2 2 2 38 4" xfId="13989" xr:uid="{59ADE82F-3B94-4504-8CFF-D3C94850C1C3}"/>
    <cellStyle name="Normal 2 2 2 2 38 5" xfId="13990" xr:uid="{39423ABF-C623-4478-A142-4DDE5FFF53CB}"/>
    <cellStyle name="Normal 2 2 2 2 38 6" xfId="13991" xr:uid="{5FCDA357-92F9-41F7-843B-5DC10133EDD0}"/>
    <cellStyle name="Normal 2 2 2 2 38 7" xfId="13992" xr:uid="{CC7846B2-F0D7-4DD7-B889-FB443E4058A3}"/>
    <cellStyle name="Normal 2 2 2 2 38 8" xfId="13993" xr:uid="{6F073D55-E25A-4A79-8A42-C3D96737CA86}"/>
    <cellStyle name="Normal 2 2 2 2 38 9" xfId="13994" xr:uid="{AE8C66A8-AC40-4CF2-B97C-8AA845A7E302}"/>
    <cellStyle name="Normal 2 2 2 2 39" xfId="13995" xr:uid="{19C2AA5B-44AA-4AD6-835C-1B3FA9538A42}"/>
    <cellStyle name="Normal 2 2 2 2 39 10" xfId="13996" xr:uid="{36B0D7A8-7E78-4EE3-9146-C286F223B1B5}"/>
    <cellStyle name="Normal 2 2 2 2 39 11" xfId="13997" xr:uid="{8398E992-A845-4E10-9EBA-2BD90E441A84}"/>
    <cellStyle name="Normal 2 2 2 2 39 12" xfId="13998" xr:uid="{2D543803-BE6A-463B-A5F9-324D937342F3}"/>
    <cellStyle name="Normal 2 2 2 2 39 13" xfId="13999" xr:uid="{3CF276B3-08C3-41AD-A81E-0E4C06038BDE}"/>
    <cellStyle name="Normal 2 2 2 2 39 13 2" xfId="14000" xr:uid="{C92C79A2-2C62-49D0-BE1D-0172EE09B4D2}"/>
    <cellStyle name="Normal 2 2 2 2 39 13 3" xfId="14001" xr:uid="{9627F11B-4A87-4173-89F1-B1E35085A6B3}"/>
    <cellStyle name="Normal 2 2 2 2 39 13 4" xfId="14002" xr:uid="{1694D240-4F4A-4B06-9F5F-A51718A41B39}"/>
    <cellStyle name="Normal 2 2 2 2 39 14" xfId="14003" xr:uid="{45E637B6-F5BF-4FE5-8D6E-B519C85DA496}"/>
    <cellStyle name="Normal 2 2 2 2 39 15" xfId="14004" xr:uid="{00224460-17AD-4682-9106-442C2891EFE5}"/>
    <cellStyle name="Normal 2 2 2 2 39 16" xfId="14005" xr:uid="{3DCE581B-FC20-42EA-9A79-C79EE47542EF}"/>
    <cellStyle name="Normal 2 2 2 2 39 2" xfId="14006" xr:uid="{2B016E18-7D35-4872-84A5-D6E84A3124A2}"/>
    <cellStyle name="Normal 2 2 2 2 39 2 10" xfId="14007" xr:uid="{A634BD22-656B-4410-B57E-AA89A07C478A}"/>
    <cellStyle name="Normal 2 2 2 2 39 2 11" xfId="14008" xr:uid="{7AF59C34-488C-47AF-919F-5A80FF793150}"/>
    <cellStyle name="Normal 2 2 2 2 39 2 11 2" xfId="14009" xr:uid="{1CF6C052-658D-466E-ADF1-E522CEDBDD9D}"/>
    <cellStyle name="Normal 2 2 2 2 39 2 11 3" xfId="14010" xr:uid="{E67EC818-B2E6-40FD-A788-7CE131CA4018}"/>
    <cellStyle name="Normal 2 2 2 2 39 2 11 4" xfId="14011" xr:uid="{E40D4E4F-ED36-457F-8864-68871F0B503A}"/>
    <cellStyle name="Normal 2 2 2 2 39 2 12" xfId="14012" xr:uid="{302EE3EC-A907-4A6B-B6E3-8317E7439BC1}"/>
    <cellStyle name="Normal 2 2 2 2 39 2 13" xfId="14013" xr:uid="{BDA6F37D-00EC-4D1E-84A1-12F3EEACCB86}"/>
    <cellStyle name="Normal 2 2 2 2 39 2 14" xfId="14014" xr:uid="{F32C4DC0-F563-4C25-8A37-E90F4B097328}"/>
    <cellStyle name="Normal 2 2 2 2 39 2 2" xfId="14015" xr:uid="{8AD40CEF-DA16-4B17-B3D3-C69AF09FDDFB}"/>
    <cellStyle name="Normal 2 2 2 2 39 2 2 10" xfId="14016" xr:uid="{107CDB12-1867-4EAF-83BA-DEDD324110F6}"/>
    <cellStyle name="Normal 2 2 2 2 39 2 2 11" xfId="14017" xr:uid="{D8F9E898-8AE0-4986-BA51-C95442A710F6}"/>
    <cellStyle name="Normal 2 2 2 2 39 2 2 2" xfId="14018" xr:uid="{20D656CE-CC5E-48C7-B943-85016D9A466A}"/>
    <cellStyle name="Normal 2 2 2 2 39 2 2 2 10" xfId="14019" xr:uid="{9F5762C0-F988-4A66-9DFF-440D48D7ABFD}"/>
    <cellStyle name="Normal 2 2 2 2 39 2 2 2 11" xfId="14020" xr:uid="{9E8FB3CE-526E-44E4-9A12-1282CA1041E8}"/>
    <cellStyle name="Normal 2 2 2 2 39 2 2 2 2" xfId="14021" xr:uid="{568D201C-7A82-4007-B638-6B67A8D21B0F}"/>
    <cellStyle name="Normal 2 2 2 2 39 2 2 2 2 2" xfId="14022" xr:uid="{E3D73B65-CF3C-4AEC-A514-848B6A23313E}"/>
    <cellStyle name="Normal 2 2 2 2 39 2 2 2 2 2 2" xfId="14023" xr:uid="{B19A9199-7872-4D6C-9218-18E8A0D61CB4}"/>
    <cellStyle name="Normal 2 2 2 2 39 2 2 2 2 2 3" xfId="14024" xr:uid="{69BE25F0-06E4-4A87-99A0-D16BE00B94D9}"/>
    <cellStyle name="Normal 2 2 2 2 39 2 2 2 2 2 4" xfId="14025" xr:uid="{BE616BB0-0A58-408B-9C04-106438566485}"/>
    <cellStyle name="Normal 2 2 2 2 39 2 2 2 2 3" xfId="14026" xr:uid="{075556C2-C923-4F84-88E5-D57C15E5AB33}"/>
    <cellStyle name="Normal 2 2 2 2 39 2 2 2 2 4" xfId="14027" xr:uid="{700E77C5-646F-45AC-9A19-FB11C7B684AC}"/>
    <cellStyle name="Normal 2 2 2 2 39 2 2 2 2 5" xfId="14028" xr:uid="{B276ADAC-16EA-4A26-B483-9F775D00EF9D}"/>
    <cellStyle name="Normal 2 2 2 2 39 2 2 2 2 6" xfId="14029" xr:uid="{9845B28E-4F6B-4D0E-9C87-68DFC50D9126}"/>
    <cellStyle name="Normal 2 2 2 2 39 2 2 2 3" xfId="14030" xr:uid="{C2FD7D7C-C157-4414-B62A-2E14FB1D9689}"/>
    <cellStyle name="Normal 2 2 2 2 39 2 2 2 4" xfId="14031" xr:uid="{C8AFBCFC-B837-455E-8A4E-B26F4164D0BD}"/>
    <cellStyle name="Normal 2 2 2 2 39 2 2 2 5" xfId="14032" xr:uid="{88A74D54-0380-45BF-9E76-0CD5C98E8639}"/>
    <cellStyle name="Normal 2 2 2 2 39 2 2 2 6" xfId="14033" xr:uid="{5A4EEF55-96BE-4A9A-8B1A-030A34C8E56F}"/>
    <cellStyle name="Normal 2 2 2 2 39 2 2 2 7" xfId="14034" xr:uid="{0315D6DB-4639-4C90-B8E2-B6D452AE1D66}"/>
    <cellStyle name="Normal 2 2 2 2 39 2 2 2 8" xfId="14035" xr:uid="{BAA5D6D2-A033-447B-898F-7A47B821BBD8}"/>
    <cellStyle name="Normal 2 2 2 2 39 2 2 2 8 2" xfId="14036" xr:uid="{B81CFEB8-030A-400B-AC18-ECE7C402CE77}"/>
    <cellStyle name="Normal 2 2 2 2 39 2 2 2 8 3" xfId="14037" xr:uid="{2BD976F4-903E-4608-B5D6-0736C46A3384}"/>
    <cellStyle name="Normal 2 2 2 2 39 2 2 2 8 4" xfId="14038" xr:uid="{F9BA4992-0474-4EE1-AC01-F43FE5E77CAE}"/>
    <cellStyle name="Normal 2 2 2 2 39 2 2 2 9" xfId="14039" xr:uid="{7EDB99BD-F103-4F74-B426-E3C1A6943988}"/>
    <cellStyle name="Normal 2 2 2 2 39 2 2 3" xfId="14040" xr:uid="{1A955D3F-0015-4AA0-83B3-3CD0A3C81232}"/>
    <cellStyle name="Normal 2 2 2 2 39 2 2 3 2" xfId="14041" xr:uid="{0AC6F499-49B3-4A25-B39E-F5C98F51AE99}"/>
    <cellStyle name="Normal 2 2 2 2 39 2 2 3 2 2" xfId="14042" xr:uid="{26AB7308-9FC7-4B30-AF31-98C9CF32A4EB}"/>
    <cellStyle name="Normal 2 2 2 2 39 2 2 3 2 3" xfId="14043" xr:uid="{8C162ADF-59CC-4237-88EF-84C44FA14B27}"/>
    <cellStyle name="Normal 2 2 2 2 39 2 2 3 2 4" xfId="14044" xr:uid="{40CA15B2-E7E8-4AFE-9CD8-ACCD2661E648}"/>
    <cellStyle name="Normal 2 2 2 2 39 2 2 3 3" xfId="14045" xr:uid="{2826B306-12A3-4743-96DE-462895DF6887}"/>
    <cellStyle name="Normal 2 2 2 2 39 2 2 3 4" xfId="14046" xr:uid="{2F05C981-13D8-4B0C-AB2C-AF8F805D0625}"/>
    <cellStyle name="Normal 2 2 2 2 39 2 2 3 5" xfId="14047" xr:uid="{76B2A82E-3711-40D2-B4B4-41E71BFCA981}"/>
    <cellStyle name="Normal 2 2 2 2 39 2 2 3 6" xfId="14048" xr:uid="{1297A2D7-0976-463F-A6DD-A67D95A36DCF}"/>
    <cellStyle name="Normal 2 2 2 2 39 2 2 4" xfId="14049" xr:uid="{6F38B3BC-BB12-4513-B3E5-D6FD5DD2937D}"/>
    <cellStyle name="Normal 2 2 2 2 39 2 2 5" xfId="14050" xr:uid="{A33EA32B-6648-4C11-8610-B635C9029A9E}"/>
    <cellStyle name="Normal 2 2 2 2 39 2 2 6" xfId="14051" xr:uid="{F8CFA46A-07FC-4261-B023-62B07C3837FC}"/>
    <cellStyle name="Normal 2 2 2 2 39 2 2 7" xfId="14052" xr:uid="{147D52D0-1A6E-43B7-A426-99C5E8CFE923}"/>
    <cellStyle name="Normal 2 2 2 2 39 2 2 8" xfId="14053" xr:uid="{84DF40E7-2A55-45F2-B610-645FD2716400}"/>
    <cellStyle name="Normal 2 2 2 2 39 2 2 8 2" xfId="14054" xr:uid="{8CDF083F-980F-4721-8103-0D33CF3A783E}"/>
    <cellStyle name="Normal 2 2 2 2 39 2 2 8 3" xfId="14055" xr:uid="{7CB3BF3D-0AC8-4149-A0B7-78E619765AED}"/>
    <cellStyle name="Normal 2 2 2 2 39 2 2 8 4" xfId="14056" xr:uid="{0DD8405D-4E7B-4F83-99DD-463388806BD2}"/>
    <cellStyle name="Normal 2 2 2 2 39 2 2 9" xfId="14057" xr:uid="{F934E0FE-C9E6-4A19-AF7F-F10E41B86EA4}"/>
    <cellStyle name="Normal 2 2 2 2 39 2 3" xfId="14058" xr:uid="{D2A80F54-3A11-4E45-91D0-739C1DEB12C0}"/>
    <cellStyle name="Normal 2 2 2 2 39 2 4" xfId="14059" xr:uid="{6E897195-4E3A-42EB-8AD7-BADCC23230C2}"/>
    <cellStyle name="Normal 2 2 2 2 39 2 5" xfId="14060" xr:uid="{744E6BE9-75EE-4D8C-A558-BAFD8B3CA04C}"/>
    <cellStyle name="Normal 2 2 2 2 39 2 5 2" xfId="14061" xr:uid="{39EDE9CB-682F-4CA1-858C-4F83649AC046}"/>
    <cellStyle name="Normal 2 2 2 2 39 2 5 2 2" xfId="14062" xr:uid="{C568DA35-DF6F-43F2-BE65-DF2FA2AA4882}"/>
    <cellStyle name="Normal 2 2 2 2 39 2 5 2 3" xfId="14063" xr:uid="{977C8940-DDCC-41F1-81CE-16052ED35D7E}"/>
    <cellStyle name="Normal 2 2 2 2 39 2 5 2 4" xfId="14064" xr:uid="{D834F916-A0AB-484B-B146-FCCC4F0A2D10}"/>
    <cellStyle name="Normal 2 2 2 2 39 2 5 3" xfId="14065" xr:uid="{A714ADF1-EED1-461E-9D50-4C88945B8813}"/>
    <cellStyle name="Normal 2 2 2 2 39 2 5 4" xfId="14066" xr:uid="{801AC51B-D11B-48DA-ADA4-2BE34DA1E514}"/>
    <cellStyle name="Normal 2 2 2 2 39 2 5 5" xfId="14067" xr:uid="{ED3B5EBC-5A5A-4AE2-8DC4-A495DE3F06E3}"/>
    <cellStyle name="Normal 2 2 2 2 39 2 5 6" xfId="14068" xr:uid="{6DAD74AC-B562-4362-B466-07CB5F72A1CA}"/>
    <cellStyle name="Normal 2 2 2 2 39 2 6" xfId="14069" xr:uid="{8441385E-3536-40E1-8615-1EEB4CEFC80A}"/>
    <cellStyle name="Normal 2 2 2 2 39 2 7" xfId="14070" xr:uid="{E38728C7-AECB-47A0-8A68-D4FE604354AC}"/>
    <cellStyle name="Normal 2 2 2 2 39 2 8" xfId="14071" xr:uid="{0A121DEF-973D-4BBC-BB9F-169DFBA190E7}"/>
    <cellStyle name="Normal 2 2 2 2 39 2 9" xfId="14072" xr:uid="{0D30C8AB-28B3-4113-836D-3DCA10344086}"/>
    <cellStyle name="Normal 2 2 2 2 39 3" xfId="14073" xr:uid="{F9B26964-66E9-4A48-A1DB-5A28C579D6C3}"/>
    <cellStyle name="Normal 2 2 2 2 39 4" xfId="14074" xr:uid="{B5736B06-7423-4DC2-9C32-F525C46513AF}"/>
    <cellStyle name="Normal 2 2 2 2 39 5" xfId="14075" xr:uid="{25481F06-812F-4264-82E0-B1CF78262DD7}"/>
    <cellStyle name="Normal 2 2 2 2 39 5 10" xfId="14076" xr:uid="{0DB07ECB-75FA-4E23-973A-F8E1D8D2B87A}"/>
    <cellStyle name="Normal 2 2 2 2 39 5 11" xfId="14077" xr:uid="{19DB394A-5B42-4DDF-B2BA-878894C6E379}"/>
    <cellStyle name="Normal 2 2 2 2 39 5 2" xfId="14078" xr:uid="{CFFAABD0-8039-482F-B98E-0115E9C3E8E7}"/>
    <cellStyle name="Normal 2 2 2 2 39 5 2 10" xfId="14079" xr:uid="{5F69DF7E-FA41-4423-8B4A-055A4380E137}"/>
    <cellStyle name="Normal 2 2 2 2 39 5 2 11" xfId="14080" xr:uid="{CBF5E29D-4B11-4462-AE98-482497748645}"/>
    <cellStyle name="Normal 2 2 2 2 39 5 2 2" xfId="14081" xr:uid="{B67D720D-63FA-4840-9C54-A626C8C240F2}"/>
    <cellStyle name="Normal 2 2 2 2 39 5 2 2 2" xfId="14082" xr:uid="{33E26D55-E02A-4C7F-9D5E-23FF672C8BAD}"/>
    <cellStyle name="Normal 2 2 2 2 39 5 2 2 2 2" xfId="14083" xr:uid="{36AE8B4B-A377-4306-9536-E7A81901AE43}"/>
    <cellStyle name="Normal 2 2 2 2 39 5 2 2 2 3" xfId="14084" xr:uid="{9C9E043C-9E62-4374-B23A-E93A141C791C}"/>
    <cellStyle name="Normal 2 2 2 2 39 5 2 2 2 4" xfId="14085" xr:uid="{A095F33C-27AA-408B-A250-B65856E53DE5}"/>
    <cellStyle name="Normal 2 2 2 2 39 5 2 2 3" xfId="14086" xr:uid="{0B679E39-A38C-4443-B0D0-84295A316662}"/>
    <cellStyle name="Normal 2 2 2 2 39 5 2 2 4" xfId="14087" xr:uid="{FF0BF4EF-ED1E-45AD-BC30-B312FCC551E5}"/>
    <cellStyle name="Normal 2 2 2 2 39 5 2 2 5" xfId="14088" xr:uid="{7F0C8C0E-1B23-4A57-8057-E244C2F10B07}"/>
    <cellStyle name="Normal 2 2 2 2 39 5 2 2 6" xfId="14089" xr:uid="{A2CB0390-171D-4441-89B2-EFB72411877B}"/>
    <cellStyle name="Normal 2 2 2 2 39 5 2 3" xfId="14090" xr:uid="{B29321A4-C925-4F63-BC99-C14A8F881CF5}"/>
    <cellStyle name="Normal 2 2 2 2 39 5 2 4" xfId="14091" xr:uid="{9BE1892D-A721-4104-9F75-E96BBB87A6E9}"/>
    <cellStyle name="Normal 2 2 2 2 39 5 2 5" xfId="14092" xr:uid="{F8E886CE-4A63-41B6-B5DE-38C5C6B6AEFD}"/>
    <cellStyle name="Normal 2 2 2 2 39 5 2 6" xfId="14093" xr:uid="{4EE931CA-AFF0-45F8-8717-5FCC143D6209}"/>
    <cellStyle name="Normal 2 2 2 2 39 5 2 7" xfId="14094" xr:uid="{2B55841E-458B-4830-BEE9-E54EE51F980C}"/>
    <cellStyle name="Normal 2 2 2 2 39 5 2 8" xfId="14095" xr:uid="{70DE6530-2936-49FB-9F1E-9719AEAB44BC}"/>
    <cellStyle name="Normal 2 2 2 2 39 5 2 8 2" xfId="14096" xr:uid="{041BC299-0ADC-49A6-9F32-1D4C770C45BD}"/>
    <cellStyle name="Normal 2 2 2 2 39 5 2 8 3" xfId="14097" xr:uid="{3BA552A4-4D7A-40E8-BCDE-3BBEE518DA65}"/>
    <cellStyle name="Normal 2 2 2 2 39 5 2 8 4" xfId="14098" xr:uid="{7C83A986-0B73-4463-89C5-490EA16FE30A}"/>
    <cellStyle name="Normal 2 2 2 2 39 5 2 9" xfId="14099" xr:uid="{3F9ED995-5B2B-4D03-AF08-E43AEA673EE5}"/>
    <cellStyle name="Normal 2 2 2 2 39 5 3" xfId="14100" xr:uid="{2A8297B7-13DE-4DC9-938E-BB209DBCCF45}"/>
    <cellStyle name="Normal 2 2 2 2 39 5 3 2" xfId="14101" xr:uid="{CC88931D-20A2-43B6-84A2-84624A71C6CE}"/>
    <cellStyle name="Normal 2 2 2 2 39 5 3 2 2" xfId="14102" xr:uid="{6ACFBF23-B90F-49AE-A107-0323DF19239B}"/>
    <cellStyle name="Normal 2 2 2 2 39 5 3 2 3" xfId="14103" xr:uid="{0E2832BC-C29A-4023-909D-432F2CA7F686}"/>
    <cellStyle name="Normal 2 2 2 2 39 5 3 2 4" xfId="14104" xr:uid="{44C66785-3C8D-419D-8A4B-774E2ADF68FD}"/>
    <cellStyle name="Normal 2 2 2 2 39 5 3 3" xfId="14105" xr:uid="{34B1CFB8-408A-464E-987C-E560837FFAB0}"/>
    <cellStyle name="Normal 2 2 2 2 39 5 3 4" xfId="14106" xr:uid="{EE831D60-F872-45BE-8D8E-C8A01F982263}"/>
    <cellStyle name="Normal 2 2 2 2 39 5 3 5" xfId="14107" xr:uid="{8CA0AB89-81CA-497E-BB67-DBE1314D85E1}"/>
    <cellStyle name="Normal 2 2 2 2 39 5 3 6" xfId="14108" xr:uid="{AA004ADE-1F31-4EDB-957B-B8BCAF3D46DA}"/>
    <cellStyle name="Normal 2 2 2 2 39 5 4" xfId="14109" xr:uid="{75B1CD6E-176C-47D0-B334-3E9C6C7F7925}"/>
    <cellStyle name="Normal 2 2 2 2 39 5 5" xfId="14110" xr:uid="{602870C3-C493-41C3-A5B4-AD6FAE4551D3}"/>
    <cellStyle name="Normal 2 2 2 2 39 5 6" xfId="14111" xr:uid="{A22EDB15-3D73-4651-93A9-56A4AF96057B}"/>
    <cellStyle name="Normal 2 2 2 2 39 5 7" xfId="14112" xr:uid="{4C440A21-5A0F-49BD-BCB4-D5CBC798B34E}"/>
    <cellStyle name="Normal 2 2 2 2 39 5 8" xfId="14113" xr:uid="{D92938B6-58C6-4CA0-AC01-655EB056574D}"/>
    <cellStyle name="Normal 2 2 2 2 39 5 8 2" xfId="14114" xr:uid="{00BDB86A-10F3-4098-A1DC-CD024B7B6783}"/>
    <cellStyle name="Normal 2 2 2 2 39 5 8 3" xfId="14115" xr:uid="{44D82F43-36CE-41BF-8BE8-CE2ECD8EE993}"/>
    <cellStyle name="Normal 2 2 2 2 39 5 8 4" xfId="14116" xr:uid="{D2EF647D-C728-468B-8648-0069F96DC2DB}"/>
    <cellStyle name="Normal 2 2 2 2 39 5 9" xfId="14117" xr:uid="{6B9E0739-337D-43CE-A1F0-CC4A51A96466}"/>
    <cellStyle name="Normal 2 2 2 2 39 6" xfId="14118" xr:uid="{6E34D1B2-2FBD-426D-9D1D-7CA19C5984C0}"/>
    <cellStyle name="Normal 2 2 2 2 39 7" xfId="14119" xr:uid="{89408D82-23AA-4CE7-8499-604272E7EDC7}"/>
    <cellStyle name="Normal 2 2 2 2 39 7 2" xfId="14120" xr:uid="{072DEEE4-D63A-4F5A-B4AC-409E9137B986}"/>
    <cellStyle name="Normal 2 2 2 2 39 7 2 2" xfId="14121" xr:uid="{EE3FCA91-1541-44F7-852A-03F65703867E}"/>
    <cellStyle name="Normal 2 2 2 2 39 7 2 3" xfId="14122" xr:uid="{55E9BA62-E9A6-4F0F-9278-2F69BCEB56E0}"/>
    <cellStyle name="Normal 2 2 2 2 39 7 2 4" xfId="14123" xr:uid="{7A2F5DB2-7A40-43E4-B075-EE00F47EB7DF}"/>
    <cellStyle name="Normal 2 2 2 2 39 7 3" xfId="14124" xr:uid="{E9C3C1C0-768F-4097-A414-AC13EE38F923}"/>
    <cellStyle name="Normal 2 2 2 2 39 7 4" xfId="14125" xr:uid="{EDD68275-E12A-4A7A-9EDA-DFE6733CCB98}"/>
    <cellStyle name="Normal 2 2 2 2 39 7 5" xfId="14126" xr:uid="{DDF68D23-DD14-431E-8B6F-1AF63251CA50}"/>
    <cellStyle name="Normal 2 2 2 2 39 7 6" xfId="14127" xr:uid="{5FFC7E82-81EA-42FD-B776-5AC4BE518F08}"/>
    <cellStyle name="Normal 2 2 2 2 39 8" xfId="14128" xr:uid="{7C385F12-97FD-4D7C-89A8-F63FEC1301F0}"/>
    <cellStyle name="Normal 2 2 2 2 39 9" xfId="14129" xr:uid="{B6FF01BF-844F-409D-85E5-DF43B97B3CAB}"/>
    <cellStyle name="Normal 2 2 2 2 4" xfId="14130" xr:uid="{A0A97609-C9F5-414A-B6EF-4B02A3FD9BBC}"/>
    <cellStyle name="Normal 2 2 2 2 4 2" xfId="14131" xr:uid="{6DB09BFE-526E-4381-9E1A-434D9691E36E}"/>
    <cellStyle name="Normal 2 2 2 2 40" xfId="14132" xr:uid="{23321FB0-7C56-4CC4-8620-0F688CB33BA5}"/>
    <cellStyle name="Normal 2 2 2 2 41" xfId="14133" xr:uid="{E358A237-E23D-4020-89CB-0A67569C93B1}"/>
    <cellStyle name="Normal 2 2 2 2 42" xfId="14134" xr:uid="{B0F0AB98-3D8B-4718-BD3E-A6C204BBB45D}"/>
    <cellStyle name="Normal 2 2 2 2 43" xfId="14135" xr:uid="{EACD2F0A-8D1E-4237-BE62-1225794CB738}"/>
    <cellStyle name="Normal 2 2 2 2 44" xfId="14136" xr:uid="{4679BBC1-AE26-45D9-95CD-4CE069297742}"/>
    <cellStyle name="Normal 2 2 2 2 45" xfId="14137" xr:uid="{D6A32CBF-623F-498F-B469-42794F384399}"/>
    <cellStyle name="Normal 2 2 2 2 46" xfId="14138" xr:uid="{CF11A6C0-A438-42AB-B0F1-F6F6686C3364}"/>
    <cellStyle name="Normal 2 2 2 2 47" xfId="14139" xr:uid="{1908C6D9-B9B3-4ED8-925E-B6A46560B8DD}"/>
    <cellStyle name="Normal 2 2 2 2 47 10" xfId="14140" xr:uid="{4C9D6C4B-B856-4882-A63E-035384C7F8DA}"/>
    <cellStyle name="Normal 2 2 2 2 47 11" xfId="14141" xr:uid="{365A625A-B58E-4355-B265-092F3FB5BE10}"/>
    <cellStyle name="Normal 2 2 2 2 47 11 2" xfId="14142" xr:uid="{083FC26E-F65D-4605-BB2F-C835AA9E2321}"/>
    <cellStyle name="Normal 2 2 2 2 47 11 3" xfId="14143" xr:uid="{F1810964-75E1-46F5-B735-D317B520745D}"/>
    <cellStyle name="Normal 2 2 2 2 47 11 4" xfId="14144" xr:uid="{8D8D3302-B379-4F15-998C-7672214244DA}"/>
    <cellStyle name="Normal 2 2 2 2 47 12" xfId="14145" xr:uid="{AEDA7E46-F223-44CD-8ECE-4406B0804AE6}"/>
    <cellStyle name="Normal 2 2 2 2 47 13" xfId="14146" xr:uid="{C96AA71D-4A32-417C-BD19-CD0014990C05}"/>
    <cellStyle name="Normal 2 2 2 2 47 14" xfId="14147" xr:uid="{EDF34CE5-21AD-418B-A547-CC06CC6E48DB}"/>
    <cellStyle name="Normal 2 2 2 2 47 2" xfId="14148" xr:uid="{178A5648-4B14-47CE-AD71-AD00FBAC11CB}"/>
    <cellStyle name="Normal 2 2 2 2 47 2 10" xfId="14149" xr:uid="{D7EC1511-248B-464A-9746-0A174FDB92F2}"/>
    <cellStyle name="Normal 2 2 2 2 47 2 11" xfId="14150" xr:uid="{ED5CD07E-81FD-4731-B1C5-3B692D737F02}"/>
    <cellStyle name="Normal 2 2 2 2 47 2 2" xfId="14151" xr:uid="{99602774-6154-4BB0-943A-ECC6CA918434}"/>
    <cellStyle name="Normal 2 2 2 2 47 2 2 10" xfId="14152" xr:uid="{D2708E8C-7012-40D2-938B-EFF5B30C059C}"/>
    <cellStyle name="Normal 2 2 2 2 47 2 2 11" xfId="14153" xr:uid="{B9166B51-7FD3-4355-82ED-F83011C6F021}"/>
    <cellStyle name="Normal 2 2 2 2 47 2 2 2" xfId="14154" xr:uid="{4BB0E4B1-46DD-4D00-B52E-39AB4689E4AC}"/>
    <cellStyle name="Normal 2 2 2 2 47 2 2 2 2" xfId="14155" xr:uid="{02475049-C429-4A6F-B3CE-2D4C69CB0D7E}"/>
    <cellStyle name="Normal 2 2 2 2 47 2 2 2 2 2" xfId="14156" xr:uid="{1A8D42EF-F3DE-439F-943D-729AF7A45161}"/>
    <cellStyle name="Normal 2 2 2 2 47 2 2 2 2 3" xfId="14157" xr:uid="{55046170-79CA-4B34-96B9-C70D873B3B1E}"/>
    <cellStyle name="Normal 2 2 2 2 47 2 2 2 2 4" xfId="14158" xr:uid="{07D86381-BED9-4052-8A01-D4C39BFCA8EB}"/>
    <cellStyle name="Normal 2 2 2 2 47 2 2 2 3" xfId="14159" xr:uid="{21107CB5-FFDD-43DC-BC03-0CD5747DE703}"/>
    <cellStyle name="Normal 2 2 2 2 47 2 2 2 4" xfId="14160" xr:uid="{021F7927-93BE-4FA7-8909-013223835DC4}"/>
    <cellStyle name="Normal 2 2 2 2 47 2 2 2 5" xfId="14161" xr:uid="{B6CF2020-5155-4148-A384-67D585A1078A}"/>
    <cellStyle name="Normal 2 2 2 2 47 2 2 2 6" xfId="14162" xr:uid="{DBCD3FC3-9898-40B8-9E41-6BC51CA46D35}"/>
    <cellStyle name="Normal 2 2 2 2 47 2 2 3" xfId="14163" xr:uid="{DE448FAC-2D93-4104-9F02-6CD5475FC072}"/>
    <cellStyle name="Normal 2 2 2 2 47 2 2 4" xfId="14164" xr:uid="{789E4AD7-A766-498D-9834-2163B397DC55}"/>
    <cellStyle name="Normal 2 2 2 2 47 2 2 5" xfId="14165" xr:uid="{F3C43053-0160-457D-B914-659ED6580A28}"/>
    <cellStyle name="Normal 2 2 2 2 47 2 2 6" xfId="14166" xr:uid="{6B996F6B-C9C1-434D-8891-A53A5C0E6FE8}"/>
    <cellStyle name="Normal 2 2 2 2 47 2 2 7" xfId="14167" xr:uid="{EAB55F18-C4E8-411E-A837-3A6F29A86F14}"/>
    <cellStyle name="Normal 2 2 2 2 47 2 2 8" xfId="14168" xr:uid="{005784D9-BE01-4792-BEF8-180830ED4291}"/>
    <cellStyle name="Normal 2 2 2 2 47 2 2 8 2" xfId="14169" xr:uid="{A27F9836-3FB3-4124-A627-AC95D31F2E3E}"/>
    <cellStyle name="Normal 2 2 2 2 47 2 2 8 3" xfId="14170" xr:uid="{FDEBA166-4F5B-4037-8F80-FC5E7365229D}"/>
    <cellStyle name="Normal 2 2 2 2 47 2 2 8 4" xfId="14171" xr:uid="{04A06D2C-0CA9-47EF-B66F-2B2FE47F3939}"/>
    <cellStyle name="Normal 2 2 2 2 47 2 2 9" xfId="14172" xr:uid="{92BF7E02-9DB1-427E-AA11-4D7238443949}"/>
    <cellStyle name="Normal 2 2 2 2 47 2 3" xfId="14173" xr:uid="{794E7AF6-09D2-4E56-8E4E-A659727541DF}"/>
    <cellStyle name="Normal 2 2 2 2 47 2 3 2" xfId="14174" xr:uid="{82E1A598-D933-45DC-8351-ED90EEBE27B2}"/>
    <cellStyle name="Normal 2 2 2 2 47 2 3 2 2" xfId="14175" xr:uid="{A2D80080-5FE4-4669-B695-5C6468277995}"/>
    <cellStyle name="Normal 2 2 2 2 47 2 3 2 3" xfId="14176" xr:uid="{1F1893D3-E377-4848-8D19-5377726B3EAF}"/>
    <cellStyle name="Normal 2 2 2 2 47 2 3 2 4" xfId="14177" xr:uid="{CD32BDEC-3F30-4BB3-A892-1320E822F0FA}"/>
    <cellStyle name="Normal 2 2 2 2 47 2 3 3" xfId="14178" xr:uid="{4AE66E44-5599-40F1-816F-B5F8FBBBACED}"/>
    <cellStyle name="Normal 2 2 2 2 47 2 3 4" xfId="14179" xr:uid="{97D0A360-B050-4FAB-8904-327100BF5170}"/>
    <cellStyle name="Normal 2 2 2 2 47 2 3 5" xfId="14180" xr:uid="{98F29D28-ECA8-4566-A369-C4FCC246E3EA}"/>
    <cellStyle name="Normal 2 2 2 2 47 2 3 6" xfId="14181" xr:uid="{B2E07698-24CE-4D6E-A7E4-E797B986C27F}"/>
    <cellStyle name="Normal 2 2 2 2 47 2 4" xfId="14182" xr:uid="{AAFDF711-76A1-4E30-8716-5B27D4EDED15}"/>
    <cellStyle name="Normal 2 2 2 2 47 2 5" xfId="14183" xr:uid="{167217D5-CC8F-4EB9-8131-564D71A06C8C}"/>
    <cellStyle name="Normal 2 2 2 2 47 2 6" xfId="14184" xr:uid="{103E56EB-422E-4DF0-8161-493A94F4894D}"/>
    <cellStyle name="Normal 2 2 2 2 47 2 7" xfId="14185" xr:uid="{6D99D8CC-0C94-4908-8122-4AD2214E876B}"/>
    <cellStyle name="Normal 2 2 2 2 47 2 8" xfId="14186" xr:uid="{D854F0EC-B67B-49C6-89BA-A02FD3DC6A15}"/>
    <cellStyle name="Normal 2 2 2 2 47 2 8 2" xfId="14187" xr:uid="{F5893534-FC68-4965-87F3-DC7E062B5B5A}"/>
    <cellStyle name="Normal 2 2 2 2 47 2 8 3" xfId="14188" xr:uid="{098F663D-D1AC-47EF-A351-D171C4E8C391}"/>
    <cellStyle name="Normal 2 2 2 2 47 2 8 4" xfId="14189" xr:uid="{3A419943-B006-45D3-8697-261243F8D399}"/>
    <cellStyle name="Normal 2 2 2 2 47 2 9" xfId="14190" xr:uid="{3CDED390-864B-43BC-ABC6-11A48A2282CA}"/>
    <cellStyle name="Normal 2 2 2 2 47 3" xfId="14191" xr:uid="{E9E604B5-F4C5-4841-8B84-8219D14D3F09}"/>
    <cellStyle name="Normal 2 2 2 2 47 4" xfId="14192" xr:uid="{0C9734BA-1EC8-4BBB-BECA-B9AAB27CF346}"/>
    <cellStyle name="Normal 2 2 2 2 47 5" xfId="14193" xr:uid="{A3153A20-8DCB-4A68-A0E0-B05173053966}"/>
    <cellStyle name="Normal 2 2 2 2 47 5 2" xfId="14194" xr:uid="{E6E66E0D-70D6-472B-8925-20F4563F4E2F}"/>
    <cellStyle name="Normal 2 2 2 2 47 5 2 2" xfId="14195" xr:uid="{F2247508-D57B-4158-8055-3414BC6C2DE7}"/>
    <cellStyle name="Normal 2 2 2 2 47 5 2 3" xfId="14196" xr:uid="{95E292D4-9D73-4D27-AF4B-67FB7D051DF7}"/>
    <cellStyle name="Normal 2 2 2 2 47 5 2 4" xfId="14197" xr:uid="{ADC19671-98E7-408E-9CAA-599C902D9148}"/>
    <cellStyle name="Normal 2 2 2 2 47 5 3" xfId="14198" xr:uid="{6CEB4678-C3E7-44AA-879E-B7583B301C55}"/>
    <cellStyle name="Normal 2 2 2 2 47 5 4" xfId="14199" xr:uid="{9BB534BF-7761-4C8A-8C92-E97B050E01C5}"/>
    <cellStyle name="Normal 2 2 2 2 47 5 5" xfId="14200" xr:uid="{4CEEE122-4CF5-43AC-80C3-0B9A0DFC66B6}"/>
    <cellStyle name="Normal 2 2 2 2 47 5 6" xfId="14201" xr:uid="{8DD19327-4C94-4731-8996-DCA9E95BF048}"/>
    <cellStyle name="Normal 2 2 2 2 47 6" xfId="14202" xr:uid="{23DCB68B-254F-4201-9019-953709698A47}"/>
    <cellStyle name="Normal 2 2 2 2 47 7" xfId="14203" xr:uid="{75676467-B2F9-4608-8D28-518D26657473}"/>
    <cellStyle name="Normal 2 2 2 2 47 8" xfId="14204" xr:uid="{67822FC0-C560-4275-9DF8-6BFD24667722}"/>
    <cellStyle name="Normal 2 2 2 2 47 9" xfId="14205" xr:uid="{1D27E3E6-65BC-4335-92E8-659C333A7CCD}"/>
    <cellStyle name="Normal 2 2 2 2 48" xfId="14206" xr:uid="{6D993FF9-FB04-4F00-8BD5-C6B7609AF028}"/>
    <cellStyle name="Normal 2 2 2 2 49" xfId="14207" xr:uid="{62BB9BEE-63D2-4D68-978C-367E34A44E12}"/>
    <cellStyle name="Normal 2 2 2 2 49 10" xfId="14208" xr:uid="{B0DFA2B4-1F49-4810-83A1-A476F7F39D9E}"/>
    <cellStyle name="Normal 2 2 2 2 49 11" xfId="14209" xr:uid="{0FF0E27C-F155-43AB-809E-1C3D783BCE92}"/>
    <cellStyle name="Normal 2 2 2 2 49 2" xfId="14210" xr:uid="{876484E8-D182-4D84-9B8E-489BBB55E1C8}"/>
    <cellStyle name="Normal 2 2 2 2 49 2 10" xfId="14211" xr:uid="{688DC5F7-662A-4D74-8F63-A9B4D249E41A}"/>
    <cellStyle name="Normal 2 2 2 2 49 2 11" xfId="14212" xr:uid="{B6DB7838-BEEB-4D4C-9724-4F1A4DA77B74}"/>
    <cellStyle name="Normal 2 2 2 2 49 2 2" xfId="14213" xr:uid="{F7FFB9E1-AD70-452F-9E16-196B05DB643B}"/>
    <cellStyle name="Normal 2 2 2 2 49 2 2 2" xfId="14214" xr:uid="{427391A5-D309-4321-B0CC-BA2C8820DB0C}"/>
    <cellStyle name="Normal 2 2 2 2 49 2 2 2 2" xfId="14215" xr:uid="{07DE1D32-113A-496B-9314-6527F6B3F823}"/>
    <cellStyle name="Normal 2 2 2 2 49 2 2 2 3" xfId="14216" xr:uid="{87C78276-0172-43E6-B2BA-74290A3BFFAF}"/>
    <cellStyle name="Normal 2 2 2 2 49 2 2 2 4" xfId="14217" xr:uid="{E765E2F3-C5B9-4F32-99F9-95F68C757F82}"/>
    <cellStyle name="Normal 2 2 2 2 49 2 2 3" xfId="14218" xr:uid="{4A2C5F49-FA00-42E3-94E3-1A8DF2FBCD26}"/>
    <cellStyle name="Normal 2 2 2 2 49 2 2 4" xfId="14219" xr:uid="{613F255C-2E8F-4497-B2B4-7F43B5A808E3}"/>
    <cellStyle name="Normal 2 2 2 2 49 2 2 5" xfId="14220" xr:uid="{DFE85FF4-B9DD-4731-BDED-06EBCD423B7B}"/>
    <cellStyle name="Normal 2 2 2 2 49 2 2 6" xfId="14221" xr:uid="{000D061F-C88C-4F2E-AD54-7D7D98DDBA39}"/>
    <cellStyle name="Normal 2 2 2 2 49 2 3" xfId="14222" xr:uid="{44F5E7E7-AF37-4A21-97D2-3C51D9884554}"/>
    <cellStyle name="Normal 2 2 2 2 49 2 4" xfId="14223" xr:uid="{FB75D0C0-F33D-473C-A6CC-6322EC4C7281}"/>
    <cellStyle name="Normal 2 2 2 2 49 2 5" xfId="14224" xr:uid="{1B2A36A7-214D-4878-9D45-7562ED445721}"/>
    <cellStyle name="Normal 2 2 2 2 49 2 6" xfId="14225" xr:uid="{5774F4C9-BBFE-4A5A-AA18-267894BC320A}"/>
    <cellStyle name="Normal 2 2 2 2 49 2 7" xfId="14226" xr:uid="{6ABC0950-BA1A-4874-AE50-0FDCA5DF2AE5}"/>
    <cellStyle name="Normal 2 2 2 2 49 2 8" xfId="14227" xr:uid="{C114501E-6AF7-4A4C-8BFB-8E66062087A5}"/>
    <cellStyle name="Normal 2 2 2 2 49 2 8 2" xfId="14228" xr:uid="{0104EAF0-60EB-40C6-8C73-86569E2CB977}"/>
    <cellStyle name="Normal 2 2 2 2 49 2 8 3" xfId="14229" xr:uid="{1DC18A2D-2370-4991-9D1E-4501F6F72F50}"/>
    <cellStyle name="Normal 2 2 2 2 49 2 8 4" xfId="14230" xr:uid="{2AF1ECBE-19D0-430C-98EB-61A569B26967}"/>
    <cellStyle name="Normal 2 2 2 2 49 2 9" xfId="14231" xr:uid="{F269C23E-BEC6-42BA-A7F6-F78FD50A3C57}"/>
    <cellStyle name="Normal 2 2 2 2 49 3" xfId="14232" xr:uid="{E48F99D5-D066-4836-8712-823ECF8A8B7D}"/>
    <cellStyle name="Normal 2 2 2 2 49 3 2" xfId="14233" xr:uid="{F49C4B2B-11A7-4233-89C4-CA480FBCD7A1}"/>
    <cellStyle name="Normal 2 2 2 2 49 3 2 2" xfId="14234" xr:uid="{94566B84-5E19-457E-8B3D-1B6FFA2F84E6}"/>
    <cellStyle name="Normal 2 2 2 2 49 3 2 3" xfId="14235" xr:uid="{10DB0802-BD68-41CB-A6EE-1D9E432CDE3C}"/>
    <cellStyle name="Normal 2 2 2 2 49 3 2 4" xfId="14236" xr:uid="{58292B8E-2A4D-4341-A318-91C7970BD99E}"/>
    <cellStyle name="Normal 2 2 2 2 49 3 3" xfId="14237" xr:uid="{6CB60C67-8D1C-4268-93D1-27B32D1B4473}"/>
    <cellStyle name="Normal 2 2 2 2 49 3 4" xfId="14238" xr:uid="{202D48E7-1941-435D-AED9-7750CF623E84}"/>
    <cellStyle name="Normal 2 2 2 2 49 3 5" xfId="14239" xr:uid="{7A0BD384-EE84-4234-98D1-26B2CF5D906D}"/>
    <cellStyle name="Normal 2 2 2 2 49 3 6" xfId="14240" xr:uid="{FBD30350-C183-48C1-9E17-789DC3CF9CC8}"/>
    <cellStyle name="Normal 2 2 2 2 49 4" xfId="14241" xr:uid="{00BFB8CF-E6F5-4B8C-A004-2A54648FF1B3}"/>
    <cellStyle name="Normal 2 2 2 2 49 5" xfId="14242" xr:uid="{AFFBD89F-DEC9-4E84-8348-074A79663D78}"/>
    <cellStyle name="Normal 2 2 2 2 49 6" xfId="14243" xr:uid="{5ED8F15D-BF36-4B69-A2D8-B2B1DAAF7F64}"/>
    <cellStyle name="Normal 2 2 2 2 49 7" xfId="14244" xr:uid="{F1AE7802-357A-448E-9E10-82DF8CB6F669}"/>
    <cellStyle name="Normal 2 2 2 2 49 8" xfId="14245" xr:uid="{3C9E5F6D-2359-499C-8170-2A17D43A7528}"/>
    <cellStyle name="Normal 2 2 2 2 49 8 2" xfId="14246" xr:uid="{48C48C78-0BFC-47FF-8BE1-F0745BCB0448}"/>
    <cellStyle name="Normal 2 2 2 2 49 8 3" xfId="14247" xr:uid="{FC7E4B7E-D505-479C-98E9-332036A45DE1}"/>
    <cellStyle name="Normal 2 2 2 2 49 8 4" xfId="14248" xr:uid="{2F10F6C6-FC87-4191-B833-2D3C1A8B7C9F}"/>
    <cellStyle name="Normal 2 2 2 2 49 9" xfId="14249" xr:uid="{B5EAE9EC-E01A-4823-B069-A996C9850365}"/>
    <cellStyle name="Normal 2 2 2 2 5" xfId="14250" xr:uid="{0C7D9853-994E-4E89-BC78-06B6184B84F2}"/>
    <cellStyle name="Normal 2 2 2 2 5 2" xfId="14251" xr:uid="{69800229-BB38-4F33-BCC2-5037159A5B8E}"/>
    <cellStyle name="Normal 2 2 2 2 50" xfId="14252" xr:uid="{FA40FE94-44F6-49A3-8517-8D30AD85E1E9}"/>
    <cellStyle name="Normal 2 2 2 2 51" xfId="14253" xr:uid="{125826CB-8C7C-448D-B3AA-517ACFB8BC49}"/>
    <cellStyle name="Normal 2 2 2 2 51 2" xfId="14254" xr:uid="{F5ACB9ED-138D-4034-A683-C501313DAA5D}"/>
    <cellStyle name="Normal 2 2 2 2 51 2 2" xfId="14255" xr:uid="{6A95CA8A-F18E-4087-8504-9C95CA70718C}"/>
    <cellStyle name="Normal 2 2 2 2 51 2 3" xfId="14256" xr:uid="{CC8F7C96-3502-407F-BE62-A41B33A9B050}"/>
    <cellStyle name="Normal 2 2 2 2 51 2 4" xfId="14257" xr:uid="{072FA5AC-646C-4EEC-ACC0-22FEC74F0E47}"/>
    <cellStyle name="Normal 2 2 2 2 51 3" xfId="14258" xr:uid="{80833A77-D4B2-4861-B318-C680D11B2575}"/>
    <cellStyle name="Normal 2 2 2 2 51 4" xfId="14259" xr:uid="{C44C51E2-AD9F-45B7-801B-B82FDC25077A}"/>
    <cellStyle name="Normal 2 2 2 2 51 5" xfId="14260" xr:uid="{5E1316B5-9E51-4103-BC81-26E70383CA39}"/>
    <cellStyle name="Normal 2 2 2 2 51 6" xfId="14261" xr:uid="{52087F73-A353-495A-BEF0-300C11E776E7}"/>
    <cellStyle name="Normal 2 2 2 2 52" xfId="14262" xr:uid="{8BC345A6-7A21-48C4-AAC5-D2C700B35C48}"/>
    <cellStyle name="Normal 2 2 2 2 53" xfId="14263" xr:uid="{03AE825A-9128-4B47-A7BC-F2DA3FC8F5F5}"/>
    <cellStyle name="Normal 2 2 2 2 54" xfId="14264" xr:uid="{F2CF1028-6D46-465C-901D-8F286A114AA7}"/>
    <cellStyle name="Normal 2 2 2 2 55" xfId="14265" xr:uid="{39562F0A-62D4-4F47-89B2-05C029B0DD3C}"/>
    <cellStyle name="Normal 2 2 2 2 56" xfId="14266" xr:uid="{7B2A40C7-EB87-4F31-B40D-F81C91F7F8B7}"/>
    <cellStyle name="Normal 2 2 2 2 57" xfId="14267" xr:uid="{8CB6C00D-7D49-4937-A11A-AF3547871646}"/>
    <cellStyle name="Normal 2 2 2 2 57 2" xfId="14268" xr:uid="{FA2C9E7C-EB44-49E4-8A0A-D7DE7EC32483}"/>
    <cellStyle name="Normal 2 2 2 2 57 3" xfId="14269" xr:uid="{FC21C2E7-F023-4C01-B00E-7F78C7F4ACF0}"/>
    <cellStyle name="Normal 2 2 2 2 57 4" xfId="14270" xr:uid="{AA7D56A6-F2DF-418B-9258-CD7F7436525C}"/>
    <cellStyle name="Normal 2 2 2 2 58" xfId="14271" xr:uid="{A2691228-1392-4E26-B810-B88DB6033B96}"/>
    <cellStyle name="Normal 2 2 2 2 59" xfId="14272" xr:uid="{51C5B34E-06DE-40CE-B2F2-B0153133DE72}"/>
    <cellStyle name="Normal 2 2 2 2 6" xfId="14273" xr:uid="{4882E0EB-2A6C-4F59-83FA-E2EB114AFC90}"/>
    <cellStyle name="Normal 2 2 2 2 6 2" xfId="14274" xr:uid="{F32B0F22-3786-4ACA-97F9-F309A0789EC4}"/>
    <cellStyle name="Normal 2 2 2 2 60" xfId="14275" xr:uid="{DAFD7419-188C-4BD6-A9FB-3D18A7142637}"/>
    <cellStyle name="Normal 2 2 2 2 61" xfId="14276" xr:uid="{D885F577-91F3-4840-A1EB-3546AA4157FE}"/>
    <cellStyle name="Normal 2 2 2 2 62" xfId="14277" xr:uid="{75FDE77C-E102-43D3-A95E-9840BDF65C0B}"/>
    <cellStyle name="Normal 2 2 2 2 63" xfId="14278" xr:uid="{DCD04298-1C1C-4785-BC63-A3BBCE155228}"/>
    <cellStyle name="Normal 2 2 2 2 64" xfId="14279" xr:uid="{A6199389-A48D-4D2E-8549-7A9555F8E632}"/>
    <cellStyle name="Normal 2 2 2 2 65" xfId="14280" xr:uid="{FC155EC7-0B4C-404F-8390-DA404B0D9201}"/>
    <cellStyle name="Normal 2 2 2 2 66" xfId="14281" xr:uid="{5C0ED085-85E0-4773-B2C4-145336511448}"/>
    <cellStyle name="Normal 2 2 2 2 67" xfId="14282" xr:uid="{987036CF-A23A-4A95-9EEF-DC6BB8798022}"/>
    <cellStyle name="Normal 2 2 2 2 68" xfId="14283" xr:uid="{B49BE162-818C-42AE-B3E7-C263A73C9417}"/>
    <cellStyle name="Normal 2 2 2 2 69" xfId="14284" xr:uid="{413D0930-3A07-45DD-9210-6A14DC613A3F}"/>
    <cellStyle name="Normal 2 2 2 2 7" xfId="14285" xr:uid="{498E8586-1169-4E0E-9472-84DECF5563CB}"/>
    <cellStyle name="Normal 2 2 2 2 7 2" xfId="14286" xr:uid="{252F55C2-4142-4699-A3FB-0DADBC62F34F}"/>
    <cellStyle name="Normal 2 2 2 2 70" xfId="14287" xr:uid="{180F0A9B-F757-4B9A-8CDC-985550968CC9}"/>
    <cellStyle name="Normal 2 2 2 2 71" xfId="14288" xr:uid="{E91EA1C0-DFE2-49D1-B820-CD9CB43682BE}"/>
    <cellStyle name="Normal 2 2 2 2 72" xfId="14289" xr:uid="{08EA4BB5-2788-471B-99E0-CC6589045433}"/>
    <cellStyle name="Normal 2 2 2 2 72 2" xfId="14290" xr:uid="{127486C0-109F-403A-9896-81D02422F9A2}"/>
    <cellStyle name="Normal 2 2 2 2 72 3" xfId="14291" xr:uid="{0D0E792F-E765-4356-8C73-2C12BB838816}"/>
    <cellStyle name="Normal 2 2 2 2 72 4" xfId="14292" xr:uid="{87817CCB-9DD8-4308-B353-CB9A835AFF2B}"/>
    <cellStyle name="Normal 2 2 2 2 72 5" xfId="14293" xr:uid="{AB495F78-B183-4554-9D3C-33B96A0D397C}"/>
    <cellStyle name="Normal 2 2 2 2 72 6" xfId="14294" xr:uid="{FA15BE30-2676-4BC4-AE40-A2CFFF3B2AD3}"/>
    <cellStyle name="Normal 2 2 2 2 72 7" xfId="14295" xr:uid="{0F332160-4176-4096-9601-04D110D70AE8}"/>
    <cellStyle name="Normal 2 2 2 2 73" xfId="14296" xr:uid="{C8381A15-667A-47BE-BAC8-378F124EBA61}"/>
    <cellStyle name="Normal 2 2 2 2 74" xfId="14297" xr:uid="{77D68418-A025-4077-BD5B-662253FB824C}"/>
    <cellStyle name="Normal 2 2 2 2 75" xfId="14298" xr:uid="{59A6FBDF-E40A-40A5-9F57-ED7C32BC3831}"/>
    <cellStyle name="Normal 2 2 2 2 76" xfId="14299" xr:uid="{195521D5-FB88-4535-B693-F752D8D8EE33}"/>
    <cellStyle name="Normal 2 2 2 2 77" xfId="14300" xr:uid="{F33C3B7C-078C-47A9-8249-EF91F97B79D3}"/>
    <cellStyle name="Normal 2 2 2 2 78" xfId="14301" xr:uid="{3E2C52F1-9359-4967-A02A-4B2B4F4C63E4}"/>
    <cellStyle name="Normal 2 2 2 2 79" xfId="14302" xr:uid="{5BA305F7-B1B5-4FE3-B5B0-68947B2A6B83}"/>
    <cellStyle name="Normal 2 2 2 2 8" xfId="14303" xr:uid="{7990F044-B6C2-460D-897B-2AA808F0D196}"/>
    <cellStyle name="Normal 2 2 2 2 8 2" xfId="14304" xr:uid="{AEE7D5EA-82BC-4993-A370-5B5380E34C55}"/>
    <cellStyle name="Normal 2 2 2 2 80" xfId="14305" xr:uid="{35E214EE-57EE-4EE5-8819-2EE4AD72CD96}"/>
    <cellStyle name="Normal 2 2 2 2 81" xfId="14306" xr:uid="{B15FA8B7-58D0-4C04-88BD-0F569C4B1D51}"/>
    <cellStyle name="Normal 2 2 2 2 82" xfId="14307" xr:uid="{9FEEC3A4-C85B-434F-AB9E-E528B4BB1B40}"/>
    <cellStyle name="Normal 2 2 2 2 83" xfId="14308" xr:uid="{8ED89893-93E3-49E2-8ADE-CFB303C16280}"/>
    <cellStyle name="Normal 2 2 2 2 84" xfId="14309" xr:uid="{9EEAAD33-DBA3-4C7D-8584-CDA7774C9A27}"/>
    <cellStyle name="Normal 2 2 2 2 85" xfId="14310" xr:uid="{BD83B891-AD74-40E6-B948-022891FD4D38}"/>
    <cellStyle name="Normal 2 2 2 2 86" xfId="14311" xr:uid="{D4CC3A32-0292-4E6B-8EC0-B796A5510BAA}"/>
    <cellStyle name="Normal 2 2 2 2 87" xfId="14312" xr:uid="{F09932A8-9B67-436C-8CA7-5D9C2D319D5F}"/>
    <cellStyle name="Normal 2 2 2 2 88" xfId="14313" xr:uid="{8B160EFE-076A-4FCF-A687-16DA7E297BA7}"/>
    <cellStyle name="Normal 2 2 2 2 89" xfId="14314" xr:uid="{2F1A93B6-7180-4AC7-90EC-C94C134DEB62}"/>
    <cellStyle name="Normal 2 2 2 2 9" xfId="14315" xr:uid="{6421FA9F-EB5F-4901-8AD3-77783609C97F}"/>
    <cellStyle name="Normal 2 2 2 2 9 2" xfId="14316" xr:uid="{739489C4-2755-4C7C-BDF6-40E082659BD0}"/>
    <cellStyle name="Normal 2 2 2 2 90" xfId="14317" xr:uid="{18497D08-0A1D-4756-81A3-FBC9F9165A2A}"/>
    <cellStyle name="Normal 2 2 2 2 91" xfId="14318" xr:uid="{EE07E253-1005-4CE7-8CC5-122ABDC6DDD8}"/>
    <cellStyle name="Normal 2 2 2 2 92" xfId="14319" xr:uid="{21C3001E-CE60-4B8F-B2F4-EE028DB882ED}"/>
    <cellStyle name="Normal 2 2 2 2 93" xfId="14320" xr:uid="{9280CBF1-06AF-4088-B55F-F18319811503}"/>
    <cellStyle name="Normal 2 2 2 2 94" xfId="14321" xr:uid="{DEA9967A-71C1-473E-AA06-5C798447A5B7}"/>
    <cellStyle name="Normal 2 2 2 2 95" xfId="14322" xr:uid="{47473097-936E-4674-8474-0D7ACA122DE6}"/>
    <cellStyle name="Normal 2 2 2 2 96" xfId="14323" xr:uid="{8F7E1DC3-4D96-4993-AF3F-A83F849C00C0}"/>
    <cellStyle name="Normal 2 2 2 2 97" xfId="14324" xr:uid="{149B1389-2208-45B2-BB1B-07479DF2F2CD}"/>
    <cellStyle name="Normal 2 2 2 2 98" xfId="14325" xr:uid="{9C34F619-1408-424D-8BF5-D62F22D18E22}"/>
    <cellStyle name="Normal 2 2 2 2 99" xfId="14326" xr:uid="{6E6E7FA0-07C8-4FDC-A9E1-A10ADD80AF94}"/>
    <cellStyle name="Normal 2 2 2 20" xfId="14327" xr:uid="{03A70B45-814A-41CF-BC0D-40CE8E3FF491}"/>
    <cellStyle name="Normal 2 2 2 20 2" xfId="14328" xr:uid="{84E00EFB-7C9C-4D84-9BC6-25E00279AB59}"/>
    <cellStyle name="Normal 2 2 2 21" xfId="14329" xr:uid="{98F3926B-BA04-4BE0-A6BF-99241BBB9C37}"/>
    <cellStyle name="Normal 2 2 2 21 2" xfId="14330" xr:uid="{80A2AD5A-4F0C-4869-9C7B-D66E208F6594}"/>
    <cellStyle name="Normal 2 2 2 22" xfId="14331" xr:uid="{85810670-6412-4579-A153-81627DB56CD4}"/>
    <cellStyle name="Normal 2 2 2 22 2" xfId="14332" xr:uid="{4990AA42-26A0-411E-A86A-3117879D2CD7}"/>
    <cellStyle name="Normal 2 2 2 23" xfId="14333" xr:uid="{6429C24A-4DEB-408F-80EE-9CDBB0047F71}"/>
    <cellStyle name="Normal 2 2 2 23 2" xfId="14334" xr:uid="{515E0D0E-1F08-4EDA-AA0E-962671E41947}"/>
    <cellStyle name="Normal 2 2 2 24" xfId="14335" xr:uid="{D935F8E9-D555-4932-92D6-D40F27544619}"/>
    <cellStyle name="Normal 2 2 2 24 2" xfId="14336" xr:uid="{BF568C4A-7BA5-422A-953A-702DFD24A119}"/>
    <cellStyle name="Normal 2 2 2 25" xfId="14337" xr:uid="{CB9FB637-BB08-4876-912A-FC9FD93E04D2}"/>
    <cellStyle name="Normal 2 2 2 25 2" xfId="14338" xr:uid="{ECEA3FA4-D6F9-4227-94BA-592DF3C2BDB3}"/>
    <cellStyle name="Normal 2 2 2 26" xfId="14339" xr:uid="{A1467DF0-A83D-446C-ABB7-733EAE0F6E42}"/>
    <cellStyle name="Normal 2 2 2 26 2" xfId="14340" xr:uid="{870E7BA0-5744-4238-8915-D0DBA523F216}"/>
    <cellStyle name="Normal 2 2 2 27" xfId="14341" xr:uid="{35B08D44-5650-4977-A5B1-C9A7135B928D}"/>
    <cellStyle name="Normal 2 2 2 27 2" xfId="14342" xr:uid="{0CC96763-0F93-41A9-AB7A-DC3950A7C2C4}"/>
    <cellStyle name="Normal 2 2 2 28" xfId="14343" xr:uid="{7F499DE2-6F88-4194-85EE-EEEF31ED1DD5}"/>
    <cellStyle name="Normal 2 2 2 28 2" xfId="14344" xr:uid="{076DE6D7-ED96-4B1A-8267-971D455052AC}"/>
    <cellStyle name="Normal 2 2 2 28 2 2" xfId="14345" xr:uid="{B3CCDABA-1005-4CA4-80AD-D36D0D1F50DE}"/>
    <cellStyle name="Normal 2 2 2 28 2 2 2" xfId="14346" xr:uid="{E83A2194-22D6-45F5-939C-2D51DF6199C2}"/>
    <cellStyle name="Normal 2 2 2 28 3" xfId="14347" xr:uid="{52823042-5BE5-4E5B-9EBD-8444A4F7C17E}"/>
    <cellStyle name="Normal 2 2 2 28 4" xfId="14348" xr:uid="{A93025D1-8AB2-4DE7-94E6-F4AD2A612B3E}"/>
    <cellStyle name="Normal 2 2 2 28 5" xfId="14349" xr:uid="{2918E872-F89C-4CF0-BF9E-EBB681DEDA32}"/>
    <cellStyle name="Normal 2 2 2 28 6" xfId="14350" xr:uid="{FF604B48-36F2-4A84-AD62-84B64A634CDB}"/>
    <cellStyle name="Normal 2 2 2 28 7" xfId="14351" xr:uid="{7D71DB1D-D1BE-41B0-8D1E-3155E7F593CA}"/>
    <cellStyle name="Normal 2 2 2 29" xfId="14352" xr:uid="{F930DF64-039A-4D9B-8137-100A4195A290}"/>
    <cellStyle name="Normal 2 2 2 29 2" xfId="14353" xr:uid="{0835F877-424E-4989-8637-55AFA4C25692}"/>
    <cellStyle name="Normal 2 2 2 29 2 2" xfId="14354" xr:uid="{66786B1A-1495-4F8C-9A09-6ED717A4B9F0}"/>
    <cellStyle name="Normal 2 2 2 29 2 3" xfId="14355" xr:uid="{37B25067-678B-4F7B-8488-F50C338F4906}"/>
    <cellStyle name="Normal 2 2 2 29 3" xfId="14356" xr:uid="{BEAF724C-266C-427E-A9F1-FA064977F279}"/>
    <cellStyle name="Normal 2 2 2 3" xfId="14357" xr:uid="{863D6352-27DE-4517-85AF-99418382BA70}"/>
    <cellStyle name="Normal 2 2 2 3 10" xfId="14358" xr:uid="{F0EF5B1C-2869-4E1F-BC16-5948DEDE95D8}"/>
    <cellStyle name="Normal 2 2 2 3 11" xfId="14359" xr:uid="{8F12EEB4-08D6-4A0C-99D1-9FE2BFEC7ED1}"/>
    <cellStyle name="Normal 2 2 2 3 12" xfId="14360" xr:uid="{501FA1A6-D2F3-4DD5-94CE-89A5B9192457}"/>
    <cellStyle name="Normal 2 2 2 3 13" xfId="14361" xr:uid="{DE4F5A46-3D1A-4AE4-92EA-4D9C069F3C87}"/>
    <cellStyle name="Normal 2 2 2 3 14" xfId="14362" xr:uid="{0EF25384-2AC7-42DE-83A7-CD14DCF1509B}"/>
    <cellStyle name="Normal 2 2 2 3 15" xfId="14363" xr:uid="{C45ABE80-8DB3-48B6-9A92-9A1EBCCDD83D}"/>
    <cellStyle name="Normal 2 2 2 3 16" xfId="14364" xr:uid="{611754BA-B778-4C12-9171-EF2CA28A46F1}"/>
    <cellStyle name="Normal 2 2 2 3 17" xfId="14365" xr:uid="{49728C4F-23BF-49B5-A54D-78E6F3409BFD}"/>
    <cellStyle name="Normal 2 2 2 3 18" xfId="14366" xr:uid="{CBAF9082-F4C3-49C3-9826-AD1A23492D37}"/>
    <cellStyle name="Normal 2 2 2 3 2" xfId="14367" xr:uid="{E7D176F5-6B4A-42EB-989D-EC55FB994D87}"/>
    <cellStyle name="Normal 2 2 2 3 2 10" xfId="14368" xr:uid="{49AABC06-757C-4E1E-9164-4125436CFEC0}"/>
    <cellStyle name="Normal 2 2 2 3 2 11" xfId="14369" xr:uid="{7083748B-6A35-478B-B1BA-66944410A2F5}"/>
    <cellStyle name="Normal 2 2 2 3 2 12" xfId="14370" xr:uid="{7FC167A3-3BB5-4D8B-AFCE-A88C80F65989}"/>
    <cellStyle name="Normal 2 2 2 3 2 13" xfId="14371" xr:uid="{574D5DD0-2559-4F94-ADF2-1A3A1E046901}"/>
    <cellStyle name="Normal 2 2 2 3 2 14" xfId="14372" xr:uid="{25E52C3B-BC1D-4B98-A6C2-B6CE0C719F5D}"/>
    <cellStyle name="Normal 2 2 2 3 2 15" xfId="14373" xr:uid="{FA94AD47-9C7D-43C9-A64A-8B2C3465C77C}"/>
    <cellStyle name="Normal 2 2 2 3 2 16" xfId="14374" xr:uid="{52DC60A8-BAFE-47B3-AABB-A80B14D71F8A}"/>
    <cellStyle name="Normal 2 2 2 3 2 17" xfId="14375" xr:uid="{6CA7B9A7-908C-46B4-AED8-184A005EB662}"/>
    <cellStyle name="Normal 2 2 2 3 2 2" xfId="14376" xr:uid="{BC7FA81F-B308-4269-8DE5-5C784D0E3104}"/>
    <cellStyle name="Normal 2 2 2 3 2 2 2" xfId="14377" xr:uid="{CD13DEE5-AC7A-4C43-AB63-1E2571CFD91C}"/>
    <cellStyle name="Normal 2 2 2 3 2 2 2 2" xfId="14378" xr:uid="{EA520F47-54F9-4A3A-9FDB-03C56249E621}"/>
    <cellStyle name="Normal 2 2 2 3 2 2 2 3" xfId="14379" xr:uid="{B3629DC0-33E4-45D5-99F8-54798891D24D}"/>
    <cellStyle name="Normal 2 2 2 3 2 2 2 4" xfId="14380" xr:uid="{BC51C06C-310E-414E-99FB-5FD948389757}"/>
    <cellStyle name="Normal 2 2 2 3 2 2 2 5" xfId="14381" xr:uid="{FE672B53-FE91-436D-BFDC-466797E859A4}"/>
    <cellStyle name="Normal 2 2 2 3 2 2 2 6" xfId="14382" xr:uid="{02F015B5-6EB2-4D01-A7DD-6F498A30308E}"/>
    <cellStyle name="Normal 2 2 2 3 2 2 2 7" xfId="14383" xr:uid="{326B254D-F21E-4500-AADC-EB6780A655AC}"/>
    <cellStyle name="Normal 2 2 2 3 2 2 2 8" xfId="14384" xr:uid="{BF332682-0534-43E7-8AAB-857194597D17}"/>
    <cellStyle name="Normal 2 2 2 3 2 2 2 9" xfId="14385" xr:uid="{651F3000-908A-4A0F-ACBD-FE4370B7C4C0}"/>
    <cellStyle name="Normal 2 2 2 3 2 2 3" xfId="14386" xr:uid="{FB108F83-0140-4F23-84DD-18E5C753463A}"/>
    <cellStyle name="Normal 2 2 2 3 2 2 4" xfId="14387" xr:uid="{3509D84F-AC88-4504-835D-8F734731FFE0}"/>
    <cellStyle name="Normal 2 2 2 3 2 2 5" xfId="14388" xr:uid="{3294D342-3C03-4690-B1A8-F779040224C5}"/>
    <cellStyle name="Normal 2 2 2 3 2 2 6" xfId="14389" xr:uid="{A5417032-54D0-442C-95B8-519804076E6B}"/>
    <cellStyle name="Normal 2 2 2 3 2 2 7" xfId="14390" xr:uid="{72D68AB9-B97C-4CB7-9FEC-2B8398746EAB}"/>
    <cellStyle name="Normal 2 2 2 3 2 2 8" xfId="14391" xr:uid="{7213A683-D074-43E6-A00F-96BC435B24E7}"/>
    <cellStyle name="Normal 2 2 2 3 2 2 9" xfId="14392" xr:uid="{E8416D8B-AE15-4FFE-9622-EFB8F39FFA23}"/>
    <cellStyle name="Normal 2 2 2 3 2 3" xfId="14393" xr:uid="{C0290DFB-42DA-45CB-AE4E-C701304D31AD}"/>
    <cellStyle name="Normal 2 2 2 3 2 4" xfId="14394" xr:uid="{7A834616-7524-402F-B0E5-5A756048E65D}"/>
    <cellStyle name="Normal 2 2 2 3 2 5" xfId="14395" xr:uid="{F2D1DD30-C326-48B2-8782-EDEFCD79EFE6}"/>
    <cellStyle name="Normal 2 2 2 3 2 6" xfId="14396" xr:uid="{F720099A-E60A-4FCF-85F5-27A811B091F4}"/>
    <cellStyle name="Normal 2 2 2 3 2 7" xfId="14397" xr:uid="{188EE4D3-2D83-4001-AE0B-6E06EBDE567E}"/>
    <cellStyle name="Normal 2 2 2 3 2 8" xfId="14398" xr:uid="{6A83302A-D6FE-47E3-9829-254CE3F533EE}"/>
    <cellStyle name="Normal 2 2 2 3 2 9" xfId="14399" xr:uid="{15EDACC0-CD97-489C-9442-548FDF76DF58}"/>
    <cellStyle name="Normal 2 2 2 3 3" xfId="14400" xr:uid="{4629C206-6CC5-4323-8C5A-FC623DD2FEBE}"/>
    <cellStyle name="Normal 2 2 2 3 3 2" xfId="14401" xr:uid="{9192A70A-BA6E-42EA-A213-542E9F97D3F0}"/>
    <cellStyle name="Normal 2 2 2 3 3 2 2" xfId="14402" xr:uid="{0D420476-9CFA-4A8D-A0F2-348C29F7C750}"/>
    <cellStyle name="Normal 2 2 2 3 3 2 3" xfId="14403" xr:uid="{CE3EF853-D093-46F2-A486-4B791F7E6947}"/>
    <cellStyle name="Normal 2 2 2 3 3 2 4" xfId="14404" xr:uid="{689AE8EA-8D82-4DC4-B122-EA6E85F4F3FC}"/>
    <cellStyle name="Normal 2 2 2 3 3 2 5" xfId="14405" xr:uid="{3508C673-E532-4578-938E-CAC4D7FD2171}"/>
    <cellStyle name="Normal 2 2 2 3 3 2 6" xfId="14406" xr:uid="{D3414944-1C68-484E-88CD-185BC8A1A32A}"/>
    <cellStyle name="Normal 2 2 2 3 3 2 7" xfId="14407" xr:uid="{67906E8A-CC9D-4F24-9B82-3C0C2A652CC8}"/>
    <cellStyle name="Normal 2 2 2 3 3 2 8" xfId="14408" xr:uid="{D77B12F5-B2B2-46AD-A6B6-DEF14B2E39AF}"/>
    <cellStyle name="Normal 2 2 2 3 3 2 9" xfId="14409" xr:uid="{C436EC6B-CE59-43AF-AB31-952A85609635}"/>
    <cellStyle name="Normal 2 2 2 3 3 3" xfId="14410" xr:uid="{6E1BA90B-1033-46C8-8684-00615C0AA937}"/>
    <cellStyle name="Normal 2 2 2 3 3 4" xfId="14411" xr:uid="{B5A71626-2F5E-4DDF-AA8E-B49764A91B35}"/>
    <cellStyle name="Normal 2 2 2 3 3 5" xfId="14412" xr:uid="{B3318D31-6D9C-4481-B2BC-608EF1D0A513}"/>
    <cellStyle name="Normal 2 2 2 3 3 6" xfId="14413" xr:uid="{D0DA5423-A6BE-40CA-BEA1-6706CF9F0183}"/>
    <cellStyle name="Normal 2 2 2 3 3 7" xfId="14414" xr:uid="{EE9A2DB8-F5EA-40D8-8BC9-20B9064D71B3}"/>
    <cellStyle name="Normal 2 2 2 3 3 8" xfId="14415" xr:uid="{758F86E2-B803-41FB-A02D-77FE27C64E4B}"/>
    <cellStyle name="Normal 2 2 2 3 3 9" xfId="14416" xr:uid="{79DF46F7-FAA5-4F30-9ECD-CB2DCFCDBEDE}"/>
    <cellStyle name="Normal 2 2 2 3 4" xfId="14417" xr:uid="{25B5E31F-EEEE-499E-AD58-67FF5829112F}"/>
    <cellStyle name="Normal 2 2 2 3 5" xfId="14418" xr:uid="{017695F1-69C3-47D1-9B8F-C9EF4741DBFD}"/>
    <cellStyle name="Normal 2 2 2 3 6" xfId="14419" xr:uid="{390CE8AF-9B43-4702-B379-86D55504DD9A}"/>
    <cellStyle name="Normal 2 2 2 3 7" xfId="14420" xr:uid="{E8993C8C-BB25-4271-86D3-6D0DABED8EAF}"/>
    <cellStyle name="Normal 2 2 2 3 8" xfId="14421" xr:uid="{D5D733C0-AA7B-4412-B3BE-1A7E91E6EA96}"/>
    <cellStyle name="Normal 2 2 2 3 9" xfId="14422" xr:uid="{0B7EC94B-4243-48B3-AE71-3AC4C782EE57}"/>
    <cellStyle name="Normal 2 2 2 30" xfId="14423" xr:uid="{5D752C96-795E-4045-8F71-083DC9A820A5}"/>
    <cellStyle name="Normal 2 2 2 30 2" xfId="14424" xr:uid="{09EB56B8-9458-431B-9D9D-43F0ADF33202}"/>
    <cellStyle name="Normal 2 2 2 31" xfId="14425" xr:uid="{D56067A7-F7CE-4226-BAE9-93D038C91FF6}"/>
    <cellStyle name="Normal 2 2 2 31 2" xfId="14426" xr:uid="{F452744F-08D7-400C-B545-7418F9B4845D}"/>
    <cellStyle name="Normal 2 2 2 32" xfId="14427" xr:uid="{FCDEE6B2-F372-48A0-8568-9A74216BA3DD}"/>
    <cellStyle name="Normal 2 2 2 32 2" xfId="14428" xr:uid="{3A61DCF9-7601-4673-BF78-FB0DB4053E42}"/>
    <cellStyle name="Normal 2 2 2 33" xfId="14429" xr:uid="{47579F71-6C5A-4B12-9A91-BC36A1EAE84C}"/>
    <cellStyle name="Normal 2 2 2 34" xfId="14430" xr:uid="{FCC4FA9A-5EE0-4454-88FE-07068E294861}"/>
    <cellStyle name="Normal 2 2 2 35" xfId="14431" xr:uid="{551C20FC-329F-40E7-969F-7F54FEFF3C1B}"/>
    <cellStyle name="Normal 2 2 2 36" xfId="14432" xr:uid="{F05C2D9A-25EB-4FBA-B82E-63FEA3F66CFB}"/>
    <cellStyle name="Normal 2 2 2 37" xfId="14433" xr:uid="{E6E4AA67-B604-466C-A488-97B73BAB588C}"/>
    <cellStyle name="Normal 2 2 2 38" xfId="14434" xr:uid="{F5C84BA2-72AB-4CD8-BFC9-60822C0CA69D}"/>
    <cellStyle name="Normal 2 2 2 38 10" xfId="14435" xr:uid="{16164232-A632-4787-B7EF-A8C911348EDE}"/>
    <cellStyle name="Normal 2 2 2 38 11" xfId="14436" xr:uid="{35E19BD7-585A-4471-8BC3-D74611C3E20B}"/>
    <cellStyle name="Normal 2 2 2 38 11 10" xfId="14437" xr:uid="{FE9B3921-7538-4FB1-A9B5-9FC720FC34A9}"/>
    <cellStyle name="Normal 2 2 2 38 11 11" xfId="14438" xr:uid="{240143E8-2964-417D-BF21-E78C5F94F6C5}"/>
    <cellStyle name="Normal 2 2 2 38 11 11 2" xfId="14439" xr:uid="{06016257-2FDE-4EA0-AF68-128B1CDBC062}"/>
    <cellStyle name="Normal 2 2 2 38 11 11 3" xfId="14440" xr:uid="{8CFDCCFE-9E49-4CC4-B71D-C57ACED6BEC7}"/>
    <cellStyle name="Normal 2 2 2 38 11 11 4" xfId="14441" xr:uid="{B902925C-9F17-4250-9EE4-D78DF5AD53F2}"/>
    <cellStyle name="Normal 2 2 2 38 11 12" xfId="14442" xr:uid="{51C6926E-6588-480E-9A17-F4387D88EB26}"/>
    <cellStyle name="Normal 2 2 2 38 11 13" xfId="14443" xr:uid="{FFC24F21-43A7-460A-8D4C-2195D4CC67E9}"/>
    <cellStyle name="Normal 2 2 2 38 11 14" xfId="14444" xr:uid="{A279500D-392B-4251-BB9A-71250C9B7B07}"/>
    <cellStyle name="Normal 2 2 2 38 11 2" xfId="14445" xr:uid="{8B5A4DE7-6F0A-4452-9B74-6E0C00409390}"/>
    <cellStyle name="Normal 2 2 2 38 11 2 10" xfId="14446" xr:uid="{5566F25B-558F-4B19-BDAA-DA661F81E939}"/>
    <cellStyle name="Normal 2 2 2 38 11 2 11" xfId="14447" xr:uid="{42509596-A1C8-480D-B011-E1BBF3FD114E}"/>
    <cellStyle name="Normal 2 2 2 38 11 2 2" xfId="14448" xr:uid="{586FC3EE-8A2F-4482-8D8A-EEDC33154FD4}"/>
    <cellStyle name="Normal 2 2 2 38 11 2 2 10" xfId="14449" xr:uid="{7B7E0C30-DBA8-4F45-BCAD-4FF45982F6B2}"/>
    <cellStyle name="Normal 2 2 2 38 11 2 2 11" xfId="14450" xr:uid="{60FF13FA-4912-4ED4-A2BE-3EFA3BA95B9F}"/>
    <cellStyle name="Normal 2 2 2 38 11 2 2 2" xfId="14451" xr:uid="{2090A66D-0604-4489-BB76-B2F69F9B4949}"/>
    <cellStyle name="Normal 2 2 2 38 11 2 2 2 2" xfId="14452" xr:uid="{2470A8B7-6FCB-4B85-BE54-8E75C4EC3D7C}"/>
    <cellStyle name="Normal 2 2 2 38 11 2 2 2 2 2" xfId="14453" xr:uid="{E3C9CD3E-99A3-4720-BE55-AAF68AA42EE3}"/>
    <cellStyle name="Normal 2 2 2 38 11 2 2 2 2 3" xfId="14454" xr:uid="{9F636671-C911-4C02-8F5C-DA481BEC5B33}"/>
    <cellStyle name="Normal 2 2 2 38 11 2 2 2 2 4" xfId="14455" xr:uid="{F29DAF29-E957-4035-8335-9F8D044B89FA}"/>
    <cellStyle name="Normal 2 2 2 38 11 2 2 2 3" xfId="14456" xr:uid="{030FD136-BFC6-4C9C-A026-98E901EFA598}"/>
    <cellStyle name="Normal 2 2 2 38 11 2 2 2 4" xfId="14457" xr:uid="{7EC1109F-769D-4403-8EF6-EB260E175627}"/>
    <cellStyle name="Normal 2 2 2 38 11 2 2 2 5" xfId="14458" xr:uid="{3979EE43-AC08-4B32-947C-050815AA02A0}"/>
    <cellStyle name="Normal 2 2 2 38 11 2 2 2 6" xfId="14459" xr:uid="{A16BC58D-5D7B-443E-80F2-21F5E0BFADD5}"/>
    <cellStyle name="Normal 2 2 2 38 11 2 2 3" xfId="14460" xr:uid="{4D362986-695F-40B8-8FF1-AD81CE0B7B57}"/>
    <cellStyle name="Normal 2 2 2 38 11 2 2 4" xfId="14461" xr:uid="{15C241FB-206B-48B1-93DC-D0F786746347}"/>
    <cellStyle name="Normal 2 2 2 38 11 2 2 5" xfId="14462" xr:uid="{5D162E57-7A7C-4677-A9E7-029C1DE57899}"/>
    <cellStyle name="Normal 2 2 2 38 11 2 2 6" xfId="14463" xr:uid="{4074DAA5-4B14-487E-B960-494C3B589C24}"/>
    <cellStyle name="Normal 2 2 2 38 11 2 2 7" xfId="14464" xr:uid="{EF468ADE-377D-4434-ABC4-15E0614793A7}"/>
    <cellStyle name="Normal 2 2 2 38 11 2 2 8" xfId="14465" xr:uid="{FF96F658-4CFE-4597-B9AB-70386656A0AA}"/>
    <cellStyle name="Normal 2 2 2 38 11 2 2 8 2" xfId="14466" xr:uid="{30DD1FBC-BFF7-49D5-BDD2-5491E526F4E6}"/>
    <cellStyle name="Normal 2 2 2 38 11 2 2 8 3" xfId="14467" xr:uid="{AC6FE73C-03A0-41F5-BB7E-B18C000D8A4F}"/>
    <cellStyle name="Normal 2 2 2 38 11 2 2 8 4" xfId="14468" xr:uid="{66439C3C-EC35-4632-B167-6657CAA610EC}"/>
    <cellStyle name="Normal 2 2 2 38 11 2 2 9" xfId="14469" xr:uid="{94FE36DF-D3CB-4242-AE6C-172027B7911B}"/>
    <cellStyle name="Normal 2 2 2 38 11 2 3" xfId="14470" xr:uid="{B041EEF7-D90D-478F-A1D0-1DDC79739839}"/>
    <cellStyle name="Normal 2 2 2 38 11 2 3 2" xfId="14471" xr:uid="{428A4EDB-9529-4FFB-A6D6-D100E58AABD7}"/>
    <cellStyle name="Normal 2 2 2 38 11 2 3 2 2" xfId="14472" xr:uid="{FE82754B-787E-4E90-B3B6-ABF64AD6CE3C}"/>
    <cellStyle name="Normal 2 2 2 38 11 2 3 2 3" xfId="14473" xr:uid="{2C8B2E30-D928-4C38-AB89-DDBCEF36660E}"/>
    <cellStyle name="Normal 2 2 2 38 11 2 3 2 4" xfId="14474" xr:uid="{04FDE262-BE7D-4B46-A0CD-DA4D3CBEAF95}"/>
    <cellStyle name="Normal 2 2 2 38 11 2 3 3" xfId="14475" xr:uid="{16AC661D-3E79-4DA3-BB32-89954D7EFC5D}"/>
    <cellStyle name="Normal 2 2 2 38 11 2 3 4" xfId="14476" xr:uid="{5BDE07E4-2B30-47DD-A2E5-272484554D34}"/>
    <cellStyle name="Normal 2 2 2 38 11 2 3 5" xfId="14477" xr:uid="{2985BCBD-75F3-494E-A780-A245066CCA30}"/>
    <cellStyle name="Normal 2 2 2 38 11 2 3 6" xfId="14478" xr:uid="{417A5FD7-E000-41EE-ACE1-F6FAAAA2F8AB}"/>
    <cellStyle name="Normal 2 2 2 38 11 2 4" xfId="14479" xr:uid="{D780AF65-27EC-4AEC-A87C-042D50D90712}"/>
    <cellStyle name="Normal 2 2 2 38 11 2 5" xfId="14480" xr:uid="{CCDDE138-1A41-4A40-BCA8-791A009845FD}"/>
    <cellStyle name="Normal 2 2 2 38 11 2 6" xfId="14481" xr:uid="{A0788602-914B-4596-8265-8D7525231CBF}"/>
    <cellStyle name="Normal 2 2 2 38 11 2 7" xfId="14482" xr:uid="{014958B2-3974-4CB6-B921-548D1C658A08}"/>
    <cellStyle name="Normal 2 2 2 38 11 2 8" xfId="14483" xr:uid="{240BF045-091A-4DEF-98D7-2E77BD8F93BC}"/>
    <cellStyle name="Normal 2 2 2 38 11 2 8 2" xfId="14484" xr:uid="{48AE1FBD-D50D-496A-ADA6-A9CF394248E4}"/>
    <cellStyle name="Normal 2 2 2 38 11 2 8 3" xfId="14485" xr:uid="{ACDAEABF-A08B-4AC7-AC2E-657A134C6B3F}"/>
    <cellStyle name="Normal 2 2 2 38 11 2 8 4" xfId="14486" xr:uid="{30DA8FFC-8493-42DC-9AA9-00766B260288}"/>
    <cellStyle name="Normal 2 2 2 38 11 2 9" xfId="14487" xr:uid="{E1A0E8BE-35EC-49E9-BA65-4B6F570E6C55}"/>
    <cellStyle name="Normal 2 2 2 38 11 3" xfId="14488" xr:uid="{5B5AA4B9-BBA2-404E-985A-EC24F515557D}"/>
    <cellStyle name="Normal 2 2 2 38 11 4" xfId="14489" xr:uid="{D161293D-1D82-4129-90C9-E78460FF57BF}"/>
    <cellStyle name="Normal 2 2 2 38 11 5" xfId="14490" xr:uid="{D6B507D8-9491-46D6-AB71-03F0DE1333BD}"/>
    <cellStyle name="Normal 2 2 2 38 11 5 2" xfId="14491" xr:uid="{44C0B599-A603-4EDF-BBB4-C8A00332CA5D}"/>
    <cellStyle name="Normal 2 2 2 38 11 5 2 2" xfId="14492" xr:uid="{DF6FF87B-6DBD-4383-8B2D-F6BA4CAEA2CC}"/>
    <cellStyle name="Normal 2 2 2 38 11 5 2 3" xfId="14493" xr:uid="{E2EE1578-0EE0-40F8-849D-8E6E31991F56}"/>
    <cellStyle name="Normal 2 2 2 38 11 5 2 4" xfId="14494" xr:uid="{3264A28B-EC75-4D5B-8D72-265F38E9CEBE}"/>
    <cellStyle name="Normal 2 2 2 38 11 5 3" xfId="14495" xr:uid="{8A30E70F-DED0-4049-9DD7-61C94B9C94F5}"/>
    <cellStyle name="Normal 2 2 2 38 11 5 4" xfId="14496" xr:uid="{CF18D211-355D-4131-9F11-5761F9B784E6}"/>
    <cellStyle name="Normal 2 2 2 38 11 5 5" xfId="14497" xr:uid="{ACF5EC11-3F95-4210-A161-7CAF15AD9B21}"/>
    <cellStyle name="Normal 2 2 2 38 11 5 6" xfId="14498" xr:uid="{C2DB1542-4F7B-4A47-8466-55ED60E57E49}"/>
    <cellStyle name="Normal 2 2 2 38 11 6" xfId="14499" xr:uid="{A38422FD-0BBE-4ABD-958C-D6C659D9D51F}"/>
    <cellStyle name="Normal 2 2 2 38 11 7" xfId="14500" xr:uid="{35D75368-622A-413A-8474-83B9067D339F}"/>
    <cellStyle name="Normal 2 2 2 38 11 8" xfId="14501" xr:uid="{25985B1E-7F0E-4026-AB9A-6C112B469D25}"/>
    <cellStyle name="Normal 2 2 2 38 11 9" xfId="14502" xr:uid="{46B34E69-C5EE-41E4-ACE9-32DD95954F7D}"/>
    <cellStyle name="Normal 2 2 2 38 12" xfId="14503" xr:uid="{643C2E0A-5A93-4DF6-A359-1AD070539430}"/>
    <cellStyle name="Normal 2 2 2 38 13" xfId="14504" xr:uid="{3462ABED-BA70-4641-AE44-5D1A80FE2816}"/>
    <cellStyle name="Normal 2 2 2 38 13 10" xfId="14505" xr:uid="{E923FB17-A79F-47A0-81D5-3B45013E3A52}"/>
    <cellStyle name="Normal 2 2 2 38 13 11" xfId="14506" xr:uid="{7F256A3E-DB5E-4528-B700-B406F016D985}"/>
    <cellStyle name="Normal 2 2 2 38 13 2" xfId="14507" xr:uid="{3F4D38F2-D3D8-47B0-9F54-F90A760A6457}"/>
    <cellStyle name="Normal 2 2 2 38 13 2 10" xfId="14508" xr:uid="{0402AFB1-FD6F-4E73-9D28-5EEAE9352717}"/>
    <cellStyle name="Normal 2 2 2 38 13 2 11" xfId="14509" xr:uid="{0E7BF4EC-BB23-4DCD-AE69-FED946CC87B9}"/>
    <cellStyle name="Normal 2 2 2 38 13 2 2" xfId="14510" xr:uid="{779DC640-871F-47CB-BE7F-F3E4700792FC}"/>
    <cellStyle name="Normal 2 2 2 38 13 2 2 2" xfId="14511" xr:uid="{D1CD4D97-E405-4275-8807-9EEC16C74B04}"/>
    <cellStyle name="Normal 2 2 2 38 13 2 2 2 2" xfId="14512" xr:uid="{8F6AED98-BBA6-43EA-A50C-AE0241BE033E}"/>
    <cellStyle name="Normal 2 2 2 38 13 2 2 2 3" xfId="14513" xr:uid="{17440842-A5F2-4232-B3F3-05C377A13F2B}"/>
    <cellStyle name="Normal 2 2 2 38 13 2 2 2 4" xfId="14514" xr:uid="{A3E2E865-8058-4B55-A40A-5A233ECEAB6D}"/>
    <cellStyle name="Normal 2 2 2 38 13 2 2 3" xfId="14515" xr:uid="{805E7E07-08A3-401C-94EF-E5E6F5B67BFF}"/>
    <cellStyle name="Normal 2 2 2 38 13 2 2 4" xfId="14516" xr:uid="{07F0B522-CB95-4D55-BE8C-2FCC016DE7AF}"/>
    <cellStyle name="Normal 2 2 2 38 13 2 2 5" xfId="14517" xr:uid="{6B12A4B5-FEBC-493A-987B-EED401457CAF}"/>
    <cellStyle name="Normal 2 2 2 38 13 2 2 6" xfId="14518" xr:uid="{8A2EFD70-B4C8-493E-BE7A-71A58A40EFC4}"/>
    <cellStyle name="Normal 2 2 2 38 13 2 3" xfId="14519" xr:uid="{C73FC641-9C26-43A1-8E8B-18BE8061E158}"/>
    <cellStyle name="Normal 2 2 2 38 13 2 4" xfId="14520" xr:uid="{D62FF3EE-A075-4CC0-95F2-3AE012555A7B}"/>
    <cellStyle name="Normal 2 2 2 38 13 2 5" xfId="14521" xr:uid="{7F6AFD5A-8F55-4425-AA49-B0242D28E574}"/>
    <cellStyle name="Normal 2 2 2 38 13 2 6" xfId="14522" xr:uid="{BBD41BD5-9C6E-4E67-A6B9-38A108FE39CF}"/>
    <cellStyle name="Normal 2 2 2 38 13 2 7" xfId="14523" xr:uid="{C4B45D28-B612-4B40-A938-DBB5C291CB6F}"/>
    <cellStyle name="Normal 2 2 2 38 13 2 8" xfId="14524" xr:uid="{9D60CD80-8B59-4F99-B520-3DA403F17889}"/>
    <cellStyle name="Normal 2 2 2 38 13 2 8 2" xfId="14525" xr:uid="{7E56FF3A-B320-4C59-9DA5-7FDCCD65E5FF}"/>
    <cellStyle name="Normal 2 2 2 38 13 2 8 3" xfId="14526" xr:uid="{465A9E34-213D-4233-889F-05AA7E3B3B7B}"/>
    <cellStyle name="Normal 2 2 2 38 13 2 8 4" xfId="14527" xr:uid="{FB1BA664-ADD6-4DFE-BC9E-6F5C22A513EA}"/>
    <cellStyle name="Normal 2 2 2 38 13 2 9" xfId="14528" xr:uid="{A3094CC9-9F72-446E-A5B8-DEE917C6E446}"/>
    <cellStyle name="Normal 2 2 2 38 13 3" xfId="14529" xr:uid="{199D8003-FDCB-48F7-B959-91F02B1237E1}"/>
    <cellStyle name="Normal 2 2 2 38 13 3 2" xfId="14530" xr:uid="{5BA4C26C-2601-454D-9E42-42FFB42CF2B0}"/>
    <cellStyle name="Normal 2 2 2 38 13 3 2 2" xfId="14531" xr:uid="{63101C6F-4C5F-4569-82D3-070F784F9C37}"/>
    <cellStyle name="Normal 2 2 2 38 13 3 2 3" xfId="14532" xr:uid="{2DA7D1B1-3EB5-4562-AC18-8E189901EE4B}"/>
    <cellStyle name="Normal 2 2 2 38 13 3 2 4" xfId="14533" xr:uid="{87CB116A-627C-4BAD-8476-873583B4F8C3}"/>
    <cellStyle name="Normal 2 2 2 38 13 3 3" xfId="14534" xr:uid="{EE97FAB7-AA26-4EF8-8691-0FA993F36D16}"/>
    <cellStyle name="Normal 2 2 2 38 13 3 4" xfId="14535" xr:uid="{91AE4904-1587-4E09-BDB3-3AB8DB965E5B}"/>
    <cellStyle name="Normal 2 2 2 38 13 3 5" xfId="14536" xr:uid="{3A5DAFF4-AD20-4080-B3A5-F620CE0212C6}"/>
    <cellStyle name="Normal 2 2 2 38 13 3 6" xfId="14537" xr:uid="{33FB6035-2101-40E3-9946-DBC4F8B321D9}"/>
    <cellStyle name="Normal 2 2 2 38 13 4" xfId="14538" xr:uid="{5C78FEF1-7946-464C-A99A-B5C988E20ACE}"/>
    <cellStyle name="Normal 2 2 2 38 13 5" xfId="14539" xr:uid="{9358D1BA-3FBE-4FE1-9172-A1A3B7581C06}"/>
    <cellStyle name="Normal 2 2 2 38 13 6" xfId="14540" xr:uid="{DC45CBC7-EF79-42AC-A1FF-FF6DBBA05ACC}"/>
    <cellStyle name="Normal 2 2 2 38 13 7" xfId="14541" xr:uid="{95189109-5850-401E-9217-8A9E81F98DED}"/>
    <cellStyle name="Normal 2 2 2 38 13 8" xfId="14542" xr:uid="{F7037B8E-55C8-403E-81D9-A3E7C589D498}"/>
    <cellStyle name="Normal 2 2 2 38 13 8 2" xfId="14543" xr:uid="{DA01719B-CCA8-43F1-9AB9-FEBAD00FFA59}"/>
    <cellStyle name="Normal 2 2 2 38 13 8 3" xfId="14544" xr:uid="{052C298E-74B4-4C38-BA4C-DD9B319CA30B}"/>
    <cellStyle name="Normal 2 2 2 38 13 8 4" xfId="14545" xr:uid="{EF443388-933D-42A6-8465-B5C55544CF15}"/>
    <cellStyle name="Normal 2 2 2 38 13 9" xfId="14546" xr:uid="{576F1879-31BF-49C5-BA26-67DC93409AAE}"/>
    <cellStyle name="Normal 2 2 2 38 14" xfId="14547" xr:uid="{1684F64C-90FC-40BB-AA63-6DB459486B54}"/>
    <cellStyle name="Normal 2 2 2 38 15" xfId="14548" xr:uid="{9434B466-B562-4AFB-BB37-89BFF51E21DE}"/>
    <cellStyle name="Normal 2 2 2 38 15 2" xfId="14549" xr:uid="{0767F709-C156-4C09-AD09-D3207F9D52DA}"/>
    <cellStyle name="Normal 2 2 2 38 15 2 2" xfId="14550" xr:uid="{F52EF4FC-66D7-4245-83B7-909009947EF8}"/>
    <cellStyle name="Normal 2 2 2 38 15 2 3" xfId="14551" xr:uid="{61C77F57-1CFF-48FE-B998-377908181FDE}"/>
    <cellStyle name="Normal 2 2 2 38 15 2 4" xfId="14552" xr:uid="{5BCF41F5-4318-4767-926D-5B485D996A13}"/>
    <cellStyle name="Normal 2 2 2 38 15 3" xfId="14553" xr:uid="{9F85732F-988B-4F09-8757-716C14C89368}"/>
    <cellStyle name="Normal 2 2 2 38 15 4" xfId="14554" xr:uid="{9DEE3CBF-CF61-46EE-A957-338C68546077}"/>
    <cellStyle name="Normal 2 2 2 38 15 5" xfId="14555" xr:uid="{48256F00-3B15-43CB-9537-96280B79CC21}"/>
    <cellStyle name="Normal 2 2 2 38 15 6" xfId="14556" xr:uid="{5D0989EA-0339-4CC6-9E81-25812148320D}"/>
    <cellStyle name="Normal 2 2 2 38 16" xfId="14557" xr:uid="{F753458A-9F66-4F0D-9809-50EC6FD00C7D}"/>
    <cellStyle name="Normal 2 2 2 38 17" xfId="14558" xr:uid="{AABBF932-4DB5-4C31-BADE-60657278C5E6}"/>
    <cellStyle name="Normal 2 2 2 38 18" xfId="14559" xr:uid="{91C549B7-BF92-49EA-8D5D-14844840111A}"/>
    <cellStyle name="Normal 2 2 2 38 19" xfId="14560" xr:uid="{45738E59-BDF1-498E-B0C3-7BA248F85759}"/>
    <cellStyle name="Normal 2 2 2 38 2" xfId="14561" xr:uid="{4A7E646D-A002-488D-9C89-44EBEBE6A407}"/>
    <cellStyle name="Normal 2 2 2 38 2 10" xfId="14562" xr:uid="{E2172398-D97C-4891-9A80-8037A51EB107}"/>
    <cellStyle name="Normal 2 2 2 38 2 11" xfId="14563" xr:uid="{8B5BF213-D615-4A64-A825-D62EC92E3BD5}"/>
    <cellStyle name="Normal 2 2 2 38 2 12" xfId="14564" xr:uid="{FE0CE214-1BD7-4E5A-B3A7-7E4D63235640}"/>
    <cellStyle name="Normal 2 2 2 38 2 13" xfId="14565" xr:uid="{C03CC75F-66BD-46AD-89D5-80875F2E50FD}"/>
    <cellStyle name="Normal 2 2 2 38 2 13 2" xfId="14566" xr:uid="{67476B7E-C66E-4B7B-9F11-78768DF69B6B}"/>
    <cellStyle name="Normal 2 2 2 38 2 13 3" xfId="14567" xr:uid="{3DD2B839-07FF-4C2B-ACE1-D63B0E0910D7}"/>
    <cellStyle name="Normal 2 2 2 38 2 13 4" xfId="14568" xr:uid="{04AF3BAD-2F5A-49F6-BB2F-EB0FB3F28712}"/>
    <cellStyle name="Normal 2 2 2 38 2 14" xfId="14569" xr:uid="{299FEDCF-13BF-44F1-9D46-623A302DD9CC}"/>
    <cellStyle name="Normal 2 2 2 38 2 15" xfId="14570" xr:uid="{064179A8-1AAC-4A38-A725-F0396B9F2404}"/>
    <cellStyle name="Normal 2 2 2 38 2 16" xfId="14571" xr:uid="{B91B9280-E169-4837-844E-CBEAE9ACA8A1}"/>
    <cellStyle name="Normal 2 2 2 38 2 2" xfId="14572" xr:uid="{DE236AC6-D6B6-4FC7-9B3D-F97612C56F32}"/>
    <cellStyle name="Normal 2 2 2 38 2 2 10" xfId="14573" xr:uid="{8D822E2F-F9AE-4B37-8167-BA2D5CD4BAF4}"/>
    <cellStyle name="Normal 2 2 2 38 2 2 11" xfId="14574" xr:uid="{82C7A097-629F-4A6A-8332-8C3E35445F59}"/>
    <cellStyle name="Normal 2 2 2 38 2 2 11 2" xfId="14575" xr:uid="{819AF6C3-F8B6-4EA3-911F-5FA61F0612E5}"/>
    <cellStyle name="Normal 2 2 2 38 2 2 11 3" xfId="14576" xr:uid="{0A14BA59-FAB8-4896-8C21-5ADAABF31F2A}"/>
    <cellStyle name="Normal 2 2 2 38 2 2 11 4" xfId="14577" xr:uid="{26B8E662-EDDA-42BA-AA5D-E311A40AB45E}"/>
    <cellStyle name="Normal 2 2 2 38 2 2 12" xfId="14578" xr:uid="{2023F5BA-6E39-49E0-97E0-B5146E29ADAA}"/>
    <cellStyle name="Normal 2 2 2 38 2 2 13" xfId="14579" xr:uid="{C8971468-2C8C-4D44-8C13-0134BF7E1613}"/>
    <cellStyle name="Normal 2 2 2 38 2 2 14" xfId="14580" xr:uid="{ED2DDEBD-E3AF-4076-A24A-4BB73843D77E}"/>
    <cellStyle name="Normal 2 2 2 38 2 2 2" xfId="14581" xr:uid="{C7E293E9-FE1B-42BC-B3E4-60E0F3B38E1E}"/>
    <cellStyle name="Normal 2 2 2 38 2 2 2 10" xfId="14582" xr:uid="{DA7B84AC-704B-4FD1-91F6-58A982954207}"/>
    <cellStyle name="Normal 2 2 2 38 2 2 2 11" xfId="14583" xr:uid="{917105B4-0662-47F4-AEE1-C9815231BAF7}"/>
    <cellStyle name="Normal 2 2 2 38 2 2 2 2" xfId="14584" xr:uid="{7EA7BE71-AF9C-47B1-8EFE-8A9554510AEB}"/>
    <cellStyle name="Normal 2 2 2 38 2 2 2 2 10" xfId="14585" xr:uid="{746157DF-7240-48B3-B229-3D8EBA8336E9}"/>
    <cellStyle name="Normal 2 2 2 38 2 2 2 2 11" xfId="14586" xr:uid="{B2E69DC6-0C6B-4D8C-BFBB-A049550810FB}"/>
    <cellStyle name="Normal 2 2 2 38 2 2 2 2 2" xfId="14587" xr:uid="{82E656A6-27D7-4C72-98C6-B31FA2EC0E15}"/>
    <cellStyle name="Normal 2 2 2 38 2 2 2 2 2 2" xfId="14588" xr:uid="{72F9B65C-2481-4C9E-8E01-5C6001B234F9}"/>
    <cellStyle name="Normal 2 2 2 38 2 2 2 2 2 2 2" xfId="14589" xr:uid="{5B388ED4-A7A3-41D2-BE85-7DA21C68DED2}"/>
    <cellStyle name="Normal 2 2 2 38 2 2 2 2 2 2 3" xfId="14590" xr:uid="{FBCDA895-7087-452D-9983-76C832A20B1C}"/>
    <cellStyle name="Normal 2 2 2 38 2 2 2 2 2 2 4" xfId="14591" xr:uid="{D0AF269B-5580-4201-9D3F-7177992FF696}"/>
    <cellStyle name="Normal 2 2 2 38 2 2 2 2 2 3" xfId="14592" xr:uid="{CF01D107-A308-45C2-A1AF-5202358B6C81}"/>
    <cellStyle name="Normal 2 2 2 38 2 2 2 2 2 4" xfId="14593" xr:uid="{DAE0E50C-24E2-492E-81FF-1659EF9D912A}"/>
    <cellStyle name="Normal 2 2 2 38 2 2 2 2 2 5" xfId="14594" xr:uid="{A448595F-3A0F-4B51-A535-379D486D65D7}"/>
    <cellStyle name="Normal 2 2 2 38 2 2 2 2 2 6" xfId="14595" xr:uid="{CCE2F347-885B-4783-8765-4D23313E4E0E}"/>
    <cellStyle name="Normal 2 2 2 38 2 2 2 2 3" xfId="14596" xr:uid="{D856CBA3-A42E-4AAC-9530-5D4A8114CA37}"/>
    <cellStyle name="Normal 2 2 2 38 2 2 2 2 4" xfId="14597" xr:uid="{6B49D100-573E-4F38-8A05-0B01787CBC94}"/>
    <cellStyle name="Normal 2 2 2 38 2 2 2 2 5" xfId="14598" xr:uid="{01C69092-0FDF-4AA5-939E-932D60E60D91}"/>
    <cellStyle name="Normal 2 2 2 38 2 2 2 2 6" xfId="14599" xr:uid="{CEC08DD9-74F5-47DA-A970-F8AC4DFDDBCC}"/>
    <cellStyle name="Normal 2 2 2 38 2 2 2 2 7" xfId="14600" xr:uid="{B864AA1A-FF99-45B9-9387-821B118528A3}"/>
    <cellStyle name="Normal 2 2 2 38 2 2 2 2 8" xfId="14601" xr:uid="{33780D9E-F5E4-48F4-825E-34146BEC0319}"/>
    <cellStyle name="Normal 2 2 2 38 2 2 2 2 8 2" xfId="14602" xr:uid="{EC0B172A-9975-4025-A36B-D6908BD6A415}"/>
    <cellStyle name="Normal 2 2 2 38 2 2 2 2 8 3" xfId="14603" xr:uid="{9036F78C-A382-441F-ABAB-D9585ED82BCE}"/>
    <cellStyle name="Normal 2 2 2 38 2 2 2 2 8 4" xfId="14604" xr:uid="{DD822FE9-A4D5-45B6-9DEB-D1BA0156A7A0}"/>
    <cellStyle name="Normal 2 2 2 38 2 2 2 2 9" xfId="14605" xr:uid="{FC9DC91A-6B32-4E38-8421-91A2C6875A51}"/>
    <cellStyle name="Normal 2 2 2 38 2 2 2 3" xfId="14606" xr:uid="{41CF2B09-5AE8-4B78-91AB-C8E946F8001A}"/>
    <cellStyle name="Normal 2 2 2 38 2 2 2 3 2" xfId="14607" xr:uid="{836CE1E2-DEA9-4DE4-95D5-96684F82D02C}"/>
    <cellStyle name="Normal 2 2 2 38 2 2 2 3 2 2" xfId="14608" xr:uid="{59A8D64F-7764-455C-85EF-E29F348D0493}"/>
    <cellStyle name="Normal 2 2 2 38 2 2 2 3 2 3" xfId="14609" xr:uid="{DFCF077E-D263-4C48-A6A6-6E1E5AD5ABD7}"/>
    <cellStyle name="Normal 2 2 2 38 2 2 2 3 2 4" xfId="14610" xr:uid="{EA9A7EA0-8E02-48E6-862B-2CE448DDC638}"/>
    <cellStyle name="Normal 2 2 2 38 2 2 2 3 3" xfId="14611" xr:uid="{73BA8110-3EF9-484F-9135-EDB6C16FFC76}"/>
    <cellStyle name="Normal 2 2 2 38 2 2 2 3 4" xfId="14612" xr:uid="{ACB1672A-37D0-49A9-88B8-46CA48D5BC7D}"/>
    <cellStyle name="Normal 2 2 2 38 2 2 2 3 5" xfId="14613" xr:uid="{94024021-0558-4471-80FB-7374D8052B37}"/>
    <cellStyle name="Normal 2 2 2 38 2 2 2 3 6" xfId="14614" xr:uid="{BB845FC7-8D4D-4F7C-8251-36F2CCF3F64B}"/>
    <cellStyle name="Normal 2 2 2 38 2 2 2 4" xfId="14615" xr:uid="{2BA6D0E9-C271-4215-A0E3-B4ED0BF0CE63}"/>
    <cellStyle name="Normal 2 2 2 38 2 2 2 5" xfId="14616" xr:uid="{D6BE18C1-933D-4B33-8B3C-30FDA25D655D}"/>
    <cellStyle name="Normal 2 2 2 38 2 2 2 6" xfId="14617" xr:uid="{5F3AAA94-EE52-4B6A-9779-A0169CAC4761}"/>
    <cellStyle name="Normal 2 2 2 38 2 2 2 7" xfId="14618" xr:uid="{3F5DA24C-957C-4A8A-89E4-B6371338AF26}"/>
    <cellStyle name="Normal 2 2 2 38 2 2 2 8" xfId="14619" xr:uid="{535861EE-29B7-4E6D-BEF3-86395D5666AE}"/>
    <cellStyle name="Normal 2 2 2 38 2 2 2 8 2" xfId="14620" xr:uid="{0BD6B1AF-22C0-483D-947D-0D805372F028}"/>
    <cellStyle name="Normal 2 2 2 38 2 2 2 8 3" xfId="14621" xr:uid="{C953F2DA-6816-4607-BBD1-8A2660CDC5A2}"/>
    <cellStyle name="Normal 2 2 2 38 2 2 2 8 4" xfId="14622" xr:uid="{58EC9D43-32EF-4B04-8859-DDA209B3AEDF}"/>
    <cellStyle name="Normal 2 2 2 38 2 2 2 9" xfId="14623" xr:uid="{3B1F8490-D10D-4D81-8CC8-7CACCF1C8A6C}"/>
    <cellStyle name="Normal 2 2 2 38 2 2 3" xfId="14624" xr:uid="{6D1749F9-C134-44D1-9589-1242558AFDF7}"/>
    <cellStyle name="Normal 2 2 2 38 2 2 4" xfId="14625" xr:uid="{C89919BC-5FA1-44AE-B79F-EE8F080D032C}"/>
    <cellStyle name="Normal 2 2 2 38 2 2 5" xfId="14626" xr:uid="{832EC0F0-8BAD-4338-9B3D-C884B794A339}"/>
    <cellStyle name="Normal 2 2 2 38 2 2 5 2" xfId="14627" xr:uid="{ECF6162D-BB02-446B-B41F-533E9368126C}"/>
    <cellStyle name="Normal 2 2 2 38 2 2 5 2 2" xfId="14628" xr:uid="{18E2DF03-28C5-48F0-A4F8-5922D2DA3EB5}"/>
    <cellStyle name="Normal 2 2 2 38 2 2 5 2 3" xfId="14629" xr:uid="{424A5B28-B31E-440C-900E-429C4313A708}"/>
    <cellStyle name="Normal 2 2 2 38 2 2 5 2 4" xfId="14630" xr:uid="{03B532CA-394F-436C-B4B2-8331E57150C9}"/>
    <cellStyle name="Normal 2 2 2 38 2 2 5 3" xfId="14631" xr:uid="{BA5815CC-BC8F-4DDB-81B1-2CE2CD8137EC}"/>
    <cellStyle name="Normal 2 2 2 38 2 2 5 4" xfId="14632" xr:uid="{0EEF210B-5627-4175-AB88-4F2C375AEE80}"/>
    <cellStyle name="Normal 2 2 2 38 2 2 5 5" xfId="14633" xr:uid="{78B87EF9-EF29-4C91-AB1A-0ED16F5A0781}"/>
    <cellStyle name="Normal 2 2 2 38 2 2 5 6" xfId="14634" xr:uid="{DF2675E9-F7A1-45B1-A5A6-820AD0612102}"/>
    <cellStyle name="Normal 2 2 2 38 2 2 6" xfId="14635" xr:uid="{F42F0342-502D-4C0F-9F6F-3011B867649C}"/>
    <cellStyle name="Normal 2 2 2 38 2 2 7" xfId="14636" xr:uid="{AFF18BA7-98C6-461C-9689-E93C135F04BE}"/>
    <cellStyle name="Normal 2 2 2 38 2 2 8" xfId="14637" xr:uid="{09DC273E-13ED-4748-9B87-E71AA15511A0}"/>
    <cellStyle name="Normal 2 2 2 38 2 2 9" xfId="14638" xr:uid="{046A2083-1FE8-4D4D-8693-5B0A563D49E5}"/>
    <cellStyle name="Normal 2 2 2 38 2 3" xfId="14639" xr:uid="{C65F71A1-E2DD-4C24-921A-446524C07AB2}"/>
    <cellStyle name="Normal 2 2 2 38 2 4" xfId="14640" xr:uid="{9FD8BCFA-73AB-4B6B-A2E0-6FDE2F805C5E}"/>
    <cellStyle name="Normal 2 2 2 38 2 5" xfId="14641" xr:uid="{842E996F-68C2-4792-9E14-DF23FD6B56C4}"/>
    <cellStyle name="Normal 2 2 2 38 2 5 10" xfId="14642" xr:uid="{B0615C98-FB44-41EA-9C06-0137FEB68F1B}"/>
    <cellStyle name="Normal 2 2 2 38 2 5 11" xfId="14643" xr:uid="{791CD81D-3D51-4946-A793-94499D15B673}"/>
    <cellStyle name="Normal 2 2 2 38 2 5 2" xfId="14644" xr:uid="{E78CE555-52DD-440E-8BDB-D10B3EC110A5}"/>
    <cellStyle name="Normal 2 2 2 38 2 5 2 10" xfId="14645" xr:uid="{77BE1A17-CAFD-40E0-8FE7-3D245CAFC31E}"/>
    <cellStyle name="Normal 2 2 2 38 2 5 2 11" xfId="14646" xr:uid="{F4D53A58-914A-44CF-BFCB-F6F94ECB96DA}"/>
    <cellStyle name="Normal 2 2 2 38 2 5 2 2" xfId="14647" xr:uid="{2C65A186-C7AB-4573-A520-47CBE9410545}"/>
    <cellStyle name="Normal 2 2 2 38 2 5 2 2 2" xfId="14648" xr:uid="{7DCD8317-8158-4C61-84CA-7E3B7FC894A7}"/>
    <cellStyle name="Normal 2 2 2 38 2 5 2 2 2 2" xfId="14649" xr:uid="{97B1D637-C507-40ED-B52C-400A744276AE}"/>
    <cellStyle name="Normal 2 2 2 38 2 5 2 2 2 3" xfId="14650" xr:uid="{9650C6D2-E16C-479E-8395-E63F52D70291}"/>
    <cellStyle name="Normal 2 2 2 38 2 5 2 2 2 4" xfId="14651" xr:uid="{9B207C52-B37A-41B3-8A96-68042C2CA201}"/>
    <cellStyle name="Normal 2 2 2 38 2 5 2 2 3" xfId="14652" xr:uid="{1C73B12F-9BCF-4479-A229-9F634E0389A3}"/>
    <cellStyle name="Normal 2 2 2 38 2 5 2 2 4" xfId="14653" xr:uid="{F698781E-D6B7-4AFF-942D-4846DDEE4540}"/>
    <cellStyle name="Normal 2 2 2 38 2 5 2 2 5" xfId="14654" xr:uid="{757A4897-9551-4C2B-A478-F4C4C1E47BB3}"/>
    <cellStyle name="Normal 2 2 2 38 2 5 2 2 6" xfId="14655" xr:uid="{A4AB4AFD-FC47-4BEF-B59F-A0345E75D989}"/>
    <cellStyle name="Normal 2 2 2 38 2 5 2 3" xfId="14656" xr:uid="{DF7E44E8-BC1B-4BF4-8D89-4753CADC758E}"/>
    <cellStyle name="Normal 2 2 2 38 2 5 2 4" xfId="14657" xr:uid="{89F9BC1E-E28A-4ED8-AB35-76039007136C}"/>
    <cellStyle name="Normal 2 2 2 38 2 5 2 5" xfId="14658" xr:uid="{88B374C9-97F6-4B06-AF3C-E106158B7099}"/>
    <cellStyle name="Normal 2 2 2 38 2 5 2 6" xfId="14659" xr:uid="{25C9E235-1A03-4785-82B0-8B9366D47F17}"/>
    <cellStyle name="Normal 2 2 2 38 2 5 2 7" xfId="14660" xr:uid="{5901F39C-2147-41F4-BC7C-3ABAB85B1360}"/>
    <cellStyle name="Normal 2 2 2 38 2 5 2 8" xfId="14661" xr:uid="{080A29DA-6A02-4462-9391-ED9A10C887D6}"/>
    <cellStyle name="Normal 2 2 2 38 2 5 2 8 2" xfId="14662" xr:uid="{BE4E1C63-28E2-448F-96DE-52CD98BEEC81}"/>
    <cellStyle name="Normal 2 2 2 38 2 5 2 8 3" xfId="14663" xr:uid="{B4EFDFD2-B858-43C6-AC9C-662D3241BC46}"/>
    <cellStyle name="Normal 2 2 2 38 2 5 2 8 4" xfId="14664" xr:uid="{A9E61FD7-DA97-4731-9A52-DD3CAACBA492}"/>
    <cellStyle name="Normal 2 2 2 38 2 5 2 9" xfId="14665" xr:uid="{9B959DB9-84C7-4CEA-9A71-827246AE09E6}"/>
    <cellStyle name="Normal 2 2 2 38 2 5 3" xfId="14666" xr:uid="{09433F5C-7AC9-4670-95C2-319DC39E929C}"/>
    <cellStyle name="Normal 2 2 2 38 2 5 3 2" xfId="14667" xr:uid="{2BD728F8-E3F9-4B77-BD48-8BF3511BDAD2}"/>
    <cellStyle name="Normal 2 2 2 38 2 5 3 2 2" xfId="14668" xr:uid="{D1D1B5A4-CEAE-48E3-8157-43CB17BEC05F}"/>
    <cellStyle name="Normal 2 2 2 38 2 5 3 2 3" xfId="14669" xr:uid="{67E32517-6892-4487-A029-612957934AFB}"/>
    <cellStyle name="Normal 2 2 2 38 2 5 3 2 4" xfId="14670" xr:uid="{65DEF47A-C34E-4BDF-89FF-5D3C93567447}"/>
    <cellStyle name="Normal 2 2 2 38 2 5 3 3" xfId="14671" xr:uid="{890782FA-9822-4AC8-8BF6-E962C344243C}"/>
    <cellStyle name="Normal 2 2 2 38 2 5 3 4" xfId="14672" xr:uid="{6862F715-C9FF-47A9-821E-5912B8B38A40}"/>
    <cellStyle name="Normal 2 2 2 38 2 5 3 5" xfId="14673" xr:uid="{562A9826-1AE2-4DB9-8B42-DE187C46EA9D}"/>
    <cellStyle name="Normal 2 2 2 38 2 5 3 6" xfId="14674" xr:uid="{436483D2-C5F8-416E-A4C6-BBDE67550118}"/>
    <cellStyle name="Normal 2 2 2 38 2 5 4" xfId="14675" xr:uid="{7520F272-04FC-4BEA-B866-D929C929BD3C}"/>
    <cellStyle name="Normal 2 2 2 38 2 5 5" xfId="14676" xr:uid="{A1E3709E-E0E6-40B4-954A-99C0D29A80F2}"/>
    <cellStyle name="Normal 2 2 2 38 2 5 6" xfId="14677" xr:uid="{BB753101-B476-4224-B06A-EB655159F51B}"/>
    <cellStyle name="Normal 2 2 2 38 2 5 7" xfId="14678" xr:uid="{46B1806E-E687-4DEE-97AD-0D33D36A9394}"/>
    <cellStyle name="Normal 2 2 2 38 2 5 8" xfId="14679" xr:uid="{A2E6B8F6-4BF2-4493-8267-B3B3AF413D67}"/>
    <cellStyle name="Normal 2 2 2 38 2 5 8 2" xfId="14680" xr:uid="{132222F5-FA58-4D03-8B76-F203B020E028}"/>
    <cellStyle name="Normal 2 2 2 38 2 5 8 3" xfId="14681" xr:uid="{2F37BB45-169B-45A8-83C0-8A2F95F54402}"/>
    <cellStyle name="Normal 2 2 2 38 2 5 8 4" xfId="14682" xr:uid="{F16D7FF7-59BF-43F4-83BC-90F284EEAA31}"/>
    <cellStyle name="Normal 2 2 2 38 2 5 9" xfId="14683" xr:uid="{CD20D9F4-71BF-4E63-BEE8-83394CEF8EFE}"/>
    <cellStyle name="Normal 2 2 2 38 2 6" xfId="14684" xr:uid="{1EC57830-96A3-47C9-8FA7-AE75BBEA8532}"/>
    <cellStyle name="Normal 2 2 2 38 2 7" xfId="14685" xr:uid="{49FF1654-40C7-4DCA-BAFC-5E6A656EB378}"/>
    <cellStyle name="Normal 2 2 2 38 2 7 2" xfId="14686" xr:uid="{00C272CB-0924-4563-93BC-4A691F6AEDAB}"/>
    <cellStyle name="Normal 2 2 2 38 2 7 2 2" xfId="14687" xr:uid="{4538329B-F517-47B8-9D10-7B7417625FF8}"/>
    <cellStyle name="Normal 2 2 2 38 2 7 2 3" xfId="14688" xr:uid="{1BDC8B92-E717-4710-BE24-24D20A72C11A}"/>
    <cellStyle name="Normal 2 2 2 38 2 7 2 4" xfId="14689" xr:uid="{D1F10389-FDF2-4636-B3B0-11E70E660AD6}"/>
    <cellStyle name="Normal 2 2 2 38 2 7 3" xfId="14690" xr:uid="{833920AE-D4C4-4BB1-BFC8-0D52D6BAE84E}"/>
    <cellStyle name="Normal 2 2 2 38 2 7 4" xfId="14691" xr:uid="{C5838441-757E-4F99-BCC2-8A541D773DF1}"/>
    <cellStyle name="Normal 2 2 2 38 2 7 5" xfId="14692" xr:uid="{3D096F1B-0839-498A-BCE8-EFC880ABD477}"/>
    <cellStyle name="Normal 2 2 2 38 2 7 6" xfId="14693" xr:uid="{A7ADCD3A-AC7C-456B-A35F-A9256E967E48}"/>
    <cellStyle name="Normal 2 2 2 38 2 8" xfId="14694" xr:uid="{77B2C615-4519-4500-A5A6-696FAC266B9D}"/>
    <cellStyle name="Normal 2 2 2 38 2 9" xfId="14695" xr:uid="{C7CFD52D-9986-4968-97CA-CB12A04FFE17}"/>
    <cellStyle name="Normal 2 2 2 38 20" xfId="14696" xr:uid="{4E4CE849-5C7A-4110-BA54-DB41B48A6F62}"/>
    <cellStyle name="Normal 2 2 2 38 21" xfId="14697" xr:uid="{8FF1002D-991E-40F1-A98D-028BE89001EE}"/>
    <cellStyle name="Normal 2 2 2 38 21 2" xfId="14698" xr:uid="{55EC70B2-9370-47CC-8D01-AEAFFB441021}"/>
    <cellStyle name="Normal 2 2 2 38 21 3" xfId="14699" xr:uid="{B2AAA0D5-C33B-4DBF-AC79-A71831782596}"/>
    <cellStyle name="Normal 2 2 2 38 21 4" xfId="14700" xr:uid="{5AD76CB5-67FD-472F-B6E4-D25766D7C6C3}"/>
    <cellStyle name="Normal 2 2 2 38 22" xfId="14701" xr:uid="{C8CD1F09-238D-49D7-B8C1-DA112C5B7527}"/>
    <cellStyle name="Normal 2 2 2 38 23" xfId="14702" xr:uid="{A201D60D-8FA2-4948-9BA7-43A819FCA3BC}"/>
    <cellStyle name="Normal 2 2 2 38 24" xfId="14703" xr:uid="{C3640FB2-B03D-4841-8E0D-7D643FEF4469}"/>
    <cellStyle name="Normal 2 2 2 38 3" xfId="14704" xr:uid="{548AF64E-0F6A-416D-AFA1-786ED15C6E94}"/>
    <cellStyle name="Normal 2 2 2 38 4" xfId="14705" xr:uid="{E9DD17D9-5CA6-4B9E-87BE-D3535A499B1C}"/>
    <cellStyle name="Normal 2 2 2 38 5" xfId="14706" xr:uid="{2C75E4A1-36DC-4E51-AC42-4A7C458692F4}"/>
    <cellStyle name="Normal 2 2 2 38 6" xfId="14707" xr:uid="{CAE314FD-2B75-49C0-9C69-679F6A98192E}"/>
    <cellStyle name="Normal 2 2 2 38 7" xfId="14708" xr:uid="{D3B0E732-06F3-485F-93C0-C353DD528276}"/>
    <cellStyle name="Normal 2 2 2 38 8" xfId="14709" xr:uid="{F959847F-1640-4D14-A4A1-06920B380866}"/>
    <cellStyle name="Normal 2 2 2 38 9" xfId="14710" xr:uid="{E60C89EA-ED7F-487C-B6F9-20A1014DAF4B}"/>
    <cellStyle name="Normal 2 2 2 39" xfId="14711" xr:uid="{944FC1FA-A7DA-4A9C-AFEF-EEC62393C219}"/>
    <cellStyle name="Normal 2 2 2 39 10" xfId="14712" xr:uid="{879F11D6-4501-403C-8A77-AAC8C52441ED}"/>
    <cellStyle name="Normal 2 2 2 39 11" xfId="14713" xr:uid="{681B06B6-4974-4BAF-A3B2-7DEC06993145}"/>
    <cellStyle name="Normal 2 2 2 39 12" xfId="14714" xr:uid="{11D3BA3D-1D93-4CCF-84CD-F7B7B554D94F}"/>
    <cellStyle name="Normal 2 2 2 39 13" xfId="14715" xr:uid="{D573EA95-882D-48ED-9D4F-18CB0921BC90}"/>
    <cellStyle name="Normal 2 2 2 39 13 2" xfId="14716" xr:uid="{6CA558B6-A4FE-4502-9291-8E0549F42410}"/>
    <cellStyle name="Normal 2 2 2 39 13 3" xfId="14717" xr:uid="{4F96AE2F-0AB1-42FF-94DC-7C00FF38C74F}"/>
    <cellStyle name="Normal 2 2 2 39 13 4" xfId="14718" xr:uid="{DF47A322-272B-4323-9512-FBBD57966841}"/>
    <cellStyle name="Normal 2 2 2 39 14" xfId="14719" xr:uid="{CA920EC0-23AB-415A-B135-4BB921974DAF}"/>
    <cellStyle name="Normal 2 2 2 39 15" xfId="14720" xr:uid="{04F6D694-FE80-45F0-8B6D-4E1820D22D31}"/>
    <cellStyle name="Normal 2 2 2 39 16" xfId="14721" xr:uid="{C3431518-2EAF-4498-89C8-699DDD3C4A98}"/>
    <cellStyle name="Normal 2 2 2 39 2" xfId="14722" xr:uid="{A42A3D82-1E59-4441-950F-84652AA7E453}"/>
    <cellStyle name="Normal 2 2 2 39 2 10" xfId="14723" xr:uid="{38F99DC5-47E7-4E66-8FD2-E9B0C0B0E55B}"/>
    <cellStyle name="Normal 2 2 2 39 2 11" xfId="14724" xr:uid="{3C4EEBC4-8092-4795-AB04-A4D9A7496BF2}"/>
    <cellStyle name="Normal 2 2 2 39 2 11 2" xfId="14725" xr:uid="{2E553881-2EC6-454A-BF3B-A434736C4576}"/>
    <cellStyle name="Normal 2 2 2 39 2 11 3" xfId="14726" xr:uid="{09FC1C13-C108-4FFA-B50D-1C47D1A9B8FD}"/>
    <cellStyle name="Normal 2 2 2 39 2 11 4" xfId="14727" xr:uid="{6CC359F7-4F00-4FB9-9998-B133456EE90B}"/>
    <cellStyle name="Normal 2 2 2 39 2 12" xfId="14728" xr:uid="{FD147909-06EF-42DB-937F-95C9B8638667}"/>
    <cellStyle name="Normal 2 2 2 39 2 13" xfId="14729" xr:uid="{21F408B2-E72F-420D-B25E-678A63552D22}"/>
    <cellStyle name="Normal 2 2 2 39 2 14" xfId="14730" xr:uid="{1B057D29-7636-40CB-8C8E-FF8547803837}"/>
    <cellStyle name="Normal 2 2 2 39 2 2" xfId="14731" xr:uid="{3BAC2CFE-41C6-46EE-B74C-D160500860B5}"/>
    <cellStyle name="Normal 2 2 2 39 2 2 10" xfId="14732" xr:uid="{99D0C549-9204-42DE-B749-515EBAB80D1B}"/>
    <cellStyle name="Normal 2 2 2 39 2 2 11" xfId="14733" xr:uid="{746C3180-A76C-4188-A2F2-1F73D40F8711}"/>
    <cellStyle name="Normal 2 2 2 39 2 2 2" xfId="14734" xr:uid="{F74E11CE-EFC2-417B-827A-B9A231F5B444}"/>
    <cellStyle name="Normal 2 2 2 39 2 2 2 10" xfId="14735" xr:uid="{4AF37F65-6218-4920-8F26-B152C23E6AC0}"/>
    <cellStyle name="Normal 2 2 2 39 2 2 2 11" xfId="14736" xr:uid="{87F7DAE7-AFF8-4A2B-8FB2-48F17942D0CE}"/>
    <cellStyle name="Normal 2 2 2 39 2 2 2 2" xfId="14737" xr:uid="{ED4550AC-DF87-4389-B827-1195EA776971}"/>
    <cellStyle name="Normal 2 2 2 39 2 2 2 2 2" xfId="14738" xr:uid="{44C8A067-FC6B-456A-BDF1-E65155E41887}"/>
    <cellStyle name="Normal 2 2 2 39 2 2 2 2 2 2" xfId="14739" xr:uid="{50B58813-6CD6-4F77-B530-E78CDAB46743}"/>
    <cellStyle name="Normal 2 2 2 39 2 2 2 2 2 3" xfId="14740" xr:uid="{84B503B6-AFB0-45CB-B70D-C3F5A479E775}"/>
    <cellStyle name="Normal 2 2 2 39 2 2 2 2 2 4" xfId="14741" xr:uid="{B29EA795-8C88-4782-AC80-CFA2F2AEAC2C}"/>
    <cellStyle name="Normal 2 2 2 39 2 2 2 2 3" xfId="14742" xr:uid="{35793F6F-DB98-4897-8C19-C2E0D9DEF9F9}"/>
    <cellStyle name="Normal 2 2 2 39 2 2 2 2 4" xfId="14743" xr:uid="{996D9CBE-04B2-4A0A-A2DB-496C2FB15EEF}"/>
    <cellStyle name="Normal 2 2 2 39 2 2 2 2 5" xfId="14744" xr:uid="{5E4E345A-823D-4F5B-8C93-08CD1E0613B7}"/>
    <cellStyle name="Normal 2 2 2 39 2 2 2 2 6" xfId="14745" xr:uid="{C17CD7DC-04EC-4419-9ACF-413383394D7A}"/>
    <cellStyle name="Normal 2 2 2 39 2 2 2 3" xfId="14746" xr:uid="{1902B264-A7E7-4A90-B636-F32AFB477EAB}"/>
    <cellStyle name="Normal 2 2 2 39 2 2 2 4" xfId="14747" xr:uid="{AF68145E-EC6C-47F6-A1A0-3EBE01B84D5A}"/>
    <cellStyle name="Normal 2 2 2 39 2 2 2 5" xfId="14748" xr:uid="{523CF065-C878-4280-B0F1-9411C37F84CD}"/>
    <cellStyle name="Normal 2 2 2 39 2 2 2 6" xfId="14749" xr:uid="{84343361-31E6-48DA-A269-2598BE9A450F}"/>
    <cellStyle name="Normal 2 2 2 39 2 2 2 7" xfId="14750" xr:uid="{F1D9D2E4-3A7D-47B8-952E-6662854CFDE2}"/>
    <cellStyle name="Normal 2 2 2 39 2 2 2 8" xfId="14751" xr:uid="{93E37598-C646-4433-8369-FA6525F3DE7E}"/>
    <cellStyle name="Normal 2 2 2 39 2 2 2 8 2" xfId="14752" xr:uid="{ABE51D02-6FF0-4EA9-92FC-DC1D32D84862}"/>
    <cellStyle name="Normal 2 2 2 39 2 2 2 8 3" xfId="14753" xr:uid="{F4956AE5-C52C-433E-A7C2-8EEB9CFAA324}"/>
    <cellStyle name="Normal 2 2 2 39 2 2 2 8 4" xfId="14754" xr:uid="{C7EF28FD-A5AE-4980-B093-4447F405CA71}"/>
    <cellStyle name="Normal 2 2 2 39 2 2 2 9" xfId="14755" xr:uid="{9451F977-83B0-4E08-B7D9-377BA28BAB2A}"/>
    <cellStyle name="Normal 2 2 2 39 2 2 3" xfId="14756" xr:uid="{83904FD2-5CF2-4CB5-8A41-3AA541106A16}"/>
    <cellStyle name="Normal 2 2 2 39 2 2 3 2" xfId="14757" xr:uid="{D5E7E8EC-B30E-4892-9A64-3B36C24F38D1}"/>
    <cellStyle name="Normal 2 2 2 39 2 2 3 2 2" xfId="14758" xr:uid="{87449BD7-BAED-43FB-997B-6DE3A2463865}"/>
    <cellStyle name="Normal 2 2 2 39 2 2 3 2 3" xfId="14759" xr:uid="{3BD0A821-7BFD-4278-AD8A-89236BF52654}"/>
    <cellStyle name="Normal 2 2 2 39 2 2 3 2 4" xfId="14760" xr:uid="{740B46C6-6A84-4F84-9C06-F0A24AAE7EB3}"/>
    <cellStyle name="Normal 2 2 2 39 2 2 3 3" xfId="14761" xr:uid="{3A6A5130-11D1-4F8A-B50A-59ECA83C5533}"/>
    <cellStyle name="Normal 2 2 2 39 2 2 3 4" xfId="14762" xr:uid="{6CA84DB4-5D6D-4EE9-9818-548410293D11}"/>
    <cellStyle name="Normal 2 2 2 39 2 2 3 5" xfId="14763" xr:uid="{6536D810-DE10-4338-B82F-F9AD75C83A58}"/>
    <cellStyle name="Normal 2 2 2 39 2 2 3 6" xfId="14764" xr:uid="{202BD81B-5C98-475C-A224-796342DB165C}"/>
    <cellStyle name="Normal 2 2 2 39 2 2 4" xfId="14765" xr:uid="{73C34421-F8CD-400A-894F-2C8878142D8C}"/>
    <cellStyle name="Normal 2 2 2 39 2 2 5" xfId="14766" xr:uid="{128290CB-69DA-4AAE-93D4-04729598EBA0}"/>
    <cellStyle name="Normal 2 2 2 39 2 2 6" xfId="14767" xr:uid="{F1FA33B5-CA18-469C-A053-753F19B88353}"/>
    <cellStyle name="Normal 2 2 2 39 2 2 7" xfId="14768" xr:uid="{AC723DF4-0760-4E65-9241-6641F8DA52F3}"/>
    <cellStyle name="Normal 2 2 2 39 2 2 8" xfId="14769" xr:uid="{11F86443-178A-43C9-9C8F-10BAC1FFB040}"/>
    <cellStyle name="Normal 2 2 2 39 2 2 8 2" xfId="14770" xr:uid="{685F60D2-C01E-4D6D-AA69-E28EAFE1E573}"/>
    <cellStyle name="Normal 2 2 2 39 2 2 8 3" xfId="14771" xr:uid="{D36C3FCF-48F8-4533-962A-1EEDCE98CA30}"/>
    <cellStyle name="Normal 2 2 2 39 2 2 8 4" xfId="14772" xr:uid="{2CCD668B-00C2-4E1A-98C3-E86B16D73486}"/>
    <cellStyle name="Normal 2 2 2 39 2 2 9" xfId="14773" xr:uid="{2A18DC29-02C2-475B-B794-22CE2432E043}"/>
    <cellStyle name="Normal 2 2 2 39 2 3" xfId="14774" xr:uid="{F80912A1-84A2-41FA-90B0-7B7343EFFEA3}"/>
    <cellStyle name="Normal 2 2 2 39 2 4" xfId="14775" xr:uid="{2C400009-2642-462B-A6E0-6DBB0F6BF848}"/>
    <cellStyle name="Normal 2 2 2 39 2 5" xfId="14776" xr:uid="{F3C41483-C6BF-485D-A562-7E4B4DAF2468}"/>
    <cellStyle name="Normal 2 2 2 39 2 5 2" xfId="14777" xr:uid="{4749D50B-022E-4DC9-B577-AC482657DD0D}"/>
    <cellStyle name="Normal 2 2 2 39 2 5 2 2" xfId="14778" xr:uid="{E724B079-69EC-4FF9-8F8A-39C8C8C28ABD}"/>
    <cellStyle name="Normal 2 2 2 39 2 5 2 3" xfId="14779" xr:uid="{0C04DFE4-2176-44BC-91D6-BEA31359FEEA}"/>
    <cellStyle name="Normal 2 2 2 39 2 5 2 4" xfId="14780" xr:uid="{3533C770-D346-4E5F-877B-1DDE201DB0DF}"/>
    <cellStyle name="Normal 2 2 2 39 2 5 3" xfId="14781" xr:uid="{90CDD220-B099-46A3-9257-AF0EF8A25262}"/>
    <cellStyle name="Normal 2 2 2 39 2 5 4" xfId="14782" xr:uid="{E63B937D-34EF-4CC2-85B8-27AE39B20C4F}"/>
    <cellStyle name="Normal 2 2 2 39 2 5 5" xfId="14783" xr:uid="{6723DC5D-D224-465A-822D-34E6CF6D4CC1}"/>
    <cellStyle name="Normal 2 2 2 39 2 5 6" xfId="14784" xr:uid="{000929E8-A605-4649-BE76-8FD496E4F746}"/>
    <cellStyle name="Normal 2 2 2 39 2 6" xfId="14785" xr:uid="{E919E7F7-24FA-4AB8-B7A2-5AE71D3AAD51}"/>
    <cellStyle name="Normal 2 2 2 39 2 7" xfId="14786" xr:uid="{A34CFBC3-D37F-4588-BBAB-1BCD21F2FA3D}"/>
    <cellStyle name="Normal 2 2 2 39 2 8" xfId="14787" xr:uid="{E10C1D6A-D10F-4FDF-9FC3-879D7A8B953B}"/>
    <cellStyle name="Normal 2 2 2 39 2 9" xfId="14788" xr:uid="{E86128CB-F10E-4D99-9D30-D138B9269F4B}"/>
    <cellStyle name="Normal 2 2 2 39 3" xfId="14789" xr:uid="{24EB5532-1CA9-49D1-A0B2-FC3BDE34DFB7}"/>
    <cellStyle name="Normal 2 2 2 39 4" xfId="14790" xr:uid="{795E9B7D-29FA-4152-9546-7E43313D5082}"/>
    <cellStyle name="Normal 2 2 2 39 5" xfId="14791" xr:uid="{B170526C-1F68-4B2D-97D2-3F003F87B8FE}"/>
    <cellStyle name="Normal 2 2 2 39 5 10" xfId="14792" xr:uid="{CF223ADF-0342-49CC-A521-8031E6860389}"/>
    <cellStyle name="Normal 2 2 2 39 5 11" xfId="14793" xr:uid="{C3EC1C86-6B5B-4D2E-952C-1E4DE6996D32}"/>
    <cellStyle name="Normal 2 2 2 39 5 2" xfId="14794" xr:uid="{FA6CBB4C-389D-4BD6-9067-599FA8C048D5}"/>
    <cellStyle name="Normal 2 2 2 39 5 2 10" xfId="14795" xr:uid="{34342261-6A35-455C-A558-33B16FC32091}"/>
    <cellStyle name="Normal 2 2 2 39 5 2 11" xfId="14796" xr:uid="{1E7574F7-7996-4C1F-B446-438BD8E97737}"/>
    <cellStyle name="Normal 2 2 2 39 5 2 2" xfId="14797" xr:uid="{539EF1E2-8A4C-4E0E-A541-2584FE3FB311}"/>
    <cellStyle name="Normal 2 2 2 39 5 2 2 2" xfId="14798" xr:uid="{F7F9E0E5-E831-4481-BC63-39F40D5F9137}"/>
    <cellStyle name="Normal 2 2 2 39 5 2 2 2 2" xfId="14799" xr:uid="{2AE23584-6FEB-435D-82D5-C98D81F8A2C4}"/>
    <cellStyle name="Normal 2 2 2 39 5 2 2 2 3" xfId="14800" xr:uid="{B0CE7D4B-48AC-4944-98FF-D55B3AE6A636}"/>
    <cellStyle name="Normal 2 2 2 39 5 2 2 2 4" xfId="14801" xr:uid="{673D4087-463F-4B84-B76A-A5917A586496}"/>
    <cellStyle name="Normal 2 2 2 39 5 2 2 3" xfId="14802" xr:uid="{9E6FB6AA-7EE0-4473-9B3F-25A8851AE8BA}"/>
    <cellStyle name="Normal 2 2 2 39 5 2 2 4" xfId="14803" xr:uid="{1C8DC437-697E-4026-9A3D-DD9505A56055}"/>
    <cellStyle name="Normal 2 2 2 39 5 2 2 5" xfId="14804" xr:uid="{FE56AFD5-C569-42EF-94F9-4FFC6E68573A}"/>
    <cellStyle name="Normal 2 2 2 39 5 2 2 6" xfId="14805" xr:uid="{459AF414-27D3-444E-8C12-22A3D7EDE753}"/>
    <cellStyle name="Normal 2 2 2 39 5 2 3" xfId="14806" xr:uid="{CA8668A2-5ECD-4E5D-95B6-1FA81FAADD2D}"/>
    <cellStyle name="Normal 2 2 2 39 5 2 4" xfId="14807" xr:uid="{69D9701B-285F-490B-B465-655DEF50944F}"/>
    <cellStyle name="Normal 2 2 2 39 5 2 5" xfId="14808" xr:uid="{61810F5E-95A3-4713-80D6-7BE2AD901F2D}"/>
    <cellStyle name="Normal 2 2 2 39 5 2 6" xfId="14809" xr:uid="{E647AB86-B547-4764-A144-72B9288EE267}"/>
    <cellStyle name="Normal 2 2 2 39 5 2 7" xfId="14810" xr:uid="{9A52A8B9-3471-41BE-A021-334D0F7BE583}"/>
    <cellStyle name="Normal 2 2 2 39 5 2 8" xfId="14811" xr:uid="{843D04CE-C85A-4AE4-BFEB-025F99B3399C}"/>
    <cellStyle name="Normal 2 2 2 39 5 2 8 2" xfId="14812" xr:uid="{1ECDA8F1-2E1F-4053-B80F-4F8F17CC8F8E}"/>
    <cellStyle name="Normal 2 2 2 39 5 2 8 3" xfId="14813" xr:uid="{55ABFA7A-5533-4A26-AD5C-F9E5BBADD06B}"/>
    <cellStyle name="Normal 2 2 2 39 5 2 8 4" xfId="14814" xr:uid="{21F22B93-D87E-4AAF-B4F6-5281D547EE28}"/>
    <cellStyle name="Normal 2 2 2 39 5 2 9" xfId="14815" xr:uid="{10DCE617-0146-45A6-9DD2-92A36D9CC5A0}"/>
    <cellStyle name="Normal 2 2 2 39 5 3" xfId="14816" xr:uid="{D4756480-6137-4A32-B080-D35A534D1B28}"/>
    <cellStyle name="Normal 2 2 2 39 5 3 2" xfId="14817" xr:uid="{06964BED-4334-46C6-809E-545E15922DDD}"/>
    <cellStyle name="Normal 2 2 2 39 5 3 2 2" xfId="14818" xr:uid="{34C468F7-3576-42AB-BE5E-A5F692548224}"/>
    <cellStyle name="Normal 2 2 2 39 5 3 2 3" xfId="14819" xr:uid="{375A6FBF-910A-4EDB-83C5-957D9A4D9F5A}"/>
    <cellStyle name="Normal 2 2 2 39 5 3 2 4" xfId="14820" xr:uid="{5A2F3E7D-82AB-4466-A2BD-47D03139B2A1}"/>
    <cellStyle name="Normal 2 2 2 39 5 3 3" xfId="14821" xr:uid="{9F8A29B7-28A1-4D0F-B3FE-91DCA3317CA2}"/>
    <cellStyle name="Normal 2 2 2 39 5 3 4" xfId="14822" xr:uid="{71237B53-282A-48DE-8310-080F4C0740C8}"/>
    <cellStyle name="Normal 2 2 2 39 5 3 5" xfId="14823" xr:uid="{A3D4D229-4E46-4711-8B9B-2956D6471B1B}"/>
    <cellStyle name="Normal 2 2 2 39 5 3 6" xfId="14824" xr:uid="{102861E2-40C7-4AB5-BB49-84040EB0A237}"/>
    <cellStyle name="Normal 2 2 2 39 5 4" xfId="14825" xr:uid="{9C2D61D8-5577-4CA6-A177-BCC707648135}"/>
    <cellStyle name="Normal 2 2 2 39 5 5" xfId="14826" xr:uid="{8F361352-2F7F-49FA-8DE4-74A65270922A}"/>
    <cellStyle name="Normal 2 2 2 39 5 6" xfId="14827" xr:uid="{5740EB15-56F4-4D6B-AFAF-E112774CC794}"/>
    <cellStyle name="Normal 2 2 2 39 5 7" xfId="14828" xr:uid="{C7CE4889-32B8-431E-9828-45D7DC828758}"/>
    <cellStyle name="Normal 2 2 2 39 5 8" xfId="14829" xr:uid="{D1CB019A-91CF-4414-BFF2-D2CC18270495}"/>
    <cellStyle name="Normal 2 2 2 39 5 8 2" xfId="14830" xr:uid="{73A41A84-3B8D-47CD-8C45-05CDD6AE28AA}"/>
    <cellStyle name="Normal 2 2 2 39 5 8 3" xfId="14831" xr:uid="{164FFE09-3E05-4EB1-A9A3-80E7F049AAC6}"/>
    <cellStyle name="Normal 2 2 2 39 5 8 4" xfId="14832" xr:uid="{56DD9D9A-603C-4797-8C01-F62C431F05B7}"/>
    <cellStyle name="Normal 2 2 2 39 5 9" xfId="14833" xr:uid="{3255500A-5C16-40D8-AA55-95615F3A69DA}"/>
    <cellStyle name="Normal 2 2 2 39 6" xfId="14834" xr:uid="{32F0402B-74C1-4E6A-8EF0-983624C35B3E}"/>
    <cellStyle name="Normal 2 2 2 39 7" xfId="14835" xr:uid="{EA1F2D53-A677-47E2-A7DF-733E137FB39C}"/>
    <cellStyle name="Normal 2 2 2 39 7 2" xfId="14836" xr:uid="{AD87DBAD-C8C9-4382-A315-230773507184}"/>
    <cellStyle name="Normal 2 2 2 39 7 2 2" xfId="14837" xr:uid="{BE8DD53D-AE32-4633-814C-9114E2DC6610}"/>
    <cellStyle name="Normal 2 2 2 39 7 2 3" xfId="14838" xr:uid="{0D6DBBAA-DE98-413F-8D26-1E13FEF31B6B}"/>
    <cellStyle name="Normal 2 2 2 39 7 2 4" xfId="14839" xr:uid="{DB68F306-48FA-4711-B909-B7DADEC23360}"/>
    <cellStyle name="Normal 2 2 2 39 7 3" xfId="14840" xr:uid="{C39143CF-4E70-483D-9410-0FB39FDD82D2}"/>
    <cellStyle name="Normal 2 2 2 39 7 4" xfId="14841" xr:uid="{F86CFE7C-ACEA-45C9-93D7-75EB3F586859}"/>
    <cellStyle name="Normal 2 2 2 39 7 5" xfId="14842" xr:uid="{8DF0C259-EDA0-40C3-B356-BA17D81EB7BC}"/>
    <cellStyle name="Normal 2 2 2 39 7 6" xfId="14843" xr:uid="{ABE1ACED-F7F1-4FDE-8495-95570277213F}"/>
    <cellStyle name="Normal 2 2 2 39 8" xfId="14844" xr:uid="{D9FF2820-CD89-4554-B276-153BC2AF3817}"/>
    <cellStyle name="Normal 2 2 2 39 9" xfId="14845" xr:uid="{271ABC01-2A62-44A9-B646-0B04CBA8C83C}"/>
    <cellStyle name="Normal 2 2 2 4" xfId="14846" xr:uid="{F5F89E0B-D579-4B5A-AF19-38D09E12E85A}"/>
    <cellStyle name="Normal 2 2 2 4 2" xfId="14847" xr:uid="{BF35A043-48FF-4315-8922-28ED0DC2E120}"/>
    <cellStyle name="Normal 2 2 2 4 2 2" xfId="14848" xr:uid="{873E72EC-1716-4D3D-85E0-B0E12C7E2CA4}"/>
    <cellStyle name="Normal 2 2 2 4 2 2 2" xfId="14849" xr:uid="{411D8466-3523-4F83-9098-476B0FFB922C}"/>
    <cellStyle name="Normal 2 2 2 4 3" xfId="14850" xr:uid="{90B04BDB-27CF-4C83-BDF7-431A51FFF911}"/>
    <cellStyle name="Normal 2 2 2 4 4" xfId="14851" xr:uid="{2F11AC1E-50B4-457C-89C1-22DCA493E500}"/>
    <cellStyle name="Normal 2 2 2 40" xfId="14852" xr:uid="{3620F67E-A3A3-4466-892C-7C473DC100B4}"/>
    <cellStyle name="Normal 2 2 2 41" xfId="14853" xr:uid="{7BA020FB-C2F7-492D-9665-67DD4D81B02F}"/>
    <cellStyle name="Normal 2 2 2 42" xfId="14854" xr:uid="{0B4A956D-FB78-4209-9434-4239218CCD79}"/>
    <cellStyle name="Normal 2 2 2 43" xfId="14855" xr:uid="{685A31C6-C6A5-45B6-85A7-85C28855F07B}"/>
    <cellStyle name="Normal 2 2 2 44" xfId="14856" xr:uid="{E274BF3C-B919-46A1-8055-6386FB38C646}"/>
    <cellStyle name="Normal 2 2 2 45" xfId="14857" xr:uid="{F31ADCE6-418D-45CD-9181-306DA70401CA}"/>
    <cellStyle name="Normal 2 2 2 46" xfId="14858" xr:uid="{26A3979A-E7BD-48C2-A670-698028B06B45}"/>
    <cellStyle name="Normal 2 2 2 47" xfId="14859" xr:uid="{5EAF4DA4-46D8-4D79-9FD9-AFB151416D12}"/>
    <cellStyle name="Normal 2 2 2 47 10" xfId="14860" xr:uid="{E6EAFC13-9FFC-4139-851F-6008AD82FF26}"/>
    <cellStyle name="Normal 2 2 2 47 11" xfId="14861" xr:uid="{A214FFA7-2665-4989-A80C-ACDA08FD4567}"/>
    <cellStyle name="Normal 2 2 2 47 11 2" xfId="14862" xr:uid="{1C18D018-760F-4FFF-82B0-0DAA88D2B0C3}"/>
    <cellStyle name="Normal 2 2 2 47 11 3" xfId="14863" xr:uid="{95EDD91E-00EA-4021-8444-5E067F6D19F8}"/>
    <cellStyle name="Normal 2 2 2 47 11 4" xfId="14864" xr:uid="{0C506F03-25D2-4EB1-B912-36333B5DC811}"/>
    <cellStyle name="Normal 2 2 2 47 12" xfId="14865" xr:uid="{D651421C-D259-4F4D-BEED-1F24F92901DB}"/>
    <cellStyle name="Normal 2 2 2 47 13" xfId="14866" xr:uid="{44F03FC2-06EE-4CD6-8B11-260B2ACB78D2}"/>
    <cellStyle name="Normal 2 2 2 47 14" xfId="14867" xr:uid="{5A6BA49E-3144-448E-B62F-E0987D4B1C74}"/>
    <cellStyle name="Normal 2 2 2 47 2" xfId="14868" xr:uid="{05E86CDD-C221-492B-9A51-C134EA65261A}"/>
    <cellStyle name="Normal 2 2 2 47 2 10" xfId="14869" xr:uid="{1587D228-1BCA-4B85-B6D9-A97869F32CCD}"/>
    <cellStyle name="Normal 2 2 2 47 2 11" xfId="14870" xr:uid="{4859841E-C5C4-4CCF-B31C-13C947B8F433}"/>
    <cellStyle name="Normal 2 2 2 47 2 2" xfId="14871" xr:uid="{670CAEB1-3120-4F0E-9FE8-72F6AD23BAD9}"/>
    <cellStyle name="Normal 2 2 2 47 2 2 10" xfId="14872" xr:uid="{7EC17C1C-D3F6-4649-86AE-63606C7F1444}"/>
    <cellStyle name="Normal 2 2 2 47 2 2 11" xfId="14873" xr:uid="{672CA9C2-D8E5-4C39-B696-5B2EAD8636C6}"/>
    <cellStyle name="Normal 2 2 2 47 2 2 2" xfId="14874" xr:uid="{C5E6BF0F-3981-4728-B6B1-C883D83D63A2}"/>
    <cellStyle name="Normal 2 2 2 47 2 2 2 2" xfId="14875" xr:uid="{71FCB603-2F6D-4CE4-B082-83BB770C56A8}"/>
    <cellStyle name="Normal 2 2 2 47 2 2 2 2 2" xfId="14876" xr:uid="{4CAC8FD0-E44E-40F0-9776-D3CEBA938D7C}"/>
    <cellStyle name="Normal 2 2 2 47 2 2 2 2 3" xfId="14877" xr:uid="{3742666C-BE3A-4CBA-848A-C62545EAA153}"/>
    <cellStyle name="Normal 2 2 2 47 2 2 2 2 4" xfId="14878" xr:uid="{54FA3883-7BA5-4B1B-92E2-73BBCA4716E9}"/>
    <cellStyle name="Normal 2 2 2 47 2 2 2 3" xfId="14879" xr:uid="{CD0A9BA5-E68D-45EE-A52C-4AB513623876}"/>
    <cellStyle name="Normal 2 2 2 47 2 2 2 4" xfId="14880" xr:uid="{91EF2A59-BB5E-480A-887F-13732EA5B601}"/>
    <cellStyle name="Normal 2 2 2 47 2 2 2 5" xfId="14881" xr:uid="{BCDC4B5C-8367-48E2-82A6-C8D96907E9BF}"/>
    <cellStyle name="Normal 2 2 2 47 2 2 2 6" xfId="14882" xr:uid="{2FC7D7B2-FBCC-468F-B8D5-9B6C2854EEAC}"/>
    <cellStyle name="Normal 2 2 2 47 2 2 3" xfId="14883" xr:uid="{1B9DCBA0-1B41-4D3B-87B1-AC9D3559E94B}"/>
    <cellStyle name="Normal 2 2 2 47 2 2 4" xfId="14884" xr:uid="{455F2EEE-B9C6-4B78-89E1-4891975F327A}"/>
    <cellStyle name="Normal 2 2 2 47 2 2 5" xfId="14885" xr:uid="{C91D64F4-FCEC-4343-9F52-F69D5A332ABA}"/>
    <cellStyle name="Normal 2 2 2 47 2 2 6" xfId="14886" xr:uid="{8B8C7366-4A3F-486F-9CA0-79DF9C37EB81}"/>
    <cellStyle name="Normal 2 2 2 47 2 2 7" xfId="14887" xr:uid="{B61A7B02-1058-4E42-9C71-999E584FE893}"/>
    <cellStyle name="Normal 2 2 2 47 2 2 8" xfId="14888" xr:uid="{35769929-6CA6-4EF4-9BA2-3FDC9479E4FC}"/>
    <cellStyle name="Normal 2 2 2 47 2 2 8 2" xfId="14889" xr:uid="{98238722-0188-40D3-A8BB-7FDEFB82B343}"/>
    <cellStyle name="Normal 2 2 2 47 2 2 8 3" xfId="14890" xr:uid="{20A09C4E-248D-4164-9A0F-DFC68034A11B}"/>
    <cellStyle name="Normal 2 2 2 47 2 2 8 4" xfId="14891" xr:uid="{B724DD64-0284-47EA-BE01-894B9223893B}"/>
    <cellStyle name="Normal 2 2 2 47 2 2 9" xfId="14892" xr:uid="{F9AF4D86-AFD5-4439-96D1-427F3DD91962}"/>
    <cellStyle name="Normal 2 2 2 47 2 3" xfId="14893" xr:uid="{C6FF3CBE-1F52-4BB3-943E-5B089246013E}"/>
    <cellStyle name="Normal 2 2 2 47 2 3 2" xfId="14894" xr:uid="{8F19DF97-6ACF-42C1-B7A6-03852295214B}"/>
    <cellStyle name="Normal 2 2 2 47 2 3 2 2" xfId="14895" xr:uid="{02BCB3C8-98C6-4F3A-ABE4-B0AD3D0204E6}"/>
    <cellStyle name="Normal 2 2 2 47 2 3 2 3" xfId="14896" xr:uid="{E5F03218-DED3-43CF-9D9F-E9DDC1ECF52B}"/>
    <cellStyle name="Normal 2 2 2 47 2 3 2 4" xfId="14897" xr:uid="{150C608B-2BFC-4EB6-B3A2-61A35C81A808}"/>
    <cellStyle name="Normal 2 2 2 47 2 3 3" xfId="14898" xr:uid="{43685952-96DA-4540-87C9-15CF57FAF594}"/>
    <cellStyle name="Normal 2 2 2 47 2 3 4" xfId="14899" xr:uid="{0DC14491-BA67-411B-B41D-1F145B51A0FF}"/>
    <cellStyle name="Normal 2 2 2 47 2 3 5" xfId="14900" xr:uid="{E1BCA418-A742-43FA-AE7C-D89B8D1D2D4D}"/>
    <cellStyle name="Normal 2 2 2 47 2 3 6" xfId="14901" xr:uid="{671C7798-22CF-449D-AE57-5169652B8618}"/>
    <cellStyle name="Normal 2 2 2 47 2 4" xfId="14902" xr:uid="{AB908DF1-1225-42BE-B98A-FABB8611442F}"/>
    <cellStyle name="Normal 2 2 2 47 2 5" xfId="14903" xr:uid="{8C0C377D-ECAE-430A-B393-6673AD01EAD2}"/>
    <cellStyle name="Normal 2 2 2 47 2 6" xfId="14904" xr:uid="{9DDBA4AF-4AA2-43D0-BE83-D410088E923D}"/>
    <cellStyle name="Normal 2 2 2 47 2 7" xfId="14905" xr:uid="{ECD0D684-5043-4F42-A0A2-CF4655DDFCEE}"/>
    <cellStyle name="Normal 2 2 2 47 2 8" xfId="14906" xr:uid="{B7874995-D9BB-4A49-9675-1A9B11A8710A}"/>
    <cellStyle name="Normal 2 2 2 47 2 8 2" xfId="14907" xr:uid="{55554B8A-5532-4F72-A9AD-94577EE06E4D}"/>
    <cellStyle name="Normal 2 2 2 47 2 8 3" xfId="14908" xr:uid="{C7D50616-DB55-4EE3-A432-8AF85B32F943}"/>
    <cellStyle name="Normal 2 2 2 47 2 8 4" xfId="14909" xr:uid="{85E93B39-CE60-40B4-9C31-8466C269824F}"/>
    <cellStyle name="Normal 2 2 2 47 2 9" xfId="14910" xr:uid="{BEE9BA9D-6364-42FF-8B1B-A885C921AFAA}"/>
    <cellStyle name="Normal 2 2 2 47 3" xfId="14911" xr:uid="{1DF70CC1-1607-4499-A99B-F6DD5FAE0416}"/>
    <cellStyle name="Normal 2 2 2 47 4" xfId="14912" xr:uid="{9D8BCDA7-E2F1-4DAF-8940-7D145E454F68}"/>
    <cellStyle name="Normal 2 2 2 47 5" xfId="14913" xr:uid="{AD882AAD-98B0-4C24-AC80-892772031E33}"/>
    <cellStyle name="Normal 2 2 2 47 5 2" xfId="14914" xr:uid="{984403B7-80F7-41F1-A402-2B84ACD1DA26}"/>
    <cellStyle name="Normal 2 2 2 47 5 2 2" xfId="14915" xr:uid="{EEDC4605-CFE0-4145-AC63-C1D1953F8594}"/>
    <cellStyle name="Normal 2 2 2 47 5 2 3" xfId="14916" xr:uid="{35D98182-7125-4388-AFAA-726EE6351C0A}"/>
    <cellStyle name="Normal 2 2 2 47 5 2 4" xfId="14917" xr:uid="{07A702D2-2866-41E5-BF84-E4DCD781014C}"/>
    <cellStyle name="Normal 2 2 2 47 5 3" xfId="14918" xr:uid="{A8851B95-583A-49DA-B1D3-E49FE4BD666D}"/>
    <cellStyle name="Normal 2 2 2 47 5 4" xfId="14919" xr:uid="{1919D380-DEEF-4E2E-BE22-38EC410E00CF}"/>
    <cellStyle name="Normal 2 2 2 47 5 5" xfId="14920" xr:uid="{521406ED-301D-4109-80CF-6578D8907CFC}"/>
    <cellStyle name="Normal 2 2 2 47 5 6" xfId="14921" xr:uid="{9E7E9147-2C66-471A-B782-3FB6A1A25F87}"/>
    <cellStyle name="Normal 2 2 2 47 6" xfId="14922" xr:uid="{76FA9DA5-6C68-4CF9-B936-427382B0A725}"/>
    <cellStyle name="Normal 2 2 2 47 7" xfId="14923" xr:uid="{85178766-1426-4A21-881E-EFCBD38C09FE}"/>
    <cellStyle name="Normal 2 2 2 47 8" xfId="14924" xr:uid="{DF3137BC-F84B-49F7-AB73-2F5A634FD7DA}"/>
    <cellStyle name="Normal 2 2 2 47 9" xfId="14925" xr:uid="{3B11300B-38AE-4C66-83FA-DA6747EC27D3}"/>
    <cellStyle name="Normal 2 2 2 48" xfId="14926" xr:uid="{0B5A2D4D-FDE4-4952-88BD-CCEE0926B1D5}"/>
    <cellStyle name="Normal 2 2 2 49" xfId="14927" xr:uid="{F511A359-2193-4AB3-88D8-F595D896E5FA}"/>
    <cellStyle name="Normal 2 2 2 49 10" xfId="14928" xr:uid="{1165CE15-BCF2-4740-8319-08F49CEED1F5}"/>
    <cellStyle name="Normal 2 2 2 49 11" xfId="14929" xr:uid="{01D02546-0503-441A-AFE8-AA60815A27CC}"/>
    <cellStyle name="Normal 2 2 2 49 2" xfId="14930" xr:uid="{1F234BC1-7E89-4706-91AB-EC2327ADA1CD}"/>
    <cellStyle name="Normal 2 2 2 49 2 10" xfId="14931" xr:uid="{182B0D00-BDEA-460A-90AD-DD729DC0B3DE}"/>
    <cellStyle name="Normal 2 2 2 49 2 11" xfId="14932" xr:uid="{4F96CD81-2132-4AE6-905C-22BEBC7F4EB9}"/>
    <cellStyle name="Normal 2 2 2 49 2 2" xfId="14933" xr:uid="{759DA4CA-D513-4BFB-9011-F0110B3A928E}"/>
    <cellStyle name="Normal 2 2 2 49 2 2 2" xfId="14934" xr:uid="{9DFF1359-BF42-487A-940A-4879686E4E57}"/>
    <cellStyle name="Normal 2 2 2 49 2 2 2 2" xfId="14935" xr:uid="{18FFAFCD-3AEC-4982-8A35-E663DD75B131}"/>
    <cellStyle name="Normal 2 2 2 49 2 2 2 3" xfId="14936" xr:uid="{A45AFC89-7A7A-4753-9E97-65AFA5DBF759}"/>
    <cellStyle name="Normal 2 2 2 49 2 2 2 4" xfId="14937" xr:uid="{E360ECD5-5677-4149-943E-3CD4008B36F5}"/>
    <cellStyle name="Normal 2 2 2 49 2 2 3" xfId="14938" xr:uid="{B5476A22-C7FC-4E64-83DD-704B111F87A4}"/>
    <cellStyle name="Normal 2 2 2 49 2 2 4" xfId="14939" xr:uid="{1048FE86-9C65-4E01-A6D1-2D3C3326535B}"/>
    <cellStyle name="Normal 2 2 2 49 2 2 5" xfId="14940" xr:uid="{C796AA5C-9955-45F0-AF4B-A57E9F8DAB02}"/>
    <cellStyle name="Normal 2 2 2 49 2 2 6" xfId="14941" xr:uid="{9A0DF68B-D66B-43A5-86DA-F2DBE07A3FA3}"/>
    <cellStyle name="Normal 2 2 2 49 2 3" xfId="14942" xr:uid="{1EB160FB-3B12-4B99-A223-C50F108F5E6A}"/>
    <cellStyle name="Normal 2 2 2 49 2 4" xfId="14943" xr:uid="{47CB8232-A09C-4805-A8A2-AB993E398B87}"/>
    <cellStyle name="Normal 2 2 2 49 2 5" xfId="14944" xr:uid="{9CE85DD9-31A1-44F8-9A8A-8AB6CBAF19A1}"/>
    <cellStyle name="Normal 2 2 2 49 2 6" xfId="14945" xr:uid="{2CEE80C2-F8A8-47CA-BD2C-E6BD980B6AE8}"/>
    <cellStyle name="Normal 2 2 2 49 2 7" xfId="14946" xr:uid="{5119951B-AD21-4924-9522-B87BF1B5EBAE}"/>
    <cellStyle name="Normal 2 2 2 49 2 8" xfId="14947" xr:uid="{605CAC77-76D6-43F2-940A-078DEAD08B4E}"/>
    <cellStyle name="Normal 2 2 2 49 2 8 2" xfId="14948" xr:uid="{BB5E764D-984A-4001-B93F-257B72EEF291}"/>
    <cellStyle name="Normal 2 2 2 49 2 8 3" xfId="14949" xr:uid="{51BF45EA-D40C-4B09-B600-FA74F2F15788}"/>
    <cellStyle name="Normal 2 2 2 49 2 8 4" xfId="14950" xr:uid="{83441E31-6F00-410E-9DAD-EFA40F227FE4}"/>
    <cellStyle name="Normal 2 2 2 49 2 9" xfId="14951" xr:uid="{FB2397DE-8A43-43E1-B603-0222414D34E9}"/>
    <cellStyle name="Normal 2 2 2 49 3" xfId="14952" xr:uid="{476790C8-923E-4DF9-81B8-BCC339637A03}"/>
    <cellStyle name="Normal 2 2 2 49 3 2" xfId="14953" xr:uid="{60CE23A6-9F8C-444D-9832-EC21A2AC1625}"/>
    <cellStyle name="Normal 2 2 2 49 3 2 2" xfId="14954" xr:uid="{0E4B5A92-51BF-40BC-A384-873685B2B822}"/>
    <cellStyle name="Normal 2 2 2 49 3 2 3" xfId="14955" xr:uid="{873BE030-8756-425F-B188-860B4E8EBC79}"/>
    <cellStyle name="Normal 2 2 2 49 3 2 4" xfId="14956" xr:uid="{28DA3E11-33BE-4B80-8E5F-51DC7DDBD303}"/>
    <cellStyle name="Normal 2 2 2 49 3 3" xfId="14957" xr:uid="{05A0417A-579E-4234-99B1-5C15C9DA3593}"/>
    <cellStyle name="Normal 2 2 2 49 3 4" xfId="14958" xr:uid="{786BF1A9-26DF-4670-9821-66F624B500B2}"/>
    <cellStyle name="Normal 2 2 2 49 3 5" xfId="14959" xr:uid="{2699CCAD-1476-4FC1-B782-63AAF976BAC2}"/>
    <cellStyle name="Normal 2 2 2 49 3 6" xfId="14960" xr:uid="{7AAD6267-8500-433C-922E-B516B4197B7B}"/>
    <cellStyle name="Normal 2 2 2 49 4" xfId="14961" xr:uid="{AA310F92-3237-4BEB-944E-B1E9231671D9}"/>
    <cellStyle name="Normal 2 2 2 49 5" xfId="14962" xr:uid="{E4DEBA24-9BFA-4328-84B2-A6C62BF5D0D2}"/>
    <cellStyle name="Normal 2 2 2 49 6" xfId="14963" xr:uid="{FDCDE9F5-CEFA-47D3-AC4B-712E003C9511}"/>
    <cellStyle name="Normal 2 2 2 49 7" xfId="14964" xr:uid="{9C2207FC-C99F-421D-8BDB-E905E1A43B7E}"/>
    <cellStyle name="Normal 2 2 2 49 8" xfId="14965" xr:uid="{AAC54A0A-FF12-410B-B143-4D49EAEC6DF8}"/>
    <cellStyle name="Normal 2 2 2 49 8 2" xfId="14966" xr:uid="{A9480EAD-729D-49F5-AFDC-878FA08CDD19}"/>
    <cellStyle name="Normal 2 2 2 49 8 3" xfId="14967" xr:uid="{799A6E58-60E6-4E90-A7CC-F2DDBB659E3C}"/>
    <cellStyle name="Normal 2 2 2 49 8 4" xfId="14968" xr:uid="{BA73BF20-8092-4C60-88F7-9DB8AD49991B}"/>
    <cellStyle name="Normal 2 2 2 49 9" xfId="14969" xr:uid="{B8111FC9-2E0A-4E1C-8538-B5344F3FC53D}"/>
    <cellStyle name="Normal 2 2 2 5" xfId="14970" xr:uid="{541985E4-4DA6-4764-9C9E-456CE9F42F84}"/>
    <cellStyle name="Normal 2 2 2 5 2" xfId="14971" xr:uid="{9E898E94-A4A7-4DDD-B32A-57871E9BB7CB}"/>
    <cellStyle name="Normal 2 2 2 50" xfId="14972" xr:uid="{731B465C-958A-4704-842B-BD5A491C81B8}"/>
    <cellStyle name="Normal 2 2 2 51" xfId="14973" xr:uid="{C0F813C8-55E4-4391-813A-06D2FEAB902E}"/>
    <cellStyle name="Normal 2 2 2 51 2" xfId="14974" xr:uid="{E6DBF072-04A3-42D0-8C55-CD2C2CA55918}"/>
    <cellStyle name="Normal 2 2 2 51 2 2" xfId="14975" xr:uid="{99EF1551-037C-4E7B-985E-ACD2941F945E}"/>
    <cellStyle name="Normal 2 2 2 51 2 3" xfId="14976" xr:uid="{C673C357-2EE7-49F9-85A8-815FD5DBE00B}"/>
    <cellStyle name="Normal 2 2 2 51 2 4" xfId="14977" xr:uid="{FB38FA64-6E0F-4C00-A59E-B03963BDEF99}"/>
    <cellStyle name="Normal 2 2 2 51 3" xfId="14978" xr:uid="{0F7D42AC-725B-47A2-B8C4-3014EF2D43DA}"/>
    <cellStyle name="Normal 2 2 2 51 4" xfId="14979" xr:uid="{18F4F48B-6B45-4BD2-A0AA-E65441AA6334}"/>
    <cellStyle name="Normal 2 2 2 51 5" xfId="14980" xr:uid="{443D2EF7-6C91-47BF-821B-E314929A6033}"/>
    <cellStyle name="Normal 2 2 2 51 6" xfId="14981" xr:uid="{9A1E8C44-9D6E-41B4-903A-D6016A49E17F}"/>
    <cellStyle name="Normal 2 2 2 52" xfId="14982" xr:uid="{26C011A5-6ED0-4658-9A5F-ED4BADCD4DB4}"/>
    <cellStyle name="Normal 2 2 2 53" xfId="14983" xr:uid="{A9DA3357-6388-4224-83E3-9027F054F9A0}"/>
    <cellStyle name="Normal 2 2 2 54" xfId="14984" xr:uid="{878B1E8D-DAD2-4C4E-849D-5C2AB4091A62}"/>
    <cellStyle name="Normal 2 2 2 55" xfId="14985" xr:uid="{403FCC9D-2978-43C5-B8ED-BC74CED35C50}"/>
    <cellStyle name="Normal 2 2 2 56" xfId="14986" xr:uid="{196ED6FC-F02E-4776-B979-F72BB580E5AA}"/>
    <cellStyle name="Normal 2 2 2 57" xfId="14987" xr:uid="{B95246F9-75B9-452F-B3BB-8CCD3BD01173}"/>
    <cellStyle name="Normal 2 2 2 57 2" xfId="14988" xr:uid="{EF7B8DB7-179B-4D90-B56C-5169B2520486}"/>
    <cellStyle name="Normal 2 2 2 57 3" xfId="14989" xr:uid="{C47B7CC8-F4CF-483C-ACEF-EA13F60F5730}"/>
    <cellStyle name="Normal 2 2 2 57 4" xfId="14990" xr:uid="{DCEA80CF-4FFB-41D5-8139-A0817BA97429}"/>
    <cellStyle name="Normal 2 2 2 58" xfId="14991" xr:uid="{CDCEE877-FB0E-4AF1-8552-884658BA4A73}"/>
    <cellStyle name="Normal 2 2 2 59" xfId="14992" xr:uid="{B6B9D8AB-F269-4186-A0CA-CC8193C31A5A}"/>
    <cellStyle name="Normal 2 2 2 6" xfId="14993" xr:uid="{6C3ED624-E28E-419F-8D4A-FEFC95975B46}"/>
    <cellStyle name="Normal 2 2 2 6 2" xfId="14994" xr:uid="{B95BFD59-FA31-45BE-A265-BFF2A4EF0B27}"/>
    <cellStyle name="Normal 2 2 2 60" xfId="14995" xr:uid="{35E3DC7E-A789-452D-88A4-D2282873AD5A}"/>
    <cellStyle name="Normal 2 2 2 61" xfId="14996" xr:uid="{A0CEFB7D-3B6F-46D2-A727-FE25ED89E5D2}"/>
    <cellStyle name="Normal 2 2 2 62" xfId="14997" xr:uid="{4B90A877-996A-43FB-96BA-88AADA86A94F}"/>
    <cellStyle name="Normal 2 2 2 63" xfId="14998" xr:uid="{7B595D48-0CF0-43F0-B456-2D10A4EB442A}"/>
    <cellStyle name="Normal 2 2 2 64" xfId="14999" xr:uid="{C9D7F2AF-F276-46AE-9205-8246E5439BFD}"/>
    <cellStyle name="Normal 2 2 2 65" xfId="15000" xr:uid="{CF5A889C-EA87-40EE-9E44-FE1235ACE10E}"/>
    <cellStyle name="Normal 2 2 2 66" xfId="15001" xr:uid="{9D3539C0-84A4-438B-863E-774B1E9081B8}"/>
    <cellStyle name="Normal 2 2 2 67" xfId="15002" xr:uid="{A15546EB-3B2B-4167-9E58-9DE981D95AF3}"/>
    <cellStyle name="Normal 2 2 2 68" xfId="15003" xr:uid="{B7B09088-5CE2-45E2-83C1-F93C39658A2E}"/>
    <cellStyle name="Normal 2 2 2 69" xfId="15004" xr:uid="{8081DB5D-E122-4440-B0BD-FF90CF1916F3}"/>
    <cellStyle name="Normal 2 2 2 7" xfId="15005" xr:uid="{11CEEF6B-9896-453C-B809-9EA6DAA25A3E}"/>
    <cellStyle name="Normal 2 2 2 7 2" xfId="15006" xr:uid="{40D1AEAA-FA0F-4ED0-B070-3945F4BB8561}"/>
    <cellStyle name="Normal 2 2 2 70" xfId="15007" xr:uid="{71B5E559-9D62-40CB-99F3-D1B708A1059D}"/>
    <cellStyle name="Normal 2 2 2 71" xfId="15008" xr:uid="{BEA6F4C0-D770-4BDC-BAC5-0F8067A1EF1A}"/>
    <cellStyle name="Normal 2 2 2 72" xfId="15009" xr:uid="{A7F3E82E-9DB0-4FEB-99A2-E510E780DEDC}"/>
    <cellStyle name="Normal 2 2 2 72 2" xfId="15010" xr:uid="{F29F06EC-C6BD-4F8D-8C1A-8560E2875612}"/>
    <cellStyle name="Normal 2 2 2 72 3" xfId="15011" xr:uid="{028882F0-0F4B-4DF3-8D2A-A460F159F093}"/>
    <cellStyle name="Normal 2 2 2 72 4" xfId="15012" xr:uid="{B174CBE4-B0A6-448D-AA15-877D135267BE}"/>
    <cellStyle name="Normal 2 2 2 72 5" xfId="15013" xr:uid="{DF0B2ACB-447A-4813-AB3D-F1AC40D8935D}"/>
    <cellStyle name="Normal 2 2 2 72 6" xfId="15014" xr:uid="{C1E12E43-9B8F-4A6C-8E8E-E26D7748E431}"/>
    <cellStyle name="Normal 2 2 2 72 7" xfId="15015" xr:uid="{9A901E3D-E560-4237-AA0A-7533C909CE0C}"/>
    <cellStyle name="Normal 2 2 2 73" xfId="15016" xr:uid="{CBE98EB4-5ABB-42A5-8EEF-974A51346E44}"/>
    <cellStyle name="Normal 2 2 2 74" xfId="15017" xr:uid="{6B323B2F-3E79-4AEA-A16F-CA26E887BD9B}"/>
    <cellStyle name="Normal 2 2 2 75" xfId="15018" xr:uid="{CBD5A447-874D-4855-A0F3-920BE1F001DE}"/>
    <cellStyle name="Normal 2 2 2 76" xfId="15019" xr:uid="{E3A87C09-EC8E-4588-8A28-9D59562FD38C}"/>
    <cellStyle name="Normal 2 2 2 77" xfId="15020" xr:uid="{CDB2481E-4175-44C8-80E1-CE58D18D1B5D}"/>
    <cellStyle name="Normal 2 2 2 78" xfId="15021" xr:uid="{CDE5B6CC-35B3-46BE-94F3-4A6D77241B34}"/>
    <cellStyle name="Normal 2 2 2 79" xfId="15022" xr:uid="{C8BAC3B4-DA85-4AFD-8FDE-4AC4DF758C88}"/>
    <cellStyle name="Normal 2 2 2 8" xfId="15023" xr:uid="{9208A7C5-004E-4612-A2A4-A2728E6F5315}"/>
    <cellStyle name="Normal 2 2 2 8 2" xfId="15024" xr:uid="{2BC84951-64C8-4D87-880F-04F8D71BF073}"/>
    <cellStyle name="Normal 2 2 2 80" xfId="15025" xr:uid="{70AE4866-D5A6-4757-9BE4-9959F1022622}"/>
    <cellStyle name="Normal 2 2 2 81" xfId="15026" xr:uid="{E9FA7C3A-3795-47D3-B6D4-33E08466352A}"/>
    <cellStyle name="Normal 2 2 2 82" xfId="15027" xr:uid="{14246DA1-2EA5-45AA-8749-F1843712A295}"/>
    <cellStyle name="Normal 2 2 2 83" xfId="15028" xr:uid="{B84E2C6E-2841-4015-B93D-477536F39DC4}"/>
    <cellStyle name="Normal 2 2 2 84" xfId="15029" xr:uid="{D52D144B-B1A8-47A6-B3B7-55B2A0CFA9D7}"/>
    <cellStyle name="Normal 2 2 2 85" xfId="15030" xr:uid="{39AD2FEF-9DA7-4F62-B43C-42E1C8F8D4C4}"/>
    <cellStyle name="Normal 2 2 2 86" xfId="15031" xr:uid="{AF6E1886-3FE1-4D7B-9ACD-2B582B5737C8}"/>
    <cellStyle name="Normal 2 2 2 87" xfId="15032" xr:uid="{CF886A03-FEFD-4543-BA6F-B4E164CF1AE6}"/>
    <cellStyle name="Normal 2 2 2 88" xfId="15033" xr:uid="{741B4497-2734-431E-A755-3F8BDDFBDD7C}"/>
    <cellStyle name="Normal 2 2 2 89" xfId="15034" xr:uid="{0B318CD8-7E87-4ACC-9308-8F59866E42FB}"/>
    <cellStyle name="Normal 2 2 2 9" xfId="15035" xr:uid="{654EBBA1-D1BE-4BC7-88F8-BA87E52DA44B}"/>
    <cellStyle name="Normal 2 2 2 9 2" xfId="15036" xr:uid="{C633475B-A721-4787-BC55-50268C2843E1}"/>
    <cellStyle name="Normal 2 2 2 90" xfId="15037" xr:uid="{23ED861A-1ABD-43A2-A497-E0971AD655A4}"/>
    <cellStyle name="Normal 2 2 2 91" xfId="15038" xr:uid="{F307987E-ABD3-491B-BD77-1A4997CEC491}"/>
    <cellStyle name="Normal 2 2 2 92" xfId="15039" xr:uid="{486EC822-D3AF-413F-9ED9-020CD1108985}"/>
    <cellStyle name="Normal 2 2 2 93" xfId="15040" xr:uid="{C5350FED-46F5-4C4A-B56B-D046A9E11332}"/>
    <cellStyle name="Normal 2 2 2 94" xfId="15041" xr:uid="{5C61BF3B-2A94-4457-80CF-6FC7FC0E5938}"/>
    <cellStyle name="Normal 2 2 2 95" xfId="15042" xr:uid="{BE155738-344E-4709-9693-DBC2BCE40354}"/>
    <cellStyle name="Normal 2 2 2 96" xfId="15043" xr:uid="{E31D086D-66E4-4E42-9108-0A5F585E6908}"/>
    <cellStyle name="Normal 2 2 2 97" xfId="15044" xr:uid="{CBC7929F-205E-450D-AF8D-1245F84DD9E3}"/>
    <cellStyle name="Normal 2 2 2 98" xfId="15045" xr:uid="{1E2AB446-9025-4142-B396-CC075D801F63}"/>
    <cellStyle name="Normal 2 2 2 99" xfId="15046" xr:uid="{E3A690A1-7D87-440D-AB7C-7618B98BDAAA}"/>
    <cellStyle name="Normal 2 2 20" xfId="15047" xr:uid="{FB91FD96-A4C1-40DF-9B34-69ECBB237BDF}"/>
    <cellStyle name="Normal 2 2 20 2" xfId="15048" xr:uid="{1BEC172E-F0B9-44C6-BCFC-7AB095130FB8}"/>
    <cellStyle name="Normal 2 2 200" xfId="15049" xr:uid="{FCA3C31F-5AFE-4F76-A57D-51BAE0914CB7}"/>
    <cellStyle name="Normal 2 2 201" xfId="15050" xr:uid="{840CC02C-7DE9-494F-BC59-47FA357E5D3E}"/>
    <cellStyle name="Normal 2 2 202" xfId="15051" xr:uid="{F9936427-84A5-4537-BA3B-B845AE2BD711}"/>
    <cellStyle name="Normal 2 2 203" xfId="15052" xr:uid="{E00C05A5-354F-45F1-AB7A-E978182A27DB}"/>
    <cellStyle name="Normal 2 2 204" xfId="15053" xr:uid="{D0FA907E-4291-4B87-B81D-BFB631F7BD2D}"/>
    <cellStyle name="Normal 2 2 205" xfId="15054" xr:uid="{BB57077B-9015-4252-A8CC-16B26438197D}"/>
    <cellStyle name="Normal 2 2 206" xfId="15055" xr:uid="{1FDB949C-B963-4312-A105-51CEF5F4E011}"/>
    <cellStyle name="Normal 2 2 207" xfId="15056" xr:uid="{DF62E411-0A52-4EDD-9777-02B4360B4E82}"/>
    <cellStyle name="Normal 2 2 208" xfId="15057" xr:uid="{77D9423D-6F2F-4ECF-ACEC-7D46613354AE}"/>
    <cellStyle name="Normal 2 2 209" xfId="15058" xr:uid="{EE2A2930-4F53-4242-BE8E-7764204AECD6}"/>
    <cellStyle name="Normal 2 2 21" xfId="15059" xr:uid="{1099EDA4-C05A-4E7E-B576-80064BA93E57}"/>
    <cellStyle name="Normal 2 2 21 2" xfId="15060" xr:uid="{3CD25A4D-DEE4-48AE-85E3-29846E5CFAAE}"/>
    <cellStyle name="Normal 2 2 210" xfId="15061" xr:uid="{E53CFC37-28B1-41F0-9A9C-3D3279606DC1}"/>
    <cellStyle name="Normal 2 2 211" xfId="15062" xr:uid="{FD54566B-5FC8-4300-A40F-0EDED5E884D8}"/>
    <cellStyle name="Normal 2 2 212" xfId="15063" xr:uid="{999732C6-4011-46EA-AD49-58427013E68E}"/>
    <cellStyle name="Normal 2 2 213" xfId="15064" xr:uid="{13087D40-0AF8-41B4-A910-F1F5CEB93552}"/>
    <cellStyle name="Normal 2 2 214" xfId="15065" xr:uid="{85139B18-3584-4C67-9683-710EE4BC24E2}"/>
    <cellStyle name="Normal 2 2 215" xfId="15066" xr:uid="{06B4DA11-C077-4954-8916-058B177C3A2B}"/>
    <cellStyle name="Normal 2 2 216" xfId="5381" xr:uid="{9743B462-91F2-4E92-B00B-C13C503C901A}"/>
    <cellStyle name="Normal 2 2 22" xfId="15067" xr:uid="{F6AA3539-6C48-4ADD-9079-1FDEF2224A8C}"/>
    <cellStyle name="Normal 2 2 22 2" xfId="15068" xr:uid="{BEA0365F-9CF9-4440-8612-F55EB5BEF808}"/>
    <cellStyle name="Normal 2 2 23" xfId="15069" xr:uid="{0C1CC731-0190-4DFD-9D46-FD10CF713E4D}"/>
    <cellStyle name="Normal 2 2 23 2" xfId="15070" xr:uid="{71383C6B-5CA2-4D29-92E9-73C3F23D668C}"/>
    <cellStyle name="Normal 2 2 24" xfId="15071" xr:uid="{58CCBE0B-1E00-49F5-AB17-C20E8ECE83F4}"/>
    <cellStyle name="Normal 2 2 24 2" xfId="15072" xr:uid="{F5AB9B13-4188-4736-B0B2-451D924E3DA0}"/>
    <cellStyle name="Normal 2 2 25" xfId="15073" xr:uid="{FCA3E028-E135-4B6B-96BC-7733B4C47AB4}"/>
    <cellStyle name="Normal 2 2 25 2" xfId="15074" xr:uid="{245DA506-1DEA-4D01-9EEF-B7376D44B247}"/>
    <cellStyle name="Normal 2 2 26" xfId="15075" xr:uid="{6435160C-90E5-4AA2-8599-5F20D180AA59}"/>
    <cellStyle name="Normal 2 2 26 2" xfId="15076" xr:uid="{C60C18AE-81B5-4BA6-9430-9682D4DF7174}"/>
    <cellStyle name="Normal 2 2 27" xfId="15077" xr:uid="{0A3B9176-09F9-444C-88B4-1E9C43157085}"/>
    <cellStyle name="Normal 2 2 27 2" xfId="15078" xr:uid="{0E531CD0-E81F-49D5-926A-7D97723D9A30}"/>
    <cellStyle name="Normal 2 2 28" xfId="15079" xr:uid="{8679179F-9576-4ADB-8C79-510B0E7639B6}"/>
    <cellStyle name="Normal 2 2 28 2" xfId="15080" xr:uid="{40D3DBE8-5487-4E63-B00E-A6564A1CD9C4}"/>
    <cellStyle name="Normal 2 2 29" xfId="15081" xr:uid="{F38C6F72-1137-4037-BDDF-A13D5EA92E44}"/>
    <cellStyle name="Normal 2 2 29 2" xfId="15082" xr:uid="{148681F3-DBBA-4372-B145-ED3D3E99D9E5}"/>
    <cellStyle name="Normal 2 2 3" xfId="15083" xr:uid="{DB57C655-30BF-4F2D-8718-AA99D2E60EEA}"/>
    <cellStyle name="Normal 2 2 3 2" xfId="15084" xr:uid="{55329500-D83A-4AA7-809C-B635F138F51E}"/>
    <cellStyle name="Normal 2 2 3 3" xfId="15085" xr:uid="{A6482EC7-30A6-4309-82CB-A332F304C2F3}"/>
    <cellStyle name="Normal 2 2 3 4" xfId="15086" xr:uid="{8F4B6A62-27DB-4BAB-B826-278CDE55ED57}"/>
    <cellStyle name="Normal 2 2 30" xfId="15087" xr:uid="{6B1AADDE-46A9-436A-8D24-E3E4A92ACAF0}"/>
    <cellStyle name="Normal 2 2 30 2" xfId="15088" xr:uid="{D3DF7B9D-5E9D-4369-830C-A499B0FDB0B2}"/>
    <cellStyle name="Normal 2 2 31" xfId="15089" xr:uid="{7DF32398-2E43-4AD2-BE92-1624529C61A1}"/>
    <cellStyle name="Normal 2 2 31 2" xfId="15090" xr:uid="{5D4325A3-CE6B-474D-8784-0D3FF62610BA}"/>
    <cellStyle name="Normal 2 2 32" xfId="15091" xr:uid="{5885D80D-3686-45DF-A296-2F6B881A24D3}"/>
    <cellStyle name="Normal 2 2 32 2" xfId="15092" xr:uid="{FE04A053-F6AF-4557-B9C6-DB9B35E42858}"/>
    <cellStyle name="Normal 2 2 33" xfId="15093" xr:uid="{87DAB8DA-6A3F-45F4-8F67-5B67914308DF}"/>
    <cellStyle name="Normal 2 2 33 2" xfId="15094" xr:uid="{6EF79216-D7C2-44D5-AD3A-FE6799DD1931}"/>
    <cellStyle name="Normal 2 2 34" xfId="15095" xr:uid="{C8236AA6-89FC-4C23-90B4-363D3EF80719}"/>
    <cellStyle name="Normal 2 2 34 2" xfId="15096" xr:uid="{36D1878C-006B-403F-8147-F226AC475871}"/>
    <cellStyle name="Normal 2 2 35" xfId="15097" xr:uid="{5C558CD3-2733-47F8-9094-D7DA533C79EE}"/>
    <cellStyle name="Normal 2 2 35 2" xfId="15098" xr:uid="{DD585B33-B6BF-4F18-97F4-D5BA9AA4EE9F}"/>
    <cellStyle name="Normal 2 2 36" xfId="15099" xr:uid="{288B08B4-372A-4770-97CA-85A0D6FCBF30}"/>
    <cellStyle name="Normal 2 2 36 2" xfId="15100" xr:uid="{79673ED4-EBEC-44B9-903F-2401269CE520}"/>
    <cellStyle name="Normal 2 2 37" xfId="15101" xr:uid="{9F7FD827-8DEA-422A-BB18-3F66F6DE475A}"/>
    <cellStyle name="Normal 2 2 37 2" xfId="15102" xr:uid="{809C179B-A292-4A3F-BA40-60DB19F92903}"/>
    <cellStyle name="Normal 2 2 37 2 2" xfId="15103" xr:uid="{08470955-6585-4040-B42C-598ED97C776E}"/>
    <cellStyle name="Normal 2 2 37 2 2 2" xfId="15104" xr:uid="{8D0F94C1-5479-44FB-BCFC-BC6A3B190D59}"/>
    <cellStyle name="Normal 2 2 37 3" xfId="15105" xr:uid="{99DA73AC-9A65-4F95-9BE1-79B2A0C97CB8}"/>
    <cellStyle name="Normal 2 2 37 4" xfId="15106" xr:uid="{E36A196B-8E48-448D-B980-CDF015928DE2}"/>
    <cellStyle name="Normal 2 2 38" xfId="15107" xr:uid="{5F09FC43-0200-4B0F-A237-F44CA62391AE}"/>
    <cellStyle name="Normal 2 2 38 2" xfId="15108" xr:uid="{035329C6-0C3E-4DD9-BD97-768C42795267}"/>
    <cellStyle name="Normal 2 2 39" xfId="15109" xr:uid="{08F99048-201F-4D6F-9EE0-EB9F783ACB77}"/>
    <cellStyle name="Normal 2 2 39 10" xfId="15110" xr:uid="{8B8C2F26-696A-4D1F-AC15-921F03D61962}"/>
    <cellStyle name="Normal 2 2 39 11" xfId="15111" xr:uid="{9B72ACD9-E81B-4AD2-A048-3A8654B8B10A}"/>
    <cellStyle name="Normal 2 2 39 12" xfId="15112" xr:uid="{9844FEC6-9779-418E-AB05-008D1A377160}"/>
    <cellStyle name="Normal 2 2 39 13" xfId="15113" xr:uid="{EF797B5E-3EBC-4442-8D8F-B7E415AD211D}"/>
    <cellStyle name="Normal 2 2 39 14" xfId="15114" xr:uid="{6CC6FCF2-EA4E-4043-A462-EE140039EE42}"/>
    <cellStyle name="Normal 2 2 39 15" xfId="15115" xr:uid="{4A261791-5BC1-4BB9-8510-EA93D686669F}"/>
    <cellStyle name="Normal 2 2 39 16" xfId="15116" xr:uid="{249968E8-EB57-40AF-8130-72F36E598C05}"/>
    <cellStyle name="Normal 2 2 39 17" xfId="15117" xr:uid="{CC45A1F6-7621-450B-A565-57259E624ECC}"/>
    <cellStyle name="Normal 2 2 39 18" xfId="15118" xr:uid="{9FF9E6E5-3A57-4447-ABEC-E918969C0910}"/>
    <cellStyle name="Normal 2 2 39 2" xfId="15119" xr:uid="{6015D35C-A1D8-4BFF-B279-D0D811D021FB}"/>
    <cellStyle name="Normal 2 2 39 2 10" xfId="15120" xr:uid="{6DCFE05F-72BB-4B9E-98BD-5F720FA2446D}"/>
    <cellStyle name="Normal 2 2 39 2 11" xfId="15121" xr:uid="{495AD3D6-B97A-40D7-8049-4BF46333AB82}"/>
    <cellStyle name="Normal 2 2 39 2 12" xfId="15122" xr:uid="{0F80A3C1-CF5E-4B6A-B993-1C76833C48BE}"/>
    <cellStyle name="Normal 2 2 39 2 13" xfId="15123" xr:uid="{3870CE2F-CB7B-45B8-B131-A3BF8EB5A724}"/>
    <cellStyle name="Normal 2 2 39 2 14" xfId="15124" xr:uid="{4AF3B14B-759A-4213-9D08-7C6ACC5EFAE1}"/>
    <cellStyle name="Normal 2 2 39 2 15" xfId="15125" xr:uid="{43FB80B2-7AB3-4824-B702-A3B7A24D38D5}"/>
    <cellStyle name="Normal 2 2 39 2 16" xfId="15126" xr:uid="{96D576ED-E36B-49E0-8B85-6514D7EECCE3}"/>
    <cellStyle name="Normal 2 2 39 2 17" xfId="15127" xr:uid="{87A3D634-A83A-45DE-8E6D-96D5B1C72071}"/>
    <cellStyle name="Normal 2 2 39 2 2" xfId="15128" xr:uid="{B5DAC751-D669-48C9-9365-EDBE4AFFE2B5}"/>
    <cellStyle name="Normal 2 2 39 2 2 2" xfId="15129" xr:uid="{5C86F1D5-890A-49B6-A5D5-724309FBC324}"/>
    <cellStyle name="Normal 2 2 39 2 2 2 2" xfId="15130" xr:uid="{6CD0D8D7-8E3A-4AE5-BB10-F19E3182FFD2}"/>
    <cellStyle name="Normal 2 2 39 2 2 2 3" xfId="15131" xr:uid="{B8691DCC-B2B8-41CE-85F6-22B86A2C841C}"/>
    <cellStyle name="Normal 2 2 39 2 2 2 4" xfId="15132" xr:uid="{9A430241-7C11-4C59-AE4D-F60A28E43F51}"/>
    <cellStyle name="Normal 2 2 39 2 2 2 5" xfId="15133" xr:uid="{0098D457-B523-40AD-B5E7-C0EAC185071F}"/>
    <cellStyle name="Normal 2 2 39 2 2 2 6" xfId="15134" xr:uid="{A3A92CF7-4ADE-4F01-84CC-91405B5B6343}"/>
    <cellStyle name="Normal 2 2 39 2 2 2 7" xfId="15135" xr:uid="{35196F11-747D-4E21-9E4C-364FD70F3EBA}"/>
    <cellStyle name="Normal 2 2 39 2 2 2 8" xfId="15136" xr:uid="{C65935FB-EE79-4F20-AC82-11B0A012AC0F}"/>
    <cellStyle name="Normal 2 2 39 2 2 2 9" xfId="15137" xr:uid="{0B31EE00-3152-497B-BF98-3F77900DBC10}"/>
    <cellStyle name="Normal 2 2 39 2 2 3" xfId="15138" xr:uid="{A30043E4-DADB-4922-BA58-A1C13CF89303}"/>
    <cellStyle name="Normal 2 2 39 2 2 4" xfId="15139" xr:uid="{D23C3B9B-40AF-49E8-B1EA-A063907E54D6}"/>
    <cellStyle name="Normal 2 2 39 2 2 5" xfId="15140" xr:uid="{57A6C524-4079-4327-BC30-3B85A299A839}"/>
    <cellStyle name="Normal 2 2 39 2 2 6" xfId="15141" xr:uid="{4DBD57EB-25FD-473C-8111-C23D47AE507A}"/>
    <cellStyle name="Normal 2 2 39 2 2 7" xfId="15142" xr:uid="{838E2C9C-D78B-4634-8852-B5E8377123F5}"/>
    <cellStyle name="Normal 2 2 39 2 2 8" xfId="15143" xr:uid="{13CA78B1-F5F0-4F12-8A4A-FEC30E5F7E32}"/>
    <cellStyle name="Normal 2 2 39 2 2 9" xfId="15144" xr:uid="{135526B3-7ADB-497D-B0D8-B92995BA4679}"/>
    <cellStyle name="Normal 2 2 39 2 3" xfId="15145" xr:uid="{82AC7E23-1C93-4309-905A-71330F4108A9}"/>
    <cellStyle name="Normal 2 2 39 2 4" xfId="15146" xr:uid="{CA8EA076-C729-41F5-B8C9-EB7630063A7C}"/>
    <cellStyle name="Normal 2 2 39 2 5" xfId="15147" xr:uid="{3F5921EF-301B-4177-9FCB-E300BB2A29A9}"/>
    <cellStyle name="Normal 2 2 39 2 6" xfId="15148" xr:uid="{EE44283A-DCD0-4920-8248-93A9F674EEEE}"/>
    <cellStyle name="Normal 2 2 39 2 7" xfId="15149" xr:uid="{964030AC-E6A6-4D89-A223-DA174ADE4226}"/>
    <cellStyle name="Normal 2 2 39 2 8" xfId="15150" xr:uid="{0CC8287B-6DBB-4D66-87FA-34DD7F28BD5E}"/>
    <cellStyle name="Normal 2 2 39 2 9" xfId="15151" xr:uid="{9E190FFC-193C-467E-842F-56A995D51CBA}"/>
    <cellStyle name="Normal 2 2 39 3" xfId="15152" xr:uid="{A298EE71-0AD8-4B52-A320-A61EFE84CDBF}"/>
    <cellStyle name="Normal 2 2 39 3 2" xfId="15153" xr:uid="{91FD5097-63EB-44EB-9430-8E86BD95697D}"/>
    <cellStyle name="Normal 2 2 39 3 2 2" xfId="15154" xr:uid="{1AA56FDC-739D-442A-82DC-4A0A86A9131E}"/>
    <cellStyle name="Normal 2 2 39 3 2 3" xfId="15155" xr:uid="{940E7260-7A14-414E-9A2B-0ACC0C100EE2}"/>
    <cellStyle name="Normal 2 2 39 3 2 4" xfId="15156" xr:uid="{8769E7C2-A5A6-4ACA-A3AF-07F239566495}"/>
    <cellStyle name="Normal 2 2 39 3 2 5" xfId="15157" xr:uid="{4240C700-90FC-45EC-BD99-CBF1D652D5E2}"/>
    <cellStyle name="Normal 2 2 39 3 2 6" xfId="15158" xr:uid="{1437FD83-12BA-4FA4-B6CA-0A5020014334}"/>
    <cellStyle name="Normal 2 2 39 3 2 7" xfId="15159" xr:uid="{5B8294B9-820F-4603-88A5-232A1A328B09}"/>
    <cellStyle name="Normal 2 2 39 3 2 8" xfId="15160" xr:uid="{BA3E6D3E-B577-4429-857E-0659CCA6DC53}"/>
    <cellStyle name="Normal 2 2 39 3 2 9" xfId="15161" xr:uid="{D2D675DC-17E4-403C-AFA1-6F1359755D34}"/>
    <cellStyle name="Normal 2 2 39 3 3" xfId="15162" xr:uid="{22A50960-DF42-4CA0-BA81-DCEC3D6CD438}"/>
    <cellStyle name="Normal 2 2 39 3 4" xfId="15163" xr:uid="{050531C3-3453-4325-8ED1-98BD9BBDD20A}"/>
    <cellStyle name="Normal 2 2 39 3 5" xfId="15164" xr:uid="{C557B70E-B44D-4D99-9C4F-B57C0725A4BA}"/>
    <cellStyle name="Normal 2 2 39 3 6" xfId="15165" xr:uid="{C4946F40-5AD7-49A3-BDAF-1E0311AF7112}"/>
    <cellStyle name="Normal 2 2 39 3 7" xfId="15166" xr:uid="{492D0B37-CD84-43A8-8581-EA63DF9207B0}"/>
    <cellStyle name="Normal 2 2 39 3 8" xfId="15167" xr:uid="{575DE1BB-9A68-473A-8660-432C4C74F023}"/>
    <cellStyle name="Normal 2 2 39 3 9" xfId="15168" xr:uid="{8462E08A-69B0-4380-BD8A-08AEE550F7FB}"/>
    <cellStyle name="Normal 2 2 39 4" xfId="15169" xr:uid="{D44E36EE-4A86-40D4-8B90-41AF5CFCFEFC}"/>
    <cellStyle name="Normal 2 2 39 5" xfId="15170" xr:uid="{5FDBCF9E-53F2-4D44-B945-CBA56DA26888}"/>
    <cellStyle name="Normal 2 2 39 6" xfId="15171" xr:uid="{A567B5E4-9519-4D29-AD09-EDBCA7661D01}"/>
    <cellStyle name="Normal 2 2 39 7" xfId="15172" xr:uid="{C62C9A06-37D2-4C49-AD81-A58ED795837C}"/>
    <cellStyle name="Normal 2 2 39 8" xfId="15173" xr:uid="{C6EE3D70-7ED6-4EEF-B657-11DFF8FA7594}"/>
    <cellStyle name="Normal 2 2 39 9" xfId="15174" xr:uid="{B8F10B02-7B50-45D8-9FCB-26370F39B619}"/>
    <cellStyle name="Normal 2 2 4" xfId="15175" xr:uid="{9BC9C640-A692-4401-8F8F-C9B1E703EDE1}"/>
    <cellStyle name="Normal 2 2 4 2" xfId="15176" xr:uid="{005B63C4-5B52-4C8B-94E2-5BE471816975}"/>
    <cellStyle name="Normal 2 2 40" xfId="15177" xr:uid="{2D549F48-4553-46B9-A0CA-8E130831B2F7}"/>
    <cellStyle name="Normal 2 2 40 2" xfId="15178" xr:uid="{9B628D77-7273-4AA7-A504-5C1EB03EF15A}"/>
    <cellStyle name="Normal 2 2 41" xfId="15179" xr:uid="{3A383DFF-B631-4CA6-9E2E-135EA5FE3E2C}"/>
    <cellStyle name="Normal 2 2 41 2" xfId="15180" xr:uid="{4348A7D1-5933-4990-A832-CCFBB9AC541D}"/>
    <cellStyle name="Normal 2 2 42" xfId="15181" xr:uid="{AFC11DD0-7671-4C5D-ADCF-9EB7925C2B8C}"/>
    <cellStyle name="Normal 2 2 42 2" xfId="15182" xr:uid="{2A318A80-EE25-47E9-9D9E-B6B3407ABFD0}"/>
    <cellStyle name="Normal 2 2 43" xfId="15183" xr:uid="{7A94A9EE-5D64-45A7-A562-13B485E4BE98}"/>
    <cellStyle name="Normal 2 2 43 2" xfId="15184" xr:uid="{FC82C2CE-8C4D-4D2A-9098-BDEACE217AAA}"/>
    <cellStyle name="Normal 2 2 44" xfId="15185" xr:uid="{35BCB92A-48E5-4FDA-9BC5-050A17B79CA2}"/>
    <cellStyle name="Normal 2 2 44 2" xfId="15186" xr:uid="{0428B86B-4F68-4E47-9D7B-FC292244188D}"/>
    <cellStyle name="Normal 2 2 45" xfId="15187" xr:uid="{4DFB3408-F279-47AC-96D3-962F578D28A4}"/>
    <cellStyle name="Normal 2 2 45 2" xfId="15188" xr:uid="{1C1C8837-4DF7-4C48-9587-194348FBB4BE}"/>
    <cellStyle name="Normal 2 2 46" xfId="15189" xr:uid="{F2F19840-BA9B-431A-A50E-06533F417A23}"/>
    <cellStyle name="Normal 2 2 46 2" xfId="15190" xr:uid="{49C907B5-3631-464A-A89D-5207A1911A03}"/>
    <cellStyle name="Normal 2 2 47" xfId="15191" xr:uid="{5EBF636E-12DB-492A-B247-2D82B53D5E55}"/>
    <cellStyle name="Normal 2 2 47 2" xfId="15192" xr:uid="{0D1D588B-3A28-4262-8DE5-AB9235D55DE9}"/>
    <cellStyle name="Normal 2 2 48" xfId="15193" xr:uid="{E0707247-42CE-4EFB-B467-BE1BAE8BEA61}"/>
    <cellStyle name="Normal 2 2 48 2" xfId="15194" xr:uid="{BA41D4AD-84BE-4DF0-B7FB-C28CF7F399CB}"/>
    <cellStyle name="Normal 2 2 49" xfId="15195" xr:uid="{83E3F5F3-273D-4F53-8939-374701F93880}"/>
    <cellStyle name="Normal 2 2 49 10" xfId="15196" xr:uid="{BDF86184-668C-4953-A9AD-45C0C7FC4741}"/>
    <cellStyle name="Normal 2 2 49 2" xfId="15197" xr:uid="{9105A22B-608B-470E-8C45-785D1625D0BB}"/>
    <cellStyle name="Normal 2 2 49 2 2" xfId="15198" xr:uid="{3026602B-387A-454A-8510-F80574CD83F7}"/>
    <cellStyle name="Normal 2 2 49 2 3" xfId="15199" xr:uid="{07463DEB-DDF1-45EB-8F08-D88B82036D56}"/>
    <cellStyle name="Normal 2 2 49 2 4" xfId="15200" xr:uid="{7BE631C2-00DD-4AB6-822E-3F30B31DCCE2}"/>
    <cellStyle name="Normal 2 2 49 2 5" xfId="15201" xr:uid="{BFEFD98C-441E-4924-A6B1-BE8573167A79}"/>
    <cellStyle name="Normal 2 2 49 2 6" xfId="15202" xr:uid="{24E0DB76-AC29-43B5-8BE0-29BEF479642F}"/>
    <cellStyle name="Normal 2 2 49 2 7" xfId="15203" xr:uid="{67BDF2FE-C3D9-4327-BAA9-6179D781B522}"/>
    <cellStyle name="Normal 2 2 49 2 8" xfId="15204" xr:uid="{608C79DF-CBBD-43FA-A7E6-625FB89531B1}"/>
    <cellStyle name="Normal 2 2 49 2 9" xfId="15205" xr:uid="{21CF817A-A9F4-41A9-973A-8219BED65348}"/>
    <cellStyle name="Normal 2 2 49 3" xfId="15206" xr:uid="{D941C68A-9D67-4865-B8E4-3C825DBD9DBF}"/>
    <cellStyle name="Normal 2 2 49 4" xfId="15207" xr:uid="{70D42D40-3A24-495D-9A4A-469038ED59E8}"/>
    <cellStyle name="Normal 2 2 49 5" xfId="15208" xr:uid="{F8E04FCC-3FE3-4938-A2CE-6A37957C169B}"/>
    <cellStyle name="Normal 2 2 49 6" xfId="15209" xr:uid="{286F7677-C35C-41B8-B807-0A7AC4926251}"/>
    <cellStyle name="Normal 2 2 49 7" xfId="15210" xr:uid="{19A75E70-7301-4BE9-95DA-974E7A8D7B6E}"/>
    <cellStyle name="Normal 2 2 49 8" xfId="15211" xr:uid="{E9CC8D74-5881-4D4A-819C-6B00EEB96EA9}"/>
    <cellStyle name="Normal 2 2 49 9" xfId="15212" xr:uid="{27AA1028-7FB0-422F-A523-105B897C9BE3}"/>
    <cellStyle name="Normal 2 2 5" xfId="15213" xr:uid="{277823F4-B730-43F2-92C9-269323B1D021}"/>
    <cellStyle name="Normal 2 2 5 2" xfId="15214" xr:uid="{9EC7E495-2B21-42D7-B8E0-8C27A01601D7}"/>
    <cellStyle name="Normal 2 2 50" xfId="15215" xr:uid="{998F9423-2843-4D28-8371-E2FC0AA717C2}"/>
    <cellStyle name="Normal 2 2 50 2" xfId="15216" xr:uid="{DB7C8F3C-7C3A-4B4D-A463-D1D027E9BAF4}"/>
    <cellStyle name="Normal 2 2 51" xfId="15217" xr:uid="{AF42E4C4-49D2-4234-9441-856853AADB98}"/>
    <cellStyle name="Normal 2 2 51 2" xfId="15218" xr:uid="{5FF95949-191F-416A-8031-E8C62A72CC6C}"/>
    <cellStyle name="Normal 2 2 52" xfId="15219" xr:uid="{413A1998-8665-4A94-BAAC-96A888C80349}"/>
    <cellStyle name="Normal 2 2 52 2" xfId="15220" xr:uid="{71FB11F9-D7FC-4089-8CBB-29924304D64F}"/>
    <cellStyle name="Normal 2 2 53" xfId="15221" xr:uid="{EA2161FA-BFA1-43AF-8419-BE478595873E}"/>
    <cellStyle name="Normal 2 2 53 2" xfId="15222" xr:uid="{D619A0D9-9B27-401F-B882-A5A323B6314A}"/>
    <cellStyle name="Normal 2 2 54" xfId="15223" xr:uid="{85AAA7D8-6555-4B41-A8DD-CA70D1486616}"/>
    <cellStyle name="Normal 2 2 54 2" xfId="15224" xr:uid="{592AEB23-7C88-47C3-B438-2A5F3E663FD7}"/>
    <cellStyle name="Normal 2 2 55" xfId="15225" xr:uid="{2E13F516-B3E5-40E3-9301-5BAB8E223209}"/>
    <cellStyle name="Normal 2 2 55 2" xfId="15226" xr:uid="{F08FE9A1-7388-443E-92F6-4FCF91728C24}"/>
    <cellStyle name="Normal 2 2 56" xfId="15227" xr:uid="{309BC796-6DA1-42D7-B30A-8381D055497A}"/>
    <cellStyle name="Normal 2 2 56 2" xfId="15228" xr:uid="{F5095C70-5B21-4A9B-917B-9447530C296B}"/>
    <cellStyle name="Normal 2 2 57" xfId="15229" xr:uid="{C49C06FC-42EB-46F7-916A-CE3425713BBC}"/>
    <cellStyle name="Normal 2 2 57 2" xfId="15230" xr:uid="{83F816DD-D84A-48B3-9B69-562B3FECEFD6}"/>
    <cellStyle name="Normal 2 2 58" xfId="15231" xr:uid="{4EFCCE8E-6EBC-48C6-A6AD-CA8AF6E45E76}"/>
    <cellStyle name="Normal 2 2 58 2" xfId="15232" xr:uid="{A6EC577F-9111-4823-A813-795047616082}"/>
    <cellStyle name="Normal 2 2 59" xfId="15233" xr:uid="{49EA304F-C280-4425-8149-0C813D60F747}"/>
    <cellStyle name="Normal 2 2 59 2" xfId="15234" xr:uid="{8400BF56-513B-4906-9BB4-2E3C03A70F36}"/>
    <cellStyle name="Normal 2 2 6" xfId="15235" xr:uid="{BE9A3894-0EC4-45A7-9F27-2D31F1977595}"/>
    <cellStyle name="Normal 2 2 6 2" xfId="15236" xr:uid="{59C37A4D-13E1-406D-8E8B-75F99DA725D5}"/>
    <cellStyle name="Normal 2 2 60" xfId="15237" xr:uid="{CF430555-F0B1-48D5-B5BC-215968ED7F6B}"/>
    <cellStyle name="Normal 2 2 60 2" xfId="15238" xr:uid="{490BAC3D-A2B2-49A3-9914-96416ED69068}"/>
    <cellStyle name="Normal 2 2 61" xfId="15239" xr:uid="{8CC3A071-1056-4691-97AF-176AE58825F9}"/>
    <cellStyle name="Normal 2 2 61 2" xfId="15240" xr:uid="{E5EA92DE-6FDF-4E90-B50D-62CE8CC4B729}"/>
    <cellStyle name="Normal 2 2 62" xfId="15241" xr:uid="{3B0567D8-0CBD-4966-907B-AA306BB6B4AA}"/>
    <cellStyle name="Normal 2 2 62 2" xfId="15242" xr:uid="{14ADEE67-6144-47FD-9813-2E4A7D50BFDC}"/>
    <cellStyle name="Normal 2 2 62 3" xfId="15243" xr:uid="{9F559F8B-BA41-4D00-8ED2-0FA7620C12EE}"/>
    <cellStyle name="Normal 2 2 63" xfId="15244" xr:uid="{85550AC2-D2D0-4EA8-BBFE-656EA2B2CB85}"/>
    <cellStyle name="Normal 2 2 63 2" xfId="15245" xr:uid="{F3F391F9-67F8-494F-8531-167F08C2CA5F}"/>
    <cellStyle name="Normal 2 2 64" xfId="15246" xr:uid="{F7B743E2-F806-4BD2-95F6-D1642810DD3E}"/>
    <cellStyle name="Normal 2 2 64 2" xfId="15247" xr:uid="{94789950-C381-464A-9FDD-8150D942E754}"/>
    <cellStyle name="Normal 2 2 65" xfId="15248" xr:uid="{7C4AD2F9-8ABB-49F7-B21A-2471A2538420}"/>
    <cellStyle name="Normal 2 2 65 2" xfId="15249" xr:uid="{C01FEB82-CEB7-489B-813F-F197F1D00253}"/>
    <cellStyle name="Normal 2 2 65 2 2" xfId="15250" xr:uid="{043FA793-0871-4920-AC73-3105493DE9A9}"/>
    <cellStyle name="Normal 2 2 65 2 2 2" xfId="15251" xr:uid="{027C6F3B-F6F7-42FE-AB68-5C289CEFC6D8}"/>
    <cellStyle name="Normal 2 2 65 3" xfId="15252" xr:uid="{3CC8FC0F-9E0A-4050-8997-54B83E549B68}"/>
    <cellStyle name="Normal 2 2 65 4" xfId="15253" xr:uid="{65CD5B93-F049-4CDD-8E50-9DC1561C1888}"/>
    <cellStyle name="Normal 2 2 65 5" xfId="15254" xr:uid="{44DA849C-1E66-4409-83E5-3879B88CCF6A}"/>
    <cellStyle name="Normal 2 2 65 6" xfId="15255" xr:uid="{F979C497-CA15-4FE2-9694-11C4FDA79F88}"/>
    <cellStyle name="Normal 2 2 66" xfId="15256" xr:uid="{E91E2E5B-4E8A-4C18-B939-5DF7CFADFBD2}"/>
    <cellStyle name="Normal 2 2 66 2" xfId="15257" xr:uid="{09B8845D-BC96-48F0-932F-0AD5A1C3AD4A}"/>
    <cellStyle name="Normal 2 2 66 2 2" xfId="15258" xr:uid="{AA67C67D-0B60-461B-9B1C-F8FE2A9A5C84}"/>
    <cellStyle name="Normal 2 2 67" xfId="15259" xr:uid="{185F39C4-6F90-4411-872D-D1C53A364649}"/>
    <cellStyle name="Normal 2 2 68" xfId="15260" xr:uid="{C1928B42-30A1-432A-8C69-843580422FDF}"/>
    <cellStyle name="Normal 2 2 69" xfId="15261" xr:uid="{6624490E-D4BD-4364-B67F-8959383CC31B}"/>
    <cellStyle name="Normal 2 2 7" xfId="15262" xr:uid="{F9B4894C-4EBD-41AF-AF8D-1ECB5A6F3C5D}"/>
    <cellStyle name="Normal 2 2 7 2" xfId="15263" xr:uid="{276896E0-49C0-41F6-8457-79D9307CAB19}"/>
    <cellStyle name="Normal 2 2 70" xfId="15264" xr:uid="{71EE25C7-BBC8-4716-A84F-01594FB40948}"/>
    <cellStyle name="Normal 2 2 71" xfId="15265" xr:uid="{4BAC404A-E5DB-48D6-B8D6-F939098FC534}"/>
    <cellStyle name="Normal 2 2 72" xfId="15266" xr:uid="{2ABF64A8-A9A5-47F7-872D-53F66ED7DFA5}"/>
    <cellStyle name="Normal 2 2 73" xfId="15267" xr:uid="{428CB97F-E63D-439F-80CC-745238323B2D}"/>
    <cellStyle name="Normal 2 2 74" xfId="15268" xr:uid="{70D4C78A-6D83-43F2-8881-D0044B0DE67B}"/>
    <cellStyle name="Normal 2 2 75" xfId="15269" xr:uid="{FF121CA2-A209-40D6-81EB-FE5D32287D9D}"/>
    <cellStyle name="Normal 2 2 76" xfId="15270" xr:uid="{F45C1370-E42C-479B-8912-902B6D77A2DC}"/>
    <cellStyle name="Normal 2 2 77" xfId="15271" xr:uid="{FD205B1E-F511-46B2-A69C-70ADD584C74F}"/>
    <cellStyle name="Normal 2 2 77 10" xfId="15272" xr:uid="{EE9403BE-1F6B-4967-A9F8-D728209C1D69}"/>
    <cellStyle name="Normal 2 2 77 11" xfId="15273" xr:uid="{160BE124-9923-4D82-A766-ADF8E853A54A}"/>
    <cellStyle name="Normal 2 2 77 11 10" xfId="15274" xr:uid="{98E301A5-5E69-4F20-B817-1120B6E72F0C}"/>
    <cellStyle name="Normal 2 2 77 11 11" xfId="15275" xr:uid="{D7A18BE2-284A-4035-BF53-CE80DDC97331}"/>
    <cellStyle name="Normal 2 2 77 11 11 2" xfId="15276" xr:uid="{66ADD0D5-A30B-44B3-B5D0-9E11FA8AA1AF}"/>
    <cellStyle name="Normal 2 2 77 11 11 3" xfId="15277" xr:uid="{0BC8F425-980D-463C-A37C-C22EA4FB4163}"/>
    <cellStyle name="Normal 2 2 77 11 11 4" xfId="15278" xr:uid="{18407B1C-1CDF-49C5-8BA1-7751D96DBD7E}"/>
    <cellStyle name="Normal 2 2 77 11 12" xfId="15279" xr:uid="{24187483-4B43-4F10-A19A-846FCA8F50E2}"/>
    <cellStyle name="Normal 2 2 77 11 13" xfId="15280" xr:uid="{AEABCE3A-359E-430C-9D27-D0B0427A748A}"/>
    <cellStyle name="Normal 2 2 77 11 14" xfId="15281" xr:uid="{71E7BD4C-0950-4D4F-B2AD-3887B6571EA2}"/>
    <cellStyle name="Normal 2 2 77 11 2" xfId="15282" xr:uid="{C2511DE3-DE99-4356-97EE-7B48CBBBFE25}"/>
    <cellStyle name="Normal 2 2 77 11 2 10" xfId="15283" xr:uid="{0A661BE5-3D2E-4206-A57C-CDDC9B8E94CF}"/>
    <cellStyle name="Normal 2 2 77 11 2 11" xfId="15284" xr:uid="{2062711B-E85A-4C1C-AF9E-B90CEDC81E02}"/>
    <cellStyle name="Normal 2 2 77 11 2 2" xfId="15285" xr:uid="{B8BA1C77-F599-4C0A-B31C-C11BACE446CE}"/>
    <cellStyle name="Normal 2 2 77 11 2 2 10" xfId="15286" xr:uid="{46402E38-E9B2-4B1B-9F09-873A94565C16}"/>
    <cellStyle name="Normal 2 2 77 11 2 2 11" xfId="15287" xr:uid="{74D8A9A2-2043-4D7E-98DC-2F551B8F3DBF}"/>
    <cellStyle name="Normal 2 2 77 11 2 2 2" xfId="15288" xr:uid="{4ED3D13E-0D06-4046-BD9B-79685BF59571}"/>
    <cellStyle name="Normal 2 2 77 11 2 2 2 2" xfId="15289" xr:uid="{9150D63B-8674-418E-A7FD-AF2F95AF3729}"/>
    <cellStyle name="Normal 2 2 77 11 2 2 2 2 2" xfId="15290" xr:uid="{4621C3D3-E40B-4954-B127-362AB6AEA425}"/>
    <cellStyle name="Normal 2 2 77 11 2 2 2 2 3" xfId="15291" xr:uid="{C2D80E8C-8F85-4DF0-977C-79AB90F28A5E}"/>
    <cellStyle name="Normal 2 2 77 11 2 2 2 2 4" xfId="15292" xr:uid="{85B501EA-E6EE-4DE6-B0E2-7986568BE05D}"/>
    <cellStyle name="Normal 2 2 77 11 2 2 2 3" xfId="15293" xr:uid="{47803D6A-6302-41F6-9A0A-C8A24ACF526F}"/>
    <cellStyle name="Normal 2 2 77 11 2 2 2 4" xfId="15294" xr:uid="{8ABEB696-C39F-423F-9414-C4B9136A1E00}"/>
    <cellStyle name="Normal 2 2 77 11 2 2 2 5" xfId="15295" xr:uid="{FB5DF2AA-FA83-45FD-9361-8C78DA9B2DA9}"/>
    <cellStyle name="Normal 2 2 77 11 2 2 2 6" xfId="15296" xr:uid="{030928A6-B781-4C81-A8E3-76F7AE2F0B5D}"/>
    <cellStyle name="Normal 2 2 77 11 2 2 3" xfId="15297" xr:uid="{60185AC3-BF7A-462F-8603-929217539AE9}"/>
    <cellStyle name="Normal 2 2 77 11 2 2 4" xfId="15298" xr:uid="{B1E7221B-5B1D-481F-B894-B16ABA548022}"/>
    <cellStyle name="Normal 2 2 77 11 2 2 5" xfId="15299" xr:uid="{53E3E275-75CC-470B-B146-1DCA1429A552}"/>
    <cellStyle name="Normal 2 2 77 11 2 2 6" xfId="15300" xr:uid="{780BBCDB-F24D-4FA8-A8DA-D7E25521A1DA}"/>
    <cellStyle name="Normal 2 2 77 11 2 2 7" xfId="15301" xr:uid="{88D2CF0C-5FB7-4F26-83B0-7CDFA6FC6F6B}"/>
    <cellStyle name="Normal 2 2 77 11 2 2 8" xfId="15302" xr:uid="{F0FDBDB6-01F4-4F18-80E5-69E27489EA2D}"/>
    <cellStyle name="Normal 2 2 77 11 2 2 8 2" xfId="15303" xr:uid="{C649B619-3CB1-4C8E-B6C8-0E99DF60A933}"/>
    <cellStyle name="Normal 2 2 77 11 2 2 8 3" xfId="15304" xr:uid="{B5C9EA59-8EC7-425C-B004-5614CDAE5FEA}"/>
    <cellStyle name="Normal 2 2 77 11 2 2 8 4" xfId="15305" xr:uid="{0EDD97E2-AC67-4F9C-8AFD-4309F8B135B1}"/>
    <cellStyle name="Normal 2 2 77 11 2 2 9" xfId="15306" xr:uid="{0F9946CA-612F-46B0-A884-E6B93A96E926}"/>
    <cellStyle name="Normal 2 2 77 11 2 3" xfId="15307" xr:uid="{5CA012E2-F3EA-405B-BCD1-EA454EAF6705}"/>
    <cellStyle name="Normal 2 2 77 11 2 3 2" xfId="15308" xr:uid="{FE513170-3052-41CA-AF58-85DC637653D0}"/>
    <cellStyle name="Normal 2 2 77 11 2 3 2 2" xfId="15309" xr:uid="{7F318509-C56C-47D5-B1AB-4B909A2F49DA}"/>
    <cellStyle name="Normal 2 2 77 11 2 3 2 3" xfId="15310" xr:uid="{D8246606-A6F5-462B-8CC8-4F343C1B2D62}"/>
    <cellStyle name="Normal 2 2 77 11 2 3 2 4" xfId="15311" xr:uid="{ACE3002A-3E43-4A05-B644-92F946916AF7}"/>
    <cellStyle name="Normal 2 2 77 11 2 3 3" xfId="15312" xr:uid="{296653DC-0276-48D6-AF5B-294B86D2DC76}"/>
    <cellStyle name="Normal 2 2 77 11 2 3 4" xfId="15313" xr:uid="{260F5F71-D25B-4E2D-8787-329787275F43}"/>
    <cellStyle name="Normal 2 2 77 11 2 3 5" xfId="15314" xr:uid="{11AD2582-870A-494F-923C-784CB6955771}"/>
    <cellStyle name="Normal 2 2 77 11 2 3 6" xfId="15315" xr:uid="{93BB95BA-13C8-42F6-BF81-DD63CFE073AE}"/>
    <cellStyle name="Normal 2 2 77 11 2 4" xfId="15316" xr:uid="{45CF04B7-1919-4F54-9E63-439EFA9BF4C5}"/>
    <cellStyle name="Normal 2 2 77 11 2 5" xfId="15317" xr:uid="{38C6A3B5-810B-4BBC-9A2B-D99E30A87950}"/>
    <cellStyle name="Normal 2 2 77 11 2 6" xfId="15318" xr:uid="{94CB950C-9A80-48D1-B2E8-EDBB6414E124}"/>
    <cellStyle name="Normal 2 2 77 11 2 7" xfId="15319" xr:uid="{A6543B39-CB8A-40A0-83AF-B1AEE2B0F898}"/>
    <cellStyle name="Normal 2 2 77 11 2 8" xfId="15320" xr:uid="{858F746D-5632-48D7-B73B-3F09F30F03D5}"/>
    <cellStyle name="Normal 2 2 77 11 2 8 2" xfId="15321" xr:uid="{3C4AE98A-2B3B-468C-ABBC-ED335A0DEC1E}"/>
    <cellStyle name="Normal 2 2 77 11 2 8 3" xfId="15322" xr:uid="{5CB8F466-EC33-44FB-84F6-F6F62B1F785D}"/>
    <cellStyle name="Normal 2 2 77 11 2 8 4" xfId="15323" xr:uid="{27EC9F07-2CEC-41BD-9C8D-60BDFE972F8C}"/>
    <cellStyle name="Normal 2 2 77 11 2 9" xfId="15324" xr:uid="{1B04CE9B-ED18-4A42-82F3-18594834AD65}"/>
    <cellStyle name="Normal 2 2 77 11 3" xfId="15325" xr:uid="{61FCDA2A-FABF-45AC-8606-4F2334CF5216}"/>
    <cellStyle name="Normal 2 2 77 11 4" xfId="15326" xr:uid="{B2EA80ED-0DBB-4F46-AF45-9304921E8E2C}"/>
    <cellStyle name="Normal 2 2 77 11 5" xfId="15327" xr:uid="{A3498180-31B4-40A2-B861-C7DF21D6E3C9}"/>
    <cellStyle name="Normal 2 2 77 11 5 2" xfId="15328" xr:uid="{4AE7E77C-0F58-4B08-9FD6-8E3EF7A00CA2}"/>
    <cellStyle name="Normal 2 2 77 11 5 2 2" xfId="15329" xr:uid="{6EC94F79-AE47-4557-BC70-74DDFBC92C14}"/>
    <cellStyle name="Normal 2 2 77 11 5 2 3" xfId="15330" xr:uid="{35850CAA-5F93-4AA3-9FCD-06BDDCD95A9B}"/>
    <cellStyle name="Normal 2 2 77 11 5 2 4" xfId="15331" xr:uid="{2BDB72B4-7A93-4807-AC40-7CFBFAF0D91A}"/>
    <cellStyle name="Normal 2 2 77 11 5 3" xfId="15332" xr:uid="{23259BF0-85ED-4750-8E72-734531F77147}"/>
    <cellStyle name="Normal 2 2 77 11 5 4" xfId="15333" xr:uid="{6B7E6D8A-B538-461B-A287-3C78FEC08B2C}"/>
    <cellStyle name="Normal 2 2 77 11 5 5" xfId="15334" xr:uid="{D052B11D-ABEE-4BC9-9B4A-FF63C9D8C566}"/>
    <cellStyle name="Normal 2 2 77 11 5 6" xfId="15335" xr:uid="{00EBF081-352C-4B40-AFA9-797FF4D660EE}"/>
    <cellStyle name="Normal 2 2 77 11 6" xfId="15336" xr:uid="{9A352DD8-A4EB-427F-9C61-CE031398FF4A}"/>
    <cellStyle name="Normal 2 2 77 11 7" xfId="15337" xr:uid="{A6A4A078-7639-446F-B577-EF9E5588634E}"/>
    <cellStyle name="Normal 2 2 77 11 8" xfId="15338" xr:uid="{3A949F78-094E-46CE-A69A-F54C687846D9}"/>
    <cellStyle name="Normal 2 2 77 11 9" xfId="15339" xr:uid="{C5CAE407-923E-46AE-96DC-D615722CF616}"/>
    <cellStyle name="Normal 2 2 77 12" xfId="15340" xr:uid="{2F15AB8F-EE85-437B-B38E-FDF3E95CD768}"/>
    <cellStyle name="Normal 2 2 77 13" xfId="15341" xr:uid="{A68A6D0C-5EE4-4600-B455-A67DC9BCE94B}"/>
    <cellStyle name="Normal 2 2 77 13 10" xfId="15342" xr:uid="{0459FE4F-7094-4031-A81E-6B555AC133E5}"/>
    <cellStyle name="Normal 2 2 77 13 11" xfId="15343" xr:uid="{AD06A724-D5B0-4AD0-A4ED-5FC3026652C3}"/>
    <cellStyle name="Normal 2 2 77 13 2" xfId="15344" xr:uid="{4A947FF1-4F23-4BD9-AE44-1F1BD16F4617}"/>
    <cellStyle name="Normal 2 2 77 13 2 10" xfId="15345" xr:uid="{ACA564A2-3E17-4D95-B1D4-60BAADE80554}"/>
    <cellStyle name="Normal 2 2 77 13 2 11" xfId="15346" xr:uid="{DD3A94A0-CD7C-4DFB-8EB6-49FDB048DBDB}"/>
    <cellStyle name="Normal 2 2 77 13 2 2" xfId="15347" xr:uid="{9F7B3F22-66A0-4B9E-968B-38901EFF0BFF}"/>
    <cellStyle name="Normal 2 2 77 13 2 2 2" xfId="15348" xr:uid="{897C088F-8B49-4742-96EE-25E83B1D4576}"/>
    <cellStyle name="Normal 2 2 77 13 2 2 2 2" xfId="15349" xr:uid="{583D906E-3219-4207-86EF-57575C2C07E5}"/>
    <cellStyle name="Normal 2 2 77 13 2 2 2 3" xfId="15350" xr:uid="{43948D45-2B7D-4F9F-AD8F-600102D054A0}"/>
    <cellStyle name="Normal 2 2 77 13 2 2 2 4" xfId="15351" xr:uid="{69633A21-2F0E-4396-8EA7-042FBD73EE51}"/>
    <cellStyle name="Normal 2 2 77 13 2 2 3" xfId="15352" xr:uid="{8E6AFF51-E530-4AB8-9BE9-52C06BC9B29A}"/>
    <cellStyle name="Normal 2 2 77 13 2 2 4" xfId="15353" xr:uid="{63D3C6C2-DC1F-46AE-9610-0A411996B698}"/>
    <cellStyle name="Normal 2 2 77 13 2 2 5" xfId="15354" xr:uid="{40EF39A8-E4D6-4B4A-AF91-9C90411EEC36}"/>
    <cellStyle name="Normal 2 2 77 13 2 2 6" xfId="15355" xr:uid="{E738B1E8-6946-43E4-B628-0555718CA054}"/>
    <cellStyle name="Normal 2 2 77 13 2 3" xfId="15356" xr:uid="{B5F6FF95-79AA-42F2-8700-D33A36613B11}"/>
    <cellStyle name="Normal 2 2 77 13 2 4" xfId="15357" xr:uid="{54F6D50F-F376-4604-93C2-C7CDAD454A7B}"/>
    <cellStyle name="Normal 2 2 77 13 2 5" xfId="15358" xr:uid="{08E020D6-3312-4CF7-B812-D4B645C77C6D}"/>
    <cellStyle name="Normal 2 2 77 13 2 6" xfId="15359" xr:uid="{4CA01C2B-4BEC-4751-B310-6152E177B97D}"/>
    <cellStyle name="Normal 2 2 77 13 2 7" xfId="15360" xr:uid="{83C0FB68-DCA0-429C-8291-BDF96162ACDD}"/>
    <cellStyle name="Normal 2 2 77 13 2 8" xfId="15361" xr:uid="{1E30746E-0937-44F9-9B2C-8471B75A1A0E}"/>
    <cellStyle name="Normal 2 2 77 13 2 8 2" xfId="15362" xr:uid="{ABDFF664-38F7-4442-B008-977F0032B442}"/>
    <cellStyle name="Normal 2 2 77 13 2 8 3" xfId="15363" xr:uid="{0646B678-CF51-40D9-9B1F-7B95C6E17FFB}"/>
    <cellStyle name="Normal 2 2 77 13 2 8 4" xfId="15364" xr:uid="{8739C0EF-4883-4758-B442-408B5D0B1A92}"/>
    <cellStyle name="Normal 2 2 77 13 2 9" xfId="15365" xr:uid="{1E03303F-581F-4859-870C-2CA25E156485}"/>
    <cellStyle name="Normal 2 2 77 13 3" xfId="15366" xr:uid="{2BF81C01-038A-4508-9115-FDD5A6044113}"/>
    <cellStyle name="Normal 2 2 77 13 3 2" xfId="15367" xr:uid="{605CDFBD-7396-45F1-8AE9-24858BB45A32}"/>
    <cellStyle name="Normal 2 2 77 13 3 2 2" xfId="15368" xr:uid="{20721E12-3495-48D6-A843-1EC9B921819B}"/>
    <cellStyle name="Normal 2 2 77 13 3 2 3" xfId="15369" xr:uid="{9FC0A4B4-F410-47C6-A7E5-51BBB0E701BA}"/>
    <cellStyle name="Normal 2 2 77 13 3 2 4" xfId="15370" xr:uid="{982CFA46-3EF4-4F08-937A-A64DE0A89506}"/>
    <cellStyle name="Normal 2 2 77 13 3 3" xfId="15371" xr:uid="{074D5C2C-61DD-41AD-8907-17A1B981800C}"/>
    <cellStyle name="Normal 2 2 77 13 3 4" xfId="15372" xr:uid="{110A4D21-8D53-46D3-8DFA-97F679ECD9B9}"/>
    <cellStyle name="Normal 2 2 77 13 3 5" xfId="15373" xr:uid="{4B593583-2F23-4094-9AA9-DDB408A23F18}"/>
    <cellStyle name="Normal 2 2 77 13 3 6" xfId="15374" xr:uid="{E8636CE0-24DF-4073-8AF4-76FEE393819A}"/>
    <cellStyle name="Normal 2 2 77 13 4" xfId="15375" xr:uid="{2B78904C-4A12-4406-A800-E82F4FA08575}"/>
    <cellStyle name="Normal 2 2 77 13 5" xfId="15376" xr:uid="{EC3FD15E-E201-4690-8B9D-0C95240A6CDF}"/>
    <cellStyle name="Normal 2 2 77 13 6" xfId="15377" xr:uid="{D93CF512-E3B6-4C0E-AA76-15E3C1FB8716}"/>
    <cellStyle name="Normal 2 2 77 13 7" xfId="15378" xr:uid="{5AFA5EF3-184B-42CE-9C15-3371511D9E73}"/>
    <cellStyle name="Normal 2 2 77 13 8" xfId="15379" xr:uid="{800D8C3C-2A62-4CB7-9D3D-1864EA073B6F}"/>
    <cellStyle name="Normal 2 2 77 13 8 2" xfId="15380" xr:uid="{B694AE48-EECD-4340-B586-1FF2C81328C5}"/>
    <cellStyle name="Normal 2 2 77 13 8 3" xfId="15381" xr:uid="{2056F433-4454-4BFF-8AE0-ECF0C8B939AF}"/>
    <cellStyle name="Normal 2 2 77 13 8 4" xfId="15382" xr:uid="{FB10DD82-3063-48B6-AF0F-97F323626549}"/>
    <cellStyle name="Normal 2 2 77 13 9" xfId="15383" xr:uid="{80678506-1B4C-4570-91FB-CD091EF5D875}"/>
    <cellStyle name="Normal 2 2 77 14" xfId="15384" xr:uid="{C1CE119F-69A0-4645-B103-0C35AE89D9B0}"/>
    <cellStyle name="Normal 2 2 77 15" xfId="15385" xr:uid="{ADD749C8-AC23-4184-B76C-F62D29EBB470}"/>
    <cellStyle name="Normal 2 2 77 15 2" xfId="15386" xr:uid="{C43A3959-72BC-4C2E-A0F1-36C6E10DB148}"/>
    <cellStyle name="Normal 2 2 77 15 2 2" xfId="15387" xr:uid="{5A1E761F-C192-477C-B570-9C2F1C57014C}"/>
    <cellStyle name="Normal 2 2 77 15 2 3" xfId="15388" xr:uid="{969F799F-1116-4846-97CD-E7160FDCA710}"/>
    <cellStyle name="Normal 2 2 77 15 2 4" xfId="15389" xr:uid="{7F857EB8-E69D-4782-820B-714091CF38FC}"/>
    <cellStyle name="Normal 2 2 77 15 3" xfId="15390" xr:uid="{7DF6F6AE-A488-4796-8019-FE0E6DB3CAD5}"/>
    <cellStyle name="Normal 2 2 77 15 4" xfId="15391" xr:uid="{A19D192D-5F04-4DD9-970F-B14D0BEE5B45}"/>
    <cellStyle name="Normal 2 2 77 15 5" xfId="15392" xr:uid="{3459C4E4-89BF-4FA5-96C9-D301B1F840DE}"/>
    <cellStyle name="Normal 2 2 77 15 6" xfId="15393" xr:uid="{3ACF7E26-1091-4BA8-B44B-5F8CD9B6E8BE}"/>
    <cellStyle name="Normal 2 2 77 16" xfId="15394" xr:uid="{810AE2C5-2597-4646-8ABA-D0DBACAC9983}"/>
    <cellStyle name="Normal 2 2 77 17" xfId="15395" xr:uid="{73706D91-0460-4903-8A9C-FACE1A3F0711}"/>
    <cellStyle name="Normal 2 2 77 18" xfId="15396" xr:uid="{C85FDB93-D275-4580-8813-DAA4E827D385}"/>
    <cellStyle name="Normal 2 2 77 19" xfId="15397" xr:uid="{786D3C4B-4DEA-4112-8B1A-21F41FAE864F}"/>
    <cellStyle name="Normal 2 2 77 2" xfId="15398" xr:uid="{383F7816-9732-4D2D-82D8-57C2B5E42AFD}"/>
    <cellStyle name="Normal 2 2 77 2 10" xfId="15399" xr:uid="{DCA55656-AE61-4B15-9D6F-7C48726FE9B8}"/>
    <cellStyle name="Normal 2 2 77 2 11" xfId="15400" xr:uid="{FDC8D8FE-87C2-4D4E-B212-8BA740187DCA}"/>
    <cellStyle name="Normal 2 2 77 2 12" xfId="15401" xr:uid="{C5BBC479-677A-4E1A-88FF-4BA6B67C0E87}"/>
    <cellStyle name="Normal 2 2 77 2 13" xfId="15402" xr:uid="{BF91A070-FA5E-491C-9295-35BE327722A0}"/>
    <cellStyle name="Normal 2 2 77 2 13 2" xfId="15403" xr:uid="{0A5CCD6A-B81E-4E9E-86D7-41B679716E15}"/>
    <cellStyle name="Normal 2 2 77 2 13 3" xfId="15404" xr:uid="{D1BDE789-A3B0-4549-8460-DBD1F38819C0}"/>
    <cellStyle name="Normal 2 2 77 2 13 4" xfId="15405" xr:uid="{26748CE3-C44B-42D5-9487-9A11DAD690BA}"/>
    <cellStyle name="Normal 2 2 77 2 14" xfId="15406" xr:uid="{FB13149C-6BC2-4460-92B1-BA57514FD2ED}"/>
    <cellStyle name="Normal 2 2 77 2 15" xfId="15407" xr:uid="{65E37AB9-45C3-463F-B368-A6D9C19EB2BC}"/>
    <cellStyle name="Normal 2 2 77 2 16" xfId="15408" xr:uid="{C90ABF56-0C56-4105-88E2-02B11188B28E}"/>
    <cellStyle name="Normal 2 2 77 2 2" xfId="15409" xr:uid="{F3BE43D7-42C3-4AAA-9689-AB0E37EB294A}"/>
    <cellStyle name="Normal 2 2 77 2 2 10" xfId="15410" xr:uid="{5AA3954A-2B66-49D9-A60A-831350461C13}"/>
    <cellStyle name="Normal 2 2 77 2 2 11" xfId="15411" xr:uid="{7A910755-B5E6-404C-BC04-BE60B60D9BFC}"/>
    <cellStyle name="Normal 2 2 77 2 2 11 2" xfId="15412" xr:uid="{93AA30F2-8AC4-496C-8EF1-C2780924D008}"/>
    <cellStyle name="Normal 2 2 77 2 2 11 3" xfId="15413" xr:uid="{D45CA787-B5ED-4F63-9313-09C61942F0E1}"/>
    <cellStyle name="Normal 2 2 77 2 2 11 4" xfId="15414" xr:uid="{D95C47E8-4FE7-48F3-88B4-410986CA216D}"/>
    <cellStyle name="Normal 2 2 77 2 2 12" xfId="15415" xr:uid="{5B1C97B0-C23C-43DD-BCAD-DDADA6DE658D}"/>
    <cellStyle name="Normal 2 2 77 2 2 13" xfId="15416" xr:uid="{7EBC4B9B-0A71-448A-86C5-78FCE6D4EBEF}"/>
    <cellStyle name="Normal 2 2 77 2 2 14" xfId="15417" xr:uid="{2106843F-25EF-409E-A19D-017AB7CF637B}"/>
    <cellStyle name="Normal 2 2 77 2 2 2" xfId="15418" xr:uid="{B1F97943-C260-4304-B2B8-AD247335D2EE}"/>
    <cellStyle name="Normal 2 2 77 2 2 2 10" xfId="15419" xr:uid="{E121D39F-CBB7-4F71-B6AC-CEC39214938C}"/>
    <cellStyle name="Normal 2 2 77 2 2 2 11" xfId="15420" xr:uid="{ADACC03A-A6A4-4CBF-A8D4-6F12AD58EADA}"/>
    <cellStyle name="Normal 2 2 77 2 2 2 2" xfId="15421" xr:uid="{EF4729C2-2DA1-4CC6-B086-4057CD5E3ECB}"/>
    <cellStyle name="Normal 2 2 77 2 2 2 2 10" xfId="15422" xr:uid="{FDED7B14-4337-4681-9B78-FC1199B6CA0F}"/>
    <cellStyle name="Normal 2 2 77 2 2 2 2 11" xfId="15423" xr:uid="{21B0DAA9-F7B0-4D38-88AC-C98CEC0AC1FF}"/>
    <cellStyle name="Normal 2 2 77 2 2 2 2 2" xfId="15424" xr:uid="{8242576E-2A2A-408D-997D-AB2BF476A896}"/>
    <cellStyle name="Normal 2 2 77 2 2 2 2 2 2" xfId="15425" xr:uid="{BC424B62-FDB7-4A5A-A002-15479BE8A552}"/>
    <cellStyle name="Normal 2 2 77 2 2 2 2 2 2 2" xfId="15426" xr:uid="{0878612F-B4D5-4E8C-ADC7-F0705BB88033}"/>
    <cellStyle name="Normal 2 2 77 2 2 2 2 2 2 3" xfId="15427" xr:uid="{1AD5B3A5-0894-411C-986D-B825F1CA63A0}"/>
    <cellStyle name="Normal 2 2 77 2 2 2 2 2 2 4" xfId="15428" xr:uid="{6408EC25-5ABC-4140-A6CB-37D5619EC646}"/>
    <cellStyle name="Normal 2 2 77 2 2 2 2 2 3" xfId="15429" xr:uid="{E0D49749-9C21-4386-A68E-1296E0F0F050}"/>
    <cellStyle name="Normal 2 2 77 2 2 2 2 2 4" xfId="15430" xr:uid="{5FED4923-080C-46F6-BAE4-C6BE7C2735BE}"/>
    <cellStyle name="Normal 2 2 77 2 2 2 2 2 5" xfId="15431" xr:uid="{C2D720CE-F124-4647-9002-EA357D3B5E0B}"/>
    <cellStyle name="Normal 2 2 77 2 2 2 2 2 6" xfId="15432" xr:uid="{73BB3140-96FC-418B-92AE-4068F5B58EB4}"/>
    <cellStyle name="Normal 2 2 77 2 2 2 2 3" xfId="15433" xr:uid="{0045EE20-5247-4B0B-BFAE-6AEC2B604B03}"/>
    <cellStyle name="Normal 2 2 77 2 2 2 2 4" xfId="15434" xr:uid="{A92AF74B-F8A7-47B6-B8FF-00918A235903}"/>
    <cellStyle name="Normal 2 2 77 2 2 2 2 5" xfId="15435" xr:uid="{66F88FE2-93BC-4BB4-9737-5E01328D363D}"/>
    <cellStyle name="Normal 2 2 77 2 2 2 2 6" xfId="15436" xr:uid="{E5985086-2ECF-447A-91AD-0515C3103A8D}"/>
    <cellStyle name="Normal 2 2 77 2 2 2 2 7" xfId="15437" xr:uid="{2B8B1C1C-A9B8-4459-953C-D0EEBAAA530C}"/>
    <cellStyle name="Normal 2 2 77 2 2 2 2 8" xfId="15438" xr:uid="{92DF7508-9C0B-4182-B2D9-7CB266C530A1}"/>
    <cellStyle name="Normal 2 2 77 2 2 2 2 8 2" xfId="15439" xr:uid="{68E1DCDE-3B2C-4E5D-87EC-01AB5348B624}"/>
    <cellStyle name="Normal 2 2 77 2 2 2 2 8 3" xfId="15440" xr:uid="{0982A97A-A7A2-41A6-99FD-9B5EF177B6C1}"/>
    <cellStyle name="Normal 2 2 77 2 2 2 2 8 4" xfId="15441" xr:uid="{A05627BE-5EF1-47B3-A858-80FEA1FD9845}"/>
    <cellStyle name="Normal 2 2 77 2 2 2 2 9" xfId="15442" xr:uid="{2EAA4638-3369-4701-A6EC-BD796CB9C3DE}"/>
    <cellStyle name="Normal 2 2 77 2 2 2 3" xfId="15443" xr:uid="{165E4A59-0300-4936-A788-08817CCFA1BF}"/>
    <cellStyle name="Normal 2 2 77 2 2 2 3 2" xfId="15444" xr:uid="{5F5C77D7-1AC6-4B07-A662-9F30C44D0D64}"/>
    <cellStyle name="Normal 2 2 77 2 2 2 3 2 2" xfId="15445" xr:uid="{1C235E57-D0EC-478B-A3B6-BA7B22B7F7AB}"/>
    <cellStyle name="Normal 2 2 77 2 2 2 3 2 3" xfId="15446" xr:uid="{9A96496B-5906-4D0F-9571-783E60A8B306}"/>
    <cellStyle name="Normal 2 2 77 2 2 2 3 2 4" xfId="15447" xr:uid="{373B916B-51B8-4C5E-9DC9-B018EE0AC11E}"/>
    <cellStyle name="Normal 2 2 77 2 2 2 3 3" xfId="15448" xr:uid="{60B4F1A0-F6D7-4732-8292-2CA90101DB09}"/>
    <cellStyle name="Normal 2 2 77 2 2 2 3 4" xfId="15449" xr:uid="{12708B1E-D929-458C-95AC-8561F246DA46}"/>
    <cellStyle name="Normal 2 2 77 2 2 2 3 5" xfId="15450" xr:uid="{8ADF2818-6F73-4AC0-8314-F9C2B0ACF9BC}"/>
    <cellStyle name="Normal 2 2 77 2 2 2 3 6" xfId="15451" xr:uid="{C6AAB2F4-22AC-483D-AA51-B75A488911F9}"/>
    <cellStyle name="Normal 2 2 77 2 2 2 4" xfId="15452" xr:uid="{CB1D4BB6-D050-4D0D-A3F0-EC3393AD1658}"/>
    <cellStyle name="Normal 2 2 77 2 2 2 5" xfId="15453" xr:uid="{CFC1A94F-C2DD-4695-A44B-6CDB74C7055E}"/>
    <cellStyle name="Normal 2 2 77 2 2 2 6" xfId="15454" xr:uid="{26EAA027-93E2-49C2-9A13-B7723F6AA4E3}"/>
    <cellStyle name="Normal 2 2 77 2 2 2 7" xfId="15455" xr:uid="{DA5E05AF-9757-4D52-92A9-E122288713EF}"/>
    <cellStyle name="Normal 2 2 77 2 2 2 8" xfId="15456" xr:uid="{03042C8D-0549-4448-B4A8-06DBCB4F4200}"/>
    <cellStyle name="Normal 2 2 77 2 2 2 8 2" xfId="15457" xr:uid="{97F65CF7-4DBD-4BD4-B2CB-4139A79BC1CF}"/>
    <cellStyle name="Normal 2 2 77 2 2 2 8 3" xfId="15458" xr:uid="{694B0218-8591-45C3-98DA-4797A28E46F8}"/>
    <cellStyle name="Normal 2 2 77 2 2 2 8 4" xfId="15459" xr:uid="{4FD2EA12-6E89-4BAD-B578-3EF7C9A3A0D1}"/>
    <cellStyle name="Normal 2 2 77 2 2 2 9" xfId="15460" xr:uid="{920CF8DF-052B-4AD7-BA05-3710100CB135}"/>
    <cellStyle name="Normal 2 2 77 2 2 3" xfId="15461" xr:uid="{31F40EDE-D209-4178-9C17-01E4B1582C5B}"/>
    <cellStyle name="Normal 2 2 77 2 2 4" xfId="15462" xr:uid="{8A2394ED-67BD-41D0-ABC3-D00BAADD3479}"/>
    <cellStyle name="Normal 2 2 77 2 2 5" xfId="15463" xr:uid="{001E0865-196E-485C-BB79-D90AF5898E2E}"/>
    <cellStyle name="Normal 2 2 77 2 2 5 2" xfId="15464" xr:uid="{58CC7BE8-4A85-4EA7-AB57-5688FF2D6234}"/>
    <cellStyle name="Normal 2 2 77 2 2 5 2 2" xfId="15465" xr:uid="{A15F25D4-A13D-49CC-9B30-DA726F11E257}"/>
    <cellStyle name="Normal 2 2 77 2 2 5 2 3" xfId="15466" xr:uid="{BEC46751-99B9-4B79-B5AF-1D920B1F29EB}"/>
    <cellStyle name="Normal 2 2 77 2 2 5 2 4" xfId="15467" xr:uid="{9EB4C3FA-6485-4079-ADED-038C45757731}"/>
    <cellStyle name="Normal 2 2 77 2 2 5 3" xfId="15468" xr:uid="{E185DFFF-6ACC-4531-8CF1-E280EB1E7EF1}"/>
    <cellStyle name="Normal 2 2 77 2 2 5 4" xfId="15469" xr:uid="{AE64C8B3-E4DB-4455-B665-8487724B79D7}"/>
    <cellStyle name="Normal 2 2 77 2 2 5 5" xfId="15470" xr:uid="{2F169B4E-5AE7-4B31-826A-712F9A90F9A0}"/>
    <cellStyle name="Normal 2 2 77 2 2 5 6" xfId="15471" xr:uid="{42C31699-80EC-4A70-907F-D9B671CEE68C}"/>
    <cellStyle name="Normal 2 2 77 2 2 6" xfId="15472" xr:uid="{5C0BE06F-C60C-40A2-80C1-9E75CE81CC03}"/>
    <cellStyle name="Normal 2 2 77 2 2 7" xfId="15473" xr:uid="{1BE37259-7629-4CE5-BE6A-BE35185F54C0}"/>
    <cellStyle name="Normal 2 2 77 2 2 8" xfId="15474" xr:uid="{B2203912-B850-4B1B-BD66-CE68DD7560B2}"/>
    <cellStyle name="Normal 2 2 77 2 2 9" xfId="15475" xr:uid="{1C514036-914F-4375-9B26-A1C997CECA10}"/>
    <cellStyle name="Normal 2 2 77 2 3" xfId="15476" xr:uid="{D83EC8F2-72A8-46A6-BA5E-D87CD0D4D76C}"/>
    <cellStyle name="Normal 2 2 77 2 4" xfId="15477" xr:uid="{88247239-782F-4B26-BF83-679A4BE7149A}"/>
    <cellStyle name="Normal 2 2 77 2 5" xfId="15478" xr:uid="{ACECAEE6-028F-4F80-892E-8D9A3C198952}"/>
    <cellStyle name="Normal 2 2 77 2 5 10" xfId="15479" xr:uid="{6563C473-6893-41C9-BD8A-F2FBEAD7BDFB}"/>
    <cellStyle name="Normal 2 2 77 2 5 11" xfId="15480" xr:uid="{06E8DFDD-B9CE-4746-A192-82B67004D283}"/>
    <cellStyle name="Normal 2 2 77 2 5 2" xfId="15481" xr:uid="{8E049F00-2D67-4693-98B4-E3F8687B5BBC}"/>
    <cellStyle name="Normal 2 2 77 2 5 2 10" xfId="15482" xr:uid="{5E8B1EEA-A105-4B16-A358-78B859CB124C}"/>
    <cellStyle name="Normal 2 2 77 2 5 2 11" xfId="15483" xr:uid="{24316C4C-BFE5-4664-A15B-C261915EA018}"/>
    <cellStyle name="Normal 2 2 77 2 5 2 2" xfId="15484" xr:uid="{E69E5646-8FFA-4F80-8AEA-B577F3D0CD59}"/>
    <cellStyle name="Normal 2 2 77 2 5 2 2 2" xfId="15485" xr:uid="{CE0000C7-D58B-4356-99F7-E0D03C3135BD}"/>
    <cellStyle name="Normal 2 2 77 2 5 2 2 2 2" xfId="15486" xr:uid="{12D69240-0A03-4E29-9C88-3BB7C483A395}"/>
    <cellStyle name="Normal 2 2 77 2 5 2 2 2 3" xfId="15487" xr:uid="{12111925-76F6-426D-BDC7-0B0696594191}"/>
    <cellStyle name="Normal 2 2 77 2 5 2 2 2 4" xfId="15488" xr:uid="{8655A6D8-C15D-4BB0-AD07-9780CB4C8E88}"/>
    <cellStyle name="Normal 2 2 77 2 5 2 2 3" xfId="15489" xr:uid="{82FC4F35-924A-4F2D-A6E4-A43FAE21373E}"/>
    <cellStyle name="Normal 2 2 77 2 5 2 2 4" xfId="15490" xr:uid="{F1B4D98C-040E-4279-8E72-28A99F85A459}"/>
    <cellStyle name="Normal 2 2 77 2 5 2 2 5" xfId="15491" xr:uid="{18EFECE4-B435-4E9B-9AE2-AB1EE1FBD113}"/>
    <cellStyle name="Normal 2 2 77 2 5 2 2 6" xfId="15492" xr:uid="{BE559344-F583-45D9-91E5-ACFA5E2A8FAE}"/>
    <cellStyle name="Normal 2 2 77 2 5 2 3" xfId="15493" xr:uid="{29D8B733-387C-4649-8D4E-74EBC80B1078}"/>
    <cellStyle name="Normal 2 2 77 2 5 2 4" xfId="15494" xr:uid="{ED2B9DAF-BA85-44E0-8090-A8A527C4DBA3}"/>
    <cellStyle name="Normal 2 2 77 2 5 2 5" xfId="15495" xr:uid="{553EFBBE-7E4A-497D-8439-06C6B79FFE11}"/>
    <cellStyle name="Normal 2 2 77 2 5 2 6" xfId="15496" xr:uid="{871516A1-1246-41A5-AE64-E18CE6538790}"/>
    <cellStyle name="Normal 2 2 77 2 5 2 7" xfId="15497" xr:uid="{E14D3BFB-876F-4D40-8FC3-BAEB3B07C02B}"/>
    <cellStyle name="Normal 2 2 77 2 5 2 8" xfId="15498" xr:uid="{4C4E4150-5DCB-4C2A-9081-6A96CF4CBD43}"/>
    <cellStyle name="Normal 2 2 77 2 5 2 8 2" xfId="15499" xr:uid="{31B48BAF-45BD-4E1C-8DDA-B00EF5A20B51}"/>
    <cellStyle name="Normal 2 2 77 2 5 2 8 3" xfId="15500" xr:uid="{22926893-D0A0-4E50-878F-4B3A226C7711}"/>
    <cellStyle name="Normal 2 2 77 2 5 2 8 4" xfId="15501" xr:uid="{9F160DC8-5B5B-44AF-8488-DBBB6B6C53DD}"/>
    <cellStyle name="Normal 2 2 77 2 5 2 9" xfId="15502" xr:uid="{999B6D78-EF86-4106-92E0-5EB00FD554F6}"/>
    <cellStyle name="Normal 2 2 77 2 5 3" xfId="15503" xr:uid="{ADC395E3-2293-4EAB-AC76-4DA1CFE2B103}"/>
    <cellStyle name="Normal 2 2 77 2 5 3 2" xfId="15504" xr:uid="{C64DB6B8-48CA-4747-940A-54B5C031A109}"/>
    <cellStyle name="Normal 2 2 77 2 5 3 2 2" xfId="15505" xr:uid="{0FF10E48-2D0E-4A87-AE63-F9A39C49BFD1}"/>
    <cellStyle name="Normal 2 2 77 2 5 3 2 3" xfId="15506" xr:uid="{17644269-3218-46B2-8A11-1B1E4E114B9D}"/>
    <cellStyle name="Normal 2 2 77 2 5 3 2 4" xfId="15507" xr:uid="{CD1A4447-10F5-4DC3-B4FD-F93D1B57F980}"/>
    <cellStyle name="Normal 2 2 77 2 5 3 3" xfId="15508" xr:uid="{36B33867-072A-41A6-AEF3-C3C59FF95F35}"/>
    <cellStyle name="Normal 2 2 77 2 5 3 4" xfId="15509" xr:uid="{DDA9468B-01EB-447F-91EA-9695E0789BAC}"/>
    <cellStyle name="Normal 2 2 77 2 5 3 5" xfId="15510" xr:uid="{CA0B409F-EE64-403B-BB8E-FDE7B2883CD8}"/>
    <cellStyle name="Normal 2 2 77 2 5 3 6" xfId="15511" xr:uid="{C912EACC-2EB4-4E93-B434-316A4E11ACAA}"/>
    <cellStyle name="Normal 2 2 77 2 5 4" xfId="15512" xr:uid="{F574F3ED-3DE6-4B8A-8FAA-99FBC070CD43}"/>
    <cellStyle name="Normal 2 2 77 2 5 5" xfId="15513" xr:uid="{B9EC4576-8F16-4E67-8F5D-F7F940106A6A}"/>
    <cellStyle name="Normal 2 2 77 2 5 6" xfId="15514" xr:uid="{750D8BB0-DFA9-4EDB-8EA9-BD923D963771}"/>
    <cellStyle name="Normal 2 2 77 2 5 7" xfId="15515" xr:uid="{B371FA70-91F9-403D-90F7-04DF296746B9}"/>
    <cellStyle name="Normal 2 2 77 2 5 8" xfId="15516" xr:uid="{B9E9139B-53A9-4563-A487-D8E5B0E27588}"/>
    <cellStyle name="Normal 2 2 77 2 5 8 2" xfId="15517" xr:uid="{A3063CF7-E7FC-4F00-A395-01DF54EF62BC}"/>
    <cellStyle name="Normal 2 2 77 2 5 8 3" xfId="15518" xr:uid="{83CBDC39-50A0-4F6A-8831-8E2BD296F4F6}"/>
    <cellStyle name="Normal 2 2 77 2 5 8 4" xfId="15519" xr:uid="{BCC970C2-AF63-4C56-927B-89F1CC2D36A2}"/>
    <cellStyle name="Normal 2 2 77 2 5 9" xfId="15520" xr:uid="{314D46FC-BB67-4764-BEC7-7BAC45451779}"/>
    <cellStyle name="Normal 2 2 77 2 6" xfId="15521" xr:uid="{9E5EAD69-81D9-407E-8A78-0223AFB549CD}"/>
    <cellStyle name="Normal 2 2 77 2 7" xfId="15522" xr:uid="{EE1BB337-6B01-411A-B001-DFEA5F5F4A38}"/>
    <cellStyle name="Normal 2 2 77 2 7 2" xfId="15523" xr:uid="{2581F481-FB51-4086-8728-713211007689}"/>
    <cellStyle name="Normal 2 2 77 2 7 2 2" xfId="15524" xr:uid="{69163B91-834B-40EE-8B5D-238407FBD740}"/>
    <cellStyle name="Normal 2 2 77 2 7 2 3" xfId="15525" xr:uid="{5AAF0D8B-A8D0-4992-82CE-4344E888B36E}"/>
    <cellStyle name="Normal 2 2 77 2 7 2 4" xfId="15526" xr:uid="{556D8073-D84C-4865-A879-F917C5032375}"/>
    <cellStyle name="Normal 2 2 77 2 7 3" xfId="15527" xr:uid="{0503B800-3546-4C59-B558-74D88E9AAC33}"/>
    <cellStyle name="Normal 2 2 77 2 7 4" xfId="15528" xr:uid="{FDF43409-E1C3-4382-8EAF-7EB1AF363C89}"/>
    <cellStyle name="Normal 2 2 77 2 7 5" xfId="15529" xr:uid="{DC94AB26-00A6-49A8-9EC7-6DDB26509A09}"/>
    <cellStyle name="Normal 2 2 77 2 7 6" xfId="15530" xr:uid="{61B8072C-073A-41D1-86AF-2B9E2D20CAFD}"/>
    <cellStyle name="Normal 2 2 77 2 8" xfId="15531" xr:uid="{3909D483-97D5-48F5-B408-584CDA9F5B82}"/>
    <cellStyle name="Normal 2 2 77 2 9" xfId="15532" xr:uid="{42A55844-867B-4092-8F12-3DAEE9D6270E}"/>
    <cellStyle name="Normal 2 2 77 20" xfId="15533" xr:uid="{21C7695E-8D1D-42FF-AEF8-8E01DD05A12E}"/>
    <cellStyle name="Normal 2 2 77 21" xfId="15534" xr:uid="{C65F3EBD-98E9-42DA-8D2B-0CE036E403D6}"/>
    <cellStyle name="Normal 2 2 77 21 2" xfId="15535" xr:uid="{1AF969D3-0C91-403E-BF61-2D31036C5025}"/>
    <cellStyle name="Normal 2 2 77 21 3" xfId="15536" xr:uid="{2FA9DCEE-075C-411B-91EA-6B016758097E}"/>
    <cellStyle name="Normal 2 2 77 21 4" xfId="15537" xr:uid="{3CD02DC1-D21D-4DCF-9288-AA4ECD53831F}"/>
    <cellStyle name="Normal 2 2 77 22" xfId="15538" xr:uid="{69703218-28FC-4CFA-BE53-8E49394A34E6}"/>
    <cellStyle name="Normal 2 2 77 23" xfId="15539" xr:uid="{DC388F1A-4A10-49D6-A081-988ACFD57116}"/>
    <cellStyle name="Normal 2 2 77 24" xfId="15540" xr:uid="{8059E267-DC9C-4CEF-B6EF-562A339743D7}"/>
    <cellStyle name="Normal 2 2 77 3" xfId="15541" xr:uid="{57F2550A-85FB-4C54-9FB5-1F18AC92CE1A}"/>
    <cellStyle name="Normal 2 2 77 4" xfId="15542" xr:uid="{9277313B-A954-4552-95C3-A4A30DEF21FC}"/>
    <cellStyle name="Normal 2 2 77 5" xfId="15543" xr:uid="{C39C4581-E11C-48B4-A22D-F9236C2D9927}"/>
    <cellStyle name="Normal 2 2 77 6" xfId="15544" xr:uid="{30A3AC50-7248-4B74-B626-208495003E57}"/>
    <cellStyle name="Normal 2 2 77 7" xfId="15545" xr:uid="{CE5C0D85-7D48-401E-80D3-F0631F391D52}"/>
    <cellStyle name="Normal 2 2 77 8" xfId="15546" xr:uid="{355EB6AB-7617-409E-8EE8-EBB599B65B14}"/>
    <cellStyle name="Normal 2 2 77 9" xfId="15547" xr:uid="{E94FC1C2-05A2-47A1-ACE5-41607CADAD39}"/>
    <cellStyle name="Normal 2 2 78" xfId="15548" xr:uid="{CC2CE1BC-1F69-4242-866C-0B82EF3E6EAD}"/>
    <cellStyle name="Normal 2 2 78 10" xfId="15549" xr:uid="{F8995B47-BEC5-400D-ABAA-FC876EFC3106}"/>
    <cellStyle name="Normal 2 2 78 11" xfId="15550" xr:uid="{383F5CB0-6277-45E8-9C46-91DF32DC50D3}"/>
    <cellStyle name="Normal 2 2 78 12" xfId="15551" xr:uid="{01494EAF-4C63-403E-8EB4-7534AA160EC9}"/>
    <cellStyle name="Normal 2 2 78 13" xfId="15552" xr:uid="{BA787DF4-47FC-4645-8EB3-3190567EB7B3}"/>
    <cellStyle name="Normal 2 2 78 13 2" xfId="15553" xr:uid="{E9F16056-12B8-4BEE-87A5-EA05B5212D40}"/>
    <cellStyle name="Normal 2 2 78 13 3" xfId="15554" xr:uid="{9CB9C096-1938-4C6E-AA6C-FADD3A74BB8E}"/>
    <cellStyle name="Normal 2 2 78 13 4" xfId="15555" xr:uid="{7C2D899E-9A89-4CDD-A865-D336BD88D71F}"/>
    <cellStyle name="Normal 2 2 78 14" xfId="15556" xr:uid="{CF1BD463-9C8B-48A6-86FC-D70EDDDA2379}"/>
    <cellStyle name="Normal 2 2 78 15" xfId="15557" xr:uid="{E79E6AC5-F1AF-4DCD-9A9A-57B2727557B9}"/>
    <cellStyle name="Normal 2 2 78 16" xfId="15558" xr:uid="{ECAA8F6A-A7CD-40C7-82B6-94F3001A48C7}"/>
    <cellStyle name="Normal 2 2 78 2" xfId="15559" xr:uid="{1FAE126F-A1D5-4149-BE92-C62EBAF0ED9C}"/>
    <cellStyle name="Normal 2 2 78 2 10" xfId="15560" xr:uid="{9B510348-545E-47CF-916C-FDB166DF3BF5}"/>
    <cellStyle name="Normal 2 2 78 2 11" xfId="15561" xr:uid="{C335591E-6FB9-473E-9585-3BE59080EA17}"/>
    <cellStyle name="Normal 2 2 78 2 11 2" xfId="15562" xr:uid="{114B1EB2-D34A-4F28-9C3A-123D349AF823}"/>
    <cellStyle name="Normal 2 2 78 2 11 3" xfId="15563" xr:uid="{3367B225-A3BA-4206-AA60-F0E261F01DE4}"/>
    <cellStyle name="Normal 2 2 78 2 11 4" xfId="15564" xr:uid="{A9F8F74A-FE11-4672-A7A1-A418DAD1C7F1}"/>
    <cellStyle name="Normal 2 2 78 2 12" xfId="15565" xr:uid="{DFCB9BA4-1C19-4217-B739-2015ABE65511}"/>
    <cellStyle name="Normal 2 2 78 2 13" xfId="15566" xr:uid="{C3133150-65E6-4B1B-B5F3-2A17D5B78F2A}"/>
    <cellStyle name="Normal 2 2 78 2 14" xfId="15567" xr:uid="{278F5353-E647-45D9-8939-F19EFFB66DD3}"/>
    <cellStyle name="Normal 2 2 78 2 2" xfId="15568" xr:uid="{9B41949F-0ED1-4901-AB98-DD19708B8B4D}"/>
    <cellStyle name="Normal 2 2 78 2 2 10" xfId="15569" xr:uid="{F3C9B962-D74F-4A06-9BA3-A57D600A37AE}"/>
    <cellStyle name="Normal 2 2 78 2 2 11" xfId="15570" xr:uid="{D8626883-63DB-41E9-94D5-9997EC031F35}"/>
    <cellStyle name="Normal 2 2 78 2 2 2" xfId="15571" xr:uid="{39D62EA5-BA65-422E-9EF1-8ED96230663B}"/>
    <cellStyle name="Normal 2 2 78 2 2 2 10" xfId="15572" xr:uid="{5D5D2E87-01EC-4764-800D-3AE20BAE5BC7}"/>
    <cellStyle name="Normal 2 2 78 2 2 2 11" xfId="15573" xr:uid="{DBBF3D07-0ED9-4044-9640-7B2D7973EBAC}"/>
    <cellStyle name="Normal 2 2 78 2 2 2 2" xfId="15574" xr:uid="{B60525A0-FA6C-4812-B628-9BF224E2D1CD}"/>
    <cellStyle name="Normal 2 2 78 2 2 2 2 2" xfId="15575" xr:uid="{DDA42210-8C5F-480A-9B0A-FE14B57DA8ED}"/>
    <cellStyle name="Normal 2 2 78 2 2 2 2 2 2" xfId="15576" xr:uid="{A497F705-DDC0-4459-9C7F-0A05AF9A964A}"/>
    <cellStyle name="Normal 2 2 78 2 2 2 2 2 3" xfId="15577" xr:uid="{90642BEC-0BBE-42D2-B221-0D4D85C95EB0}"/>
    <cellStyle name="Normal 2 2 78 2 2 2 2 2 4" xfId="15578" xr:uid="{2F8B1914-D374-4587-8326-858BA792E730}"/>
    <cellStyle name="Normal 2 2 78 2 2 2 2 3" xfId="15579" xr:uid="{C492E7A3-73E1-4E70-9A99-216708E1692D}"/>
    <cellStyle name="Normal 2 2 78 2 2 2 2 4" xfId="15580" xr:uid="{C7F0423F-7A86-45CA-AAF2-84389E93E237}"/>
    <cellStyle name="Normal 2 2 78 2 2 2 2 5" xfId="15581" xr:uid="{E71EE56B-748C-40CC-953B-C3569952D2F7}"/>
    <cellStyle name="Normal 2 2 78 2 2 2 2 6" xfId="15582" xr:uid="{CBEEA4D2-ADFF-42D9-B902-002FF0B69723}"/>
    <cellStyle name="Normal 2 2 78 2 2 2 3" xfId="15583" xr:uid="{F6629447-A30E-42CF-8B05-91A2B2E3AAC9}"/>
    <cellStyle name="Normal 2 2 78 2 2 2 4" xfId="15584" xr:uid="{614CCE26-1477-433F-80F2-3B3D404CB8C5}"/>
    <cellStyle name="Normal 2 2 78 2 2 2 5" xfId="15585" xr:uid="{C0970A86-6AF1-4250-9C27-5BCA91BBCEE6}"/>
    <cellStyle name="Normal 2 2 78 2 2 2 6" xfId="15586" xr:uid="{AC421308-02C3-4BA2-AD85-6C97CF2C5B9E}"/>
    <cellStyle name="Normal 2 2 78 2 2 2 7" xfId="15587" xr:uid="{BAD0211B-B8AB-429B-9214-2950ABD2205E}"/>
    <cellStyle name="Normal 2 2 78 2 2 2 8" xfId="15588" xr:uid="{A85B26DD-B6D0-4CF8-8699-22B3016FFC1F}"/>
    <cellStyle name="Normal 2 2 78 2 2 2 8 2" xfId="15589" xr:uid="{0FF53918-9B7A-4981-B68F-520F86AC7504}"/>
    <cellStyle name="Normal 2 2 78 2 2 2 8 3" xfId="15590" xr:uid="{4A3B66FD-201A-4BC9-ACA5-11A55B47510E}"/>
    <cellStyle name="Normal 2 2 78 2 2 2 8 4" xfId="15591" xr:uid="{E6D614AB-5C12-49C2-8717-8DE5DFD47C7C}"/>
    <cellStyle name="Normal 2 2 78 2 2 2 9" xfId="15592" xr:uid="{B5B1485E-5D54-49A9-95C8-C4A3843F749E}"/>
    <cellStyle name="Normal 2 2 78 2 2 3" xfId="15593" xr:uid="{34AF9232-3069-4A6C-B41E-DCFACC72B153}"/>
    <cellStyle name="Normal 2 2 78 2 2 3 2" xfId="15594" xr:uid="{6C2A4BC9-7E08-408E-A6B8-3D5AE72DD6AD}"/>
    <cellStyle name="Normal 2 2 78 2 2 3 2 2" xfId="15595" xr:uid="{390DB7EE-723A-4560-8D4D-10256BF961C2}"/>
    <cellStyle name="Normal 2 2 78 2 2 3 2 3" xfId="15596" xr:uid="{D992C3B4-1814-4993-BF13-D918DD2C0C00}"/>
    <cellStyle name="Normal 2 2 78 2 2 3 2 4" xfId="15597" xr:uid="{DA956531-82D9-4F57-A2BE-C3FFF4155115}"/>
    <cellStyle name="Normal 2 2 78 2 2 3 3" xfId="15598" xr:uid="{D8D44003-5C15-4DDD-9594-ED3E14F79177}"/>
    <cellStyle name="Normal 2 2 78 2 2 3 4" xfId="15599" xr:uid="{C034275A-6644-4263-A41C-DE059D740EF9}"/>
    <cellStyle name="Normal 2 2 78 2 2 3 5" xfId="15600" xr:uid="{7346869F-72BE-4FDF-A857-51D1CD124D42}"/>
    <cellStyle name="Normal 2 2 78 2 2 3 6" xfId="15601" xr:uid="{B553462F-151C-45F1-BEE2-5CEDC1F1DC98}"/>
    <cellStyle name="Normal 2 2 78 2 2 4" xfId="15602" xr:uid="{A5B4B254-B1EF-4627-87D1-ADB597AF88D1}"/>
    <cellStyle name="Normal 2 2 78 2 2 5" xfId="15603" xr:uid="{9B2E1B32-8142-4E77-8176-12F9D80C3612}"/>
    <cellStyle name="Normal 2 2 78 2 2 6" xfId="15604" xr:uid="{8C2EF3EA-46BE-48B1-9C94-FEADCE2210D5}"/>
    <cellStyle name="Normal 2 2 78 2 2 7" xfId="15605" xr:uid="{8174602B-0912-4B71-8A7E-3370079D8A50}"/>
    <cellStyle name="Normal 2 2 78 2 2 8" xfId="15606" xr:uid="{4E55C6C8-E071-4055-87E5-848EFC6EF8D7}"/>
    <cellStyle name="Normal 2 2 78 2 2 8 2" xfId="15607" xr:uid="{E5402536-4C86-48DF-B58F-966913A58D3D}"/>
    <cellStyle name="Normal 2 2 78 2 2 8 3" xfId="15608" xr:uid="{6C27FA3C-9CD7-467B-8630-E06DACBE62B7}"/>
    <cellStyle name="Normal 2 2 78 2 2 8 4" xfId="15609" xr:uid="{6FF31D2F-BE0A-4A5B-ACBD-90ECAD6BB20D}"/>
    <cellStyle name="Normal 2 2 78 2 2 9" xfId="15610" xr:uid="{4085A1D6-E191-41D7-AE78-B9920696EF58}"/>
    <cellStyle name="Normal 2 2 78 2 3" xfId="15611" xr:uid="{B0BD9511-8749-4F82-907F-0F7F46218DB6}"/>
    <cellStyle name="Normal 2 2 78 2 4" xfId="15612" xr:uid="{85598C9C-C947-4664-89BF-190E69EFBEEC}"/>
    <cellStyle name="Normal 2 2 78 2 5" xfId="15613" xr:uid="{98BA2930-445B-47D1-8827-64DFF894BF5A}"/>
    <cellStyle name="Normal 2 2 78 2 5 2" xfId="15614" xr:uid="{F9B49B24-E172-4226-8D98-6602EAEB44BA}"/>
    <cellStyle name="Normal 2 2 78 2 5 2 2" xfId="15615" xr:uid="{3352F903-D7D2-4D08-837A-B2FF22F97E6A}"/>
    <cellStyle name="Normal 2 2 78 2 5 2 3" xfId="15616" xr:uid="{459ABB36-8711-4A16-9965-0FA9267DF5F7}"/>
    <cellStyle name="Normal 2 2 78 2 5 2 4" xfId="15617" xr:uid="{C2765133-68BB-4FA2-AC95-F13B0A8808C0}"/>
    <cellStyle name="Normal 2 2 78 2 5 3" xfId="15618" xr:uid="{335E8A5E-6F41-41A3-AC42-49B4819D216A}"/>
    <cellStyle name="Normal 2 2 78 2 5 4" xfId="15619" xr:uid="{4D2E9A1C-3076-4BC7-B0F7-EEE7468428C0}"/>
    <cellStyle name="Normal 2 2 78 2 5 5" xfId="15620" xr:uid="{38EF226C-1E4F-42E6-8CD6-18042BBEC7CA}"/>
    <cellStyle name="Normal 2 2 78 2 5 6" xfId="15621" xr:uid="{D4E92ECF-5038-42A0-AC24-87330E6922A1}"/>
    <cellStyle name="Normal 2 2 78 2 6" xfId="15622" xr:uid="{4F70165B-CF69-42A3-A4D5-754BC703188A}"/>
    <cellStyle name="Normal 2 2 78 2 7" xfId="15623" xr:uid="{46EA3846-21ED-4A66-B062-A0E5690D0761}"/>
    <cellStyle name="Normal 2 2 78 2 8" xfId="15624" xr:uid="{04FA07AF-3653-43C9-AA3F-60904B67F088}"/>
    <cellStyle name="Normal 2 2 78 2 9" xfId="15625" xr:uid="{0EE7D616-7F5F-464A-BFE3-01506768D1CF}"/>
    <cellStyle name="Normal 2 2 78 3" xfId="15626" xr:uid="{A1EB25AC-C60F-42AC-96FA-9527DC84D58F}"/>
    <cellStyle name="Normal 2 2 78 4" xfId="15627" xr:uid="{5C56B18F-9054-4DE5-A9AB-2896707867C6}"/>
    <cellStyle name="Normal 2 2 78 5" xfId="15628" xr:uid="{34E67810-906F-466C-A2A6-566B6C60844D}"/>
    <cellStyle name="Normal 2 2 78 5 10" xfId="15629" xr:uid="{F6ED71D3-F406-482F-A24B-55BF4C4F1035}"/>
    <cellStyle name="Normal 2 2 78 5 11" xfId="15630" xr:uid="{0F45414D-83F2-4456-BAC9-DD9D5A37A152}"/>
    <cellStyle name="Normal 2 2 78 5 2" xfId="15631" xr:uid="{6109207A-6AD5-4725-A18F-D7102FD5B4FC}"/>
    <cellStyle name="Normal 2 2 78 5 2 10" xfId="15632" xr:uid="{6515769C-C0EF-476E-B510-8C151D2D5085}"/>
    <cellStyle name="Normal 2 2 78 5 2 11" xfId="15633" xr:uid="{1C1CCAB4-86D1-49D2-9F97-748E59E1BFE7}"/>
    <cellStyle name="Normal 2 2 78 5 2 2" xfId="15634" xr:uid="{39A470CE-D604-40A5-BC58-85B94A4E6B15}"/>
    <cellStyle name="Normal 2 2 78 5 2 2 2" xfId="15635" xr:uid="{888A7A0F-9109-40A3-962D-AEDA6A9369F3}"/>
    <cellStyle name="Normal 2 2 78 5 2 2 2 2" xfId="15636" xr:uid="{4C05350D-02AD-4456-8209-54F9BDC50E46}"/>
    <cellStyle name="Normal 2 2 78 5 2 2 2 3" xfId="15637" xr:uid="{C8CD0B6F-2341-4BAA-8E56-A983750DFFD2}"/>
    <cellStyle name="Normal 2 2 78 5 2 2 2 4" xfId="15638" xr:uid="{4E433B92-DC7D-445B-A1C5-E1BCF07418B7}"/>
    <cellStyle name="Normal 2 2 78 5 2 2 3" xfId="15639" xr:uid="{4E20E25F-0AE5-407D-8663-3415AC9C1215}"/>
    <cellStyle name="Normal 2 2 78 5 2 2 4" xfId="15640" xr:uid="{0253A419-27C9-46D5-ACDD-2A264CE5FD12}"/>
    <cellStyle name="Normal 2 2 78 5 2 2 5" xfId="15641" xr:uid="{FB9B2855-120A-4B14-A9AC-CD66A67002D9}"/>
    <cellStyle name="Normal 2 2 78 5 2 2 6" xfId="15642" xr:uid="{AF06F3C2-8DAA-44A0-8F68-A62FE2C0E33A}"/>
    <cellStyle name="Normal 2 2 78 5 2 3" xfId="15643" xr:uid="{A767186D-F993-4D16-9439-539447B65F1C}"/>
    <cellStyle name="Normal 2 2 78 5 2 4" xfId="15644" xr:uid="{B8E3FC85-13DC-412D-A57E-27E78E50BD5A}"/>
    <cellStyle name="Normal 2 2 78 5 2 5" xfId="15645" xr:uid="{B4E6A796-F532-4786-A604-E33306D1491E}"/>
    <cellStyle name="Normal 2 2 78 5 2 6" xfId="15646" xr:uid="{A908FE25-81E4-49A6-BCE2-656B6B45BE01}"/>
    <cellStyle name="Normal 2 2 78 5 2 7" xfId="15647" xr:uid="{150BEA96-7522-428E-88E2-BA087D88B579}"/>
    <cellStyle name="Normal 2 2 78 5 2 8" xfId="15648" xr:uid="{0285E2A2-5D2E-48A0-98EE-268583E46127}"/>
    <cellStyle name="Normal 2 2 78 5 2 8 2" xfId="15649" xr:uid="{82611406-F8F7-47F1-8297-0A9BE6A3AD5F}"/>
    <cellStyle name="Normal 2 2 78 5 2 8 3" xfId="15650" xr:uid="{189C99C7-7ABC-4514-8D20-DE9A19A3CCD9}"/>
    <cellStyle name="Normal 2 2 78 5 2 8 4" xfId="15651" xr:uid="{5AF93E2B-37B1-47A9-AD88-3C823EE12095}"/>
    <cellStyle name="Normal 2 2 78 5 2 9" xfId="15652" xr:uid="{AEE936BB-2E47-4D93-876A-F704D7F7424A}"/>
    <cellStyle name="Normal 2 2 78 5 3" xfId="15653" xr:uid="{B8F06D83-185A-4258-8AD9-ACDD7FD20736}"/>
    <cellStyle name="Normal 2 2 78 5 3 2" xfId="15654" xr:uid="{B4F8BEFE-AFF2-4C56-9E91-DC3AA4CADF71}"/>
    <cellStyle name="Normal 2 2 78 5 3 2 2" xfId="15655" xr:uid="{01E3228D-597C-4038-B34A-BC07E5265599}"/>
    <cellStyle name="Normal 2 2 78 5 3 2 3" xfId="15656" xr:uid="{5BFE6D86-C45F-437A-886A-AC27E00460B8}"/>
    <cellStyle name="Normal 2 2 78 5 3 2 4" xfId="15657" xr:uid="{82A6D50F-0351-47C7-807F-100EC33566F5}"/>
    <cellStyle name="Normal 2 2 78 5 3 3" xfId="15658" xr:uid="{B92D328B-898F-4E72-9545-E9BF9587AAB5}"/>
    <cellStyle name="Normal 2 2 78 5 3 4" xfId="15659" xr:uid="{CF48DDF2-69F8-4101-A239-D0C3F8234357}"/>
    <cellStyle name="Normal 2 2 78 5 3 5" xfId="15660" xr:uid="{4CD92BD4-DF13-4101-AA45-0C8DCFB44159}"/>
    <cellStyle name="Normal 2 2 78 5 3 6" xfId="15661" xr:uid="{C0B91FC6-10DB-4A21-B7FB-8F2813A39D98}"/>
    <cellStyle name="Normal 2 2 78 5 4" xfId="15662" xr:uid="{032CB5C0-5D0C-45B6-B3A5-C68D7F11D1B1}"/>
    <cellStyle name="Normal 2 2 78 5 5" xfId="15663" xr:uid="{014A8546-B81F-479F-A93D-E66C1AC868C3}"/>
    <cellStyle name="Normal 2 2 78 5 6" xfId="15664" xr:uid="{6F6E983F-DA06-4456-A300-B9F578D5985F}"/>
    <cellStyle name="Normal 2 2 78 5 7" xfId="15665" xr:uid="{065DACBD-B9EF-4A62-8DA0-A647C7F9C7AD}"/>
    <cellStyle name="Normal 2 2 78 5 8" xfId="15666" xr:uid="{2DCA2008-82A5-4DDF-AE8F-253D382E88E8}"/>
    <cellStyle name="Normal 2 2 78 5 8 2" xfId="15667" xr:uid="{88B8BC95-647F-49E2-8245-A696926A7184}"/>
    <cellStyle name="Normal 2 2 78 5 8 3" xfId="15668" xr:uid="{28F240D7-7845-488E-B83D-AF21E7F3A503}"/>
    <cellStyle name="Normal 2 2 78 5 8 4" xfId="15669" xr:uid="{0494DE2B-D19E-4E8E-8486-96F73FE2E496}"/>
    <cellStyle name="Normal 2 2 78 5 9" xfId="15670" xr:uid="{6E5D0A34-A563-4B22-AAAE-5DE09B9E930F}"/>
    <cellStyle name="Normal 2 2 78 6" xfId="15671" xr:uid="{8E125512-833D-4CD3-9171-D277982E9BAB}"/>
    <cellStyle name="Normal 2 2 78 7" xfId="15672" xr:uid="{122183C3-B01F-4F2E-B322-F7A2715A4396}"/>
    <cellStyle name="Normal 2 2 78 7 2" xfId="15673" xr:uid="{7DFD09FA-D149-42DC-A147-28B1F433729E}"/>
    <cellStyle name="Normal 2 2 78 7 2 2" xfId="15674" xr:uid="{B1832A3F-E54F-4A71-ABF2-91B50828E961}"/>
    <cellStyle name="Normal 2 2 78 7 2 3" xfId="15675" xr:uid="{DA2D1FAE-85BA-401C-84C9-4024EDF096A6}"/>
    <cellStyle name="Normal 2 2 78 7 2 4" xfId="15676" xr:uid="{6421208E-D21F-48BE-8BAC-B068D291F19A}"/>
    <cellStyle name="Normal 2 2 78 7 3" xfId="15677" xr:uid="{23C830C1-BE27-4023-A1FA-CD0AAFB9867F}"/>
    <cellStyle name="Normal 2 2 78 7 4" xfId="15678" xr:uid="{2CC675AF-330A-4901-99E6-28F11CEB9F8B}"/>
    <cellStyle name="Normal 2 2 78 7 5" xfId="15679" xr:uid="{1AAD6503-B3C1-42F3-863D-D976EA1423F0}"/>
    <cellStyle name="Normal 2 2 78 7 6" xfId="15680" xr:uid="{F821C2DF-3522-4FA5-A610-666FBB37EB18}"/>
    <cellStyle name="Normal 2 2 78 8" xfId="15681" xr:uid="{66A82477-C539-4F5B-973B-5BF5498CEA2D}"/>
    <cellStyle name="Normal 2 2 78 9" xfId="15682" xr:uid="{CF6AA08E-F340-4EB4-A8B7-5C3D0740CBA8}"/>
    <cellStyle name="Normal 2 2 79" xfId="15683" xr:uid="{82154A44-A09E-46BE-81B8-7436D86DAD0A}"/>
    <cellStyle name="Normal 2 2 8" xfId="15684" xr:uid="{8D52B7EA-5547-4608-BCF9-53C5B924E1CB}"/>
    <cellStyle name="Normal 2 2 8 2" xfId="15685" xr:uid="{4E0F7FCF-CA57-4046-9D87-80BF3A9526C5}"/>
    <cellStyle name="Normal 2 2 80" xfId="15686" xr:uid="{C2611CC3-CF97-42C5-8D77-B740A693F079}"/>
    <cellStyle name="Normal 2 2 81" xfId="15687" xr:uid="{CD63D7B9-D3C7-484C-8518-3A24641C6367}"/>
    <cellStyle name="Normal 2 2 82" xfId="15688" xr:uid="{9CB641D4-D0BE-43EE-B2B5-BCC9FB9EF747}"/>
    <cellStyle name="Normal 2 2 83" xfId="15689" xr:uid="{B7B1CCE8-C16A-4A8C-B42A-8FC22F405AB3}"/>
    <cellStyle name="Normal 2 2 84" xfId="15690" xr:uid="{791983C4-B17C-4E18-9CF4-15835CED3350}"/>
    <cellStyle name="Normal 2 2 85" xfId="15691" xr:uid="{88BE095B-1531-454C-9541-74FB892990C0}"/>
    <cellStyle name="Normal 2 2 86" xfId="15692" xr:uid="{6AB0FC6A-AB86-411F-92C7-86D97BECFF3D}"/>
    <cellStyle name="Normal 2 2 86 10" xfId="15693" xr:uid="{C581510B-193B-4B99-9D74-78E806E56963}"/>
    <cellStyle name="Normal 2 2 86 11" xfId="15694" xr:uid="{B6947334-3A58-409A-ABF5-8A64C0F81DEA}"/>
    <cellStyle name="Normal 2 2 86 11 2" xfId="15695" xr:uid="{1E54F397-E0EF-4DCC-8572-EC1F450783F0}"/>
    <cellStyle name="Normal 2 2 86 11 3" xfId="15696" xr:uid="{95E6ABC3-D288-42D4-844B-52D144FE1460}"/>
    <cellStyle name="Normal 2 2 86 11 4" xfId="15697" xr:uid="{1E099E38-42E1-497B-9D7F-8FABD7291B7A}"/>
    <cellStyle name="Normal 2 2 86 12" xfId="15698" xr:uid="{DA287941-8939-417D-A38C-46D73EF0B26E}"/>
    <cellStyle name="Normal 2 2 86 13" xfId="15699" xr:uid="{B9F78E8D-0EC0-4BBD-BCD7-EC560BB61050}"/>
    <cellStyle name="Normal 2 2 86 14" xfId="15700" xr:uid="{08B24FD2-7F6A-4055-8E21-F72CF7AB07DF}"/>
    <cellStyle name="Normal 2 2 86 2" xfId="15701" xr:uid="{E9EBD2EB-5D7A-42DA-9A0A-1CE2F7EB37B3}"/>
    <cellStyle name="Normal 2 2 86 2 10" xfId="15702" xr:uid="{21DAE20E-D7AA-4B35-B62B-BB180C009E11}"/>
    <cellStyle name="Normal 2 2 86 2 11" xfId="15703" xr:uid="{C47957E8-61C6-4D02-B7B4-104D98FFA8CA}"/>
    <cellStyle name="Normal 2 2 86 2 2" xfId="15704" xr:uid="{A18E8DB0-8BE5-4C99-ADE6-D7170FFD5470}"/>
    <cellStyle name="Normal 2 2 86 2 2 10" xfId="15705" xr:uid="{18D230CD-4F50-457F-AB18-F327B74251A3}"/>
    <cellStyle name="Normal 2 2 86 2 2 11" xfId="15706" xr:uid="{6F0EC696-D9FA-4E85-83B0-3C7A68F3C79C}"/>
    <cellStyle name="Normal 2 2 86 2 2 2" xfId="15707" xr:uid="{3DFC421C-759A-45FC-9FD2-021FFB2CECB8}"/>
    <cellStyle name="Normal 2 2 86 2 2 2 2" xfId="15708" xr:uid="{50108988-CBA6-4FF7-9B1C-56A55C74763B}"/>
    <cellStyle name="Normal 2 2 86 2 2 2 2 2" xfId="15709" xr:uid="{10FC770B-E8FA-4D0C-AA95-5EA054AF236D}"/>
    <cellStyle name="Normal 2 2 86 2 2 2 2 3" xfId="15710" xr:uid="{22EE805B-93DD-4EE7-B7BD-C71ECFB5F873}"/>
    <cellStyle name="Normal 2 2 86 2 2 2 2 4" xfId="15711" xr:uid="{1EDF1F83-4F68-484C-8261-7A9010CA52FA}"/>
    <cellStyle name="Normal 2 2 86 2 2 2 3" xfId="15712" xr:uid="{FCA53178-5880-4350-9252-4C595CEA66E3}"/>
    <cellStyle name="Normal 2 2 86 2 2 2 4" xfId="15713" xr:uid="{BFA2F5E8-673C-480E-B97E-5A7E39B4F286}"/>
    <cellStyle name="Normal 2 2 86 2 2 2 5" xfId="15714" xr:uid="{E4734D93-FBD8-4B71-8376-552B3DECDD45}"/>
    <cellStyle name="Normal 2 2 86 2 2 2 6" xfId="15715" xr:uid="{44407901-66DA-4858-80CE-E9C44053D29A}"/>
    <cellStyle name="Normal 2 2 86 2 2 3" xfId="15716" xr:uid="{5E7C14A2-1288-465C-86A3-D1FBB2503F5A}"/>
    <cellStyle name="Normal 2 2 86 2 2 4" xfId="15717" xr:uid="{9F5D8D4A-E178-4B65-9814-C1AE36FA0E59}"/>
    <cellStyle name="Normal 2 2 86 2 2 5" xfId="15718" xr:uid="{C40F1990-9CA5-4A23-8836-D116446DB2B1}"/>
    <cellStyle name="Normal 2 2 86 2 2 6" xfId="15719" xr:uid="{EE680B18-3594-496C-AD24-A98F7D307F54}"/>
    <cellStyle name="Normal 2 2 86 2 2 7" xfId="15720" xr:uid="{704A431A-942F-477A-A1DD-E33F894E0F54}"/>
    <cellStyle name="Normal 2 2 86 2 2 8" xfId="15721" xr:uid="{A768CBBD-848F-4899-99ED-9BA59580D89E}"/>
    <cellStyle name="Normal 2 2 86 2 2 8 2" xfId="15722" xr:uid="{D7FB18FE-8BB7-48C1-9EE9-62B32386CE21}"/>
    <cellStyle name="Normal 2 2 86 2 2 8 3" xfId="15723" xr:uid="{241D894D-7697-4F0C-A81C-AB7C8DC5AE3E}"/>
    <cellStyle name="Normal 2 2 86 2 2 8 4" xfId="15724" xr:uid="{C6871B22-AB57-4AD1-83F7-883E216B8513}"/>
    <cellStyle name="Normal 2 2 86 2 2 9" xfId="15725" xr:uid="{89D2B7E6-DE94-4A58-AB14-284B6CCA3857}"/>
    <cellStyle name="Normal 2 2 86 2 3" xfId="15726" xr:uid="{E33E884E-6E08-4707-8873-A7042DE6EE55}"/>
    <cellStyle name="Normal 2 2 86 2 3 2" xfId="15727" xr:uid="{DAC6F1AA-FC31-49A9-AC59-186C1527FB0F}"/>
    <cellStyle name="Normal 2 2 86 2 3 2 2" xfId="15728" xr:uid="{9F868BA7-8EB1-49E9-9C77-B1718CF42979}"/>
    <cellStyle name="Normal 2 2 86 2 3 2 3" xfId="15729" xr:uid="{60D26435-7878-4090-A2E9-8E8A60DFDD63}"/>
    <cellStyle name="Normal 2 2 86 2 3 2 4" xfId="15730" xr:uid="{8CFBF69C-2AC8-4DD8-B241-7F22A45AAD61}"/>
    <cellStyle name="Normal 2 2 86 2 3 3" xfId="15731" xr:uid="{D49C6335-B5C5-46A9-B7B0-415182DE2DB4}"/>
    <cellStyle name="Normal 2 2 86 2 3 4" xfId="15732" xr:uid="{8116BD80-63CA-4FF2-90E5-65EF5AE6D97F}"/>
    <cellStyle name="Normal 2 2 86 2 3 5" xfId="15733" xr:uid="{C96312FD-88B1-4C68-990E-4125F38E7BB0}"/>
    <cellStyle name="Normal 2 2 86 2 3 6" xfId="15734" xr:uid="{FBD6411E-B1F3-4AC5-93F0-C2B941B49E27}"/>
    <cellStyle name="Normal 2 2 86 2 4" xfId="15735" xr:uid="{5B3374F9-E329-4D40-B387-50FAF9E5EFB5}"/>
    <cellStyle name="Normal 2 2 86 2 5" xfId="15736" xr:uid="{0D794404-4F80-4BE6-865B-B242AE2B6B18}"/>
    <cellStyle name="Normal 2 2 86 2 6" xfId="15737" xr:uid="{C2A67B6B-537A-49B8-B106-0FA02D6D0A48}"/>
    <cellStyle name="Normal 2 2 86 2 7" xfId="15738" xr:uid="{C4DDD2A1-4885-4B72-A70B-1B004B745781}"/>
    <cellStyle name="Normal 2 2 86 2 8" xfId="15739" xr:uid="{6AA3DBE7-B645-46BC-9AD5-C4BA97F0E946}"/>
    <cellStyle name="Normal 2 2 86 2 8 2" xfId="15740" xr:uid="{2431725F-1FCB-408A-A9D3-2E76DE8BC240}"/>
    <cellStyle name="Normal 2 2 86 2 8 3" xfId="15741" xr:uid="{CE903A51-72AF-4453-BD7E-67FF33FDD717}"/>
    <cellStyle name="Normal 2 2 86 2 8 4" xfId="15742" xr:uid="{6B90EED0-E533-46FA-9718-4B531C1DC728}"/>
    <cellStyle name="Normal 2 2 86 2 9" xfId="15743" xr:uid="{AEAAE901-530D-42B4-90D9-3E7F98277981}"/>
    <cellStyle name="Normal 2 2 86 3" xfId="15744" xr:uid="{1E75852C-809D-41A5-84E3-AAC8E0DF1F43}"/>
    <cellStyle name="Normal 2 2 86 4" xfId="15745" xr:uid="{C3B62E4D-CA92-47EE-A811-10C948011D2E}"/>
    <cellStyle name="Normal 2 2 86 5" xfId="15746" xr:uid="{9CCE0B5B-2F1F-4CD2-AF02-2D21465481D5}"/>
    <cellStyle name="Normal 2 2 86 5 2" xfId="15747" xr:uid="{C8E4B3CF-73C7-4901-A084-D2D55354DB83}"/>
    <cellStyle name="Normal 2 2 86 5 2 2" xfId="15748" xr:uid="{97FDB98A-DFB0-4941-8959-CCB740C83AF6}"/>
    <cellStyle name="Normal 2 2 86 5 2 3" xfId="15749" xr:uid="{251D03BA-5D3E-4E43-A544-1D59268B9228}"/>
    <cellStyle name="Normal 2 2 86 5 2 4" xfId="15750" xr:uid="{C43F2F9A-D20E-490B-9D16-DE1C667A1488}"/>
    <cellStyle name="Normal 2 2 86 5 3" xfId="15751" xr:uid="{DFAB0861-EE9B-43DA-8436-586EA15FFBBF}"/>
    <cellStyle name="Normal 2 2 86 5 4" xfId="15752" xr:uid="{E9C739D0-B60C-43EF-AB0D-D68E92FDF66C}"/>
    <cellStyle name="Normal 2 2 86 5 5" xfId="15753" xr:uid="{C6BC2DA1-CB68-49EE-98B5-A93999F54000}"/>
    <cellStyle name="Normal 2 2 86 5 6" xfId="15754" xr:uid="{F823146B-ACC4-45E6-ABB1-A9C4D3311E28}"/>
    <cellStyle name="Normal 2 2 86 6" xfId="15755" xr:uid="{8FE18D4C-A211-4B58-84A2-A1CBD926F779}"/>
    <cellStyle name="Normal 2 2 86 7" xfId="15756" xr:uid="{A04E967E-E8BA-4221-BF84-9D9A12AC9490}"/>
    <cellStyle name="Normal 2 2 86 8" xfId="15757" xr:uid="{B94D77A1-CAB1-46B3-822E-3207BC851FAE}"/>
    <cellStyle name="Normal 2 2 86 9" xfId="15758" xr:uid="{0FAF0E2A-36D0-4A46-99C6-E5977F789F92}"/>
    <cellStyle name="Normal 2 2 87" xfId="15759" xr:uid="{1B6120D7-5A20-41C4-B490-FEE8E1646E27}"/>
    <cellStyle name="Normal 2 2 88" xfId="15760" xr:uid="{FA96E9E0-BB20-4F47-83D3-BC25299BBF5E}"/>
    <cellStyle name="Normal 2 2 88 10" xfId="15761" xr:uid="{5912F84F-221D-4647-BD5F-8EF7EA5C4CC6}"/>
    <cellStyle name="Normal 2 2 88 11" xfId="15762" xr:uid="{FB2F0D01-8903-4E14-9590-73DF8E9DB023}"/>
    <cellStyle name="Normal 2 2 88 2" xfId="15763" xr:uid="{79992CE2-308E-4FED-9830-B6716D0A1160}"/>
    <cellStyle name="Normal 2 2 88 2 10" xfId="15764" xr:uid="{95D5E512-6337-4D06-B6B5-425EA6C03FC6}"/>
    <cellStyle name="Normal 2 2 88 2 11" xfId="15765" xr:uid="{89F8472B-FCFC-4F7E-A72A-9A0524077402}"/>
    <cellStyle name="Normal 2 2 88 2 2" xfId="15766" xr:uid="{F44A3E9F-7324-4AA4-BAAC-3CBB90A15D59}"/>
    <cellStyle name="Normal 2 2 88 2 2 2" xfId="15767" xr:uid="{23FB418C-90E3-4C52-933F-C5FCF91FCE4F}"/>
    <cellStyle name="Normal 2 2 88 2 2 2 2" xfId="15768" xr:uid="{2B67BF22-F138-49A0-A070-6F5E855947AD}"/>
    <cellStyle name="Normal 2 2 88 2 2 2 3" xfId="15769" xr:uid="{23E7EEF8-6E8B-4336-901E-69B1B5A1244B}"/>
    <cellStyle name="Normal 2 2 88 2 2 2 4" xfId="15770" xr:uid="{41863338-D921-4C15-9E16-649B9D5E4FC7}"/>
    <cellStyle name="Normal 2 2 88 2 2 3" xfId="15771" xr:uid="{A0D437F9-7DE1-46BB-8A36-D8EEDF05CA21}"/>
    <cellStyle name="Normal 2 2 88 2 2 4" xfId="15772" xr:uid="{2825736C-9FC4-4B23-9BFE-D3999FDB390B}"/>
    <cellStyle name="Normal 2 2 88 2 2 5" xfId="15773" xr:uid="{8622B5EE-9511-42A7-82C7-BBD67BB6E37B}"/>
    <cellStyle name="Normal 2 2 88 2 2 6" xfId="15774" xr:uid="{6A82D021-5B53-49B3-8321-DB3406DB6025}"/>
    <cellStyle name="Normal 2 2 88 2 3" xfId="15775" xr:uid="{2562216D-F22D-4427-BF61-594DF8757C37}"/>
    <cellStyle name="Normal 2 2 88 2 4" xfId="15776" xr:uid="{83680161-F3A5-431F-A11F-FC26A95A3D6B}"/>
    <cellStyle name="Normal 2 2 88 2 5" xfId="15777" xr:uid="{BC48663D-9701-4FA8-8985-E0B09A57FEC2}"/>
    <cellStyle name="Normal 2 2 88 2 6" xfId="15778" xr:uid="{EADC85FC-222F-4061-B0B1-220AD9BF74D3}"/>
    <cellStyle name="Normal 2 2 88 2 7" xfId="15779" xr:uid="{8237B1AE-4F51-4C85-828F-ED312CD958C2}"/>
    <cellStyle name="Normal 2 2 88 2 8" xfId="15780" xr:uid="{E93B99D2-8699-4E29-9B71-238638E1724A}"/>
    <cellStyle name="Normal 2 2 88 2 8 2" xfId="15781" xr:uid="{9917B2B4-E84D-4525-928B-86A78D85B083}"/>
    <cellStyle name="Normal 2 2 88 2 8 3" xfId="15782" xr:uid="{EDAE92A4-A13F-4967-BDCC-FE57F1E70E37}"/>
    <cellStyle name="Normal 2 2 88 2 8 4" xfId="15783" xr:uid="{386E8AB8-B9BF-4CB7-9745-7F9275945549}"/>
    <cellStyle name="Normal 2 2 88 2 9" xfId="15784" xr:uid="{C158A9B2-E2D3-4579-AD3C-AA0543BCEC94}"/>
    <cellStyle name="Normal 2 2 88 3" xfId="15785" xr:uid="{1E02634D-BB20-4D98-B9E8-3240A968C578}"/>
    <cellStyle name="Normal 2 2 88 3 2" xfId="15786" xr:uid="{09081431-B3AE-46A7-BA2D-B7D2B5DC4D7F}"/>
    <cellStyle name="Normal 2 2 88 3 2 2" xfId="15787" xr:uid="{5F9DEE8B-B7B1-4E38-B1B7-6C377FF150B0}"/>
    <cellStyle name="Normal 2 2 88 3 2 3" xfId="15788" xr:uid="{0F5B596E-4983-45B7-8214-F975459182B5}"/>
    <cellStyle name="Normal 2 2 88 3 2 4" xfId="15789" xr:uid="{DAC963C9-515F-4149-A66D-F3CA6A2E2104}"/>
    <cellStyle name="Normal 2 2 88 3 3" xfId="15790" xr:uid="{D14EB4A5-0550-4771-BD2D-B91EE57403C9}"/>
    <cellStyle name="Normal 2 2 88 3 4" xfId="15791" xr:uid="{32A0949E-E30F-4D95-B4DA-345926E11702}"/>
    <cellStyle name="Normal 2 2 88 3 5" xfId="15792" xr:uid="{4DAB761D-0B06-43E9-8F49-F0A487A4427A}"/>
    <cellStyle name="Normal 2 2 88 3 6" xfId="15793" xr:uid="{AFF6C66C-7119-4440-8A9F-63D4E3F327E1}"/>
    <cellStyle name="Normal 2 2 88 4" xfId="15794" xr:uid="{C51A51C6-65ED-4C85-9590-819335B072FD}"/>
    <cellStyle name="Normal 2 2 88 5" xfId="15795" xr:uid="{FE15724F-FF2C-4074-8442-A237D133ED94}"/>
    <cellStyle name="Normal 2 2 88 6" xfId="15796" xr:uid="{3A4D4F82-6122-427D-8C37-B49429B72242}"/>
    <cellStyle name="Normal 2 2 88 7" xfId="15797" xr:uid="{FC17D970-5DE6-4A75-A7B0-00666128D44A}"/>
    <cellStyle name="Normal 2 2 88 8" xfId="15798" xr:uid="{5D73AE79-F2ED-4260-95DA-2F1C4103C675}"/>
    <cellStyle name="Normal 2 2 88 8 2" xfId="15799" xr:uid="{0DC05F4C-F445-4DE1-BC11-C1EE5E4D349D}"/>
    <cellStyle name="Normal 2 2 88 8 3" xfId="15800" xr:uid="{7942C9A7-5FE7-4E3E-8C2B-35013A53A417}"/>
    <cellStyle name="Normal 2 2 88 8 4" xfId="15801" xr:uid="{9F23802B-4B7D-48C0-A65D-299905FD1A15}"/>
    <cellStyle name="Normal 2 2 88 9" xfId="15802" xr:uid="{37B46C7B-3653-4F93-A873-00E6F984712A}"/>
    <cellStyle name="Normal 2 2 89" xfId="15803" xr:uid="{55A60F18-F348-496A-90B4-3F69DF2940EE}"/>
    <cellStyle name="Normal 2 2 9" xfId="15804" xr:uid="{530241D9-9E31-4728-A3AA-4836C5633F17}"/>
    <cellStyle name="Normal 2 2 9 2" xfId="15805" xr:uid="{58F21797-8D26-444F-9147-1940B0A3B4DA}"/>
    <cellStyle name="Normal 2 2 90" xfId="15806" xr:uid="{190FA02B-5B94-4355-91C9-32E6EFFB44B4}"/>
    <cellStyle name="Normal 2 2 90 2" xfId="15807" xr:uid="{1BDC3DE6-5E8F-47B7-91D3-EF9D757A4E14}"/>
    <cellStyle name="Normal 2 2 90 2 2" xfId="15808" xr:uid="{6605EBD0-308D-470C-8027-A496A5668339}"/>
    <cellStyle name="Normal 2 2 90 2 3" xfId="15809" xr:uid="{4FBBDBBF-42D2-4EA3-BF01-89DD56725595}"/>
    <cellStyle name="Normal 2 2 90 2 4" xfId="15810" xr:uid="{EBC3D058-44B4-417F-80F5-48AC88E9B690}"/>
    <cellStyle name="Normal 2 2 90 3" xfId="15811" xr:uid="{69864922-A7F0-44D6-86D0-E2C13ACDC8A0}"/>
    <cellStyle name="Normal 2 2 90 4" xfId="15812" xr:uid="{832BEFED-D088-45A8-8EB4-E87342780CE3}"/>
    <cellStyle name="Normal 2 2 90 5" xfId="15813" xr:uid="{C7BF84AA-5E4C-49AC-8EAC-34402446B243}"/>
    <cellStyle name="Normal 2 2 90 6" xfId="15814" xr:uid="{7E722309-908A-479C-B9C4-3C45E7AED586}"/>
    <cellStyle name="Normal 2 2 91" xfId="15815" xr:uid="{9FC4F274-5DCF-4F87-AD1A-9C4B08A8C2BD}"/>
    <cellStyle name="Normal 2 2 92" xfId="15816" xr:uid="{0D1C25B9-08B7-4860-9CAD-ADE119550156}"/>
    <cellStyle name="Normal 2 2 93" xfId="15817" xr:uid="{D7FE63B0-F50E-417D-8D74-E4E4663C1ABE}"/>
    <cellStyle name="Normal 2 2 94" xfId="15818" xr:uid="{1609EDED-91EF-436D-8E9E-54407B5F91C9}"/>
    <cellStyle name="Normal 2 2 95" xfId="15819" xr:uid="{AED05D71-AC3E-4EC2-8B68-61F14FB4716F}"/>
    <cellStyle name="Normal 2 2 96" xfId="15820" xr:uid="{AC8DFDED-5296-40AA-B028-335D104D2D5C}"/>
    <cellStyle name="Normal 2 2 96 2" xfId="15821" xr:uid="{93A50368-6872-4DA9-B80C-9C85BF733F37}"/>
    <cellStyle name="Normal 2 2 96 3" xfId="15822" xr:uid="{6F0D6225-D522-45EA-A5E4-226B248BA900}"/>
    <cellStyle name="Normal 2 2 96 4" xfId="15823" xr:uid="{8E249CF4-DCC2-45CD-AF4A-840A4B63BE20}"/>
    <cellStyle name="Normal 2 2 97" xfId="15824" xr:uid="{76BD80F7-89BF-4A6B-9A5F-5DECEFAEFBE4}"/>
    <cellStyle name="Normal 2 2 98" xfId="15825" xr:uid="{B40C8E95-44FE-4607-8A0D-3D52F2FB7455}"/>
    <cellStyle name="Normal 2 2 99" xfId="15826" xr:uid="{FD4A1099-0A44-4CDD-AF18-444BF548E712}"/>
    <cellStyle name="Normal 2 2_Ch4 v2" xfId="15827" xr:uid="{73A26069-FA57-45A3-A60E-74A010B19406}"/>
    <cellStyle name="Normal 2 20" xfId="15828" xr:uid="{245D4929-5585-45AF-8D0A-56AC3229F42E}"/>
    <cellStyle name="Normal 2 20 2" xfId="15829" xr:uid="{DB757B36-4F70-4187-A9F3-959A004FF08E}"/>
    <cellStyle name="Normal 2 20 3" xfId="15830" xr:uid="{356AA354-93ED-4D29-896A-9429A5354D81}"/>
    <cellStyle name="Normal 2 20 4" xfId="15831" xr:uid="{6A48A529-794F-4B30-A2EA-8F71C55E1618}"/>
    <cellStyle name="Normal 2 200" xfId="15832" xr:uid="{0DEA2F13-0ADA-4179-8880-A4672B10BB89}"/>
    <cellStyle name="Normal 2 201" xfId="15833" xr:uid="{7D88CFE1-968C-47B9-A709-3A29CB5E8AD6}"/>
    <cellStyle name="Normal 2 202" xfId="15834" xr:uid="{9CEC5D5A-D9F1-4A49-A817-72810BF82E54}"/>
    <cellStyle name="Normal 2 203" xfId="15835" xr:uid="{432D6274-CE4C-495E-B9E8-AF0FA1D0D056}"/>
    <cellStyle name="Normal 2 204" xfId="15836" xr:uid="{816EBAC1-4728-4605-A5AB-C51642DE0C9F}"/>
    <cellStyle name="Normal 2 205" xfId="15837" xr:uid="{8682E357-9DF2-4B6B-9B4A-BD56513C3D2C}"/>
    <cellStyle name="Normal 2 206" xfId="15838" xr:uid="{35EAA4FA-4619-4EDA-A939-436AE271A0D0}"/>
    <cellStyle name="Normal 2 207" xfId="15839" xr:uid="{7FA7F486-380C-4A66-A2CE-184EFFBB5B7C}"/>
    <cellStyle name="Normal 2 208" xfId="15840" xr:uid="{3CA80BDE-CC1B-403A-BFDF-896EF4A016E8}"/>
    <cellStyle name="Normal 2 209" xfId="15841" xr:uid="{2FDAA4BC-19C6-47F9-AA9E-65B63C0AB3C1}"/>
    <cellStyle name="Normal 2 21" xfId="15842" xr:uid="{C20731E5-6AB4-43C1-A9E0-6EA4B2308B66}"/>
    <cellStyle name="Normal 2 21 2" xfId="15843" xr:uid="{4405B1F2-FE42-444A-85A4-0169C2AA4ABF}"/>
    <cellStyle name="Normal 2 21 3" xfId="15844" xr:uid="{A3103AC5-27E0-40ED-9CC3-43C5032883CC}"/>
    <cellStyle name="Normal 2 21 4" xfId="15845" xr:uid="{CD2BE1EB-AE7A-456F-9DFB-34B589AEBEEA}"/>
    <cellStyle name="Normal 2 210" xfId="15846" xr:uid="{670F219F-F6E0-4217-9934-46A8898A3D85}"/>
    <cellStyle name="Normal 2 211" xfId="15847" xr:uid="{E5D0A92D-7713-4BC4-9F98-41C625238BAA}"/>
    <cellStyle name="Normal 2 212" xfId="15848" xr:uid="{A3EFB648-46DA-470A-B1E2-E1F86F142D17}"/>
    <cellStyle name="Normal 2 213" xfId="15849" xr:uid="{EFD485A9-A588-4C53-B4CC-3DCCE23C5AD1}"/>
    <cellStyle name="Normal 2 214" xfId="15850" xr:uid="{BC26D404-EF7C-46F6-AC60-C15D558B1723}"/>
    <cellStyle name="Normal 2 215" xfId="15851" xr:uid="{D8E17A6C-A296-4FEB-9A26-61E914C8BC5E}"/>
    <cellStyle name="Normal 2 216" xfId="15852" xr:uid="{405FB6EA-8CB9-4B31-9EBE-A4FAA594BE79}"/>
    <cellStyle name="Normal 2 217" xfId="15853" xr:uid="{35D915F7-6D14-4A33-8FDE-C06904F6FF25}"/>
    <cellStyle name="Normal 2 218" xfId="15854" xr:uid="{A998C283-67FF-4A9B-B195-FD2AAE4B513D}"/>
    <cellStyle name="Normal 2 219" xfId="15855" xr:uid="{2334C294-3D18-447A-A3B4-8BEE5AD33670}"/>
    <cellStyle name="Normal 2 22" xfId="15856" xr:uid="{E9648C82-DBE6-481F-9906-21F1829BD1B0}"/>
    <cellStyle name="Normal 2 22 2" xfId="15857" xr:uid="{49512847-2C6B-4B4B-A1A9-57325DFB19B5}"/>
    <cellStyle name="Normal 2 22 3" xfId="15858" xr:uid="{AECE330A-5611-45FF-8579-0190C06C6D64}"/>
    <cellStyle name="Normal 2 22 4" xfId="15859" xr:uid="{C35AB151-42ED-4F80-A852-6E448D74BA40}"/>
    <cellStyle name="Normal 2 220" xfId="15860" xr:uid="{8D4C33DD-1BD2-46AA-B619-1840B6C996E5}"/>
    <cellStyle name="Normal 2 221" xfId="15861" xr:uid="{EF896B08-BA0B-4FBA-BA6F-825EC0E04E36}"/>
    <cellStyle name="Normal 2 222" xfId="15862" xr:uid="{DB18711D-A6E5-4177-864F-31B42AA3782C}"/>
    <cellStyle name="Normal 2 223" xfId="15863" xr:uid="{ED10CFE5-1472-4D6F-8009-6C257CF13589}"/>
    <cellStyle name="Normal 2 224" xfId="15864" xr:uid="{A3C116A0-1851-4383-A8A8-ED513E08473A}"/>
    <cellStyle name="Normal 2 225" xfId="15865" xr:uid="{B63FE339-5811-49D7-AD5D-17E8E6CAB7BF}"/>
    <cellStyle name="Normal 2 226" xfId="15866" xr:uid="{7F46EA24-2A88-4CC1-B68E-6C44458704AE}"/>
    <cellStyle name="Normal 2 227" xfId="15867" xr:uid="{08C1CAFE-45E0-4C42-9568-70C5BD0A673C}"/>
    <cellStyle name="Normal 2 228" xfId="15868" xr:uid="{54277143-A3B5-4AE9-BD97-40710B4EF1EB}"/>
    <cellStyle name="Normal 2 229" xfId="15869" xr:uid="{CC83570F-DB42-4F84-B9F0-9EE72DF069AC}"/>
    <cellStyle name="Normal 2 23" xfId="15870" xr:uid="{74A670DF-7957-4CF3-AE06-1853D0998602}"/>
    <cellStyle name="Normal 2 23 2" xfId="15871" xr:uid="{6B1DA38C-607F-4DA5-A76E-81664F4FB5C0}"/>
    <cellStyle name="Normal 2 23 3" xfId="15872" xr:uid="{EF435602-B7F9-47E2-A5D2-C4168B1BB460}"/>
    <cellStyle name="Normal 2 23 4" xfId="15873" xr:uid="{C4D884BF-475F-499E-B059-16A62CAF8F64}"/>
    <cellStyle name="Normal 2 230" xfId="15874" xr:uid="{4F2A08FE-F6D7-4C78-A81E-05EBB85D3291}"/>
    <cellStyle name="Normal 2 231" xfId="15875" xr:uid="{24B4FB10-0AC5-4311-A887-4EFED3035D6E}"/>
    <cellStyle name="Normal 2 232" xfId="15876" xr:uid="{9EC09E70-C594-47D5-949F-19BF9A7E04EA}"/>
    <cellStyle name="Normal 2 233" xfId="15877" xr:uid="{C92A1EFA-DCA2-4F53-88FC-65629964E0F4}"/>
    <cellStyle name="Normal 2 234" xfId="15878" xr:uid="{D9DB9134-5950-447A-AD2E-4F01C1824830}"/>
    <cellStyle name="Normal 2 235" xfId="15879" xr:uid="{EDDEE6EF-FABE-4F24-AA65-BE19D2733560}"/>
    <cellStyle name="Normal 2 236" xfId="15880" xr:uid="{DA5802E1-E489-463D-BDA0-2B630E78E6AF}"/>
    <cellStyle name="Normal 2 237" xfId="15881" xr:uid="{C4F79D43-23A9-40EC-BE07-DAA4A6B8FE2C}"/>
    <cellStyle name="Normal 2 238" xfId="15882" xr:uid="{822DF95F-A84F-4DF8-B3D3-2DCDB98F0849}"/>
    <cellStyle name="Normal 2 239" xfId="15883" xr:uid="{EE6AB4D2-0663-4957-90D9-1AF9FAC2D906}"/>
    <cellStyle name="Normal 2 24" xfId="15884" xr:uid="{3D5A48BF-B8DA-48C5-9CD3-2F69E1F6F5DE}"/>
    <cellStyle name="Normal 2 24 2" xfId="15885" xr:uid="{F22480DE-D41A-463A-B1A7-C38B4000DF8F}"/>
    <cellStyle name="Normal 2 24 3" xfId="15886" xr:uid="{A47C57F4-9305-4859-98E6-677B3B962274}"/>
    <cellStyle name="Normal 2 240" xfId="15887" xr:uid="{41168C49-0540-48CE-862A-3F5FFBAFEB26}"/>
    <cellStyle name="Normal 2 241" xfId="15888" xr:uid="{398DEE48-8B2E-4426-8CD4-AD9C9268AF30}"/>
    <cellStyle name="Normal 2 242" xfId="15889" xr:uid="{0BEF19D1-37FD-4369-9FF8-E7793C21420B}"/>
    <cellStyle name="Normal 2 243" xfId="15890" xr:uid="{EA0C5860-FEFE-4FFA-B354-7ADCD9002BE8}"/>
    <cellStyle name="Normal 2 244" xfId="15891" xr:uid="{BCD7F97A-1D1D-4EC0-B3D6-0A517AE5EB35}"/>
    <cellStyle name="Normal 2 245" xfId="15892" xr:uid="{3A188D3E-7316-4090-8617-12CEE0054007}"/>
    <cellStyle name="Normal 2 246" xfId="5170" xr:uid="{870F484E-7BD8-4DE5-B1A1-0AE4FD30E30E}"/>
    <cellStyle name="Normal 2 25" xfId="15893" xr:uid="{97AEFE9A-0B1D-4FBF-AC76-6C7F9B860B49}"/>
    <cellStyle name="Normal 2 25 2" xfId="15894" xr:uid="{867CC587-2D99-42B0-BDD9-05FD93684004}"/>
    <cellStyle name="Normal 2 25 3" xfId="15895" xr:uid="{76D0ECD4-F7BB-4127-8FA2-A6A025949A48}"/>
    <cellStyle name="Normal 2 26" xfId="15896" xr:uid="{3D85AB76-7107-4042-B916-706AA62FD17F}"/>
    <cellStyle name="Normal 2 26 2" xfId="15897" xr:uid="{61AAE773-263E-416A-9E2F-73FAD0DC49DB}"/>
    <cellStyle name="Normal 2 26 3" xfId="15898" xr:uid="{66346A37-3D48-4C96-BBEB-80B6C6EF4CFF}"/>
    <cellStyle name="Normal 2 27" xfId="15899" xr:uid="{5EFD76FD-A4D1-4536-9CA9-2042060427DE}"/>
    <cellStyle name="Normal 2 27 2" xfId="15900" xr:uid="{9B19E822-DB85-4784-B5AC-EE0936C45F24}"/>
    <cellStyle name="Normal 2 27 3" xfId="15901" xr:uid="{6C92DD98-29EA-438E-AAF8-475D7B0C0481}"/>
    <cellStyle name="Normal 2 27 4" xfId="15902" xr:uid="{806EDDBD-0981-4822-A8D8-3339AF9B72F5}"/>
    <cellStyle name="Normal 2 28" xfId="15903" xr:uid="{59FB09FE-0515-4982-8AC9-8665A891907D}"/>
    <cellStyle name="Normal 2 28 2" xfId="15904" xr:uid="{2CEA9224-132B-4110-8873-0BAF58E44264}"/>
    <cellStyle name="Normal 2 28 3" xfId="15905" xr:uid="{76A0E6E1-A89C-48B3-9EA1-631B25EE935E}"/>
    <cellStyle name="Normal 2 28 4" xfId="15906" xr:uid="{F1D0830A-D8B9-4509-8517-40110D177869}"/>
    <cellStyle name="Normal 2 29" xfId="15907" xr:uid="{DBFFA0D0-1EB4-4A9F-A994-229F70F4D795}"/>
    <cellStyle name="Normal 2 29 2" xfId="15908" xr:uid="{07C9CA86-A69A-4527-A68F-BF3E69F764D2}"/>
    <cellStyle name="Normal 2 29 3" xfId="15909" xr:uid="{DFC2FE98-C738-40A0-A85F-87EAB949061B}"/>
    <cellStyle name="Normal 2 29 4" xfId="15910" xr:uid="{E0E8609A-A611-4035-92A3-2317E3063219}"/>
    <cellStyle name="Normal 2 3" xfId="15911" xr:uid="{3865BB8B-45CC-47DB-B809-3961086BD2E6}"/>
    <cellStyle name="Normal 2 3 10" xfId="15912" xr:uid="{F393AD0F-0CC6-4D80-AC8D-102D71FBA12B}"/>
    <cellStyle name="Normal 2 3 10 2" xfId="15913" xr:uid="{B2C140D1-7A51-45B9-8BF5-616AEE67E4C2}"/>
    <cellStyle name="Normal 2 3 10 3" xfId="15914" xr:uid="{DCC9D436-5B30-4F42-BF5B-BC42FA42A255}"/>
    <cellStyle name="Normal 2 3 10 3 2" xfId="15915" xr:uid="{D9E37B75-20AF-48DE-B180-3A41E3A223C9}"/>
    <cellStyle name="Normal 2 3 10 4" xfId="15916" xr:uid="{AD314470-4FB0-4F2C-814B-A074385D4A6D}"/>
    <cellStyle name="Normal 2 3 10 5" xfId="15917" xr:uid="{A4CC226F-1A27-405E-A7FE-0E6C548C0C06}"/>
    <cellStyle name="Normal 2 3 10 6" xfId="15918" xr:uid="{9F30C6A2-76A9-469C-8710-1444C326C711}"/>
    <cellStyle name="Normal 2 3 11" xfId="15919" xr:uid="{68E6826F-7998-4C75-9BFB-7517E2EAB8EF}"/>
    <cellStyle name="Normal 2 3 11 10" xfId="15920" xr:uid="{95ADF706-F021-4C4B-8E5F-0CF0099A448A}"/>
    <cellStyle name="Normal 2 3 11 11" xfId="15921" xr:uid="{059D1C71-0AAC-4F6F-8D17-42E46639C4F3}"/>
    <cellStyle name="Normal 2 3 11 12" xfId="15922" xr:uid="{1E954540-C63D-4888-A804-EE868D5F5ABC}"/>
    <cellStyle name="Normal 2 3 11 13" xfId="15923" xr:uid="{F397147F-5FA2-4441-B4F2-4E401D73A5C7}"/>
    <cellStyle name="Normal 2 3 11 14" xfId="15924" xr:uid="{C3E1EF74-DDD0-46F2-92BD-16B7BFCB626F}"/>
    <cellStyle name="Normal 2 3 11 2" xfId="15925" xr:uid="{04CA0E06-07F1-49B1-8E01-8979124E3785}"/>
    <cellStyle name="Normal 2 3 11 2 2" xfId="15926" xr:uid="{9323E33E-C815-48BD-B9EA-F54473F5140B}"/>
    <cellStyle name="Normal 2 3 11 2 2 2" xfId="15927" xr:uid="{1F1CA6E1-6C61-48C6-B7E0-F3DFC2EADC43}"/>
    <cellStyle name="Normal 2 3 11 2 2 2 2" xfId="15928" xr:uid="{8653A6F3-208D-460B-8D89-8DCDAF507017}"/>
    <cellStyle name="Normal 2 3 11 2 2 2 3" xfId="15929" xr:uid="{0344F675-6426-488D-960C-E62A7E2AEAD6}"/>
    <cellStyle name="Normal 2 3 11 2 2 2 4" xfId="15930" xr:uid="{37480C8B-5024-48D5-9D6B-B557C2444A91}"/>
    <cellStyle name="Normal 2 3 11 2 2 2 5" xfId="15931" xr:uid="{DDD1F4A7-874B-4E54-85F9-8D1F8C69F6C0}"/>
    <cellStyle name="Normal 2 3 11 2 2 2 6" xfId="15932" xr:uid="{DAAAC6AF-8039-4D2F-A9B1-942E88C24DF9}"/>
    <cellStyle name="Normal 2 3 11 2 2 3" xfId="15933" xr:uid="{E7D9D7D1-F7A7-4A82-931D-201B59432284}"/>
    <cellStyle name="Normal 2 3 11 2 2 4" xfId="15934" xr:uid="{DD708944-1238-4B06-87D9-0B298F282DBB}"/>
    <cellStyle name="Normal 2 3 11 2 2 5" xfId="15935" xr:uid="{2688F30D-5A36-4E4C-989D-9E78E739B58B}"/>
    <cellStyle name="Normal 2 3 11 2 2 6" xfId="15936" xr:uid="{43C893E3-4749-4020-8A88-17863570F3C5}"/>
    <cellStyle name="Normal 2 3 11 2 3" xfId="15937" xr:uid="{86CDF29C-22C6-4AB9-A94A-4C83DB0CD950}"/>
    <cellStyle name="Normal 2 3 11 2 4" xfId="15938" xr:uid="{8B671DA9-F8C1-40B2-8014-03D1672D921C}"/>
    <cellStyle name="Normal 2 3 11 2 5" xfId="15939" xr:uid="{4E24B15E-85F1-4C08-A83C-D674FCD88921}"/>
    <cellStyle name="Normal 2 3 11 2 6" xfId="15940" xr:uid="{7808952A-8621-4012-87B3-2CC660174691}"/>
    <cellStyle name="Normal 2 3 11 2 7" xfId="15941" xr:uid="{F8C7D23E-B624-4F46-B3D9-377E574CB037}"/>
    <cellStyle name="Normal 2 3 11 2 8" xfId="15942" xr:uid="{FC464F57-ABD8-49F3-8268-09082FA6AB63}"/>
    <cellStyle name="Normal 2 3 11 2 9" xfId="15943" xr:uid="{63907EC7-026D-44DC-931E-E2651F3511F2}"/>
    <cellStyle name="Normal 2 3 11 3" xfId="15944" xr:uid="{E9046E53-C4AA-4000-90D7-15636C874838}"/>
    <cellStyle name="Normal 2 3 11 3 2" xfId="15945" xr:uid="{F8BD9EA8-44A7-4629-8469-5EA3163D6BE0}"/>
    <cellStyle name="Normal 2 3 11 3 2 2" xfId="15946" xr:uid="{8ED95EAE-E78F-4DE4-91E6-6D28B777585E}"/>
    <cellStyle name="Normal 2 3 11 3 2 3" xfId="15947" xr:uid="{4B48BF5F-5092-4294-9624-964D7ECA1863}"/>
    <cellStyle name="Normal 2 3 11 3 2 4" xfId="15948" xr:uid="{1487ADC7-F526-4902-9D0F-B7EE70A1FAD8}"/>
    <cellStyle name="Normal 2 3 11 3 2 5" xfId="15949" xr:uid="{3AD84CD2-0924-41B0-9E50-5A4DE9ADBA97}"/>
    <cellStyle name="Normal 2 3 11 3 2 6" xfId="15950" xr:uid="{A3F4FFA5-B350-4663-85C1-43B138EBC3B1}"/>
    <cellStyle name="Normal 2 3 11 3 3" xfId="15951" xr:uid="{9CFB1A57-1C2B-46F3-B50A-B7C49868DC3A}"/>
    <cellStyle name="Normal 2 3 11 3 4" xfId="15952" xr:uid="{620E97C8-60E6-4442-A6FF-CE620EC83BEE}"/>
    <cellStyle name="Normal 2 3 11 3 5" xfId="15953" xr:uid="{1533DC23-182C-4075-B5C4-7D44A5082BAC}"/>
    <cellStyle name="Normal 2 3 11 3 6" xfId="15954" xr:uid="{5693EFB7-1998-4960-8DD9-C04B79430A30}"/>
    <cellStyle name="Normal 2 3 11 4" xfId="15955" xr:uid="{DFFFB462-8559-4AF2-AFA2-B444D3BCAF7C}"/>
    <cellStyle name="Normal 2 3 11 5" xfId="15956" xr:uid="{BB104C76-E202-47C2-9A28-E7FE3E6991B6}"/>
    <cellStyle name="Normal 2 3 11 6" xfId="15957" xr:uid="{F42729D8-3025-4DC2-A850-796F6E444D77}"/>
    <cellStyle name="Normal 2 3 11 7" xfId="15958" xr:uid="{2958F4A1-61C6-4F67-824F-010A4D05947D}"/>
    <cellStyle name="Normal 2 3 11 8" xfId="15959" xr:uid="{89905CC0-4961-4648-8FA5-172A0A812F24}"/>
    <cellStyle name="Normal 2 3 11 9" xfId="15960" xr:uid="{7837432C-76D8-44EE-944E-3BF35B693405}"/>
    <cellStyle name="Normal 2 3 12" xfId="15961" xr:uid="{BBBE3E5B-CFCD-425B-9348-0A32BDCDA839}"/>
    <cellStyle name="Normal 2 3 12 10" xfId="15962" xr:uid="{3E17D03E-5CA1-4365-948E-90F5172BA27E}"/>
    <cellStyle name="Normal 2 3 12 11" xfId="15963" xr:uid="{6AD46A5D-F0D2-4B96-A6AD-78CB0DF3057A}"/>
    <cellStyle name="Normal 2 3 12 12" xfId="15964" xr:uid="{0A05FBE7-1BF1-40FA-ADED-F886696EC20E}"/>
    <cellStyle name="Normal 2 3 12 13" xfId="15965" xr:uid="{0E169992-F6BA-469B-8A1E-32624935BD1D}"/>
    <cellStyle name="Normal 2 3 12 2" xfId="15966" xr:uid="{1B7C2ACF-E1F9-4873-A95D-33F514FC7FCF}"/>
    <cellStyle name="Normal 2 3 12 2 2" xfId="15967" xr:uid="{16D5E81D-C081-4F99-A140-3AC11CCF09BE}"/>
    <cellStyle name="Normal 2 3 12 2 3" xfId="15968" xr:uid="{B8977469-A684-4967-9B37-C8EFE9B3E3AE}"/>
    <cellStyle name="Normal 2 3 12 2 4" xfId="15969" xr:uid="{31106A56-D30B-473D-A777-8DD04298248C}"/>
    <cellStyle name="Normal 2 3 12 2 5" xfId="15970" xr:uid="{C39F5B4E-8BCD-44B2-84DF-47B922404B59}"/>
    <cellStyle name="Normal 2 3 12 3" xfId="15971" xr:uid="{65C0F310-F2EE-44C4-98C5-AA9539A9C046}"/>
    <cellStyle name="Normal 2 3 12 3 2" xfId="15972" xr:uid="{DA125160-7F02-40E0-BA79-B35E54B8C37D}"/>
    <cellStyle name="Normal 2 3 12 3 3" xfId="15973" xr:uid="{F6EF849B-99C0-457D-B8DF-3D085A6B29CB}"/>
    <cellStyle name="Normal 2 3 12 3 4" xfId="15974" xr:uid="{828E3C04-87BB-4E05-913F-E6FF88FDBD8C}"/>
    <cellStyle name="Normal 2 3 12 3 5" xfId="15975" xr:uid="{665CF251-E94A-4A58-9863-AB35EDCFAA83}"/>
    <cellStyle name="Normal 2 3 12 4" xfId="15976" xr:uid="{D86674D0-4F78-4455-9C5B-F5A06070E4CD}"/>
    <cellStyle name="Normal 2 3 12 5" xfId="15977" xr:uid="{A114FDFA-2169-4F68-AC16-E44E0E104876}"/>
    <cellStyle name="Normal 2 3 12 6" xfId="15978" xr:uid="{662B57DA-82C8-4294-A809-DB4BA4A74FD0}"/>
    <cellStyle name="Normal 2 3 12 7" xfId="15979" xr:uid="{8EC9F735-4B52-4CDE-9955-EB91655FC6F7}"/>
    <cellStyle name="Normal 2 3 12 8" xfId="15980" xr:uid="{B4FDC2AA-6652-4403-A38C-2EB548848355}"/>
    <cellStyle name="Normal 2 3 12 9" xfId="15981" xr:uid="{CE14687D-4F28-48CB-89EF-64045F05302B}"/>
    <cellStyle name="Normal 2 3 13" xfId="15982" xr:uid="{1DA9EC9F-AAA8-424F-9E3E-DA9D86A6E7E9}"/>
    <cellStyle name="Normal 2 3 13 2" xfId="15983" xr:uid="{6F3EAD3D-955F-45F4-BF49-7C4C1FAB8B92}"/>
    <cellStyle name="Normal 2 3 13 3" xfId="15984" xr:uid="{43926084-E3E7-4332-A605-78C67FDF34E9}"/>
    <cellStyle name="Normal 2 3 13 4" xfId="15985" xr:uid="{F58A3A00-E0BB-49C8-A356-C8A7E108193C}"/>
    <cellStyle name="Normal 2 3 13 5" xfId="15986" xr:uid="{2FAC651C-A420-45A9-9142-98193BCE5417}"/>
    <cellStyle name="Normal 2 3 13 6" xfId="15987" xr:uid="{CE13E0BC-A9E0-41AD-BCA7-DD558C26F825}"/>
    <cellStyle name="Normal 2 3 14" xfId="15988" xr:uid="{ECB58EC7-2C5E-41C2-9A7C-1649ED044819}"/>
    <cellStyle name="Normal 2 3 14 10" xfId="15989" xr:uid="{035D62A0-2E99-409F-9F98-9B8F0223F71C}"/>
    <cellStyle name="Normal 2 3 14 11" xfId="15990" xr:uid="{158B569A-BA98-4647-A5F6-6C2E146BF19B}"/>
    <cellStyle name="Normal 2 3 14 2" xfId="15991" xr:uid="{B0495FEE-CD47-4534-B1C9-BB7E6CA36A98}"/>
    <cellStyle name="Normal 2 3 14 2 2" xfId="15992" xr:uid="{DD5459A8-677C-4F2E-949F-5727CD85394C}"/>
    <cellStyle name="Normal 2 3 14 2 3" xfId="15993" xr:uid="{BF4343D2-02BE-48A2-9A77-E3C4BE742E8D}"/>
    <cellStyle name="Normal 2 3 14 2 4" xfId="15994" xr:uid="{1C229BE7-D150-4889-A65A-DEE639C53FCB}"/>
    <cellStyle name="Normal 2 3 14 2 5" xfId="15995" xr:uid="{C31F6A18-D819-4FA4-9C1C-71835BF95CB0}"/>
    <cellStyle name="Normal 2 3 14 2 6" xfId="15996" xr:uid="{293A9F2F-A642-441D-BD17-27B4BD242C1E}"/>
    <cellStyle name="Normal 2 3 14 3" xfId="15997" xr:uid="{A0BB89E4-B1C8-47C0-B129-386FC0CA11F7}"/>
    <cellStyle name="Normal 2 3 14 4" xfId="15998" xr:uid="{5A7CDE35-A05F-4C95-95F2-3AF7006A1160}"/>
    <cellStyle name="Normal 2 3 14 5" xfId="15999" xr:uid="{1C311DB7-373D-45A8-89C6-13728FA7DFA2}"/>
    <cellStyle name="Normal 2 3 14 6" xfId="16000" xr:uid="{053F1C87-CDE1-441B-A161-583D1F31D0D6}"/>
    <cellStyle name="Normal 2 3 14 7" xfId="16001" xr:uid="{5F140214-A2A3-4A61-9C33-9E374CA96188}"/>
    <cellStyle name="Normal 2 3 14 8" xfId="16002" xr:uid="{D7D606B7-425F-4A3F-8DC7-728CDB548EBD}"/>
    <cellStyle name="Normal 2 3 14 9" xfId="16003" xr:uid="{BDD9C540-1283-47C0-B269-8E760ACF6D72}"/>
    <cellStyle name="Normal 2 3 15" xfId="16004" xr:uid="{83DFE0B3-16B5-4D0B-A9CC-E00C0BDB9507}"/>
    <cellStyle name="Normal 2 3 15 2" xfId="16005" xr:uid="{36C10F46-C442-45C3-A5D1-B1B9BED6A5D4}"/>
    <cellStyle name="Normal 2 3 15 3" xfId="16006" xr:uid="{C81B12CF-E4B1-4C78-B556-3E8994874736}"/>
    <cellStyle name="Normal 2 3 15 4" xfId="16007" xr:uid="{4C86E523-45CF-4F41-98A4-B845F51AB56E}"/>
    <cellStyle name="Normal 2 3 15 5" xfId="16008" xr:uid="{250B0F99-DC99-4DC0-ADA1-A23A721E0554}"/>
    <cellStyle name="Normal 2 3 15 6" xfId="16009" xr:uid="{FB843EF2-6841-4487-983D-68E3BCBA2726}"/>
    <cellStyle name="Normal 2 3 16" xfId="16010" xr:uid="{411A6A34-D552-46ED-BB6C-010E599B5186}"/>
    <cellStyle name="Normal 2 3 16 2" xfId="16011" xr:uid="{8C92AB8C-6B91-4CC5-B52B-2BFA9DB15FE3}"/>
    <cellStyle name="Normal 2 3 16 3" xfId="16012" xr:uid="{071B4FAC-EF6F-4510-888E-AA0E90495746}"/>
    <cellStyle name="Normal 2 3 16 4" xfId="16013" xr:uid="{C9A58CCE-4824-4BBB-9438-00D9E37C699B}"/>
    <cellStyle name="Normal 2 3 16 5" xfId="16014" xr:uid="{1C331BA9-1BA4-4CB3-BCB7-91DBC70B11C0}"/>
    <cellStyle name="Normal 2 3 16 6" xfId="16015" xr:uid="{D1F8DF56-A06B-4D4A-A948-E14C969ABFE3}"/>
    <cellStyle name="Normal 2 3 17" xfId="16016" xr:uid="{8AC2476C-61B4-493B-AC74-1450CB072AAB}"/>
    <cellStyle name="Normal 2 3 17 2" xfId="16017" xr:uid="{9BA2989A-9362-4F33-B3D4-F84CF9B0DA4F}"/>
    <cellStyle name="Normal 2 3 17 3" xfId="16018" xr:uid="{0E1052E4-6B28-4C11-AE9A-F7A81A4C03AA}"/>
    <cellStyle name="Normal 2 3 17 4" xfId="16019" xr:uid="{5A0028A4-5F9E-4FF3-BCC1-3DBBC7C2D37E}"/>
    <cellStyle name="Normal 2 3 17 5" xfId="16020" xr:uid="{76E3034E-47E1-443A-B282-8779902D1CD6}"/>
    <cellStyle name="Normal 2 3 17 6" xfId="16021" xr:uid="{AAA8B015-B90B-4B12-860C-8CC3B1A828D9}"/>
    <cellStyle name="Normal 2 3 18" xfId="16022" xr:uid="{06799065-264B-4937-9824-3DA935B472A2}"/>
    <cellStyle name="Normal 2 3 18 2" xfId="16023" xr:uid="{72A59031-3D86-4E7B-9964-0A089BC5867F}"/>
    <cellStyle name="Normal 2 3 18 3" xfId="16024" xr:uid="{F8DAD52A-8E86-402E-87A9-F249111B706D}"/>
    <cellStyle name="Normal 2 3 18 4" xfId="16025" xr:uid="{6ED10BC7-E1C6-4DEF-A6FE-00443B2EF411}"/>
    <cellStyle name="Normal 2 3 18 5" xfId="16026" xr:uid="{E75321D6-4995-41AC-AF66-FDEBCB20DF9D}"/>
    <cellStyle name="Normal 2 3 18 6" xfId="16027" xr:uid="{B4D9925F-D478-4DF0-9C02-28803AC19D58}"/>
    <cellStyle name="Normal 2 3 19" xfId="16028" xr:uid="{CD78C5E3-5180-408C-9B24-C001188B5698}"/>
    <cellStyle name="Normal 2 3 19 2" xfId="16029" xr:uid="{735F7FFF-46A2-470A-B60A-23A4A7543E79}"/>
    <cellStyle name="Normal 2 3 19 3" xfId="16030" xr:uid="{71EAFEC2-C21E-4060-96C1-9D2B98F812BB}"/>
    <cellStyle name="Normal 2 3 19 4" xfId="16031" xr:uid="{B8500A79-9988-49FC-AE25-6135103ED00B}"/>
    <cellStyle name="Normal 2 3 19 5" xfId="16032" xr:uid="{B2AEED1C-BDDE-4038-A8AB-C8BFC1DEFDF2}"/>
    <cellStyle name="Normal 2 3 19 6" xfId="16033" xr:uid="{A4923BF2-3985-4279-8712-932E2F68E844}"/>
    <cellStyle name="Normal 2 3 2" xfId="16034" xr:uid="{F172FDA9-829F-4657-BA34-A447C13EC0FF}"/>
    <cellStyle name="Normal 2 3 2 10" xfId="16035" xr:uid="{353ACABF-5871-4AE1-A752-0D2405F78CA9}"/>
    <cellStyle name="Normal 2 3 2 10 2" xfId="16036" xr:uid="{570F99EA-0872-465B-90B2-497C6714CB68}"/>
    <cellStyle name="Normal 2 3 2 10 3" xfId="16037" xr:uid="{566E5D00-5969-4BC0-B509-F8402A5798E9}"/>
    <cellStyle name="Normal 2 3 2 10 4" xfId="16038" xr:uid="{35FA017F-88A7-4B83-A4A2-F8A5B7234C25}"/>
    <cellStyle name="Normal 2 3 2 10 5" xfId="16039" xr:uid="{A5E627C1-9AA7-408B-8790-695132C53B43}"/>
    <cellStyle name="Normal 2 3 2 10 6" xfId="16040" xr:uid="{57006875-1670-49BF-A11A-E2264A5984EA}"/>
    <cellStyle name="Normal 2 3 2 11" xfId="16041" xr:uid="{28AB4C05-E944-4BE8-8383-490539066758}"/>
    <cellStyle name="Normal 2 3 2 11 10" xfId="16042" xr:uid="{DB8B0554-C2E6-442E-9FF2-C7DE265C0AED}"/>
    <cellStyle name="Normal 2 3 2 11 11" xfId="16043" xr:uid="{F0B123D3-94D2-41B3-9B4F-BD621BDEBD6A}"/>
    <cellStyle name="Normal 2 3 2 11 12" xfId="16044" xr:uid="{5DD4AF62-0D24-44B2-87B4-D3EDE8EED57C}"/>
    <cellStyle name="Normal 2 3 2 11 13" xfId="16045" xr:uid="{E965B8AD-071C-49EA-A886-AF4D137DD91C}"/>
    <cellStyle name="Normal 2 3 2 11 14" xfId="16046" xr:uid="{2A386149-80B4-4A35-AB08-26275F263D6C}"/>
    <cellStyle name="Normal 2 3 2 11 2" xfId="16047" xr:uid="{166A9C95-B9A6-45DF-BA6B-EED5FA9E28FB}"/>
    <cellStyle name="Normal 2 3 2 11 2 2" xfId="16048" xr:uid="{7932447F-B53F-4CC2-8585-9EDC9DB22384}"/>
    <cellStyle name="Normal 2 3 2 11 2 2 2" xfId="16049" xr:uid="{E2F4225E-A8B1-46F7-A375-206F8C94F246}"/>
    <cellStyle name="Normal 2 3 2 11 2 2 2 2" xfId="16050" xr:uid="{EDCDCC00-9E13-4DB6-8035-197140AAE77A}"/>
    <cellStyle name="Normal 2 3 2 11 2 2 2 3" xfId="16051" xr:uid="{F6996F19-8121-4E04-B1BC-5DB3C0751656}"/>
    <cellStyle name="Normal 2 3 2 11 2 2 2 4" xfId="16052" xr:uid="{6CC7D9D5-4861-4B90-BD46-96B181595AD3}"/>
    <cellStyle name="Normal 2 3 2 11 2 2 2 5" xfId="16053" xr:uid="{44ACE624-86E3-4247-A0A7-DEB0E1DC213E}"/>
    <cellStyle name="Normal 2 3 2 11 2 2 2 6" xfId="16054" xr:uid="{125DFDAB-1EF3-45CE-AA95-C223C72167B8}"/>
    <cellStyle name="Normal 2 3 2 11 2 2 3" xfId="16055" xr:uid="{63D061F1-F339-4778-AE02-B94DAB770537}"/>
    <cellStyle name="Normal 2 3 2 11 2 2 4" xfId="16056" xr:uid="{3C9220CA-B96B-44DC-B0BE-9414100F2F31}"/>
    <cellStyle name="Normal 2 3 2 11 2 2 5" xfId="16057" xr:uid="{98BD3B4D-581F-46D5-ADBA-051D60BCE418}"/>
    <cellStyle name="Normal 2 3 2 11 2 2 6" xfId="16058" xr:uid="{BE3B70B5-135E-41F8-8222-FA69F4DD7781}"/>
    <cellStyle name="Normal 2 3 2 11 2 3" xfId="16059" xr:uid="{E23496C8-CD0F-4695-BC85-CCFE7451DE61}"/>
    <cellStyle name="Normal 2 3 2 11 2 4" xfId="16060" xr:uid="{05C1C599-5423-4F7C-BE6B-A9CAE429E600}"/>
    <cellStyle name="Normal 2 3 2 11 2 5" xfId="16061" xr:uid="{F570AE93-DDC2-44C4-8C43-7632B98A6011}"/>
    <cellStyle name="Normal 2 3 2 11 2 6" xfId="16062" xr:uid="{3EC5F797-BD24-490A-9AB6-7FA766E40F53}"/>
    <cellStyle name="Normal 2 3 2 11 2 7" xfId="16063" xr:uid="{B136221C-FD25-43CA-8339-2E028B45B1B5}"/>
    <cellStyle name="Normal 2 3 2 11 2 8" xfId="16064" xr:uid="{E1A1BF20-F06C-4A4A-AB33-AA8C12034D39}"/>
    <cellStyle name="Normal 2 3 2 11 2 9" xfId="16065" xr:uid="{DEE24E41-1253-486E-812C-5023F3F88884}"/>
    <cellStyle name="Normal 2 3 2 11 3" xfId="16066" xr:uid="{F4A423A5-2AEC-4333-8F4D-BB91CD2FF195}"/>
    <cellStyle name="Normal 2 3 2 11 3 2" xfId="16067" xr:uid="{679BF742-A094-4D16-AC98-2B7C651B4376}"/>
    <cellStyle name="Normal 2 3 2 11 3 2 2" xfId="16068" xr:uid="{9D0A1FE6-5FE4-480E-A2D5-72530B89804D}"/>
    <cellStyle name="Normal 2 3 2 11 3 2 3" xfId="16069" xr:uid="{35DA29BA-D205-42F4-B1E7-6E1B6B272CFA}"/>
    <cellStyle name="Normal 2 3 2 11 3 2 4" xfId="16070" xr:uid="{F5F9D933-3911-4ADB-AB34-4C7EE0456EDB}"/>
    <cellStyle name="Normal 2 3 2 11 3 2 5" xfId="16071" xr:uid="{34FEE3E1-7B36-48A8-8797-7756B78F3D80}"/>
    <cellStyle name="Normal 2 3 2 11 3 2 6" xfId="16072" xr:uid="{BC08766D-9A74-40CA-9810-A7432597C4CB}"/>
    <cellStyle name="Normal 2 3 2 11 3 3" xfId="16073" xr:uid="{89A64D2D-832F-4184-8255-3273885C4261}"/>
    <cellStyle name="Normal 2 3 2 11 3 4" xfId="16074" xr:uid="{433D052D-EAAD-49D1-BEFC-A0C5116A9505}"/>
    <cellStyle name="Normal 2 3 2 11 3 5" xfId="16075" xr:uid="{230F6950-8DA4-472F-B816-6B78A94EF874}"/>
    <cellStyle name="Normal 2 3 2 11 3 6" xfId="16076" xr:uid="{705C9347-7FA6-43A2-9858-FC7625F20662}"/>
    <cellStyle name="Normal 2 3 2 11 4" xfId="16077" xr:uid="{12E4B8BE-4FE6-4ED4-AD02-385B0C9BD57C}"/>
    <cellStyle name="Normal 2 3 2 11 5" xfId="16078" xr:uid="{1A763467-B25A-42C7-925C-519C6EDD09C9}"/>
    <cellStyle name="Normal 2 3 2 11 6" xfId="16079" xr:uid="{1FFA6A87-143F-45C1-AFD5-6EA2C5603A5B}"/>
    <cellStyle name="Normal 2 3 2 11 7" xfId="16080" xr:uid="{BFE5FFC2-D8F1-439A-A118-CB17A327A050}"/>
    <cellStyle name="Normal 2 3 2 11 8" xfId="16081" xr:uid="{2B3FE2F6-B39B-4FCD-AF60-0FC7AE74A4F3}"/>
    <cellStyle name="Normal 2 3 2 11 9" xfId="16082" xr:uid="{73B08C37-AF5D-412F-B192-9B6559E032F8}"/>
    <cellStyle name="Normal 2 3 2 12" xfId="16083" xr:uid="{AA04FE00-4507-4601-9220-0A2DFE7B8EB1}"/>
    <cellStyle name="Normal 2 3 2 12 10" xfId="16084" xr:uid="{224E32D4-2E00-422F-A64A-3B2F11DC68C1}"/>
    <cellStyle name="Normal 2 3 2 12 11" xfId="16085" xr:uid="{FF26FA24-ED4A-44DF-9F67-FCE3E0D2A080}"/>
    <cellStyle name="Normal 2 3 2 12 12" xfId="16086" xr:uid="{84A18E59-C275-4021-822A-5AF0697643E0}"/>
    <cellStyle name="Normal 2 3 2 12 13" xfId="16087" xr:uid="{70E7536F-211E-45CA-8269-C894AACBB12D}"/>
    <cellStyle name="Normal 2 3 2 12 14" xfId="16088" xr:uid="{B0418FD6-9101-4863-BF11-7C64E09B38D0}"/>
    <cellStyle name="Normal 2 3 2 12 2" xfId="16089" xr:uid="{82610F38-F00B-4392-B1D6-9D14795C1B9B}"/>
    <cellStyle name="Normal 2 3 2 12 2 10" xfId="16090" xr:uid="{6E4EF535-7E86-4D0C-9D32-1FB64075538C}"/>
    <cellStyle name="Normal 2 3 2 12 2 11" xfId="16091" xr:uid="{C9A1F6A5-2183-48A8-9845-9C9C99BCD7DB}"/>
    <cellStyle name="Normal 2 3 2 12 2 12" xfId="16092" xr:uid="{FB4753E0-CD4E-404C-8720-0F86D42A76FB}"/>
    <cellStyle name="Normal 2 3 2 12 2 13" xfId="16093" xr:uid="{39936F68-CD2D-4981-B3CE-1701AB3C2165}"/>
    <cellStyle name="Normal 2 3 2 12 2 2" xfId="16094" xr:uid="{450D67EF-7D73-431C-AEA2-CE7E0AAE5DFC}"/>
    <cellStyle name="Normal 2 3 2 12 2 3" xfId="16095" xr:uid="{A8DD65B4-1B2C-401F-B643-D43A8DE8A5A9}"/>
    <cellStyle name="Normal 2 3 2 12 2 4" xfId="16096" xr:uid="{7478B5AD-BE50-41B0-BDB0-5F754E35D1C7}"/>
    <cellStyle name="Normal 2 3 2 12 2 5" xfId="16097" xr:uid="{7505972D-2F17-4853-B512-CE6D00B586D7}"/>
    <cellStyle name="Normal 2 3 2 12 2 6" xfId="16098" xr:uid="{AC1C862D-D6C9-493A-8496-4FBCF52BE049}"/>
    <cellStyle name="Normal 2 3 2 12 2 7" xfId="16099" xr:uid="{29C0B126-C0DD-48D2-BC98-E13C4BB11DEC}"/>
    <cellStyle name="Normal 2 3 2 12 2 8" xfId="16100" xr:uid="{F28D5BEF-43BD-4511-A77A-8D5D0349F0E3}"/>
    <cellStyle name="Normal 2 3 2 12 2 9" xfId="16101" xr:uid="{D27C5807-4E0D-493E-8737-747A53FB2DFD}"/>
    <cellStyle name="Normal 2 3 2 12 3" xfId="16102" xr:uid="{9FDA9E11-5322-4F2A-A793-2FDF496E46A2}"/>
    <cellStyle name="Normal 2 3 2 12 3 2" xfId="16103" xr:uid="{0495A24D-A32A-40A2-B430-A5B8B355C363}"/>
    <cellStyle name="Normal 2 3 2 12 3 3" xfId="16104" xr:uid="{634C2CCE-D505-41E6-9898-EFF81CB3D6A6}"/>
    <cellStyle name="Normal 2 3 2 12 3 4" xfId="16105" xr:uid="{E20368A3-44B3-4663-907B-9971F393051A}"/>
    <cellStyle name="Normal 2 3 2 12 3 5" xfId="16106" xr:uid="{A977D5AE-E6DC-4902-B5E5-70D8B32A544E}"/>
    <cellStyle name="Normal 2 3 2 12 4" xfId="16107" xr:uid="{22AC2289-0306-4419-ABEE-D6168E6DE899}"/>
    <cellStyle name="Normal 2 3 2 12 4 2" xfId="16108" xr:uid="{86EC2587-D943-4BF4-9E60-B236CC01516F}"/>
    <cellStyle name="Normal 2 3 2 12 4 3" xfId="16109" xr:uid="{A0B33DA7-8574-4ECA-97CF-87E6BAD82B3E}"/>
    <cellStyle name="Normal 2 3 2 12 4 4" xfId="16110" xr:uid="{96DC4D37-1459-4B47-AEDA-BA8E4C18F8AE}"/>
    <cellStyle name="Normal 2 3 2 12 4 5" xfId="16111" xr:uid="{A605BCE9-FE9D-41E1-9121-25E9A80C1BAD}"/>
    <cellStyle name="Normal 2 3 2 12 5" xfId="16112" xr:uid="{A522962C-538F-4A73-8672-98441309D119}"/>
    <cellStyle name="Normal 2 3 2 12 5 2" xfId="16113" xr:uid="{B2AE34AE-A68C-4F3D-BE08-95A2C7D6B328}"/>
    <cellStyle name="Normal 2 3 2 12 5 3" xfId="16114" xr:uid="{3229D10E-2DE8-4283-BBDB-D95E53CFE3BE}"/>
    <cellStyle name="Normal 2 3 2 12 5 4" xfId="16115" xr:uid="{79558B12-C3E7-4961-9AE5-98626F51C455}"/>
    <cellStyle name="Normal 2 3 2 12 5 5" xfId="16116" xr:uid="{9F31EE8C-FD59-41BD-8F84-CCD2B7458697}"/>
    <cellStyle name="Normal 2 3 2 12 6" xfId="16117" xr:uid="{8422B122-F367-480B-AFE0-BBA5CD1759FC}"/>
    <cellStyle name="Normal 2 3 2 12 6 2" xfId="16118" xr:uid="{E236D303-EBC3-470E-A725-440E9158F474}"/>
    <cellStyle name="Normal 2 3 2 12 6 3" xfId="16119" xr:uid="{8E1A4413-497A-4965-BEE5-8875D08D3405}"/>
    <cellStyle name="Normal 2 3 2 12 6 4" xfId="16120" xr:uid="{D5CBDB87-747D-4633-9D6C-1A047F90027C}"/>
    <cellStyle name="Normal 2 3 2 12 6 5" xfId="16121" xr:uid="{B0050B94-AD9B-4CFC-9B84-7057B3BC7AA0}"/>
    <cellStyle name="Normal 2 3 2 12 7" xfId="16122" xr:uid="{114233FB-CF43-426B-8B0F-2AC545D758FF}"/>
    <cellStyle name="Normal 2 3 2 12 7 2" xfId="16123" xr:uid="{2D00BF32-8654-44B2-A2CA-5DEC8076C785}"/>
    <cellStyle name="Normal 2 3 2 12 7 3" xfId="16124" xr:uid="{184BE6D3-3AAC-488D-976C-864626CC2890}"/>
    <cellStyle name="Normal 2 3 2 12 7 4" xfId="16125" xr:uid="{5864CFA7-B2B7-44D5-837C-71AC49E24B30}"/>
    <cellStyle name="Normal 2 3 2 12 7 5" xfId="16126" xr:uid="{C3189D68-10B1-47D4-A6C8-80EF44A3FADE}"/>
    <cellStyle name="Normal 2 3 2 12 8" xfId="16127" xr:uid="{D92B1160-77E0-4445-BE84-796015C94445}"/>
    <cellStyle name="Normal 2 3 2 12 8 2" xfId="16128" xr:uid="{AAB8DE52-11D3-47B6-9DB5-A7A0509F0BAE}"/>
    <cellStyle name="Normal 2 3 2 12 8 3" xfId="16129" xr:uid="{BEA3CB12-8E8E-492F-A71A-058F3ABA074B}"/>
    <cellStyle name="Normal 2 3 2 12 8 4" xfId="16130" xr:uid="{E97018BD-6DA6-412C-93D5-77161CDC4B3E}"/>
    <cellStyle name="Normal 2 3 2 12 8 5" xfId="16131" xr:uid="{EA32128E-482D-4B2C-A541-B83A15D80877}"/>
    <cellStyle name="Normal 2 3 2 12 9" xfId="16132" xr:uid="{BBACED37-6CBC-41A5-8DBB-0BABDC243E08}"/>
    <cellStyle name="Normal 2 3 2 12 9 2" xfId="16133" xr:uid="{043D0036-88AF-4673-AA3D-2909356DAE9F}"/>
    <cellStyle name="Normal 2 3 2 12 9 3" xfId="16134" xr:uid="{C0040BDB-2B99-4371-ADC9-45E440D330F9}"/>
    <cellStyle name="Normal 2 3 2 12 9 4" xfId="16135" xr:uid="{A0CC9D58-4F64-49EA-A6EC-CA650449B7A2}"/>
    <cellStyle name="Normal 2 3 2 12 9 5" xfId="16136" xr:uid="{0AFA5F1A-7D78-46E7-8955-5EF8E0F05CE9}"/>
    <cellStyle name="Normal 2 3 2 13" xfId="16137" xr:uid="{BDEE86BC-84C7-468B-905D-A0149D3A7052}"/>
    <cellStyle name="Normal 2 3 2 13 2" xfId="16138" xr:uid="{8851FF4F-A243-4930-B440-E6A66F889746}"/>
    <cellStyle name="Normal 2 3 2 13 3" xfId="16139" xr:uid="{198E28A6-4AAA-4238-97AA-0E690BCCBD5D}"/>
    <cellStyle name="Normal 2 3 2 13 4" xfId="16140" xr:uid="{DCC3D472-38BB-4A52-A0B7-E7A87FE909D4}"/>
    <cellStyle name="Normal 2 3 2 13 5" xfId="16141" xr:uid="{0C5A4FF7-0607-4477-8493-AB23FF67EF41}"/>
    <cellStyle name="Normal 2 3 2 13 6" xfId="16142" xr:uid="{5E11839A-606D-4D43-BF48-B4BDA0A85EEB}"/>
    <cellStyle name="Normal 2 3 2 14" xfId="16143" xr:uid="{CBABB455-D254-4108-8A32-03A2B835D1B4}"/>
    <cellStyle name="Normal 2 3 2 14 10" xfId="16144" xr:uid="{8BED0CE9-1F0D-4DBE-93DB-4A6162201191}"/>
    <cellStyle name="Normal 2 3 2 14 11" xfId="16145" xr:uid="{0C33204E-4DEE-4AA1-AFDE-CFC3388F0406}"/>
    <cellStyle name="Normal 2 3 2 14 2" xfId="16146" xr:uid="{22240F71-6BBF-4A29-BB70-B291D44D5233}"/>
    <cellStyle name="Normal 2 3 2 14 2 2" xfId="16147" xr:uid="{B544A647-CE84-4451-8FC3-E9C783CD2DA7}"/>
    <cellStyle name="Normal 2 3 2 14 2 3" xfId="16148" xr:uid="{2252D0FA-9599-4BF3-BA6E-54F4809A9A21}"/>
    <cellStyle name="Normal 2 3 2 14 2 4" xfId="16149" xr:uid="{087856B8-3BA1-481D-8FC4-A27234C4579C}"/>
    <cellStyle name="Normal 2 3 2 14 2 5" xfId="16150" xr:uid="{2235F4E0-5E8D-4546-9274-2AA5FE78ABF6}"/>
    <cellStyle name="Normal 2 3 2 14 2 6" xfId="16151" xr:uid="{132ED1A3-F9D7-4CD3-91A9-100C5C0D3F39}"/>
    <cellStyle name="Normal 2 3 2 14 3" xfId="16152" xr:uid="{0A4DB8D7-A46F-47F0-B7CF-9D0643114C66}"/>
    <cellStyle name="Normal 2 3 2 14 4" xfId="16153" xr:uid="{B0F37046-A741-445E-8164-2DF55FB0A9FF}"/>
    <cellStyle name="Normal 2 3 2 14 5" xfId="16154" xr:uid="{F75F12D3-F538-4013-AFF6-D979ACE0D1F2}"/>
    <cellStyle name="Normal 2 3 2 14 6" xfId="16155" xr:uid="{B959FF5A-0FFB-4D1A-881A-DC97DE344B8F}"/>
    <cellStyle name="Normal 2 3 2 14 7" xfId="16156" xr:uid="{973DFC35-DD22-47CF-A9BB-7079261DCACA}"/>
    <cellStyle name="Normal 2 3 2 14 8" xfId="16157" xr:uid="{E135F59C-C105-44A5-9698-F0F38D482054}"/>
    <cellStyle name="Normal 2 3 2 14 9" xfId="16158" xr:uid="{3535098E-5E99-4DBE-97BF-66A5A9E13727}"/>
    <cellStyle name="Normal 2 3 2 15" xfId="16159" xr:uid="{E78B9D35-0942-44AF-8B1A-155749AE23F9}"/>
    <cellStyle name="Normal 2 3 2 15 2" xfId="16160" xr:uid="{5F42AC70-A970-42D3-B822-740C1DD9CF85}"/>
    <cellStyle name="Normal 2 3 2 15 3" xfId="16161" xr:uid="{EF677FE1-2676-4B36-B146-8CD174A3F85C}"/>
    <cellStyle name="Normal 2 3 2 15 4" xfId="16162" xr:uid="{41F659AC-6D3C-43F3-92CB-A559D60C15E4}"/>
    <cellStyle name="Normal 2 3 2 15 5" xfId="16163" xr:uid="{B1B12406-B568-4D0E-BFDD-756A7A3B67B8}"/>
    <cellStyle name="Normal 2 3 2 15 6" xfId="16164" xr:uid="{51675B1A-8434-4836-A847-ACD1488E76D8}"/>
    <cellStyle name="Normal 2 3 2 16" xfId="16165" xr:uid="{A69B678D-AD2D-4107-8E1F-D224B2DC2F51}"/>
    <cellStyle name="Normal 2 3 2 16 2" xfId="16166" xr:uid="{BC250BD3-97DF-4082-A19D-83F42B6934F8}"/>
    <cellStyle name="Normal 2 3 2 16 3" xfId="16167" xr:uid="{B28FA0AD-32D1-4DEA-9F32-5CBCA9A2F334}"/>
    <cellStyle name="Normal 2 3 2 16 4" xfId="16168" xr:uid="{18B45962-877C-4ECF-A71D-036AFCC22D17}"/>
    <cellStyle name="Normal 2 3 2 16 5" xfId="16169" xr:uid="{96B8D99D-89D5-431C-A328-7BB465F7939D}"/>
    <cellStyle name="Normal 2 3 2 16 6" xfId="16170" xr:uid="{5E3812E8-0302-4F66-B8CC-03964C6BA5EB}"/>
    <cellStyle name="Normal 2 3 2 17" xfId="16171" xr:uid="{40A5D127-BBF8-4594-8AAE-1DC36805B17B}"/>
    <cellStyle name="Normal 2 3 2 17 2" xfId="16172" xr:uid="{7FA8233D-94A0-49F0-9007-9832A37977C4}"/>
    <cellStyle name="Normal 2 3 2 17 3" xfId="16173" xr:uid="{FD7AF484-2B25-4803-B27A-C0EB77F947B1}"/>
    <cellStyle name="Normal 2 3 2 17 4" xfId="16174" xr:uid="{4BC14B3D-1EAA-4512-B087-0E7FEA3FEEB8}"/>
    <cellStyle name="Normal 2 3 2 17 5" xfId="16175" xr:uid="{57B210CD-2DD5-4727-BBEC-C0FA2835BC6C}"/>
    <cellStyle name="Normal 2 3 2 17 6" xfId="16176" xr:uid="{91B86347-9A18-45ED-8D86-757730A1F41C}"/>
    <cellStyle name="Normal 2 3 2 18" xfId="16177" xr:uid="{A0664511-5F36-4BCB-9BB4-C9452D94735C}"/>
    <cellStyle name="Normal 2 3 2 18 2" xfId="16178" xr:uid="{CA8F9DEA-9859-4BDB-930C-7813016DA0FC}"/>
    <cellStyle name="Normal 2 3 2 18 3" xfId="16179" xr:uid="{BA55CBC6-1052-46E9-8B84-1E39B5D427CB}"/>
    <cellStyle name="Normal 2 3 2 18 4" xfId="16180" xr:uid="{EE98274E-5841-47C4-94D9-36263C10FF45}"/>
    <cellStyle name="Normal 2 3 2 18 5" xfId="16181" xr:uid="{BDC00C21-38A3-4C1A-B604-BD897E34EB62}"/>
    <cellStyle name="Normal 2 3 2 18 6" xfId="16182" xr:uid="{57C65887-2837-4692-90C1-7C1A12522F76}"/>
    <cellStyle name="Normal 2 3 2 19" xfId="16183" xr:uid="{64121117-30B4-4A9D-84C6-E209BD696AF8}"/>
    <cellStyle name="Normal 2 3 2 19 2" xfId="16184" xr:uid="{6B521B57-4614-4168-A771-8CAD8E3C745D}"/>
    <cellStyle name="Normal 2 3 2 19 3" xfId="16185" xr:uid="{80FAE1C6-67F1-4041-A541-588A79C192D9}"/>
    <cellStyle name="Normal 2 3 2 19 4" xfId="16186" xr:uid="{90E18BA7-D18D-4CDE-9EF3-28EC87CA62C1}"/>
    <cellStyle name="Normal 2 3 2 19 5" xfId="16187" xr:uid="{4A3766B0-EA40-48F6-A064-741305BEF4BD}"/>
    <cellStyle name="Normal 2 3 2 19 6" xfId="16188" xr:uid="{AFFF2579-6940-4B6C-B5D9-8B2994DA34A5}"/>
    <cellStyle name="Normal 2 3 2 2" xfId="16189" xr:uid="{7248B077-0241-488A-AFB3-2A81569BD0AE}"/>
    <cellStyle name="Normal 2 3 2 2 10" xfId="16190" xr:uid="{73383B41-157B-422D-91FC-B2D9DB9928BE}"/>
    <cellStyle name="Normal 2 3 2 2 10 2" xfId="16191" xr:uid="{5804C02E-A60E-4DA8-BB5B-2577DD52E4E8}"/>
    <cellStyle name="Normal 2 3 2 2 10 3" xfId="16192" xr:uid="{4B5D14E0-4D11-4A8E-B98E-936E2D04AE27}"/>
    <cellStyle name="Normal 2 3 2 2 10 4" xfId="16193" xr:uid="{445BB7D2-83AF-4431-B1DD-6327CA9DE931}"/>
    <cellStyle name="Normal 2 3 2 2 10 5" xfId="16194" xr:uid="{36ABD828-6016-43D6-BFE2-1521ECB2D443}"/>
    <cellStyle name="Normal 2 3 2 2 10 6" xfId="16195" xr:uid="{4A623230-25E3-4E96-9E74-5B59D589833A}"/>
    <cellStyle name="Normal 2 3 2 2 11" xfId="16196" xr:uid="{266D1801-FA10-4A75-8F08-9A2C95576EDC}"/>
    <cellStyle name="Normal 2 3 2 2 11 2" xfId="16197" xr:uid="{CB6159F9-C96B-4829-ABAB-AFB756D4287B}"/>
    <cellStyle name="Normal 2 3 2 2 11 2 2" xfId="16198" xr:uid="{311F8703-0C26-401B-8518-E95A5D7AA556}"/>
    <cellStyle name="Normal 2 3 2 2 11 2 3" xfId="16199" xr:uid="{C32C849D-2CBB-496C-A08F-B48B39493A3A}"/>
    <cellStyle name="Normal 2 3 2 2 11 2 4" xfId="16200" xr:uid="{93757612-79E4-4DC3-A49F-EF519018C067}"/>
    <cellStyle name="Normal 2 3 2 2 11 2 5" xfId="16201" xr:uid="{35994906-81D7-410C-9908-917C306AFF27}"/>
    <cellStyle name="Normal 2 3 2 2 11 2 6" xfId="16202" xr:uid="{18303954-036D-4351-A346-5E7C43F684C3}"/>
    <cellStyle name="Normal 2 3 2 2 11 3" xfId="16203" xr:uid="{7D903E85-BAF8-40C8-9429-91A677E13309}"/>
    <cellStyle name="Normal 2 3 2 2 11 4" xfId="16204" xr:uid="{5E25BB1E-389C-4A9C-A667-B2B8D7421BBE}"/>
    <cellStyle name="Normal 2 3 2 2 11 5" xfId="16205" xr:uid="{C9DA4419-8AAD-49F1-95C7-6D2E0927A58C}"/>
    <cellStyle name="Normal 2 3 2 2 11 6" xfId="16206" xr:uid="{3B3AAF4B-DC25-4394-AC74-4CAB11DB958E}"/>
    <cellStyle name="Normal 2 3 2 2 11 7" xfId="16207" xr:uid="{CB10E448-5CB7-41A8-9E80-1E3FF03EE7F2}"/>
    <cellStyle name="Normal 2 3 2 2 12" xfId="16208" xr:uid="{8629C749-9E85-41BB-9CE5-6AB99DF30B74}"/>
    <cellStyle name="Normal 2 3 2 2 12 10" xfId="16209" xr:uid="{4BFBF954-6DEE-4F9A-8127-AB51D61797FF}"/>
    <cellStyle name="Normal 2 3 2 2 12 2" xfId="16210" xr:uid="{064E8C56-47E4-42B6-A081-CFEDD3A444C1}"/>
    <cellStyle name="Normal 2 3 2 2 12 2 2" xfId="16211" xr:uid="{F5B02447-3C4F-4F3A-8F31-8A766C4E95E6}"/>
    <cellStyle name="Normal 2 3 2 2 12 2 3" xfId="16212" xr:uid="{A56F9FBC-8D6C-4A0E-9EFE-3CB8F7412450}"/>
    <cellStyle name="Normal 2 3 2 2 12 2 4" xfId="16213" xr:uid="{185F9C17-782B-4B5D-8355-85E8DFB15FBB}"/>
    <cellStyle name="Normal 2 3 2 2 12 2 5" xfId="16214" xr:uid="{13E02F96-FEA8-47C9-B9F4-DBBD03FB48BA}"/>
    <cellStyle name="Normal 2 3 2 2 12 2 6" xfId="16215" xr:uid="{D083A79F-A520-497D-A566-7B906DDB6B5E}"/>
    <cellStyle name="Normal 2 3 2 2 12 2 7" xfId="16216" xr:uid="{4786C5D6-9424-41B4-A755-33A08DBC417B}"/>
    <cellStyle name="Normal 2 3 2 2 12 2 8" xfId="16217" xr:uid="{38BECB13-7C67-46E1-887D-771D32B1059A}"/>
    <cellStyle name="Normal 2 3 2 2 12 2 9" xfId="16218" xr:uid="{21DB24EC-3A61-4FC4-8A99-B9BEC3A0EF33}"/>
    <cellStyle name="Normal 2 3 2 2 12 3" xfId="16219" xr:uid="{5B9212A8-0EFA-4861-81B9-8A5B3A70C481}"/>
    <cellStyle name="Normal 2 3 2 2 12 4" xfId="16220" xr:uid="{A024231D-28A6-45F0-88A2-3B2E91C8320C}"/>
    <cellStyle name="Normal 2 3 2 2 12 5" xfId="16221" xr:uid="{90CF7CD7-90E9-43F7-941C-A11D54158C18}"/>
    <cellStyle name="Normal 2 3 2 2 12 6" xfId="16222" xr:uid="{91CB25CA-2FF6-4921-BEA1-1BC8195DAC03}"/>
    <cellStyle name="Normal 2 3 2 2 12 7" xfId="16223" xr:uid="{4B88D650-554D-46EF-9587-4F9E50136DAE}"/>
    <cellStyle name="Normal 2 3 2 2 12 8" xfId="16224" xr:uid="{A1A22048-D23A-45A5-9C5A-35EBAC199013}"/>
    <cellStyle name="Normal 2 3 2 2 12 9" xfId="16225" xr:uid="{1425DD70-4579-4307-822E-1AED13F2567C}"/>
    <cellStyle name="Normal 2 3 2 2 13" xfId="16226" xr:uid="{9B91CA0A-2BB8-407B-B45F-E7C3A347E7D2}"/>
    <cellStyle name="Normal 2 3 2 2 13 2" xfId="16227" xr:uid="{B953BDA7-1991-4052-99F0-746B4AA14606}"/>
    <cellStyle name="Normal 2 3 2 2 14" xfId="16228" xr:uid="{6766C299-456A-48A4-ADE6-B7C6E7311F23}"/>
    <cellStyle name="Normal 2 3 2 2 14 2" xfId="16229" xr:uid="{0CFAFB00-E63F-4265-AEB2-26AA99D8B355}"/>
    <cellStyle name="Normal 2 3 2 2 15" xfId="16230" xr:uid="{619950B3-89CB-48A8-B636-7B133E89250E}"/>
    <cellStyle name="Normal 2 3 2 2 15 2" xfId="16231" xr:uid="{1326DEF0-C4A4-4B8A-9034-142F7F070C74}"/>
    <cellStyle name="Normal 2 3 2 2 16" xfId="16232" xr:uid="{86200809-13E2-491B-B285-94D40F6B9869}"/>
    <cellStyle name="Normal 2 3 2 2 16 2" xfId="16233" xr:uid="{7740411B-A35D-4D6F-A052-D2D362AD98FB}"/>
    <cellStyle name="Normal 2 3 2 2 17" xfId="16234" xr:uid="{E22D6382-1B71-4599-9CCD-9DCFE752D510}"/>
    <cellStyle name="Normal 2 3 2 2 17 2" xfId="16235" xr:uid="{5EA8B6A1-815C-4C07-98D5-67A042AF4CB9}"/>
    <cellStyle name="Normal 2 3 2 2 18" xfId="16236" xr:uid="{74E3FA9B-E0FC-41FF-B5C0-6303EDAFAD68}"/>
    <cellStyle name="Normal 2 3 2 2 18 2" xfId="16237" xr:uid="{C2290099-264A-4CFF-8CEF-D402409E8BDC}"/>
    <cellStyle name="Normal 2 3 2 2 19" xfId="16238" xr:uid="{8218AB2C-18BD-4A50-BBAC-50AC6BD7A72C}"/>
    <cellStyle name="Normal 2 3 2 2 2" xfId="16239" xr:uid="{E22A1160-8526-4E59-ADF8-CF577AEE1506}"/>
    <cellStyle name="Normal 2 3 2 2 2 10" xfId="16240" xr:uid="{C89CCE89-5694-4D93-AD1A-0BEC37811F63}"/>
    <cellStyle name="Normal 2 3 2 2 2 10 2" xfId="16241" xr:uid="{CC6CD8C7-CF97-48F5-8E5D-F238317170B0}"/>
    <cellStyle name="Normal 2 3 2 2 2 11" xfId="16242" xr:uid="{2D8F09BE-9163-4CA6-8D37-EC269278F46E}"/>
    <cellStyle name="Normal 2 3 2 2 2 11 2" xfId="16243" xr:uid="{17FF79B8-A5C5-4386-B833-FA99DADB8648}"/>
    <cellStyle name="Normal 2 3 2 2 2 11 2 2" xfId="16244" xr:uid="{78221E33-CB2D-4651-92AA-F579A54608C5}"/>
    <cellStyle name="Normal 2 3 2 2 2 11 2 3" xfId="16245" xr:uid="{2BA3B73E-285C-4F44-8BEE-96AAEBCF5BB2}"/>
    <cellStyle name="Normal 2 3 2 2 2 11 2 4" xfId="16246" xr:uid="{3E4D4534-0DCD-4A5F-8A7E-4A89B71CFE2A}"/>
    <cellStyle name="Normal 2 3 2 2 2 11 2 5" xfId="16247" xr:uid="{60DAA5E2-1666-4113-BA4F-9695CF3A2B56}"/>
    <cellStyle name="Normal 2 3 2 2 2 11 2 6" xfId="16248" xr:uid="{4542F004-CEE8-4CBF-8923-DAF93BAE42E6}"/>
    <cellStyle name="Normal 2 3 2 2 2 11 3" xfId="16249" xr:uid="{6EC592BA-1953-4099-9F31-020CFEB60096}"/>
    <cellStyle name="Normal 2 3 2 2 2 11 4" xfId="16250" xr:uid="{3BD58D9B-244F-4783-902A-12C437168DA9}"/>
    <cellStyle name="Normal 2 3 2 2 2 11 5" xfId="16251" xr:uid="{2E1C0AC0-902F-434A-A73E-34F86EB54F10}"/>
    <cellStyle name="Normal 2 3 2 2 2 11 6" xfId="16252" xr:uid="{997DB80B-E6B2-4A2C-BFBA-D2E69B3D6458}"/>
    <cellStyle name="Normal 2 3 2 2 2 11 7" xfId="16253" xr:uid="{2B0DF3D1-50B9-46C1-89EE-45AC0A1C463D}"/>
    <cellStyle name="Normal 2 3 2 2 2 12" xfId="16254" xr:uid="{21863DA1-8B59-43A4-A84A-E143788E099E}"/>
    <cellStyle name="Normal 2 3 2 2 2 12 2" xfId="16255" xr:uid="{D7F9C397-95EA-4691-A7A5-67F95EC9994E}"/>
    <cellStyle name="Normal 2 3 2 2 2 13" xfId="16256" xr:uid="{1EF8C970-A7EC-4F83-9DC2-D3FEBAF76B2D}"/>
    <cellStyle name="Normal 2 3 2 2 2 13 2" xfId="16257" xr:uid="{642F163A-30D9-4861-8665-B30DDECA77BF}"/>
    <cellStyle name="Normal 2 3 2 2 2 14" xfId="16258" xr:uid="{6E192F90-42C4-470C-AC39-F37B9C020D6F}"/>
    <cellStyle name="Normal 2 3 2 2 2 14 2" xfId="16259" xr:uid="{9AA19B9B-E512-441B-B7F0-C0C256F861D4}"/>
    <cellStyle name="Normal 2 3 2 2 2 15" xfId="16260" xr:uid="{FE62850E-9CE6-4DA9-B1C2-F01316CE3CC0}"/>
    <cellStyle name="Normal 2 3 2 2 2 15 2" xfId="16261" xr:uid="{5F712679-318E-4886-92BB-E5B8D471440D}"/>
    <cellStyle name="Normal 2 3 2 2 2 16" xfId="16262" xr:uid="{313CDA10-2ED1-4A5A-BA10-9E5D1BE84F97}"/>
    <cellStyle name="Normal 2 3 2 2 2 16 2" xfId="16263" xr:uid="{4B2B5C59-66EB-4BB4-9A47-CDADEBCCB55D}"/>
    <cellStyle name="Normal 2 3 2 2 2 17" xfId="16264" xr:uid="{F8ABDE66-7346-4CE3-B896-50D7D67FECF7}"/>
    <cellStyle name="Normal 2 3 2 2 2 17 2" xfId="16265" xr:uid="{19D101D2-6186-4612-8FB0-4B97AA038F0A}"/>
    <cellStyle name="Normal 2 3 2 2 2 18" xfId="16266" xr:uid="{84B1F037-4169-4076-93EF-5CB17256CC26}"/>
    <cellStyle name="Normal 2 3 2 2 2 18 2" xfId="16267" xr:uid="{A1BFA21C-E959-4124-B5AF-95A87D00BF7B}"/>
    <cellStyle name="Normal 2 3 2 2 2 18 2 2" xfId="16268" xr:uid="{49C76A1B-6454-4420-AE3E-4C436B3F9885}"/>
    <cellStyle name="Normal 2 3 2 2 2 18 2 2 2" xfId="16269" xr:uid="{BDBB9CB5-232E-46F7-A7E1-10D3B17A0DEB}"/>
    <cellStyle name="Normal 2 3 2 2 2 18 3" xfId="16270" xr:uid="{75CCABBE-6F03-43C1-A834-8E46DE4234D3}"/>
    <cellStyle name="Normal 2 3 2 2 2 18 4" xfId="16271" xr:uid="{8D4356A9-9A23-41AA-A494-9BAD09A93BAC}"/>
    <cellStyle name="Normal 2 3 2 2 2 18 5" xfId="16272" xr:uid="{0DFE2200-1D80-4875-83B5-10EC88D1BDE8}"/>
    <cellStyle name="Normal 2 3 2 2 2 18 6" xfId="16273" xr:uid="{F85E4A6B-A5F2-4381-A97A-B13D39DC3368}"/>
    <cellStyle name="Normal 2 3 2 2 2 18 7" xfId="16274" xr:uid="{B34727A4-6BDF-4044-A557-802BD9E3AE5D}"/>
    <cellStyle name="Normal 2 3 2 2 2 19" xfId="16275" xr:uid="{0A5B0876-27E8-4C3A-96FE-7ABF0A95BB0C}"/>
    <cellStyle name="Normal 2 3 2 2 2 19 2" xfId="16276" xr:uid="{36566BE1-6936-482C-A8EF-1A4AA6D842FB}"/>
    <cellStyle name="Normal 2 3 2 2 2 19 2 2" xfId="16277" xr:uid="{BDD42139-E3D5-4153-9946-0A114EFA49E7}"/>
    <cellStyle name="Normal 2 3 2 2 2 2" xfId="16278" xr:uid="{45110DC6-6290-4887-ADF8-17B9BA684620}"/>
    <cellStyle name="Normal 2 3 2 2 2 2 10" xfId="16279" xr:uid="{E7AD0298-4545-4B30-A0F9-CC91DA174CA1}"/>
    <cellStyle name="Normal 2 3 2 2 2 2 10 2" xfId="16280" xr:uid="{993B5BD1-48B5-4EA2-A240-020FB8933D14}"/>
    <cellStyle name="Normal 2 3 2 2 2 2 11" xfId="16281" xr:uid="{429E9B9B-2EBA-4B1F-BD20-4959F1BF23E5}"/>
    <cellStyle name="Normal 2 3 2 2 2 2 11 2" xfId="16282" xr:uid="{EF41C8D3-AB73-4AB6-99D6-66D22C3EB907}"/>
    <cellStyle name="Normal 2 3 2 2 2 2 12" xfId="16283" xr:uid="{627DFBFD-50CD-4027-B903-AEF9CE3BFB7C}"/>
    <cellStyle name="Normal 2 3 2 2 2 2 12 2" xfId="16284" xr:uid="{6E7E1FA5-6189-40FA-870F-2C8ED4DCBA56}"/>
    <cellStyle name="Normal 2 3 2 2 2 2 13" xfId="16285" xr:uid="{14776158-D19B-4F30-8808-645FEA9279FE}"/>
    <cellStyle name="Normal 2 3 2 2 2 2 13 2" xfId="16286" xr:uid="{B2B0F43C-CC4E-4F08-9A18-FE51A68BB506}"/>
    <cellStyle name="Normal 2 3 2 2 2 2 14" xfId="16287" xr:uid="{2C0537F6-7889-4CA7-ADF7-A970E6CB5FD6}"/>
    <cellStyle name="Normal 2 3 2 2 2 2 14 2" xfId="16288" xr:uid="{9C216491-74DC-421F-AFDA-A0BB7DC4C516}"/>
    <cellStyle name="Normal 2 3 2 2 2 2 15" xfId="16289" xr:uid="{53355D30-5718-40C1-ACFB-1DA905E0F2BB}"/>
    <cellStyle name="Normal 2 3 2 2 2 2 15 2" xfId="16290" xr:uid="{A87CC8DE-65AC-4A24-958D-AF4342F5B960}"/>
    <cellStyle name="Normal 2 3 2 2 2 2 16" xfId="16291" xr:uid="{55B47719-0339-44F1-A1E8-E3F72C5CD785}"/>
    <cellStyle name="Normal 2 3 2 2 2 2 17" xfId="16292" xr:uid="{6F538175-AFD6-4B41-B526-917B1C323182}"/>
    <cellStyle name="Normal 2 3 2 2 2 2 18" xfId="16293" xr:uid="{BE1A6A51-1496-4A15-BA5A-21752F56D6C2}"/>
    <cellStyle name="Normal 2 3 2 2 2 2 18 2" xfId="16294" xr:uid="{843D086D-670A-4F15-A597-1122080AE84C}"/>
    <cellStyle name="Normal 2 3 2 2 2 2 18 2 2" xfId="16295" xr:uid="{BB332984-D5C4-4EBA-A006-B0003BE9F73D}"/>
    <cellStyle name="Normal 2 3 2 2 2 2 18 2 2 2" xfId="16296" xr:uid="{D54664F4-13ED-4259-9269-B7C7C2A8A57A}"/>
    <cellStyle name="Normal 2 3 2 2 2 2 18 3" xfId="16297" xr:uid="{663C28A1-D8C9-4CF7-9D94-6DD7D7C29C7D}"/>
    <cellStyle name="Normal 2 3 2 2 2 2 18 4" xfId="16298" xr:uid="{28CC58FA-7C7F-4242-B849-43CCAAE695EA}"/>
    <cellStyle name="Normal 2 3 2 2 2 2 18 5" xfId="16299" xr:uid="{D46A1F2B-99B7-40CC-83BB-E65FFF2BC8CC}"/>
    <cellStyle name="Normal 2 3 2 2 2 2 18 6" xfId="16300" xr:uid="{046BF9EE-FFC2-4131-8EA6-305C0A186207}"/>
    <cellStyle name="Normal 2 3 2 2 2 2 19" xfId="16301" xr:uid="{FDF7CFBB-D907-4F9F-A8D3-D22FE8C2C247}"/>
    <cellStyle name="Normal 2 3 2 2 2 2 19 2" xfId="16302" xr:uid="{CDF2A112-BA01-48C1-AEC9-296D8AAA4C50}"/>
    <cellStyle name="Normal 2 3 2 2 2 2 19 2 2" xfId="16303" xr:uid="{857812DF-30F0-4DF9-AB30-13B732B26D3D}"/>
    <cellStyle name="Normal 2 3 2 2 2 2 2" xfId="16304" xr:uid="{A1BC14C3-C9F5-479C-A0DC-11F97C186AF5}"/>
    <cellStyle name="Normal 2 3 2 2 2 2 2 10" xfId="16305" xr:uid="{873B6557-FF71-4346-B239-91DB396E3C68}"/>
    <cellStyle name="Normal 2 3 2 2 2 2 2 10 2" xfId="16306" xr:uid="{EE635FA5-03EF-4CA0-8D59-18E1C2AF07A2}"/>
    <cellStyle name="Normal 2 3 2 2 2 2 2 10 2 2" xfId="16307" xr:uid="{965FE60F-067E-48A8-9269-0451DC2B026C}"/>
    <cellStyle name="Normal 2 3 2 2 2 2 2 10 2 2 2" xfId="16308" xr:uid="{58F26747-A543-4BC9-944C-6F804890F271}"/>
    <cellStyle name="Normal 2 3 2 2 2 2 2 10 3" xfId="16309" xr:uid="{A41225D2-5E8B-4129-A4F0-44259ACCFF09}"/>
    <cellStyle name="Normal 2 3 2 2 2 2 2 10 4" xfId="16310" xr:uid="{D9D2A91D-493C-4411-8C5F-CDEDF32C8668}"/>
    <cellStyle name="Normal 2 3 2 2 2 2 2 10 5" xfId="16311" xr:uid="{331B1630-E342-48BE-92B9-89A8150A83D7}"/>
    <cellStyle name="Normal 2 3 2 2 2 2 2 10 6" xfId="16312" xr:uid="{1C99A098-910A-410E-B19B-EEA3EBF43102}"/>
    <cellStyle name="Normal 2 3 2 2 2 2 2 10 7" xfId="16313" xr:uid="{F75501EB-BE4B-4EAA-ADC0-5A922B2BD712}"/>
    <cellStyle name="Normal 2 3 2 2 2 2 2 11" xfId="16314" xr:uid="{50E99081-BBD9-41CF-82DB-B7A94CE783C4}"/>
    <cellStyle name="Normal 2 3 2 2 2 2 2 11 2" xfId="16315" xr:uid="{13C362A3-3B69-44B9-96E8-3E33770E1FDF}"/>
    <cellStyle name="Normal 2 3 2 2 2 2 2 11 2 2" xfId="16316" xr:uid="{25DCB83E-257C-42E4-9867-A0B01DDFA49D}"/>
    <cellStyle name="Normal 2 3 2 2 2 2 2 11 3" xfId="16317" xr:uid="{D85D8DDD-94EE-4CBA-885B-8B00DC6711EE}"/>
    <cellStyle name="Normal 2 3 2 2 2 2 2 12" xfId="16318" xr:uid="{798383BC-D973-4ACD-900F-2F3389AF83A3}"/>
    <cellStyle name="Normal 2 3 2 2 2 2 2 12 2" xfId="16319" xr:uid="{341ECD0E-59A8-451F-825E-BC3C6CA32D22}"/>
    <cellStyle name="Normal 2 3 2 2 2 2 2 13" xfId="16320" xr:uid="{9B61DA10-AECC-4960-928D-5D92EB37BAB4}"/>
    <cellStyle name="Normal 2 3 2 2 2 2 2 13 2" xfId="16321" xr:uid="{9EA82A4F-18DE-43BA-AA50-3A2CAE89107C}"/>
    <cellStyle name="Normal 2 3 2 2 2 2 2 14" xfId="16322" xr:uid="{45FD160F-E202-4D59-A1FE-6CE08D1A786E}"/>
    <cellStyle name="Normal 2 3 2 2 2 2 2 14 2" xfId="16323" xr:uid="{63CDC1DA-9C2F-4974-97DE-C91E1F33C321}"/>
    <cellStyle name="Normal 2 3 2 2 2 2 2 15" xfId="16324" xr:uid="{009D403D-F6CE-480C-8128-9171180DA79E}"/>
    <cellStyle name="Normal 2 3 2 2 2 2 2 15 2" xfId="16325" xr:uid="{51BE6E2D-57EB-45A5-A41C-B37386CAE1DA}"/>
    <cellStyle name="Normal 2 3 2 2 2 2 2 16" xfId="16326" xr:uid="{F1BFAC47-082E-42BC-819C-5079BC5E044D}"/>
    <cellStyle name="Normal 2 3 2 2 2 2 2 17" xfId="16327" xr:uid="{B0A69F43-7FCD-48F9-86F8-67DE9EF78C93}"/>
    <cellStyle name="Normal 2 3 2 2 2 2 2 18" xfId="16328" xr:uid="{FD36A910-A5FA-4A04-90A2-43A641FC17A4}"/>
    <cellStyle name="Normal 2 3 2 2 2 2 2 19" xfId="16329" xr:uid="{EA39DE4A-2613-44BA-95A9-650252C25425}"/>
    <cellStyle name="Normal 2 3 2 2 2 2 2 2" xfId="16330" xr:uid="{3F5AACD8-6627-4533-BDAA-ECCA8B54AE91}"/>
    <cellStyle name="Normal 2 3 2 2 2 2 2 2 10" xfId="16331" xr:uid="{6BA978B4-2FA1-4BAD-BF0D-7088C109A45B}"/>
    <cellStyle name="Normal 2 3 2 2 2 2 2 2 10 2" xfId="16332" xr:uid="{D467334F-672C-479D-940A-4279B7A69924}"/>
    <cellStyle name="Normal 2 3 2 2 2 2 2 2 10 2 2" xfId="16333" xr:uid="{C257515B-7E1A-43F7-8406-4B09A54EB11C}"/>
    <cellStyle name="Normal 2 3 2 2 2 2 2 2 10 2 2 2" xfId="16334" xr:uid="{FA00D3A9-6D73-4CBE-AD57-E13C70C431AB}"/>
    <cellStyle name="Normal 2 3 2 2 2 2 2 2 10 3" xfId="16335" xr:uid="{01946B2E-B8EC-4A67-B43E-9B1B38692EA5}"/>
    <cellStyle name="Normal 2 3 2 2 2 2 2 2 10 4" xfId="16336" xr:uid="{EB9BACF2-42BC-44E3-96FA-35AB093943AD}"/>
    <cellStyle name="Normal 2 3 2 2 2 2 2 2 10 5" xfId="16337" xr:uid="{484F5D9D-7A6A-4F16-8E23-6D7024D9CA50}"/>
    <cellStyle name="Normal 2 3 2 2 2 2 2 2 10 6" xfId="16338" xr:uid="{9A2FC352-33AA-4363-B8D8-DB1C63902D82}"/>
    <cellStyle name="Normal 2 3 2 2 2 2 2 2 10 7" xfId="16339" xr:uid="{47A76E32-A181-44E7-9C5D-414DC21427A9}"/>
    <cellStyle name="Normal 2 3 2 2 2 2 2 2 11" xfId="16340" xr:uid="{F797BF3A-7E4C-42D1-BA20-F14D0FC095B2}"/>
    <cellStyle name="Normal 2 3 2 2 2 2 2 2 11 2" xfId="16341" xr:uid="{7BB53C1E-A017-4507-B891-D7DE080A459D}"/>
    <cellStyle name="Normal 2 3 2 2 2 2 2 2 11 2 2" xfId="16342" xr:uid="{6F89CDD7-3C71-4480-8A28-979D946667AF}"/>
    <cellStyle name="Normal 2 3 2 2 2 2 2 2 11 3" xfId="16343" xr:uid="{822ACDE6-5667-46F9-BF3F-F3B4D4703CDE}"/>
    <cellStyle name="Normal 2 3 2 2 2 2 2 2 12" xfId="16344" xr:uid="{E664643C-9032-4066-AB4A-0E3EA9BF7515}"/>
    <cellStyle name="Normal 2 3 2 2 2 2 2 2 12 2" xfId="16345" xr:uid="{4A1A85FA-CC3C-41ED-BF09-AD53D8956890}"/>
    <cellStyle name="Normal 2 3 2 2 2 2 2 2 13" xfId="16346" xr:uid="{6A01232D-7F1D-4F5E-80E6-F1704C44FD9F}"/>
    <cellStyle name="Normal 2 3 2 2 2 2 2 2 14" xfId="16347" xr:uid="{FC754304-4686-462D-B757-34C21CB2BB92}"/>
    <cellStyle name="Normal 2 3 2 2 2 2 2 2 15" xfId="16348" xr:uid="{2E545F4B-2A13-46EA-9A41-8D1086C5EF64}"/>
    <cellStyle name="Normal 2 3 2 2 2 2 2 2 16" xfId="16349" xr:uid="{B8EA6D76-7019-4E7B-AB3F-94381E0D41A6}"/>
    <cellStyle name="Normal 2 3 2 2 2 2 2 2 17" xfId="16350" xr:uid="{B3190320-9F42-4DD8-931B-A87E9F5B95CE}"/>
    <cellStyle name="Normal 2 3 2 2 2 2 2 2 18" xfId="16351" xr:uid="{D180B7D1-5DAF-4B55-89F1-A584AC9902BC}"/>
    <cellStyle name="Normal 2 3 2 2 2 2 2 2 19" xfId="16352" xr:uid="{C231A0FB-F942-4BE0-908C-C221FA9787BC}"/>
    <cellStyle name="Normal 2 3 2 2 2 2 2 2 2" xfId="16353" xr:uid="{6BE89316-0632-41F7-BBA9-59636E7B50FE}"/>
    <cellStyle name="Normal 2 3 2 2 2 2 2 2 2 10" xfId="16354" xr:uid="{AC94E054-937E-4B54-B6A1-489F3D80515A}"/>
    <cellStyle name="Normal 2 3 2 2 2 2 2 2 2 10 2" xfId="16355" xr:uid="{311D1F52-86B4-4984-AC0C-F8A91FE44D60}"/>
    <cellStyle name="Normal 2 3 2 2 2 2 2 2 2 11" xfId="16356" xr:uid="{A1704D42-0A28-4D45-8C31-8ACF49A0BC33}"/>
    <cellStyle name="Normal 2 3 2 2 2 2 2 2 2 11 2" xfId="16357" xr:uid="{6F49C686-8AD1-4A0E-B025-F1D897F81DA8}"/>
    <cellStyle name="Normal 2 3 2 2 2 2 2 2 2 12" xfId="16358" xr:uid="{6D2FD09D-B3B8-471D-B8A0-2B65A410DFB0}"/>
    <cellStyle name="Normal 2 3 2 2 2 2 2 2 2 12 2" xfId="16359" xr:uid="{1C2E1D3B-727F-4521-8ED2-B910A6E8348D}"/>
    <cellStyle name="Normal 2 3 2 2 2 2 2 2 2 13" xfId="16360" xr:uid="{45E36F30-8C45-4CBF-88B2-9F58B7F44D39}"/>
    <cellStyle name="Normal 2 3 2 2 2 2 2 2 2 13 10" xfId="16361" xr:uid="{7A6F2E25-D267-4685-9425-1CB5E4A08385}"/>
    <cellStyle name="Normal 2 3 2 2 2 2 2 2 2 13 11" xfId="16362" xr:uid="{B5991869-462C-486C-AC73-B277C744071E}"/>
    <cellStyle name="Normal 2 3 2 2 2 2 2 2 2 13 12" xfId="16363" xr:uid="{8817020F-E87F-4D5A-80C7-CBF19AE3D85F}"/>
    <cellStyle name="Normal 2 3 2 2 2 2 2 2 2 13 13" xfId="16364" xr:uid="{395D1348-FCBD-4D01-BC80-7DC1746B58C7}"/>
    <cellStyle name="Normal 2 3 2 2 2 2 2 2 2 13 14" xfId="16365" xr:uid="{46A2AE04-E591-4915-90BC-F8163F39498C}"/>
    <cellStyle name="Normal 2 3 2 2 2 2 2 2 2 13 15" xfId="16366" xr:uid="{791BF2F3-1556-4060-8015-179151D96394}"/>
    <cellStyle name="Normal 2 3 2 2 2 2 2 2 2 13 16" xfId="16367" xr:uid="{99FFE682-02C2-49DE-8082-9BA71163B962}"/>
    <cellStyle name="Normal 2 3 2 2 2 2 2 2 2 13 2" xfId="16368" xr:uid="{9FA3F7A0-133C-4E12-B10F-2F5696E7DADA}"/>
    <cellStyle name="Normal 2 3 2 2 2 2 2 2 2 13 3" xfId="16369" xr:uid="{7CDD3F4F-BFC5-4585-9B0B-D31FF1E9A25A}"/>
    <cellStyle name="Normal 2 3 2 2 2 2 2 2 2 13 4" xfId="16370" xr:uid="{14BA2CA2-2490-4D1D-B68E-FEBA6E198FDC}"/>
    <cellStyle name="Normal 2 3 2 2 2 2 2 2 2 13 5" xfId="16371" xr:uid="{C75F10A6-9F02-4DCD-BE11-14D761ED69EE}"/>
    <cellStyle name="Normal 2 3 2 2 2 2 2 2 2 13 6" xfId="16372" xr:uid="{3AE0CA26-75FE-47CC-8331-8C60571EF69A}"/>
    <cellStyle name="Normal 2 3 2 2 2 2 2 2 2 13 7" xfId="16373" xr:uid="{0DD8955C-92D3-4155-8635-32865745B0C4}"/>
    <cellStyle name="Normal 2 3 2 2 2 2 2 2 2 13 8" xfId="16374" xr:uid="{45C47BA5-E974-4CAA-9B63-7D4C2F51D2C0}"/>
    <cellStyle name="Normal 2 3 2 2 2 2 2 2 2 13 9" xfId="16375" xr:uid="{31F15508-7346-417A-B55C-B5A68BB17116}"/>
    <cellStyle name="Normal 2 3 2 2 2 2 2 2 2 14" xfId="16376" xr:uid="{AF8E667E-4122-410A-94EC-DF1535401972}"/>
    <cellStyle name="Normal 2 3 2 2 2 2 2 2 2 15" xfId="16377" xr:uid="{9F8F0B4E-D13E-45CC-B1B7-98BCC8E978BB}"/>
    <cellStyle name="Normal 2 3 2 2 2 2 2 2 2 16" xfId="16378" xr:uid="{A82ADF4E-A988-4A6B-9B94-6921C73603EF}"/>
    <cellStyle name="Normal 2 3 2 2 2 2 2 2 2 17" xfId="16379" xr:uid="{FFD32235-964A-421E-8F96-10A5C8BC4CF1}"/>
    <cellStyle name="Normal 2 3 2 2 2 2 2 2 2 18" xfId="16380" xr:uid="{1DA58C01-7B07-43CA-8D0F-40782001D737}"/>
    <cellStyle name="Normal 2 3 2 2 2 2 2 2 2 19" xfId="16381" xr:uid="{145A865B-8169-4DF7-9891-DF2317E4ED86}"/>
    <cellStyle name="Normal 2 3 2 2 2 2 2 2 2 2" xfId="16382" xr:uid="{B3A08ECE-CFC2-4F1B-855A-DD9496932CA9}"/>
    <cellStyle name="Normal 2 3 2 2 2 2 2 2 2 2 10" xfId="16383" xr:uid="{1A475751-BB9F-424C-94DE-11B7123B2028}"/>
    <cellStyle name="Normal 2 3 2 2 2 2 2 2 2 2 11" xfId="16384" xr:uid="{7A5DB282-8E37-4565-8D7C-6404283713C5}"/>
    <cellStyle name="Normal 2 3 2 2 2 2 2 2 2 2 12" xfId="16385" xr:uid="{B6BD5624-7844-4DF3-B73D-6B2E57107C88}"/>
    <cellStyle name="Normal 2 3 2 2 2 2 2 2 2 2 12 10" xfId="16386" xr:uid="{13E49E07-24A5-4B44-A6F7-3F9F26988645}"/>
    <cellStyle name="Normal 2 3 2 2 2 2 2 2 2 2 12 11" xfId="16387" xr:uid="{F784EA19-6807-4591-8E77-864DBADF4BBF}"/>
    <cellStyle name="Normal 2 3 2 2 2 2 2 2 2 2 12 12" xfId="16388" xr:uid="{6D8C7456-677C-49EB-9A14-B1887CF32323}"/>
    <cellStyle name="Normal 2 3 2 2 2 2 2 2 2 2 12 13" xfId="16389" xr:uid="{B84E9C5C-F92C-4225-8D1E-381FA6D52AC6}"/>
    <cellStyle name="Normal 2 3 2 2 2 2 2 2 2 2 12 14" xfId="16390" xr:uid="{C8A583D8-04CF-423E-A604-73547210FA8A}"/>
    <cellStyle name="Normal 2 3 2 2 2 2 2 2 2 2 12 15" xfId="16391" xr:uid="{018F6778-443C-4818-B14C-A795D38E6987}"/>
    <cellStyle name="Normal 2 3 2 2 2 2 2 2 2 2 12 16" xfId="16392" xr:uid="{4C4F65DA-D0F0-4D39-96C2-5A48EC9F4920}"/>
    <cellStyle name="Normal 2 3 2 2 2 2 2 2 2 2 12 2" xfId="16393" xr:uid="{A1F683AE-36F5-437F-9F32-25083B932516}"/>
    <cellStyle name="Normal 2 3 2 2 2 2 2 2 2 2 12 3" xfId="16394" xr:uid="{EDC00081-6314-4990-A64E-F97ABE8C6FFF}"/>
    <cellStyle name="Normal 2 3 2 2 2 2 2 2 2 2 12 4" xfId="16395" xr:uid="{9818C715-080E-4EF3-AD64-BC6FD6EEBA6D}"/>
    <cellStyle name="Normal 2 3 2 2 2 2 2 2 2 2 12 5" xfId="16396" xr:uid="{59EF9C37-3B80-4DEF-A2BB-827814D40C25}"/>
    <cellStyle name="Normal 2 3 2 2 2 2 2 2 2 2 12 6" xfId="16397" xr:uid="{EC356219-DE62-4525-9B65-CD854222D76E}"/>
    <cellStyle name="Normal 2 3 2 2 2 2 2 2 2 2 12 7" xfId="16398" xr:uid="{A508B3B4-2121-41C0-92C8-2C70E6C6A78C}"/>
    <cellStyle name="Normal 2 3 2 2 2 2 2 2 2 2 12 8" xfId="16399" xr:uid="{5A0EBC5C-D5C9-47D4-812B-A2DFF07237E3}"/>
    <cellStyle name="Normal 2 3 2 2 2 2 2 2 2 2 12 9" xfId="16400" xr:uid="{165B57DB-FBDA-4746-B9AE-A918274D1A2C}"/>
    <cellStyle name="Normal 2 3 2 2 2 2 2 2 2 2 13" xfId="16401" xr:uid="{E61C7032-427A-40C2-B3B0-6338CBE7DB29}"/>
    <cellStyle name="Normal 2 3 2 2 2 2 2 2 2 2 14" xfId="16402" xr:uid="{CA2FD414-A3ED-4C76-84C1-39174D3DC073}"/>
    <cellStyle name="Normal 2 3 2 2 2 2 2 2 2 2 15" xfId="16403" xr:uid="{AAC4B8B2-36F5-40E4-8DE2-1B711C6BE474}"/>
    <cellStyle name="Normal 2 3 2 2 2 2 2 2 2 2 16" xfId="16404" xr:uid="{8CC93ED1-FC2D-406B-8E4E-FC4223EE4645}"/>
    <cellStyle name="Normal 2 3 2 2 2 2 2 2 2 2 17" xfId="16405" xr:uid="{A83AE0CD-7B94-4071-8514-DEC7C1DEB4A9}"/>
    <cellStyle name="Normal 2 3 2 2 2 2 2 2 2 2 18" xfId="16406" xr:uid="{4FB2F02C-AA4D-41C6-9321-E739B9B35003}"/>
    <cellStyle name="Normal 2 3 2 2 2 2 2 2 2 2 19" xfId="16407" xr:uid="{56321206-E18D-4E86-BCFA-EE28470D07F8}"/>
    <cellStyle name="Normal 2 3 2 2 2 2 2 2 2 2 2" xfId="16408" xr:uid="{704A2AF9-5270-41A7-81F4-52C797328507}"/>
    <cellStyle name="Normal 2 3 2 2 2 2 2 2 2 2 2 10" xfId="16409" xr:uid="{7CA1F018-B50A-4BDF-98CF-20215AA2948A}"/>
    <cellStyle name="Normal 2 3 2 2 2 2 2 2 2 2 2 10 10" xfId="16410" xr:uid="{394372DA-1827-42F9-9466-BE3E119CB668}"/>
    <cellStyle name="Normal 2 3 2 2 2 2 2 2 2 2 2 10 11" xfId="16411" xr:uid="{82521DE9-2EF7-436A-9E4A-DF46789348A1}"/>
    <cellStyle name="Normal 2 3 2 2 2 2 2 2 2 2 2 10 12" xfId="16412" xr:uid="{557E8D9B-F2C2-4D20-B536-DC0B0F44262A}"/>
    <cellStyle name="Normal 2 3 2 2 2 2 2 2 2 2 2 10 13" xfId="16413" xr:uid="{832AE8A5-371B-45B3-9BD5-A2D31001F9A0}"/>
    <cellStyle name="Normal 2 3 2 2 2 2 2 2 2 2 2 10 14" xfId="16414" xr:uid="{85407C72-0D0B-49A8-A857-E866C4CC139B}"/>
    <cellStyle name="Normal 2 3 2 2 2 2 2 2 2 2 2 10 15" xfId="16415" xr:uid="{F110705D-F962-4014-8E81-076C21E2CD39}"/>
    <cellStyle name="Normal 2 3 2 2 2 2 2 2 2 2 2 10 16" xfId="16416" xr:uid="{3A27A58B-4CCA-4769-A465-A96AE249D80C}"/>
    <cellStyle name="Normal 2 3 2 2 2 2 2 2 2 2 2 10 2" xfId="16417" xr:uid="{F351A626-8414-47C2-991B-F327E7DFEC86}"/>
    <cellStyle name="Normal 2 3 2 2 2 2 2 2 2 2 2 10 3" xfId="16418" xr:uid="{67C415F8-CD2C-4EA1-9802-1D18D3F9EC80}"/>
    <cellStyle name="Normal 2 3 2 2 2 2 2 2 2 2 2 10 4" xfId="16419" xr:uid="{8215B09B-D3C8-4103-9007-C301733AB8DA}"/>
    <cellStyle name="Normal 2 3 2 2 2 2 2 2 2 2 2 10 5" xfId="16420" xr:uid="{8CBDDB3D-5DE0-4389-A603-8F8CBB42E0E4}"/>
    <cellStyle name="Normal 2 3 2 2 2 2 2 2 2 2 2 10 6" xfId="16421" xr:uid="{7CA1B935-9C2A-4774-8C75-2AB117A16302}"/>
    <cellStyle name="Normal 2 3 2 2 2 2 2 2 2 2 2 10 7" xfId="16422" xr:uid="{CA377009-F3AF-4062-A259-1B741C3D0D9F}"/>
    <cellStyle name="Normal 2 3 2 2 2 2 2 2 2 2 2 10 8" xfId="16423" xr:uid="{6A3AE663-AE0A-473F-A78A-DFFA62B2C820}"/>
    <cellStyle name="Normal 2 3 2 2 2 2 2 2 2 2 2 10 9" xfId="16424" xr:uid="{CB6E926D-E5FC-4090-9630-11DC2E60097A}"/>
    <cellStyle name="Normal 2 3 2 2 2 2 2 2 2 2 2 11" xfId="16425" xr:uid="{57FC006C-FE26-4B97-8F87-288789E87082}"/>
    <cellStyle name="Normal 2 3 2 2 2 2 2 2 2 2 2 12" xfId="16426" xr:uid="{0424A5D8-B4F0-4BA1-B220-891EB99C0A7B}"/>
    <cellStyle name="Normal 2 3 2 2 2 2 2 2 2 2 2 13" xfId="16427" xr:uid="{7BE6B7FB-66E2-42A7-9E76-29058B0531B0}"/>
    <cellStyle name="Normal 2 3 2 2 2 2 2 2 2 2 2 14" xfId="16428" xr:uid="{EA2561AA-4DF1-4CD4-9C4C-4224C61577D7}"/>
    <cellStyle name="Normal 2 3 2 2 2 2 2 2 2 2 2 15" xfId="16429" xr:uid="{8B4F3538-D32A-41C2-92A4-29C43B9563DE}"/>
    <cellStyle name="Normal 2 3 2 2 2 2 2 2 2 2 2 16" xfId="16430" xr:uid="{F9E27AA7-578F-48E7-A659-E6B47E29E285}"/>
    <cellStyle name="Normal 2 3 2 2 2 2 2 2 2 2 2 17" xfId="16431" xr:uid="{8E5BD0A0-F570-411C-866D-C68063771C07}"/>
    <cellStyle name="Normal 2 3 2 2 2 2 2 2 2 2 2 17 2" xfId="16432" xr:uid="{454E12B9-A6A9-4773-B5DE-221351FC0BBB}"/>
    <cellStyle name="Normal 2 3 2 2 2 2 2 2 2 2 2 17 3" xfId="16433" xr:uid="{9B9CFE02-EE9E-42E5-8468-5CB4E48649A2}"/>
    <cellStyle name="Normal 2 3 2 2 2 2 2 2 2 2 2 17 4" xfId="16434" xr:uid="{707E24C1-6260-46A4-8603-BDBB519BA3DD}"/>
    <cellStyle name="Normal 2 3 2 2 2 2 2 2 2 2 2 17 5" xfId="16435" xr:uid="{F02B0738-9BFB-415A-BCBD-E7CEF8557EF4}"/>
    <cellStyle name="Normal 2 3 2 2 2 2 2 2 2 2 2 18" xfId="16436" xr:uid="{960A735B-8E79-45A2-96F2-214E86B841B0}"/>
    <cellStyle name="Normal 2 3 2 2 2 2 2 2 2 2 2 19" xfId="16437" xr:uid="{E4E2AA62-EC06-431E-9E09-9C7BF8A7BB81}"/>
    <cellStyle name="Normal 2 3 2 2 2 2 2 2 2 2 2 2" xfId="16438" xr:uid="{BD78707A-432F-47C9-9262-C764BEA65CEC}"/>
    <cellStyle name="Normal 2 3 2 2 2 2 2 2 2 2 2 2 10" xfId="16439" xr:uid="{2131823D-BFF8-4AEC-BF8A-6F7C57804AFD}"/>
    <cellStyle name="Normal 2 3 2 2 2 2 2 2 2 2 2 2 11" xfId="16440" xr:uid="{3908F927-29F4-4E90-8CF2-829E09A07617}"/>
    <cellStyle name="Normal 2 3 2 2 2 2 2 2 2 2 2 2 12" xfId="16441" xr:uid="{185E3F43-CA09-4F33-A775-A3B5E3301928}"/>
    <cellStyle name="Normal 2 3 2 2 2 2 2 2 2 2 2 2 13" xfId="16442" xr:uid="{08F22DEE-0A55-496E-91C1-371F7DF91008}"/>
    <cellStyle name="Normal 2 3 2 2 2 2 2 2 2 2 2 2 14" xfId="16443" xr:uid="{DF9B0129-7601-41EE-9993-AE2F1F23520D}"/>
    <cellStyle name="Normal 2 3 2 2 2 2 2 2 2 2 2 2 15" xfId="16444" xr:uid="{F7E6D82A-09E5-4ADC-A9C1-281D045E71AC}"/>
    <cellStyle name="Normal 2 3 2 2 2 2 2 2 2 2 2 2 16" xfId="16445" xr:uid="{B436AFDC-8684-4CD7-9543-8853500902C0}"/>
    <cellStyle name="Normal 2 3 2 2 2 2 2 2 2 2 2 2 17" xfId="16446" xr:uid="{CE61D830-3B17-42AE-9DF3-FA9A039735B7}"/>
    <cellStyle name="Normal 2 3 2 2 2 2 2 2 2 2 2 2 18" xfId="16447" xr:uid="{BF5B2441-4CB1-403F-97FC-B210BE93E83D}"/>
    <cellStyle name="Normal 2 3 2 2 2 2 2 2 2 2 2 2 19" xfId="16448" xr:uid="{FF257B4C-2C34-4898-8ADD-80297BB3C8D6}"/>
    <cellStyle name="Normal 2 3 2 2 2 2 2 2 2 2 2 2 2" xfId="16449" xr:uid="{ED81DA85-2F15-4CEE-A26A-D8548F149EB5}"/>
    <cellStyle name="Normal 2 3 2 2 2 2 2 2 2 2 2 2 2 10" xfId="16450" xr:uid="{0F298BAB-1146-4C69-944C-075AD3127B6F}"/>
    <cellStyle name="Normal 2 3 2 2 2 2 2 2 2 2 2 2 2 11" xfId="16451" xr:uid="{3323BCFF-32D6-40B1-8003-1DE29C4F1D75}"/>
    <cellStyle name="Normal 2 3 2 2 2 2 2 2 2 2 2 2 2 12" xfId="16452" xr:uid="{C2595F99-162F-4831-9C4D-F697A3004528}"/>
    <cellStyle name="Normal 2 3 2 2 2 2 2 2 2 2 2 2 2 13" xfId="16453" xr:uid="{F96F0255-F75F-4498-A3F5-874E698FD331}"/>
    <cellStyle name="Normal 2 3 2 2 2 2 2 2 2 2 2 2 2 14" xfId="16454" xr:uid="{A205F8D9-5587-4564-BA4C-62981FEF8FED}"/>
    <cellStyle name="Normal 2 3 2 2 2 2 2 2 2 2 2 2 2 14 2" xfId="16455" xr:uid="{5F0642F9-E6AA-4BAC-B70D-8480C3CBCA63}"/>
    <cellStyle name="Normal 2 3 2 2 2 2 2 2 2 2 2 2 2 14 3" xfId="16456" xr:uid="{21AC58A0-D2B2-4FC7-88C2-87F21D92438D}"/>
    <cellStyle name="Normal 2 3 2 2 2 2 2 2 2 2 2 2 2 14 4" xfId="16457" xr:uid="{5D8F474E-D9BB-4839-A2C5-04BA0F6836B8}"/>
    <cellStyle name="Normal 2 3 2 2 2 2 2 2 2 2 2 2 2 14 5" xfId="16458" xr:uid="{E2382D3A-A375-4A53-9D36-2BBD8A85D15E}"/>
    <cellStyle name="Normal 2 3 2 2 2 2 2 2 2 2 2 2 2 15" xfId="16459" xr:uid="{416BA9FB-D79B-449D-841D-58CA5B3E8EB6}"/>
    <cellStyle name="Normal 2 3 2 2 2 2 2 2 2 2 2 2 2 16" xfId="16460" xr:uid="{32D09B2F-1BA8-492A-98DA-94C3F8523D2F}"/>
    <cellStyle name="Normal 2 3 2 2 2 2 2 2 2 2 2 2 2 17" xfId="16461" xr:uid="{A97F9590-C9B3-4729-A5D8-619C7A372F1E}"/>
    <cellStyle name="Normal 2 3 2 2 2 2 2 2 2 2 2 2 2 18" xfId="16462" xr:uid="{20F321E2-2110-4BC5-8B9E-53A9A8E25DC9}"/>
    <cellStyle name="Normal 2 3 2 2 2 2 2 2 2 2 2 2 2 19" xfId="16463" xr:uid="{60663455-3B2B-4AB9-A336-E50C2D21845D}"/>
    <cellStyle name="Normal 2 3 2 2 2 2 2 2 2 2 2 2 2 2" xfId="16464" xr:uid="{4FE904FE-C69B-4227-BDC6-25C1AF984C33}"/>
    <cellStyle name="Normal 2 3 2 2 2 2 2 2 2 2 2 2 2 2 10" xfId="16465" xr:uid="{7AAE76AC-0B10-4393-B9D7-E495BBBA5B5F}"/>
    <cellStyle name="Normal 2 3 2 2 2 2 2 2 2 2 2 2 2 2 11" xfId="16466" xr:uid="{772DBA43-9A0E-43E3-BBE2-60B6BD21FE12}"/>
    <cellStyle name="Normal 2 3 2 2 2 2 2 2 2 2 2 2 2 2 12" xfId="16467" xr:uid="{92A6F8CA-4249-477E-8DBE-9DCC7703AF64}"/>
    <cellStyle name="Normal 2 3 2 2 2 2 2 2 2 2 2 2 2 2 13" xfId="16468" xr:uid="{83E02913-CC7C-4A28-AD40-4F92119D3BB8}"/>
    <cellStyle name="Normal 2 3 2 2 2 2 2 2 2 2 2 2 2 2 14" xfId="16469" xr:uid="{588A5DBF-741E-4D31-9BBC-EA1C9BAA3A0C}"/>
    <cellStyle name="Normal 2 3 2 2 2 2 2 2 2 2 2 2 2 2 15" xfId="16470" xr:uid="{4C55ED0F-DEB5-4E6C-938B-782E81E9F28F}"/>
    <cellStyle name="Normal 2 3 2 2 2 2 2 2 2 2 2 2 2 2 16" xfId="16471" xr:uid="{AD2B63AD-F488-4D1F-B4BA-F075DD233B06}"/>
    <cellStyle name="Normal 2 3 2 2 2 2 2 2 2 2 2 2 2 2 17" xfId="16472" xr:uid="{B393FC50-9FEE-4DA5-9D41-A531F3746A23}"/>
    <cellStyle name="Normal 2 3 2 2 2 2 2 2 2 2 2 2 2 2 18" xfId="16473" xr:uid="{C69F1377-F158-48EF-B4EF-EA3428FA498B}"/>
    <cellStyle name="Normal 2 3 2 2 2 2 2 2 2 2 2 2 2 2 19" xfId="16474" xr:uid="{F0B27D7E-396E-4582-B27D-7974D2E3EA34}"/>
    <cellStyle name="Normal 2 3 2 2 2 2 2 2 2 2 2 2 2 2 2" xfId="16475" xr:uid="{C75DE107-A0B8-46E6-B243-49CEFD23A94E}"/>
    <cellStyle name="Normal 2 3 2 2 2 2 2 2 2 2 2 2 2 2 2 10" xfId="16476" xr:uid="{6FA23A3C-36D9-48E4-AA3B-1B639C851036}"/>
    <cellStyle name="Normal 2 3 2 2 2 2 2 2 2 2 2 2 2 2 2 11" xfId="16477" xr:uid="{C8F3FCAB-AE5C-46D2-B6F9-226AF1B29B39}"/>
    <cellStyle name="Normal 2 3 2 2 2 2 2 2 2 2 2 2 2 2 2 12" xfId="16478" xr:uid="{440DA122-C78A-414F-BDB1-E08860A104E2}"/>
    <cellStyle name="Normal 2 3 2 2 2 2 2 2 2 2 2 2 2 2 2 13" xfId="16479" xr:uid="{E1A9AEAB-66F6-4BA8-9F96-32A272F71FBF}"/>
    <cellStyle name="Normal 2 3 2 2 2 2 2 2 2 2 2 2 2 2 2 14" xfId="16480" xr:uid="{BE46F398-7780-477C-8D1B-9131D667C30F}"/>
    <cellStyle name="Normal 2 3 2 2 2 2 2 2 2 2 2 2 2 2 2 15" xfId="16481" xr:uid="{55C33C1C-D734-43AE-9AED-8730C81959B2}"/>
    <cellStyle name="Normal 2 3 2 2 2 2 2 2 2 2 2 2 2 2 2 16" xfId="16482" xr:uid="{F30C0582-DBA3-4B2C-A9DA-03A7C1C46C0C}"/>
    <cellStyle name="Normal 2 3 2 2 2 2 2 2 2 2 2 2 2 2 2 17" xfId="16483" xr:uid="{CF6CDD30-BB7D-413C-97D7-9EF6DF7F2EB9}"/>
    <cellStyle name="Normal 2 3 2 2 2 2 2 2 2 2 2 2 2 2 2 18" xfId="16484" xr:uid="{479984E7-210A-4587-B01C-9263680303E7}"/>
    <cellStyle name="Normal 2 3 2 2 2 2 2 2 2 2 2 2 2 2 2 19" xfId="16485" xr:uid="{AAEFE220-4B68-4E56-9D42-F2693F07AAD9}"/>
    <cellStyle name="Normal 2 3 2 2 2 2 2 2 2 2 2 2 2 2 2 2" xfId="16486" xr:uid="{77134C06-188B-4756-8DAF-7A3A2289CA37}"/>
    <cellStyle name="Normal 2 3 2 2 2 2 2 2 2 2 2 2 2 2 2 2 10" xfId="16487" xr:uid="{138325A7-2C37-4181-92E2-FF4CF69812F9}"/>
    <cellStyle name="Normal 2 3 2 2 2 2 2 2 2 2 2 2 2 2 2 2 11" xfId="16488" xr:uid="{427A56F5-EF0A-4EEA-9122-B640223B8A61}"/>
    <cellStyle name="Normal 2 3 2 2 2 2 2 2 2 2 2 2 2 2 2 2 12" xfId="16489" xr:uid="{B137EFAF-CA41-4276-99B0-FA05B21718AB}"/>
    <cellStyle name="Normal 2 3 2 2 2 2 2 2 2 2 2 2 2 2 2 2 13" xfId="16490" xr:uid="{FC90BB02-F87B-4F44-B3CC-B39E61D48222}"/>
    <cellStyle name="Normal 2 3 2 2 2 2 2 2 2 2 2 2 2 2 2 2 14" xfId="16491" xr:uid="{93488813-4FEF-4D97-9839-E67E74A662FA}"/>
    <cellStyle name="Normal 2 3 2 2 2 2 2 2 2 2 2 2 2 2 2 2 15" xfId="16492" xr:uid="{130CFB94-A9DA-4996-9FCE-4A438A38D8F5}"/>
    <cellStyle name="Normal 2 3 2 2 2 2 2 2 2 2 2 2 2 2 2 2 16" xfId="16493" xr:uid="{89318DDC-9033-456F-8597-543B77DBA71A}"/>
    <cellStyle name="Normal 2 3 2 2 2 2 2 2 2 2 2 2 2 2 2 2 2" xfId="16494" xr:uid="{CFA921AE-E1BD-49D5-926B-E36F07112697}"/>
    <cellStyle name="Normal 2 3 2 2 2 2 2 2 2 2 2 2 2 2 2 2 2 2" xfId="16495" xr:uid="{A0B8AAD6-BC54-46CE-A66C-F66CD1BB2C69}"/>
    <cellStyle name="Normal 2 3 2 2 2 2 2 2 2 2 2 2 2 2 2 2 3" xfId="16496" xr:uid="{E0CB0F91-6C60-4890-A1FA-FD956402A431}"/>
    <cellStyle name="Normal 2 3 2 2 2 2 2 2 2 2 2 2 2 2 2 2 4" xfId="16497" xr:uid="{8A1640DC-F2B0-41E9-BA9B-B0B66C13AF5E}"/>
    <cellStyle name="Normal 2 3 2 2 2 2 2 2 2 2 2 2 2 2 2 2 5" xfId="16498" xr:uid="{54700AD9-291E-4CAF-A081-19B664D0FF83}"/>
    <cellStyle name="Normal 2 3 2 2 2 2 2 2 2 2 2 2 2 2 2 2 6" xfId="16499" xr:uid="{4F23A905-A6A0-4E6C-9493-81A7A3C5123C}"/>
    <cellStyle name="Normal 2 3 2 2 2 2 2 2 2 2 2 2 2 2 2 2 7" xfId="16500" xr:uid="{3878EEC4-51AC-46F7-9B28-ECC26B44E212}"/>
    <cellStyle name="Normal 2 3 2 2 2 2 2 2 2 2 2 2 2 2 2 2 8" xfId="16501" xr:uid="{DD2D7741-0092-48FB-A424-33FBEDF974A4}"/>
    <cellStyle name="Normal 2 3 2 2 2 2 2 2 2 2 2 2 2 2 2 2 9" xfId="16502" xr:uid="{55D19BE2-6F8F-457A-BD92-2D3EFCAA8E17}"/>
    <cellStyle name="Normal 2 3 2 2 2 2 2 2 2 2 2 2 2 2 2 20" xfId="16503" xr:uid="{3025BCCB-1F45-4E53-8B5A-0CE39C0033D7}"/>
    <cellStyle name="Normal 2 3 2 2 2 2 2 2 2 2 2 2 2 2 2 21" xfId="16504" xr:uid="{201D03D9-5363-4C9D-AC7E-2AE0FE24E3D1}"/>
    <cellStyle name="Normal 2 3 2 2 2 2 2 2 2 2 2 2 2 2 2 22" xfId="16505" xr:uid="{D5951F32-4F2D-42B0-98F1-04F14D02DBBB}"/>
    <cellStyle name="Normal 2 3 2 2 2 2 2 2 2 2 2 2 2 2 2 23" xfId="16506" xr:uid="{73CCE394-7B63-4042-86EB-F9028CAE1898}"/>
    <cellStyle name="Normal 2 3 2 2 2 2 2 2 2 2 2 2 2 2 2 3" xfId="16507" xr:uid="{BE8824F1-7456-4233-8326-7B616E93A545}"/>
    <cellStyle name="Normal 2 3 2 2 2 2 2 2 2 2 2 2 2 2 2 4" xfId="16508" xr:uid="{7BF10088-9D0F-42CB-9A15-E7022219674E}"/>
    <cellStyle name="Normal 2 3 2 2 2 2 2 2 2 2 2 2 2 2 2 5" xfId="16509" xr:uid="{2660DD77-3524-45E9-8AAC-E1752DE2A350}"/>
    <cellStyle name="Normal 2 3 2 2 2 2 2 2 2 2 2 2 2 2 2 6" xfId="16510" xr:uid="{9ECEB313-4397-4E16-8581-C7054F968785}"/>
    <cellStyle name="Normal 2 3 2 2 2 2 2 2 2 2 2 2 2 2 2 7" xfId="16511" xr:uid="{A6B36BD2-8B41-4ED5-9482-3F2960EB1D9B}"/>
    <cellStyle name="Normal 2 3 2 2 2 2 2 2 2 2 2 2 2 2 2 8" xfId="16512" xr:uid="{AE58DF2E-BDC1-488E-A182-F4104670FDC5}"/>
    <cellStyle name="Normal 2 3 2 2 2 2 2 2 2 2 2 2 2 2 2 9" xfId="16513" xr:uid="{1305A43E-C21A-4C3A-99F2-AA731FAC75FE}"/>
    <cellStyle name="Normal 2 3 2 2 2 2 2 2 2 2 2 2 2 2 20" xfId="16514" xr:uid="{FB5D5BFF-A99C-4E43-A125-FF3420D12B9F}"/>
    <cellStyle name="Normal 2 3 2 2 2 2 2 2 2 2 2 2 2 2 21" xfId="16515" xr:uid="{E3728ED8-7760-4BB1-95A5-90BD29AEB743}"/>
    <cellStyle name="Normal 2 3 2 2 2 2 2 2 2 2 2 2 2 2 22" xfId="16516" xr:uid="{BBA28A5A-CEB2-4A7B-B6A4-45F4D0E74BE3}"/>
    <cellStyle name="Normal 2 3 2 2 2 2 2 2 2 2 2 2 2 2 23" xfId="16517" xr:uid="{BBEA5C2B-21A9-47E8-A82F-3085159A6435}"/>
    <cellStyle name="Normal 2 3 2 2 2 2 2 2 2 2 2 2 2 2 24" xfId="16518" xr:uid="{919985EA-DD40-4DEC-BBFC-DF5A1526A8A5}"/>
    <cellStyle name="Normal 2 3 2 2 2 2 2 2 2 2 2 2 2 2 25" xfId="16519" xr:uid="{1AFE8431-4CAE-48EA-932C-B8D21F6F9FCA}"/>
    <cellStyle name="Normal 2 3 2 2 2 2 2 2 2 2 2 2 2 2 26" xfId="16520" xr:uid="{8D67D03E-B1C1-4C31-A79E-F839AFB89312}"/>
    <cellStyle name="Normal 2 3 2 2 2 2 2 2 2 2 2 2 2 2 27" xfId="16521" xr:uid="{A2002F6A-D815-4932-9005-80EFF0BEF92B}"/>
    <cellStyle name="Normal 2 3 2 2 2 2 2 2 2 2 2 2 2 2 3" xfId="16522" xr:uid="{A94E779B-92D6-4BA9-BBCC-48341A45C21D}"/>
    <cellStyle name="Normal 2 3 2 2 2 2 2 2 2 2 2 2 2 2 4" xfId="16523" xr:uid="{A3168770-CD8A-4DED-901F-45AB2D150194}"/>
    <cellStyle name="Normal 2 3 2 2 2 2 2 2 2 2 2 2 2 2 5" xfId="16524" xr:uid="{1F4FDE4A-85B4-40C5-BAC9-55DC05019315}"/>
    <cellStyle name="Normal 2 3 2 2 2 2 2 2 2 2 2 2 2 2 6" xfId="16525" xr:uid="{D7C001BE-3ECE-4066-A054-3F69A8B19E17}"/>
    <cellStyle name="Normal 2 3 2 2 2 2 2 2 2 2 2 2 2 2 7" xfId="16526" xr:uid="{2C31C994-9AC3-46E8-A6D2-5C1D9B0A8613}"/>
    <cellStyle name="Normal 2 3 2 2 2 2 2 2 2 2 2 2 2 2 7 10" xfId="16527" xr:uid="{DC025AE1-EC36-48BB-8367-1AB82EC64AE9}"/>
    <cellStyle name="Normal 2 3 2 2 2 2 2 2 2 2 2 2 2 2 7 11" xfId="16528" xr:uid="{048EF332-2248-426E-B19F-2C264914C51C}"/>
    <cellStyle name="Normal 2 3 2 2 2 2 2 2 2 2 2 2 2 2 7 12" xfId="16529" xr:uid="{19654DBA-161B-4518-89D6-475A7EF1D37A}"/>
    <cellStyle name="Normal 2 3 2 2 2 2 2 2 2 2 2 2 2 2 7 13" xfId="16530" xr:uid="{23C5CDF6-D80D-4162-9839-B520BF7F98B4}"/>
    <cellStyle name="Normal 2 3 2 2 2 2 2 2 2 2 2 2 2 2 7 14" xfId="16531" xr:uid="{65D32EE9-D08A-4E67-BB37-7C37BA9EEAD4}"/>
    <cellStyle name="Normal 2 3 2 2 2 2 2 2 2 2 2 2 2 2 7 15" xfId="16532" xr:uid="{1B4A6293-99B0-4B33-AB5E-0EE3904CB875}"/>
    <cellStyle name="Normal 2 3 2 2 2 2 2 2 2 2 2 2 2 2 7 16" xfId="16533" xr:uid="{1C1D4940-CAFA-440A-93BF-E162B1BFE9A6}"/>
    <cellStyle name="Normal 2 3 2 2 2 2 2 2 2 2 2 2 2 2 7 2" xfId="16534" xr:uid="{9824FDB3-2634-4AE0-93FE-D514621953C7}"/>
    <cellStyle name="Normal 2 3 2 2 2 2 2 2 2 2 2 2 2 2 7 3" xfId="16535" xr:uid="{AAC9E584-411C-4E4D-BCCE-A2A5A0DBF86A}"/>
    <cellStyle name="Normal 2 3 2 2 2 2 2 2 2 2 2 2 2 2 7 4" xfId="16536" xr:uid="{F5319098-F617-4C72-9652-9DE7B006C6B7}"/>
    <cellStyle name="Normal 2 3 2 2 2 2 2 2 2 2 2 2 2 2 7 5" xfId="16537" xr:uid="{5F2AE65E-F95E-47CB-A70F-1CE6BA83D18D}"/>
    <cellStyle name="Normal 2 3 2 2 2 2 2 2 2 2 2 2 2 2 7 6" xfId="16538" xr:uid="{0B5CA042-EA97-4F6F-9490-D01043BBC175}"/>
    <cellStyle name="Normal 2 3 2 2 2 2 2 2 2 2 2 2 2 2 7 7" xfId="16539" xr:uid="{B33A6758-5B95-46BA-AD0D-C6E65DF19DEC}"/>
    <cellStyle name="Normal 2 3 2 2 2 2 2 2 2 2 2 2 2 2 7 8" xfId="16540" xr:uid="{DD367A4F-7A48-4074-9B05-B6B14650A17A}"/>
    <cellStyle name="Normal 2 3 2 2 2 2 2 2 2 2 2 2 2 2 7 9" xfId="16541" xr:uid="{416EAD6F-5A3D-49B9-9B40-FC890C5CE90F}"/>
    <cellStyle name="Normal 2 3 2 2 2 2 2 2 2 2 2 2 2 2 8" xfId="16542" xr:uid="{D320E664-8E1E-4B6E-B4B4-B85BD36A14AA}"/>
    <cellStyle name="Normal 2 3 2 2 2 2 2 2 2 2 2 2 2 2 9" xfId="16543" xr:uid="{16423FE1-984C-4432-B9DA-63BC2FE8B164}"/>
    <cellStyle name="Normal 2 3 2 2 2 2 2 2 2 2 2 2 2 20" xfId="16544" xr:uid="{D1F7A35A-CCD8-4EBB-98D6-B16DC5295B70}"/>
    <cellStyle name="Normal 2 3 2 2 2 2 2 2 2 2 2 2 2 21" xfId="16545" xr:uid="{59263B9C-30CC-4CC6-A2D2-5F5CBD214BF5}"/>
    <cellStyle name="Normal 2 3 2 2 2 2 2 2 2 2 2 2 2 22" xfId="16546" xr:uid="{E5AB5154-3318-456E-A166-5634EF0FB166}"/>
    <cellStyle name="Normal 2 3 2 2 2 2 2 2 2 2 2 2 2 23" xfId="16547" xr:uid="{915F5CA0-D2A1-4DFA-BB75-4FD73BBDCF7C}"/>
    <cellStyle name="Normal 2 3 2 2 2 2 2 2 2 2 2 2 2 24" xfId="16548" xr:uid="{B469BD0C-E143-4BE9-A665-948380D0AC66}"/>
    <cellStyle name="Normal 2 3 2 2 2 2 2 2 2 2 2 2 2 25" xfId="16549" xr:uid="{E70E051E-6DA4-472D-A08E-0AAADD5AC779}"/>
    <cellStyle name="Normal 2 3 2 2 2 2 2 2 2 2 2 2 2 26" xfId="16550" xr:uid="{F378CE73-5F59-4F86-993F-13FD9BC58970}"/>
    <cellStyle name="Normal 2 3 2 2 2 2 2 2 2 2 2 2 2 27" xfId="16551" xr:uid="{808D47D3-8645-41D6-9EF7-4DBB80F8D233}"/>
    <cellStyle name="Normal 2 3 2 2 2 2 2 2 2 2 2 2 2 3" xfId="16552" xr:uid="{AAFD41AD-5E02-4DE7-B476-1DD677BFA28A}"/>
    <cellStyle name="Normal 2 3 2 2 2 2 2 2 2 2 2 2 2 3 2" xfId="16553" xr:uid="{31844FD7-10CD-4379-BDD9-044FE1405FB5}"/>
    <cellStyle name="Normal 2 3 2 2 2 2 2 2 2 2 2 2 2 4" xfId="16554" xr:uid="{19945EF1-A522-41D2-996E-40CBE953BBA9}"/>
    <cellStyle name="Normal 2 3 2 2 2 2 2 2 2 2 2 2 2 4 2" xfId="16555" xr:uid="{5ECB3591-09A1-460A-B972-3CBA1B21ACC2}"/>
    <cellStyle name="Normal 2 3 2 2 2 2 2 2 2 2 2 2 2 5" xfId="16556" xr:uid="{5B0091D6-ACCD-4EE7-9C3B-1A6667765B5B}"/>
    <cellStyle name="Normal 2 3 2 2 2 2 2 2 2 2 2 2 2 5 2" xfId="16557" xr:uid="{406AA1C1-4C58-4186-92F2-22243D4DB992}"/>
    <cellStyle name="Normal 2 3 2 2 2 2 2 2 2 2 2 2 2 6" xfId="16558" xr:uid="{870F070F-00C8-43DA-8B37-D414F273DA14}"/>
    <cellStyle name="Normal 2 3 2 2 2 2 2 2 2 2 2 2 2 6 2" xfId="16559" xr:uid="{31EE6752-35EB-4ED4-92CE-79AD4B49ABA9}"/>
    <cellStyle name="Normal 2 3 2 2 2 2 2 2 2 2 2 2 2 7" xfId="16560" xr:uid="{A5F083D2-4FBA-44AF-ADD8-47271D29A8DE}"/>
    <cellStyle name="Normal 2 3 2 2 2 2 2 2 2 2 2 2 2 7 10" xfId="16561" xr:uid="{328D2AB9-F6DF-4988-A67B-437C523BD915}"/>
    <cellStyle name="Normal 2 3 2 2 2 2 2 2 2 2 2 2 2 7 11" xfId="16562" xr:uid="{62687068-9823-4FA3-8983-3A3891D0C965}"/>
    <cellStyle name="Normal 2 3 2 2 2 2 2 2 2 2 2 2 2 7 12" xfId="16563" xr:uid="{5D8CE9A1-4377-442B-9D6F-D5A3BE68FCA0}"/>
    <cellStyle name="Normal 2 3 2 2 2 2 2 2 2 2 2 2 2 7 13" xfId="16564" xr:uid="{E9EE5F17-8BDD-4219-A237-5BD6FCC3B5C9}"/>
    <cellStyle name="Normal 2 3 2 2 2 2 2 2 2 2 2 2 2 7 14" xfId="16565" xr:uid="{F0BF2BDD-43A3-40F7-8D75-C76FCD9AF520}"/>
    <cellStyle name="Normal 2 3 2 2 2 2 2 2 2 2 2 2 2 7 15" xfId="16566" xr:uid="{E6DAFDC2-242B-4DB5-BA5E-EC49C1BDEFFB}"/>
    <cellStyle name="Normal 2 3 2 2 2 2 2 2 2 2 2 2 2 7 16" xfId="16567" xr:uid="{AB75B310-3DDD-4312-93A9-503E1ADB2F49}"/>
    <cellStyle name="Normal 2 3 2 2 2 2 2 2 2 2 2 2 2 7 2" xfId="16568" xr:uid="{3581443E-4AD8-4793-BC6E-CA44A4DA641F}"/>
    <cellStyle name="Normal 2 3 2 2 2 2 2 2 2 2 2 2 2 7 3" xfId="16569" xr:uid="{86C8FC42-4FC4-4847-B568-5D99FA706892}"/>
    <cellStyle name="Normal 2 3 2 2 2 2 2 2 2 2 2 2 2 7 4" xfId="16570" xr:uid="{74AF88C8-9093-4C0F-9F1C-8F09A9DAD890}"/>
    <cellStyle name="Normal 2 3 2 2 2 2 2 2 2 2 2 2 2 7 5" xfId="16571" xr:uid="{C5EE74DC-42CB-4267-BFC4-DBBB14E777D2}"/>
    <cellStyle name="Normal 2 3 2 2 2 2 2 2 2 2 2 2 2 7 6" xfId="16572" xr:uid="{05430BCC-2063-40B3-9BF9-2324727D3544}"/>
    <cellStyle name="Normal 2 3 2 2 2 2 2 2 2 2 2 2 2 7 7" xfId="16573" xr:uid="{9A73BE88-1FE5-44C3-9F08-56E2BB4BC99F}"/>
    <cellStyle name="Normal 2 3 2 2 2 2 2 2 2 2 2 2 2 7 8" xfId="16574" xr:uid="{1731FCDD-BD64-450E-9D28-66FAEC45A4C3}"/>
    <cellStyle name="Normal 2 3 2 2 2 2 2 2 2 2 2 2 2 7 9" xfId="16575" xr:uid="{BF4D1ACF-96FA-43B0-8446-B233AAE479AF}"/>
    <cellStyle name="Normal 2 3 2 2 2 2 2 2 2 2 2 2 2 8" xfId="16576" xr:uid="{46D0D184-894F-4C97-880A-C06DFD4A9DB6}"/>
    <cellStyle name="Normal 2 3 2 2 2 2 2 2 2 2 2 2 2 9" xfId="16577" xr:uid="{C9A2F623-6D58-4A16-B86B-75EB71EA31A9}"/>
    <cellStyle name="Normal 2 3 2 2 2 2 2 2 2 2 2 2 20" xfId="16578" xr:uid="{F4835B76-717C-461F-80B1-00E918BEC838}"/>
    <cellStyle name="Normal 2 3 2 2 2 2 2 2 2 2 2 2 21" xfId="16579" xr:uid="{996A3B78-970C-4433-8D44-50CECA355389}"/>
    <cellStyle name="Normal 2 3 2 2 2 2 2 2 2 2 2 2 22" xfId="16580" xr:uid="{3BE324F4-F32A-4128-B305-92FB2D6F25A3}"/>
    <cellStyle name="Normal 2 3 2 2 2 2 2 2 2 2 2 2 23" xfId="16581" xr:uid="{5519CCAA-8B6C-4F03-BC0F-09587CB6E5EE}"/>
    <cellStyle name="Normal 2 3 2 2 2 2 2 2 2 2 2 2 24" xfId="16582" xr:uid="{BD26848D-CDD1-40D1-AA64-4FA42FA8D2FF}"/>
    <cellStyle name="Normal 2 3 2 2 2 2 2 2 2 2 2 2 25" xfId="16583" xr:uid="{B787B5C1-63C2-4165-B2AB-1AD1B56C01CB}"/>
    <cellStyle name="Normal 2 3 2 2 2 2 2 2 2 2 2 2 26" xfId="16584" xr:uid="{4DF00717-F864-44A7-B1B7-9C11E75AAB5D}"/>
    <cellStyle name="Normal 2 3 2 2 2 2 2 2 2 2 2 2 27" xfId="16585" xr:uid="{6D320B71-13E0-4BF1-8027-CCFF11E95200}"/>
    <cellStyle name="Normal 2 3 2 2 2 2 2 2 2 2 2 2 28" xfId="16586" xr:uid="{80AEA0D3-C603-4E2F-B75A-7BF863A35E68}"/>
    <cellStyle name="Normal 2 3 2 2 2 2 2 2 2 2 2 2 3" xfId="16587" xr:uid="{615BFFA0-4C73-4316-96A2-C8C5393D85E4}"/>
    <cellStyle name="Normal 2 3 2 2 2 2 2 2 2 2 2 2 3 2" xfId="16588" xr:uid="{3716BD46-D637-47A7-9B2C-AF7A542562E3}"/>
    <cellStyle name="Normal 2 3 2 2 2 2 2 2 2 2 2 2 4" xfId="16589" xr:uid="{89F03005-1977-4BB4-9B90-485FE358076D}"/>
    <cellStyle name="Normal 2 3 2 2 2 2 2 2 2 2 2 2 4 2" xfId="16590" xr:uid="{FAFF8F00-2D2D-4684-B60F-A65560F1C89A}"/>
    <cellStyle name="Normal 2 3 2 2 2 2 2 2 2 2 2 2 5" xfId="16591" xr:uid="{094B15E4-AAFB-4887-ADD3-FD9CAF9DF0DD}"/>
    <cellStyle name="Normal 2 3 2 2 2 2 2 2 2 2 2 2 5 2" xfId="16592" xr:uid="{919D137B-E3AF-4EC6-91DB-743F3DE0D38D}"/>
    <cellStyle name="Normal 2 3 2 2 2 2 2 2 2 2 2 2 6" xfId="16593" xr:uid="{1C6C9907-86D8-40EC-B73E-85EA1EE1218E}"/>
    <cellStyle name="Normal 2 3 2 2 2 2 2 2 2 2 2 2 6 2" xfId="16594" xr:uid="{19557E7D-7935-4144-8CDE-F8FFDA482F12}"/>
    <cellStyle name="Normal 2 3 2 2 2 2 2 2 2 2 2 2 7" xfId="16595" xr:uid="{2126963D-F665-4B09-A039-9874A90B70B9}"/>
    <cellStyle name="Normal 2 3 2 2 2 2 2 2 2 2 2 2 8" xfId="16596" xr:uid="{47E80B8F-B5B3-4EC4-BF34-4E4E3DAF88B0}"/>
    <cellStyle name="Normal 2 3 2 2 2 2 2 2 2 2 2 2 8 10" xfId="16597" xr:uid="{6E1E39D4-79BA-45B1-9D4F-4D47BEEBE262}"/>
    <cellStyle name="Normal 2 3 2 2 2 2 2 2 2 2 2 2 8 11" xfId="16598" xr:uid="{06978114-A8C8-4DDC-9974-DD17259EE3AA}"/>
    <cellStyle name="Normal 2 3 2 2 2 2 2 2 2 2 2 2 8 12" xfId="16599" xr:uid="{3A9486FB-8816-445B-89BA-D10C47521998}"/>
    <cellStyle name="Normal 2 3 2 2 2 2 2 2 2 2 2 2 8 13" xfId="16600" xr:uid="{1E4E14FA-3BC7-4A2B-94F9-603D9B0C3E89}"/>
    <cellStyle name="Normal 2 3 2 2 2 2 2 2 2 2 2 2 8 14" xfId="16601" xr:uid="{6B254585-5DC7-42A7-8958-9EABA7D496A6}"/>
    <cellStyle name="Normal 2 3 2 2 2 2 2 2 2 2 2 2 8 15" xfId="16602" xr:uid="{7EAF4F2E-D73D-4A20-8857-438D5720A6FF}"/>
    <cellStyle name="Normal 2 3 2 2 2 2 2 2 2 2 2 2 8 16" xfId="16603" xr:uid="{F59BF7AD-E6F9-4EF7-90C7-ED8DC02041D7}"/>
    <cellStyle name="Normal 2 3 2 2 2 2 2 2 2 2 2 2 8 2" xfId="16604" xr:uid="{9591546A-4CB1-427E-8D62-EE78F75A1215}"/>
    <cellStyle name="Normal 2 3 2 2 2 2 2 2 2 2 2 2 8 3" xfId="16605" xr:uid="{66519C0C-6BA2-4301-955C-17504DCB253B}"/>
    <cellStyle name="Normal 2 3 2 2 2 2 2 2 2 2 2 2 8 4" xfId="16606" xr:uid="{1DA2FD1B-EA5B-47DD-888C-210FC993F219}"/>
    <cellStyle name="Normal 2 3 2 2 2 2 2 2 2 2 2 2 8 5" xfId="16607" xr:uid="{B84D6195-7175-4C98-A3F0-6D22D580E52D}"/>
    <cellStyle name="Normal 2 3 2 2 2 2 2 2 2 2 2 2 8 6" xfId="16608" xr:uid="{BEBA2167-29F7-4232-ABA7-7A92178B0B89}"/>
    <cellStyle name="Normal 2 3 2 2 2 2 2 2 2 2 2 2 8 7" xfId="16609" xr:uid="{DE312141-D7E6-4E5B-B822-5EFFD4FDA8AE}"/>
    <cellStyle name="Normal 2 3 2 2 2 2 2 2 2 2 2 2 8 8" xfId="16610" xr:uid="{7DD16EEE-F713-4BB0-B288-3DA1FA22556C}"/>
    <cellStyle name="Normal 2 3 2 2 2 2 2 2 2 2 2 2 8 9" xfId="16611" xr:uid="{CFE88448-713E-44F9-99D2-46C94C0DC4F2}"/>
    <cellStyle name="Normal 2 3 2 2 2 2 2 2 2 2 2 2 9" xfId="16612" xr:uid="{34C8BF1F-D5EC-48D1-89BA-5C0204E0F76A}"/>
    <cellStyle name="Normal 2 3 2 2 2 2 2 2 2 2 2 20" xfId="16613" xr:uid="{B48CFFE3-F27E-4CDE-ACED-27DAF4A27CBD}"/>
    <cellStyle name="Normal 2 3 2 2 2 2 2 2 2 2 2 21" xfId="16614" xr:uid="{A59FCA06-C82A-4504-ACEC-972ABA326E21}"/>
    <cellStyle name="Normal 2 3 2 2 2 2 2 2 2 2 2 22" xfId="16615" xr:uid="{88103C37-B3EF-49A5-A21D-BD4DB0235550}"/>
    <cellStyle name="Normal 2 3 2 2 2 2 2 2 2 2 2 23" xfId="16616" xr:uid="{16915C2B-B45D-44FA-942B-61CA5EE9BC8A}"/>
    <cellStyle name="Normal 2 3 2 2 2 2 2 2 2 2 2 24" xfId="16617" xr:uid="{C7E61934-B26A-40E7-A837-7A3C78A62063}"/>
    <cellStyle name="Normal 2 3 2 2 2 2 2 2 2 2 2 25" xfId="16618" xr:uid="{5C56C6C8-4529-472B-9247-68B2ACAFB79D}"/>
    <cellStyle name="Normal 2 3 2 2 2 2 2 2 2 2 2 26" xfId="16619" xr:uid="{E26E3CBC-F5FF-4437-AB4B-6E22E686CA85}"/>
    <cellStyle name="Normal 2 3 2 2 2 2 2 2 2 2 2 27" xfId="16620" xr:uid="{61FF866A-D29F-4EEA-A9E3-BAE25075264C}"/>
    <cellStyle name="Normal 2 3 2 2 2 2 2 2 2 2 2 28" xfId="16621" xr:uid="{28BD9149-221D-4AF7-BF07-A62B9865DB0C}"/>
    <cellStyle name="Normal 2 3 2 2 2 2 2 2 2 2 2 29" xfId="16622" xr:uid="{3B197EA2-C734-4BA1-BCBB-469AFC9CFFF9}"/>
    <cellStyle name="Normal 2 3 2 2 2 2 2 2 2 2 2 3" xfId="16623" xr:uid="{E70888D6-EEB9-44D7-9EC8-75FF854F281E}"/>
    <cellStyle name="Normal 2 3 2 2 2 2 2 2 2 2 2 3 2" xfId="16624" xr:uid="{42BAB458-987C-40AC-A62A-07A2A20EFB14}"/>
    <cellStyle name="Normal 2 3 2 2 2 2 2 2 2 2 2 30" xfId="16625" xr:uid="{DF50879F-0964-4360-A2FA-37354E4901E9}"/>
    <cellStyle name="Normal 2 3 2 2 2 2 2 2 2 2 2 4" xfId="16626" xr:uid="{088ADEAE-3B55-49BD-A513-474BCDD43FD8}"/>
    <cellStyle name="Normal 2 3 2 2 2 2 2 2 2 2 2 4 2" xfId="16627" xr:uid="{BD235AE9-01C6-48A0-A6D6-FE7D061EF30D}"/>
    <cellStyle name="Normal 2 3 2 2 2 2 2 2 2 2 2 5" xfId="16628" xr:uid="{976C5FC6-0E71-4D02-9842-E5B144608AA8}"/>
    <cellStyle name="Normal 2 3 2 2 2 2 2 2 2 2 2 5 2" xfId="16629" xr:uid="{5C491244-5DDE-4F27-BDB1-8F917801865A}"/>
    <cellStyle name="Normal 2 3 2 2 2 2 2 2 2 2 2 6" xfId="16630" xr:uid="{38FE2608-AB90-478D-8DD5-21E7D9178D7D}"/>
    <cellStyle name="Normal 2 3 2 2 2 2 2 2 2 2 2 6 2" xfId="16631" xr:uid="{DB3ED14F-7117-4E05-B157-73DB34340478}"/>
    <cellStyle name="Normal 2 3 2 2 2 2 2 2 2 2 2 7" xfId="16632" xr:uid="{23941CE0-F2C3-4979-96D8-0D81515B3FB1}"/>
    <cellStyle name="Normal 2 3 2 2 2 2 2 2 2 2 2 7 2" xfId="16633" xr:uid="{1F3227F3-AF62-4E8F-A4BC-AA07A0921FCB}"/>
    <cellStyle name="Normal 2 3 2 2 2 2 2 2 2 2 2 8" xfId="16634" xr:uid="{CEA083C7-C562-4B1F-8B5F-E76C81907C81}"/>
    <cellStyle name="Normal 2 3 2 2 2 2 2 2 2 2 2 9" xfId="16635" xr:uid="{3D9EDE79-6D2E-4D37-BC48-6A4B7BEDF7AA}"/>
    <cellStyle name="Normal 2 3 2 2 2 2 2 2 2 2 20" xfId="16636" xr:uid="{197C7219-8FB7-46C2-B496-2A12776A7CAE}"/>
    <cellStyle name="Normal 2 3 2 2 2 2 2 2 2 2 21" xfId="16637" xr:uid="{FC1B6EBB-9E9C-4367-AE42-63CA8DE39C70}"/>
    <cellStyle name="Normal 2 3 2 2 2 2 2 2 2 2 22" xfId="16638" xr:uid="{2C037F07-AFE3-4B79-B05D-4817C08B2131}"/>
    <cellStyle name="Normal 2 3 2 2 2 2 2 2 2 2 23" xfId="16639" xr:uid="{3D4A47F4-38AA-4BF1-9F3A-4E472C95826D}"/>
    <cellStyle name="Normal 2 3 2 2 2 2 2 2 2 2 24" xfId="16640" xr:uid="{CBF2EB22-2F94-42DF-AFF9-3B30DC042B4C}"/>
    <cellStyle name="Normal 2 3 2 2 2 2 2 2 2 2 25" xfId="16641" xr:uid="{12255364-A879-4DC5-A474-C7E265C19521}"/>
    <cellStyle name="Normal 2 3 2 2 2 2 2 2 2 2 26" xfId="16642" xr:uid="{D6530107-30D7-4B1B-934F-B511682306FC}"/>
    <cellStyle name="Normal 2 3 2 2 2 2 2 2 2 2 27" xfId="16643" xr:uid="{B83C9E57-1799-4AEC-9920-A0EE4318B2C0}"/>
    <cellStyle name="Normal 2 3 2 2 2 2 2 2 2 2 28" xfId="16644" xr:uid="{6F466828-9988-4D13-8918-1FB38C664FFC}"/>
    <cellStyle name="Normal 2 3 2 2 2 2 2 2 2 2 29" xfId="16645" xr:uid="{62B7284A-535D-4ED0-8922-11A0964ED4F1}"/>
    <cellStyle name="Normal 2 3 2 2 2 2 2 2 2 2 3" xfId="16646" xr:uid="{5A3CFC32-66FB-40F7-A5E0-EEE1D3FB535D}"/>
    <cellStyle name="Normal 2 3 2 2 2 2 2 2 2 2 3 2" xfId="16647" xr:uid="{30D54156-F2A7-436E-B693-42A1B7D889FB}"/>
    <cellStyle name="Normal 2 3 2 2 2 2 2 2 2 2 3 2 2" xfId="16648" xr:uid="{1EA61EE6-AFF4-48EE-B972-C6FA1E3F2FF9}"/>
    <cellStyle name="Normal 2 3 2 2 2 2 2 2 2 2 3 2 3" xfId="16649" xr:uid="{CA5B57C1-AAD1-4CEA-AD20-4DFA67346C78}"/>
    <cellStyle name="Normal 2 3 2 2 2 2 2 2 2 2 3 2 4" xfId="16650" xr:uid="{1B7892B5-C7A8-4460-B8E0-E6C4074D27D8}"/>
    <cellStyle name="Normal 2 3 2 2 2 2 2 2 2 2 3 2 5" xfId="16651" xr:uid="{A35D1858-F34F-479E-A67A-D673974E9034}"/>
    <cellStyle name="Normal 2 3 2 2 2 2 2 2 2 2 3 2 6" xfId="16652" xr:uid="{FB156948-C242-4763-B2D4-4FF94DCEB7DD}"/>
    <cellStyle name="Normal 2 3 2 2 2 2 2 2 2 2 3 3" xfId="16653" xr:uid="{FFE43986-0490-41C8-9E52-32DD4305A494}"/>
    <cellStyle name="Normal 2 3 2 2 2 2 2 2 2 2 3 4" xfId="16654" xr:uid="{22CFB314-4750-4D88-B85B-B5CDB9D36B53}"/>
    <cellStyle name="Normal 2 3 2 2 2 2 2 2 2 2 3 5" xfId="16655" xr:uid="{BF34DF7C-72D0-495C-8B47-0F202CD2213F}"/>
    <cellStyle name="Normal 2 3 2 2 2 2 2 2 2 2 3 6" xfId="16656" xr:uid="{2505A8C2-B8FB-419B-906F-8E0532A27BA5}"/>
    <cellStyle name="Normal 2 3 2 2 2 2 2 2 2 2 3 7" xfId="16657" xr:uid="{D3BCD994-0FD2-4D3B-AAC6-F9079C2726AE}"/>
    <cellStyle name="Normal 2 3 2 2 2 2 2 2 2 2 30" xfId="16658" xr:uid="{97BCB6CC-DCBE-43C2-BFEA-A03AD54FA82E}"/>
    <cellStyle name="Normal 2 3 2 2 2 2 2 2 2 2 31" xfId="16659" xr:uid="{3F56F5CD-26CC-49C3-93CC-5DC119D05312}"/>
    <cellStyle name="Normal 2 3 2 2 2 2 2 2 2 2 32" xfId="16660" xr:uid="{B6110DA4-25F3-4A4B-AE4C-3A11E9C52B8D}"/>
    <cellStyle name="Normal 2 3 2 2 2 2 2 2 2 2 4" xfId="16661" xr:uid="{FA213A40-72F4-4461-AB3F-D3683BC6BEA8}"/>
    <cellStyle name="Normal 2 3 2 2 2 2 2 2 2 2 4 2" xfId="16662" xr:uid="{7A6AAE3B-D24C-4797-BCA1-8086EC461373}"/>
    <cellStyle name="Normal 2 3 2 2 2 2 2 2 2 2 5" xfId="16663" xr:uid="{02A71EA7-F758-4E35-B2D8-E3EDFE114444}"/>
    <cellStyle name="Normal 2 3 2 2 2 2 2 2 2 2 5 2" xfId="16664" xr:uid="{ABDE8952-0C1E-4346-AF00-275371FCF59E}"/>
    <cellStyle name="Normal 2 3 2 2 2 2 2 2 2 2 6" xfId="16665" xr:uid="{77AB1801-B5E5-4596-8052-3B216C102FB4}"/>
    <cellStyle name="Normal 2 3 2 2 2 2 2 2 2 2 6 2" xfId="16666" xr:uid="{D02E3CFB-7B51-476D-8306-4C823CB485F4}"/>
    <cellStyle name="Normal 2 3 2 2 2 2 2 2 2 2 7" xfId="16667" xr:uid="{52CDCA4B-AECB-4201-A385-DA5EBC335919}"/>
    <cellStyle name="Normal 2 3 2 2 2 2 2 2 2 2 7 2" xfId="16668" xr:uid="{61BB9BB2-01F6-4CA7-A0BC-F7325DDFDC61}"/>
    <cellStyle name="Normal 2 3 2 2 2 2 2 2 2 2 8" xfId="16669" xr:uid="{A4B42D82-5F71-47C5-A585-3CDB9D7FE07D}"/>
    <cellStyle name="Normal 2 3 2 2 2 2 2 2 2 2 8 2" xfId="16670" xr:uid="{58739A35-EA34-441B-BCA7-E76DD86844FB}"/>
    <cellStyle name="Normal 2 3 2 2 2 2 2 2 2 2 9" xfId="16671" xr:uid="{301D44FB-560F-4485-986D-BCBF3BCA2DDB}"/>
    <cellStyle name="Normal 2 3 2 2 2 2 2 2 2 2 9 2" xfId="16672" xr:uid="{3306B65B-2DE9-4402-8A3B-10527CC1AB9F}"/>
    <cellStyle name="Normal 2 3 2 2 2 2 2 2 2 20" xfId="16673" xr:uid="{D2C178AB-C0EB-4FE5-8D53-3E4EAB4B9502}"/>
    <cellStyle name="Normal 2 3 2 2 2 2 2 2 2 20 2" xfId="16674" xr:uid="{C702A3FB-D554-4092-9CA3-2020BB612A82}"/>
    <cellStyle name="Normal 2 3 2 2 2 2 2 2 2 20 3" xfId="16675" xr:uid="{8CE5572A-FA2F-4117-A3F1-936C11E4051D}"/>
    <cellStyle name="Normal 2 3 2 2 2 2 2 2 2 20 4" xfId="16676" xr:uid="{A926DEFF-8326-4FB8-BBE0-04E21283350E}"/>
    <cellStyle name="Normal 2 3 2 2 2 2 2 2 2 20 5" xfId="16677" xr:uid="{3BC997BC-E971-4905-8BAA-1975FE829515}"/>
    <cellStyle name="Normal 2 3 2 2 2 2 2 2 2 21" xfId="16678" xr:uid="{480DDFBE-F9F5-4E60-9CBC-B668F2B1AE4E}"/>
    <cellStyle name="Normal 2 3 2 2 2 2 2 2 2 22" xfId="16679" xr:uid="{89CD1C5D-7095-4D6B-8F08-3334444C00DE}"/>
    <cellStyle name="Normal 2 3 2 2 2 2 2 2 2 23" xfId="16680" xr:uid="{5E9F5F3E-482E-4D16-A088-1549DAA08691}"/>
    <cellStyle name="Normal 2 3 2 2 2 2 2 2 2 24" xfId="16681" xr:uid="{E370EFD6-8BCA-4049-9DC6-FD9D6CB782C6}"/>
    <cellStyle name="Normal 2 3 2 2 2 2 2 2 2 25" xfId="16682" xr:uid="{1704EDC5-A5A2-4947-9578-317254AE39CF}"/>
    <cellStyle name="Normal 2 3 2 2 2 2 2 2 2 26" xfId="16683" xr:uid="{CB0BAA38-A0A1-4407-A7CE-8EE4D967267A}"/>
    <cellStyle name="Normal 2 3 2 2 2 2 2 2 2 27" xfId="16684" xr:uid="{41A97A90-6FD0-409E-8D0E-47F7DF38653B}"/>
    <cellStyle name="Normal 2 3 2 2 2 2 2 2 2 28" xfId="16685" xr:uid="{4F83DB18-4CB8-4781-9741-614228132B25}"/>
    <cellStyle name="Normal 2 3 2 2 2 2 2 2 2 29" xfId="16686" xr:uid="{9BA0AE52-9C21-48D1-80C3-395D0145EDC0}"/>
    <cellStyle name="Normal 2 3 2 2 2 2 2 2 2 3" xfId="16687" xr:uid="{B5984C85-EC17-45AB-A5A3-29896053A6FC}"/>
    <cellStyle name="Normal 2 3 2 2 2 2 2 2 2 30" xfId="16688" xr:uid="{8E963767-28A9-46CE-A1A5-73E2E80188BD}"/>
    <cellStyle name="Normal 2 3 2 2 2 2 2 2 2 31" xfId="16689" xr:uid="{F1162DD9-F448-44C1-B46B-B5E10965E6E5}"/>
    <cellStyle name="Normal 2 3 2 2 2 2 2 2 2 32" xfId="16690" xr:uid="{AD339A6E-CE20-496D-AC8C-3E22ED3FF23E}"/>
    <cellStyle name="Normal 2 3 2 2 2 2 2 2 2 33" xfId="16691" xr:uid="{CF1F77F4-FC1F-4489-8C6F-F6E1F2AECF37}"/>
    <cellStyle name="Normal 2 3 2 2 2 2 2 2 2 4" xfId="16692" xr:uid="{1E67D55D-2021-4CC8-89C7-37CFF7A381F7}"/>
    <cellStyle name="Normal 2 3 2 2 2 2 2 2 2 4 2" xfId="16693" xr:uid="{7F8F2F18-414A-4B66-AC4F-C0D29FAC0FD0}"/>
    <cellStyle name="Normal 2 3 2 2 2 2 2 2 2 4 2 2" xfId="16694" xr:uid="{738D94CA-B596-460E-94C2-DBD407195C41}"/>
    <cellStyle name="Normal 2 3 2 2 2 2 2 2 2 4 3" xfId="16695" xr:uid="{D87953CC-7B54-4826-B590-FBBB064518F5}"/>
    <cellStyle name="Normal 2 3 2 2 2 2 2 2 2 5" xfId="16696" xr:uid="{775C4CCB-86A1-40D0-A9CC-984D5E71B20A}"/>
    <cellStyle name="Normal 2 3 2 2 2 2 2 2 2 5 2" xfId="16697" xr:uid="{0F75B500-490F-4CF7-82D6-C95ACD67ECC7}"/>
    <cellStyle name="Normal 2 3 2 2 2 2 2 2 2 5 2 2" xfId="16698" xr:uid="{6F98AADD-A855-4443-842A-A79031E46F05}"/>
    <cellStyle name="Normal 2 3 2 2 2 2 2 2 2 5 2 3" xfId="16699" xr:uid="{4E33A780-AAB9-409E-B255-C896E387C1D0}"/>
    <cellStyle name="Normal 2 3 2 2 2 2 2 2 2 5 2 4" xfId="16700" xr:uid="{D807AE5F-4F32-4408-B328-B94C22380CBC}"/>
    <cellStyle name="Normal 2 3 2 2 2 2 2 2 2 5 2 5" xfId="16701" xr:uid="{F20B96FA-1487-431C-BE59-07964D47550D}"/>
    <cellStyle name="Normal 2 3 2 2 2 2 2 2 2 5 2 6" xfId="16702" xr:uid="{3C76F9E5-CB20-463A-B42B-EB391AAB602B}"/>
    <cellStyle name="Normal 2 3 2 2 2 2 2 2 2 5 3" xfId="16703" xr:uid="{9C1F127C-5059-4C51-B586-A13C1749F570}"/>
    <cellStyle name="Normal 2 3 2 2 2 2 2 2 2 5 4" xfId="16704" xr:uid="{5788A067-ABD9-4EBD-BE6A-64A654CB2303}"/>
    <cellStyle name="Normal 2 3 2 2 2 2 2 2 2 5 5" xfId="16705" xr:uid="{682FE66D-C20F-4640-AF63-D40AFBB52765}"/>
    <cellStyle name="Normal 2 3 2 2 2 2 2 2 2 5 6" xfId="16706" xr:uid="{7F29BF64-2760-4145-9BEC-C333F80FD24E}"/>
    <cellStyle name="Normal 2 3 2 2 2 2 2 2 2 5 7" xfId="16707" xr:uid="{1B3EABB4-78B7-4804-9531-EEA9D409C730}"/>
    <cellStyle name="Normal 2 3 2 2 2 2 2 2 2 6" xfId="16708" xr:uid="{2015DDD8-285E-4FC1-B974-5ECA635E6B81}"/>
    <cellStyle name="Normal 2 3 2 2 2 2 2 2 2 6 2" xfId="16709" xr:uid="{77983A9F-4930-47AC-8767-5D0D237AC611}"/>
    <cellStyle name="Normal 2 3 2 2 2 2 2 2 2 7" xfId="16710" xr:uid="{D546C095-EF39-4277-9CA3-1854E12D9892}"/>
    <cellStyle name="Normal 2 3 2 2 2 2 2 2 2 7 2" xfId="16711" xr:uid="{3408FEA2-B7A6-4856-9AA0-D12E3C0C8FBB}"/>
    <cellStyle name="Normal 2 3 2 2 2 2 2 2 2 8" xfId="16712" xr:uid="{F845CFA7-7D32-4637-AD0C-93B65666AEEA}"/>
    <cellStyle name="Normal 2 3 2 2 2 2 2 2 2 8 2" xfId="16713" xr:uid="{6DC60219-CD6D-4BCA-82DC-4362603DB68D}"/>
    <cellStyle name="Normal 2 3 2 2 2 2 2 2 2 9" xfId="16714" xr:uid="{36B08AFD-A4A7-41AC-84FF-2B8D14BB06B7}"/>
    <cellStyle name="Normal 2 3 2 2 2 2 2 2 2 9 2" xfId="16715" xr:uid="{9C4EB85B-4589-4AB4-98F9-50BE0D4F1122}"/>
    <cellStyle name="Normal 2 3 2 2 2 2 2 2 20" xfId="16716" xr:uid="{5CE03481-BD36-4F9C-BC51-93147E552F61}"/>
    <cellStyle name="Normal 2 3 2 2 2 2 2 2 20 10" xfId="16717" xr:uid="{DDC28E84-43A5-4EBF-8792-30316C2AB859}"/>
    <cellStyle name="Normal 2 3 2 2 2 2 2 2 20 11" xfId="16718" xr:uid="{D4C2FC13-21F9-4F63-84C1-F357B9C00396}"/>
    <cellStyle name="Normal 2 3 2 2 2 2 2 2 20 12" xfId="16719" xr:uid="{596ACC88-4A09-410B-82E3-B33157012B51}"/>
    <cellStyle name="Normal 2 3 2 2 2 2 2 2 20 13" xfId="16720" xr:uid="{CA3F1447-4A69-4DCA-A9B2-EE13E47100B2}"/>
    <cellStyle name="Normal 2 3 2 2 2 2 2 2 20 14" xfId="16721" xr:uid="{86D79919-F949-4A51-B84B-4C0D850D4D01}"/>
    <cellStyle name="Normal 2 3 2 2 2 2 2 2 20 15" xfId="16722" xr:uid="{4B14DF55-C145-4D0B-B363-ECBA509815C6}"/>
    <cellStyle name="Normal 2 3 2 2 2 2 2 2 20 16" xfId="16723" xr:uid="{F9DE47E6-5706-4C19-8674-5D3DA6D0FBBC}"/>
    <cellStyle name="Normal 2 3 2 2 2 2 2 2 20 2" xfId="16724" xr:uid="{80CB57C7-0ED9-4900-8ECC-427F4040464F}"/>
    <cellStyle name="Normal 2 3 2 2 2 2 2 2 20 3" xfId="16725" xr:uid="{32150687-BB8E-4DD8-87CA-FCA71ED933CD}"/>
    <cellStyle name="Normal 2 3 2 2 2 2 2 2 20 4" xfId="16726" xr:uid="{C72CD90F-DB4A-4CC7-ADD5-4B86A7E681D4}"/>
    <cellStyle name="Normal 2 3 2 2 2 2 2 2 20 5" xfId="16727" xr:uid="{234A16F4-A8CC-4E84-B728-A6EB677AB7DA}"/>
    <cellStyle name="Normal 2 3 2 2 2 2 2 2 20 6" xfId="16728" xr:uid="{DC836BE0-48BE-4589-A61A-05CC2397394B}"/>
    <cellStyle name="Normal 2 3 2 2 2 2 2 2 20 7" xfId="16729" xr:uid="{41A47CEB-FEA7-4F05-9162-EEF606032FBD}"/>
    <cellStyle name="Normal 2 3 2 2 2 2 2 2 20 8" xfId="16730" xr:uid="{6EE83F7E-1567-4DCE-9F1E-A62E0BAA6BDD}"/>
    <cellStyle name="Normal 2 3 2 2 2 2 2 2 20 9" xfId="16731" xr:uid="{8708E0A6-1DDF-4BDE-BEF1-767D5C70AC30}"/>
    <cellStyle name="Normal 2 3 2 2 2 2 2 2 21" xfId="16732" xr:uid="{2F5C4514-97DE-402C-BEA0-6AED4CBFC303}"/>
    <cellStyle name="Normal 2 3 2 2 2 2 2 2 22" xfId="16733" xr:uid="{E863A9C3-92B3-424F-80ED-A9B173AB8418}"/>
    <cellStyle name="Normal 2 3 2 2 2 2 2 2 23" xfId="16734" xr:uid="{A86F822A-C827-4E23-94D4-AE90AE55A916}"/>
    <cellStyle name="Normal 2 3 2 2 2 2 2 2 24" xfId="16735" xr:uid="{ED971909-0EAF-4D41-9ABF-22E4B26E7E20}"/>
    <cellStyle name="Normal 2 3 2 2 2 2 2 2 25" xfId="16736" xr:uid="{62FAC19F-BA77-46E4-B987-EDF6A24D0A51}"/>
    <cellStyle name="Normal 2 3 2 2 2 2 2 2 26" xfId="16737" xr:uid="{C324BA50-DBE0-4CDB-9C30-3FF3599B2D46}"/>
    <cellStyle name="Normal 2 3 2 2 2 2 2 2 27" xfId="16738" xr:uid="{A3D4745F-1CB2-4601-84C3-ECAB0E6593A0}"/>
    <cellStyle name="Normal 2 3 2 2 2 2 2 2 28" xfId="16739" xr:uid="{EBC9D498-4B3D-4FB2-8CED-F8023496DFD3}"/>
    <cellStyle name="Normal 2 3 2 2 2 2 2 2 29" xfId="16740" xr:uid="{241D0E6D-F931-402B-8FB8-37DD1DEB2D82}"/>
    <cellStyle name="Normal 2 3 2 2 2 2 2 2 3" xfId="16741" xr:uid="{F9BAE803-44D4-45B8-AB77-BB895AA77B47}"/>
    <cellStyle name="Normal 2 3 2 2 2 2 2 2 3 10" xfId="16742" xr:uid="{E9C460B1-17FD-42D1-8F40-2C158CD7BC4A}"/>
    <cellStyle name="Normal 2 3 2 2 2 2 2 2 3 2" xfId="16743" xr:uid="{CA627BCD-CEB9-4DD0-BCE7-50BDC1C1EF6C}"/>
    <cellStyle name="Normal 2 3 2 2 2 2 2 2 3 2 2" xfId="16744" xr:uid="{73C90C42-B9FF-4034-8E0B-591188A33A8A}"/>
    <cellStyle name="Normal 2 3 2 2 2 2 2 2 3 2 2 2" xfId="16745" xr:uid="{1066D3CC-326C-46A9-8B64-41CDDD836F01}"/>
    <cellStyle name="Normal 2 3 2 2 2 2 2 2 3 2 2 2 2" xfId="16746" xr:uid="{7F36F8EC-E289-430B-AD58-4D0CC947854B}"/>
    <cellStyle name="Normal 2 3 2 2 2 2 2 2 3 2 2 2 3" xfId="16747" xr:uid="{27F4E472-AD3C-4F49-B7ED-3F126E488207}"/>
    <cellStyle name="Normal 2 3 2 2 2 2 2 2 3 2 2 2 4" xfId="16748" xr:uid="{BEDC9D59-18D5-418F-9310-4C266A8EF52C}"/>
    <cellStyle name="Normal 2 3 2 2 2 2 2 2 3 2 2 2 5" xfId="16749" xr:uid="{4326EAD2-07A4-4BB9-A5A0-C3E7963B0C5F}"/>
    <cellStyle name="Normal 2 3 2 2 2 2 2 2 3 2 2 2 6" xfId="16750" xr:uid="{630F5C36-1F29-4252-8688-DD215E7A126E}"/>
    <cellStyle name="Normal 2 3 2 2 2 2 2 2 3 2 2 3" xfId="16751" xr:uid="{53ECB632-B33C-4736-BAB1-A59F8D864B93}"/>
    <cellStyle name="Normal 2 3 2 2 2 2 2 2 3 2 2 4" xfId="16752" xr:uid="{9BA1731C-597D-46E3-AA0B-8E8D5EC0690F}"/>
    <cellStyle name="Normal 2 3 2 2 2 2 2 2 3 2 2 5" xfId="16753" xr:uid="{96B2194D-F003-4823-80C0-0C4926F45308}"/>
    <cellStyle name="Normal 2 3 2 2 2 2 2 2 3 2 2 6" xfId="16754" xr:uid="{53DAC7AF-4253-4724-ACC0-DCD796D4C0AB}"/>
    <cellStyle name="Normal 2 3 2 2 2 2 2 2 3 2 3" xfId="16755" xr:uid="{5FCE24CE-B3DD-438E-86DF-CA6A8A385BF2}"/>
    <cellStyle name="Normal 2 3 2 2 2 2 2 2 3 2 4" xfId="16756" xr:uid="{8AB17D0A-942D-48E4-A25A-22FA1B7458FE}"/>
    <cellStyle name="Normal 2 3 2 2 2 2 2 2 3 2 5" xfId="16757" xr:uid="{7FCDCE6A-2B50-491D-8E74-92E39D4A1087}"/>
    <cellStyle name="Normal 2 3 2 2 2 2 2 2 3 2 6" xfId="16758" xr:uid="{8F61111F-A71D-41BC-B86B-65B69E38BF6E}"/>
    <cellStyle name="Normal 2 3 2 2 2 2 2 2 3 2 7" xfId="16759" xr:uid="{92101224-4170-4ED1-8975-26697CDD401E}"/>
    <cellStyle name="Normal 2 3 2 2 2 2 2 2 3 2 8" xfId="16760" xr:uid="{EF3841AF-B8EA-4C5E-8370-EA4F9E7E3AA2}"/>
    <cellStyle name="Normal 2 3 2 2 2 2 2 2 3 2 9" xfId="16761" xr:uid="{B24FDC9A-4F58-4B66-B510-8193208B642F}"/>
    <cellStyle name="Normal 2 3 2 2 2 2 2 2 3 3" xfId="16762" xr:uid="{40D4B438-FE94-426A-B780-69B20D998263}"/>
    <cellStyle name="Normal 2 3 2 2 2 2 2 2 3 3 2" xfId="16763" xr:uid="{D248916E-D6F1-41BF-9758-25FF7BBB640F}"/>
    <cellStyle name="Normal 2 3 2 2 2 2 2 2 3 3 2 2" xfId="16764" xr:uid="{B05E4C83-60FA-494D-A356-F6C77CB576C4}"/>
    <cellStyle name="Normal 2 3 2 2 2 2 2 2 3 3 2 3" xfId="16765" xr:uid="{8A5B1AF1-0149-445F-B032-9E58A7F31C93}"/>
    <cellStyle name="Normal 2 3 2 2 2 2 2 2 3 3 2 4" xfId="16766" xr:uid="{2245838D-4711-4BAA-A28F-C1270102331B}"/>
    <cellStyle name="Normal 2 3 2 2 2 2 2 2 3 3 2 5" xfId="16767" xr:uid="{CC3DA723-954D-46B7-8ACD-FBA1ABF7A786}"/>
    <cellStyle name="Normal 2 3 2 2 2 2 2 2 3 3 2 6" xfId="16768" xr:uid="{FD164318-D224-4022-A67C-0F871D8A5874}"/>
    <cellStyle name="Normal 2 3 2 2 2 2 2 2 3 3 3" xfId="16769" xr:uid="{9E937CD7-0E11-4663-B75D-97F8DB74415C}"/>
    <cellStyle name="Normal 2 3 2 2 2 2 2 2 3 3 4" xfId="16770" xr:uid="{A35FC940-61AF-481D-8088-9251B6860060}"/>
    <cellStyle name="Normal 2 3 2 2 2 2 2 2 3 3 5" xfId="16771" xr:uid="{A556F52C-05BF-469E-9738-F07C2CB617A2}"/>
    <cellStyle name="Normal 2 3 2 2 2 2 2 2 3 3 6" xfId="16772" xr:uid="{1C9BCD40-D18E-4177-8D8A-AD6793347C90}"/>
    <cellStyle name="Normal 2 3 2 2 2 2 2 2 3 4" xfId="16773" xr:uid="{0A26D9A2-DDB3-41A9-BA2B-E19365F94E84}"/>
    <cellStyle name="Normal 2 3 2 2 2 2 2 2 3 5" xfId="16774" xr:uid="{74178E9A-CF28-44B6-9CD0-EBFDD83EC9A5}"/>
    <cellStyle name="Normal 2 3 2 2 2 2 2 2 3 6" xfId="16775" xr:uid="{A86F5B1F-BBE3-450B-B9A5-424414E1D354}"/>
    <cellStyle name="Normal 2 3 2 2 2 2 2 2 3 7" xfId="16776" xr:uid="{47D81100-F229-4B6F-BE80-DE74ED843667}"/>
    <cellStyle name="Normal 2 3 2 2 2 2 2 2 3 8" xfId="16777" xr:uid="{4A7A6BBD-1B99-4F51-9067-6DD083042281}"/>
    <cellStyle name="Normal 2 3 2 2 2 2 2 2 3 9" xfId="16778" xr:uid="{52257638-F089-46CB-9581-05B7F1AC2015}"/>
    <cellStyle name="Normal 2 3 2 2 2 2 2 2 30" xfId="16779" xr:uid="{25ADD42D-CF60-4770-9BFD-1478DEF4A1C8}"/>
    <cellStyle name="Normal 2 3 2 2 2 2 2 2 31" xfId="16780" xr:uid="{855D817D-47C2-43D4-B3F6-5C007D1C8FEE}"/>
    <cellStyle name="Normal 2 3 2 2 2 2 2 2 32" xfId="16781" xr:uid="{FC62B22D-CC9F-4170-A431-90D45D9F777C}"/>
    <cellStyle name="Normal 2 3 2 2 2 2 2 2 33" xfId="16782" xr:uid="{E70789EB-2C26-482F-B79D-F7C647A05C14}"/>
    <cellStyle name="Normal 2 3 2 2 2 2 2 2 34" xfId="16783" xr:uid="{121E52B3-3BB6-4522-A50D-B1E441C86F72}"/>
    <cellStyle name="Normal 2 3 2 2 2 2 2 2 35" xfId="16784" xr:uid="{ECA59101-C165-42BA-9FDC-4B3C65A2EB66}"/>
    <cellStyle name="Normal 2 3 2 2 2 2 2 2 36" xfId="16785" xr:uid="{2B661A0F-C1F1-4670-93CA-EE51499A1905}"/>
    <cellStyle name="Normal 2 3 2 2 2 2 2 2 37" xfId="16786" xr:uid="{157FB187-2C99-48CB-9035-7C7E4E71EA12}"/>
    <cellStyle name="Normal 2 3 2 2 2 2 2 2 38" xfId="16787" xr:uid="{C51719E6-23F6-4B9B-96CE-83F5BA72C2FA}"/>
    <cellStyle name="Normal 2 3 2 2 2 2 2 2 39" xfId="16788" xr:uid="{69E7828A-D876-475F-8D72-D9E7307B2012}"/>
    <cellStyle name="Normal 2 3 2 2 2 2 2 2 4" xfId="16789" xr:uid="{8FE43419-FC6B-4808-A359-8F994B556926}"/>
    <cellStyle name="Normal 2 3 2 2 2 2 2 2 4 2" xfId="16790" xr:uid="{0E148BC0-63FA-44CC-843C-F6C5710AA71B}"/>
    <cellStyle name="Normal 2 3 2 2 2 2 2 2 40" xfId="16791" xr:uid="{5DBE0044-961C-4061-B000-9D7297435205}"/>
    <cellStyle name="Normal 2 3 2 2 2 2 2 2 5" xfId="16792" xr:uid="{48AC6665-1DC4-496E-9F24-25129F5A5116}"/>
    <cellStyle name="Normal 2 3 2 2 2 2 2 2 5 2" xfId="16793" xr:uid="{E8A1C943-43FE-4A06-97CA-17AF92DC831E}"/>
    <cellStyle name="Normal 2 3 2 2 2 2 2 2 5 2 2" xfId="16794" xr:uid="{0E7933E0-1D7F-4DC1-B2B9-35064121AE2E}"/>
    <cellStyle name="Normal 2 3 2 2 2 2 2 2 5 2 3" xfId="16795" xr:uid="{06998306-4FCF-4F77-9164-1A1E41DD3FFB}"/>
    <cellStyle name="Normal 2 3 2 2 2 2 2 2 5 2 4" xfId="16796" xr:uid="{7541A20E-EEF7-47C5-8007-CF16F31CE61D}"/>
    <cellStyle name="Normal 2 3 2 2 2 2 2 2 5 2 5" xfId="16797" xr:uid="{8A6BE5A3-ED8F-4ACB-A9E0-E6FDE1FF44F8}"/>
    <cellStyle name="Normal 2 3 2 2 2 2 2 2 5 2 6" xfId="16798" xr:uid="{3F4A2691-5C59-4B52-BFEF-3A3D256E3485}"/>
    <cellStyle name="Normal 2 3 2 2 2 2 2 2 5 3" xfId="16799" xr:uid="{D0ECB3B8-130F-4D87-8FB4-A7220B0C1B06}"/>
    <cellStyle name="Normal 2 3 2 2 2 2 2 2 5 4" xfId="16800" xr:uid="{161FDC68-72A9-4E16-A7C3-01FE6A3FEB7D}"/>
    <cellStyle name="Normal 2 3 2 2 2 2 2 2 5 5" xfId="16801" xr:uid="{83759B14-3B2F-4295-8B35-8DB32AE18C2C}"/>
    <cellStyle name="Normal 2 3 2 2 2 2 2 2 5 6" xfId="16802" xr:uid="{1AA6071A-8594-4418-8AA0-6E247FD3DAEB}"/>
    <cellStyle name="Normal 2 3 2 2 2 2 2 2 5 7" xfId="16803" xr:uid="{C3E4365C-306D-49F7-8DC2-F51B3C93C4A9}"/>
    <cellStyle name="Normal 2 3 2 2 2 2 2 2 6" xfId="16804" xr:uid="{1527EBC1-B1CC-4679-8A6E-4F89AC1AECA1}"/>
    <cellStyle name="Normal 2 3 2 2 2 2 2 2 6 2" xfId="16805" xr:uid="{F57BF16D-5DF5-4E7A-95CA-92F592046093}"/>
    <cellStyle name="Normal 2 3 2 2 2 2 2 2 7" xfId="16806" xr:uid="{42FC6CF1-9B4C-4AFF-8ECB-E2FBF050E58B}"/>
    <cellStyle name="Normal 2 3 2 2 2 2 2 2 7 2" xfId="16807" xr:uid="{8F919C91-B631-44A6-BCB5-362D51057DBB}"/>
    <cellStyle name="Normal 2 3 2 2 2 2 2 2 8" xfId="16808" xr:uid="{4A025A85-5FB1-48D6-85BC-2886D933F47A}"/>
    <cellStyle name="Normal 2 3 2 2 2 2 2 2 8 2" xfId="16809" xr:uid="{6B896600-2431-4D71-9876-83A7DCCF8A83}"/>
    <cellStyle name="Normal 2 3 2 2 2 2 2 2 9" xfId="16810" xr:uid="{1B26D85F-C0F0-454E-99CC-169C42A8C98C}"/>
    <cellStyle name="Normal 2 3 2 2 2 2 2 2 9 2" xfId="16811" xr:uid="{5A94E63A-1D42-4714-9EF6-3148395BE209}"/>
    <cellStyle name="Normal 2 3 2 2 2 2 2 20" xfId="16812" xr:uid="{E2D4340B-E9CB-4348-B23D-B428F10A1161}"/>
    <cellStyle name="Normal 2 3 2 2 2 2 2 20 10" xfId="16813" xr:uid="{607CBD2F-2B72-4AA8-AAC2-44CB1175C960}"/>
    <cellStyle name="Normal 2 3 2 2 2 2 2 20 11" xfId="16814" xr:uid="{FE45C6DE-A8B2-4C95-9A47-3510C382B503}"/>
    <cellStyle name="Normal 2 3 2 2 2 2 2 20 12" xfId="16815" xr:uid="{E52CAFFA-64FE-4327-8955-749D0CCBDAD0}"/>
    <cellStyle name="Normal 2 3 2 2 2 2 2 20 13" xfId="16816" xr:uid="{120D93A0-95CD-46B8-997B-C104C351A3D4}"/>
    <cellStyle name="Normal 2 3 2 2 2 2 2 20 14" xfId="16817" xr:uid="{4B5DF9D3-83BF-4180-B569-6DE2E0085274}"/>
    <cellStyle name="Normal 2 3 2 2 2 2 2 20 15" xfId="16818" xr:uid="{54EFD562-921C-414C-9383-776EFEE2CA94}"/>
    <cellStyle name="Normal 2 3 2 2 2 2 2 20 16" xfId="16819" xr:uid="{97719338-DE03-4D58-83F4-CA0700657D77}"/>
    <cellStyle name="Normal 2 3 2 2 2 2 2 20 2" xfId="16820" xr:uid="{7D16B7D2-CD9A-40E9-9B1E-E3AD7B5DE900}"/>
    <cellStyle name="Normal 2 3 2 2 2 2 2 20 3" xfId="16821" xr:uid="{3361ABE9-9FF5-4B40-A39B-F2FD69B2F918}"/>
    <cellStyle name="Normal 2 3 2 2 2 2 2 20 4" xfId="16822" xr:uid="{2BAED746-8491-4ABA-8F3D-73CEC72D27B3}"/>
    <cellStyle name="Normal 2 3 2 2 2 2 2 20 5" xfId="16823" xr:uid="{428B4A23-ED8B-448C-8418-F56C4C0D5AAA}"/>
    <cellStyle name="Normal 2 3 2 2 2 2 2 20 6" xfId="16824" xr:uid="{8F8B861D-0775-4F86-829E-1868251F9622}"/>
    <cellStyle name="Normal 2 3 2 2 2 2 2 20 7" xfId="16825" xr:uid="{D9B52E7D-D093-4134-9636-5CEA473BA85F}"/>
    <cellStyle name="Normal 2 3 2 2 2 2 2 20 8" xfId="16826" xr:uid="{513481CB-26B9-44E1-8430-AD9994D0C48C}"/>
    <cellStyle name="Normal 2 3 2 2 2 2 2 20 9" xfId="16827" xr:uid="{A79FFDB9-AC10-4BF8-9D11-C8BCD830EC0A}"/>
    <cellStyle name="Normal 2 3 2 2 2 2 2 21" xfId="16828" xr:uid="{7A33E775-EF6B-48B4-AFAD-8C596B5E8CAD}"/>
    <cellStyle name="Normal 2 3 2 2 2 2 2 22" xfId="16829" xr:uid="{1D424444-8475-4218-893A-812A9A060D07}"/>
    <cellStyle name="Normal 2 3 2 2 2 2 2 23" xfId="16830" xr:uid="{1391274C-DDEF-48C8-BCC2-05B594D5D969}"/>
    <cellStyle name="Normal 2 3 2 2 2 2 2 24" xfId="16831" xr:uid="{A970A776-BEE2-472C-8DA6-14685A9BBC3D}"/>
    <cellStyle name="Normal 2 3 2 2 2 2 2 25" xfId="16832" xr:uid="{DBD7E1C1-5F26-46F0-87E8-BF0B2D20BE38}"/>
    <cellStyle name="Normal 2 3 2 2 2 2 2 26" xfId="16833" xr:uid="{558E1846-3A22-4B0B-89C4-1E7E3462378F}"/>
    <cellStyle name="Normal 2 3 2 2 2 2 2 27" xfId="16834" xr:uid="{2C15C26A-E220-49BF-9711-2AFAE6595998}"/>
    <cellStyle name="Normal 2 3 2 2 2 2 2 27 2" xfId="16835" xr:uid="{CF5B0BBF-54E0-44E4-A93D-4C646CD61CBE}"/>
    <cellStyle name="Normal 2 3 2 2 2 2 2 27 3" xfId="16836" xr:uid="{3612A678-D8C9-4998-971E-50DE02D25464}"/>
    <cellStyle name="Normal 2 3 2 2 2 2 2 27 4" xfId="16837" xr:uid="{83E3CA95-7383-428B-9640-683E4EC60574}"/>
    <cellStyle name="Normal 2 3 2 2 2 2 2 27 5" xfId="16838" xr:uid="{1F71B502-AE9E-4E40-99FF-6CC53086765E}"/>
    <cellStyle name="Normal 2 3 2 2 2 2 2 28" xfId="16839" xr:uid="{43102156-5C89-424A-9256-4DDC08EB74E5}"/>
    <cellStyle name="Normal 2 3 2 2 2 2 2 29" xfId="16840" xr:uid="{6F51B119-EA76-497C-B302-D0B3F119C103}"/>
    <cellStyle name="Normal 2 3 2 2 2 2 2 3" xfId="16841" xr:uid="{33DB0D0C-F8CC-44FA-B16C-50B978782A11}"/>
    <cellStyle name="Normal 2 3 2 2 2 2 2 3 2" xfId="16842" xr:uid="{FB99659F-CDD8-4880-8931-7B2D28020F02}"/>
    <cellStyle name="Normal 2 3 2 2 2 2 2 30" xfId="16843" xr:uid="{4F348FB1-CDFE-4586-8DB8-3F35E582C585}"/>
    <cellStyle name="Normal 2 3 2 2 2 2 2 31" xfId="16844" xr:uid="{8F695507-0F31-4203-AB55-207996E80BB8}"/>
    <cellStyle name="Normal 2 3 2 2 2 2 2 32" xfId="16845" xr:uid="{71CB6186-100F-40E7-B16A-284A503BD2B3}"/>
    <cellStyle name="Normal 2 3 2 2 2 2 2 33" xfId="16846" xr:uid="{B6712A9E-B1EF-45E7-9FD9-553B6356AEF1}"/>
    <cellStyle name="Normal 2 3 2 2 2 2 2 34" xfId="16847" xr:uid="{CFB03420-5F79-4294-8CE0-226E4FC72697}"/>
    <cellStyle name="Normal 2 3 2 2 2 2 2 35" xfId="16848" xr:uid="{A6DEE553-9AB2-4C66-B6AC-F5D5A7DD3228}"/>
    <cellStyle name="Normal 2 3 2 2 2 2 2 36" xfId="16849" xr:uid="{B4E133BA-0F76-4965-A632-023DBED62AE0}"/>
    <cellStyle name="Normal 2 3 2 2 2 2 2 37" xfId="16850" xr:uid="{975955FC-0C55-4DE2-BAF1-59DC7842E4B8}"/>
    <cellStyle name="Normal 2 3 2 2 2 2 2 38" xfId="16851" xr:uid="{2C7E997B-CB0A-45F1-9672-ADEC2BDCB997}"/>
    <cellStyle name="Normal 2 3 2 2 2 2 2 39" xfId="16852" xr:uid="{3C40A46C-6AF6-4F0F-9D34-3F0606AE0EC7}"/>
    <cellStyle name="Normal 2 3 2 2 2 2 2 4" xfId="16853" xr:uid="{56B0D94D-3CDC-429A-BD01-99EFE3DB0F28}"/>
    <cellStyle name="Normal 2 3 2 2 2 2 2 4 2" xfId="16854" xr:uid="{BC35DBC6-C495-4AD3-B570-D2BE98FE7F99}"/>
    <cellStyle name="Normal 2 3 2 2 2 2 2 40" xfId="16855" xr:uid="{5F639541-C0E9-4C36-A612-99110DCA6120}"/>
    <cellStyle name="Normal 2 3 2 2 2 2 2 5" xfId="16856" xr:uid="{94064669-8710-4D64-B4F3-12B9A13AADD1}"/>
    <cellStyle name="Normal 2 3 2 2 2 2 2 5 10" xfId="16857" xr:uid="{1C0204C1-206E-4BCF-9901-0C7B5D364867}"/>
    <cellStyle name="Normal 2 3 2 2 2 2 2 5 2" xfId="16858" xr:uid="{7F836BA2-CDD5-47E7-A577-10840105A25E}"/>
    <cellStyle name="Normal 2 3 2 2 2 2 2 5 2 2" xfId="16859" xr:uid="{78959421-A310-4F6A-9F5A-47B292208764}"/>
    <cellStyle name="Normal 2 3 2 2 2 2 2 5 2 2 2" xfId="16860" xr:uid="{830F6966-F3D2-4446-9B64-619EAE67CF96}"/>
    <cellStyle name="Normal 2 3 2 2 2 2 2 5 2 2 2 2" xfId="16861" xr:uid="{BB51F01D-F9A6-4140-A8A8-8C80E9FE3E09}"/>
    <cellStyle name="Normal 2 3 2 2 2 2 2 5 2 2 2 3" xfId="16862" xr:uid="{D03691A4-5921-428E-BF7A-92017474F4AD}"/>
    <cellStyle name="Normal 2 3 2 2 2 2 2 5 2 2 2 4" xfId="16863" xr:uid="{11B69817-6DB4-4018-8819-646D2E669753}"/>
    <cellStyle name="Normal 2 3 2 2 2 2 2 5 2 2 2 5" xfId="16864" xr:uid="{741B98DE-4F07-44D9-B7D1-41740E36F8A0}"/>
    <cellStyle name="Normal 2 3 2 2 2 2 2 5 2 2 2 6" xfId="16865" xr:uid="{520A5972-625A-45BB-9158-1F4BD005F79B}"/>
    <cellStyle name="Normal 2 3 2 2 2 2 2 5 2 2 3" xfId="16866" xr:uid="{0E83229C-3EC9-4D86-A9CC-7A11D11AFEE5}"/>
    <cellStyle name="Normal 2 3 2 2 2 2 2 5 2 2 4" xfId="16867" xr:uid="{D039F393-307E-4654-8B57-F8A5F8A4C6C0}"/>
    <cellStyle name="Normal 2 3 2 2 2 2 2 5 2 2 5" xfId="16868" xr:uid="{9E4B512A-5926-415E-9839-C04B499D7AE8}"/>
    <cellStyle name="Normal 2 3 2 2 2 2 2 5 2 2 6" xfId="16869" xr:uid="{6FC327D2-2992-4185-833A-0F79EEC16677}"/>
    <cellStyle name="Normal 2 3 2 2 2 2 2 5 2 3" xfId="16870" xr:uid="{F7872A01-42B9-47CF-B00B-543BDF46EED4}"/>
    <cellStyle name="Normal 2 3 2 2 2 2 2 5 2 4" xfId="16871" xr:uid="{A74B9F07-5411-4ABC-AE47-CF05199E3106}"/>
    <cellStyle name="Normal 2 3 2 2 2 2 2 5 2 5" xfId="16872" xr:uid="{FBABD3D2-7764-419E-907E-80B454EB0921}"/>
    <cellStyle name="Normal 2 3 2 2 2 2 2 5 2 6" xfId="16873" xr:uid="{8B8C3472-AC57-4C62-9F5E-18D88C882E4B}"/>
    <cellStyle name="Normal 2 3 2 2 2 2 2 5 2 7" xfId="16874" xr:uid="{74BB41C8-F6B0-4106-B94D-9E49D8FAD466}"/>
    <cellStyle name="Normal 2 3 2 2 2 2 2 5 2 8" xfId="16875" xr:uid="{2167D222-B366-4D7C-A0F7-4CFFCB73A7BC}"/>
    <cellStyle name="Normal 2 3 2 2 2 2 2 5 2 9" xfId="16876" xr:uid="{4D9A1A89-A7FB-40BB-B43E-92A4AA4372F6}"/>
    <cellStyle name="Normal 2 3 2 2 2 2 2 5 3" xfId="16877" xr:uid="{D9114CAF-B6F9-4B42-987D-136223E06840}"/>
    <cellStyle name="Normal 2 3 2 2 2 2 2 5 3 2" xfId="16878" xr:uid="{F07DA7D4-F01D-4BE0-9D8B-8DC312E77895}"/>
    <cellStyle name="Normal 2 3 2 2 2 2 2 5 3 2 2" xfId="16879" xr:uid="{3BC964F1-F7BE-4414-8758-A393AA4980FF}"/>
    <cellStyle name="Normal 2 3 2 2 2 2 2 5 3 2 3" xfId="16880" xr:uid="{4E4A8457-F31B-46FE-B6E3-AE7DC76FAAD6}"/>
    <cellStyle name="Normal 2 3 2 2 2 2 2 5 3 2 4" xfId="16881" xr:uid="{C4E66880-1DFF-4EC7-AF08-00B59C66982D}"/>
    <cellStyle name="Normal 2 3 2 2 2 2 2 5 3 2 5" xfId="16882" xr:uid="{4D6CD6C1-3771-4EBE-AD2D-090D25C4C549}"/>
    <cellStyle name="Normal 2 3 2 2 2 2 2 5 3 2 6" xfId="16883" xr:uid="{D55E3ECD-D248-4D5B-84E5-A44100146AB5}"/>
    <cellStyle name="Normal 2 3 2 2 2 2 2 5 3 3" xfId="16884" xr:uid="{3A1BC842-BB4D-4042-94E5-C60BDBE58F2F}"/>
    <cellStyle name="Normal 2 3 2 2 2 2 2 5 3 4" xfId="16885" xr:uid="{80E25FF8-7972-48E6-BA6E-65B3173B3833}"/>
    <cellStyle name="Normal 2 3 2 2 2 2 2 5 3 5" xfId="16886" xr:uid="{CA807FAB-1D67-4794-8F4D-E9EE8A7555E8}"/>
    <cellStyle name="Normal 2 3 2 2 2 2 2 5 3 6" xfId="16887" xr:uid="{1FB44ABB-8426-4E22-BA64-36C59F959750}"/>
    <cellStyle name="Normal 2 3 2 2 2 2 2 5 4" xfId="16888" xr:uid="{7CA3DA60-35E1-414E-BFF6-CDDA8AAF5B7F}"/>
    <cellStyle name="Normal 2 3 2 2 2 2 2 5 5" xfId="16889" xr:uid="{3295C6E8-2AE7-4FE3-B214-6B6DC85D3E63}"/>
    <cellStyle name="Normal 2 3 2 2 2 2 2 5 6" xfId="16890" xr:uid="{582F8213-7134-474C-884F-6231C9BC198A}"/>
    <cellStyle name="Normal 2 3 2 2 2 2 2 5 7" xfId="16891" xr:uid="{D4B5FF75-90DF-4B22-953B-6F365BAD15FA}"/>
    <cellStyle name="Normal 2 3 2 2 2 2 2 5 8" xfId="16892" xr:uid="{8C3058E5-3BB8-4664-B01B-B8B03015A643}"/>
    <cellStyle name="Normal 2 3 2 2 2 2 2 5 9" xfId="16893" xr:uid="{8AC00E9A-2440-4716-8B44-D99263BA94D0}"/>
    <cellStyle name="Normal 2 3 2 2 2 2 2 6" xfId="16894" xr:uid="{CC7F5A7E-C9DD-446D-8202-569F583BD1DC}"/>
    <cellStyle name="Normal 2 3 2 2 2 2 2 6 2" xfId="16895" xr:uid="{F30A3459-3394-49AF-8333-B7D539E63718}"/>
    <cellStyle name="Normal 2 3 2 2 2 2 2 7" xfId="16896" xr:uid="{A8123B4E-0996-4AD7-8B10-B35FF1BF28B1}"/>
    <cellStyle name="Normal 2 3 2 2 2 2 2 7 2" xfId="16897" xr:uid="{C294A4D1-F777-4FF9-AC18-BB5543864F36}"/>
    <cellStyle name="Normal 2 3 2 2 2 2 2 8" xfId="16898" xr:uid="{4F47104C-4302-4481-8550-449C9805F030}"/>
    <cellStyle name="Normal 2 3 2 2 2 2 2 8 2" xfId="16899" xr:uid="{F437C9DB-80F5-4DD2-93E7-1DB1658ABB95}"/>
    <cellStyle name="Normal 2 3 2 2 2 2 2 8 2 2" xfId="16900" xr:uid="{FBD1B381-DADB-4BA6-B35D-B5D25FD1AB5E}"/>
    <cellStyle name="Normal 2 3 2 2 2 2 2 8 2 3" xfId="16901" xr:uid="{5A7561D5-B861-40FB-A671-40467946A77E}"/>
    <cellStyle name="Normal 2 3 2 2 2 2 2 8 2 4" xfId="16902" xr:uid="{04B444BA-3A77-4A97-ADEF-97DC254BE15E}"/>
    <cellStyle name="Normal 2 3 2 2 2 2 2 8 2 5" xfId="16903" xr:uid="{00139E6B-F2B3-4CE1-BAB1-A7EE6FF262CA}"/>
    <cellStyle name="Normal 2 3 2 2 2 2 2 8 2 6" xfId="16904" xr:uid="{E92D1800-598B-4B23-BFDC-7D5DD3B3BCA2}"/>
    <cellStyle name="Normal 2 3 2 2 2 2 2 8 3" xfId="16905" xr:uid="{940BB72D-3F85-4297-B91F-FE77F1B0B347}"/>
    <cellStyle name="Normal 2 3 2 2 2 2 2 8 4" xfId="16906" xr:uid="{377AA1A3-F3AD-4790-A236-804D512293A7}"/>
    <cellStyle name="Normal 2 3 2 2 2 2 2 8 5" xfId="16907" xr:uid="{29E3B060-C913-4BE4-BF83-9CFD4AE2977B}"/>
    <cellStyle name="Normal 2 3 2 2 2 2 2 8 6" xfId="16908" xr:uid="{9A652C09-03E7-4AF7-9C33-5E4E1539600C}"/>
    <cellStyle name="Normal 2 3 2 2 2 2 2 8 7" xfId="16909" xr:uid="{01E29DA6-99DA-414C-8FEE-F35188620A83}"/>
    <cellStyle name="Normal 2 3 2 2 2 2 2 9" xfId="16910" xr:uid="{3118ADA8-7E5A-4AD5-91C3-4FF4CBF9BAEE}"/>
    <cellStyle name="Normal 2 3 2 2 2 2 2 9 2" xfId="16911" xr:uid="{8381A707-182E-4A7E-85A3-A1B2BFABBF5B}"/>
    <cellStyle name="Normal 2 3 2 2 2 2 20" xfId="16912" xr:uid="{F0253CA4-9C62-4C09-8DB6-942FEA29D74E}"/>
    <cellStyle name="Normal 2 3 2 2 2 2 21" xfId="16913" xr:uid="{61F5F6EE-7801-45A7-B8C1-3E879127BC00}"/>
    <cellStyle name="Normal 2 3 2 2 2 2 22" xfId="16914" xr:uid="{1646692B-DE8F-4A49-8F31-A9BCDA794A92}"/>
    <cellStyle name="Normal 2 3 2 2 2 2 23" xfId="16915" xr:uid="{FC3A4B27-E99A-4002-AB9E-0A28977F5CA0}"/>
    <cellStyle name="Normal 2 3 2 2 2 2 24" xfId="16916" xr:uid="{3B934FA6-2997-4592-AB3F-E3BE41CBE253}"/>
    <cellStyle name="Normal 2 3 2 2 2 2 25" xfId="16917" xr:uid="{16057BA6-947A-4CCD-8A24-DAFA1D4A6180}"/>
    <cellStyle name="Normal 2 3 2 2 2 2 26" xfId="16918" xr:uid="{CAEEF584-69F5-4105-83E7-FBC12D883C93}"/>
    <cellStyle name="Normal 2 3 2 2 2 2 27" xfId="16919" xr:uid="{68AA7261-19D7-47A0-99A3-74554296EE12}"/>
    <cellStyle name="Normal 2 3 2 2 2 2 28" xfId="16920" xr:uid="{6239A247-A4C5-49B7-B47B-8F2A2E4C6EFB}"/>
    <cellStyle name="Normal 2 3 2 2 2 2 28 10" xfId="16921" xr:uid="{2B0152CC-015C-4F85-96CC-198278B8D4EE}"/>
    <cellStyle name="Normal 2 3 2 2 2 2 28 11" xfId="16922" xr:uid="{B4BC60E7-A322-4CAE-8033-D04B4962CE20}"/>
    <cellStyle name="Normal 2 3 2 2 2 2 28 12" xfId="16923" xr:uid="{E0BB48B1-B54B-4F03-8961-08985E556B23}"/>
    <cellStyle name="Normal 2 3 2 2 2 2 28 13" xfId="16924" xr:uid="{C42F5044-011F-40A3-8AEB-CC4046BEC82A}"/>
    <cellStyle name="Normal 2 3 2 2 2 2 28 14" xfId="16925" xr:uid="{195E3BE8-9C97-4D3E-BBDC-09F874C4C763}"/>
    <cellStyle name="Normal 2 3 2 2 2 2 28 15" xfId="16926" xr:uid="{20DD9798-0BA5-4707-910A-209D35B33721}"/>
    <cellStyle name="Normal 2 3 2 2 2 2 28 16" xfId="16927" xr:uid="{209AFE6A-58B6-4CE0-AE08-A48902EB057C}"/>
    <cellStyle name="Normal 2 3 2 2 2 2 28 2" xfId="16928" xr:uid="{C5D84D03-02E2-4281-ADB4-E8DFBCB94ADA}"/>
    <cellStyle name="Normal 2 3 2 2 2 2 28 3" xfId="16929" xr:uid="{41797FA0-1985-4C7B-A5AB-85305CCED11F}"/>
    <cellStyle name="Normal 2 3 2 2 2 2 28 4" xfId="16930" xr:uid="{776E0EB5-9DA5-452C-A007-CECA865F9BE4}"/>
    <cellStyle name="Normal 2 3 2 2 2 2 28 5" xfId="16931" xr:uid="{72596A29-09FF-4C8F-8082-80F4F8240589}"/>
    <cellStyle name="Normal 2 3 2 2 2 2 28 6" xfId="16932" xr:uid="{5B2BB65E-4FBD-4A0F-BAC4-A9C056B6149B}"/>
    <cellStyle name="Normal 2 3 2 2 2 2 28 7" xfId="16933" xr:uid="{4F3195F0-A01B-400A-A06B-4C6E6E60DEFD}"/>
    <cellStyle name="Normal 2 3 2 2 2 2 28 8" xfId="16934" xr:uid="{10865824-AAB0-4AB9-8913-A41F817678FD}"/>
    <cellStyle name="Normal 2 3 2 2 2 2 28 9" xfId="16935" xr:uid="{D4CC20EE-B8B0-46A5-BBE7-2EFB6B4269D3}"/>
    <cellStyle name="Normal 2 3 2 2 2 2 29" xfId="16936" xr:uid="{B36B8423-BF76-4038-BE58-89258C62CAD8}"/>
    <cellStyle name="Normal 2 3 2 2 2 2 3" xfId="16937" xr:uid="{08A92F46-199D-4F0D-8592-4AA42498BD04}"/>
    <cellStyle name="Normal 2 3 2 2 2 2 3 10" xfId="16938" xr:uid="{4F23CA0A-69D8-436D-AE1C-3DEAB3AECD38}"/>
    <cellStyle name="Normal 2 3 2 2 2 2 3 11" xfId="16939" xr:uid="{65768BFA-D5C8-4906-8D76-BDD75B2B6F3F}"/>
    <cellStyle name="Normal 2 3 2 2 2 2 3 12" xfId="16940" xr:uid="{4167D3F6-800C-406D-9B2D-44FCC46415FD}"/>
    <cellStyle name="Normal 2 3 2 2 2 2 3 13" xfId="16941" xr:uid="{01AC8581-71CA-45DF-8C2D-F5B82554EF01}"/>
    <cellStyle name="Normal 2 3 2 2 2 2 3 2" xfId="16942" xr:uid="{6070DA74-FD6D-475B-9790-5CB7EF6D4D1C}"/>
    <cellStyle name="Normal 2 3 2 2 2 2 3 2 10" xfId="16943" xr:uid="{E8ECE84D-B31A-4C6F-AA94-4E6E3B753761}"/>
    <cellStyle name="Normal 2 3 2 2 2 2 3 2 11" xfId="16944" xr:uid="{7AF6BF1E-1531-4E46-8F95-5111CCC3C3D8}"/>
    <cellStyle name="Normal 2 3 2 2 2 2 3 2 12" xfId="16945" xr:uid="{5DCB80BA-9149-4046-9103-1EEDAC9F389B}"/>
    <cellStyle name="Normal 2 3 2 2 2 2 3 2 2" xfId="16946" xr:uid="{1E139B98-248C-4940-8D24-6B4C73196069}"/>
    <cellStyle name="Normal 2 3 2 2 2 2 3 2 2 2" xfId="16947" xr:uid="{CEE42517-ECAA-4A09-B352-89C96A71FF58}"/>
    <cellStyle name="Normal 2 3 2 2 2 2 3 2 2 2 2" xfId="16948" xr:uid="{F2FA4619-CE1A-490E-91E6-061BFE6380F4}"/>
    <cellStyle name="Normal 2 3 2 2 2 2 3 2 2 2 2 2" xfId="16949" xr:uid="{F104311E-058B-4EC7-9FAA-BAB1BF6B931D}"/>
    <cellStyle name="Normal 2 3 2 2 2 2 3 2 2 2 2 2 2" xfId="16950" xr:uid="{47801B87-7218-4637-91AE-1E3E6220B33C}"/>
    <cellStyle name="Normal 2 3 2 2 2 2 3 2 2 2 2 2 3" xfId="16951" xr:uid="{C867F6EA-9CC1-4DC9-82AA-23B836462ECA}"/>
    <cellStyle name="Normal 2 3 2 2 2 2 3 2 2 2 2 2 4" xfId="16952" xr:uid="{0E936E9D-58EA-4038-831D-D28122FDA1E8}"/>
    <cellStyle name="Normal 2 3 2 2 2 2 3 2 2 2 2 2 5" xfId="16953" xr:uid="{98C86485-7922-44D0-981B-7718F2009751}"/>
    <cellStyle name="Normal 2 3 2 2 2 2 3 2 2 2 2 2 6" xfId="16954" xr:uid="{6D462F97-841E-4620-A999-69EC47A9B0F2}"/>
    <cellStyle name="Normal 2 3 2 2 2 2 3 2 2 2 2 3" xfId="16955" xr:uid="{BEAC1A01-151E-4349-8729-9016581E737F}"/>
    <cellStyle name="Normal 2 3 2 2 2 2 3 2 2 2 2 4" xfId="16956" xr:uid="{94E47C83-BCA2-4781-8851-4A1396508D53}"/>
    <cellStyle name="Normal 2 3 2 2 2 2 3 2 2 2 2 5" xfId="16957" xr:uid="{FD593D0B-F6B1-473F-BACA-2EE0AC1BA315}"/>
    <cellStyle name="Normal 2 3 2 2 2 2 3 2 2 2 2 6" xfId="16958" xr:uid="{E94EE3ED-5D8E-44AB-B933-7DED257318E1}"/>
    <cellStyle name="Normal 2 3 2 2 2 2 3 2 2 2 3" xfId="16959" xr:uid="{C910560C-56C9-40FC-A87C-ED677ED520FF}"/>
    <cellStyle name="Normal 2 3 2 2 2 2 3 2 2 2 4" xfId="16960" xr:uid="{D6E6AC3C-B99A-4C1F-9FF1-117C3EED351D}"/>
    <cellStyle name="Normal 2 3 2 2 2 2 3 2 2 2 5" xfId="16961" xr:uid="{545F1557-4C94-42CA-BCA7-CDBD99C7DC75}"/>
    <cellStyle name="Normal 2 3 2 2 2 2 3 2 2 2 6" xfId="16962" xr:uid="{56A94490-AA5B-4F78-B700-E3EBFD3984A7}"/>
    <cellStyle name="Normal 2 3 2 2 2 2 3 2 2 2 7" xfId="16963" xr:uid="{A56C4A3C-D0A1-4C97-ABB8-C7A54FAE4132}"/>
    <cellStyle name="Normal 2 3 2 2 2 2 3 2 2 2 8" xfId="16964" xr:uid="{03A41621-FE9B-490F-9990-FCCA4F39B66D}"/>
    <cellStyle name="Normal 2 3 2 2 2 2 3 2 2 2 9" xfId="16965" xr:uid="{3866F9D6-F4BB-45B5-B3F3-0EE792D63DCA}"/>
    <cellStyle name="Normal 2 3 2 2 2 2 3 2 2 3" xfId="16966" xr:uid="{E96D3F58-3D9B-4F33-927F-B4FCC86FA35B}"/>
    <cellStyle name="Normal 2 3 2 2 2 2 3 2 2 3 2" xfId="16967" xr:uid="{0F82513E-DB06-4CEE-893B-A21D94AC43D4}"/>
    <cellStyle name="Normal 2 3 2 2 2 2 3 2 2 3 2 2" xfId="16968" xr:uid="{E9EFDBA4-8376-4701-A131-6AB00E48C914}"/>
    <cellStyle name="Normal 2 3 2 2 2 2 3 2 2 3 2 3" xfId="16969" xr:uid="{3E0AEB24-0364-4B4A-94F7-D392B98244DC}"/>
    <cellStyle name="Normal 2 3 2 2 2 2 3 2 2 3 2 4" xfId="16970" xr:uid="{33EA3A1B-3DB4-48A7-AF7F-3206CA635136}"/>
    <cellStyle name="Normal 2 3 2 2 2 2 3 2 2 3 2 5" xfId="16971" xr:uid="{48104294-EEC9-4BED-83EF-971C1A4D538D}"/>
    <cellStyle name="Normal 2 3 2 2 2 2 3 2 2 3 2 6" xfId="16972" xr:uid="{BA802F71-E488-459D-8EB0-69E5738A0EAD}"/>
    <cellStyle name="Normal 2 3 2 2 2 2 3 2 2 3 3" xfId="16973" xr:uid="{60642663-DDC2-4FFC-BEE5-9E82AE1AD1F3}"/>
    <cellStyle name="Normal 2 3 2 2 2 2 3 2 2 3 4" xfId="16974" xr:uid="{83B7AAB2-2530-4570-8BBF-052395CC4FD5}"/>
    <cellStyle name="Normal 2 3 2 2 2 2 3 2 2 3 5" xfId="16975" xr:uid="{B3BCA272-C2F9-45E4-BA9C-65F4D693DF56}"/>
    <cellStyle name="Normal 2 3 2 2 2 2 3 2 2 3 6" xfId="16976" xr:uid="{1DCADAB5-2BAC-4ECB-9863-99B5C207E805}"/>
    <cellStyle name="Normal 2 3 2 2 2 2 3 2 2 4" xfId="16977" xr:uid="{093D2533-A26A-4D7B-B57D-38C5974B80D8}"/>
    <cellStyle name="Normal 2 3 2 2 2 2 3 2 2 5" xfId="16978" xr:uid="{1B960EE1-E748-4AB3-9FAE-55C442F8B99F}"/>
    <cellStyle name="Normal 2 3 2 2 2 2 3 2 2 6" xfId="16979" xr:uid="{6D01EDD3-565C-42E4-98F4-1BC745A5D0EA}"/>
    <cellStyle name="Normal 2 3 2 2 2 2 3 2 2 7" xfId="16980" xr:uid="{0CF19923-B08F-4B34-AECC-F67B598FC55A}"/>
    <cellStyle name="Normal 2 3 2 2 2 2 3 2 2 8" xfId="16981" xr:uid="{C7DC8067-9C5B-46A2-9F61-96E409FC2B3D}"/>
    <cellStyle name="Normal 2 3 2 2 2 2 3 2 2 9" xfId="16982" xr:uid="{4A801C58-8AB9-40C0-88FC-FB8F419A92B7}"/>
    <cellStyle name="Normal 2 3 2 2 2 2 3 2 3" xfId="16983" xr:uid="{3F44BEAC-E6B1-473E-BD51-60FEB9B845E2}"/>
    <cellStyle name="Normal 2 3 2 2 2 2 3 2 4" xfId="16984" xr:uid="{76FFF7A1-6FD8-41F8-BB94-16CE8C5F2553}"/>
    <cellStyle name="Normal 2 3 2 2 2 2 3 2 5" xfId="16985" xr:uid="{771E92A7-247C-4B04-BE54-210983915DF6}"/>
    <cellStyle name="Normal 2 3 2 2 2 2 3 2 5 2" xfId="16986" xr:uid="{5086987A-A488-4DDE-A9A0-7D917D80B82A}"/>
    <cellStyle name="Normal 2 3 2 2 2 2 3 2 5 2 2" xfId="16987" xr:uid="{07CCBDD0-7933-48E5-A4B4-95F641D48D65}"/>
    <cellStyle name="Normal 2 3 2 2 2 2 3 2 5 2 3" xfId="16988" xr:uid="{4B113656-F6DB-490A-93F8-BC63CBD517C4}"/>
    <cellStyle name="Normal 2 3 2 2 2 2 3 2 5 2 4" xfId="16989" xr:uid="{D3B1121F-CF63-40D8-BF48-4E1AA3C32BDD}"/>
    <cellStyle name="Normal 2 3 2 2 2 2 3 2 5 2 5" xfId="16990" xr:uid="{62C79B69-898A-4BB3-BB75-B39386EAFE96}"/>
    <cellStyle name="Normal 2 3 2 2 2 2 3 2 5 2 6" xfId="16991" xr:uid="{E18A2814-A30E-49CE-B106-B73D694C9954}"/>
    <cellStyle name="Normal 2 3 2 2 2 2 3 2 5 3" xfId="16992" xr:uid="{CA0BBA8F-E778-431D-B1C2-4DF7629C6144}"/>
    <cellStyle name="Normal 2 3 2 2 2 2 3 2 5 4" xfId="16993" xr:uid="{69D49CD2-1EC2-4679-A634-C27667DCBEF5}"/>
    <cellStyle name="Normal 2 3 2 2 2 2 3 2 5 5" xfId="16994" xr:uid="{1D2A7AE4-8573-4280-A369-49CE937B994F}"/>
    <cellStyle name="Normal 2 3 2 2 2 2 3 2 5 6" xfId="16995" xr:uid="{F392CF97-7B0B-4B5D-AE49-54D60E9628FB}"/>
    <cellStyle name="Normal 2 3 2 2 2 2 3 2 6" xfId="16996" xr:uid="{0E74BA17-2D53-4B60-97C3-BE5AC8E0E03B}"/>
    <cellStyle name="Normal 2 3 2 2 2 2 3 2 7" xfId="16997" xr:uid="{F202A978-4376-41CE-A4EE-37C9672B7101}"/>
    <cellStyle name="Normal 2 3 2 2 2 2 3 2 8" xfId="16998" xr:uid="{9C6B53A4-B5E0-4782-9503-DB5DD36580D7}"/>
    <cellStyle name="Normal 2 3 2 2 2 2 3 2 9" xfId="16999" xr:uid="{1DACF669-0D06-4390-A23A-6A4AEB95C5CA}"/>
    <cellStyle name="Normal 2 3 2 2 2 2 3 3" xfId="17000" xr:uid="{A1861E96-1776-40C3-AB9D-2BE7A8F0E4BF}"/>
    <cellStyle name="Normal 2 3 2 2 2 2 3 3 2" xfId="17001" xr:uid="{A8D42901-923F-4E1D-AFA8-497CB99A0598}"/>
    <cellStyle name="Normal 2 3 2 2 2 2 3 3 2 2" xfId="17002" xr:uid="{14AA23C3-1394-4C41-AAC7-7494526B5EC0}"/>
    <cellStyle name="Normal 2 3 2 2 2 2 3 3 2 2 2" xfId="17003" xr:uid="{BD9756B4-4F9B-4895-9BA0-B2FF17324D18}"/>
    <cellStyle name="Normal 2 3 2 2 2 2 3 3 2 2 2 2" xfId="17004" xr:uid="{A7DF92E2-DD17-4463-96B4-21998F2137DF}"/>
    <cellStyle name="Normal 2 3 2 2 2 2 3 3 2 2 2 3" xfId="17005" xr:uid="{E351187E-B40D-46CE-8F10-1AAB5BC629EB}"/>
    <cellStyle name="Normal 2 3 2 2 2 2 3 3 2 2 2 4" xfId="17006" xr:uid="{ADEA13C0-934A-4086-B8DC-86642290E461}"/>
    <cellStyle name="Normal 2 3 2 2 2 2 3 3 2 2 2 5" xfId="17007" xr:uid="{4B3B2469-A5AD-44BB-A05A-A8CD8D47CFE5}"/>
    <cellStyle name="Normal 2 3 2 2 2 2 3 3 2 2 2 6" xfId="17008" xr:uid="{01921F28-ED19-4ED9-B927-D6CFA91307C3}"/>
    <cellStyle name="Normal 2 3 2 2 2 2 3 3 2 2 3" xfId="17009" xr:uid="{98B846A7-50F0-480E-B3B9-0D967584FCF4}"/>
    <cellStyle name="Normal 2 3 2 2 2 2 3 3 2 2 4" xfId="17010" xr:uid="{7D45157A-62E2-4A4A-A408-73364C45F749}"/>
    <cellStyle name="Normal 2 3 2 2 2 2 3 3 2 2 5" xfId="17011" xr:uid="{AFD6554A-3B69-4D58-B625-92C79955B7D9}"/>
    <cellStyle name="Normal 2 3 2 2 2 2 3 3 2 2 6" xfId="17012" xr:uid="{37C440DD-DF35-4047-83BF-C31132D488A3}"/>
    <cellStyle name="Normal 2 3 2 2 2 2 3 3 2 3" xfId="17013" xr:uid="{8FB1138C-53D2-4D97-9999-C28A7C5D1F07}"/>
    <cellStyle name="Normal 2 3 2 2 2 2 3 3 2 4" xfId="17014" xr:uid="{5EF1B40F-FD09-4C8A-8303-17D5187EA29D}"/>
    <cellStyle name="Normal 2 3 2 2 2 2 3 3 2 5" xfId="17015" xr:uid="{39407BAF-67E8-445B-B8FF-E488E6308E03}"/>
    <cellStyle name="Normal 2 3 2 2 2 2 3 3 2 6" xfId="17016" xr:uid="{0F20F135-A813-4501-A559-568F13903CAB}"/>
    <cellStyle name="Normal 2 3 2 2 2 2 3 3 2 7" xfId="17017" xr:uid="{DAB60863-C96F-40E5-B0A5-36032D7FB7D9}"/>
    <cellStyle name="Normal 2 3 2 2 2 2 3 3 2 8" xfId="17018" xr:uid="{C11EF83A-FE00-4EC9-ACD2-03A4FFBFDF8A}"/>
    <cellStyle name="Normal 2 3 2 2 2 2 3 3 2 9" xfId="17019" xr:uid="{2077A975-F527-4CA2-B210-5596CEF80A72}"/>
    <cellStyle name="Normal 2 3 2 2 2 2 3 3 3" xfId="17020" xr:uid="{1D06CF18-D271-4305-99CA-692D99DC70BC}"/>
    <cellStyle name="Normal 2 3 2 2 2 2 3 3 3 2" xfId="17021" xr:uid="{104D1711-B2A2-420F-9659-EC652F535FE4}"/>
    <cellStyle name="Normal 2 3 2 2 2 2 3 3 3 2 2" xfId="17022" xr:uid="{D6C8321F-38CA-4651-ACD1-0353A569FC1F}"/>
    <cellStyle name="Normal 2 3 2 2 2 2 3 3 3 2 3" xfId="17023" xr:uid="{320E907B-33D5-450D-A94B-A20A6144065B}"/>
    <cellStyle name="Normal 2 3 2 2 2 2 3 3 3 2 4" xfId="17024" xr:uid="{DEECE134-4D4C-488E-B9FE-D8C64F385C59}"/>
    <cellStyle name="Normal 2 3 2 2 2 2 3 3 3 2 5" xfId="17025" xr:uid="{AE4CE336-B1B1-4F85-BC0B-EE50EF43E85C}"/>
    <cellStyle name="Normal 2 3 2 2 2 2 3 3 3 2 6" xfId="17026" xr:uid="{D08FC6D2-177F-406E-95C5-DCC7C89557DA}"/>
    <cellStyle name="Normal 2 3 2 2 2 2 3 3 3 3" xfId="17027" xr:uid="{CF0A4A26-2E09-46C6-A5DC-C705D44F4FA5}"/>
    <cellStyle name="Normal 2 3 2 2 2 2 3 3 3 4" xfId="17028" xr:uid="{D12AE019-B081-43FC-867F-5C608D9855B1}"/>
    <cellStyle name="Normal 2 3 2 2 2 2 3 3 3 5" xfId="17029" xr:uid="{F2D35051-56E7-42F8-9ED7-8976DE35A0AC}"/>
    <cellStyle name="Normal 2 3 2 2 2 2 3 3 3 6" xfId="17030" xr:uid="{C52874CC-D68B-4B1D-83AC-C16EDEF7D383}"/>
    <cellStyle name="Normal 2 3 2 2 2 2 3 3 4" xfId="17031" xr:uid="{AC9EDB6A-DD25-481F-BE68-CCB3891FBFB5}"/>
    <cellStyle name="Normal 2 3 2 2 2 2 3 3 5" xfId="17032" xr:uid="{F11EBCEE-1E76-4C89-B5D6-9716D7710C91}"/>
    <cellStyle name="Normal 2 3 2 2 2 2 3 3 6" xfId="17033" xr:uid="{756CD739-B6F3-4551-846C-887022C74DBB}"/>
    <cellStyle name="Normal 2 3 2 2 2 2 3 3 7" xfId="17034" xr:uid="{381B76A8-6139-4FF7-B008-4E8CE2046F85}"/>
    <cellStyle name="Normal 2 3 2 2 2 2 3 3 8" xfId="17035" xr:uid="{595867E6-8300-4CCE-BC71-B5E967D52D4B}"/>
    <cellStyle name="Normal 2 3 2 2 2 2 3 3 9" xfId="17036" xr:uid="{0C02F20E-B448-4222-8403-2D13A1ED4059}"/>
    <cellStyle name="Normal 2 3 2 2 2 2 3 4" xfId="17037" xr:uid="{EA260D6E-8E5C-446B-A477-DADB052A6578}"/>
    <cellStyle name="Normal 2 3 2 2 2 2 3 5" xfId="17038" xr:uid="{EAA7919D-DABB-4F2E-8D4C-2C2AF77FF6EE}"/>
    <cellStyle name="Normal 2 3 2 2 2 2 3 5 2" xfId="17039" xr:uid="{1CCB14D7-9380-465B-B741-C7DCF8FA8BC1}"/>
    <cellStyle name="Normal 2 3 2 2 2 2 3 5 2 2" xfId="17040" xr:uid="{9374C7F4-E8C7-445F-8AA1-A081CCF867CC}"/>
    <cellStyle name="Normal 2 3 2 2 2 2 3 5 2 3" xfId="17041" xr:uid="{44A083CE-A493-4A7D-BB86-21A38C7C252B}"/>
    <cellStyle name="Normal 2 3 2 2 2 2 3 5 2 4" xfId="17042" xr:uid="{070E3177-D659-40A4-A423-6B96DB922E29}"/>
    <cellStyle name="Normal 2 3 2 2 2 2 3 5 2 5" xfId="17043" xr:uid="{E0277667-3B37-4F42-81B9-E640E4DE07F1}"/>
    <cellStyle name="Normal 2 3 2 2 2 2 3 5 2 6" xfId="17044" xr:uid="{ED1CC9EC-3271-4569-B34B-85757D1BFA23}"/>
    <cellStyle name="Normal 2 3 2 2 2 2 3 5 3" xfId="17045" xr:uid="{2E14FBC9-AC1A-419B-835B-D51FB3065E83}"/>
    <cellStyle name="Normal 2 3 2 2 2 2 3 5 4" xfId="17046" xr:uid="{DB348F8E-21FE-4034-A7AE-BCD6DAEB5444}"/>
    <cellStyle name="Normal 2 3 2 2 2 2 3 5 5" xfId="17047" xr:uid="{8897421A-6C3D-46BA-9E03-D8E0BE4F0CF9}"/>
    <cellStyle name="Normal 2 3 2 2 2 2 3 5 6" xfId="17048" xr:uid="{C2B0F0A7-61D6-419A-AA67-AE88821B5613}"/>
    <cellStyle name="Normal 2 3 2 2 2 2 3 6" xfId="17049" xr:uid="{9B75AD4E-5492-47B1-8FE9-175C21FCD29C}"/>
    <cellStyle name="Normal 2 3 2 2 2 2 3 7" xfId="17050" xr:uid="{4D246A5C-8BAC-447C-9024-317925D7AE27}"/>
    <cellStyle name="Normal 2 3 2 2 2 2 3 8" xfId="17051" xr:uid="{9AD1A259-E3F3-4061-B96A-13B61AC1F842}"/>
    <cellStyle name="Normal 2 3 2 2 2 2 3 9" xfId="17052" xr:uid="{73885255-66E1-48D0-8D72-4A19B12A07E6}"/>
    <cellStyle name="Normal 2 3 2 2 2 2 30" xfId="17053" xr:uid="{E131E5B3-7AE3-470B-86AE-65BBC66CD64E}"/>
    <cellStyle name="Normal 2 3 2 2 2 2 31" xfId="17054" xr:uid="{1BA066EE-BB09-420B-B887-26F774E14D31}"/>
    <cellStyle name="Normal 2 3 2 2 2 2 32" xfId="17055" xr:uid="{DD8777C6-DE54-4A14-8784-57A82BB35EE8}"/>
    <cellStyle name="Normal 2 3 2 2 2 2 33" xfId="17056" xr:uid="{4216D62A-8D74-45D0-821E-4463AE9B4BFB}"/>
    <cellStyle name="Normal 2 3 2 2 2 2 34" xfId="17057" xr:uid="{553B9773-22B1-4574-9C9D-4BA54564B3CA}"/>
    <cellStyle name="Normal 2 3 2 2 2 2 35" xfId="17058" xr:uid="{4B73A2BD-47EA-41AC-8997-D3B3AAF4D571}"/>
    <cellStyle name="Normal 2 3 2 2 2 2 36" xfId="17059" xr:uid="{2D0A3BD2-C031-43FC-A4A2-A5D4229B5CCC}"/>
    <cellStyle name="Normal 2 3 2 2 2 2 37" xfId="17060" xr:uid="{172EE1F2-C4D9-4A7F-BC0C-759AF507824A}"/>
    <cellStyle name="Normal 2 3 2 2 2 2 38" xfId="17061" xr:uid="{48768FE5-5F6F-440E-A7BB-61C08B6780B6}"/>
    <cellStyle name="Normal 2 3 2 2 2 2 39" xfId="17062" xr:uid="{88BD8E9F-DA3A-4AF0-81FB-C309C78B0723}"/>
    <cellStyle name="Normal 2 3 2 2 2 2 4" xfId="17063" xr:uid="{10681B66-876C-4234-8077-CA826B786874}"/>
    <cellStyle name="Normal 2 3 2 2 2 2 4 2" xfId="17064" xr:uid="{4AC8D76A-3A8A-4ECB-BB62-21886E801856}"/>
    <cellStyle name="Normal 2 3 2 2 2 2 40" xfId="17065" xr:uid="{A0AA630C-DEA7-4405-B81B-879001815916}"/>
    <cellStyle name="Normal 2 3 2 2 2 2 41" xfId="17066" xr:uid="{140461D6-DFE5-41D4-B9BC-972986935805}"/>
    <cellStyle name="Normal 2 3 2 2 2 2 42" xfId="17067" xr:uid="{9BDBCABE-1DB2-4A83-9C9C-02E669C64DEB}"/>
    <cellStyle name="Normal 2 3 2 2 2 2 43" xfId="17068" xr:uid="{09E6CF93-B84D-4D12-8231-B44B2720E272}"/>
    <cellStyle name="Normal 2 3 2 2 2 2 44" xfId="17069" xr:uid="{7FFA31C8-256A-4B40-AAC3-976718DF7283}"/>
    <cellStyle name="Normal 2 3 2 2 2 2 45" xfId="17070" xr:uid="{E24D1E0E-1A6B-4332-BDBD-5BE21BD5B1CE}"/>
    <cellStyle name="Normal 2 3 2 2 2 2 46" xfId="17071" xr:uid="{78DD1B5C-515A-4603-AC52-EDAC9A3C957E}"/>
    <cellStyle name="Normal 2 3 2 2 2 2 47" xfId="17072" xr:uid="{A238B980-430E-4C58-B658-76F14F499A23}"/>
    <cellStyle name="Normal 2 3 2 2 2 2 48" xfId="17073" xr:uid="{E5E888F9-D4C0-45E0-B5A3-CE187A677C64}"/>
    <cellStyle name="Normal 2 3 2 2 2 2 49" xfId="17074" xr:uid="{C265EF34-4E46-4E2E-84B7-174C878ACAF4}"/>
    <cellStyle name="Normal 2 3 2 2 2 2 5" xfId="17075" xr:uid="{8872AAA8-1D39-4F78-AA22-031750065027}"/>
    <cellStyle name="Normal 2 3 2 2 2 2 5 10" xfId="17076" xr:uid="{B6E218B7-8EB2-41DE-894B-B6D07077840B}"/>
    <cellStyle name="Normal 2 3 2 2 2 2 5 2" xfId="17077" xr:uid="{90EC5EA3-DBB9-40F6-86AF-0C8297F03151}"/>
    <cellStyle name="Normal 2 3 2 2 2 2 5 2 2" xfId="17078" xr:uid="{7F2D2AE2-43BB-4F08-A9B7-3C848CAF4254}"/>
    <cellStyle name="Normal 2 3 2 2 2 2 5 2 2 2" xfId="17079" xr:uid="{9C357336-2041-4605-BA11-940B8E954A36}"/>
    <cellStyle name="Normal 2 3 2 2 2 2 5 2 2 2 2" xfId="17080" xr:uid="{DE0FDEBB-9CD7-4ECA-B89C-BC39EC4E2ED8}"/>
    <cellStyle name="Normal 2 3 2 2 2 2 5 2 2 2 3" xfId="17081" xr:uid="{F25F3A5E-C787-4EA0-862A-864A8701225B}"/>
    <cellStyle name="Normal 2 3 2 2 2 2 5 2 2 2 4" xfId="17082" xr:uid="{354F1FD8-DAED-41AA-B1C7-E5862ADA3571}"/>
    <cellStyle name="Normal 2 3 2 2 2 2 5 2 2 2 5" xfId="17083" xr:uid="{5405A939-FF96-4D55-805A-DEE996E1BFD7}"/>
    <cellStyle name="Normal 2 3 2 2 2 2 5 2 2 2 6" xfId="17084" xr:uid="{CCCDB96D-ECAE-43DA-A0BB-4D16D26E7224}"/>
    <cellStyle name="Normal 2 3 2 2 2 2 5 2 2 3" xfId="17085" xr:uid="{BA17856E-07E4-4730-A45E-828FC465331A}"/>
    <cellStyle name="Normal 2 3 2 2 2 2 5 2 2 4" xfId="17086" xr:uid="{90783FA9-1D8A-4635-9F00-6AE3132FFD3B}"/>
    <cellStyle name="Normal 2 3 2 2 2 2 5 2 2 5" xfId="17087" xr:uid="{F1AAA413-14B3-476C-9A22-C674EB1F563D}"/>
    <cellStyle name="Normal 2 3 2 2 2 2 5 2 2 6" xfId="17088" xr:uid="{DB55D115-0BC8-4958-94B7-33135DB29F7C}"/>
    <cellStyle name="Normal 2 3 2 2 2 2 5 2 3" xfId="17089" xr:uid="{5DB98967-C19B-414E-BC81-7EDF30F85771}"/>
    <cellStyle name="Normal 2 3 2 2 2 2 5 2 4" xfId="17090" xr:uid="{B9AAF83B-6C9B-473E-9BE3-9C69E23745AF}"/>
    <cellStyle name="Normal 2 3 2 2 2 2 5 2 5" xfId="17091" xr:uid="{9DA5D46F-D700-4176-8982-DEE2D48857B0}"/>
    <cellStyle name="Normal 2 3 2 2 2 2 5 2 6" xfId="17092" xr:uid="{33848BAD-DFF5-4D75-8DA1-2EC4E8244CEB}"/>
    <cellStyle name="Normal 2 3 2 2 2 2 5 2 7" xfId="17093" xr:uid="{6BE8028B-DF6C-4B5E-BF91-04AA62375984}"/>
    <cellStyle name="Normal 2 3 2 2 2 2 5 2 8" xfId="17094" xr:uid="{5C9B69A8-B914-4473-AECA-3FE8FF5FD1A2}"/>
    <cellStyle name="Normal 2 3 2 2 2 2 5 2 9" xfId="17095" xr:uid="{D30CB824-514D-4FEE-88E4-B066BE314850}"/>
    <cellStyle name="Normal 2 3 2 2 2 2 5 3" xfId="17096" xr:uid="{C78006F6-D2C0-47BE-8381-25E201D8328F}"/>
    <cellStyle name="Normal 2 3 2 2 2 2 5 3 2" xfId="17097" xr:uid="{7B25226A-C44E-426D-9EFE-F5B03014417F}"/>
    <cellStyle name="Normal 2 3 2 2 2 2 5 3 2 2" xfId="17098" xr:uid="{E45E02F3-ADBD-47CF-8ACE-894B530291FC}"/>
    <cellStyle name="Normal 2 3 2 2 2 2 5 3 2 3" xfId="17099" xr:uid="{D3BB3A77-44B1-47E8-9F8A-8AAA918B1BB4}"/>
    <cellStyle name="Normal 2 3 2 2 2 2 5 3 2 4" xfId="17100" xr:uid="{53673418-1330-4CB5-9D42-A3C244A790D4}"/>
    <cellStyle name="Normal 2 3 2 2 2 2 5 3 2 5" xfId="17101" xr:uid="{51A093EF-150F-4EE0-B540-7DC13C9E6126}"/>
    <cellStyle name="Normal 2 3 2 2 2 2 5 3 2 6" xfId="17102" xr:uid="{73345E8E-1AF7-41C6-BD53-4ABF51C519D4}"/>
    <cellStyle name="Normal 2 3 2 2 2 2 5 3 3" xfId="17103" xr:uid="{82BAE4FA-29FC-45AA-80C6-7C83E292A247}"/>
    <cellStyle name="Normal 2 3 2 2 2 2 5 3 4" xfId="17104" xr:uid="{EB9F95A6-5F63-425B-9A83-FCE15A8427B4}"/>
    <cellStyle name="Normal 2 3 2 2 2 2 5 3 5" xfId="17105" xr:uid="{A256FE4D-EBF6-42FB-963E-B0C78B79F920}"/>
    <cellStyle name="Normal 2 3 2 2 2 2 5 3 6" xfId="17106" xr:uid="{D9D32246-A39F-4F6A-8A33-E174E59A0BEC}"/>
    <cellStyle name="Normal 2 3 2 2 2 2 5 4" xfId="17107" xr:uid="{885A8C97-5B82-4DA9-A25A-4B4F882A153E}"/>
    <cellStyle name="Normal 2 3 2 2 2 2 5 5" xfId="17108" xr:uid="{1DC716B2-B8E7-47F3-801D-997E25D3A495}"/>
    <cellStyle name="Normal 2 3 2 2 2 2 5 6" xfId="17109" xr:uid="{5CD4FE63-52FC-4757-990F-0B347C76091B}"/>
    <cellStyle name="Normal 2 3 2 2 2 2 5 7" xfId="17110" xr:uid="{31243B95-91C2-4F08-8F72-8457A6A54E89}"/>
    <cellStyle name="Normal 2 3 2 2 2 2 5 8" xfId="17111" xr:uid="{1F566F2E-9E87-4251-98C5-5D28081C6701}"/>
    <cellStyle name="Normal 2 3 2 2 2 2 5 9" xfId="17112" xr:uid="{ABE1C08C-C1E8-4B54-87E5-DB838E030450}"/>
    <cellStyle name="Normal 2 3 2 2 2 2 50" xfId="17113" xr:uid="{3A913858-DC3B-4A73-AEDA-430C66F0660E}"/>
    <cellStyle name="Normal 2 3 2 2 2 2 51" xfId="17114" xr:uid="{6360CC99-D145-4DCB-9063-6564F1F9A544}"/>
    <cellStyle name="Normal 2 3 2 2 2 2 52" xfId="17115" xr:uid="{1D10861A-2F95-43C9-92AF-636FF6C8E056}"/>
    <cellStyle name="Normal 2 3 2 2 2 2 6" xfId="17116" xr:uid="{C3B553C9-A6C8-4BDA-96E9-774F08A51262}"/>
    <cellStyle name="Normal 2 3 2 2 2 2 6 2" xfId="17117" xr:uid="{C6F325D7-6219-4E07-B788-7542E4DE13D5}"/>
    <cellStyle name="Normal 2 3 2 2 2 2 7" xfId="17118" xr:uid="{D381A795-00BC-4CFB-94E4-DFB6B6A5D125}"/>
    <cellStyle name="Normal 2 3 2 2 2 2 7 2" xfId="17119" xr:uid="{706DEC0B-B578-4895-8A8B-3D0D8717622B}"/>
    <cellStyle name="Normal 2 3 2 2 2 2 8" xfId="17120" xr:uid="{A97F57A0-3D94-40CE-8A51-712E099BA57F}"/>
    <cellStyle name="Normal 2 3 2 2 2 2 8 2" xfId="17121" xr:uid="{081500AD-B2BD-41BC-89DF-8DA233F246EE}"/>
    <cellStyle name="Normal 2 3 2 2 2 2 8 2 2" xfId="17122" xr:uid="{46814E93-C6E0-461F-A972-B70A94F0B098}"/>
    <cellStyle name="Normal 2 3 2 2 2 2 8 2 3" xfId="17123" xr:uid="{FAF375E4-ABB1-431C-910B-B64D3D49C7BB}"/>
    <cellStyle name="Normal 2 3 2 2 2 2 8 2 4" xfId="17124" xr:uid="{69D5390D-A413-4326-BA8F-829DCB51150C}"/>
    <cellStyle name="Normal 2 3 2 2 2 2 8 2 5" xfId="17125" xr:uid="{57595713-1F39-4A4A-BD7D-2AA5497AEF4A}"/>
    <cellStyle name="Normal 2 3 2 2 2 2 8 2 6" xfId="17126" xr:uid="{4A30E332-CA1A-44F0-9689-23300779125D}"/>
    <cellStyle name="Normal 2 3 2 2 2 2 8 3" xfId="17127" xr:uid="{1893069C-0074-4001-9909-5F87B2C4E78E}"/>
    <cellStyle name="Normal 2 3 2 2 2 2 8 4" xfId="17128" xr:uid="{6B7987B4-5A7C-4389-9124-6DC8E023DBB4}"/>
    <cellStyle name="Normal 2 3 2 2 2 2 8 5" xfId="17129" xr:uid="{699DFA60-7722-4D0C-8097-636F43E9BE32}"/>
    <cellStyle name="Normal 2 3 2 2 2 2 8 6" xfId="17130" xr:uid="{2ECEAAAF-3582-4D39-BC12-47F2AFEB7E17}"/>
    <cellStyle name="Normal 2 3 2 2 2 2 8 7" xfId="17131" xr:uid="{8A869BFA-3735-472A-9309-8B0D6296955C}"/>
    <cellStyle name="Normal 2 3 2 2 2 2 9" xfId="17132" xr:uid="{8F3FC67C-5C1E-4E2C-9102-047BD419A84D}"/>
    <cellStyle name="Normal 2 3 2 2 2 2 9 2" xfId="17133" xr:uid="{4912EA12-B69A-400D-AF32-E0C49BCFA9F5}"/>
    <cellStyle name="Normal 2 3 2 2 2 20" xfId="17134" xr:uid="{05462E43-8429-4539-947D-9BDB865679F7}"/>
    <cellStyle name="Normal 2 3 2 2 2 21" xfId="17135" xr:uid="{74EE3140-97FD-43D5-927F-38618E62DCE7}"/>
    <cellStyle name="Normal 2 3 2 2 2 22" xfId="17136" xr:uid="{114EB67A-472F-44CB-821F-A3B8496E46DF}"/>
    <cellStyle name="Normal 2 3 2 2 2 23" xfId="17137" xr:uid="{7B71567D-BE7D-4AB6-B9C0-A40AC7082B3D}"/>
    <cellStyle name="Normal 2 3 2 2 2 24" xfId="17138" xr:uid="{91200DC7-0AC2-401A-BF64-30E7E72DEEEE}"/>
    <cellStyle name="Normal 2 3 2 2 2 25" xfId="17139" xr:uid="{58BDCDCE-4F31-4785-8BE8-0FAEC3B88E90}"/>
    <cellStyle name="Normal 2 3 2 2 2 26" xfId="17140" xr:uid="{16EB93A7-5795-4829-9F10-82C1D458FB06}"/>
    <cellStyle name="Normal 2 3 2 2 2 27" xfId="17141" xr:uid="{454E781F-90D8-431A-B75A-0CF0F26375ED}"/>
    <cellStyle name="Normal 2 3 2 2 2 28" xfId="17142" xr:uid="{55BF82CE-7993-4937-B2AA-F808EFBDCAEB}"/>
    <cellStyle name="Normal 2 3 2 2 2 28 10" xfId="17143" xr:uid="{F04C0D61-49DD-4164-ADC5-D9203E02AECF}"/>
    <cellStyle name="Normal 2 3 2 2 2 28 11" xfId="17144" xr:uid="{6F633BB6-D44A-4883-8C77-361851FDB8EB}"/>
    <cellStyle name="Normal 2 3 2 2 2 28 12" xfId="17145" xr:uid="{724E490D-C5EA-450C-B6BF-72D07DB4C48B}"/>
    <cellStyle name="Normal 2 3 2 2 2 28 13" xfId="17146" xr:uid="{0CDB3370-D83E-49E7-B4FE-092837D1580A}"/>
    <cellStyle name="Normal 2 3 2 2 2 28 14" xfId="17147" xr:uid="{A5634342-B21B-4ED9-A82C-EDFBE2267605}"/>
    <cellStyle name="Normal 2 3 2 2 2 28 15" xfId="17148" xr:uid="{30DC66B0-1935-4B08-87B4-7A23B96B79E1}"/>
    <cellStyle name="Normal 2 3 2 2 2 28 16" xfId="17149" xr:uid="{388EA622-5327-42FF-B0E4-5F12AB8CBC1E}"/>
    <cellStyle name="Normal 2 3 2 2 2 28 2" xfId="17150" xr:uid="{DDD000D9-C959-4CA8-8BAD-D8FDC45186F7}"/>
    <cellStyle name="Normal 2 3 2 2 2 28 3" xfId="17151" xr:uid="{DC8D5A13-9235-44A8-8437-5B90157C1176}"/>
    <cellStyle name="Normal 2 3 2 2 2 28 4" xfId="17152" xr:uid="{BC68E880-E137-4BD9-BED4-327C34EDCD4B}"/>
    <cellStyle name="Normal 2 3 2 2 2 28 5" xfId="17153" xr:uid="{AC24BCCA-19BC-4124-B9D3-EE92EF872E68}"/>
    <cellStyle name="Normal 2 3 2 2 2 28 6" xfId="17154" xr:uid="{484127AD-80BE-48C8-B129-38BF808FDAA4}"/>
    <cellStyle name="Normal 2 3 2 2 2 28 7" xfId="17155" xr:uid="{2344A62E-D602-4B2A-B5CA-422DF3BB4E91}"/>
    <cellStyle name="Normal 2 3 2 2 2 28 8" xfId="17156" xr:uid="{4DC92A06-22AB-4FE4-AE19-51031E17F1D4}"/>
    <cellStyle name="Normal 2 3 2 2 2 28 9" xfId="17157" xr:uid="{C37FC61E-3431-4E63-BEBC-A3941D8305A6}"/>
    <cellStyle name="Normal 2 3 2 2 2 29" xfId="17158" xr:uid="{A50F1B30-D19B-4582-A108-0E8B50C69BFE}"/>
    <cellStyle name="Normal 2 3 2 2 2 3" xfId="17159" xr:uid="{70387400-8F84-4DDF-8412-A8EE426D353B}"/>
    <cellStyle name="Normal 2 3 2 2 2 3 10" xfId="17160" xr:uid="{70052B9A-C781-4992-A4B9-DC8FF2EDFE5A}"/>
    <cellStyle name="Normal 2 3 2 2 2 3 11" xfId="17161" xr:uid="{384E1345-46DC-440E-94AF-7C765D97FF39}"/>
    <cellStyle name="Normal 2 3 2 2 2 3 12" xfId="17162" xr:uid="{0D2143E5-CBA8-45BC-8E46-C5866C1FCD70}"/>
    <cellStyle name="Normal 2 3 2 2 2 3 13" xfId="17163" xr:uid="{39120E06-ACF7-4F50-93CE-244BF69BD68D}"/>
    <cellStyle name="Normal 2 3 2 2 2 3 14" xfId="17164" xr:uid="{C385835A-D739-475F-B8B8-161D8091AAA2}"/>
    <cellStyle name="Normal 2 3 2 2 2 3 2" xfId="17165" xr:uid="{25BFB2CF-0EED-41C2-B710-7240CEE80231}"/>
    <cellStyle name="Normal 2 3 2 2 2 3 2 2" xfId="17166" xr:uid="{809CC481-FD12-4D39-981B-AC55A73CC633}"/>
    <cellStyle name="Normal 2 3 2 2 2 3 2 3" xfId="17167" xr:uid="{3B325162-F272-4FE6-A7D4-E6111404220E}"/>
    <cellStyle name="Normal 2 3 2 2 2 3 2 4" xfId="17168" xr:uid="{644FEAB0-BE48-4FA4-81A5-24D19D0D8F96}"/>
    <cellStyle name="Normal 2 3 2 2 2 3 2 5" xfId="17169" xr:uid="{94E28C6F-21DA-4D1B-8C31-0F0EC206B692}"/>
    <cellStyle name="Normal 2 3 2 2 2 3 2 6" xfId="17170" xr:uid="{6B4113DE-963F-45B9-90B8-6F0AC12246CF}"/>
    <cellStyle name="Normal 2 3 2 2 2 3 2 7" xfId="17171" xr:uid="{A2937098-C772-4766-9E7A-133858FEE335}"/>
    <cellStyle name="Normal 2 3 2 2 2 3 2 8" xfId="17172" xr:uid="{94EA2705-F134-4921-9B01-EFD8DC128911}"/>
    <cellStyle name="Normal 2 3 2 2 2 3 2 9" xfId="17173" xr:uid="{A5DF5EBA-2F88-4F2E-947F-8BB1152D5E8B}"/>
    <cellStyle name="Normal 2 3 2 2 2 3 3" xfId="17174" xr:uid="{59B438D5-FF15-421F-80E8-DBF6A236AD83}"/>
    <cellStyle name="Normal 2 3 2 2 2 3 4" xfId="17175" xr:uid="{DB13D2E3-B49F-4D7B-83BB-50B0EA311675}"/>
    <cellStyle name="Normal 2 3 2 2 2 3 5" xfId="17176" xr:uid="{77004C0B-6BDD-4D14-A3B4-4A78374369D3}"/>
    <cellStyle name="Normal 2 3 2 2 2 3 6" xfId="17177" xr:uid="{EC01530F-9F23-43F6-A1F5-1E217EA5B71A}"/>
    <cellStyle name="Normal 2 3 2 2 2 3 7" xfId="17178" xr:uid="{42F68E31-2DF7-475F-8982-F23D7FC3F3C2}"/>
    <cellStyle name="Normal 2 3 2 2 2 3 8" xfId="17179" xr:uid="{18C6360C-607C-473D-A7C8-DC5348EC606D}"/>
    <cellStyle name="Normal 2 3 2 2 2 3 9" xfId="17180" xr:uid="{2C0E624B-9CD7-4FD9-9895-384A5EE81ADA}"/>
    <cellStyle name="Normal 2 3 2 2 2 30" xfId="17181" xr:uid="{EFCA3F3A-0804-4510-9EF4-4659EF8C7587}"/>
    <cellStyle name="Normal 2 3 2 2 2 31" xfId="17182" xr:uid="{3CD39EEB-8935-44C1-93B7-426F88D3C026}"/>
    <cellStyle name="Normal 2 3 2 2 2 32" xfId="17183" xr:uid="{C856C98C-1B30-4C9F-8BB2-F24FE1BEF518}"/>
    <cellStyle name="Normal 2 3 2 2 2 33" xfId="17184" xr:uid="{3926D048-2ABB-45F8-9F6C-01CC174D6782}"/>
    <cellStyle name="Normal 2 3 2 2 2 34" xfId="17185" xr:uid="{67F8C51A-3C7E-46F1-A771-D1A8AB6C0B4F}"/>
    <cellStyle name="Normal 2 3 2 2 2 35" xfId="17186" xr:uid="{C6C5C2BE-C8D0-4003-A1E6-5A5CC01AA82F}"/>
    <cellStyle name="Normal 2 3 2 2 2 35 2" xfId="17187" xr:uid="{E8B5EB2C-DC80-42D2-B7BF-EC07F3F9CA15}"/>
    <cellStyle name="Normal 2 3 2 2 2 35 3" xfId="17188" xr:uid="{A5468491-F4FC-4FB7-AFAC-DFA630411FFB}"/>
    <cellStyle name="Normal 2 3 2 2 2 35 4" xfId="17189" xr:uid="{14555F18-8226-40CD-8683-3E83CA169C05}"/>
    <cellStyle name="Normal 2 3 2 2 2 35 5" xfId="17190" xr:uid="{4A72E04D-B2FE-4B8B-8823-482E974E7B0A}"/>
    <cellStyle name="Normal 2 3 2 2 2 36" xfId="17191" xr:uid="{2448E88B-2045-4123-8D2E-F63554680131}"/>
    <cellStyle name="Normal 2 3 2 2 2 37" xfId="17192" xr:uid="{CD4EBFB4-346B-4A84-A498-5580D145A38F}"/>
    <cellStyle name="Normal 2 3 2 2 2 38" xfId="17193" xr:uid="{F9CF4508-2C3C-4E01-A575-6B5F8B60445C}"/>
    <cellStyle name="Normal 2 3 2 2 2 39" xfId="17194" xr:uid="{F539794F-5C71-4D99-9B6A-68ECEF4B1876}"/>
    <cellStyle name="Normal 2 3 2 2 2 4" xfId="17195" xr:uid="{5C01789F-1BD5-43D4-8AD9-2B25F9CB31B2}"/>
    <cellStyle name="Normal 2 3 2 2 2 4 2" xfId="17196" xr:uid="{DE2F7703-F7F7-4DC9-94DD-5ED50627D45B}"/>
    <cellStyle name="Normal 2 3 2 2 2 4 3" xfId="17197" xr:uid="{9354C5EF-EF35-4A30-9F99-E37E474D3B1E}"/>
    <cellStyle name="Normal 2 3 2 2 2 4 4" xfId="17198" xr:uid="{8B866E0C-80B6-42BB-81F8-B24CEA94415F}"/>
    <cellStyle name="Normal 2 3 2 2 2 4 5" xfId="17199" xr:uid="{ADBEF0EC-C2F7-4D59-844F-856E3D44078F}"/>
    <cellStyle name="Normal 2 3 2 2 2 4 6" xfId="17200" xr:uid="{BCAF6269-66C9-4FC4-97D1-FD3B64092A98}"/>
    <cellStyle name="Normal 2 3 2 2 2 40" xfId="17201" xr:uid="{C01517EA-993F-4D5F-971D-E681743A4DED}"/>
    <cellStyle name="Normal 2 3 2 2 2 41" xfId="17202" xr:uid="{8AEEB759-9512-42C4-9F1C-FF9CD18C2F9C}"/>
    <cellStyle name="Normal 2 3 2 2 2 42" xfId="17203" xr:uid="{224BD74B-B0C4-4FE5-AB7E-30C6D03E4CE8}"/>
    <cellStyle name="Normal 2 3 2 2 2 43" xfId="17204" xr:uid="{696B114F-6FBA-4E30-BEC0-09F2EFF6C715}"/>
    <cellStyle name="Normal 2 3 2 2 2 44" xfId="17205" xr:uid="{F24F21A3-21CF-47B1-96F6-7A4658291943}"/>
    <cellStyle name="Normal 2 3 2 2 2 45" xfId="17206" xr:uid="{1E3693D2-79AF-4960-ABB6-C6F7AD0B4574}"/>
    <cellStyle name="Normal 2 3 2 2 2 46" xfId="17207" xr:uid="{D0B63C52-944A-4730-9380-F4198FABADD6}"/>
    <cellStyle name="Normal 2 3 2 2 2 47" xfId="17208" xr:uid="{65B6520F-883D-48C7-8A6D-542387051457}"/>
    <cellStyle name="Normal 2 3 2 2 2 48" xfId="17209" xr:uid="{BC2D61FE-A660-4FDE-A952-97EA6A858CF1}"/>
    <cellStyle name="Normal 2 3 2 2 2 49" xfId="17210" xr:uid="{CA7D8520-6D8E-47BD-9179-226E3FC76F72}"/>
    <cellStyle name="Normal 2 3 2 2 2 5" xfId="17211" xr:uid="{165B54B8-60D0-4B32-BF5C-301D8DDB2344}"/>
    <cellStyle name="Normal 2 3 2 2 2 5 10" xfId="17212" xr:uid="{DB9FE1C2-A621-47D7-9D68-E30BFCDCD21A}"/>
    <cellStyle name="Normal 2 3 2 2 2 5 11" xfId="17213" xr:uid="{28449570-363E-4BD2-8979-CBC6274D2F1E}"/>
    <cellStyle name="Normal 2 3 2 2 2 5 12" xfId="17214" xr:uid="{99897EA7-942F-4216-A40A-EB39EB8CF5C8}"/>
    <cellStyle name="Normal 2 3 2 2 2 5 13" xfId="17215" xr:uid="{9BF4A5AC-3BA9-4116-BA82-1CC1399A17BD}"/>
    <cellStyle name="Normal 2 3 2 2 2 5 14" xfId="17216" xr:uid="{2360860F-1644-4D8B-8D60-325E373F3B8A}"/>
    <cellStyle name="Normal 2 3 2 2 2 5 15" xfId="17217" xr:uid="{E4D207C9-5481-4F73-812E-3A51897D7E1C}"/>
    <cellStyle name="Normal 2 3 2 2 2 5 16" xfId="17218" xr:uid="{01448521-671F-4D3F-B4CD-7306DA9A3356}"/>
    <cellStyle name="Normal 2 3 2 2 2 5 17" xfId="17219" xr:uid="{2BD9C627-CD55-4FCC-825B-B5BA2B1E9833}"/>
    <cellStyle name="Normal 2 3 2 2 2 5 2" xfId="17220" xr:uid="{61E2D04D-2C6B-4425-954A-3F9D71C8DFB6}"/>
    <cellStyle name="Normal 2 3 2 2 2 5 2 10" xfId="17221" xr:uid="{D3F57DBD-9813-4CD5-B3DE-7444AD9848E9}"/>
    <cellStyle name="Normal 2 3 2 2 2 5 2 11" xfId="17222" xr:uid="{45D2AE98-9ACF-403D-B5E9-6B8247D92065}"/>
    <cellStyle name="Normal 2 3 2 2 2 5 2 12" xfId="17223" xr:uid="{02BE34E1-2B31-463F-A183-FAE95DADBEF7}"/>
    <cellStyle name="Normal 2 3 2 2 2 5 2 2" xfId="17224" xr:uid="{9D7778D7-D1A2-4334-A892-CF6279F0E5FA}"/>
    <cellStyle name="Normal 2 3 2 2 2 5 2 2 2" xfId="17225" xr:uid="{9B223925-945F-4A77-B955-873FA350C923}"/>
    <cellStyle name="Normal 2 3 2 2 2 5 2 2 2 2" xfId="17226" xr:uid="{C95E4556-1E44-4A06-B7A9-00FE245CC3E1}"/>
    <cellStyle name="Normal 2 3 2 2 2 5 2 2 2 2 2" xfId="17227" xr:uid="{1BC55810-EED3-40A3-931E-AA0EAD62EB5F}"/>
    <cellStyle name="Normal 2 3 2 2 2 5 2 2 2 2 2 2" xfId="17228" xr:uid="{D64AC122-EE97-43C0-890F-C2D8D3A490C0}"/>
    <cellStyle name="Normal 2 3 2 2 2 5 2 2 2 2 2 3" xfId="17229" xr:uid="{FDF9EEA5-F264-48DA-8847-0A5ECFB35173}"/>
    <cellStyle name="Normal 2 3 2 2 2 5 2 2 2 2 2 4" xfId="17230" xr:uid="{CF0389F9-2115-4FD9-9C79-ECD8C3BB66E9}"/>
    <cellStyle name="Normal 2 3 2 2 2 5 2 2 2 2 2 5" xfId="17231" xr:uid="{AD7B17B6-C077-4152-BD79-00CC4CB54BDF}"/>
    <cellStyle name="Normal 2 3 2 2 2 5 2 2 2 2 2 6" xfId="17232" xr:uid="{558A58C8-17D1-4707-BDC5-D4927C105091}"/>
    <cellStyle name="Normal 2 3 2 2 2 5 2 2 2 2 3" xfId="17233" xr:uid="{D6C23647-2F08-46D4-A5DC-1B57AB2602B0}"/>
    <cellStyle name="Normal 2 3 2 2 2 5 2 2 2 2 4" xfId="17234" xr:uid="{1C9F0F9A-E41E-48CA-A260-050E73AB5D3A}"/>
    <cellStyle name="Normal 2 3 2 2 2 5 2 2 2 2 5" xfId="17235" xr:uid="{13394EBA-12A8-407D-A20B-FE92C675C1BF}"/>
    <cellStyle name="Normal 2 3 2 2 2 5 2 2 2 2 6" xfId="17236" xr:uid="{A04C5E0F-B442-4508-AF28-23A0EBBE3E00}"/>
    <cellStyle name="Normal 2 3 2 2 2 5 2 2 2 3" xfId="17237" xr:uid="{C63020D8-410F-4070-A00B-2B3344B31321}"/>
    <cellStyle name="Normal 2 3 2 2 2 5 2 2 2 4" xfId="17238" xr:uid="{4B02F1CF-0CB5-4D72-B30A-A11FA05F4B12}"/>
    <cellStyle name="Normal 2 3 2 2 2 5 2 2 2 5" xfId="17239" xr:uid="{1F04B534-03F4-46DC-A7F7-629841F08846}"/>
    <cellStyle name="Normal 2 3 2 2 2 5 2 2 2 6" xfId="17240" xr:uid="{6392452B-87E3-45BD-9E92-A8F88E05F929}"/>
    <cellStyle name="Normal 2 3 2 2 2 5 2 2 2 7" xfId="17241" xr:uid="{325FFA45-A45C-443F-8066-D75F075D8599}"/>
    <cellStyle name="Normal 2 3 2 2 2 5 2 2 2 8" xfId="17242" xr:uid="{4F93F52B-90AE-4CA3-8B9E-9AF45D73885D}"/>
    <cellStyle name="Normal 2 3 2 2 2 5 2 2 2 9" xfId="17243" xr:uid="{E1C18297-2CA7-442C-8033-F1C5D4E6772E}"/>
    <cellStyle name="Normal 2 3 2 2 2 5 2 2 3" xfId="17244" xr:uid="{B8B4C617-70EA-40D5-9B9E-11B204B5E85D}"/>
    <cellStyle name="Normal 2 3 2 2 2 5 2 2 3 2" xfId="17245" xr:uid="{D5C1EFD9-DD51-4BAD-86C1-520114B39504}"/>
    <cellStyle name="Normal 2 3 2 2 2 5 2 2 3 2 2" xfId="17246" xr:uid="{5813279C-C7F8-41F3-8477-2B72476AACD3}"/>
    <cellStyle name="Normal 2 3 2 2 2 5 2 2 3 2 3" xfId="17247" xr:uid="{F2D5C470-A470-435F-8F17-FCF8130EB042}"/>
    <cellStyle name="Normal 2 3 2 2 2 5 2 2 3 2 4" xfId="17248" xr:uid="{934F8CA5-AF7F-45CA-9563-2DEB1662D371}"/>
    <cellStyle name="Normal 2 3 2 2 2 5 2 2 3 2 5" xfId="17249" xr:uid="{E32EDB33-71A2-4A75-9B8B-3E33E4076FDC}"/>
    <cellStyle name="Normal 2 3 2 2 2 5 2 2 3 2 6" xfId="17250" xr:uid="{D9013FDA-229B-4D0E-8F5A-79E6AB29CA75}"/>
    <cellStyle name="Normal 2 3 2 2 2 5 2 2 3 3" xfId="17251" xr:uid="{533B8631-9AAA-4EA5-80A7-ED32C705383E}"/>
    <cellStyle name="Normal 2 3 2 2 2 5 2 2 3 4" xfId="17252" xr:uid="{10A73D71-1D77-4244-A14F-5DCA1996EFE2}"/>
    <cellStyle name="Normal 2 3 2 2 2 5 2 2 3 5" xfId="17253" xr:uid="{09AA9636-F882-40A7-8FEA-54461C69671F}"/>
    <cellStyle name="Normal 2 3 2 2 2 5 2 2 3 6" xfId="17254" xr:uid="{27EF2E09-939E-4DFA-A900-36D1DD4B55D0}"/>
    <cellStyle name="Normal 2 3 2 2 2 5 2 2 4" xfId="17255" xr:uid="{DDAC1E62-83AC-487D-AAC8-045113FD6A4E}"/>
    <cellStyle name="Normal 2 3 2 2 2 5 2 2 5" xfId="17256" xr:uid="{6B51C98D-C465-4EAB-9E4F-A9972B2F2441}"/>
    <cellStyle name="Normal 2 3 2 2 2 5 2 2 6" xfId="17257" xr:uid="{6A133A93-077F-4B52-A8EA-77CEAD3B05EF}"/>
    <cellStyle name="Normal 2 3 2 2 2 5 2 2 7" xfId="17258" xr:uid="{B361CA6C-DE79-4DF2-902E-8CACE5B9C894}"/>
    <cellStyle name="Normal 2 3 2 2 2 5 2 2 8" xfId="17259" xr:uid="{AE175AA5-9CD4-4AFB-B210-74B2FACF2377}"/>
    <cellStyle name="Normal 2 3 2 2 2 5 2 2 9" xfId="17260" xr:uid="{76A49F2C-523F-478F-A232-B83B2EE3825C}"/>
    <cellStyle name="Normal 2 3 2 2 2 5 2 3" xfId="17261" xr:uid="{AB9ADA2F-BD76-4A6C-AF45-92B03246BC94}"/>
    <cellStyle name="Normal 2 3 2 2 2 5 2 4" xfId="17262" xr:uid="{3BF0A55A-EB81-4F47-A0D6-E59A7B6C7B1C}"/>
    <cellStyle name="Normal 2 3 2 2 2 5 2 5" xfId="17263" xr:uid="{05560196-CB04-4FA6-BC04-9A696C1FAE1C}"/>
    <cellStyle name="Normal 2 3 2 2 2 5 2 5 2" xfId="17264" xr:uid="{0125B10E-4679-43B8-B90C-065171AA61E8}"/>
    <cellStyle name="Normal 2 3 2 2 2 5 2 5 2 2" xfId="17265" xr:uid="{1D791A08-7E4F-4B82-B0F9-D2C902541311}"/>
    <cellStyle name="Normal 2 3 2 2 2 5 2 5 2 3" xfId="17266" xr:uid="{D1A000E2-6A37-44E5-B129-9212C3F6E556}"/>
    <cellStyle name="Normal 2 3 2 2 2 5 2 5 2 4" xfId="17267" xr:uid="{F9E1522A-B897-447E-9184-F3539A85F8D3}"/>
    <cellStyle name="Normal 2 3 2 2 2 5 2 5 2 5" xfId="17268" xr:uid="{4D65C1FA-9155-4494-BDA9-EAF85AD2F05B}"/>
    <cellStyle name="Normal 2 3 2 2 2 5 2 5 2 6" xfId="17269" xr:uid="{D97D8DD3-FD5A-4CEA-9596-9F74D1842941}"/>
    <cellStyle name="Normal 2 3 2 2 2 5 2 5 3" xfId="17270" xr:uid="{438A536B-D10C-4876-B080-0FB3F71C656C}"/>
    <cellStyle name="Normal 2 3 2 2 2 5 2 5 4" xfId="17271" xr:uid="{B666AF8A-5AC9-4251-9CB8-6E72A31F7545}"/>
    <cellStyle name="Normal 2 3 2 2 2 5 2 5 5" xfId="17272" xr:uid="{4477D91F-30B1-49E0-9200-682A099A63A8}"/>
    <cellStyle name="Normal 2 3 2 2 2 5 2 5 6" xfId="17273" xr:uid="{EDA3B45C-EE65-4263-B72B-44F0A27FAA46}"/>
    <cellStyle name="Normal 2 3 2 2 2 5 2 6" xfId="17274" xr:uid="{B54A9722-5550-4341-AA71-87159C01A3ED}"/>
    <cellStyle name="Normal 2 3 2 2 2 5 2 7" xfId="17275" xr:uid="{D81BD08F-C2FC-4D78-BFF5-88D573E75AEE}"/>
    <cellStyle name="Normal 2 3 2 2 2 5 2 8" xfId="17276" xr:uid="{6908B8D8-E571-4230-A917-9A597ADFAF6B}"/>
    <cellStyle name="Normal 2 3 2 2 2 5 2 9" xfId="17277" xr:uid="{BF5F43D2-9FFC-41F5-A823-19EC16734E9C}"/>
    <cellStyle name="Normal 2 3 2 2 2 5 3" xfId="17278" xr:uid="{1B3E0B3B-40CE-4D4E-8310-D849CE7368F4}"/>
    <cellStyle name="Normal 2 3 2 2 2 5 3 2" xfId="17279" xr:uid="{56A753E9-83CD-4BBD-BE8F-A3A942F14C02}"/>
    <cellStyle name="Normal 2 3 2 2 2 5 3 2 2" xfId="17280" xr:uid="{EFEF7024-A554-4969-8A95-D29FDBF4DF24}"/>
    <cellStyle name="Normal 2 3 2 2 2 5 3 2 2 2" xfId="17281" xr:uid="{6649D5A4-C008-408D-8764-8D381C9F5AF5}"/>
    <cellStyle name="Normal 2 3 2 2 2 5 3 2 2 2 2" xfId="17282" xr:uid="{C1B6D15D-5CD0-4E15-9C58-95376FA1E7C4}"/>
    <cellStyle name="Normal 2 3 2 2 2 5 3 2 2 2 3" xfId="17283" xr:uid="{2F5DA9E6-26AD-4A32-898D-E81BEA65A360}"/>
    <cellStyle name="Normal 2 3 2 2 2 5 3 2 2 2 4" xfId="17284" xr:uid="{F64E0738-312D-4CE2-B4D3-09F66480AF42}"/>
    <cellStyle name="Normal 2 3 2 2 2 5 3 2 2 2 5" xfId="17285" xr:uid="{0318ED17-168E-4B2D-8E11-0A9619C56B82}"/>
    <cellStyle name="Normal 2 3 2 2 2 5 3 2 2 2 6" xfId="17286" xr:uid="{CB1104B7-89BE-4492-BE21-2B896925C75A}"/>
    <cellStyle name="Normal 2 3 2 2 2 5 3 2 2 3" xfId="17287" xr:uid="{12E97C7A-4572-4630-A5BD-73A8570325DB}"/>
    <cellStyle name="Normal 2 3 2 2 2 5 3 2 2 4" xfId="17288" xr:uid="{8B14E5B0-550F-452F-969E-FCC259DFDDB9}"/>
    <cellStyle name="Normal 2 3 2 2 2 5 3 2 2 5" xfId="17289" xr:uid="{F1323E34-B2F7-4450-8028-72B9940D2F19}"/>
    <cellStyle name="Normal 2 3 2 2 2 5 3 2 2 6" xfId="17290" xr:uid="{B89941F7-DAA1-401D-9A61-2528D180B611}"/>
    <cellStyle name="Normal 2 3 2 2 2 5 3 2 3" xfId="17291" xr:uid="{32EC4DDC-A510-4C6B-AE5C-5819D50D69D8}"/>
    <cellStyle name="Normal 2 3 2 2 2 5 3 2 4" xfId="17292" xr:uid="{8EC0B08B-1D51-44F4-A7DA-DE61689FF02B}"/>
    <cellStyle name="Normal 2 3 2 2 2 5 3 2 5" xfId="17293" xr:uid="{AAF7B329-1BEF-42B6-990B-A7621AB36AB3}"/>
    <cellStyle name="Normal 2 3 2 2 2 5 3 2 6" xfId="17294" xr:uid="{60D9005E-A48B-4B13-B115-F9BF6D51BF87}"/>
    <cellStyle name="Normal 2 3 2 2 2 5 3 2 7" xfId="17295" xr:uid="{97E0BCB7-F6D3-4ADC-83A1-46918E9EFFB4}"/>
    <cellStyle name="Normal 2 3 2 2 2 5 3 2 8" xfId="17296" xr:uid="{99A158AC-3345-409B-8874-9A2018762FFC}"/>
    <cellStyle name="Normal 2 3 2 2 2 5 3 2 9" xfId="17297" xr:uid="{FAF0860D-96B7-4192-A805-48DCBD77D833}"/>
    <cellStyle name="Normal 2 3 2 2 2 5 3 3" xfId="17298" xr:uid="{5BF59620-AA6D-4F17-8247-F2D77FD8AF4B}"/>
    <cellStyle name="Normal 2 3 2 2 2 5 3 3 2" xfId="17299" xr:uid="{D2708C69-4F4B-493E-9D8D-436677DDAFB6}"/>
    <cellStyle name="Normal 2 3 2 2 2 5 3 3 2 2" xfId="17300" xr:uid="{0B700C84-3C93-4632-ABB1-F75373D2F3F8}"/>
    <cellStyle name="Normal 2 3 2 2 2 5 3 3 2 3" xfId="17301" xr:uid="{B9E7CC8A-3768-4D10-9BC7-5C0F95585D51}"/>
    <cellStyle name="Normal 2 3 2 2 2 5 3 3 2 4" xfId="17302" xr:uid="{E51A0433-78FA-42C8-9EE0-5E414F42BFA2}"/>
    <cellStyle name="Normal 2 3 2 2 2 5 3 3 2 5" xfId="17303" xr:uid="{700C8127-D27F-4532-832C-95CA7FA0A3BA}"/>
    <cellStyle name="Normal 2 3 2 2 2 5 3 3 2 6" xfId="17304" xr:uid="{31DEF71F-9964-481A-83EB-E232D2D86BC7}"/>
    <cellStyle name="Normal 2 3 2 2 2 5 3 3 3" xfId="17305" xr:uid="{A67E825A-F6F0-4212-93EA-AA4CF1026E9D}"/>
    <cellStyle name="Normal 2 3 2 2 2 5 3 3 4" xfId="17306" xr:uid="{FDDF0994-B24F-4EB3-8B41-0D7E17DE441C}"/>
    <cellStyle name="Normal 2 3 2 2 2 5 3 3 5" xfId="17307" xr:uid="{A7B8CC7D-31BB-4500-AD43-09A42E286959}"/>
    <cellStyle name="Normal 2 3 2 2 2 5 3 3 6" xfId="17308" xr:uid="{FD029F79-0668-4E98-A78B-4974212E01D3}"/>
    <cellStyle name="Normal 2 3 2 2 2 5 3 4" xfId="17309" xr:uid="{550540A8-06F9-48AF-9FFE-0575BFF2170C}"/>
    <cellStyle name="Normal 2 3 2 2 2 5 3 5" xfId="17310" xr:uid="{B071843E-20D8-4EDB-BBF1-6B7C55954BB6}"/>
    <cellStyle name="Normal 2 3 2 2 2 5 3 6" xfId="17311" xr:uid="{F396A790-628E-455C-AC77-EF46B64AFE73}"/>
    <cellStyle name="Normal 2 3 2 2 2 5 3 7" xfId="17312" xr:uid="{BA28915D-D76F-4090-BDA1-5444F73BC44B}"/>
    <cellStyle name="Normal 2 3 2 2 2 5 3 8" xfId="17313" xr:uid="{4BD6D43E-08E5-49ED-87C9-E03CC8EA96C3}"/>
    <cellStyle name="Normal 2 3 2 2 2 5 3 9" xfId="17314" xr:uid="{E0C7DAC7-B393-4F5B-B90B-BE257F05A5B0}"/>
    <cellStyle name="Normal 2 3 2 2 2 5 4" xfId="17315" xr:uid="{0E34EF67-F923-4DF6-8869-99E6665B08B2}"/>
    <cellStyle name="Normal 2 3 2 2 2 5 5" xfId="17316" xr:uid="{78711906-B493-46D5-887B-779E8F563999}"/>
    <cellStyle name="Normal 2 3 2 2 2 5 5 2" xfId="17317" xr:uid="{97E76E0C-9255-4970-AFFA-75255DC9A742}"/>
    <cellStyle name="Normal 2 3 2 2 2 5 5 2 2" xfId="17318" xr:uid="{4F163739-F401-4ECA-A150-C23FE1D51331}"/>
    <cellStyle name="Normal 2 3 2 2 2 5 5 2 3" xfId="17319" xr:uid="{170677EE-9DEE-42AA-AECA-88E8A1CEA520}"/>
    <cellStyle name="Normal 2 3 2 2 2 5 5 2 4" xfId="17320" xr:uid="{A361F6C1-877D-459C-B141-32EAEA0EF757}"/>
    <cellStyle name="Normal 2 3 2 2 2 5 5 2 5" xfId="17321" xr:uid="{9B52C4F9-2CCB-44A5-BDA1-B5F9BB525820}"/>
    <cellStyle name="Normal 2 3 2 2 2 5 5 2 6" xfId="17322" xr:uid="{96B665E7-7A3C-45FC-8977-955E636DD181}"/>
    <cellStyle name="Normal 2 3 2 2 2 5 5 3" xfId="17323" xr:uid="{E40DA7DE-00C7-46BF-B885-952302C6C391}"/>
    <cellStyle name="Normal 2 3 2 2 2 5 5 4" xfId="17324" xr:uid="{E76C3F81-FDF0-4C03-9184-8D44B5A17579}"/>
    <cellStyle name="Normal 2 3 2 2 2 5 5 5" xfId="17325" xr:uid="{3E62A2E1-5C3A-4767-9D76-7C1A0DFE0482}"/>
    <cellStyle name="Normal 2 3 2 2 2 5 5 6" xfId="17326" xr:uid="{F828B8FC-8BDB-4930-92AF-8CC861551F81}"/>
    <cellStyle name="Normal 2 3 2 2 2 5 6" xfId="17327" xr:uid="{F4D60304-D011-4131-963A-7B7E69E54631}"/>
    <cellStyle name="Normal 2 3 2 2 2 5 7" xfId="17328" xr:uid="{68E8DD23-A2CC-479D-9EFA-4891EF67F9AB}"/>
    <cellStyle name="Normal 2 3 2 2 2 5 8" xfId="17329" xr:uid="{7DE80DCB-4235-4B4D-A0EB-19ABF5AF6F2C}"/>
    <cellStyle name="Normal 2 3 2 2 2 5 9" xfId="17330" xr:uid="{EDE39C01-3E33-4B69-9278-B5C854139CA4}"/>
    <cellStyle name="Normal 2 3 2 2 2 50" xfId="17331" xr:uid="{4DF440FC-4F81-40BE-8483-661F303628A2}"/>
    <cellStyle name="Normal 2 3 2 2 2 51" xfId="17332" xr:uid="{6088A0D0-C886-4BE7-9DF0-2934185AB648}"/>
    <cellStyle name="Normal 2 3 2 2 2 52" xfId="17333" xr:uid="{AC811C13-4418-48E9-83E7-FA402C6C0144}"/>
    <cellStyle name="Normal 2 3 2 2 2 6" xfId="17334" xr:uid="{6577AC57-D391-47A8-9EB0-627255B67C9D}"/>
    <cellStyle name="Normal 2 3 2 2 2 6 2" xfId="17335" xr:uid="{52AC712A-0F10-4AE7-A4E6-B0368EDE76DC}"/>
    <cellStyle name="Normal 2 3 2 2 2 6 3" xfId="17336" xr:uid="{A985540C-2AE6-494A-9F40-2CFAD4832D3D}"/>
    <cellStyle name="Normal 2 3 2 2 2 6 4" xfId="17337" xr:uid="{70C7429D-08C3-4216-9F34-45B6E98AEBFC}"/>
    <cellStyle name="Normal 2 3 2 2 2 6 5" xfId="17338" xr:uid="{5C3F0681-60BB-4097-A5F1-B206FF036A46}"/>
    <cellStyle name="Normal 2 3 2 2 2 6 6" xfId="17339" xr:uid="{FAFF69A0-D426-4E9A-8BAD-D88CF7047AA8}"/>
    <cellStyle name="Normal 2 3 2 2 2 7" xfId="17340" xr:uid="{8B37D756-4126-462C-8E59-0398F92BBC9F}"/>
    <cellStyle name="Normal 2 3 2 2 2 7 2" xfId="17341" xr:uid="{9857518A-B7E9-4DAD-831E-8C115E6BC05A}"/>
    <cellStyle name="Normal 2 3 2 2 2 7 3" xfId="17342" xr:uid="{E1C47134-D6BE-45DC-BC3C-EB755441767F}"/>
    <cellStyle name="Normal 2 3 2 2 2 7 4" xfId="17343" xr:uid="{6EFAE74C-6A7C-47FC-9448-C9D622C838B2}"/>
    <cellStyle name="Normal 2 3 2 2 2 7 5" xfId="17344" xr:uid="{2614F522-3A4A-4EE8-AFEE-CC46E345A7E5}"/>
    <cellStyle name="Normal 2 3 2 2 2 7 6" xfId="17345" xr:uid="{319420F0-FF0D-48D4-AD2F-E3AA36FB104B}"/>
    <cellStyle name="Normal 2 3 2 2 2 8" xfId="17346" xr:uid="{240B1170-D1FB-4DFE-882E-A6D5FD36D1EA}"/>
    <cellStyle name="Normal 2 3 2 2 2 8 10" xfId="17347" xr:uid="{F278281B-CD56-4102-A931-4C5AF030C54D}"/>
    <cellStyle name="Normal 2 3 2 2 2 8 11" xfId="17348" xr:uid="{4233F575-2CA3-45DD-8500-BE08E4E67700}"/>
    <cellStyle name="Normal 2 3 2 2 2 8 12" xfId="17349" xr:uid="{7D7C0558-9D97-42F3-8B4E-35C51023772C}"/>
    <cellStyle name="Normal 2 3 2 2 2 8 13" xfId="17350" xr:uid="{7066265C-5B51-4A0E-B75F-5D2980931138}"/>
    <cellStyle name="Normal 2 3 2 2 2 8 14" xfId="17351" xr:uid="{3C4923C9-335E-4D17-9AB9-FB161EAAD9F6}"/>
    <cellStyle name="Normal 2 3 2 2 2 8 2" xfId="17352" xr:uid="{DA2A9D89-BBE9-449B-AA2B-07F2ED97DCE1}"/>
    <cellStyle name="Normal 2 3 2 2 2 8 2 2" xfId="17353" xr:uid="{98A43741-6B65-4CAB-9D76-52F39A68ACFF}"/>
    <cellStyle name="Normal 2 3 2 2 2 8 2 2 2" xfId="17354" xr:uid="{FFA0F2D3-0C89-42F5-A874-9DAB4B99E08C}"/>
    <cellStyle name="Normal 2 3 2 2 2 8 2 2 2 2" xfId="17355" xr:uid="{998AC230-8601-4412-82EC-A4A7CE8AA566}"/>
    <cellStyle name="Normal 2 3 2 2 2 8 2 2 2 3" xfId="17356" xr:uid="{61706385-628B-4D66-ADC9-3C83A290F720}"/>
    <cellStyle name="Normal 2 3 2 2 2 8 2 2 2 4" xfId="17357" xr:uid="{D5F8F8AB-74A0-4D91-B955-AB42CF5CECA1}"/>
    <cellStyle name="Normal 2 3 2 2 2 8 2 2 2 5" xfId="17358" xr:uid="{65F47C90-E69C-46DD-BC28-B25157675CA2}"/>
    <cellStyle name="Normal 2 3 2 2 2 8 2 2 2 6" xfId="17359" xr:uid="{08447C52-84C2-4EFC-AD9D-6A7E0B34DFD8}"/>
    <cellStyle name="Normal 2 3 2 2 2 8 2 2 3" xfId="17360" xr:uid="{979559F8-0843-4516-8E2B-4035FCF9BCC1}"/>
    <cellStyle name="Normal 2 3 2 2 2 8 2 2 4" xfId="17361" xr:uid="{B7EA0EB3-D1A5-43C9-B04C-035466978163}"/>
    <cellStyle name="Normal 2 3 2 2 2 8 2 2 5" xfId="17362" xr:uid="{495D9AC4-BB81-483D-86AB-5699114240C3}"/>
    <cellStyle name="Normal 2 3 2 2 2 8 2 2 6" xfId="17363" xr:uid="{07C05F73-7F8C-4174-9F9A-740A895550A7}"/>
    <cellStyle name="Normal 2 3 2 2 2 8 2 3" xfId="17364" xr:uid="{0655121E-CEB4-4AC4-8FBE-EBB706CFEE3B}"/>
    <cellStyle name="Normal 2 3 2 2 2 8 2 4" xfId="17365" xr:uid="{B48803BB-AAD2-4BD0-A919-5D88DE8AA861}"/>
    <cellStyle name="Normal 2 3 2 2 2 8 2 5" xfId="17366" xr:uid="{976955B9-407A-4210-A3EF-108FE9678DD0}"/>
    <cellStyle name="Normal 2 3 2 2 2 8 2 6" xfId="17367" xr:uid="{1554192C-C494-4A34-ABD9-9F0A5FD3BB88}"/>
    <cellStyle name="Normal 2 3 2 2 2 8 2 7" xfId="17368" xr:uid="{FE15EDEE-755B-4DC2-82C7-5E8F27744081}"/>
    <cellStyle name="Normal 2 3 2 2 2 8 2 8" xfId="17369" xr:uid="{81E1215E-CC1C-42B9-ADBE-1FF38E0EEF13}"/>
    <cellStyle name="Normal 2 3 2 2 2 8 2 9" xfId="17370" xr:uid="{98991DF1-8BB0-4678-988E-A70F264050D1}"/>
    <cellStyle name="Normal 2 3 2 2 2 8 3" xfId="17371" xr:uid="{6699C987-D415-40B6-B863-A65DD74231E3}"/>
    <cellStyle name="Normal 2 3 2 2 2 8 3 2" xfId="17372" xr:uid="{2ACC06EB-8987-492E-A908-989DA7DAEDA7}"/>
    <cellStyle name="Normal 2 3 2 2 2 8 3 2 2" xfId="17373" xr:uid="{CBD81A33-AFAB-4B6E-B70F-B5300EF6F5EB}"/>
    <cellStyle name="Normal 2 3 2 2 2 8 3 2 3" xfId="17374" xr:uid="{B9AB49BF-4912-46CD-86BE-EE06780CD788}"/>
    <cellStyle name="Normal 2 3 2 2 2 8 3 2 4" xfId="17375" xr:uid="{D0EE0084-9308-4803-BF09-F1542126DD0C}"/>
    <cellStyle name="Normal 2 3 2 2 2 8 3 2 5" xfId="17376" xr:uid="{BC53532B-9DF7-434F-9D8A-ACC6EE8E749F}"/>
    <cellStyle name="Normal 2 3 2 2 2 8 3 2 6" xfId="17377" xr:uid="{4716312C-370A-4EEB-B78F-3295EF8C99DC}"/>
    <cellStyle name="Normal 2 3 2 2 2 8 3 3" xfId="17378" xr:uid="{01D26272-2214-4EBB-86DF-89AC88016134}"/>
    <cellStyle name="Normal 2 3 2 2 2 8 3 4" xfId="17379" xr:uid="{8BBDED82-3F02-4881-98ED-454D29E90989}"/>
    <cellStyle name="Normal 2 3 2 2 2 8 3 5" xfId="17380" xr:uid="{86FED670-A7C6-4B8B-8668-2F42CCDE0640}"/>
    <cellStyle name="Normal 2 3 2 2 2 8 3 6" xfId="17381" xr:uid="{68F44541-242C-481D-8B9C-48DB4F17C667}"/>
    <cellStyle name="Normal 2 3 2 2 2 8 4" xfId="17382" xr:uid="{7BD29565-B548-4412-900C-72BB8EDD4499}"/>
    <cellStyle name="Normal 2 3 2 2 2 8 5" xfId="17383" xr:uid="{1C046402-4528-4D93-A264-52F2E9100DCC}"/>
    <cellStyle name="Normal 2 3 2 2 2 8 6" xfId="17384" xr:uid="{6043405A-C7C1-40AE-9956-9493955C7D71}"/>
    <cellStyle name="Normal 2 3 2 2 2 8 7" xfId="17385" xr:uid="{BC167955-F340-4BA1-B0BA-8785B5D936B6}"/>
    <cellStyle name="Normal 2 3 2 2 2 8 8" xfId="17386" xr:uid="{F3A07BFD-A1AB-48F4-B60E-49276C54575B}"/>
    <cellStyle name="Normal 2 3 2 2 2 8 9" xfId="17387" xr:uid="{BEB35A22-1FDC-4DBC-8FA6-A2661861612E}"/>
    <cellStyle name="Normal 2 3 2 2 2 9" xfId="17388" xr:uid="{F5795C5F-2D16-44EE-84E4-8276023D2623}"/>
    <cellStyle name="Normal 2 3 2 2 2 9 2" xfId="17389" xr:uid="{83056D6C-D71D-4AB7-A84A-F70E8EFD8C50}"/>
    <cellStyle name="Normal 2 3 2 2 2 9 3" xfId="17390" xr:uid="{67AAD42A-CE69-4A43-9A8F-49EA85A34B18}"/>
    <cellStyle name="Normal 2 3 2 2 2 9 4" xfId="17391" xr:uid="{682A1CFE-4E83-4675-A542-EED546FD5F80}"/>
    <cellStyle name="Normal 2 3 2 2 2 9 5" xfId="17392" xr:uid="{C904FCCC-D953-4B87-B84A-FB8598589E5F}"/>
    <cellStyle name="Normal 2 3 2 2 2 9 6" xfId="17393" xr:uid="{609324EB-97D9-45F8-9108-157902982D4C}"/>
    <cellStyle name="Normal 2 3 2 2 20" xfId="17394" xr:uid="{F83C4A5B-667C-407E-B29F-DE32C7667BB3}"/>
    <cellStyle name="Normal 2 3 2 2 21" xfId="17395" xr:uid="{23B8BC79-1E12-4767-AEE5-79F4811AB028}"/>
    <cellStyle name="Normal 2 3 2 2 22" xfId="17396" xr:uid="{4C346006-28F4-4F6A-B350-B6DB3C503E3B}"/>
    <cellStyle name="Normal 2 3 2 2 23" xfId="17397" xr:uid="{B25E85A5-13A7-4FD0-97FC-E5AFC4895F6F}"/>
    <cellStyle name="Normal 2 3 2 2 24" xfId="17398" xr:uid="{5619BF0E-D0B4-4F49-B22A-FF6012052EB3}"/>
    <cellStyle name="Normal 2 3 2 2 25" xfId="17399" xr:uid="{44CF1B5D-0EDD-45D4-BAF2-E9E48C08336F}"/>
    <cellStyle name="Normal 2 3 2 2 26" xfId="17400" xr:uid="{5C7883DA-1B13-49C8-A029-995EF73C381C}"/>
    <cellStyle name="Normal 2 3 2 2 27" xfId="17401" xr:uid="{73FF0E71-2043-458A-A706-C35B696D239F}"/>
    <cellStyle name="Normal 2 3 2 2 28" xfId="17402" xr:uid="{548A83FE-29D0-41D5-99D4-CEACEE05CA30}"/>
    <cellStyle name="Normal 2 3 2 2 28 2" xfId="17403" xr:uid="{97B2DF58-AE5C-4D47-A15D-530800DF8006}"/>
    <cellStyle name="Normal 2 3 2 2 28 2 2" xfId="17404" xr:uid="{739E34A3-67AE-495A-A8CE-5A97945B35EF}"/>
    <cellStyle name="Normal 2 3 2 2 28 2 2 2" xfId="17405" xr:uid="{9F48E9F3-5DEC-4C2D-9A10-0E97F026225A}"/>
    <cellStyle name="Normal 2 3 2 2 28 3" xfId="17406" xr:uid="{66868ADA-E3E0-4510-A425-5ED073725FD8}"/>
    <cellStyle name="Normal 2 3 2 2 28 4" xfId="17407" xr:uid="{6D4F4527-F7CC-44A7-8224-9800E25D1C23}"/>
    <cellStyle name="Normal 2 3 2 2 28 5" xfId="17408" xr:uid="{9005F5B9-CD6C-4B6A-AD88-0B9C34B5AF77}"/>
    <cellStyle name="Normal 2 3 2 2 28 6" xfId="17409" xr:uid="{E0DB20E7-F8BD-48BC-8752-9BBFDB69F6A7}"/>
    <cellStyle name="Normal 2 3 2 2 29" xfId="17410" xr:uid="{D4708776-DB08-48F9-8BAF-470A34926D3D}"/>
    <cellStyle name="Normal 2 3 2 2 29 2" xfId="17411" xr:uid="{C47498BD-4434-4916-9861-FD9715641117}"/>
    <cellStyle name="Normal 2 3 2 2 29 2 2" xfId="17412" xr:uid="{78B10001-79D9-49C1-BC3C-7EDF53E42076}"/>
    <cellStyle name="Normal 2 3 2 2 3" xfId="17413" xr:uid="{4813DC59-6F73-4669-B9ED-5BF8F6B14187}"/>
    <cellStyle name="Normal 2 3 2 2 3 10" xfId="17414" xr:uid="{6F7B4A6B-F0BA-4758-8DB6-63D1F1A90F5C}"/>
    <cellStyle name="Normal 2 3 2 2 3 11" xfId="17415" xr:uid="{DBDC4B30-E269-4ADC-A689-E98FB4008AAE}"/>
    <cellStyle name="Normal 2 3 2 2 3 12" xfId="17416" xr:uid="{363A2427-EC2A-4696-98EA-7AFE2586D1D8}"/>
    <cellStyle name="Normal 2 3 2 2 3 13" xfId="17417" xr:uid="{8A34AC82-4664-44F4-9A6A-4553F3505E9C}"/>
    <cellStyle name="Normal 2 3 2 2 3 14" xfId="17418" xr:uid="{DCCFBE59-A4AB-47AF-8C00-A035BE651898}"/>
    <cellStyle name="Normal 2 3 2 2 3 15" xfId="17419" xr:uid="{11A0A697-DCD3-47A4-900C-512E255ACF35}"/>
    <cellStyle name="Normal 2 3 2 2 3 16" xfId="17420" xr:uid="{2CF84053-AD39-4F41-8E4B-F8505B0DE083}"/>
    <cellStyle name="Normal 2 3 2 2 3 2" xfId="17421" xr:uid="{73296AC8-56FC-4123-8B49-36B6E3403625}"/>
    <cellStyle name="Normal 2 3 2 2 3 2 10" xfId="17422" xr:uid="{FECBCF35-8E44-4657-9528-2F2A14EE2AAC}"/>
    <cellStyle name="Normal 2 3 2 2 3 2 11" xfId="17423" xr:uid="{5B4E27B2-D77A-461B-893C-13ABE57898C6}"/>
    <cellStyle name="Normal 2 3 2 2 3 2 12" xfId="17424" xr:uid="{86EB0DC2-71FE-461B-A1F5-0CF31C20B1EC}"/>
    <cellStyle name="Normal 2 3 2 2 3 2 13" xfId="17425" xr:uid="{F44F966B-C16F-4603-AF45-8ACB5FDD4304}"/>
    <cellStyle name="Normal 2 3 2 2 3 2 14" xfId="17426" xr:uid="{E790ACCE-4D53-4369-8C04-CAD36DEA5090}"/>
    <cellStyle name="Normal 2 3 2 2 3 2 15" xfId="17427" xr:uid="{6D8E694E-BA92-4985-8F70-6473C00EE246}"/>
    <cellStyle name="Normal 2 3 2 2 3 2 2" xfId="17428" xr:uid="{BEE12CEE-29CD-4C18-914C-730B07F8A31C}"/>
    <cellStyle name="Normal 2 3 2 2 3 2 2 10" xfId="17429" xr:uid="{648E6AB4-4A86-46D4-8A70-B4E39560C0C2}"/>
    <cellStyle name="Normal 2 3 2 2 3 2 2 11" xfId="17430" xr:uid="{373DED6A-3563-4068-9CED-50DFDAFB6675}"/>
    <cellStyle name="Normal 2 3 2 2 3 2 2 12" xfId="17431" xr:uid="{44191D0B-1DB9-40F2-B692-994721E14F52}"/>
    <cellStyle name="Normal 2 3 2 2 3 2 2 2" xfId="17432" xr:uid="{2307F3EB-9A34-40B0-B032-3FA7D7770CD8}"/>
    <cellStyle name="Normal 2 3 2 2 3 2 2 2 10" xfId="17433" xr:uid="{8788F50E-CE9F-40C7-9164-070766E3EAE6}"/>
    <cellStyle name="Normal 2 3 2 2 3 2 2 2 11" xfId="17434" xr:uid="{AC661794-CB6C-4EB5-AF70-2544267ED3E6}"/>
    <cellStyle name="Normal 2 3 2 2 3 2 2 2 12" xfId="17435" xr:uid="{858A65DE-2160-4732-A0C7-97D7C7E82A15}"/>
    <cellStyle name="Normal 2 3 2 2 3 2 2 2 2" xfId="17436" xr:uid="{E3BE318B-88FF-4A1D-A651-F3070C352A5C}"/>
    <cellStyle name="Normal 2 3 2 2 3 2 2 2 2 2" xfId="17437" xr:uid="{8E3880AA-0F4F-4A75-9952-3CF2069E6A3D}"/>
    <cellStyle name="Normal 2 3 2 2 3 2 2 2 2 2 2" xfId="17438" xr:uid="{E010336C-1E74-4EEB-BCFA-0A3D875EF173}"/>
    <cellStyle name="Normal 2 3 2 2 3 2 2 2 2 2 2 2" xfId="17439" xr:uid="{486FCAC5-1037-48FD-B480-E7B013B9C735}"/>
    <cellStyle name="Normal 2 3 2 2 3 2 2 2 2 2 2 2 2" xfId="17440" xr:uid="{6B51831E-8E96-4F0F-93F5-DDFAA71EDE3D}"/>
    <cellStyle name="Normal 2 3 2 2 3 2 2 2 2 2 2 2 3" xfId="17441" xr:uid="{0C9B2B91-B1FA-4809-A638-A3F3BFE0E326}"/>
    <cellStyle name="Normal 2 3 2 2 3 2 2 2 2 2 2 2 4" xfId="17442" xr:uid="{B9C514CB-2493-41F5-A6FF-F1CABC832453}"/>
    <cellStyle name="Normal 2 3 2 2 3 2 2 2 2 2 2 2 5" xfId="17443" xr:uid="{B469513C-1B0A-44D8-9325-8DB9FCC29EEF}"/>
    <cellStyle name="Normal 2 3 2 2 3 2 2 2 2 2 2 2 6" xfId="17444" xr:uid="{72D44240-352D-444B-B32B-33A1C81E8B1D}"/>
    <cellStyle name="Normal 2 3 2 2 3 2 2 2 2 2 2 3" xfId="17445" xr:uid="{8D69B015-BCF2-43E9-9569-66D462A300BD}"/>
    <cellStyle name="Normal 2 3 2 2 3 2 2 2 2 2 2 4" xfId="17446" xr:uid="{16AD6896-39E9-4507-8009-EFC70CC9CB1A}"/>
    <cellStyle name="Normal 2 3 2 2 3 2 2 2 2 2 2 5" xfId="17447" xr:uid="{0E986463-E890-4BA8-8752-DE26FFFB2F84}"/>
    <cellStyle name="Normal 2 3 2 2 3 2 2 2 2 2 2 6" xfId="17448" xr:uid="{C8DF863B-E9D4-4FD8-9667-E8E8154CC1BB}"/>
    <cellStyle name="Normal 2 3 2 2 3 2 2 2 2 2 3" xfId="17449" xr:uid="{7ACCFE33-1BCD-4C8C-B5A6-F4ED91CBC02F}"/>
    <cellStyle name="Normal 2 3 2 2 3 2 2 2 2 2 4" xfId="17450" xr:uid="{CFEB335F-62A9-4A86-AD5B-8492F098AB38}"/>
    <cellStyle name="Normal 2 3 2 2 3 2 2 2 2 2 5" xfId="17451" xr:uid="{6F7AF4A8-8BC3-4A1B-AFF4-96C4CEDDE79A}"/>
    <cellStyle name="Normal 2 3 2 2 3 2 2 2 2 2 6" xfId="17452" xr:uid="{3B7D185C-0D7D-4793-AE01-47FE40E683C4}"/>
    <cellStyle name="Normal 2 3 2 2 3 2 2 2 2 2 7" xfId="17453" xr:uid="{4B52D43E-74E7-4497-B302-713C850D337F}"/>
    <cellStyle name="Normal 2 3 2 2 3 2 2 2 2 2 8" xfId="17454" xr:uid="{2518CEF8-036A-4993-9F2C-D79560FFA52E}"/>
    <cellStyle name="Normal 2 3 2 2 3 2 2 2 2 2 9" xfId="17455" xr:uid="{9A157626-380F-4E44-9056-3174C1639DB9}"/>
    <cellStyle name="Normal 2 3 2 2 3 2 2 2 2 3" xfId="17456" xr:uid="{F38C94C7-2CF2-4C19-A484-030726E31406}"/>
    <cellStyle name="Normal 2 3 2 2 3 2 2 2 2 3 2" xfId="17457" xr:uid="{522B42D0-7C70-452D-A9C9-C51BEEB47B18}"/>
    <cellStyle name="Normal 2 3 2 2 3 2 2 2 2 3 2 2" xfId="17458" xr:uid="{EA49A681-52E3-44A1-A9FE-0CA9EBD67B51}"/>
    <cellStyle name="Normal 2 3 2 2 3 2 2 2 2 3 2 3" xfId="17459" xr:uid="{32C792FB-8CD4-4D89-93A3-A42EE36A7D37}"/>
    <cellStyle name="Normal 2 3 2 2 3 2 2 2 2 3 2 4" xfId="17460" xr:uid="{714FC561-ECC4-49CB-A0A7-42760BBF2C40}"/>
    <cellStyle name="Normal 2 3 2 2 3 2 2 2 2 3 2 5" xfId="17461" xr:uid="{AE5879DC-0937-4FBA-B276-3EB99323913F}"/>
    <cellStyle name="Normal 2 3 2 2 3 2 2 2 2 3 2 6" xfId="17462" xr:uid="{D5194A02-80C3-4FBD-BE14-238B3A9CCBE8}"/>
    <cellStyle name="Normal 2 3 2 2 3 2 2 2 2 3 3" xfId="17463" xr:uid="{408B7F8E-24BC-4999-8C70-4F7BB380E5BD}"/>
    <cellStyle name="Normal 2 3 2 2 3 2 2 2 2 3 4" xfId="17464" xr:uid="{05432F26-7FFD-4E70-A5A3-087AAC858346}"/>
    <cellStyle name="Normal 2 3 2 2 3 2 2 2 2 3 5" xfId="17465" xr:uid="{B546FB42-5968-437A-9A9E-6E9EABA47700}"/>
    <cellStyle name="Normal 2 3 2 2 3 2 2 2 2 3 6" xfId="17466" xr:uid="{4139BCD3-F4BB-439B-AB9A-3A402218C546}"/>
    <cellStyle name="Normal 2 3 2 2 3 2 2 2 2 4" xfId="17467" xr:uid="{07A13301-F2C5-436F-B1C7-525E13A13103}"/>
    <cellStyle name="Normal 2 3 2 2 3 2 2 2 2 5" xfId="17468" xr:uid="{058BA772-705C-47D9-8BE7-50D6F0E24C62}"/>
    <cellStyle name="Normal 2 3 2 2 3 2 2 2 2 6" xfId="17469" xr:uid="{626BC63A-EBC5-415B-8E97-0C5CA071A256}"/>
    <cellStyle name="Normal 2 3 2 2 3 2 2 2 2 7" xfId="17470" xr:uid="{FF7A2C11-02F9-46C2-93BC-AC450A662C5B}"/>
    <cellStyle name="Normal 2 3 2 2 3 2 2 2 2 8" xfId="17471" xr:uid="{AE556E48-091E-467E-93AC-DF568CAB7A45}"/>
    <cellStyle name="Normal 2 3 2 2 3 2 2 2 2 9" xfId="17472" xr:uid="{FFEB894C-7043-4FA4-A100-56627C36231C}"/>
    <cellStyle name="Normal 2 3 2 2 3 2 2 2 3" xfId="17473" xr:uid="{3299FCE4-948B-4D18-82EF-FAD15051A6BF}"/>
    <cellStyle name="Normal 2 3 2 2 3 2 2 2 4" xfId="17474" xr:uid="{2018D9DA-9106-4D60-8221-A84968288208}"/>
    <cellStyle name="Normal 2 3 2 2 3 2 2 2 5" xfId="17475" xr:uid="{861B3650-D3F3-4EA1-8853-D925BED24666}"/>
    <cellStyle name="Normal 2 3 2 2 3 2 2 2 5 2" xfId="17476" xr:uid="{57A7E5A1-5090-45BD-97A3-7511010D74F4}"/>
    <cellStyle name="Normal 2 3 2 2 3 2 2 2 5 2 2" xfId="17477" xr:uid="{F29E7C3F-4E5C-4DA1-A8A6-04104F43C1A9}"/>
    <cellStyle name="Normal 2 3 2 2 3 2 2 2 5 2 3" xfId="17478" xr:uid="{D9BBE1F5-820B-457B-A99D-D295B708EA5D}"/>
    <cellStyle name="Normal 2 3 2 2 3 2 2 2 5 2 4" xfId="17479" xr:uid="{71BF7FEE-EE20-476D-9766-0F6D3D0F62BA}"/>
    <cellStyle name="Normal 2 3 2 2 3 2 2 2 5 2 5" xfId="17480" xr:uid="{AE3B9FAC-27BB-4B5B-A06D-6EA7E4EA57E8}"/>
    <cellStyle name="Normal 2 3 2 2 3 2 2 2 5 2 6" xfId="17481" xr:uid="{3CE74419-AB0B-4924-A204-4E38606D4F34}"/>
    <cellStyle name="Normal 2 3 2 2 3 2 2 2 5 3" xfId="17482" xr:uid="{DEE6C930-E775-4CE6-A75A-FEFF8C1964DD}"/>
    <cellStyle name="Normal 2 3 2 2 3 2 2 2 5 4" xfId="17483" xr:uid="{6C6926BF-7580-4F77-9081-B9FA569D9EB6}"/>
    <cellStyle name="Normal 2 3 2 2 3 2 2 2 5 5" xfId="17484" xr:uid="{2E597623-90F7-4B4C-9D61-B8479D59AECB}"/>
    <cellStyle name="Normal 2 3 2 2 3 2 2 2 5 6" xfId="17485" xr:uid="{AD2E860A-2EC3-4B84-AF7A-4F243313D91B}"/>
    <cellStyle name="Normal 2 3 2 2 3 2 2 2 6" xfId="17486" xr:uid="{9B0E6224-D585-4DA2-8CFD-56D0B066594F}"/>
    <cellStyle name="Normal 2 3 2 2 3 2 2 2 7" xfId="17487" xr:uid="{65D63C7A-F78E-4CD7-8CE5-60C01543FEC2}"/>
    <cellStyle name="Normal 2 3 2 2 3 2 2 2 8" xfId="17488" xr:uid="{689C80F5-5FDE-4CB3-98EB-0D8CB6E039EB}"/>
    <cellStyle name="Normal 2 3 2 2 3 2 2 2 9" xfId="17489" xr:uid="{32F41F7B-FD47-4EAA-A0D7-A65E28C55FAC}"/>
    <cellStyle name="Normal 2 3 2 2 3 2 2 3" xfId="17490" xr:uid="{95C94465-9B9E-494E-BB0B-6A857264BB53}"/>
    <cellStyle name="Normal 2 3 2 2 3 2 2 3 2" xfId="17491" xr:uid="{AEEC14E3-A503-4CE5-AE41-4EA1560EB4AD}"/>
    <cellStyle name="Normal 2 3 2 2 3 2 2 3 2 2" xfId="17492" xr:uid="{F0109BDE-6C9E-41D6-8919-A5C7FA87922A}"/>
    <cellStyle name="Normal 2 3 2 2 3 2 2 3 2 2 2" xfId="17493" xr:uid="{774CEFEA-5F7E-4C47-ACDE-A0CC2CE2E0F4}"/>
    <cellStyle name="Normal 2 3 2 2 3 2 2 3 2 2 2 2" xfId="17494" xr:uid="{2011ED80-DCA3-45EC-AC9B-EE21C7DCC235}"/>
    <cellStyle name="Normal 2 3 2 2 3 2 2 3 2 2 2 3" xfId="17495" xr:uid="{6D2C1DDB-C289-4188-A7F3-0299F0313C6F}"/>
    <cellStyle name="Normal 2 3 2 2 3 2 2 3 2 2 2 4" xfId="17496" xr:uid="{9F165742-4DE6-4843-950E-6BD22D1C1199}"/>
    <cellStyle name="Normal 2 3 2 2 3 2 2 3 2 2 2 5" xfId="17497" xr:uid="{17C4147E-EAD7-41EC-A793-4EB9135BD46D}"/>
    <cellStyle name="Normal 2 3 2 2 3 2 2 3 2 2 2 6" xfId="17498" xr:uid="{BCC30B5C-FFAD-43DC-9EC9-DA9DD46E7E4F}"/>
    <cellStyle name="Normal 2 3 2 2 3 2 2 3 2 2 3" xfId="17499" xr:uid="{364BF996-6F2D-4EDA-8695-CEF69089C8A0}"/>
    <cellStyle name="Normal 2 3 2 2 3 2 2 3 2 2 4" xfId="17500" xr:uid="{38B451CB-61A1-4271-9647-FEAD19DF000A}"/>
    <cellStyle name="Normal 2 3 2 2 3 2 2 3 2 2 5" xfId="17501" xr:uid="{B3281A62-A04E-490F-9EF3-09F4175F489B}"/>
    <cellStyle name="Normal 2 3 2 2 3 2 2 3 2 2 6" xfId="17502" xr:uid="{DFA82416-C543-4457-89B6-5FA7DBAEEE66}"/>
    <cellStyle name="Normal 2 3 2 2 3 2 2 3 2 3" xfId="17503" xr:uid="{034E5394-4BA0-46EA-874C-39AB54A9325D}"/>
    <cellStyle name="Normal 2 3 2 2 3 2 2 3 2 4" xfId="17504" xr:uid="{A2692622-291F-4E59-91E5-0877942453B8}"/>
    <cellStyle name="Normal 2 3 2 2 3 2 2 3 2 5" xfId="17505" xr:uid="{7BD74C73-24E8-42AB-9D29-A276736A05D5}"/>
    <cellStyle name="Normal 2 3 2 2 3 2 2 3 2 6" xfId="17506" xr:uid="{97F8B100-3E72-4DE8-B38C-8ABF246ADB08}"/>
    <cellStyle name="Normal 2 3 2 2 3 2 2 3 2 7" xfId="17507" xr:uid="{A5FA8F36-D73E-44A2-A9F8-E749AF6B06C0}"/>
    <cellStyle name="Normal 2 3 2 2 3 2 2 3 2 8" xfId="17508" xr:uid="{FE375977-D6CE-4D48-A3A5-CCD13BC020EF}"/>
    <cellStyle name="Normal 2 3 2 2 3 2 2 3 2 9" xfId="17509" xr:uid="{074099E0-9BBE-42A3-867A-E962A5A09F67}"/>
    <cellStyle name="Normal 2 3 2 2 3 2 2 3 3" xfId="17510" xr:uid="{7532AF24-7E40-4099-A217-E51C81F285C7}"/>
    <cellStyle name="Normal 2 3 2 2 3 2 2 3 3 2" xfId="17511" xr:uid="{6D3FD348-B828-4025-A16B-49F69E02E91C}"/>
    <cellStyle name="Normal 2 3 2 2 3 2 2 3 3 2 2" xfId="17512" xr:uid="{D76A0585-883C-48FD-ABEB-81E89476F28D}"/>
    <cellStyle name="Normal 2 3 2 2 3 2 2 3 3 2 3" xfId="17513" xr:uid="{9C7ED12B-FE0E-4ADB-A76C-FAC31B49C72C}"/>
    <cellStyle name="Normal 2 3 2 2 3 2 2 3 3 2 4" xfId="17514" xr:uid="{D1B196D6-5B25-4C63-B0B0-6F490142EAC3}"/>
    <cellStyle name="Normal 2 3 2 2 3 2 2 3 3 2 5" xfId="17515" xr:uid="{80088032-420B-426F-B317-62504FCB3710}"/>
    <cellStyle name="Normal 2 3 2 2 3 2 2 3 3 2 6" xfId="17516" xr:uid="{1F9FA487-ACB7-4673-8750-C927F5228931}"/>
    <cellStyle name="Normal 2 3 2 2 3 2 2 3 3 3" xfId="17517" xr:uid="{C76F22C9-6FDE-4E8F-AE51-303A6A68E27E}"/>
    <cellStyle name="Normal 2 3 2 2 3 2 2 3 3 4" xfId="17518" xr:uid="{64FFA768-0020-40DD-B57F-E34B58330E69}"/>
    <cellStyle name="Normal 2 3 2 2 3 2 2 3 3 5" xfId="17519" xr:uid="{A2F18C19-33DE-4553-8F2F-C2DB350920F3}"/>
    <cellStyle name="Normal 2 3 2 2 3 2 2 3 3 6" xfId="17520" xr:uid="{00D9D2FA-7BDB-49E9-BC28-CB3A290BBE33}"/>
    <cellStyle name="Normal 2 3 2 2 3 2 2 3 4" xfId="17521" xr:uid="{0E3DF94C-A5C2-4240-A304-2F8E43B2FB12}"/>
    <cellStyle name="Normal 2 3 2 2 3 2 2 3 5" xfId="17522" xr:uid="{4D6F3826-626F-4201-A173-AF7A3FED8343}"/>
    <cellStyle name="Normal 2 3 2 2 3 2 2 3 6" xfId="17523" xr:uid="{0EAEC72C-8C1B-4121-8BFF-7068C7C43933}"/>
    <cellStyle name="Normal 2 3 2 2 3 2 2 3 7" xfId="17524" xr:uid="{195522C8-FFB4-45E2-A965-7516EBFDCF69}"/>
    <cellStyle name="Normal 2 3 2 2 3 2 2 3 8" xfId="17525" xr:uid="{4215E442-FA31-4E37-AE94-6BE5ADB7E341}"/>
    <cellStyle name="Normal 2 3 2 2 3 2 2 3 9" xfId="17526" xr:uid="{16F9BF9A-FBE6-4DDA-BB1C-4CBC6108E11F}"/>
    <cellStyle name="Normal 2 3 2 2 3 2 2 4" xfId="17527" xr:uid="{1A0F7EB6-C2F7-45C8-8A40-38153530F4C3}"/>
    <cellStyle name="Normal 2 3 2 2 3 2 2 5" xfId="17528" xr:uid="{9CA59ABD-FF6A-480D-B08B-A934B523E614}"/>
    <cellStyle name="Normal 2 3 2 2 3 2 2 5 2" xfId="17529" xr:uid="{6958972D-670C-4765-B8F3-855BCFF695B8}"/>
    <cellStyle name="Normal 2 3 2 2 3 2 2 5 2 2" xfId="17530" xr:uid="{7AB9C103-3401-4843-8AF5-5ECFCAEA8732}"/>
    <cellStyle name="Normal 2 3 2 2 3 2 2 5 2 3" xfId="17531" xr:uid="{B156028F-0C44-48F8-B7D4-6CD098E22CB4}"/>
    <cellStyle name="Normal 2 3 2 2 3 2 2 5 2 4" xfId="17532" xr:uid="{06159AC0-4ABA-410E-AA48-EA19E5AAF92B}"/>
    <cellStyle name="Normal 2 3 2 2 3 2 2 5 2 5" xfId="17533" xr:uid="{7ACF6F07-0D17-4485-9FB5-A2D26B415EFA}"/>
    <cellStyle name="Normal 2 3 2 2 3 2 2 5 2 6" xfId="17534" xr:uid="{8B49C924-43FF-4D57-B512-5F2442F0C957}"/>
    <cellStyle name="Normal 2 3 2 2 3 2 2 5 3" xfId="17535" xr:uid="{9F15B8AD-8BA1-4339-AB75-6C82344E7D46}"/>
    <cellStyle name="Normal 2 3 2 2 3 2 2 5 4" xfId="17536" xr:uid="{4D775DCE-5FEE-4419-9466-1BDF3272721E}"/>
    <cellStyle name="Normal 2 3 2 2 3 2 2 5 5" xfId="17537" xr:uid="{26A0C8AA-7EEF-4870-819F-E161C12CEF95}"/>
    <cellStyle name="Normal 2 3 2 2 3 2 2 5 6" xfId="17538" xr:uid="{1BBC78A4-4351-44E3-BF86-D2FB09E8055B}"/>
    <cellStyle name="Normal 2 3 2 2 3 2 2 6" xfId="17539" xr:uid="{7EDA4BB0-75DC-4BDF-BDCA-DBEE303DA873}"/>
    <cellStyle name="Normal 2 3 2 2 3 2 2 7" xfId="17540" xr:uid="{9F6EE7FE-F551-41E3-B9B0-04D28C4F5484}"/>
    <cellStyle name="Normal 2 3 2 2 3 2 2 8" xfId="17541" xr:uid="{81759ED0-08F6-4C49-8A3C-A8A5534EA5A8}"/>
    <cellStyle name="Normal 2 3 2 2 3 2 2 9" xfId="17542" xr:uid="{5DA5B058-8305-4FB6-B14A-88F2CEE7837B}"/>
    <cellStyle name="Normal 2 3 2 2 3 2 3" xfId="17543" xr:uid="{70FAC670-3C8B-4479-937C-CBAE6D1936E1}"/>
    <cellStyle name="Normal 2 3 2 2 3 2 4" xfId="17544" xr:uid="{D9AED551-33B7-4B37-8E8D-18D182C60637}"/>
    <cellStyle name="Normal 2 3 2 2 3 2 5" xfId="17545" xr:uid="{BE48DF2A-60F5-4653-BCBC-215742F7EA43}"/>
    <cellStyle name="Normal 2 3 2 2 3 2 5 2" xfId="17546" xr:uid="{E270C364-2CDE-4A18-BBC4-12BE683B2F6F}"/>
    <cellStyle name="Normal 2 3 2 2 3 2 5 2 2" xfId="17547" xr:uid="{DCB754BD-255A-4541-9536-6D5336A65FAD}"/>
    <cellStyle name="Normal 2 3 2 2 3 2 5 2 2 2" xfId="17548" xr:uid="{482C99F0-FFD8-495E-80E8-FECD6F55B281}"/>
    <cellStyle name="Normal 2 3 2 2 3 2 5 2 2 2 2" xfId="17549" xr:uid="{BFEED58C-30E5-41E8-A369-2A8FC4B6ECE9}"/>
    <cellStyle name="Normal 2 3 2 2 3 2 5 2 2 2 3" xfId="17550" xr:uid="{6CDE4CB5-7229-495F-B96C-BF2141FA7E01}"/>
    <cellStyle name="Normal 2 3 2 2 3 2 5 2 2 2 4" xfId="17551" xr:uid="{49594ECF-5DD6-40DF-B934-E5431195650F}"/>
    <cellStyle name="Normal 2 3 2 2 3 2 5 2 2 2 5" xfId="17552" xr:uid="{0E200FC0-C49D-4D17-9D17-BE0D25321EF6}"/>
    <cellStyle name="Normal 2 3 2 2 3 2 5 2 2 2 6" xfId="17553" xr:uid="{4B490579-0DFF-410B-BBBF-DD77BDF6C007}"/>
    <cellStyle name="Normal 2 3 2 2 3 2 5 2 2 3" xfId="17554" xr:uid="{06CD3AC0-97B9-43FE-9A78-4011E8E488A3}"/>
    <cellStyle name="Normal 2 3 2 2 3 2 5 2 2 4" xfId="17555" xr:uid="{0F01A343-2112-4C1E-B83C-1722F367260A}"/>
    <cellStyle name="Normal 2 3 2 2 3 2 5 2 2 5" xfId="17556" xr:uid="{928A4740-1856-40A6-8A79-B1EB2C18B842}"/>
    <cellStyle name="Normal 2 3 2 2 3 2 5 2 2 6" xfId="17557" xr:uid="{3C225822-B867-4AB1-B022-4FE301EF5EA7}"/>
    <cellStyle name="Normal 2 3 2 2 3 2 5 2 3" xfId="17558" xr:uid="{F84BFC59-6837-465B-9347-185D35865BA2}"/>
    <cellStyle name="Normal 2 3 2 2 3 2 5 2 4" xfId="17559" xr:uid="{ACE8FA45-1414-4808-87A1-FFD42D20FEDC}"/>
    <cellStyle name="Normal 2 3 2 2 3 2 5 2 5" xfId="17560" xr:uid="{DCE2A848-9B73-45F8-84BA-36550287458E}"/>
    <cellStyle name="Normal 2 3 2 2 3 2 5 2 6" xfId="17561" xr:uid="{71FAD5F5-0486-4D2A-BB35-4A16D58A70AB}"/>
    <cellStyle name="Normal 2 3 2 2 3 2 5 2 7" xfId="17562" xr:uid="{53DEFCCC-E240-4384-8592-F919663A8CF6}"/>
    <cellStyle name="Normal 2 3 2 2 3 2 5 2 8" xfId="17563" xr:uid="{45A88E93-7AC3-4C9F-9FF6-E2C4454626DF}"/>
    <cellStyle name="Normal 2 3 2 2 3 2 5 2 9" xfId="17564" xr:uid="{907AC3CD-55A2-43A5-8F06-DD7D64D0A413}"/>
    <cellStyle name="Normal 2 3 2 2 3 2 5 3" xfId="17565" xr:uid="{236D284F-76A7-41E9-A9CF-8DCEB05D9772}"/>
    <cellStyle name="Normal 2 3 2 2 3 2 5 3 2" xfId="17566" xr:uid="{B54CFA50-7D3F-4F91-95D9-3183E6731AEE}"/>
    <cellStyle name="Normal 2 3 2 2 3 2 5 3 2 2" xfId="17567" xr:uid="{FFF9E233-7B05-4E72-95E7-AEE76F68B395}"/>
    <cellStyle name="Normal 2 3 2 2 3 2 5 3 2 3" xfId="17568" xr:uid="{6CF2E38F-31E1-4FB1-85D8-C50BC148D8DD}"/>
    <cellStyle name="Normal 2 3 2 2 3 2 5 3 2 4" xfId="17569" xr:uid="{5378A3B1-62C8-4226-94CB-30433E79ACE1}"/>
    <cellStyle name="Normal 2 3 2 2 3 2 5 3 2 5" xfId="17570" xr:uid="{8AED25E2-A8C4-4700-9B41-2C07CE62595D}"/>
    <cellStyle name="Normal 2 3 2 2 3 2 5 3 2 6" xfId="17571" xr:uid="{537697AA-4AD1-44CC-ABE3-20B49789C44B}"/>
    <cellStyle name="Normal 2 3 2 2 3 2 5 3 3" xfId="17572" xr:uid="{5E8C16CD-5C6C-470F-B927-CD59878DC044}"/>
    <cellStyle name="Normal 2 3 2 2 3 2 5 3 4" xfId="17573" xr:uid="{18FD6FED-D605-4200-B091-FEFCFA034D2A}"/>
    <cellStyle name="Normal 2 3 2 2 3 2 5 3 5" xfId="17574" xr:uid="{C1217A48-AE28-467B-A17D-41CDB45D714D}"/>
    <cellStyle name="Normal 2 3 2 2 3 2 5 3 6" xfId="17575" xr:uid="{CB4C5D85-005B-4042-8337-FD65A6F53FE7}"/>
    <cellStyle name="Normal 2 3 2 2 3 2 5 4" xfId="17576" xr:uid="{61A054F4-5A6A-4BAE-96BB-9AB1461E4160}"/>
    <cellStyle name="Normal 2 3 2 2 3 2 5 5" xfId="17577" xr:uid="{F80D9C50-95EB-46CB-A0C6-DBD585266E79}"/>
    <cellStyle name="Normal 2 3 2 2 3 2 5 6" xfId="17578" xr:uid="{E44327E5-E666-45E0-96B0-4041AF140AAE}"/>
    <cellStyle name="Normal 2 3 2 2 3 2 5 7" xfId="17579" xr:uid="{93B3B32D-A580-4906-936E-0603FBDA9C39}"/>
    <cellStyle name="Normal 2 3 2 2 3 2 5 8" xfId="17580" xr:uid="{F0956ED4-3D02-4224-940A-A644FA786B88}"/>
    <cellStyle name="Normal 2 3 2 2 3 2 5 9" xfId="17581" xr:uid="{18CE6D3A-62F5-4A10-B120-D10AD7F15F29}"/>
    <cellStyle name="Normal 2 3 2 2 3 2 6" xfId="17582" xr:uid="{79623BCC-FE33-4FC6-9FB5-9DAD692EFDCD}"/>
    <cellStyle name="Normal 2 3 2 2 3 2 7" xfId="17583" xr:uid="{37695271-3F3A-4BFC-B6C4-22B5CFF956E6}"/>
    <cellStyle name="Normal 2 3 2 2 3 2 8" xfId="17584" xr:uid="{BAC2F6D1-1F85-4BDA-893A-633165F7954D}"/>
    <cellStyle name="Normal 2 3 2 2 3 2 8 2" xfId="17585" xr:uid="{CDA23959-CCBD-49B1-8845-E9EE11CC5F4E}"/>
    <cellStyle name="Normal 2 3 2 2 3 2 8 2 2" xfId="17586" xr:uid="{1EBE2835-29E9-4A76-AD2E-86BC7B38550B}"/>
    <cellStyle name="Normal 2 3 2 2 3 2 8 2 3" xfId="17587" xr:uid="{6F055CB3-DA9F-4F24-9BA9-BA855E3CB584}"/>
    <cellStyle name="Normal 2 3 2 2 3 2 8 2 4" xfId="17588" xr:uid="{772CF77C-C3F9-4A99-BA9A-35DDAFD57BC5}"/>
    <cellStyle name="Normal 2 3 2 2 3 2 8 2 5" xfId="17589" xr:uid="{481DAA06-15F6-4F91-954C-074AA31FADB5}"/>
    <cellStyle name="Normal 2 3 2 2 3 2 8 2 6" xfId="17590" xr:uid="{A8A3BBA8-2428-4A23-856E-F414FD5E1A7F}"/>
    <cellStyle name="Normal 2 3 2 2 3 2 8 3" xfId="17591" xr:uid="{89818A1E-E764-4FC4-A046-3643406DFECB}"/>
    <cellStyle name="Normal 2 3 2 2 3 2 8 4" xfId="17592" xr:uid="{7EC1C294-DF00-43A2-BECE-1F9F8CFBA382}"/>
    <cellStyle name="Normal 2 3 2 2 3 2 8 5" xfId="17593" xr:uid="{CA2E97FA-9E48-4150-8380-42BECDF99619}"/>
    <cellStyle name="Normal 2 3 2 2 3 2 8 6" xfId="17594" xr:uid="{CA33ED4C-E928-4A08-80D3-39B772C30100}"/>
    <cellStyle name="Normal 2 3 2 2 3 2 9" xfId="17595" xr:uid="{820B1B35-D80E-46C6-B62B-BC2978629A74}"/>
    <cellStyle name="Normal 2 3 2 2 3 3" xfId="17596" xr:uid="{91441F1D-2DB6-4631-AAE8-AC06B6C537A9}"/>
    <cellStyle name="Normal 2 3 2 2 3 3 10" xfId="17597" xr:uid="{C71E4265-6E0D-4EC6-A381-F45C8C340566}"/>
    <cellStyle name="Normal 2 3 2 2 3 3 11" xfId="17598" xr:uid="{BE213587-30D0-4384-A2E7-21E3CF1C8BE8}"/>
    <cellStyle name="Normal 2 3 2 2 3 3 12" xfId="17599" xr:uid="{D1FCD85A-25B6-432E-A3E8-D92B7A16FD9F}"/>
    <cellStyle name="Normal 2 3 2 2 3 3 2" xfId="17600" xr:uid="{7ED4A01C-1DD0-4AC5-825B-2185468FFA45}"/>
    <cellStyle name="Normal 2 3 2 2 3 3 2 10" xfId="17601" xr:uid="{7BCE6994-4219-4096-9B77-38366930782C}"/>
    <cellStyle name="Normal 2 3 2 2 3 3 2 11" xfId="17602" xr:uid="{A3BAD98A-F707-4256-B3CA-2A482483502D}"/>
    <cellStyle name="Normal 2 3 2 2 3 3 2 12" xfId="17603" xr:uid="{CAF1D620-A0D0-4FFD-A863-0AE20020D85F}"/>
    <cellStyle name="Normal 2 3 2 2 3 3 2 2" xfId="17604" xr:uid="{442B3D4D-5A9C-490C-93AE-73636182B17A}"/>
    <cellStyle name="Normal 2 3 2 2 3 3 2 2 2" xfId="17605" xr:uid="{5018E46B-4565-428A-BB52-AB655FE8215D}"/>
    <cellStyle name="Normal 2 3 2 2 3 3 2 2 2 2" xfId="17606" xr:uid="{B613E755-91FB-4DCD-81D5-FD3AC863E7AD}"/>
    <cellStyle name="Normal 2 3 2 2 3 3 2 2 2 2 2" xfId="17607" xr:uid="{0B6903AA-83D1-4537-BA54-60CFEA45C768}"/>
    <cellStyle name="Normal 2 3 2 2 3 3 2 2 2 2 2 2" xfId="17608" xr:uid="{ECA87981-D1D8-4493-B056-EEA7D51FA0FB}"/>
    <cellStyle name="Normal 2 3 2 2 3 3 2 2 2 2 2 3" xfId="17609" xr:uid="{67EAD62D-AE0B-4A0B-85C2-35AAEBC65F16}"/>
    <cellStyle name="Normal 2 3 2 2 3 3 2 2 2 2 2 4" xfId="17610" xr:uid="{57C4AF89-99D6-4710-B458-B0D9DC3AE03A}"/>
    <cellStyle name="Normal 2 3 2 2 3 3 2 2 2 2 2 5" xfId="17611" xr:uid="{45CE7032-1F26-48E8-BC85-1D0CB8ACE322}"/>
    <cellStyle name="Normal 2 3 2 2 3 3 2 2 2 2 2 6" xfId="17612" xr:uid="{790D3AFC-EDC1-4CD5-993C-AC2EFE77F371}"/>
    <cellStyle name="Normal 2 3 2 2 3 3 2 2 2 2 3" xfId="17613" xr:uid="{2A6CC87C-FA79-40E0-873E-24581C67BE99}"/>
    <cellStyle name="Normal 2 3 2 2 3 3 2 2 2 2 4" xfId="17614" xr:uid="{ACC53356-4B7F-4109-BD38-2B3875D4223E}"/>
    <cellStyle name="Normal 2 3 2 2 3 3 2 2 2 2 5" xfId="17615" xr:uid="{8B8533EF-D1FA-4DD4-B9AF-0E4EC0F9BF4B}"/>
    <cellStyle name="Normal 2 3 2 2 3 3 2 2 2 2 6" xfId="17616" xr:uid="{DD407906-DE4C-4A06-80F1-C9C6E8EB65B4}"/>
    <cellStyle name="Normal 2 3 2 2 3 3 2 2 2 3" xfId="17617" xr:uid="{0930FDB3-CD77-4702-9032-98EBC1119ACA}"/>
    <cellStyle name="Normal 2 3 2 2 3 3 2 2 2 4" xfId="17618" xr:uid="{87CA289A-74D2-4468-8E60-77D009DA2430}"/>
    <cellStyle name="Normal 2 3 2 2 3 3 2 2 2 5" xfId="17619" xr:uid="{104303BB-E8D2-422F-9DC6-97FC169D38C1}"/>
    <cellStyle name="Normal 2 3 2 2 3 3 2 2 2 6" xfId="17620" xr:uid="{6010B900-4569-4ACF-B8BF-89B3C5299861}"/>
    <cellStyle name="Normal 2 3 2 2 3 3 2 2 2 7" xfId="17621" xr:uid="{F930C1F7-61AF-4F93-A717-C85778145AB1}"/>
    <cellStyle name="Normal 2 3 2 2 3 3 2 2 2 8" xfId="17622" xr:uid="{FBA0B4D4-8DD2-4562-A58D-B19EB16BC11D}"/>
    <cellStyle name="Normal 2 3 2 2 3 3 2 2 2 9" xfId="17623" xr:uid="{C3B8AD11-8772-4AB2-8FEF-FB648B2B85BC}"/>
    <cellStyle name="Normal 2 3 2 2 3 3 2 2 3" xfId="17624" xr:uid="{683A25F4-3EBC-49AE-8FEF-1984385FD79D}"/>
    <cellStyle name="Normal 2 3 2 2 3 3 2 2 3 2" xfId="17625" xr:uid="{082439F4-8FFB-44F0-8E04-14BB6561BD9C}"/>
    <cellStyle name="Normal 2 3 2 2 3 3 2 2 3 2 2" xfId="17626" xr:uid="{79DFF089-9411-4E80-8AC9-396D5008CC5A}"/>
    <cellStyle name="Normal 2 3 2 2 3 3 2 2 3 2 3" xfId="17627" xr:uid="{60AA37CE-7EEF-4364-AF1F-06DC09C97D8D}"/>
    <cellStyle name="Normal 2 3 2 2 3 3 2 2 3 2 4" xfId="17628" xr:uid="{C3C20CFF-8904-4A41-99AD-4700FB44588E}"/>
    <cellStyle name="Normal 2 3 2 2 3 3 2 2 3 2 5" xfId="17629" xr:uid="{78FA3588-2E59-44DA-A790-C28563FEE5ED}"/>
    <cellStyle name="Normal 2 3 2 2 3 3 2 2 3 2 6" xfId="17630" xr:uid="{040F4043-4FDD-44F5-934B-49B5BA9C8796}"/>
    <cellStyle name="Normal 2 3 2 2 3 3 2 2 3 3" xfId="17631" xr:uid="{55884823-EC97-4F8F-A2D3-1E18B9949083}"/>
    <cellStyle name="Normal 2 3 2 2 3 3 2 2 3 4" xfId="17632" xr:uid="{50D5C4E6-DBEA-4C15-9098-1285517148B5}"/>
    <cellStyle name="Normal 2 3 2 2 3 3 2 2 3 5" xfId="17633" xr:uid="{274E483D-BAE1-4BCA-A3BD-24EB52C8E096}"/>
    <cellStyle name="Normal 2 3 2 2 3 3 2 2 3 6" xfId="17634" xr:uid="{0447023A-1F8E-4F44-9FB3-0765617A40BE}"/>
    <cellStyle name="Normal 2 3 2 2 3 3 2 2 4" xfId="17635" xr:uid="{7EE3ABE6-43F1-4DF3-A8A6-C6438A3496B6}"/>
    <cellStyle name="Normal 2 3 2 2 3 3 2 2 5" xfId="17636" xr:uid="{90BB12F0-E5DC-4909-845E-D2CB9CC90315}"/>
    <cellStyle name="Normal 2 3 2 2 3 3 2 2 6" xfId="17637" xr:uid="{0EA83997-F067-4E7F-A923-28CD3112493B}"/>
    <cellStyle name="Normal 2 3 2 2 3 3 2 2 7" xfId="17638" xr:uid="{753C3642-AD8D-4D5E-88EA-734E8C327726}"/>
    <cellStyle name="Normal 2 3 2 2 3 3 2 2 8" xfId="17639" xr:uid="{4A44C357-62FC-4396-8727-BC2C362BA349}"/>
    <cellStyle name="Normal 2 3 2 2 3 3 2 2 9" xfId="17640" xr:uid="{196184DF-0CF2-43B9-8C8F-EFFB9E3940AB}"/>
    <cellStyle name="Normal 2 3 2 2 3 3 2 3" xfId="17641" xr:uid="{72037263-3C00-4191-BC6C-BC50184E613D}"/>
    <cellStyle name="Normal 2 3 2 2 3 3 2 4" xfId="17642" xr:uid="{B5475298-2D54-4731-8402-F4DF3B735583}"/>
    <cellStyle name="Normal 2 3 2 2 3 3 2 5" xfId="17643" xr:uid="{3E1269A4-6E79-4DD5-9C02-D1222B37B793}"/>
    <cellStyle name="Normal 2 3 2 2 3 3 2 5 2" xfId="17644" xr:uid="{B8A53EEE-939E-4489-8480-A9B1EA703C48}"/>
    <cellStyle name="Normal 2 3 2 2 3 3 2 5 2 2" xfId="17645" xr:uid="{288861CB-121B-4E4E-B33F-A320141F5FC7}"/>
    <cellStyle name="Normal 2 3 2 2 3 3 2 5 2 3" xfId="17646" xr:uid="{C3411337-BBA9-4A31-A4D2-5AF99599B80F}"/>
    <cellStyle name="Normal 2 3 2 2 3 3 2 5 2 4" xfId="17647" xr:uid="{FD88B421-1129-46F4-84C9-6041D94635B2}"/>
    <cellStyle name="Normal 2 3 2 2 3 3 2 5 2 5" xfId="17648" xr:uid="{998B5FDE-8D5E-4343-9C89-8829E1D1BA52}"/>
    <cellStyle name="Normal 2 3 2 2 3 3 2 5 2 6" xfId="17649" xr:uid="{18CC9D35-D01B-46B2-B869-52C78FA3CEFC}"/>
    <cellStyle name="Normal 2 3 2 2 3 3 2 5 3" xfId="17650" xr:uid="{F63A6553-6810-411A-88C7-200C04792502}"/>
    <cellStyle name="Normal 2 3 2 2 3 3 2 5 4" xfId="17651" xr:uid="{484144AA-5164-4825-A0AD-53640666998E}"/>
    <cellStyle name="Normal 2 3 2 2 3 3 2 5 5" xfId="17652" xr:uid="{7D008681-A546-4695-A7BA-4A9A303EAB96}"/>
    <cellStyle name="Normal 2 3 2 2 3 3 2 5 6" xfId="17653" xr:uid="{055B815A-0DA7-4CB0-82A6-A4E75873C843}"/>
    <cellStyle name="Normal 2 3 2 2 3 3 2 6" xfId="17654" xr:uid="{3CE114E8-9F55-4F29-9B5F-D3D37D8AF421}"/>
    <cellStyle name="Normal 2 3 2 2 3 3 2 7" xfId="17655" xr:uid="{1E5D9C13-EFF9-47AA-B381-2625741F77A7}"/>
    <cellStyle name="Normal 2 3 2 2 3 3 2 8" xfId="17656" xr:uid="{24E69ABB-E40A-4423-9371-FD4E0CC1FB61}"/>
    <cellStyle name="Normal 2 3 2 2 3 3 2 9" xfId="17657" xr:uid="{06E33257-7E22-491B-BBEA-C60689E0ED9B}"/>
    <cellStyle name="Normal 2 3 2 2 3 3 3" xfId="17658" xr:uid="{7CA3CD79-EDE7-4828-86F1-35F6A6C7E94D}"/>
    <cellStyle name="Normal 2 3 2 2 3 3 3 2" xfId="17659" xr:uid="{14BDF0C7-6130-4A35-B5A7-24B21738E6E1}"/>
    <cellStyle name="Normal 2 3 2 2 3 3 3 2 2" xfId="17660" xr:uid="{7C3B023B-3245-4C93-AD73-1247A28DF4FD}"/>
    <cellStyle name="Normal 2 3 2 2 3 3 3 2 2 2" xfId="17661" xr:uid="{470D4B81-F76C-46AF-8475-18A520EEE057}"/>
    <cellStyle name="Normal 2 3 2 2 3 3 3 2 2 2 2" xfId="17662" xr:uid="{97139BB9-098F-4C00-8AF2-5029C6F2D6BF}"/>
    <cellStyle name="Normal 2 3 2 2 3 3 3 2 2 2 3" xfId="17663" xr:uid="{BAF14A03-521B-4EFF-BFFB-A3D2CAC4387D}"/>
    <cellStyle name="Normal 2 3 2 2 3 3 3 2 2 2 4" xfId="17664" xr:uid="{E0AEEAEC-2B87-4BCC-BE0A-A02622A36A4F}"/>
    <cellStyle name="Normal 2 3 2 2 3 3 3 2 2 2 5" xfId="17665" xr:uid="{255662F7-87F3-415E-B80A-7029FF2F42A0}"/>
    <cellStyle name="Normal 2 3 2 2 3 3 3 2 2 2 6" xfId="17666" xr:uid="{42F0E8E7-38DA-40B3-AFD4-5DFFCAA787EB}"/>
    <cellStyle name="Normal 2 3 2 2 3 3 3 2 2 3" xfId="17667" xr:uid="{1A822C06-F63E-492F-9D6C-FCB59BC6114F}"/>
    <cellStyle name="Normal 2 3 2 2 3 3 3 2 2 4" xfId="17668" xr:uid="{25BFE663-B0C2-4E9D-901D-08C41FB4B468}"/>
    <cellStyle name="Normal 2 3 2 2 3 3 3 2 2 5" xfId="17669" xr:uid="{49FAB085-E334-4783-9EC4-92EA77437DE3}"/>
    <cellStyle name="Normal 2 3 2 2 3 3 3 2 2 6" xfId="17670" xr:uid="{C526E0DF-A0D9-4EB1-882E-8BEADB409F9A}"/>
    <cellStyle name="Normal 2 3 2 2 3 3 3 2 3" xfId="17671" xr:uid="{2ACC5352-0217-4766-99D5-0410346E32BC}"/>
    <cellStyle name="Normal 2 3 2 2 3 3 3 2 4" xfId="17672" xr:uid="{C2D72672-B15F-4EDB-919D-0CA2E83FCF94}"/>
    <cellStyle name="Normal 2 3 2 2 3 3 3 2 5" xfId="17673" xr:uid="{C704B2F5-555A-425F-9529-EFE15E60C032}"/>
    <cellStyle name="Normal 2 3 2 2 3 3 3 2 6" xfId="17674" xr:uid="{32144C26-56DD-4E82-A274-CEC7699A2675}"/>
    <cellStyle name="Normal 2 3 2 2 3 3 3 2 7" xfId="17675" xr:uid="{5749343E-2B60-425B-B516-A3E7C88E959C}"/>
    <cellStyle name="Normal 2 3 2 2 3 3 3 2 8" xfId="17676" xr:uid="{FAB2FC04-8AEB-46BD-8819-D709DDAEDE5A}"/>
    <cellStyle name="Normal 2 3 2 2 3 3 3 2 9" xfId="17677" xr:uid="{A98F855F-53BC-47FE-95C0-C3B731718995}"/>
    <cellStyle name="Normal 2 3 2 2 3 3 3 3" xfId="17678" xr:uid="{17DD11B3-11B3-495E-8CC0-8CC1A28D5B18}"/>
    <cellStyle name="Normal 2 3 2 2 3 3 3 3 2" xfId="17679" xr:uid="{5DAFE155-2D81-4109-8A76-D9722E8178D1}"/>
    <cellStyle name="Normal 2 3 2 2 3 3 3 3 2 2" xfId="17680" xr:uid="{0620ABDE-3FD3-4C94-A771-D1C966606335}"/>
    <cellStyle name="Normal 2 3 2 2 3 3 3 3 2 3" xfId="17681" xr:uid="{841B97DC-43F2-47EA-953B-C2224E0D4A89}"/>
    <cellStyle name="Normal 2 3 2 2 3 3 3 3 2 4" xfId="17682" xr:uid="{3717EC98-BA15-4AD9-8B52-DB10B8445CBF}"/>
    <cellStyle name="Normal 2 3 2 2 3 3 3 3 2 5" xfId="17683" xr:uid="{AE39EE37-D778-4A89-B5C6-601FB1BB6077}"/>
    <cellStyle name="Normal 2 3 2 2 3 3 3 3 2 6" xfId="17684" xr:uid="{1F9F232C-0244-48EB-B1C1-288C3B149CE8}"/>
    <cellStyle name="Normal 2 3 2 2 3 3 3 3 3" xfId="17685" xr:uid="{7006D5AC-1A1D-413B-99E8-F64FC7409CDA}"/>
    <cellStyle name="Normal 2 3 2 2 3 3 3 3 4" xfId="17686" xr:uid="{BE860B01-2521-48F7-B0B1-0DB94BCDC54B}"/>
    <cellStyle name="Normal 2 3 2 2 3 3 3 3 5" xfId="17687" xr:uid="{16B5AE3B-E927-45C6-86A0-C7A97DF7357F}"/>
    <cellStyle name="Normal 2 3 2 2 3 3 3 3 6" xfId="17688" xr:uid="{93D1F5C5-3B56-4744-A961-74493DB7DD8E}"/>
    <cellStyle name="Normal 2 3 2 2 3 3 3 4" xfId="17689" xr:uid="{582F0530-9B5C-4CDD-86FF-AEA5740AE6E8}"/>
    <cellStyle name="Normal 2 3 2 2 3 3 3 5" xfId="17690" xr:uid="{4EB26C28-6F37-493B-A665-ED0E004E3086}"/>
    <cellStyle name="Normal 2 3 2 2 3 3 3 6" xfId="17691" xr:uid="{8E1C582E-2212-4CB7-B404-073841CCF45E}"/>
    <cellStyle name="Normal 2 3 2 2 3 3 3 7" xfId="17692" xr:uid="{DAB7F790-BAD4-4A80-8EED-230F2666B71B}"/>
    <cellStyle name="Normal 2 3 2 2 3 3 3 8" xfId="17693" xr:uid="{D86BA13E-4732-4A73-BBF4-33450ED7B5B5}"/>
    <cellStyle name="Normal 2 3 2 2 3 3 3 9" xfId="17694" xr:uid="{E4C48575-8751-425A-A8EC-DD6C03414CD9}"/>
    <cellStyle name="Normal 2 3 2 2 3 3 4" xfId="17695" xr:uid="{08DBDD91-BFC7-4B6B-89EA-90DEF4754C3F}"/>
    <cellStyle name="Normal 2 3 2 2 3 3 5" xfId="17696" xr:uid="{91CB3B9C-8299-4E3B-A11F-90831C7DFB4C}"/>
    <cellStyle name="Normal 2 3 2 2 3 3 5 2" xfId="17697" xr:uid="{122D8B7F-9B73-4FF8-BAC3-D49191253AA1}"/>
    <cellStyle name="Normal 2 3 2 2 3 3 5 2 2" xfId="17698" xr:uid="{F6455834-562A-4ADC-8893-AF959661B53E}"/>
    <cellStyle name="Normal 2 3 2 2 3 3 5 2 3" xfId="17699" xr:uid="{E572A2E1-056D-4598-8A20-8E144465719C}"/>
    <cellStyle name="Normal 2 3 2 2 3 3 5 2 4" xfId="17700" xr:uid="{C38A59B8-73D8-4694-A698-C20CD367D938}"/>
    <cellStyle name="Normal 2 3 2 2 3 3 5 2 5" xfId="17701" xr:uid="{95CB9112-9B37-4E9B-A067-7B4887B2B10B}"/>
    <cellStyle name="Normal 2 3 2 2 3 3 5 2 6" xfId="17702" xr:uid="{DFB85A95-78C3-4526-AD73-17DE1C21186D}"/>
    <cellStyle name="Normal 2 3 2 2 3 3 5 3" xfId="17703" xr:uid="{04AC24DE-95FB-479B-875E-50A09213A8B8}"/>
    <cellStyle name="Normal 2 3 2 2 3 3 5 4" xfId="17704" xr:uid="{367A7110-9D4E-4832-923A-6E5727231856}"/>
    <cellStyle name="Normal 2 3 2 2 3 3 5 5" xfId="17705" xr:uid="{E0B3538C-0B69-43DA-AC4C-152800CB27D3}"/>
    <cellStyle name="Normal 2 3 2 2 3 3 5 6" xfId="17706" xr:uid="{886ECFBD-C146-4A5E-B0CC-5B34A4FDC4C4}"/>
    <cellStyle name="Normal 2 3 2 2 3 3 6" xfId="17707" xr:uid="{AD84A3A9-EC22-48D1-8217-4F0F42328EAF}"/>
    <cellStyle name="Normal 2 3 2 2 3 3 7" xfId="17708" xr:uid="{D4A00EF5-D166-4E72-9BDB-20FBAA7F307F}"/>
    <cellStyle name="Normal 2 3 2 2 3 3 8" xfId="17709" xr:uid="{AD9F705B-528B-4CDE-8200-A9AAF26B1CC3}"/>
    <cellStyle name="Normal 2 3 2 2 3 3 9" xfId="17710" xr:uid="{DBA8E767-141B-46DE-9B7E-5C8A606BE238}"/>
    <cellStyle name="Normal 2 3 2 2 3 4" xfId="17711" xr:uid="{E1B6F095-30A9-48B5-ABC1-64C96A02BD3C}"/>
    <cellStyle name="Normal 2 3 2 2 3 5" xfId="17712" xr:uid="{7ACC2521-A34E-4FBE-AD3C-DF8BE4FBFD90}"/>
    <cellStyle name="Normal 2 3 2 2 3 5 2" xfId="17713" xr:uid="{74E49E5A-3AEF-420A-B4C3-EBB077280C11}"/>
    <cellStyle name="Normal 2 3 2 2 3 5 2 2" xfId="17714" xr:uid="{87A094A4-801F-4A6D-806F-B1B5116C0D4E}"/>
    <cellStyle name="Normal 2 3 2 2 3 5 2 2 2" xfId="17715" xr:uid="{24F566F6-1AC1-4264-A40A-4807E7717FD2}"/>
    <cellStyle name="Normal 2 3 2 2 3 5 2 2 2 2" xfId="17716" xr:uid="{E9A27ECB-51D6-42BA-BAFE-72D8A931DDDB}"/>
    <cellStyle name="Normal 2 3 2 2 3 5 2 2 2 3" xfId="17717" xr:uid="{3DC662A7-48BF-4E97-860C-0257FE992F39}"/>
    <cellStyle name="Normal 2 3 2 2 3 5 2 2 2 4" xfId="17718" xr:uid="{FABC56D1-8C1D-4CB8-AA42-484454FE8456}"/>
    <cellStyle name="Normal 2 3 2 2 3 5 2 2 2 5" xfId="17719" xr:uid="{7EEDA29D-C757-414A-8E11-E3C20A66FD6E}"/>
    <cellStyle name="Normal 2 3 2 2 3 5 2 2 2 6" xfId="17720" xr:uid="{F728C514-4A14-4659-B4EC-1F3F0A546952}"/>
    <cellStyle name="Normal 2 3 2 2 3 5 2 2 3" xfId="17721" xr:uid="{15AEF524-5121-41AB-87AE-BF8EE3E839A8}"/>
    <cellStyle name="Normal 2 3 2 2 3 5 2 2 4" xfId="17722" xr:uid="{F174323C-AE0C-46AF-A70B-365FB17D7F0B}"/>
    <cellStyle name="Normal 2 3 2 2 3 5 2 2 5" xfId="17723" xr:uid="{CA434EFB-A959-4C9A-8CEB-3A2AB5229401}"/>
    <cellStyle name="Normal 2 3 2 2 3 5 2 2 6" xfId="17724" xr:uid="{D6960CC5-D66C-49BB-AEF2-4CEA2D3937B5}"/>
    <cellStyle name="Normal 2 3 2 2 3 5 2 3" xfId="17725" xr:uid="{C7450F92-67F3-4F09-9B7E-A27AF18EEA1A}"/>
    <cellStyle name="Normal 2 3 2 2 3 5 2 4" xfId="17726" xr:uid="{C6E3608F-685A-40FD-A99C-D11745A24B2F}"/>
    <cellStyle name="Normal 2 3 2 2 3 5 2 5" xfId="17727" xr:uid="{63D58EB2-140E-4D91-9B17-A81F5498DCC8}"/>
    <cellStyle name="Normal 2 3 2 2 3 5 2 6" xfId="17728" xr:uid="{2C2FFBE7-3BB7-451D-B140-312CBE1E429E}"/>
    <cellStyle name="Normal 2 3 2 2 3 5 2 7" xfId="17729" xr:uid="{14378055-077C-48DD-8267-B03B9E19465B}"/>
    <cellStyle name="Normal 2 3 2 2 3 5 2 8" xfId="17730" xr:uid="{23DC5F1D-DDB8-40C8-ACD9-D58668154E9E}"/>
    <cellStyle name="Normal 2 3 2 2 3 5 2 9" xfId="17731" xr:uid="{2D1AD970-9AA9-4887-B8E0-ACAE71633021}"/>
    <cellStyle name="Normal 2 3 2 2 3 5 3" xfId="17732" xr:uid="{A73997A5-FB3C-484A-B88A-AC3E82E38BF0}"/>
    <cellStyle name="Normal 2 3 2 2 3 5 3 2" xfId="17733" xr:uid="{5464AE31-CFD3-4752-94D0-9FB319EC7C51}"/>
    <cellStyle name="Normal 2 3 2 2 3 5 3 2 2" xfId="17734" xr:uid="{D15FEA05-DEB9-4DF8-A4D3-50399ACD672A}"/>
    <cellStyle name="Normal 2 3 2 2 3 5 3 2 3" xfId="17735" xr:uid="{A0CA608B-BEFC-4C3E-9FED-FEEAC0331747}"/>
    <cellStyle name="Normal 2 3 2 2 3 5 3 2 4" xfId="17736" xr:uid="{2B86C05D-FEB8-4222-B268-663C41D952A0}"/>
    <cellStyle name="Normal 2 3 2 2 3 5 3 2 5" xfId="17737" xr:uid="{E224FF82-C7EA-4DC6-8EF9-9FFD7F7137F9}"/>
    <cellStyle name="Normal 2 3 2 2 3 5 3 2 6" xfId="17738" xr:uid="{F6BDC10F-F703-46C2-AA9E-EF2E18DAFD95}"/>
    <cellStyle name="Normal 2 3 2 2 3 5 3 3" xfId="17739" xr:uid="{5ABD17A1-F6A5-42C0-B5F8-CC3B9AFF814D}"/>
    <cellStyle name="Normal 2 3 2 2 3 5 3 4" xfId="17740" xr:uid="{992199AA-1DC8-4ECF-A68B-BE1A3C93FC2C}"/>
    <cellStyle name="Normal 2 3 2 2 3 5 3 5" xfId="17741" xr:uid="{5C50A43E-F9EB-4F08-8935-0393CEB56E21}"/>
    <cellStyle name="Normal 2 3 2 2 3 5 3 6" xfId="17742" xr:uid="{A7677DAA-EC7A-4BC9-B9F5-F143207E2D57}"/>
    <cellStyle name="Normal 2 3 2 2 3 5 4" xfId="17743" xr:uid="{492CC3F0-1CBE-4A10-B95E-A08E3A5601CB}"/>
    <cellStyle name="Normal 2 3 2 2 3 5 5" xfId="17744" xr:uid="{DBA9A134-7F52-45F0-9C89-B851FF19B2DE}"/>
    <cellStyle name="Normal 2 3 2 2 3 5 6" xfId="17745" xr:uid="{DC0C8FA4-E013-41C9-8114-F4A05E7DC406}"/>
    <cellStyle name="Normal 2 3 2 2 3 5 7" xfId="17746" xr:uid="{D31402DD-5C04-4179-8FC4-B1FC84AF9477}"/>
    <cellStyle name="Normal 2 3 2 2 3 5 8" xfId="17747" xr:uid="{54A8857F-0770-4CFB-9F83-4F44EA10EF95}"/>
    <cellStyle name="Normal 2 3 2 2 3 5 9" xfId="17748" xr:uid="{3B1DEF50-79F5-44AD-B466-D31E5E1FE47A}"/>
    <cellStyle name="Normal 2 3 2 2 3 6" xfId="17749" xr:uid="{EC07B983-BB3C-4CBD-8CCA-BEE669EAD463}"/>
    <cellStyle name="Normal 2 3 2 2 3 7" xfId="17750" xr:uid="{304C35EF-E0EB-4A37-9812-6E3BAF071B82}"/>
    <cellStyle name="Normal 2 3 2 2 3 8" xfId="17751" xr:uid="{93E647E6-AB29-4A81-8A80-10281BB34D79}"/>
    <cellStyle name="Normal 2 3 2 2 3 8 2" xfId="17752" xr:uid="{5C436973-AFBC-476C-9088-F0B8ED031958}"/>
    <cellStyle name="Normal 2 3 2 2 3 8 2 2" xfId="17753" xr:uid="{65EA4152-0551-44AA-B8D7-42E240D96FCA}"/>
    <cellStyle name="Normal 2 3 2 2 3 8 2 3" xfId="17754" xr:uid="{4CCC30C6-9FBE-46FD-9D61-D6B8AB315C84}"/>
    <cellStyle name="Normal 2 3 2 2 3 8 2 4" xfId="17755" xr:uid="{75140851-87F2-46A0-BF27-623677954F28}"/>
    <cellStyle name="Normal 2 3 2 2 3 8 2 5" xfId="17756" xr:uid="{2BF082DE-E16C-4DAB-9D40-7F379115C3C7}"/>
    <cellStyle name="Normal 2 3 2 2 3 8 2 6" xfId="17757" xr:uid="{8396EEED-FEC6-49C6-916B-B0C02EAF4CC7}"/>
    <cellStyle name="Normal 2 3 2 2 3 8 3" xfId="17758" xr:uid="{0FFA0037-E2EB-4413-80EC-89FCC6DE0782}"/>
    <cellStyle name="Normal 2 3 2 2 3 8 4" xfId="17759" xr:uid="{31930638-F584-4EA1-8167-E5D0AAA7E9FE}"/>
    <cellStyle name="Normal 2 3 2 2 3 8 5" xfId="17760" xr:uid="{C4FC6135-E7D6-4598-9768-FE7BB6B66230}"/>
    <cellStyle name="Normal 2 3 2 2 3 8 6" xfId="17761" xr:uid="{B01788DF-5304-4880-ABBE-F40EACDF32E4}"/>
    <cellStyle name="Normal 2 3 2 2 3 9" xfId="17762" xr:uid="{3049A75D-0CBB-42CE-B930-CCA22F7BD047}"/>
    <cellStyle name="Normal 2 3 2 2 30" xfId="17763" xr:uid="{2BE96471-BAF4-4E53-98C3-83E7A9E69646}"/>
    <cellStyle name="Normal 2 3 2 2 31" xfId="17764" xr:uid="{AFBF5E96-3214-4D3B-AD4D-0EA64DF636BB}"/>
    <cellStyle name="Normal 2 3 2 2 32" xfId="17765" xr:uid="{BD41199C-DB1E-4BF2-84AC-0AD63A91480F}"/>
    <cellStyle name="Normal 2 3 2 2 33" xfId="17766" xr:uid="{3979224B-B098-42A1-AFA1-1027437254B1}"/>
    <cellStyle name="Normal 2 3 2 2 34" xfId="17767" xr:uid="{35C78404-BD9B-4508-B55F-517A8ACD48B4}"/>
    <cellStyle name="Normal 2 3 2 2 35" xfId="17768" xr:uid="{BE804019-C0E9-4785-BAAE-2890B42B187F}"/>
    <cellStyle name="Normal 2 3 2 2 36" xfId="17769" xr:uid="{B1A806B9-D2F8-40D4-982B-CA136B665B16}"/>
    <cellStyle name="Normal 2 3 2 2 37" xfId="17770" xr:uid="{4D36DE7D-E489-429F-9BFE-2B37C49CB40A}"/>
    <cellStyle name="Normal 2 3 2 2 38" xfId="17771" xr:uid="{7EEE986D-3EEE-46A6-A7D5-52ED3C2AF420}"/>
    <cellStyle name="Normal 2 3 2 2 38 10" xfId="17772" xr:uid="{EFC0F2C6-73B9-437B-8511-28AE852E02A8}"/>
    <cellStyle name="Normal 2 3 2 2 38 11" xfId="17773" xr:uid="{B208FFC0-692B-4ADA-8A72-12EC79C4BBFA}"/>
    <cellStyle name="Normal 2 3 2 2 38 12" xfId="17774" xr:uid="{2306DBAB-CEDB-4196-88DB-E0E6E3A077A3}"/>
    <cellStyle name="Normal 2 3 2 2 38 13" xfId="17775" xr:uid="{526A38D0-F67F-4E82-9BDC-96575998A79B}"/>
    <cellStyle name="Normal 2 3 2 2 38 14" xfId="17776" xr:uid="{638DDB38-7946-4049-9225-E386CCAE23D4}"/>
    <cellStyle name="Normal 2 3 2 2 38 15" xfId="17777" xr:uid="{AEAA81EE-A9F7-4BCF-878F-56A24A24E7AF}"/>
    <cellStyle name="Normal 2 3 2 2 38 16" xfId="17778" xr:uid="{7D851962-5BD5-4B72-B5BA-1DE735A177C7}"/>
    <cellStyle name="Normal 2 3 2 2 38 2" xfId="17779" xr:uid="{8E5D6A50-666F-4F09-A1B2-5E7CDD48057B}"/>
    <cellStyle name="Normal 2 3 2 2 38 3" xfId="17780" xr:uid="{E21B9301-AF00-4A81-886C-BA77D293E676}"/>
    <cellStyle name="Normal 2 3 2 2 38 4" xfId="17781" xr:uid="{C40D6AF4-4732-4585-A3C1-F663DC6125F8}"/>
    <cellStyle name="Normal 2 3 2 2 38 5" xfId="17782" xr:uid="{81090DA2-61C8-494A-AB87-5A27343D7F46}"/>
    <cellStyle name="Normal 2 3 2 2 38 6" xfId="17783" xr:uid="{A36A6131-A71E-4B17-A430-41608F89E5A9}"/>
    <cellStyle name="Normal 2 3 2 2 38 7" xfId="17784" xr:uid="{5EDEF2A6-6271-4103-A3EB-EAA071B32CDA}"/>
    <cellStyle name="Normal 2 3 2 2 38 8" xfId="17785" xr:uid="{1F90CDBB-68A3-4729-8A07-258847819FF3}"/>
    <cellStyle name="Normal 2 3 2 2 38 9" xfId="17786" xr:uid="{9167B064-703D-4126-A227-994C5E2BB6E5}"/>
    <cellStyle name="Normal 2 3 2 2 39" xfId="17787" xr:uid="{EF544445-E8A7-4F14-BC4B-30C4ACF6E26C}"/>
    <cellStyle name="Normal 2 3 2 2 4" xfId="17788" xr:uid="{98CD99E8-8D76-4E62-B5DB-C110AA750CAC}"/>
    <cellStyle name="Normal 2 3 2 2 4 2" xfId="17789" xr:uid="{D42F6150-5394-4225-A6D8-710482CCDBCA}"/>
    <cellStyle name="Normal 2 3 2 2 4 3" xfId="17790" xr:uid="{0AF48CFB-470B-4547-8C2E-84C5E6E88F99}"/>
    <cellStyle name="Normal 2 3 2 2 4 4" xfId="17791" xr:uid="{BAABB030-E3F9-497B-9714-CA0F791E95B0}"/>
    <cellStyle name="Normal 2 3 2 2 4 5" xfId="17792" xr:uid="{A215213C-EFC2-4582-BB54-07596CF4F8AF}"/>
    <cellStyle name="Normal 2 3 2 2 4 6" xfId="17793" xr:uid="{E530054C-2190-4ACE-A06B-C63A9BD1552D}"/>
    <cellStyle name="Normal 2 3 2 2 40" xfId="17794" xr:uid="{15C15B5D-C598-45E8-ABB6-7FFE75D485B2}"/>
    <cellStyle name="Normal 2 3 2 2 41" xfId="17795" xr:uid="{0CE05929-3DB5-46B2-B0FB-54DFF66B5AB5}"/>
    <cellStyle name="Normal 2 3 2 2 42" xfId="17796" xr:uid="{C2771446-2B72-4A38-B6F4-7EC6ACCE565D}"/>
    <cellStyle name="Normal 2 3 2 2 43" xfId="17797" xr:uid="{63004477-380C-4C64-B545-BD1B28DEE15A}"/>
    <cellStyle name="Normal 2 3 2 2 44" xfId="17798" xr:uid="{FCC01F35-49A9-4A9F-8BC0-FF3442FF8808}"/>
    <cellStyle name="Normal 2 3 2 2 45" xfId="17799" xr:uid="{756D6DDF-1B02-4A93-BE80-36496B00E905}"/>
    <cellStyle name="Normal 2 3 2 2 46" xfId="17800" xr:uid="{579C6368-062F-402C-8DD7-2DAFC9247E93}"/>
    <cellStyle name="Normal 2 3 2 2 47" xfId="17801" xr:uid="{156AE0DB-AF24-49DD-A4A8-384C2CAD0781}"/>
    <cellStyle name="Normal 2 3 2 2 48" xfId="17802" xr:uid="{9B73EB63-8CEC-47CB-8BB4-EB04CE5058C8}"/>
    <cellStyle name="Normal 2 3 2 2 49" xfId="17803" xr:uid="{795D0A95-1CDF-45BC-AD1D-44A28D6F3F24}"/>
    <cellStyle name="Normal 2 3 2 2 5" xfId="17804" xr:uid="{8E293FC0-9EA2-4102-B456-31916E63DB71}"/>
    <cellStyle name="Normal 2 3 2 2 5 10" xfId="17805" xr:uid="{F13B652C-4234-49A5-AE54-0D4295B75091}"/>
    <cellStyle name="Normal 2 3 2 2 5 11" xfId="17806" xr:uid="{66E23425-9F4B-47AF-9F0F-D970917CDAF7}"/>
    <cellStyle name="Normal 2 3 2 2 5 12" xfId="17807" xr:uid="{CC47EA4D-441F-46F9-B070-1A2E132851CE}"/>
    <cellStyle name="Normal 2 3 2 2 5 13" xfId="17808" xr:uid="{3EC95D02-24C1-4604-B180-10683FC91AD4}"/>
    <cellStyle name="Normal 2 3 2 2 5 14" xfId="17809" xr:uid="{A91B9BE7-D6D6-45F5-A8E3-DAF2FC5A7C18}"/>
    <cellStyle name="Normal 2 3 2 2 5 15" xfId="17810" xr:uid="{B98B0659-7101-4023-8CBF-8E64DA980942}"/>
    <cellStyle name="Normal 2 3 2 2 5 16" xfId="17811" xr:uid="{0C34E608-AACA-40AD-9596-BAF07EB5BA7C}"/>
    <cellStyle name="Normal 2 3 2 2 5 17" xfId="17812" xr:uid="{09CCA1BC-B783-4AD2-9AA0-36ADB3E7ED5D}"/>
    <cellStyle name="Normal 2 3 2 2 5 2" xfId="17813" xr:uid="{98206D70-8AA5-4ACE-9A68-200FCA8A27B9}"/>
    <cellStyle name="Normal 2 3 2 2 5 2 10" xfId="17814" xr:uid="{CB6F075D-0CFD-4296-BFFC-34C329770ABF}"/>
    <cellStyle name="Normal 2 3 2 2 5 2 11" xfId="17815" xr:uid="{56260ED2-BBA0-4F62-908A-7264A12D272A}"/>
    <cellStyle name="Normal 2 3 2 2 5 2 12" xfId="17816" xr:uid="{1F75CDDD-7047-4003-AC73-A96DE7B6A649}"/>
    <cellStyle name="Normal 2 3 2 2 5 2 2" xfId="17817" xr:uid="{361FCA40-F9C9-40CC-855F-58B59038CD8B}"/>
    <cellStyle name="Normal 2 3 2 2 5 2 2 2" xfId="17818" xr:uid="{4F42BCAC-51EB-4C43-9D1A-C85731AC7485}"/>
    <cellStyle name="Normal 2 3 2 2 5 2 2 2 2" xfId="17819" xr:uid="{951CA168-D172-47D7-B456-ED33B52A55DE}"/>
    <cellStyle name="Normal 2 3 2 2 5 2 2 2 2 2" xfId="17820" xr:uid="{8D3E0046-87F1-498A-A110-CAB57DBFB25B}"/>
    <cellStyle name="Normal 2 3 2 2 5 2 2 2 2 2 2" xfId="17821" xr:uid="{50DA9F9B-C73C-41C5-912B-7831141075F7}"/>
    <cellStyle name="Normal 2 3 2 2 5 2 2 2 2 2 3" xfId="17822" xr:uid="{DB6F73A0-F8D2-4511-8B89-711DC74E2442}"/>
    <cellStyle name="Normal 2 3 2 2 5 2 2 2 2 2 4" xfId="17823" xr:uid="{E503BAD1-B495-4576-8936-5F35B1CD25A1}"/>
    <cellStyle name="Normal 2 3 2 2 5 2 2 2 2 2 5" xfId="17824" xr:uid="{C1D33BC8-3A1B-46DD-8F8C-B7E9890E90E5}"/>
    <cellStyle name="Normal 2 3 2 2 5 2 2 2 2 2 6" xfId="17825" xr:uid="{731ECA07-4BB0-4008-8A0B-DE1C3C91915C}"/>
    <cellStyle name="Normal 2 3 2 2 5 2 2 2 2 3" xfId="17826" xr:uid="{80D052EB-2623-4175-8242-CD7328AB2A91}"/>
    <cellStyle name="Normal 2 3 2 2 5 2 2 2 2 4" xfId="17827" xr:uid="{4AF09BF4-9BBA-4A0E-9449-1ECDD3C91E56}"/>
    <cellStyle name="Normal 2 3 2 2 5 2 2 2 2 5" xfId="17828" xr:uid="{279BB23F-FC91-45ED-AE2C-2EE2B3BBE6E8}"/>
    <cellStyle name="Normal 2 3 2 2 5 2 2 2 2 6" xfId="17829" xr:uid="{1B2E26F8-082F-4F55-9E16-027DAC796675}"/>
    <cellStyle name="Normal 2 3 2 2 5 2 2 2 3" xfId="17830" xr:uid="{4B05DB8B-6D4F-45B6-9558-F1C026DFB0C8}"/>
    <cellStyle name="Normal 2 3 2 2 5 2 2 2 4" xfId="17831" xr:uid="{C17D7E64-1817-4DF5-A94C-6DE87CEBB2B0}"/>
    <cellStyle name="Normal 2 3 2 2 5 2 2 2 5" xfId="17832" xr:uid="{FDEADFFA-06FA-4150-BAC1-E6EF41CD81A8}"/>
    <cellStyle name="Normal 2 3 2 2 5 2 2 2 6" xfId="17833" xr:uid="{0E89669F-8E49-4021-9702-F01501E502FB}"/>
    <cellStyle name="Normal 2 3 2 2 5 2 2 2 7" xfId="17834" xr:uid="{F2DA0311-B7D1-4A78-80C2-9F8B2068AEC4}"/>
    <cellStyle name="Normal 2 3 2 2 5 2 2 2 8" xfId="17835" xr:uid="{B0B8D7C5-FE58-48C5-978E-5700CAC01811}"/>
    <cellStyle name="Normal 2 3 2 2 5 2 2 2 9" xfId="17836" xr:uid="{43E87B71-0BAB-42FD-8293-FD9BB379C67F}"/>
    <cellStyle name="Normal 2 3 2 2 5 2 2 3" xfId="17837" xr:uid="{0348BC54-6BC0-4C85-AB16-0BAE42E808A1}"/>
    <cellStyle name="Normal 2 3 2 2 5 2 2 3 2" xfId="17838" xr:uid="{CDAAA06D-F861-447E-AE60-39F2D33F027F}"/>
    <cellStyle name="Normal 2 3 2 2 5 2 2 3 2 2" xfId="17839" xr:uid="{D15E5383-336F-4A35-9F94-3015F4806FEF}"/>
    <cellStyle name="Normal 2 3 2 2 5 2 2 3 2 3" xfId="17840" xr:uid="{9524FB8B-E3C2-4B30-9CEB-9D70380D1EB1}"/>
    <cellStyle name="Normal 2 3 2 2 5 2 2 3 2 4" xfId="17841" xr:uid="{3E96896B-9496-4247-BEBA-093CEB16427B}"/>
    <cellStyle name="Normal 2 3 2 2 5 2 2 3 2 5" xfId="17842" xr:uid="{5AE6677D-16E3-4796-950D-B35B6CE018F9}"/>
    <cellStyle name="Normal 2 3 2 2 5 2 2 3 2 6" xfId="17843" xr:uid="{51DB4867-844D-411C-B47B-F322BA624575}"/>
    <cellStyle name="Normal 2 3 2 2 5 2 2 3 3" xfId="17844" xr:uid="{3BF05CA9-17B4-43FC-9705-1D0A94FB2C4D}"/>
    <cellStyle name="Normal 2 3 2 2 5 2 2 3 4" xfId="17845" xr:uid="{F24B8AF2-562D-41C6-9F49-490C6AD22781}"/>
    <cellStyle name="Normal 2 3 2 2 5 2 2 3 5" xfId="17846" xr:uid="{D6A85C18-E500-48CF-AB32-4F3062701E1A}"/>
    <cellStyle name="Normal 2 3 2 2 5 2 2 3 6" xfId="17847" xr:uid="{62605B66-8D1D-403D-B773-ED24160B60F4}"/>
    <cellStyle name="Normal 2 3 2 2 5 2 2 4" xfId="17848" xr:uid="{08B9E45F-6E33-4272-927B-1BD32E7D0D81}"/>
    <cellStyle name="Normal 2 3 2 2 5 2 2 5" xfId="17849" xr:uid="{17CE6D9B-F9F0-4195-AE9A-DA31AEA717AC}"/>
    <cellStyle name="Normal 2 3 2 2 5 2 2 6" xfId="17850" xr:uid="{35D18874-622B-40DC-AE61-7FE0625E4015}"/>
    <cellStyle name="Normal 2 3 2 2 5 2 2 7" xfId="17851" xr:uid="{C562C665-160C-4470-B728-002C9018EE52}"/>
    <cellStyle name="Normal 2 3 2 2 5 2 2 8" xfId="17852" xr:uid="{46959CC0-61DB-4E3D-B27B-8CDDCC02C926}"/>
    <cellStyle name="Normal 2 3 2 2 5 2 2 9" xfId="17853" xr:uid="{70C9A648-384D-4441-982D-4DE7576E1C11}"/>
    <cellStyle name="Normal 2 3 2 2 5 2 3" xfId="17854" xr:uid="{424DB981-AB3A-4287-9362-5C1365C1FF71}"/>
    <cellStyle name="Normal 2 3 2 2 5 2 4" xfId="17855" xr:uid="{AA637FB6-5451-4004-BAFF-D18F22696D2B}"/>
    <cellStyle name="Normal 2 3 2 2 5 2 5" xfId="17856" xr:uid="{A1A4C66A-B037-4AEA-9707-DF3D0FA00FEA}"/>
    <cellStyle name="Normal 2 3 2 2 5 2 5 2" xfId="17857" xr:uid="{7B495624-D03A-420C-90AE-810BA42C5588}"/>
    <cellStyle name="Normal 2 3 2 2 5 2 5 2 2" xfId="17858" xr:uid="{627151F5-433B-4635-B048-CE412C976F49}"/>
    <cellStyle name="Normal 2 3 2 2 5 2 5 2 3" xfId="17859" xr:uid="{B0482AD3-BF5E-432D-9420-C6F243D125AE}"/>
    <cellStyle name="Normal 2 3 2 2 5 2 5 2 4" xfId="17860" xr:uid="{680C53D9-ACE3-4234-93F0-AE7C64EB8698}"/>
    <cellStyle name="Normal 2 3 2 2 5 2 5 2 5" xfId="17861" xr:uid="{24A2D209-52D8-4088-BA19-343431FA32CE}"/>
    <cellStyle name="Normal 2 3 2 2 5 2 5 2 6" xfId="17862" xr:uid="{602C537F-517D-4F7A-B2FE-2B92D4394CF3}"/>
    <cellStyle name="Normal 2 3 2 2 5 2 5 3" xfId="17863" xr:uid="{83F17D1F-5A78-4238-80C3-7B95172A456C}"/>
    <cellStyle name="Normal 2 3 2 2 5 2 5 4" xfId="17864" xr:uid="{E29AD2AD-5B86-4BEB-8E82-11F4FF7C2F20}"/>
    <cellStyle name="Normal 2 3 2 2 5 2 5 5" xfId="17865" xr:uid="{72CFF82A-5072-4BAD-BBAD-AC73356D1E23}"/>
    <cellStyle name="Normal 2 3 2 2 5 2 5 6" xfId="17866" xr:uid="{784AEC9F-3C5D-422F-A716-104F5D90949C}"/>
    <cellStyle name="Normal 2 3 2 2 5 2 6" xfId="17867" xr:uid="{90D726A7-9FC3-4777-B955-BC8D05EEA76D}"/>
    <cellStyle name="Normal 2 3 2 2 5 2 7" xfId="17868" xr:uid="{6D351DFC-CD3B-40E7-ABAD-CB9C02274518}"/>
    <cellStyle name="Normal 2 3 2 2 5 2 8" xfId="17869" xr:uid="{A481831B-8ED7-446E-A0CE-F683490E6F26}"/>
    <cellStyle name="Normal 2 3 2 2 5 2 9" xfId="17870" xr:uid="{0C4058C5-1DA9-4035-990F-C01CC4BE5CBE}"/>
    <cellStyle name="Normal 2 3 2 2 5 3" xfId="17871" xr:uid="{FFD1B075-E2F0-44B1-BF20-3F05C640D440}"/>
    <cellStyle name="Normal 2 3 2 2 5 3 2" xfId="17872" xr:uid="{96E596C8-1776-41F6-9A7E-4B4D8B982AB3}"/>
    <cellStyle name="Normal 2 3 2 2 5 3 2 2" xfId="17873" xr:uid="{1C44BA9F-2311-4E17-B639-ACB52AC2009E}"/>
    <cellStyle name="Normal 2 3 2 2 5 3 2 2 2" xfId="17874" xr:uid="{76CA2236-7874-4E50-8B0C-04EC4C4A53FC}"/>
    <cellStyle name="Normal 2 3 2 2 5 3 2 2 2 2" xfId="17875" xr:uid="{2CECC56C-5319-4C19-8321-E0409A3F77B6}"/>
    <cellStyle name="Normal 2 3 2 2 5 3 2 2 2 3" xfId="17876" xr:uid="{A95F4C85-4D7B-4612-86C5-1BC79FFF7FD8}"/>
    <cellStyle name="Normal 2 3 2 2 5 3 2 2 2 4" xfId="17877" xr:uid="{8254685C-4F44-40C4-B8FE-08803D8FB242}"/>
    <cellStyle name="Normal 2 3 2 2 5 3 2 2 2 5" xfId="17878" xr:uid="{2B8CCF21-1468-4A29-9A04-3C536DAC3564}"/>
    <cellStyle name="Normal 2 3 2 2 5 3 2 2 2 6" xfId="17879" xr:uid="{3604E17B-CF51-4914-96F5-4DDD06197DB9}"/>
    <cellStyle name="Normal 2 3 2 2 5 3 2 2 3" xfId="17880" xr:uid="{0A2D1237-3D8F-481A-BA0E-06007CC2CAB4}"/>
    <cellStyle name="Normal 2 3 2 2 5 3 2 2 4" xfId="17881" xr:uid="{4D721E35-FD33-4D91-AAEB-8A09CBAF5E1C}"/>
    <cellStyle name="Normal 2 3 2 2 5 3 2 2 5" xfId="17882" xr:uid="{7A9EEDA4-6425-4CE6-B81A-04C1E7B8AE39}"/>
    <cellStyle name="Normal 2 3 2 2 5 3 2 2 6" xfId="17883" xr:uid="{351B5A7B-F0D5-4673-BA2E-185D955DEDD3}"/>
    <cellStyle name="Normal 2 3 2 2 5 3 2 3" xfId="17884" xr:uid="{6ABF35C9-A4A5-494F-8223-46FBB0574948}"/>
    <cellStyle name="Normal 2 3 2 2 5 3 2 4" xfId="17885" xr:uid="{87DC5BD2-C968-4A47-ACE2-905494D44823}"/>
    <cellStyle name="Normal 2 3 2 2 5 3 2 5" xfId="17886" xr:uid="{BD1E2C6A-72A1-413C-A732-06EA19A5B87F}"/>
    <cellStyle name="Normal 2 3 2 2 5 3 2 6" xfId="17887" xr:uid="{F0D4C480-1608-47F6-BA7A-AC0B4A5B5D6A}"/>
    <cellStyle name="Normal 2 3 2 2 5 3 2 7" xfId="17888" xr:uid="{0F0813FD-4058-49A4-A7BB-1A0C5D1CE563}"/>
    <cellStyle name="Normal 2 3 2 2 5 3 2 8" xfId="17889" xr:uid="{B149C99F-D4B7-43E4-8D53-02A6F39E33D6}"/>
    <cellStyle name="Normal 2 3 2 2 5 3 2 9" xfId="17890" xr:uid="{EC461121-466E-4C5E-8E97-D8D9C4C84829}"/>
    <cellStyle name="Normal 2 3 2 2 5 3 3" xfId="17891" xr:uid="{0EC3CBCB-9C2D-4F09-84F7-1792628F97C1}"/>
    <cellStyle name="Normal 2 3 2 2 5 3 3 2" xfId="17892" xr:uid="{DAF2CF1D-0747-4FF9-8A88-F2B4D47F8F31}"/>
    <cellStyle name="Normal 2 3 2 2 5 3 3 2 2" xfId="17893" xr:uid="{0D63704E-FDD2-40E9-BD21-F1FB57BA6C1F}"/>
    <cellStyle name="Normal 2 3 2 2 5 3 3 2 3" xfId="17894" xr:uid="{7EBEEADA-29C4-4A90-8F03-D4E2C79E41CF}"/>
    <cellStyle name="Normal 2 3 2 2 5 3 3 2 4" xfId="17895" xr:uid="{5FAFD78B-64B6-4132-BC06-3DA64C181BEA}"/>
    <cellStyle name="Normal 2 3 2 2 5 3 3 2 5" xfId="17896" xr:uid="{74832764-CFF0-492C-A2FD-4A1CE0E4BFF7}"/>
    <cellStyle name="Normal 2 3 2 2 5 3 3 2 6" xfId="17897" xr:uid="{C8BA2B9A-87A2-4731-A244-4EF157062222}"/>
    <cellStyle name="Normal 2 3 2 2 5 3 3 3" xfId="17898" xr:uid="{BD94AB7B-CF60-478F-A459-D358281158D4}"/>
    <cellStyle name="Normal 2 3 2 2 5 3 3 4" xfId="17899" xr:uid="{FCCF4C01-1410-4B30-9A8D-ABE498A1CA66}"/>
    <cellStyle name="Normal 2 3 2 2 5 3 3 5" xfId="17900" xr:uid="{449191F5-3BF9-4E5B-8A97-D4E6F1D7398F}"/>
    <cellStyle name="Normal 2 3 2 2 5 3 3 6" xfId="17901" xr:uid="{DDBD3EB7-0F00-4DC4-AB38-54348D27B10A}"/>
    <cellStyle name="Normal 2 3 2 2 5 3 4" xfId="17902" xr:uid="{FF291AD4-EBBA-44B8-A85E-5E5F4E6EA19D}"/>
    <cellStyle name="Normal 2 3 2 2 5 3 5" xfId="17903" xr:uid="{F10F73C1-EF58-4AEA-B824-D0806F5921BC}"/>
    <cellStyle name="Normal 2 3 2 2 5 3 6" xfId="17904" xr:uid="{FC7470C4-97AB-412F-BF0E-F070187B03B4}"/>
    <cellStyle name="Normal 2 3 2 2 5 3 7" xfId="17905" xr:uid="{F3F2D4B0-8C03-4B22-B712-44526346DBD1}"/>
    <cellStyle name="Normal 2 3 2 2 5 3 8" xfId="17906" xr:uid="{B6D8993F-B83C-4450-930C-D30ECDADC6BA}"/>
    <cellStyle name="Normal 2 3 2 2 5 3 9" xfId="17907" xr:uid="{F9D58CBF-D8B0-4E91-B861-A461302BDB69}"/>
    <cellStyle name="Normal 2 3 2 2 5 4" xfId="17908" xr:uid="{B6F73844-622F-474D-B4FF-F940BA040D4E}"/>
    <cellStyle name="Normal 2 3 2 2 5 5" xfId="17909" xr:uid="{C13C6C10-FBBC-4F71-B4C7-1D6685A2F68F}"/>
    <cellStyle name="Normal 2 3 2 2 5 5 2" xfId="17910" xr:uid="{6206488E-C7A7-4DDA-B01F-68B0C2D103B3}"/>
    <cellStyle name="Normal 2 3 2 2 5 5 2 2" xfId="17911" xr:uid="{BBC24CB7-FE26-4C6C-B04E-E75599912647}"/>
    <cellStyle name="Normal 2 3 2 2 5 5 2 3" xfId="17912" xr:uid="{D90E3EB9-2661-4226-B8CB-C0898D918585}"/>
    <cellStyle name="Normal 2 3 2 2 5 5 2 4" xfId="17913" xr:uid="{CD73CFDE-B2FE-4E5F-9D0C-0950E0A41900}"/>
    <cellStyle name="Normal 2 3 2 2 5 5 2 5" xfId="17914" xr:uid="{6ABF94F9-3CE5-4BE2-841F-F23AD352254C}"/>
    <cellStyle name="Normal 2 3 2 2 5 5 2 6" xfId="17915" xr:uid="{E363838B-5DB8-4DDA-B6AE-0ED34C9DAC44}"/>
    <cellStyle name="Normal 2 3 2 2 5 5 3" xfId="17916" xr:uid="{C3FC0924-6901-44FE-BE01-DEFAEAAF1CE0}"/>
    <cellStyle name="Normal 2 3 2 2 5 5 4" xfId="17917" xr:uid="{36998202-082F-4A48-9024-7CF1CAC7DEAD}"/>
    <cellStyle name="Normal 2 3 2 2 5 5 5" xfId="17918" xr:uid="{77777CF2-26C0-4393-8F3A-3C6850177387}"/>
    <cellStyle name="Normal 2 3 2 2 5 5 6" xfId="17919" xr:uid="{93999E5C-62FC-4494-9A9F-13D64ADD05ED}"/>
    <cellStyle name="Normal 2 3 2 2 5 6" xfId="17920" xr:uid="{4E1A34AB-BF1C-4FF9-96BD-6DAAAE40E1B1}"/>
    <cellStyle name="Normal 2 3 2 2 5 7" xfId="17921" xr:uid="{E9B31FED-4F30-493A-B3FC-263529BECFBE}"/>
    <cellStyle name="Normal 2 3 2 2 5 8" xfId="17922" xr:uid="{F94B9586-D845-4B77-A099-14908A134DDF}"/>
    <cellStyle name="Normal 2 3 2 2 5 9" xfId="17923" xr:uid="{7D731B94-FBB0-4DB0-AC91-527FEE67257B}"/>
    <cellStyle name="Normal 2 3 2 2 50" xfId="17924" xr:uid="{23B0ECBF-EEB5-428D-9CCB-F07BA400A350}"/>
    <cellStyle name="Normal 2 3 2 2 51" xfId="17925" xr:uid="{7BE6E37C-EF34-41F0-81A4-68ABB549DC3C}"/>
    <cellStyle name="Normal 2 3 2 2 52" xfId="17926" xr:uid="{49F3B94C-0B1C-4829-89FB-8BC69226B4B5}"/>
    <cellStyle name="Normal 2 3 2 2 53" xfId="17927" xr:uid="{31CE7B12-818F-436C-AAA0-0905D8AB4DE5}"/>
    <cellStyle name="Normal 2 3 2 2 54" xfId="17928" xr:uid="{0FE34ADE-D722-4CE8-A777-06F45FA53824}"/>
    <cellStyle name="Normal 2 3 2 2 55" xfId="17929" xr:uid="{A019461E-3923-491E-B049-6E700C5AD68C}"/>
    <cellStyle name="Normal 2 3 2 2 56" xfId="17930" xr:uid="{2AA692DF-5461-4B2C-BC8D-1B8ED882FAAC}"/>
    <cellStyle name="Normal 2 3 2 2 57" xfId="17931" xr:uid="{5D849DD6-12D8-4C77-BCCA-D758D686704C}"/>
    <cellStyle name="Normal 2 3 2 2 58" xfId="17932" xr:uid="{D7ABF3C6-6EC0-4E07-A063-B305D9E44978}"/>
    <cellStyle name="Normal 2 3 2 2 59" xfId="17933" xr:uid="{465ABD81-6D55-43B9-BC67-D21C1CF85100}"/>
    <cellStyle name="Normal 2 3 2 2 6" xfId="17934" xr:uid="{CF84090C-521A-413A-9A35-AD9B5382A2EB}"/>
    <cellStyle name="Normal 2 3 2 2 6 2" xfId="17935" xr:uid="{71C2244F-72DD-40E0-A98D-408E21C50FBB}"/>
    <cellStyle name="Normal 2 3 2 2 6 3" xfId="17936" xr:uid="{81032F3F-23A0-4841-B3AC-32AD655E692B}"/>
    <cellStyle name="Normal 2 3 2 2 6 4" xfId="17937" xr:uid="{058D7E33-1DC6-4964-9AE8-E8DA44734A59}"/>
    <cellStyle name="Normal 2 3 2 2 6 5" xfId="17938" xr:uid="{0B42C52F-D4EE-4CBC-9415-D739AAA51165}"/>
    <cellStyle name="Normal 2 3 2 2 6 6" xfId="17939" xr:uid="{C0557CF4-E2E8-42C1-98ED-4FC116FF8B73}"/>
    <cellStyle name="Normal 2 3 2 2 60" xfId="17940" xr:uid="{3E81147B-5FCE-475A-BDC4-6DC713A77301}"/>
    <cellStyle name="Normal 2 3 2 2 61" xfId="17941" xr:uid="{5CB420F2-EBEC-4A79-9B0B-50B1671335FF}"/>
    <cellStyle name="Normal 2 3 2 2 62" xfId="17942" xr:uid="{E4D6ECC6-FB7E-4F41-8108-E8420F43CAD0}"/>
    <cellStyle name="Normal 2 3 2 2 7" xfId="17943" xr:uid="{5C2D5FA7-867D-4DA4-97E6-8C922CFC44EE}"/>
    <cellStyle name="Normal 2 3 2 2 7 2" xfId="17944" xr:uid="{C222D9FF-0D59-4F7D-BD49-EBB81BF1D6AE}"/>
    <cellStyle name="Normal 2 3 2 2 7 3" xfId="17945" xr:uid="{F5F672F6-C00F-45CF-A2DA-2D7549A3BACE}"/>
    <cellStyle name="Normal 2 3 2 2 7 4" xfId="17946" xr:uid="{302C8129-D319-4820-A8F7-4B488A4947DD}"/>
    <cellStyle name="Normal 2 3 2 2 7 5" xfId="17947" xr:uid="{EB1EC0DA-501C-4CA8-BB65-CB74181542F6}"/>
    <cellStyle name="Normal 2 3 2 2 7 6" xfId="17948" xr:uid="{3FA10C9E-6D7D-4DD6-92F6-62AEC5F561C2}"/>
    <cellStyle name="Normal 2 3 2 2 8" xfId="17949" xr:uid="{F1DE72B7-B211-48BB-82A0-CCD3E37D5655}"/>
    <cellStyle name="Normal 2 3 2 2 8 10" xfId="17950" xr:uid="{62273D53-9B36-41B7-9829-78F718364126}"/>
    <cellStyle name="Normal 2 3 2 2 8 11" xfId="17951" xr:uid="{DAF6D49D-134A-49AD-A81B-2DA723F11244}"/>
    <cellStyle name="Normal 2 3 2 2 8 12" xfId="17952" xr:uid="{DEBE07A1-27CC-43AB-AA8E-74CBBF9D905B}"/>
    <cellStyle name="Normal 2 3 2 2 8 13" xfId="17953" xr:uid="{1FD41C5B-CEAF-4726-B59A-484F281C67D1}"/>
    <cellStyle name="Normal 2 3 2 2 8 14" xfId="17954" xr:uid="{E4791360-5E8E-45A8-8DC7-EED8479D957D}"/>
    <cellStyle name="Normal 2 3 2 2 8 2" xfId="17955" xr:uid="{ABC902D2-DB99-40BF-9195-4F83C0F55033}"/>
    <cellStyle name="Normal 2 3 2 2 8 2 2" xfId="17956" xr:uid="{53752752-A179-4818-83DE-C3FF459CAD50}"/>
    <cellStyle name="Normal 2 3 2 2 8 2 2 2" xfId="17957" xr:uid="{9CAA6D25-371C-44AD-AE77-D96EEEB56E06}"/>
    <cellStyle name="Normal 2 3 2 2 8 2 2 2 2" xfId="17958" xr:uid="{6A4F921B-A538-4F60-857A-E7691BF843A8}"/>
    <cellStyle name="Normal 2 3 2 2 8 2 2 2 3" xfId="17959" xr:uid="{D4D6EF10-3759-422F-B407-3984BDDF18BE}"/>
    <cellStyle name="Normal 2 3 2 2 8 2 2 2 4" xfId="17960" xr:uid="{52C6ADE8-544A-43E6-99AE-3710BCC7764D}"/>
    <cellStyle name="Normal 2 3 2 2 8 2 2 2 5" xfId="17961" xr:uid="{BC7AE64A-831B-4EED-9B74-D37A609C358F}"/>
    <cellStyle name="Normal 2 3 2 2 8 2 2 2 6" xfId="17962" xr:uid="{97FB76D1-9C54-445A-A2C6-DC3A1CC7E05D}"/>
    <cellStyle name="Normal 2 3 2 2 8 2 2 3" xfId="17963" xr:uid="{D36CD50E-C634-432C-A56C-8C362D7AA1F9}"/>
    <cellStyle name="Normal 2 3 2 2 8 2 2 4" xfId="17964" xr:uid="{B5FE3486-BE9A-4A0B-AB6D-8388D7A7BFC1}"/>
    <cellStyle name="Normal 2 3 2 2 8 2 2 5" xfId="17965" xr:uid="{72BBABC6-848D-4903-BA92-5A9E11655560}"/>
    <cellStyle name="Normal 2 3 2 2 8 2 2 6" xfId="17966" xr:uid="{8D8B5EB9-B92B-4686-88FA-6CA1D89E0F92}"/>
    <cellStyle name="Normal 2 3 2 2 8 2 3" xfId="17967" xr:uid="{27FD8EFF-8060-4D6B-9E92-F7953EEF5CFC}"/>
    <cellStyle name="Normal 2 3 2 2 8 2 4" xfId="17968" xr:uid="{DC828580-0416-401A-92F7-85E437ABE8FD}"/>
    <cellStyle name="Normal 2 3 2 2 8 2 5" xfId="17969" xr:uid="{1A8A4F7A-0042-4041-8CB7-3FEB89683DF8}"/>
    <cellStyle name="Normal 2 3 2 2 8 2 6" xfId="17970" xr:uid="{C34CC5F8-621D-4523-9F93-92CE8470B8CD}"/>
    <cellStyle name="Normal 2 3 2 2 8 2 7" xfId="17971" xr:uid="{71183076-49C0-4E46-B06C-946CEA6DE626}"/>
    <cellStyle name="Normal 2 3 2 2 8 2 8" xfId="17972" xr:uid="{9CDEFAFF-4D2A-4381-A9CD-CCE12FB3AD48}"/>
    <cellStyle name="Normal 2 3 2 2 8 2 9" xfId="17973" xr:uid="{C38D4DF7-F4FD-485F-AEB0-C03AC37093AC}"/>
    <cellStyle name="Normal 2 3 2 2 8 3" xfId="17974" xr:uid="{12C40AA8-2895-4C96-A605-EC6A5497956B}"/>
    <cellStyle name="Normal 2 3 2 2 8 3 2" xfId="17975" xr:uid="{DD760FCB-F364-4F63-BB07-AC214C5AFF8B}"/>
    <cellStyle name="Normal 2 3 2 2 8 3 2 2" xfId="17976" xr:uid="{E6BE2890-F624-4FF2-90E1-3290E1A0776A}"/>
    <cellStyle name="Normal 2 3 2 2 8 3 2 3" xfId="17977" xr:uid="{A5C46866-630C-495A-B420-204600FB8CB7}"/>
    <cellStyle name="Normal 2 3 2 2 8 3 2 4" xfId="17978" xr:uid="{49EAF46B-EFD1-44E1-88D2-9AE7C8E98C11}"/>
    <cellStyle name="Normal 2 3 2 2 8 3 2 5" xfId="17979" xr:uid="{4456CFD1-9B21-4670-8992-2B10492ACBA1}"/>
    <cellStyle name="Normal 2 3 2 2 8 3 2 6" xfId="17980" xr:uid="{1AD43D91-6ABE-4801-98F3-E8B88AD3356E}"/>
    <cellStyle name="Normal 2 3 2 2 8 3 3" xfId="17981" xr:uid="{C2B50D7E-909C-4045-9BA9-7BB06BE1A4EE}"/>
    <cellStyle name="Normal 2 3 2 2 8 3 4" xfId="17982" xr:uid="{D7DCB9A3-7EDC-4D4B-9DD2-A0D662301A76}"/>
    <cellStyle name="Normal 2 3 2 2 8 3 5" xfId="17983" xr:uid="{F594E8D4-7FEE-4010-A093-4C595CD11E8D}"/>
    <cellStyle name="Normal 2 3 2 2 8 3 6" xfId="17984" xr:uid="{EA52B8AB-B924-4283-95AD-2D3BE7C68ABF}"/>
    <cellStyle name="Normal 2 3 2 2 8 4" xfId="17985" xr:uid="{16C64ACC-A55D-4C9C-86AD-D02AF6F4EB7E}"/>
    <cellStyle name="Normal 2 3 2 2 8 5" xfId="17986" xr:uid="{F90E4548-BB91-49A4-A08E-FEC646D5647E}"/>
    <cellStyle name="Normal 2 3 2 2 8 6" xfId="17987" xr:uid="{C9D995FE-C928-4698-B528-1D5DB80477E0}"/>
    <cellStyle name="Normal 2 3 2 2 8 7" xfId="17988" xr:uid="{D9A8214B-09D3-4A1E-91B3-9CE647B0ED69}"/>
    <cellStyle name="Normal 2 3 2 2 8 8" xfId="17989" xr:uid="{4C9D3F92-0F3E-4778-BD9C-E6967F86F242}"/>
    <cellStyle name="Normal 2 3 2 2 8 9" xfId="17990" xr:uid="{38A4C91A-5FF0-4368-9F24-7734F91CFCBC}"/>
    <cellStyle name="Normal 2 3 2 2 9" xfId="17991" xr:uid="{8A1437D9-6999-4038-8E49-83B53732D2EC}"/>
    <cellStyle name="Normal 2 3 2 2 9 2" xfId="17992" xr:uid="{CF218F96-25E5-461A-9F66-F394B4E0B53B}"/>
    <cellStyle name="Normal 2 3 2 2 9 3" xfId="17993" xr:uid="{1C6B3A2E-78A8-4A95-9EC6-9A5916B67C6B}"/>
    <cellStyle name="Normal 2 3 2 2 9 4" xfId="17994" xr:uid="{D64876BB-0CA3-4375-9DE3-DD536CCF6298}"/>
    <cellStyle name="Normal 2 3 2 2 9 5" xfId="17995" xr:uid="{DEA565A8-88F0-4ED2-A097-54BD336ACECD}"/>
    <cellStyle name="Normal 2 3 2 2 9 6" xfId="17996" xr:uid="{14C70B58-DA62-41CA-9B73-C66553B016FC}"/>
    <cellStyle name="Normal 2 3 2 20" xfId="17997" xr:uid="{4DD89895-DAD9-4922-8D2A-EE0D737D3E09}"/>
    <cellStyle name="Normal 2 3 2 20 2" xfId="17998" xr:uid="{F9F730B8-6359-42D3-9F47-7339BCA75182}"/>
    <cellStyle name="Normal 2 3 2 21" xfId="17999" xr:uid="{A290160C-9778-4BC9-8877-B5B598A2600A}"/>
    <cellStyle name="Normal 2 3 2 21 2" xfId="18000" xr:uid="{07CC08FD-0471-483D-847E-A5C5AD3E7811}"/>
    <cellStyle name="Normal 2 3 2 22" xfId="18001" xr:uid="{3DF020F4-B6B7-43CA-B0A0-2DE8210B8AAE}"/>
    <cellStyle name="Normal 2 3 2 23" xfId="18002" xr:uid="{367E1270-9117-491D-A080-8BAACF164248}"/>
    <cellStyle name="Normal 2 3 2 24" xfId="18003" xr:uid="{3F7EC103-4A30-4701-AF76-421DB25AB0BE}"/>
    <cellStyle name="Normal 2 3 2 25" xfId="18004" xr:uid="{D2B04CB9-693C-4932-8194-3CFC562DCEA1}"/>
    <cellStyle name="Normal 2 3 2 26" xfId="18005" xr:uid="{E5200BD4-0B04-4E20-AAEF-8F9878A1A086}"/>
    <cellStyle name="Normal 2 3 2 27" xfId="18006" xr:uid="{601E02B6-3E2E-470B-A517-77BDAF6F8CF5}"/>
    <cellStyle name="Normal 2 3 2 28" xfId="18007" xr:uid="{0896969F-6166-4CA4-BCC4-A1B62C89AC34}"/>
    <cellStyle name="Normal 2 3 2 28 2" xfId="18008" xr:uid="{9F447EB2-74F6-4759-BDC4-857346D46EB5}"/>
    <cellStyle name="Normal 2 3 2 28 2 2" xfId="18009" xr:uid="{ABC6FAC2-AE05-478E-9471-25E724BE016B}"/>
    <cellStyle name="Normal 2 3 2 28 2 2 2" xfId="18010" xr:uid="{172C3198-47A2-40D7-B2AE-E456ED00E7C0}"/>
    <cellStyle name="Normal 2 3 2 28 3" xfId="18011" xr:uid="{D8055CE6-B5F1-4F45-9AF5-44E34D6A73D3}"/>
    <cellStyle name="Normal 2 3 2 28 4" xfId="18012" xr:uid="{EF4C4D6A-489F-49CA-8CBD-8FDEE3ADAF8F}"/>
    <cellStyle name="Normal 2 3 2 28 5" xfId="18013" xr:uid="{5C3ADA29-F894-436B-820E-DB5ED47D011D}"/>
    <cellStyle name="Normal 2 3 2 28 6" xfId="18014" xr:uid="{F4761C6B-C1D8-4E8C-9258-52C2B3F8A59F}"/>
    <cellStyle name="Normal 2 3 2 29" xfId="18015" xr:uid="{B7E0DC22-375F-4966-8DA6-53FE63D020A9}"/>
    <cellStyle name="Normal 2 3 2 29 2" xfId="18016" xr:uid="{CEAB548A-ED76-4457-9BF8-A69412FFEF19}"/>
    <cellStyle name="Normal 2 3 2 29 2 2" xfId="18017" xr:uid="{986B7BD1-8330-4835-9128-CBD00A07C6BB}"/>
    <cellStyle name="Normal 2 3 2 3" xfId="18018" xr:uid="{27FBABD2-F2EC-4AF2-8E17-81CF38E5CA7E}"/>
    <cellStyle name="Normal 2 3 2 3 10" xfId="18019" xr:uid="{8AC84179-1C24-4AEE-B42A-5D84891563DD}"/>
    <cellStyle name="Normal 2 3 2 3 11" xfId="18020" xr:uid="{A8691388-A882-4DE2-AA6C-B4E83FB2D52A}"/>
    <cellStyle name="Normal 2 3 2 3 12" xfId="18021" xr:uid="{40EE908B-3676-464F-A55D-4BC637E22523}"/>
    <cellStyle name="Normal 2 3 2 3 13" xfId="18022" xr:uid="{B02BF477-4F75-4075-8AAF-13F93D703D10}"/>
    <cellStyle name="Normal 2 3 2 3 14" xfId="18023" xr:uid="{845CAD0C-FA21-4F3F-BE1D-9190A7A9AC48}"/>
    <cellStyle name="Normal 2 3 2 3 15" xfId="18024" xr:uid="{1A2E3B13-9EDE-40C2-A941-EE342734E0F5}"/>
    <cellStyle name="Normal 2 3 2 3 16" xfId="18025" xr:uid="{4966BEBB-D029-41BD-991B-08E863B95227}"/>
    <cellStyle name="Normal 2 3 2 3 17" xfId="18026" xr:uid="{4E553EB3-89B7-4B98-8211-6ADE2FA6CCFC}"/>
    <cellStyle name="Normal 2 3 2 3 18" xfId="18027" xr:uid="{D0AD55EC-CF37-4C28-86CF-A7164B5878A1}"/>
    <cellStyle name="Normal 2 3 2 3 19" xfId="18028" xr:uid="{FE59793C-573D-4379-B546-7C9DDFD26341}"/>
    <cellStyle name="Normal 2 3 2 3 2" xfId="18029" xr:uid="{B31C21F4-BA0A-4022-A976-A2F5A163000E}"/>
    <cellStyle name="Normal 2 3 2 3 2 10" xfId="18030" xr:uid="{989857D6-0FF9-41C7-B2B8-6179141FA1EB}"/>
    <cellStyle name="Normal 2 3 2 3 2 11" xfId="18031" xr:uid="{C19B6E24-7EB2-4CBB-8354-58E6DD88D9D4}"/>
    <cellStyle name="Normal 2 3 2 3 2 12" xfId="18032" xr:uid="{5A304759-D5A3-4287-AE8A-3F600617EBA1}"/>
    <cellStyle name="Normal 2 3 2 3 2 13" xfId="18033" xr:uid="{0A83AAE4-E74F-4421-9814-601F76A9FE98}"/>
    <cellStyle name="Normal 2 3 2 3 2 14" xfId="18034" xr:uid="{06D35A3B-FB43-4589-A1C3-069649349F4D}"/>
    <cellStyle name="Normal 2 3 2 3 2 15" xfId="18035" xr:uid="{BEFDB8E4-F5F3-42A8-9231-0B4E25DA56C5}"/>
    <cellStyle name="Normal 2 3 2 3 2 16" xfId="18036" xr:uid="{DA635F43-3C17-4E31-B89F-CCBF843B89B3}"/>
    <cellStyle name="Normal 2 3 2 3 2 17" xfId="18037" xr:uid="{8A0D3EB4-093A-4DE1-8737-CD0151F0F4D6}"/>
    <cellStyle name="Normal 2 3 2 3 2 2" xfId="18038" xr:uid="{2CC1F9E0-1503-47CE-B5DC-4FAA335AAC3E}"/>
    <cellStyle name="Normal 2 3 2 3 2 2 2" xfId="18039" xr:uid="{83D9E703-2899-47EB-9C3A-1AAB32624D55}"/>
    <cellStyle name="Normal 2 3 2 3 2 2 2 2" xfId="18040" xr:uid="{B58B4E77-731F-485E-91C7-04D8BF44C80E}"/>
    <cellStyle name="Normal 2 3 2 3 2 2 2 3" xfId="18041" xr:uid="{1852885A-2899-427B-BD46-BF0852B39562}"/>
    <cellStyle name="Normal 2 3 2 3 2 2 2 4" xfId="18042" xr:uid="{4805303F-C585-4F6D-A682-9AD4D6D6978D}"/>
    <cellStyle name="Normal 2 3 2 3 2 2 2 5" xfId="18043" xr:uid="{9574BB3F-71BB-491D-A620-0235E09CA852}"/>
    <cellStyle name="Normal 2 3 2 3 2 2 2 6" xfId="18044" xr:uid="{DB89C512-D9A8-4AD8-9326-B70F8747E610}"/>
    <cellStyle name="Normal 2 3 2 3 2 2 2 7" xfId="18045" xr:uid="{B61C3315-C2A6-421A-A9BC-169A6E03F7A9}"/>
    <cellStyle name="Normal 2 3 2 3 2 2 2 8" xfId="18046" xr:uid="{3EB9E9E8-1F4A-4A1C-A080-47FD638F6A83}"/>
    <cellStyle name="Normal 2 3 2 3 2 2 2 9" xfId="18047" xr:uid="{1045F9B1-4D75-4593-A66C-DBD1CD49AAB0}"/>
    <cellStyle name="Normal 2 3 2 3 2 2 3" xfId="18048" xr:uid="{9DEA7324-8CC3-42B8-90CF-1CB6FDDAAC39}"/>
    <cellStyle name="Normal 2 3 2 3 2 2 4" xfId="18049" xr:uid="{2BAB0EC9-20A1-437B-A76D-A5712CC9E49A}"/>
    <cellStyle name="Normal 2 3 2 3 2 2 5" xfId="18050" xr:uid="{6071D583-8288-4B4B-99DC-3FD33497473D}"/>
    <cellStyle name="Normal 2 3 2 3 2 2 6" xfId="18051" xr:uid="{5EBCB572-AEE2-4D70-9DE2-C93847F40512}"/>
    <cellStyle name="Normal 2 3 2 3 2 2 7" xfId="18052" xr:uid="{E87E3EE0-2E9C-4B88-9A71-F43123CB2FA7}"/>
    <cellStyle name="Normal 2 3 2 3 2 2 8" xfId="18053" xr:uid="{E330F6D8-B3E0-4D0F-8FD6-270BCD53E48F}"/>
    <cellStyle name="Normal 2 3 2 3 2 2 9" xfId="18054" xr:uid="{6FDE0C90-21F1-4F49-BF0D-EBF9657C3C26}"/>
    <cellStyle name="Normal 2 3 2 3 2 3" xfId="18055" xr:uid="{1BA013D5-4F3F-45F6-A43E-77372F99C6EF}"/>
    <cellStyle name="Normal 2 3 2 3 2 4" xfId="18056" xr:uid="{E5D68E28-5E5F-400D-9B70-175C18B16FC6}"/>
    <cellStyle name="Normal 2 3 2 3 2 5" xfId="18057" xr:uid="{742163A9-6ED9-47A5-8268-13EF8638CCE6}"/>
    <cellStyle name="Normal 2 3 2 3 2 6" xfId="18058" xr:uid="{D1708868-12DB-4248-A066-9A381F31AA6D}"/>
    <cellStyle name="Normal 2 3 2 3 2 7" xfId="18059" xr:uid="{6FDB02C8-2215-443B-9A06-6CD64B3BDA23}"/>
    <cellStyle name="Normal 2 3 2 3 2 8" xfId="18060" xr:uid="{C26292BE-3014-46CA-A954-3C3DD9A55ADA}"/>
    <cellStyle name="Normal 2 3 2 3 2 9" xfId="18061" xr:uid="{29B79400-DB28-4442-BE95-FFEF49465179}"/>
    <cellStyle name="Normal 2 3 2 3 20" xfId="18062" xr:uid="{D201C674-89FC-4F97-B76A-B45F3FD51E2F}"/>
    <cellStyle name="Normal 2 3 2 3 21" xfId="18063" xr:uid="{71E67595-04FF-4A53-82E2-38918D569CB5}"/>
    <cellStyle name="Normal 2 3 2 3 22" xfId="18064" xr:uid="{59051058-5DF6-45C0-AE74-8B964108C33F}"/>
    <cellStyle name="Normal 2 3 2 3 3" xfId="18065" xr:uid="{006B6E51-32DD-4F8D-9016-A14FE7039B19}"/>
    <cellStyle name="Normal 2 3 2 3 3 2" xfId="18066" xr:uid="{E16BFFF5-BD4A-457D-92D4-3D59890D0D1C}"/>
    <cellStyle name="Normal 2 3 2 3 3 2 2" xfId="18067" xr:uid="{90670B39-B86C-45DD-B334-FEAA3533E3D0}"/>
    <cellStyle name="Normal 2 3 2 3 3 2 3" xfId="18068" xr:uid="{629BFE09-B181-47A4-9AD0-A5C78DF99D26}"/>
    <cellStyle name="Normal 2 3 2 3 3 2 4" xfId="18069" xr:uid="{B86D0050-3152-43D7-B075-CEA25CC44550}"/>
    <cellStyle name="Normal 2 3 2 3 3 2 5" xfId="18070" xr:uid="{BB4AD4B0-F743-40C5-91DD-B7CABE1A9EAF}"/>
    <cellStyle name="Normal 2 3 2 3 3 2 6" xfId="18071" xr:uid="{040A2523-2568-40B8-BBF1-EBA9526B3DB1}"/>
    <cellStyle name="Normal 2 3 2 3 3 2 7" xfId="18072" xr:uid="{B9EA148B-D64D-4E70-8BC0-9C9DD195A632}"/>
    <cellStyle name="Normal 2 3 2 3 3 2 8" xfId="18073" xr:uid="{975BEE84-5316-4570-B502-89AED2A21133}"/>
    <cellStyle name="Normal 2 3 2 3 3 2 9" xfId="18074" xr:uid="{12DCCB58-0A3F-4A7D-8CAD-4099C1D8BAC3}"/>
    <cellStyle name="Normal 2 3 2 3 3 3" xfId="18075" xr:uid="{A4385F80-1A33-4E90-A1DD-C3EDC8CC1949}"/>
    <cellStyle name="Normal 2 3 2 3 3 4" xfId="18076" xr:uid="{9E4D4FFF-CF10-4951-9F54-03A9AA626CF2}"/>
    <cellStyle name="Normal 2 3 2 3 3 5" xfId="18077" xr:uid="{32043CA8-2C47-4424-810D-4C38F84E6FD5}"/>
    <cellStyle name="Normal 2 3 2 3 3 6" xfId="18078" xr:uid="{18D1519F-72F5-44F7-A0D9-4A87A4F9B22B}"/>
    <cellStyle name="Normal 2 3 2 3 3 7" xfId="18079" xr:uid="{FE4AD898-EFE6-426C-AC8F-AFDC747BADDE}"/>
    <cellStyle name="Normal 2 3 2 3 3 8" xfId="18080" xr:uid="{AA3A048F-4CF3-4CF5-8A72-66154DBDDD92}"/>
    <cellStyle name="Normal 2 3 2 3 3 9" xfId="18081" xr:uid="{483DE4DF-EAAB-431D-AFFD-3553DDC26744}"/>
    <cellStyle name="Normal 2 3 2 3 4" xfId="18082" xr:uid="{CB062CDF-E475-4D55-8780-C1A862B55100}"/>
    <cellStyle name="Normal 2 3 2 3 5" xfId="18083" xr:uid="{30F85E8E-AA54-4C9C-86AE-B7399FA2A580}"/>
    <cellStyle name="Normal 2 3 2 3 6" xfId="18084" xr:uid="{B3D67B11-8C7E-4D9E-A2A9-D33853AA67A9}"/>
    <cellStyle name="Normal 2 3 2 3 7" xfId="18085" xr:uid="{581E9533-238A-4F83-94AE-9D1A48A2632A}"/>
    <cellStyle name="Normal 2 3 2 3 8" xfId="18086" xr:uid="{B0CF77B7-A947-40A0-A312-86B217C0F96E}"/>
    <cellStyle name="Normal 2 3 2 3 9" xfId="18087" xr:uid="{DB92598A-2F31-4897-B3F6-5251C16F3520}"/>
    <cellStyle name="Normal 2 3 2 30" xfId="18088" xr:uid="{DC2E9B6A-F941-4473-8A7D-AB5421D842B2}"/>
    <cellStyle name="Normal 2 3 2 31" xfId="18089" xr:uid="{43C1C9EB-E8C8-4618-80B0-3475515E3B57}"/>
    <cellStyle name="Normal 2 3 2 32" xfId="18090" xr:uid="{C1FB143B-0207-4B6D-9735-DA8CA6BF55D3}"/>
    <cellStyle name="Normal 2 3 2 33" xfId="18091" xr:uid="{63BCDB0C-3A05-4A96-9A14-AA4828B95652}"/>
    <cellStyle name="Normal 2 3 2 34" xfId="18092" xr:uid="{74974EBA-0F43-49A2-AD0D-E9C74D560DA2}"/>
    <cellStyle name="Normal 2 3 2 35" xfId="18093" xr:uid="{000C6BA8-34AC-4A41-A07C-57CAC9C29697}"/>
    <cellStyle name="Normal 2 3 2 36" xfId="18094" xr:uid="{A261E989-9D9B-4089-9D17-FE5160A6D8B9}"/>
    <cellStyle name="Normal 2 3 2 37" xfId="18095" xr:uid="{79B85B4A-2A17-4F69-8B7E-E7C4C18B8F56}"/>
    <cellStyle name="Normal 2 3 2 38" xfId="18096" xr:uid="{9CD90F4F-8523-43CB-B93C-2D5A9419E075}"/>
    <cellStyle name="Normal 2 3 2 38 10" xfId="18097" xr:uid="{4D3098F7-62DD-4403-888A-D57813003922}"/>
    <cellStyle name="Normal 2 3 2 38 11" xfId="18098" xr:uid="{43830D61-FF04-4CAC-91B2-CADFDFC134F0}"/>
    <cellStyle name="Normal 2 3 2 38 12" xfId="18099" xr:uid="{06C15D4E-1B91-491E-8C6B-E641F0EAA253}"/>
    <cellStyle name="Normal 2 3 2 38 13" xfId="18100" xr:uid="{A07FDEF4-60FC-4153-AA0C-DC7796BF4433}"/>
    <cellStyle name="Normal 2 3 2 38 14" xfId="18101" xr:uid="{4947698B-E723-403A-83C3-C40B4A6C8E2D}"/>
    <cellStyle name="Normal 2 3 2 38 15" xfId="18102" xr:uid="{9C46FA5C-C698-45A4-AEC3-A515488FE105}"/>
    <cellStyle name="Normal 2 3 2 38 16" xfId="18103" xr:uid="{72B0B447-113E-46D5-A003-38AFB97BC8E5}"/>
    <cellStyle name="Normal 2 3 2 38 2" xfId="18104" xr:uid="{699A43CA-B702-4F00-BFBC-1BD1F77F2C11}"/>
    <cellStyle name="Normal 2 3 2 38 3" xfId="18105" xr:uid="{18F1DB2C-8D5F-4C47-BEE4-86BD28D8E056}"/>
    <cellStyle name="Normal 2 3 2 38 4" xfId="18106" xr:uid="{DB30E72D-ED9B-4D8D-AA03-CF6B175F5D98}"/>
    <cellStyle name="Normal 2 3 2 38 5" xfId="18107" xr:uid="{87154503-0026-4F40-BC9D-C05A66D126E5}"/>
    <cellStyle name="Normal 2 3 2 38 6" xfId="18108" xr:uid="{974B2D62-A034-45EA-B5B7-3B9DE5886444}"/>
    <cellStyle name="Normal 2 3 2 38 7" xfId="18109" xr:uid="{75B6B037-F200-4196-B9C7-F56F9A65CC11}"/>
    <cellStyle name="Normal 2 3 2 38 8" xfId="18110" xr:uid="{F06F2A4F-D110-4295-BE3C-9FA82E745708}"/>
    <cellStyle name="Normal 2 3 2 38 9" xfId="18111" xr:uid="{8881D2F6-791B-4659-983A-A2A1B5D09270}"/>
    <cellStyle name="Normal 2 3 2 39" xfId="18112" xr:uid="{A9BFB790-8950-40D6-A5F2-4C2DC65E71FE}"/>
    <cellStyle name="Normal 2 3 2 4" xfId="18113" xr:uid="{1729D04D-9481-4B69-83B2-8655440512E9}"/>
    <cellStyle name="Normal 2 3 2 4 2" xfId="18114" xr:uid="{40016021-9C3A-4D6E-B345-ACC5E7154ECF}"/>
    <cellStyle name="Normal 2 3 2 4 3" xfId="18115" xr:uid="{8960F2A2-C8A6-41CA-9CA4-DC5E1DD13799}"/>
    <cellStyle name="Normal 2 3 2 4 4" xfId="18116" xr:uid="{1550C99B-0689-4FD3-A080-33A94DF62499}"/>
    <cellStyle name="Normal 2 3 2 4 5" xfId="18117" xr:uid="{E03D2766-4CCF-416D-BB41-AECDA9EEFFE4}"/>
    <cellStyle name="Normal 2 3 2 4 6" xfId="18118" xr:uid="{F1E3172B-3712-403C-B1FF-996B42D96116}"/>
    <cellStyle name="Normal 2 3 2 40" xfId="18119" xr:uid="{69E2FB22-DB18-4622-A5CC-662AEA494E22}"/>
    <cellStyle name="Normal 2 3 2 41" xfId="18120" xr:uid="{35631C1B-674A-46BB-AA10-04AB5E107CC7}"/>
    <cellStyle name="Normal 2 3 2 42" xfId="18121" xr:uid="{86BB0681-7F8F-4E43-B009-0D0A4F3111B4}"/>
    <cellStyle name="Normal 2 3 2 43" xfId="18122" xr:uid="{CF5CB678-5177-4252-91CF-037BA26223CE}"/>
    <cellStyle name="Normal 2 3 2 44" xfId="18123" xr:uid="{3A920ED8-D221-47D3-8B38-F73FF7424712}"/>
    <cellStyle name="Normal 2 3 2 45" xfId="18124" xr:uid="{19ABA1FE-A969-45C6-843E-3FC232CEC374}"/>
    <cellStyle name="Normal 2 3 2 45 2" xfId="18125" xr:uid="{C74C7EDF-A6AB-4131-B712-ECF6AB41359A}"/>
    <cellStyle name="Normal 2 3 2 45 3" xfId="18126" xr:uid="{C21B2E79-6643-49F0-BE51-F4503F4A88B1}"/>
    <cellStyle name="Normal 2 3 2 45 4" xfId="18127" xr:uid="{7A0340E8-90B6-496C-AD68-0AED58D91359}"/>
    <cellStyle name="Normal 2 3 2 45 5" xfId="18128" xr:uid="{04A68D3E-BCF4-49ED-9636-B188AEAE251E}"/>
    <cellStyle name="Normal 2 3 2 46" xfId="18129" xr:uid="{3EDF6CF6-4222-4A56-B5F5-B76D042CFA91}"/>
    <cellStyle name="Normal 2 3 2 47" xfId="18130" xr:uid="{BC850075-D18F-4AE8-A44B-9B90DBDE4BA4}"/>
    <cellStyle name="Normal 2 3 2 48" xfId="18131" xr:uid="{3031E8F6-7EB3-482F-A698-F5C9B5CD2911}"/>
    <cellStyle name="Normal 2 3 2 49" xfId="18132" xr:uid="{7E9C6713-CE2F-4778-8B85-0A08A32E7DE5}"/>
    <cellStyle name="Normal 2 3 2 5" xfId="18133" xr:uid="{617A82A3-BFA8-470E-9244-137DEC192EBD}"/>
    <cellStyle name="Normal 2 3 2 5 10" xfId="18134" xr:uid="{F453DF1C-D1E5-4832-85E1-F53685468153}"/>
    <cellStyle name="Normal 2 3 2 5 11" xfId="18135" xr:uid="{F48E4C0D-8947-4E1E-99B1-F7A23407BB23}"/>
    <cellStyle name="Normal 2 3 2 5 12" xfId="18136" xr:uid="{DE451223-E7B7-48FE-B53F-21331A203398}"/>
    <cellStyle name="Normal 2 3 2 5 13" xfId="18137" xr:uid="{A5ED255B-8C9A-47EB-A8DD-21D4B208F633}"/>
    <cellStyle name="Normal 2 3 2 5 14" xfId="18138" xr:uid="{06EB9451-D0B3-49EA-964B-9B69EF342BA9}"/>
    <cellStyle name="Normal 2 3 2 5 15" xfId="18139" xr:uid="{C4993278-C205-47AB-B089-A44AD19BA5AA}"/>
    <cellStyle name="Normal 2 3 2 5 16" xfId="18140" xr:uid="{5753D3E8-693A-4AE4-A7EC-107CD271081F}"/>
    <cellStyle name="Normal 2 3 2 5 17" xfId="18141" xr:uid="{5A16420C-A3F3-42D2-9E9C-DD540A43C981}"/>
    <cellStyle name="Normal 2 3 2 5 18" xfId="18142" xr:uid="{F6C02B44-0E01-4734-A2BB-B6F23BA8F2A5}"/>
    <cellStyle name="Normal 2 3 2 5 19" xfId="18143" xr:uid="{A84BBC24-47EF-47DC-89E1-9AB70EA95B68}"/>
    <cellStyle name="Normal 2 3 2 5 2" xfId="18144" xr:uid="{1CC7A4B1-EFA6-4302-813A-91D9A48A0DF1}"/>
    <cellStyle name="Normal 2 3 2 5 2 10" xfId="18145" xr:uid="{76926098-6FFD-46C3-AD76-0AA155BDE30C}"/>
    <cellStyle name="Normal 2 3 2 5 2 11" xfId="18146" xr:uid="{5BC19ACE-F081-4598-BE02-5F4C59472FB6}"/>
    <cellStyle name="Normal 2 3 2 5 2 12" xfId="18147" xr:uid="{79D5ED29-DD1D-4B64-BB9E-AF190AEF2C24}"/>
    <cellStyle name="Normal 2 3 2 5 2 13" xfId="18148" xr:uid="{FDF30B0C-D7F6-4869-8DDB-52A604610BAC}"/>
    <cellStyle name="Normal 2 3 2 5 2 14" xfId="18149" xr:uid="{93875E2C-90A1-4078-A530-C58076641DD7}"/>
    <cellStyle name="Normal 2 3 2 5 2 15" xfId="18150" xr:uid="{2F0CCA06-7D9B-4228-BD7D-7DDEAD1FA5AF}"/>
    <cellStyle name="Normal 2 3 2 5 2 2" xfId="18151" xr:uid="{CA26EEAC-286C-40A6-9E94-6226E06806CF}"/>
    <cellStyle name="Normal 2 3 2 5 2 2 10" xfId="18152" xr:uid="{B838260D-ED79-4F6F-B965-C10F2F7C289E}"/>
    <cellStyle name="Normal 2 3 2 5 2 2 11" xfId="18153" xr:uid="{FFD9441F-2B8C-4465-A121-FDA983907983}"/>
    <cellStyle name="Normal 2 3 2 5 2 2 12" xfId="18154" xr:uid="{0ABC3934-0638-40CB-865C-21215AC639E2}"/>
    <cellStyle name="Normal 2 3 2 5 2 2 2" xfId="18155" xr:uid="{C04CEE46-F16D-4C64-9E6C-733C3A02EB13}"/>
    <cellStyle name="Normal 2 3 2 5 2 2 2 10" xfId="18156" xr:uid="{82B0583D-930F-4FB2-AA4C-B756F1FB6EF6}"/>
    <cellStyle name="Normal 2 3 2 5 2 2 2 11" xfId="18157" xr:uid="{9442F22D-B53A-47DF-9AEA-61591F3C4748}"/>
    <cellStyle name="Normal 2 3 2 5 2 2 2 12" xfId="18158" xr:uid="{60BBDFB3-F9D4-4D63-BE66-1B8CA53C8624}"/>
    <cellStyle name="Normal 2 3 2 5 2 2 2 2" xfId="18159" xr:uid="{A717BD13-9A40-458F-9DCE-EAAD5E1EE833}"/>
    <cellStyle name="Normal 2 3 2 5 2 2 2 2 2" xfId="18160" xr:uid="{C2BB2125-9B70-4348-8A55-445B16A3992E}"/>
    <cellStyle name="Normal 2 3 2 5 2 2 2 2 2 2" xfId="18161" xr:uid="{A6257258-819E-440E-BF23-F7175D906BE2}"/>
    <cellStyle name="Normal 2 3 2 5 2 2 2 2 2 2 2" xfId="18162" xr:uid="{3BEAF613-3D16-4637-A648-912726364631}"/>
    <cellStyle name="Normal 2 3 2 5 2 2 2 2 2 2 2 2" xfId="18163" xr:uid="{02F19A59-C372-48CC-8D03-290FE141C3D0}"/>
    <cellStyle name="Normal 2 3 2 5 2 2 2 2 2 2 2 3" xfId="18164" xr:uid="{D0201012-7CD1-4D1E-A3C0-CCBE1112671E}"/>
    <cellStyle name="Normal 2 3 2 5 2 2 2 2 2 2 2 4" xfId="18165" xr:uid="{3F61DC4F-18F7-454E-BCD7-027F2634A596}"/>
    <cellStyle name="Normal 2 3 2 5 2 2 2 2 2 2 2 5" xfId="18166" xr:uid="{A9D8956D-D5A2-4C45-A521-7F1EEE45F527}"/>
    <cellStyle name="Normal 2 3 2 5 2 2 2 2 2 2 2 6" xfId="18167" xr:uid="{3223FEA2-D2A8-4D0C-9ABB-F7A394C57EC3}"/>
    <cellStyle name="Normal 2 3 2 5 2 2 2 2 2 2 3" xfId="18168" xr:uid="{CBF5708F-C880-48B5-A1D3-DD3CA82F0E29}"/>
    <cellStyle name="Normal 2 3 2 5 2 2 2 2 2 2 4" xfId="18169" xr:uid="{F6E76707-34A1-4AA7-9306-B5E5C523879C}"/>
    <cellStyle name="Normal 2 3 2 5 2 2 2 2 2 2 5" xfId="18170" xr:uid="{2517CCC2-668C-4ED2-8922-982D2CCE6552}"/>
    <cellStyle name="Normal 2 3 2 5 2 2 2 2 2 2 6" xfId="18171" xr:uid="{01628C1D-5DDE-4889-A4F7-8CE360141F22}"/>
    <cellStyle name="Normal 2 3 2 5 2 2 2 2 2 3" xfId="18172" xr:uid="{FB21F292-756E-47DA-A5E2-15EA02CB846B}"/>
    <cellStyle name="Normal 2 3 2 5 2 2 2 2 2 4" xfId="18173" xr:uid="{2FE83391-3A37-4B57-AABB-BE677BA2A8B6}"/>
    <cellStyle name="Normal 2 3 2 5 2 2 2 2 2 5" xfId="18174" xr:uid="{6A072082-834F-474D-9EBB-9BF0816E5D13}"/>
    <cellStyle name="Normal 2 3 2 5 2 2 2 2 2 6" xfId="18175" xr:uid="{F34871E4-F6BD-4967-AAB3-11C80926C722}"/>
    <cellStyle name="Normal 2 3 2 5 2 2 2 2 2 7" xfId="18176" xr:uid="{2400209F-2AB9-4EB5-8C52-4699DC8AE7B4}"/>
    <cellStyle name="Normal 2 3 2 5 2 2 2 2 2 8" xfId="18177" xr:uid="{3645C592-5D81-453A-9239-502D1D5B3795}"/>
    <cellStyle name="Normal 2 3 2 5 2 2 2 2 2 9" xfId="18178" xr:uid="{48058039-DE12-477C-8989-E89B28428336}"/>
    <cellStyle name="Normal 2 3 2 5 2 2 2 2 3" xfId="18179" xr:uid="{65107D2F-AFC4-4BD6-82ED-A43FC01A6422}"/>
    <cellStyle name="Normal 2 3 2 5 2 2 2 2 3 2" xfId="18180" xr:uid="{F6A6C92D-1E4F-4BFA-AD46-D9A2EEB55D0C}"/>
    <cellStyle name="Normal 2 3 2 5 2 2 2 2 3 2 2" xfId="18181" xr:uid="{C3388096-1624-40A1-97CD-583D25827BDA}"/>
    <cellStyle name="Normal 2 3 2 5 2 2 2 2 3 2 3" xfId="18182" xr:uid="{9F4E827F-AA7E-4EA2-89BD-9AB609F7BE3E}"/>
    <cellStyle name="Normal 2 3 2 5 2 2 2 2 3 2 4" xfId="18183" xr:uid="{4432FB51-C1EB-4336-952B-D4EE9665C676}"/>
    <cellStyle name="Normal 2 3 2 5 2 2 2 2 3 2 5" xfId="18184" xr:uid="{93FF96E2-A5AE-4826-9756-305CDF3F13F2}"/>
    <cellStyle name="Normal 2 3 2 5 2 2 2 2 3 2 6" xfId="18185" xr:uid="{B7674248-6A33-41B3-BBA3-736000EAC95A}"/>
    <cellStyle name="Normal 2 3 2 5 2 2 2 2 3 3" xfId="18186" xr:uid="{6D40992B-D41B-4ECE-A0B3-8049CADA337B}"/>
    <cellStyle name="Normal 2 3 2 5 2 2 2 2 3 4" xfId="18187" xr:uid="{B150A93E-A139-4990-AC34-5EB1E1495B19}"/>
    <cellStyle name="Normal 2 3 2 5 2 2 2 2 3 5" xfId="18188" xr:uid="{9DE98086-1FDC-4237-B557-00B54AD43AB0}"/>
    <cellStyle name="Normal 2 3 2 5 2 2 2 2 3 6" xfId="18189" xr:uid="{7A066ED0-27F3-4AD4-94A2-7F99587BAD85}"/>
    <cellStyle name="Normal 2 3 2 5 2 2 2 2 4" xfId="18190" xr:uid="{55F441FC-D7CE-4010-9E5F-704BB30E9428}"/>
    <cellStyle name="Normal 2 3 2 5 2 2 2 2 5" xfId="18191" xr:uid="{03F90E74-741C-4B2E-8F4D-93454AA7574D}"/>
    <cellStyle name="Normal 2 3 2 5 2 2 2 2 6" xfId="18192" xr:uid="{3CDFD737-4125-48DF-98CD-94C6EFBAE942}"/>
    <cellStyle name="Normal 2 3 2 5 2 2 2 2 7" xfId="18193" xr:uid="{613E7761-D8F9-49C8-8ADE-1A21A9797A27}"/>
    <cellStyle name="Normal 2 3 2 5 2 2 2 2 8" xfId="18194" xr:uid="{B3D55A3E-2E66-4830-8783-9D51AF8037F3}"/>
    <cellStyle name="Normal 2 3 2 5 2 2 2 2 9" xfId="18195" xr:uid="{09AB9D15-132B-467E-B7B7-70B1ADB272DF}"/>
    <cellStyle name="Normal 2 3 2 5 2 2 2 3" xfId="18196" xr:uid="{AA0292FE-57D2-4AD2-A824-7AF5F391A806}"/>
    <cellStyle name="Normal 2 3 2 5 2 2 2 4" xfId="18197" xr:uid="{2CFCF98A-CBD9-46C1-8292-D46FF7F6ABF3}"/>
    <cellStyle name="Normal 2 3 2 5 2 2 2 5" xfId="18198" xr:uid="{37B0BE4E-6AAE-4348-B935-3DBB0F1BF533}"/>
    <cellStyle name="Normal 2 3 2 5 2 2 2 5 2" xfId="18199" xr:uid="{F55E0757-B4E5-4383-82A4-11EC8FB59724}"/>
    <cellStyle name="Normal 2 3 2 5 2 2 2 5 2 2" xfId="18200" xr:uid="{D19C4157-A82D-498E-A975-073A8FB199FC}"/>
    <cellStyle name="Normal 2 3 2 5 2 2 2 5 2 3" xfId="18201" xr:uid="{DD178AAB-5090-4241-87A3-4E239C5D941A}"/>
    <cellStyle name="Normal 2 3 2 5 2 2 2 5 2 4" xfId="18202" xr:uid="{3758D271-3EA7-405F-8851-A93B97A67DC4}"/>
    <cellStyle name="Normal 2 3 2 5 2 2 2 5 2 5" xfId="18203" xr:uid="{37773BA0-3925-439F-966A-E22EA4ED4880}"/>
    <cellStyle name="Normal 2 3 2 5 2 2 2 5 2 6" xfId="18204" xr:uid="{6A252010-6D2B-4CAE-B3C3-7007F8E73535}"/>
    <cellStyle name="Normal 2 3 2 5 2 2 2 5 3" xfId="18205" xr:uid="{2A063867-6221-4860-A861-ECEA02079413}"/>
    <cellStyle name="Normal 2 3 2 5 2 2 2 5 4" xfId="18206" xr:uid="{C56E2216-7835-414C-85BF-1764059D1032}"/>
    <cellStyle name="Normal 2 3 2 5 2 2 2 5 5" xfId="18207" xr:uid="{EEAAA4E1-4EFD-4B2F-9478-5BBABF6FD745}"/>
    <cellStyle name="Normal 2 3 2 5 2 2 2 5 6" xfId="18208" xr:uid="{D06946CD-973B-47C9-AF0E-0F4582A6D884}"/>
    <cellStyle name="Normal 2 3 2 5 2 2 2 6" xfId="18209" xr:uid="{2D814A90-A2E6-4A63-88E2-C02430C29BB0}"/>
    <cellStyle name="Normal 2 3 2 5 2 2 2 7" xfId="18210" xr:uid="{83149506-4194-4A83-9B81-7651ED577481}"/>
    <cellStyle name="Normal 2 3 2 5 2 2 2 8" xfId="18211" xr:uid="{CE337A1C-E472-466C-A4E1-1B7CAEC1F902}"/>
    <cellStyle name="Normal 2 3 2 5 2 2 2 9" xfId="18212" xr:uid="{1F45CF6F-885C-4349-95CE-5330F7D99832}"/>
    <cellStyle name="Normal 2 3 2 5 2 2 3" xfId="18213" xr:uid="{B2E951B4-CD01-4419-9D15-05900A6FDC52}"/>
    <cellStyle name="Normal 2 3 2 5 2 2 3 2" xfId="18214" xr:uid="{D5DB50BA-8C27-484A-A689-535E39187352}"/>
    <cellStyle name="Normal 2 3 2 5 2 2 3 2 2" xfId="18215" xr:uid="{ABEA5229-9169-4F02-A16C-F8182E837E44}"/>
    <cellStyle name="Normal 2 3 2 5 2 2 3 2 2 2" xfId="18216" xr:uid="{303ED47D-B85A-4407-A1DB-D2506429A13E}"/>
    <cellStyle name="Normal 2 3 2 5 2 2 3 2 2 2 2" xfId="18217" xr:uid="{18BC4042-D948-4F0A-B0E2-94F2B5909873}"/>
    <cellStyle name="Normal 2 3 2 5 2 2 3 2 2 2 3" xfId="18218" xr:uid="{99DB4891-6416-4081-AE46-049D265473D4}"/>
    <cellStyle name="Normal 2 3 2 5 2 2 3 2 2 2 4" xfId="18219" xr:uid="{11BBFA2A-1B97-4898-886E-45E5CAC0E080}"/>
    <cellStyle name="Normal 2 3 2 5 2 2 3 2 2 2 5" xfId="18220" xr:uid="{C1CFA7ED-8F45-470C-89E9-232E1BD19B9A}"/>
    <cellStyle name="Normal 2 3 2 5 2 2 3 2 2 2 6" xfId="18221" xr:uid="{DB16B49D-75CF-4DE4-8A63-512A2051118E}"/>
    <cellStyle name="Normal 2 3 2 5 2 2 3 2 2 3" xfId="18222" xr:uid="{43BEAD96-FAB9-4A2F-BDA9-1690202621A2}"/>
    <cellStyle name="Normal 2 3 2 5 2 2 3 2 2 4" xfId="18223" xr:uid="{8157FD8F-05C4-4A88-B1C2-D3079926DDF9}"/>
    <cellStyle name="Normal 2 3 2 5 2 2 3 2 2 5" xfId="18224" xr:uid="{ADBEB43C-97D7-4A00-A612-B95841F81D6E}"/>
    <cellStyle name="Normal 2 3 2 5 2 2 3 2 2 6" xfId="18225" xr:uid="{75A5AEDD-7B78-4142-A238-632E518FF505}"/>
    <cellStyle name="Normal 2 3 2 5 2 2 3 2 3" xfId="18226" xr:uid="{DEF92296-3093-4C18-BFE3-31E2841895C4}"/>
    <cellStyle name="Normal 2 3 2 5 2 2 3 2 4" xfId="18227" xr:uid="{75B85F03-5679-4BC2-B2B4-54EFE3C3FA12}"/>
    <cellStyle name="Normal 2 3 2 5 2 2 3 2 5" xfId="18228" xr:uid="{B0DBF3D5-486C-4D7C-9743-23DDF66BAA16}"/>
    <cellStyle name="Normal 2 3 2 5 2 2 3 2 6" xfId="18229" xr:uid="{661BF917-1151-49AB-9FD4-DFA419EFBB0A}"/>
    <cellStyle name="Normal 2 3 2 5 2 2 3 2 7" xfId="18230" xr:uid="{6145484D-E3F8-4FF8-870E-10D13E0E42BD}"/>
    <cellStyle name="Normal 2 3 2 5 2 2 3 2 8" xfId="18231" xr:uid="{F4E03931-33D3-47F0-B2F1-04380E11C877}"/>
    <cellStyle name="Normal 2 3 2 5 2 2 3 2 9" xfId="18232" xr:uid="{3FAE8130-7C4B-4A9B-9FCA-BCE17B3B1F93}"/>
    <cellStyle name="Normal 2 3 2 5 2 2 3 3" xfId="18233" xr:uid="{523E09F2-5AEC-4E8B-B981-0059BEF073D6}"/>
    <cellStyle name="Normal 2 3 2 5 2 2 3 3 2" xfId="18234" xr:uid="{72835125-9ED5-4C2B-B356-D3EEB2767BA3}"/>
    <cellStyle name="Normal 2 3 2 5 2 2 3 3 2 2" xfId="18235" xr:uid="{F13139C7-316E-40B5-B0C7-D88F3B550BF6}"/>
    <cellStyle name="Normal 2 3 2 5 2 2 3 3 2 3" xfId="18236" xr:uid="{3712EC49-C4F2-4844-8876-BA6C1FD9BB38}"/>
    <cellStyle name="Normal 2 3 2 5 2 2 3 3 2 4" xfId="18237" xr:uid="{9AD04B36-E5C8-4C25-8DBF-D4D604AA3A34}"/>
    <cellStyle name="Normal 2 3 2 5 2 2 3 3 2 5" xfId="18238" xr:uid="{4342435C-1E12-4AEE-9833-F336E61D6564}"/>
    <cellStyle name="Normal 2 3 2 5 2 2 3 3 2 6" xfId="18239" xr:uid="{4E0C8A6D-1B52-4579-9697-A002CF46CCEE}"/>
    <cellStyle name="Normal 2 3 2 5 2 2 3 3 3" xfId="18240" xr:uid="{5F41A382-6D42-4C58-AB6F-300CB89FB80D}"/>
    <cellStyle name="Normal 2 3 2 5 2 2 3 3 4" xfId="18241" xr:uid="{4CB6329C-D4D5-4652-8F01-1EA38962CC81}"/>
    <cellStyle name="Normal 2 3 2 5 2 2 3 3 5" xfId="18242" xr:uid="{EFA0161B-1510-44E1-85E4-5680B582AC95}"/>
    <cellStyle name="Normal 2 3 2 5 2 2 3 3 6" xfId="18243" xr:uid="{AA930733-997E-4684-B857-377A134038FE}"/>
    <cellStyle name="Normal 2 3 2 5 2 2 3 4" xfId="18244" xr:uid="{73D9F2E4-A96A-4F82-A43C-E00C5B17F48D}"/>
    <cellStyle name="Normal 2 3 2 5 2 2 3 5" xfId="18245" xr:uid="{9D08E5BD-6766-4895-BFDE-8623440058E3}"/>
    <cellStyle name="Normal 2 3 2 5 2 2 3 6" xfId="18246" xr:uid="{8CB411AE-AB0A-418F-8CA5-120DB84836EE}"/>
    <cellStyle name="Normal 2 3 2 5 2 2 3 7" xfId="18247" xr:uid="{BF212846-128C-4537-9382-65C6F25C3237}"/>
    <cellStyle name="Normal 2 3 2 5 2 2 3 8" xfId="18248" xr:uid="{FB5477B1-53D5-4D55-BBF1-B326637C157B}"/>
    <cellStyle name="Normal 2 3 2 5 2 2 3 9" xfId="18249" xr:uid="{B585E1BA-A574-46A4-9330-1F689A7535C5}"/>
    <cellStyle name="Normal 2 3 2 5 2 2 4" xfId="18250" xr:uid="{15C11469-F696-4710-B80A-DF4A6C777F36}"/>
    <cellStyle name="Normal 2 3 2 5 2 2 5" xfId="18251" xr:uid="{2232BEBB-2B96-4AC6-B191-F740159AADD4}"/>
    <cellStyle name="Normal 2 3 2 5 2 2 5 2" xfId="18252" xr:uid="{F0F10070-BF4A-4654-A0C8-A4A04634A5B1}"/>
    <cellStyle name="Normal 2 3 2 5 2 2 5 2 2" xfId="18253" xr:uid="{A4E0B9C1-AFE7-4DEC-AA83-EFD86478DE8E}"/>
    <cellStyle name="Normal 2 3 2 5 2 2 5 2 3" xfId="18254" xr:uid="{DF214971-38B7-45C8-8400-77C2EF893FD5}"/>
    <cellStyle name="Normal 2 3 2 5 2 2 5 2 4" xfId="18255" xr:uid="{C0AEEA48-9F98-4E7B-ACB6-D0D59D9C3E83}"/>
    <cellStyle name="Normal 2 3 2 5 2 2 5 2 5" xfId="18256" xr:uid="{7D6A00B4-7D47-4E25-B57A-AFA744996CB4}"/>
    <cellStyle name="Normal 2 3 2 5 2 2 5 2 6" xfId="18257" xr:uid="{864C2773-2D00-419C-B9AE-499BC3915B0F}"/>
    <cellStyle name="Normal 2 3 2 5 2 2 5 3" xfId="18258" xr:uid="{B43A4C4A-7C67-40F8-8091-445F7DB93F83}"/>
    <cellStyle name="Normal 2 3 2 5 2 2 5 4" xfId="18259" xr:uid="{C86B0928-3DA0-407B-B307-44097351606D}"/>
    <cellStyle name="Normal 2 3 2 5 2 2 5 5" xfId="18260" xr:uid="{8022B705-FD77-468A-A9E6-BD64B3B9D717}"/>
    <cellStyle name="Normal 2 3 2 5 2 2 5 6" xfId="18261" xr:uid="{7096F3DC-D695-4D3B-9210-BFBA79289949}"/>
    <cellStyle name="Normal 2 3 2 5 2 2 6" xfId="18262" xr:uid="{705FA30C-1FF7-44A6-AC0C-6861C661842C}"/>
    <cellStyle name="Normal 2 3 2 5 2 2 7" xfId="18263" xr:uid="{4F3EB7A1-DF8C-4FD6-A121-D349DC77D9FC}"/>
    <cellStyle name="Normal 2 3 2 5 2 2 8" xfId="18264" xr:uid="{2F3455BB-9EA2-490C-BC35-DB9F3A96A5D7}"/>
    <cellStyle name="Normal 2 3 2 5 2 2 9" xfId="18265" xr:uid="{AB8477A8-152E-45A3-A8EF-E5734EBD986E}"/>
    <cellStyle name="Normal 2 3 2 5 2 3" xfId="18266" xr:uid="{6282D0CE-530C-4B48-9845-D5CB955DBCDF}"/>
    <cellStyle name="Normal 2 3 2 5 2 4" xfId="18267" xr:uid="{D0230528-AC75-4CCD-ACF3-81CEB13300C7}"/>
    <cellStyle name="Normal 2 3 2 5 2 5" xfId="18268" xr:uid="{80C82C12-FF16-4472-9024-785AF281F990}"/>
    <cellStyle name="Normal 2 3 2 5 2 5 2" xfId="18269" xr:uid="{7CD9EE63-4770-495B-AB68-105F86ADF759}"/>
    <cellStyle name="Normal 2 3 2 5 2 5 2 2" xfId="18270" xr:uid="{E9A512E0-79C1-4454-8772-27A69FC140F7}"/>
    <cellStyle name="Normal 2 3 2 5 2 5 2 2 2" xfId="18271" xr:uid="{AC03A1B7-C534-4207-A9FF-56A32754BCBD}"/>
    <cellStyle name="Normal 2 3 2 5 2 5 2 2 2 2" xfId="18272" xr:uid="{5514F5AB-A4B3-4D55-9FAE-679527541C25}"/>
    <cellStyle name="Normal 2 3 2 5 2 5 2 2 2 3" xfId="18273" xr:uid="{B64920E1-4358-4325-8BEA-583D32CCB4A2}"/>
    <cellStyle name="Normal 2 3 2 5 2 5 2 2 2 4" xfId="18274" xr:uid="{41A82DF4-5332-4091-BC5E-5E23A28E9138}"/>
    <cellStyle name="Normal 2 3 2 5 2 5 2 2 2 5" xfId="18275" xr:uid="{AC00B781-DD96-40A4-8703-EE5FD2A1677B}"/>
    <cellStyle name="Normal 2 3 2 5 2 5 2 2 2 6" xfId="18276" xr:uid="{B09327A7-1E01-45D8-82DE-18F447696565}"/>
    <cellStyle name="Normal 2 3 2 5 2 5 2 2 3" xfId="18277" xr:uid="{44015AA4-5814-4A61-8F5D-165D19BB7792}"/>
    <cellStyle name="Normal 2 3 2 5 2 5 2 2 4" xfId="18278" xr:uid="{36F75484-6679-4969-A11E-35237934422E}"/>
    <cellStyle name="Normal 2 3 2 5 2 5 2 2 5" xfId="18279" xr:uid="{24AEBFE1-03BD-470A-9C38-25B72DB71FD1}"/>
    <cellStyle name="Normal 2 3 2 5 2 5 2 2 6" xfId="18280" xr:uid="{5522F0BC-5321-49E6-A7E4-DCFB298B6482}"/>
    <cellStyle name="Normal 2 3 2 5 2 5 2 3" xfId="18281" xr:uid="{9D586741-238D-4E56-B104-A3C62789FCF8}"/>
    <cellStyle name="Normal 2 3 2 5 2 5 2 4" xfId="18282" xr:uid="{1FD41995-E293-482E-8504-77EEBE316A87}"/>
    <cellStyle name="Normal 2 3 2 5 2 5 2 5" xfId="18283" xr:uid="{41755E0B-2441-4D86-85BB-354FB1CB1ED3}"/>
    <cellStyle name="Normal 2 3 2 5 2 5 2 6" xfId="18284" xr:uid="{BE2FCEF4-BE14-4649-9ADB-42557DE4514C}"/>
    <cellStyle name="Normal 2 3 2 5 2 5 2 7" xfId="18285" xr:uid="{D6796465-D8DB-439C-901A-6CBAFF49E5A4}"/>
    <cellStyle name="Normal 2 3 2 5 2 5 2 8" xfId="18286" xr:uid="{275BD14A-39DB-491D-96B3-ECE3B49B915C}"/>
    <cellStyle name="Normal 2 3 2 5 2 5 2 9" xfId="18287" xr:uid="{FADE45BE-E766-43EF-BDE3-DE8D000B5BAB}"/>
    <cellStyle name="Normal 2 3 2 5 2 5 3" xfId="18288" xr:uid="{7A7564F2-C11C-451C-A64F-48057F08EE47}"/>
    <cellStyle name="Normal 2 3 2 5 2 5 3 2" xfId="18289" xr:uid="{7176114E-13EC-4C58-8C6F-C2268CB2DAAC}"/>
    <cellStyle name="Normal 2 3 2 5 2 5 3 2 2" xfId="18290" xr:uid="{FCAA0D05-57A7-4A5F-BD77-F23CCA6A26FA}"/>
    <cellStyle name="Normal 2 3 2 5 2 5 3 2 3" xfId="18291" xr:uid="{FF9048BA-B1E9-491B-9EE5-BB8A234068AD}"/>
    <cellStyle name="Normal 2 3 2 5 2 5 3 2 4" xfId="18292" xr:uid="{9401C506-E308-4633-9FB5-6B0C8781BBE9}"/>
    <cellStyle name="Normal 2 3 2 5 2 5 3 2 5" xfId="18293" xr:uid="{03F32005-F677-4F54-80CA-4256D0769FA6}"/>
    <cellStyle name="Normal 2 3 2 5 2 5 3 2 6" xfId="18294" xr:uid="{D6A8B32A-7D7A-4D9E-9297-C811863536E9}"/>
    <cellStyle name="Normal 2 3 2 5 2 5 3 3" xfId="18295" xr:uid="{42F40BF9-2157-48D8-8126-36B54517835E}"/>
    <cellStyle name="Normal 2 3 2 5 2 5 3 4" xfId="18296" xr:uid="{B28AEE18-61A6-4071-80A8-32F2F4AFACB6}"/>
    <cellStyle name="Normal 2 3 2 5 2 5 3 5" xfId="18297" xr:uid="{9BC4AAD3-6D1E-4D9E-A1F7-DE75EEEFBD27}"/>
    <cellStyle name="Normal 2 3 2 5 2 5 3 6" xfId="18298" xr:uid="{45983A6E-D39C-4083-91F5-40736D41F2AC}"/>
    <cellStyle name="Normal 2 3 2 5 2 5 4" xfId="18299" xr:uid="{1E8384F1-08D4-4F6D-9650-7DD9EAB375B4}"/>
    <cellStyle name="Normal 2 3 2 5 2 5 5" xfId="18300" xr:uid="{02947ADC-CF92-48DD-ADA6-3EF1147D6CAB}"/>
    <cellStyle name="Normal 2 3 2 5 2 5 6" xfId="18301" xr:uid="{174246CB-6D60-4C0D-A3B1-DFE0F734AC25}"/>
    <cellStyle name="Normal 2 3 2 5 2 5 7" xfId="18302" xr:uid="{074D2C2E-45C5-4C29-9B32-6AAA39752B4E}"/>
    <cellStyle name="Normal 2 3 2 5 2 5 8" xfId="18303" xr:uid="{26D67CD3-F4B3-4B94-8088-6AB351EADA70}"/>
    <cellStyle name="Normal 2 3 2 5 2 5 9" xfId="18304" xr:uid="{CBEF526E-2056-4FAB-9698-4F6566B5FC35}"/>
    <cellStyle name="Normal 2 3 2 5 2 6" xfId="18305" xr:uid="{8B998D45-F200-4210-8D55-C9A4B7BDEE0B}"/>
    <cellStyle name="Normal 2 3 2 5 2 7" xfId="18306" xr:uid="{AB3E5D91-58FC-45CC-B9F8-40AA661F9975}"/>
    <cellStyle name="Normal 2 3 2 5 2 8" xfId="18307" xr:uid="{8D1595C9-4AE5-4B22-91DC-88D5AED4B237}"/>
    <cellStyle name="Normal 2 3 2 5 2 8 2" xfId="18308" xr:uid="{1FE7B738-7971-43C1-AD26-E34B1ECBA7E5}"/>
    <cellStyle name="Normal 2 3 2 5 2 8 2 2" xfId="18309" xr:uid="{9FD76D3F-ACFD-4406-8582-F7E9B2B60107}"/>
    <cellStyle name="Normal 2 3 2 5 2 8 2 3" xfId="18310" xr:uid="{38D05BE7-5FD1-4471-9E51-6F18B0B82779}"/>
    <cellStyle name="Normal 2 3 2 5 2 8 2 4" xfId="18311" xr:uid="{667A520F-4954-4481-9C57-DAA393E3BA29}"/>
    <cellStyle name="Normal 2 3 2 5 2 8 2 5" xfId="18312" xr:uid="{BBD595DF-227C-48D2-A24E-60C97FC47AB6}"/>
    <cellStyle name="Normal 2 3 2 5 2 8 2 6" xfId="18313" xr:uid="{90C151CB-8C24-476B-81C4-BD8114E74485}"/>
    <cellStyle name="Normal 2 3 2 5 2 8 3" xfId="18314" xr:uid="{69D5E96A-9722-47E9-8382-9EDCD65FD6E1}"/>
    <cellStyle name="Normal 2 3 2 5 2 8 4" xfId="18315" xr:uid="{25F5559A-1A94-4307-A39A-2572B9FE17CF}"/>
    <cellStyle name="Normal 2 3 2 5 2 8 5" xfId="18316" xr:uid="{D1EC0DD3-B522-4830-96AC-336BC8A14F4F}"/>
    <cellStyle name="Normal 2 3 2 5 2 8 6" xfId="18317" xr:uid="{C0571038-AC12-4F4D-A2BB-3CA3BA135118}"/>
    <cellStyle name="Normal 2 3 2 5 2 9" xfId="18318" xr:uid="{B81A116E-564B-4B7F-99BD-D0B5C702DE1C}"/>
    <cellStyle name="Normal 2 3 2 5 20" xfId="18319" xr:uid="{E67DE396-18A4-4D66-AD2B-42C47A594651}"/>
    <cellStyle name="Normal 2 3 2 5 3" xfId="18320" xr:uid="{AF890BF8-7A74-4E1C-9861-8B2A9C8470B6}"/>
    <cellStyle name="Normal 2 3 2 5 3 10" xfId="18321" xr:uid="{75FA94BE-2DAC-4B3D-9558-4BA43B1E2D95}"/>
    <cellStyle name="Normal 2 3 2 5 3 11" xfId="18322" xr:uid="{D495F81A-5870-49C5-A03C-EA188EC1F00F}"/>
    <cellStyle name="Normal 2 3 2 5 3 12" xfId="18323" xr:uid="{7BF34FA1-8F05-45ED-9B96-FC332B6EB424}"/>
    <cellStyle name="Normal 2 3 2 5 3 2" xfId="18324" xr:uid="{74C6FE8D-3E28-4D22-9F9B-2C0ADBCDE215}"/>
    <cellStyle name="Normal 2 3 2 5 3 2 10" xfId="18325" xr:uid="{8E798669-C2B6-4A2E-B441-243F039A18F5}"/>
    <cellStyle name="Normal 2 3 2 5 3 2 11" xfId="18326" xr:uid="{02DE4325-63BA-4043-858E-58EAC3104EC6}"/>
    <cellStyle name="Normal 2 3 2 5 3 2 12" xfId="18327" xr:uid="{EE9EED09-5E57-4A26-924C-7F0E9B62CC03}"/>
    <cellStyle name="Normal 2 3 2 5 3 2 2" xfId="18328" xr:uid="{74CE4DEA-2200-47BC-AB9E-4A9F7644BA57}"/>
    <cellStyle name="Normal 2 3 2 5 3 2 2 2" xfId="18329" xr:uid="{762C4FB1-EE6F-4179-9E13-8F166582D408}"/>
    <cellStyle name="Normal 2 3 2 5 3 2 2 2 2" xfId="18330" xr:uid="{91AF84F8-3E93-43DF-85F8-DC278D9B6B0A}"/>
    <cellStyle name="Normal 2 3 2 5 3 2 2 2 2 2" xfId="18331" xr:uid="{6D4794DB-041E-4A5D-943A-67D727C78001}"/>
    <cellStyle name="Normal 2 3 2 5 3 2 2 2 2 2 2" xfId="18332" xr:uid="{AB53B515-22FE-4949-9297-3789149EFA1A}"/>
    <cellStyle name="Normal 2 3 2 5 3 2 2 2 2 2 3" xfId="18333" xr:uid="{2071618E-F022-4D8D-BF2C-D29CB3181767}"/>
    <cellStyle name="Normal 2 3 2 5 3 2 2 2 2 2 4" xfId="18334" xr:uid="{7E7BFAF0-2CA5-4832-9C6C-D6783E74FB82}"/>
    <cellStyle name="Normal 2 3 2 5 3 2 2 2 2 2 5" xfId="18335" xr:uid="{E93B268E-5483-42AB-AF09-5D894513FEE5}"/>
    <cellStyle name="Normal 2 3 2 5 3 2 2 2 2 2 6" xfId="18336" xr:uid="{01BBA4DB-CA3D-4A58-8070-25EAE28A1E00}"/>
    <cellStyle name="Normal 2 3 2 5 3 2 2 2 2 3" xfId="18337" xr:uid="{1D90067B-0479-4E6F-90EF-5BEB40F5A3DE}"/>
    <cellStyle name="Normal 2 3 2 5 3 2 2 2 2 4" xfId="18338" xr:uid="{D9BD2349-B2F4-4934-958D-2F6D44F4CC63}"/>
    <cellStyle name="Normal 2 3 2 5 3 2 2 2 2 5" xfId="18339" xr:uid="{1C18893C-CA06-4C3B-A2CB-9DB2648E5551}"/>
    <cellStyle name="Normal 2 3 2 5 3 2 2 2 2 6" xfId="18340" xr:uid="{9D6320CF-48BF-4C6A-94B9-D85BB5E0D42E}"/>
    <cellStyle name="Normal 2 3 2 5 3 2 2 2 3" xfId="18341" xr:uid="{A30F7B69-A0CB-4E19-8667-98261BFE82DA}"/>
    <cellStyle name="Normal 2 3 2 5 3 2 2 2 4" xfId="18342" xr:uid="{4AEFB758-A891-4DA1-91A1-4256BF0453FA}"/>
    <cellStyle name="Normal 2 3 2 5 3 2 2 2 5" xfId="18343" xr:uid="{E3F81F12-EEBF-4B3A-BB23-1F2F4F551D7E}"/>
    <cellStyle name="Normal 2 3 2 5 3 2 2 2 6" xfId="18344" xr:uid="{25E6231A-6131-4F95-B8A1-956BC49AC17C}"/>
    <cellStyle name="Normal 2 3 2 5 3 2 2 2 7" xfId="18345" xr:uid="{6264E97C-7095-4053-A48F-A88B535A627B}"/>
    <cellStyle name="Normal 2 3 2 5 3 2 2 2 8" xfId="18346" xr:uid="{776DC393-1E3D-4617-A393-5B6778259C04}"/>
    <cellStyle name="Normal 2 3 2 5 3 2 2 2 9" xfId="18347" xr:uid="{31C700B1-3CCF-4211-A450-F70454F4E6DC}"/>
    <cellStyle name="Normal 2 3 2 5 3 2 2 3" xfId="18348" xr:uid="{ACB0531E-C51E-4407-A7C8-1C4B2CF9F8C5}"/>
    <cellStyle name="Normal 2 3 2 5 3 2 2 3 2" xfId="18349" xr:uid="{221041BC-80F4-4D34-8960-B3DF970FA36A}"/>
    <cellStyle name="Normal 2 3 2 5 3 2 2 3 2 2" xfId="18350" xr:uid="{32CE8FFC-A39B-425F-B60F-D6276332031C}"/>
    <cellStyle name="Normal 2 3 2 5 3 2 2 3 2 3" xfId="18351" xr:uid="{04FD448B-DADE-4ED7-A255-3E10BD90CA5C}"/>
    <cellStyle name="Normal 2 3 2 5 3 2 2 3 2 4" xfId="18352" xr:uid="{5DF34509-2CEA-4D12-8178-7B2BFEB2C8E4}"/>
    <cellStyle name="Normal 2 3 2 5 3 2 2 3 2 5" xfId="18353" xr:uid="{64E75E27-1289-47EB-A3E4-E504CC62EF94}"/>
    <cellStyle name="Normal 2 3 2 5 3 2 2 3 2 6" xfId="18354" xr:uid="{578794A2-2223-4BC8-9E67-6CDF55647682}"/>
    <cellStyle name="Normal 2 3 2 5 3 2 2 3 3" xfId="18355" xr:uid="{3E7B2617-DD5B-48DA-B26F-AD96DDDD13A1}"/>
    <cellStyle name="Normal 2 3 2 5 3 2 2 3 4" xfId="18356" xr:uid="{8F95F4D4-7ADB-4559-8C4F-5BB6E22E59F9}"/>
    <cellStyle name="Normal 2 3 2 5 3 2 2 3 5" xfId="18357" xr:uid="{18FBEA43-C41D-4AA2-9CF9-0E4C0133C1F7}"/>
    <cellStyle name="Normal 2 3 2 5 3 2 2 3 6" xfId="18358" xr:uid="{9A9042A4-ED81-4CD9-A463-B10C54D9CB50}"/>
    <cellStyle name="Normal 2 3 2 5 3 2 2 4" xfId="18359" xr:uid="{BD1C6674-1148-49B4-A935-D42F326AB839}"/>
    <cellStyle name="Normal 2 3 2 5 3 2 2 5" xfId="18360" xr:uid="{A613E3C3-0037-4892-AE1F-C19967CACAD0}"/>
    <cellStyle name="Normal 2 3 2 5 3 2 2 6" xfId="18361" xr:uid="{C076E6D7-E357-4CE5-9D4E-E6D5E89407E2}"/>
    <cellStyle name="Normal 2 3 2 5 3 2 2 7" xfId="18362" xr:uid="{A05BB2E3-039B-4D94-AC30-74D8FC96172E}"/>
    <cellStyle name="Normal 2 3 2 5 3 2 2 8" xfId="18363" xr:uid="{345F2449-4348-4BF5-A9B3-C541FBBD94CB}"/>
    <cellStyle name="Normal 2 3 2 5 3 2 2 9" xfId="18364" xr:uid="{74606068-AE6F-4782-9BC6-6EE11054576D}"/>
    <cellStyle name="Normal 2 3 2 5 3 2 3" xfId="18365" xr:uid="{1898FE3D-26AC-41B5-BF6A-40C7E79B48B6}"/>
    <cellStyle name="Normal 2 3 2 5 3 2 4" xfId="18366" xr:uid="{A4B3513B-8254-43F9-AEB7-814F288169F3}"/>
    <cellStyle name="Normal 2 3 2 5 3 2 5" xfId="18367" xr:uid="{CBFE64B2-2822-40AD-9CDD-8E0B84E7C3E7}"/>
    <cellStyle name="Normal 2 3 2 5 3 2 5 2" xfId="18368" xr:uid="{179930F8-75A5-4DA5-ACAB-8E89229AF47C}"/>
    <cellStyle name="Normal 2 3 2 5 3 2 5 2 2" xfId="18369" xr:uid="{4488F1E5-8118-42A9-A50A-251915827DE0}"/>
    <cellStyle name="Normal 2 3 2 5 3 2 5 2 3" xfId="18370" xr:uid="{8059DE5A-F093-4BFF-B4D1-BF34547562CF}"/>
    <cellStyle name="Normal 2 3 2 5 3 2 5 2 4" xfId="18371" xr:uid="{D1A9EB11-9A4F-4A4C-8D61-09CDBA89D926}"/>
    <cellStyle name="Normal 2 3 2 5 3 2 5 2 5" xfId="18372" xr:uid="{897AB6E4-8766-4ECA-B4BA-6CA080DEEB2D}"/>
    <cellStyle name="Normal 2 3 2 5 3 2 5 2 6" xfId="18373" xr:uid="{A8543DA7-03A9-4A3A-AC42-058EB51A1B08}"/>
    <cellStyle name="Normal 2 3 2 5 3 2 5 3" xfId="18374" xr:uid="{BD935626-2E99-49DE-9620-C1A96B686AC7}"/>
    <cellStyle name="Normal 2 3 2 5 3 2 5 4" xfId="18375" xr:uid="{9FCE5185-F5BE-48ED-A1F8-5A8351B5CF43}"/>
    <cellStyle name="Normal 2 3 2 5 3 2 5 5" xfId="18376" xr:uid="{97790750-3F5E-42C1-A894-4FEEB89772FF}"/>
    <cellStyle name="Normal 2 3 2 5 3 2 5 6" xfId="18377" xr:uid="{F1E1D716-7CDB-460A-93E0-85B6BE68FEE7}"/>
    <cellStyle name="Normal 2 3 2 5 3 2 6" xfId="18378" xr:uid="{6BE3B034-EF66-4C2A-AC8D-296C302402FF}"/>
    <cellStyle name="Normal 2 3 2 5 3 2 7" xfId="18379" xr:uid="{9E51BBED-2851-4608-B278-3072697014EE}"/>
    <cellStyle name="Normal 2 3 2 5 3 2 8" xfId="18380" xr:uid="{5D8E0277-F032-4361-9337-D4E739301AFD}"/>
    <cellStyle name="Normal 2 3 2 5 3 2 9" xfId="18381" xr:uid="{8D1A4960-D159-4B43-8C01-8AC7A7145467}"/>
    <cellStyle name="Normal 2 3 2 5 3 3" xfId="18382" xr:uid="{FE032665-CC5C-41CE-92F9-955600EB1C87}"/>
    <cellStyle name="Normal 2 3 2 5 3 3 2" xfId="18383" xr:uid="{ECFE4F60-F438-4B6F-A13C-668320C55297}"/>
    <cellStyle name="Normal 2 3 2 5 3 3 2 2" xfId="18384" xr:uid="{3147D625-17A2-4A04-A4AE-EB4C8C7D51A1}"/>
    <cellStyle name="Normal 2 3 2 5 3 3 2 2 2" xfId="18385" xr:uid="{55DBE303-0A52-4DF2-BA75-70551C9EEE75}"/>
    <cellStyle name="Normal 2 3 2 5 3 3 2 2 2 2" xfId="18386" xr:uid="{4DE45A39-62E7-47EA-A26B-39EFDC4037A9}"/>
    <cellStyle name="Normal 2 3 2 5 3 3 2 2 2 3" xfId="18387" xr:uid="{C74DD228-E5C8-47FD-8090-F94E01854527}"/>
    <cellStyle name="Normal 2 3 2 5 3 3 2 2 2 4" xfId="18388" xr:uid="{28936E6A-A9EB-43A5-AC65-2FDAD6071BEF}"/>
    <cellStyle name="Normal 2 3 2 5 3 3 2 2 2 5" xfId="18389" xr:uid="{A542EA5D-2952-4FA4-BC1D-E0579F7F03C3}"/>
    <cellStyle name="Normal 2 3 2 5 3 3 2 2 2 6" xfId="18390" xr:uid="{630C8D84-0EC6-434F-BB64-754EA3CD8E55}"/>
    <cellStyle name="Normal 2 3 2 5 3 3 2 2 3" xfId="18391" xr:uid="{E6F24EBB-AF4C-459A-99CC-310CCDED2F26}"/>
    <cellStyle name="Normal 2 3 2 5 3 3 2 2 4" xfId="18392" xr:uid="{EA1E2F2D-B0D6-45F6-A259-83444BC9B60D}"/>
    <cellStyle name="Normal 2 3 2 5 3 3 2 2 5" xfId="18393" xr:uid="{7A834DCB-DA54-4D90-B821-EC22E4FED7FF}"/>
    <cellStyle name="Normal 2 3 2 5 3 3 2 2 6" xfId="18394" xr:uid="{904A2F5A-4D33-4AAA-827C-82EB0D177C8D}"/>
    <cellStyle name="Normal 2 3 2 5 3 3 2 3" xfId="18395" xr:uid="{2299B1C1-F16D-4B39-898F-2E4874BE5022}"/>
    <cellStyle name="Normal 2 3 2 5 3 3 2 4" xfId="18396" xr:uid="{0775B450-7090-412E-9B30-0C71DCCD6BCB}"/>
    <cellStyle name="Normal 2 3 2 5 3 3 2 5" xfId="18397" xr:uid="{030CD0D3-8AE4-4E4E-BF36-7FB506A12636}"/>
    <cellStyle name="Normal 2 3 2 5 3 3 2 6" xfId="18398" xr:uid="{27C92760-B522-418A-876F-B87EF4B89B48}"/>
    <cellStyle name="Normal 2 3 2 5 3 3 2 7" xfId="18399" xr:uid="{A3424520-4510-472F-A1EF-3D89F0B8A4B5}"/>
    <cellStyle name="Normal 2 3 2 5 3 3 2 8" xfId="18400" xr:uid="{0F6B7928-F960-40ED-9E4B-084E03D91DDF}"/>
    <cellStyle name="Normal 2 3 2 5 3 3 2 9" xfId="18401" xr:uid="{47A6D5CC-576B-4FC9-A4D7-0026BD45B5A2}"/>
    <cellStyle name="Normal 2 3 2 5 3 3 3" xfId="18402" xr:uid="{FC9F89F7-CC98-4B60-8492-6A7ED06D4319}"/>
    <cellStyle name="Normal 2 3 2 5 3 3 3 2" xfId="18403" xr:uid="{F180A15B-9BA4-4862-8A3F-006AF746A5B1}"/>
    <cellStyle name="Normal 2 3 2 5 3 3 3 2 2" xfId="18404" xr:uid="{7119DB15-B45A-4481-8EA1-74E7C9FF2CB7}"/>
    <cellStyle name="Normal 2 3 2 5 3 3 3 2 3" xfId="18405" xr:uid="{F760FC2D-7417-4486-8DB8-01A73A78DD30}"/>
    <cellStyle name="Normal 2 3 2 5 3 3 3 2 4" xfId="18406" xr:uid="{A1D459DC-DB98-458D-8DE9-274AE549F0C1}"/>
    <cellStyle name="Normal 2 3 2 5 3 3 3 2 5" xfId="18407" xr:uid="{400C83B3-71C8-4461-8BC1-B3D6EF5D8819}"/>
    <cellStyle name="Normal 2 3 2 5 3 3 3 2 6" xfId="18408" xr:uid="{B2AD311F-BC0E-4502-B58B-E4A34810FAEE}"/>
    <cellStyle name="Normal 2 3 2 5 3 3 3 3" xfId="18409" xr:uid="{01A1296B-AE99-4D15-A14C-609A18814243}"/>
    <cellStyle name="Normal 2 3 2 5 3 3 3 4" xfId="18410" xr:uid="{60EA650F-5508-4694-9936-95094887B711}"/>
    <cellStyle name="Normal 2 3 2 5 3 3 3 5" xfId="18411" xr:uid="{954322EA-AC3C-46B7-9CFA-95AE79C24AE5}"/>
    <cellStyle name="Normal 2 3 2 5 3 3 3 6" xfId="18412" xr:uid="{686B3433-0EE2-4D46-B578-0A36F205792C}"/>
    <cellStyle name="Normal 2 3 2 5 3 3 4" xfId="18413" xr:uid="{E9F04014-74F7-408C-ACF2-2332EE902D9B}"/>
    <cellStyle name="Normal 2 3 2 5 3 3 5" xfId="18414" xr:uid="{15DDC8C7-685A-4EB6-9A1C-0C53C527A6A7}"/>
    <cellStyle name="Normal 2 3 2 5 3 3 6" xfId="18415" xr:uid="{317DCF0D-92BC-46E1-84C0-FFA53FA4D1E0}"/>
    <cellStyle name="Normal 2 3 2 5 3 3 7" xfId="18416" xr:uid="{D2F95320-4028-42DA-AF9D-5EFA29EFBB03}"/>
    <cellStyle name="Normal 2 3 2 5 3 3 8" xfId="18417" xr:uid="{FF9BF1EB-1634-4BD2-9EBA-52570F1BB15C}"/>
    <cellStyle name="Normal 2 3 2 5 3 3 9" xfId="18418" xr:uid="{1EC3543B-766E-4F93-AF1C-84A0AF38B564}"/>
    <cellStyle name="Normal 2 3 2 5 3 4" xfId="18419" xr:uid="{01C86B75-9452-455E-AF53-B2D07C644A86}"/>
    <cellStyle name="Normal 2 3 2 5 3 5" xfId="18420" xr:uid="{10BF2DBF-FC8C-4ACA-AC06-39CA9B95F4BD}"/>
    <cellStyle name="Normal 2 3 2 5 3 5 2" xfId="18421" xr:uid="{CB002A9E-95CB-46E8-BF33-C3F0B6D2234A}"/>
    <cellStyle name="Normal 2 3 2 5 3 5 2 2" xfId="18422" xr:uid="{1E3A22A3-AF77-4AA1-97E6-3C7652D8874F}"/>
    <cellStyle name="Normal 2 3 2 5 3 5 2 3" xfId="18423" xr:uid="{235EFE12-6645-4249-84D4-D5907C211E28}"/>
    <cellStyle name="Normal 2 3 2 5 3 5 2 4" xfId="18424" xr:uid="{68A99EBC-3C55-488B-A21E-19F1F76B9CFE}"/>
    <cellStyle name="Normal 2 3 2 5 3 5 2 5" xfId="18425" xr:uid="{4D0B2D16-5AB3-4AAC-8713-621711D41CA4}"/>
    <cellStyle name="Normal 2 3 2 5 3 5 2 6" xfId="18426" xr:uid="{EF013941-3777-47D9-8D3A-0DF7CD746C84}"/>
    <cellStyle name="Normal 2 3 2 5 3 5 3" xfId="18427" xr:uid="{2103178C-CAC2-405D-B3BA-FE6ABFE0EF4C}"/>
    <cellStyle name="Normal 2 3 2 5 3 5 4" xfId="18428" xr:uid="{BEBDB229-257E-459E-AA66-09606F8A3343}"/>
    <cellStyle name="Normal 2 3 2 5 3 5 5" xfId="18429" xr:uid="{3D2664EE-2044-4A1F-8F66-AF5297438E78}"/>
    <cellStyle name="Normal 2 3 2 5 3 5 6" xfId="18430" xr:uid="{DA74B262-7B44-4ACB-98E8-B770ABC61F1D}"/>
    <cellStyle name="Normal 2 3 2 5 3 6" xfId="18431" xr:uid="{9535E89C-44FA-4149-A9E7-29DB58BE07FB}"/>
    <cellStyle name="Normal 2 3 2 5 3 7" xfId="18432" xr:uid="{8F7584C9-D37A-45C4-B315-EFC1CCDA4A69}"/>
    <cellStyle name="Normal 2 3 2 5 3 8" xfId="18433" xr:uid="{BAB8AD7A-6680-433A-AC00-C6658E43DA12}"/>
    <cellStyle name="Normal 2 3 2 5 3 9" xfId="18434" xr:uid="{C73FE1EA-6F2F-4F67-8114-8CCCFCDF0804}"/>
    <cellStyle name="Normal 2 3 2 5 4" xfId="18435" xr:uid="{F56E10CA-E189-4EEC-9A41-7DD33A178A47}"/>
    <cellStyle name="Normal 2 3 2 5 5" xfId="18436" xr:uid="{79BE632F-4547-47E1-B184-73A3285FDA18}"/>
    <cellStyle name="Normal 2 3 2 5 5 2" xfId="18437" xr:uid="{5BE9A341-AB44-4F70-9E4C-722DF9E3F461}"/>
    <cellStyle name="Normal 2 3 2 5 5 2 2" xfId="18438" xr:uid="{D630F62E-5427-4A2D-965A-BDBFAE204C75}"/>
    <cellStyle name="Normal 2 3 2 5 5 2 2 2" xfId="18439" xr:uid="{BF9D2EB3-F2E6-4B3D-80E7-4C253641F2ED}"/>
    <cellStyle name="Normal 2 3 2 5 5 2 2 2 2" xfId="18440" xr:uid="{95DB7C67-98AA-49BB-B177-E7FC420E885F}"/>
    <cellStyle name="Normal 2 3 2 5 5 2 2 2 3" xfId="18441" xr:uid="{D0399441-CC8A-47B4-B669-8DDA8F88568E}"/>
    <cellStyle name="Normal 2 3 2 5 5 2 2 2 4" xfId="18442" xr:uid="{7E2AFAD1-1A3F-4B18-9FF5-D66237480383}"/>
    <cellStyle name="Normal 2 3 2 5 5 2 2 2 5" xfId="18443" xr:uid="{39A440F7-54AD-4731-B197-90D4D2DD86A9}"/>
    <cellStyle name="Normal 2 3 2 5 5 2 2 2 6" xfId="18444" xr:uid="{9FD9A59D-31B9-4662-9785-596B49117346}"/>
    <cellStyle name="Normal 2 3 2 5 5 2 2 3" xfId="18445" xr:uid="{E736F58B-849E-4B66-ACD2-62C4D6CEA77A}"/>
    <cellStyle name="Normal 2 3 2 5 5 2 2 4" xfId="18446" xr:uid="{87804D81-2021-4150-9A02-D9E2ADC2EEC5}"/>
    <cellStyle name="Normal 2 3 2 5 5 2 2 5" xfId="18447" xr:uid="{0D253D1A-6AD5-4330-B160-4AF2797866DF}"/>
    <cellStyle name="Normal 2 3 2 5 5 2 2 6" xfId="18448" xr:uid="{A91520CD-366E-421F-9422-92C897715D19}"/>
    <cellStyle name="Normal 2 3 2 5 5 2 3" xfId="18449" xr:uid="{6237E0CA-EED4-42B9-B96F-9A36C67A1160}"/>
    <cellStyle name="Normal 2 3 2 5 5 2 4" xfId="18450" xr:uid="{90093913-3B4E-4D8A-B6D0-65CDBB7D416D}"/>
    <cellStyle name="Normal 2 3 2 5 5 2 5" xfId="18451" xr:uid="{6CF45FEA-DF60-48D6-A423-BD1C715D3D62}"/>
    <cellStyle name="Normal 2 3 2 5 5 2 6" xfId="18452" xr:uid="{8CF17935-DDAE-4288-9BAE-C4FE92D481A5}"/>
    <cellStyle name="Normal 2 3 2 5 5 2 7" xfId="18453" xr:uid="{B820F2CD-0370-4350-9FF8-B5D4FAB8846D}"/>
    <cellStyle name="Normal 2 3 2 5 5 2 8" xfId="18454" xr:uid="{53C7D4C3-2399-40BD-BCC4-C6CC13C373E2}"/>
    <cellStyle name="Normal 2 3 2 5 5 2 9" xfId="18455" xr:uid="{457D74C4-BEF4-4AE6-9D33-5BF480E75445}"/>
    <cellStyle name="Normal 2 3 2 5 5 3" xfId="18456" xr:uid="{A8540CA1-5CED-43A9-933E-0D29B71175E1}"/>
    <cellStyle name="Normal 2 3 2 5 5 3 2" xfId="18457" xr:uid="{C345B45C-05EF-43F2-9D5D-667816CFA63D}"/>
    <cellStyle name="Normal 2 3 2 5 5 3 2 2" xfId="18458" xr:uid="{8B361014-4606-4FD6-8802-B5F180932888}"/>
    <cellStyle name="Normal 2 3 2 5 5 3 2 3" xfId="18459" xr:uid="{532796C8-BA2A-4A34-A569-EE6288C05D9B}"/>
    <cellStyle name="Normal 2 3 2 5 5 3 2 4" xfId="18460" xr:uid="{4217F747-1857-4A87-A12E-2FBB64B23DC6}"/>
    <cellStyle name="Normal 2 3 2 5 5 3 2 5" xfId="18461" xr:uid="{F59D2D68-6353-4CE1-A2FA-220DA8F69293}"/>
    <cellStyle name="Normal 2 3 2 5 5 3 2 6" xfId="18462" xr:uid="{8B9CEA6E-9443-4C70-A9CA-32B0B2C5F952}"/>
    <cellStyle name="Normal 2 3 2 5 5 3 3" xfId="18463" xr:uid="{EAB4176E-C70C-4EAD-8EE6-98F12FC47D7C}"/>
    <cellStyle name="Normal 2 3 2 5 5 3 4" xfId="18464" xr:uid="{7CE7EE28-E34D-4168-9EDC-24D514ABB2D5}"/>
    <cellStyle name="Normal 2 3 2 5 5 3 5" xfId="18465" xr:uid="{F5CCACB2-00D0-49C5-BE70-233175C3AF90}"/>
    <cellStyle name="Normal 2 3 2 5 5 3 6" xfId="18466" xr:uid="{1075A3B5-23E6-4293-BEC8-AC8936EFEC4C}"/>
    <cellStyle name="Normal 2 3 2 5 5 4" xfId="18467" xr:uid="{41343712-A2C9-4CB4-B0CF-15BA487B8721}"/>
    <cellStyle name="Normal 2 3 2 5 5 5" xfId="18468" xr:uid="{B5D73929-54D8-42CE-A1B6-F8E1607BF029}"/>
    <cellStyle name="Normal 2 3 2 5 5 6" xfId="18469" xr:uid="{29F382D0-E81C-42E1-A69E-CE4EAE1A36FA}"/>
    <cellStyle name="Normal 2 3 2 5 5 7" xfId="18470" xr:uid="{CBBB8547-1EAE-4495-B212-71E9DD305BEB}"/>
    <cellStyle name="Normal 2 3 2 5 5 8" xfId="18471" xr:uid="{064FBFEC-2F64-4C81-B41E-29EC075A3D6A}"/>
    <cellStyle name="Normal 2 3 2 5 5 9" xfId="18472" xr:uid="{2F9CC124-F3C2-40F9-8725-D29402A3A08F}"/>
    <cellStyle name="Normal 2 3 2 5 6" xfId="18473" xr:uid="{392C60F8-1F02-43AF-8375-466B42A0797D}"/>
    <cellStyle name="Normal 2 3 2 5 7" xfId="18474" xr:uid="{FE40A5D8-845F-4845-B12B-28C86229F87E}"/>
    <cellStyle name="Normal 2 3 2 5 8" xfId="18475" xr:uid="{7FEBACE9-438D-430E-A06F-4ABAF72EFFB5}"/>
    <cellStyle name="Normal 2 3 2 5 8 2" xfId="18476" xr:uid="{DFDB96D5-1D0E-4B5A-B52F-A47CFA2F24D1}"/>
    <cellStyle name="Normal 2 3 2 5 8 2 2" xfId="18477" xr:uid="{431FE386-D201-46E8-BAAD-0727BD9B4779}"/>
    <cellStyle name="Normal 2 3 2 5 8 2 3" xfId="18478" xr:uid="{B58FA4C7-87B2-4DD2-A885-425BA71D3331}"/>
    <cellStyle name="Normal 2 3 2 5 8 2 4" xfId="18479" xr:uid="{87931661-B80F-4257-BF7D-E9CB14699260}"/>
    <cellStyle name="Normal 2 3 2 5 8 2 5" xfId="18480" xr:uid="{E15C680E-D998-4FB2-967D-5B5B8F02F708}"/>
    <cellStyle name="Normal 2 3 2 5 8 2 6" xfId="18481" xr:uid="{D7C0CD4F-80E6-4C2F-9CF5-1679D3B38DA4}"/>
    <cellStyle name="Normal 2 3 2 5 8 3" xfId="18482" xr:uid="{90FD508B-151C-462E-B076-23924CDC15B0}"/>
    <cellStyle name="Normal 2 3 2 5 8 4" xfId="18483" xr:uid="{31BB3ED7-ECCD-4ED8-A33C-76C57AC4FED1}"/>
    <cellStyle name="Normal 2 3 2 5 8 5" xfId="18484" xr:uid="{3E5EE333-284B-4A3D-A473-DEF6918FD57D}"/>
    <cellStyle name="Normal 2 3 2 5 8 6" xfId="18485" xr:uid="{FAAAEF2F-8A4E-447D-BD91-D2B24E0ADF1D}"/>
    <cellStyle name="Normal 2 3 2 5 9" xfId="18486" xr:uid="{AED98DC1-2361-4888-BA41-B076C828FC19}"/>
    <cellStyle name="Normal 2 3 2 50" xfId="18487" xr:uid="{A5F343E6-1B20-4148-980A-705E5F706339}"/>
    <cellStyle name="Normal 2 3 2 51" xfId="18488" xr:uid="{1142404B-898A-4536-A7CC-618B572BBBCE}"/>
    <cellStyle name="Normal 2 3 2 52" xfId="18489" xr:uid="{5F084E1E-BB76-428B-B9EC-0DC291348319}"/>
    <cellStyle name="Normal 2 3 2 53" xfId="18490" xr:uid="{D9D0F0D8-2392-414F-A2D5-92EB131D3007}"/>
    <cellStyle name="Normal 2 3 2 54" xfId="18491" xr:uid="{815FB4AD-D210-462A-BECB-0635DCDB26D9}"/>
    <cellStyle name="Normal 2 3 2 55" xfId="18492" xr:uid="{0ACD6CE4-CE48-48EF-BA77-4515F8F5F053}"/>
    <cellStyle name="Normal 2 3 2 56" xfId="18493" xr:uid="{3676F84F-ACEA-4390-9183-6EDCD0DBA3EB}"/>
    <cellStyle name="Normal 2 3 2 57" xfId="18494" xr:uid="{0B07B08C-EDC7-4BA9-8C6C-79B52EC6534E}"/>
    <cellStyle name="Normal 2 3 2 58" xfId="18495" xr:uid="{9AD7F722-54DE-4FF1-985F-8F4204946CE3}"/>
    <cellStyle name="Normal 2 3 2 59" xfId="18496" xr:uid="{D5428D43-7350-4839-AE7F-CAF194D966C9}"/>
    <cellStyle name="Normal 2 3 2 6" xfId="18497" xr:uid="{522CE6B1-7D10-4483-940D-EB5AC51FC24C}"/>
    <cellStyle name="Normal 2 3 2 6 2" xfId="18498" xr:uid="{40876B50-F617-453C-9EBD-417373FF1CE2}"/>
    <cellStyle name="Normal 2 3 2 6 3" xfId="18499" xr:uid="{DAF47DA3-3C81-4912-BACB-BC0DF1581382}"/>
    <cellStyle name="Normal 2 3 2 6 4" xfId="18500" xr:uid="{CB12939D-7A6D-4BDC-8DFA-92E6D1DB4297}"/>
    <cellStyle name="Normal 2 3 2 6 5" xfId="18501" xr:uid="{1DFB8677-9564-4E28-B093-EF2A15755AD7}"/>
    <cellStyle name="Normal 2 3 2 6 6" xfId="18502" xr:uid="{A1E48CE9-7639-4B3D-B921-2529CFDC555D}"/>
    <cellStyle name="Normal 2 3 2 60" xfId="18503" xr:uid="{80C5AD08-CC7F-4CDE-86D0-E2B730E50FBC}"/>
    <cellStyle name="Normal 2 3 2 61" xfId="18504" xr:uid="{24E00000-0696-43AB-817D-7F45A17BEDE3}"/>
    <cellStyle name="Normal 2 3 2 62" xfId="18505" xr:uid="{81212AA0-BA90-4057-B84F-211B6FCDFF6E}"/>
    <cellStyle name="Normal 2 3 2 63" xfId="18506" xr:uid="{9C60C048-D8BA-4762-B00C-76672527A090}"/>
    <cellStyle name="Normal 2 3 2 64" xfId="18507" xr:uid="{BE3A720A-95F2-471C-AE0F-A551E15B201A}"/>
    <cellStyle name="Normal 2 3 2 65" xfId="18508" xr:uid="{0F059670-EDA5-4904-86B6-2E39AF73A0BA}"/>
    <cellStyle name="Normal 2 3 2 7" xfId="18509" xr:uid="{F4B15D93-98CA-4C13-B38D-10ED0146B33A}"/>
    <cellStyle name="Normal 2 3 2 7 2" xfId="18510" xr:uid="{3A1F972A-9D96-4A9B-B5B3-CF9C078E3C69}"/>
    <cellStyle name="Normal 2 3 2 7 3" xfId="18511" xr:uid="{97393AF2-D7C4-4B6A-8DC4-A2256120FCD7}"/>
    <cellStyle name="Normal 2 3 2 7 4" xfId="18512" xr:uid="{3E01404E-0F67-4E7C-9AF3-FD68D5F13585}"/>
    <cellStyle name="Normal 2 3 2 7 5" xfId="18513" xr:uid="{F63E74F7-CD3B-458C-9FFD-C37EE69967E5}"/>
    <cellStyle name="Normal 2 3 2 7 6" xfId="18514" xr:uid="{AF3C62E4-6646-42CF-BD3E-28BB50F7318E}"/>
    <cellStyle name="Normal 2 3 2 8" xfId="18515" xr:uid="{995EB7BE-8231-4F4D-9694-50732ED13181}"/>
    <cellStyle name="Normal 2 3 2 8 10" xfId="18516" xr:uid="{4B103259-887D-4559-9990-CC0C70A60099}"/>
    <cellStyle name="Normal 2 3 2 8 11" xfId="18517" xr:uid="{826329F6-BA92-41DC-8A88-C1E65E346B17}"/>
    <cellStyle name="Normal 2 3 2 8 12" xfId="18518" xr:uid="{1DCA025A-9CCF-48C7-8F28-A8D1E2483C88}"/>
    <cellStyle name="Normal 2 3 2 8 13" xfId="18519" xr:uid="{CC5B305F-CDF5-4B7D-8B93-B4286F0DA5C5}"/>
    <cellStyle name="Normal 2 3 2 8 14" xfId="18520" xr:uid="{E772F916-62A3-4D93-B851-D39261BA7EB3}"/>
    <cellStyle name="Normal 2 3 2 8 15" xfId="18521" xr:uid="{59C46D10-0FA4-4DD7-8F37-F7E668E23BAE}"/>
    <cellStyle name="Normal 2 3 2 8 16" xfId="18522" xr:uid="{A490F37A-3C04-429D-9FC8-2DED02AE48D7}"/>
    <cellStyle name="Normal 2 3 2 8 17" xfId="18523" xr:uid="{2AAA2E36-4CED-44FF-A0CC-E511740A9AED}"/>
    <cellStyle name="Normal 2 3 2 8 2" xfId="18524" xr:uid="{DD7F6A58-9E1A-4C2C-B3F6-8EDE4ADB9460}"/>
    <cellStyle name="Normal 2 3 2 8 2 10" xfId="18525" xr:uid="{4EACCA48-984A-4409-B8C8-62529678970E}"/>
    <cellStyle name="Normal 2 3 2 8 2 11" xfId="18526" xr:uid="{23B5D81F-3D06-4E1F-94EA-6039DB0AA7B8}"/>
    <cellStyle name="Normal 2 3 2 8 2 12" xfId="18527" xr:uid="{592A1F44-4C7F-415B-9505-599BD335F842}"/>
    <cellStyle name="Normal 2 3 2 8 2 2" xfId="18528" xr:uid="{5036B12E-B611-4E0C-A36D-5A5ACB2A08C2}"/>
    <cellStyle name="Normal 2 3 2 8 2 2 2" xfId="18529" xr:uid="{9D7EB53D-1153-4D7A-A519-DBBA29D9276F}"/>
    <cellStyle name="Normal 2 3 2 8 2 2 2 2" xfId="18530" xr:uid="{8783C83C-A734-44F1-853F-9E2737F45017}"/>
    <cellStyle name="Normal 2 3 2 8 2 2 2 2 2" xfId="18531" xr:uid="{A1B2AC22-28E6-4A23-936F-91C6EB3F1796}"/>
    <cellStyle name="Normal 2 3 2 8 2 2 2 2 2 2" xfId="18532" xr:uid="{A78DF7D1-6590-4564-BAD5-0340051D86E9}"/>
    <cellStyle name="Normal 2 3 2 8 2 2 2 2 2 3" xfId="18533" xr:uid="{39ACCF09-8987-4407-AFD0-24A8411AEF25}"/>
    <cellStyle name="Normal 2 3 2 8 2 2 2 2 2 4" xfId="18534" xr:uid="{3253FC6C-BA0F-45D2-89B1-FBAB46986529}"/>
    <cellStyle name="Normal 2 3 2 8 2 2 2 2 2 5" xfId="18535" xr:uid="{1D05FE5E-8770-420C-8C36-3AE26B9F23B7}"/>
    <cellStyle name="Normal 2 3 2 8 2 2 2 2 2 6" xfId="18536" xr:uid="{8376D865-1D9B-42B0-8BE7-63925E4A9B89}"/>
    <cellStyle name="Normal 2 3 2 8 2 2 2 2 3" xfId="18537" xr:uid="{88877F4F-4C80-4037-A078-1CF6C42FBBB9}"/>
    <cellStyle name="Normal 2 3 2 8 2 2 2 2 4" xfId="18538" xr:uid="{1BF88548-5EDB-4741-B29E-C735CE8E8D48}"/>
    <cellStyle name="Normal 2 3 2 8 2 2 2 2 5" xfId="18539" xr:uid="{28CA468C-EC09-42B0-896C-8ABF398FF342}"/>
    <cellStyle name="Normal 2 3 2 8 2 2 2 2 6" xfId="18540" xr:uid="{57C9082A-AC3D-4CA6-9958-30DF02876FD8}"/>
    <cellStyle name="Normal 2 3 2 8 2 2 2 3" xfId="18541" xr:uid="{1659EB9D-87CB-431E-A943-1175603B9948}"/>
    <cellStyle name="Normal 2 3 2 8 2 2 2 4" xfId="18542" xr:uid="{754ECA30-49B6-49F0-9199-414DA8AAB5EE}"/>
    <cellStyle name="Normal 2 3 2 8 2 2 2 5" xfId="18543" xr:uid="{CAE40ED6-476B-4D84-B480-A6B54888E850}"/>
    <cellStyle name="Normal 2 3 2 8 2 2 2 6" xfId="18544" xr:uid="{6B8F8F59-F524-405C-B1AD-5013117C25CD}"/>
    <cellStyle name="Normal 2 3 2 8 2 2 2 7" xfId="18545" xr:uid="{678F17D1-587F-4FB8-9537-381CC3D85332}"/>
    <cellStyle name="Normal 2 3 2 8 2 2 2 8" xfId="18546" xr:uid="{DD8BD907-BA11-4D30-B025-21AE3E341365}"/>
    <cellStyle name="Normal 2 3 2 8 2 2 2 9" xfId="18547" xr:uid="{95E5BAB3-8A8F-4255-B0A6-D3F4F602BF4B}"/>
    <cellStyle name="Normal 2 3 2 8 2 2 3" xfId="18548" xr:uid="{C07B0E15-CC59-4874-B4FC-E72565DA6880}"/>
    <cellStyle name="Normal 2 3 2 8 2 2 3 2" xfId="18549" xr:uid="{CE51A017-2CB7-40B3-9285-B53A95A30783}"/>
    <cellStyle name="Normal 2 3 2 8 2 2 3 2 2" xfId="18550" xr:uid="{BCB630E9-644C-4B89-AA7D-48DAD6E339A9}"/>
    <cellStyle name="Normal 2 3 2 8 2 2 3 2 3" xfId="18551" xr:uid="{5F2BE1A3-5DF6-4AF7-8021-8CE0F8F70376}"/>
    <cellStyle name="Normal 2 3 2 8 2 2 3 2 4" xfId="18552" xr:uid="{FE16F681-97EA-422C-BD8F-6A6B44B6FEC4}"/>
    <cellStyle name="Normal 2 3 2 8 2 2 3 2 5" xfId="18553" xr:uid="{18D966A6-6A52-43E8-81AA-6A0F78C17F3B}"/>
    <cellStyle name="Normal 2 3 2 8 2 2 3 2 6" xfId="18554" xr:uid="{B88FD1ED-7E62-4A49-B39D-BA5FC4EA679A}"/>
    <cellStyle name="Normal 2 3 2 8 2 2 3 3" xfId="18555" xr:uid="{E944DAF7-D354-48EF-B75E-6EEC881EC047}"/>
    <cellStyle name="Normal 2 3 2 8 2 2 3 4" xfId="18556" xr:uid="{655922D9-4F50-49A7-9BC7-78B95F31DE74}"/>
    <cellStyle name="Normal 2 3 2 8 2 2 3 5" xfId="18557" xr:uid="{F6A29962-7BE8-48A9-B235-3D8DE84574E8}"/>
    <cellStyle name="Normal 2 3 2 8 2 2 3 6" xfId="18558" xr:uid="{52FF6209-EF33-4821-AC6C-D6BB25254316}"/>
    <cellStyle name="Normal 2 3 2 8 2 2 4" xfId="18559" xr:uid="{2E3D44B9-CCC1-43A6-AE0C-10612BBC2714}"/>
    <cellStyle name="Normal 2 3 2 8 2 2 5" xfId="18560" xr:uid="{2E8D3550-C537-4E2D-896F-416D5D2E0989}"/>
    <cellStyle name="Normal 2 3 2 8 2 2 6" xfId="18561" xr:uid="{F5EB7CD9-23C7-4F68-9B0F-82AB6E8A78DF}"/>
    <cellStyle name="Normal 2 3 2 8 2 2 7" xfId="18562" xr:uid="{5463A621-C4B5-4589-9755-9BFEFD7C2178}"/>
    <cellStyle name="Normal 2 3 2 8 2 2 8" xfId="18563" xr:uid="{1B8A9875-7881-4D33-B5CB-5566585A98DB}"/>
    <cellStyle name="Normal 2 3 2 8 2 2 9" xfId="18564" xr:uid="{C754FBAF-915D-4F33-8C15-E0919D49D26B}"/>
    <cellStyle name="Normal 2 3 2 8 2 3" xfId="18565" xr:uid="{651E972E-4702-4BC4-9083-91F7081B85FE}"/>
    <cellStyle name="Normal 2 3 2 8 2 4" xfId="18566" xr:uid="{4954C1FE-4787-4A2C-BB67-A14CF52B5FD8}"/>
    <cellStyle name="Normal 2 3 2 8 2 5" xfId="18567" xr:uid="{9E65B566-FF0F-4C3E-B7EA-6046FAAE92EF}"/>
    <cellStyle name="Normal 2 3 2 8 2 5 2" xfId="18568" xr:uid="{4441661F-D111-464B-AAFC-C5B758B89A7B}"/>
    <cellStyle name="Normal 2 3 2 8 2 5 2 2" xfId="18569" xr:uid="{E6B162B3-1879-40A6-BF8F-DEF9FD47D28E}"/>
    <cellStyle name="Normal 2 3 2 8 2 5 2 3" xfId="18570" xr:uid="{37810630-8BE6-41DE-976F-4BCC19D47881}"/>
    <cellStyle name="Normal 2 3 2 8 2 5 2 4" xfId="18571" xr:uid="{4B3461AB-777B-47BC-A988-FCEDEC9B6A90}"/>
    <cellStyle name="Normal 2 3 2 8 2 5 2 5" xfId="18572" xr:uid="{4B5487B6-9C17-49D9-843F-21EF06FD326F}"/>
    <cellStyle name="Normal 2 3 2 8 2 5 2 6" xfId="18573" xr:uid="{D8438ABB-6D0F-493C-A2B0-B799B6E678A7}"/>
    <cellStyle name="Normal 2 3 2 8 2 5 3" xfId="18574" xr:uid="{A9313B5D-7F0F-420F-B7F9-120CB2B355DE}"/>
    <cellStyle name="Normal 2 3 2 8 2 5 4" xfId="18575" xr:uid="{C375D08D-4F04-4629-9B37-5A218B0622DD}"/>
    <cellStyle name="Normal 2 3 2 8 2 5 5" xfId="18576" xr:uid="{CAF85A88-3E84-46F3-99B9-D4B9DB5F01E3}"/>
    <cellStyle name="Normal 2 3 2 8 2 5 6" xfId="18577" xr:uid="{29B4E579-707F-4180-8563-58B91A994C13}"/>
    <cellStyle name="Normal 2 3 2 8 2 6" xfId="18578" xr:uid="{898A9279-259E-4296-A700-30A54ECBCE3D}"/>
    <cellStyle name="Normal 2 3 2 8 2 7" xfId="18579" xr:uid="{4624C15F-6C2A-44F5-8DE2-312D0870F775}"/>
    <cellStyle name="Normal 2 3 2 8 2 8" xfId="18580" xr:uid="{6FAE98A5-B79B-4BCB-B255-1691671B678E}"/>
    <cellStyle name="Normal 2 3 2 8 2 9" xfId="18581" xr:uid="{A82F6E65-8EE9-4ADB-AEBD-90D2DD13BA63}"/>
    <cellStyle name="Normal 2 3 2 8 3" xfId="18582" xr:uid="{ADAF8C41-E610-47D8-A5C7-7CD1FEC41E66}"/>
    <cellStyle name="Normal 2 3 2 8 3 2" xfId="18583" xr:uid="{5C78FC51-0CBB-4487-B2E3-2CF757E63E27}"/>
    <cellStyle name="Normal 2 3 2 8 3 2 2" xfId="18584" xr:uid="{B250BC2A-1E47-4A74-92E8-2AEBC93770A0}"/>
    <cellStyle name="Normal 2 3 2 8 3 2 2 2" xfId="18585" xr:uid="{AB002F25-FEB4-4A3E-B329-25EA3746A504}"/>
    <cellStyle name="Normal 2 3 2 8 3 2 2 2 2" xfId="18586" xr:uid="{C14C3D21-BED1-43E7-A9BB-109174AB81D4}"/>
    <cellStyle name="Normal 2 3 2 8 3 2 2 2 3" xfId="18587" xr:uid="{A4144BC4-5F2B-4E26-82E4-6A572909F4E5}"/>
    <cellStyle name="Normal 2 3 2 8 3 2 2 2 4" xfId="18588" xr:uid="{00FDF3BF-1271-4640-8BAF-1175BD959D7C}"/>
    <cellStyle name="Normal 2 3 2 8 3 2 2 2 5" xfId="18589" xr:uid="{C9FD99D3-3415-4ABD-90D6-C7D4DD867B4B}"/>
    <cellStyle name="Normal 2 3 2 8 3 2 2 2 6" xfId="18590" xr:uid="{4628A26F-4DE9-4AAB-B3D7-52ED1CB79DA9}"/>
    <cellStyle name="Normal 2 3 2 8 3 2 2 3" xfId="18591" xr:uid="{465C4321-642C-4F6A-A404-47640CEC68DE}"/>
    <cellStyle name="Normal 2 3 2 8 3 2 2 4" xfId="18592" xr:uid="{E16AD5AD-C93C-4035-9FA9-E766EF3F5C62}"/>
    <cellStyle name="Normal 2 3 2 8 3 2 2 5" xfId="18593" xr:uid="{8D84BD70-3AA0-4E47-A3DD-FD6801CC6750}"/>
    <cellStyle name="Normal 2 3 2 8 3 2 2 6" xfId="18594" xr:uid="{BDF3698B-0CC3-487E-BE58-3C88B8D55F15}"/>
    <cellStyle name="Normal 2 3 2 8 3 2 3" xfId="18595" xr:uid="{379F9FF8-9225-48A1-AFC8-C89929C61F00}"/>
    <cellStyle name="Normal 2 3 2 8 3 2 4" xfId="18596" xr:uid="{4474038B-851E-4B8B-AD52-4060467FB6A5}"/>
    <cellStyle name="Normal 2 3 2 8 3 2 5" xfId="18597" xr:uid="{8F5DDA0E-C5FB-4305-8D57-24F70036B4CA}"/>
    <cellStyle name="Normal 2 3 2 8 3 2 6" xfId="18598" xr:uid="{3DE3D0CD-349A-417C-B81B-B76136248A6A}"/>
    <cellStyle name="Normal 2 3 2 8 3 2 7" xfId="18599" xr:uid="{CAB0A024-BE5D-4F3C-9D1D-5E04E6EAB301}"/>
    <cellStyle name="Normal 2 3 2 8 3 2 8" xfId="18600" xr:uid="{2E1DA396-AA6A-4694-8B0A-7C9E1047845F}"/>
    <cellStyle name="Normal 2 3 2 8 3 2 9" xfId="18601" xr:uid="{24925D73-0853-4DAE-B7F6-269B0CA27CB0}"/>
    <cellStyle name="Normal 2 3 2 8 3 3" xfId="18602" xr:uid="{BB477694-92B4-478C-B2A7-2D68100912CB}"/>
    <cellStyle name="Normal 2 3 2 8 3 3 2" xfId="18603" xr:uid="{5DD0AC51-9179-4337-AEE4-5F53ADE9C1D0}"/>
    <cellStyle name="Normal 2 3 2 8 3 3 2 2" xfId="18604" xr:uid="{1C69FC08-A4CE-413C-82E2-4651DECFF5A8}"/>
    <cellStyle name="Normal 2 3 2 8 3 3 2 3" xfId="18605" xr:uid="{67AA788C-9978-473D-A90D-42326DF9E58C}"/>
    <cellStyle name="Normal 2 3 2 8 3 3 2 4" xfId="18606" xr:uid="{6D55399C-3F2A-46AA-B546-B911250D1DFA}"/>
    <cellStyle name="Normal 2 3 2 8 3 3 2 5" xfId="18607" xr:uid="{D430B373-B75E-4E9F-B683-E8AA7AAF531F}"/>
    <cellStyle name="Normal 2 3 2 8 3 3 2 6" xfId="18608" xr:uid="{121BA91B-17C8-48BF-8B7F-CA19EDFA16C3}"/>
    <cellStyle name="Normal 2 3 2 8 3 3 3" xfId="18609" xr:uid="{63FAB931-BA80-4993-BFAD-F7402CB21D95}"/>
    <cellStyle name="Normal 2 3 2 8 3 3 4" xfId="18610" xr:uid="{17398B66-7FE1-4D3E-8415-C7C748B13586}"/>
    <cellStyle name="Normal 2 3 2 8 3 3 5" xfId="18611" xr:uid="{8BEFF0F1-44A5-4C33-BA6D-BC4345EE90E7}"/>
    <cellStyle name="Normal 2 3 2 8 3 3 6" xfId="18612" xr:uid="{4ECA9100-6BDD-4A02-9BAD-DE9E30517666}"/>
    <cellStyle name="Normal 2 3 2 8 3 4" xfId="18613" xr:uid="{06C93EA4-E07B-428C-B770-7F0E75A110D8}"/>
    <cellStyle name="Normal 2 3 2 8 3 5" xfId="18614" xr:uid="{5AA2CC61-E79A-4364-8394-BB307C2DF67E}"/>
    <cellStyle name="Normal 2 3 2 8 3 6" xfId="18615" xr:uid="{1C4A9F79-5497-4241-BBC9-4A3C4618E935}"/>
    <cellStyle name="Normal 2 3 2 8 3 7" xfId="18616" xr:uid="{C16FD1DE-BD7B-4584-8D69-5508058837F6}"/>
    <cellStyle name="Normal 2 3 2 8 3 8" xfId="18617" xr:uid="{87A3547A-9FC3-4B93-8E00-7863865D9A17}"/>
    <cellStyle name="Normal 2 3 2 8 3 9" xfId="18618" xr:uid="{6A84D5F2-4D56-4EEE-8BDD-8F7013DFE415}"/>
    <cellStyle name="Normal 2 3 2 8 4" xfId="18619" xr:uid="{26B89C2E-430E-4F65-A4B2-2D7D9F712960}"/>
    <cellStyle name="Normal 2 3 2 8 5" xfId="18620" xr:uid="{3C1AA3DA-E7A1-4FAB-8FBD-B8AA7A714146}"/>
    <cellStyle name="Normal 2 3 2 8 5 2" xfId="18621" xr:uid="{7622A1E7-D553-4EF9-B4F0-4AB8182434A1}"/>
    <cellStyle name="Normal 2 3 2 8 5 2 2" xfId="18622" xr:uid="{89F86597-094E-462D-B2AB-C55ADE9E26D6}"/>
    <cellStyle name="Normal 2 3 2 8 5 2 3" xfId="18623" xr:uid="{06B29CD7-47DC-4976-86ED-5F0DCE763FA4}"/>
    <cellStyle name="Normal 2 3 2 8 5 2 4" xfId="18624" xr:uid="{347B431B-F9B4-46CD-B228-9402FF75AC1D}"/>
    <cellStyle name="Normal 2 3 2 8 5 2 5" xfId="18625" xr:uid="{7F920725-0F79-489B-9C49-71B717150C0A}"/>
    <cellStyle name="Normal 2 3 2 8 5 2 6" xfId="18626" xr:uid="{77A4799B-4AB1-4FB2-8805-434C504B7665}"/>
    <cellStyle name="Normal 2 3 2 8 5 3" xfId="18627" xr:uid="{3914D7F5-88FD-45E8-BD67-15ECA856B1E6}"/>
    <cellStyle name="Normal 2 3 2 8 5 4" xfId="18628" xr:uid="{197A66B7-A781-4F8F-99AF-93B49B9D33E6}"/>
    <cellStyle name="Normal 2 3 2 8 5 5" xfId="18629" xr:uid="{46C563A1-5B03-4AEE-B778-79229AF86BB7}"/>
    <cellStyle name="Normal 2 3 2 8 5 6" xfId="18630" xr:uid="{BD953EE1-04C4-4B93-B06D-F4C9A275E88D}"/>
    <cellStyle name="Normal 2 3 2 8 6" xfId="18631" xr:uid="{363F849E-BC2F-449F-AB67-9A3C1FABB48A}"/>
    <cellStyle name="Normal 2 3 2 8 7" xfId="18632" xr:uid="{516138F3-F9BD-418F-9FEA-B4F96A40EA46}"/>
    <cellStyle name="Normal 2 3 2 8 8" xfId="18633" xr:uid="{D98E5F9C-71A3-4E85-A5D7-11AB783FC893}"/>
    <cellStyle name="Normal 2 3 2 8 9" xfId="18634" xr:uid="{6D1652BB-C970-468D-AA1D-B49C2C6A9D64}"/>
    <cellStyle name="Normal 2 3 2 9" xfId="18635" xr:uid="{D93EB200-4248-4846-A7E8-D106C31480B7}"/>
    <cellStyle name="Normal 2 3 2 9 2" xfId="18636" xr:uid="{BDB53338-861A-4305-AA18-D548B0BD3385}"/>
    <cellStyle name="Normal 2 3 2 9 3" xfId="18637" xr:uid="{4180450D-E138-4633-A3DB-E78CFAAA0D74}"/>
    <cellStyle name="Normal 2 3 2 9 4" xfId="18638" xr:uid="{1502C949-E83E-4C94-93F9-FE85E4BC136B}"/>
    <cellStyle name="Normal 2 3 2 9 5" xfId="18639" xr:uid="{1E89D0CD-3FA4-4D66-AC93-B28A45932DA4}"/>
    <cellStyle name="Normal 2 3 2 9 6" xfId="18640" xr:uid="{C4C0FC69-F6C5-46DC-961C-1D9C3F53F026}"/>
    <cellStyle name="Normal 2 3 20" xfId="18641" xr:uid="{E403EFF6-0D7E-4BF8-9D8D-364E53EA0AFA}"/>
    <cellStyle name="Normal 2 3 20 2" xfId="18642" xr:uid="{6B3BEB53-8E77-4BD2-95CE-043E2518AC0A}"/>
    <cellStyle name="Normal 2 3 21" xfId="18643" xr:uid="{230616DE-659C-4A0B-8A0A-BF30BA21F214}"/>
    <cellStyle name="Normal 2 3 21 2" xfId="18644" xr:uid="{F92B5F58-3114-4B4A-8934-1626F5637EB1}"/>
    <cellStyle name="Normal 2 3 22" xfId="18645" xr:uid="{ADC80131-1FDE-4960-B87C-9FEEF61195FF}"/>
    <cellStyle name="Normal 2 3 23" xfId="18646" xr:uid="{E79E80FB-840A-4FFC-B318-F4171ADCD7CF}"/>
    <cellStyle name="Normal 2 3 24" xfId="18647" xr:uid="{6B0D6DF4-9769-4A10-89B3-9E380E8FF7A7}"/>
    <cellStyle name="Normal 2 3 25" xfId="18648" xr:uid="{748E8233-D5F5-4B50-AD92-7F28A2B8DB58}"/>
    <cellStyle name="Normal 2 3 26" xfId="18649" xr:uid="{EAA483A3-0C29-4880-8C80-3E3BCC1499EE}"/>
    <cellStyle name="Normal 2 3 27" xfId="18650" xr:uid="{9B84956A-55A8-4F32-AF80-D33D34129598}"/>
    <cellStyle name="Normal 2 3 28" xfId="18651" xr:uid="{728F300A-B248-4457-B9DE-91944940C6EC}"/>
    <cellStyle name="Normal 2 3 29" xfId="18652" xr:uid="{D5245119-F08F-48CF-9221-0F1639AF85DC}"/>
    <cellStyle name="Normal 2 3 3" xfId="18653" xr:uid="{CD827647-CEBE-4627-8E3B-0045FD7A00A5}"/>
    <cellStyle name="Normal 2 3 3 10" xfId="18654" xr:uid="{DDE09438-07FE-49DE-B2BA-399965EBC7C1}"/>
    <cellStyle name="Normal 2 3 3 11" xfId="18655" xr:uid="{16205239-A43E-4221-99B5-2186F176504C}"/>
    <cellStyle name="Normal 2 3 3 11 2" xfId="18656" xr:uid="{AB381662-7963-414D-BE1C-FF66F7BBC9DF}"/>
    <cellStyle name="Normal 2 3 3 11 2 2" xfId="18657" xr:uid="{BD2B2DEC-72A9-4482-AA96-BDF1F530C9E5}"/>
    <cellStyle name="Normal 2 3 3 11 2 3" xfId="18658" xr:uid="{B199D917-E02A-4BB7-B459-F07373C7DD47}"/>
    <cellStyle name="Normal 2 3 3 11 2 4" xfId="18659" xr:uid="{34FA0145-4F43-4FC8-9D78-8185EFFEB7F5}"/>
    <cellStyle name="Normal 2 3 3 11 2 5" xfId="18660" xr:uid="{29A2267F-4612-4F0D-A94B-0EA8F6AB0391}"/>
    <cellStyle name="Normal 2 3 3 11 2 6" xfId="18661" xr:uid="{0836F30E-D6F2-4CD1-B208-EC92D07617EA}"/>
    <cellStyle name="Normal 2 3 3 11 3" xfId="18662" xr:uid="{7D297921-CFC3-46A4-817A-C57F57D0E006}"/>
    <cellStyle name="Normal 2 3 3 11 4" xfId="18663" xr:uid="{25FDB8A7-C227-4CD1-ABE4-F06A70258CCB}"/>
    <cellStyle name="Normal 2 3 3 11 5" xfId="18664" xr:uid="{E58B58DA-4E30-42CE-85D3-82BF82E0E08B}"/>
    <cellStyle name="Normal 2 3 3 11 6" xfId="18665" xr:uid="{1D9C0194-DE6E-4B38-85E8-312FA74DDAFA}"/>
    <cellStyle name="Normal 2 3 3 12" xfId="18666" xr:uid="{12DD3D09-3574-4C23-BE45-48F23D48DCE1}"/>
    <cellStyle name="Normal 2 3 3 13" xfId="18667" xr:uid="{9A2219BC-D18C-4DF6-95B1-6C1B403E6928}"/>
    <cellStyle name="Normal 2 3 3 14" xfId="18668" xr:uid="{42BC1D4B-4BE6-4658-B15B-0B3584C01986}"/>
    <cellStyle name="Normal 2 3 3 15" xfId="18669" xr:uid="{319DA9D6-FC1E-4CB5-816A-100086345735}"/>
    <cellStyle name="Normal 2 3 3 16" xfId="18670" xr:uid="{9F06B6A4-6E22-432D-BC47-DCEA4B95CF60}"/>
    <cellStyle name="Normal 2 3 3 17" xfId="18671" xr:uid="{8CC2E9AC-8EEA-450F-A53D-3A286B8D77B8}"/>
    <cellStyle name="Normal 2 3 3 18" xfId="18672" xr:uid="{40FEE3A2-9088-48B8-9C01-CC42C163E58E}"/>
    <cellStyle name="Normal 2 3 3 19" xfId="18673" xr:uid="{A896E08D-4F0B-40B5-BCBA-A0767F5E11FE}"/>
    <cellStyle name="Normal 2 3 3 2" xfId="18674" xr:uid="{95E8308F-926F-4445-9FB8-A601E7822AB1}"/>
    <cellStyle name="Normal 2 3 3 2 10" xfId="18675" xr:uid="{769254E7-C819-4ED0-850D-DC51AB49642D}"/>
    <cellStyle name="Normal 2 3 3 2 11" xfId="18676" xr:uid="{11E804E7-BE11-46B8-A860-639CA18144E7}"/>
    <cellStyle name="Normal 2 3 3 2 11 2" xfId="18677" xr:uid="{DDE61C06-F9D9-4B48-AC31-19E4FAEBA1D3}"/>
    <cellStyle name="Normal 2 3 3 2 11 2 2" xfId="18678" xr:uid="{6745E13B-5D8C-40B9-AE8F-676B6B578C07}"/>
    <cellStyle name="Normal 2 3 3 2 11 2 3" xfId="18679" xr:uid="{88053235-387C-4F35-A3DD-02BAC9DD4F11}"/>
    <cellStyle name="Normal 2 3 3 2 11 2 4" xfId="18680" xr:uid="{F9E8F8F6-8A4F-4411-9925-D9A4FB2CAD62}"/>
    <cellStyle name="Normal 2 3 3 2 11 2 5" xfId="18681" xr:uid="{2D69A051-4518-4971-8492-1A3E58F5EAD9}"/>
    <cellStyle name="Normal 2 3 3 2 11 2 6" xfId="18682" xr:uid="{76478606-1367-4459-986A-C47A9A9189B9}"/>
    <cellStyle name="Normal 2 3 3 2 11 3" xfId="18683" xr:uid="{BA4C9C0F-CE1A-4B7B-B968-20A8C3375311}"/>
    <cellStyle name="Normal 2 3 3 2 11 4" xfId="18684" xr:uid="{9C94981D-738F-41AA-9801-A72F4B16BA2D}"/>
    <cellStyle name="Normal 2 3 3 2 11 5" xfId="18685" xr:uid="{7053CC1D-2693-47DF-9150-1B7A40A55223}"/>
    <cellStyle name="Normal 2 3 3 2 11 6" xfId="18686" xr:uid="{977193FB-F4DD-4899-AB69-41066479B641}"/>
    <cellStyle name="Normal 2 3 3 2 12" xfId="18687" xr:uid="{07C12DA6-F818-4BE2-A59B-1D5D7A688D8A}"/>
    <cellStyle name="Normal 2 3 3 2 13" xfId="18688" xr:uid="{94AFC444-B9CE-4BCA-B199-5D2DE1051D6F}"/>
    <cellStyle name="Normal 2 3 3 2 14" xfId="18689" xr:uid="{8FED03CF-FD4F-4657-933D-CA92D275B1C7}"/>
    <cellStyle name="Normal 2 3 3 2 15" xfId="18690" xr:uid="{3F0DBA7E-7208-4914-AE6F-99D81DF765D1}"/>
    <cellStyle name="Normal 2 3 3 2 16" xfId="18691" xr:uid="{F0E8C011-614F-4F61-911C-9B6EB1A0B36D}"/>
    <cellStyle name="Normal 2 3 3 2 17" xfId="18692" xr:uid="{C8E9377F-F4B2-48F7-A256-EC7E22A39006}"/>
    <cellStyle name="Normal 2 3 3 2 18" xfId="18693" xr:uid="{B3554E5F-6230-49EC-8FA7-315484E61775}"/>
    <cellStyle name="Normal 2 3 3 2 2" xfId="18694" xr:uid="{16D53899-133C-4B87-AD5B-148A200672F7}"/>
    <cellStyle name="Normal 2 3 3 2 2 10" xfId="18695" xr:uid="{3AFB1AE3-2F90-4709-8E7A-BE64D3619BF8}"/>
    <cellStyle name="Normal 2 3 3 2 2 11" xfId="18696" xr:uid="{9C041FC2-29FA-46BC-8979-62FA68ADDA80}"/>
    <cellStyle name="Normal 2 3 3 2 2 12" xfId="18697" xr:uid="{4BE34A86-C943-4B25-AE8C-42CCE620F330}"/>
    <cellStyle name="Normal 2 3 3 2 2 13" xfId="18698" xr:uid="{39A8502F-3175-4E05-BAF0-062BDA752BDA}"/>
    <cellStyle name="Normal 2 3 3 2 2 14" xfId="18699" xr:uid="{75FBE8D5-9B40-4151-86BF-5EA650F9B487}"/>
    <cellStyle name="Normal 2 3 3 2 2 15" xfId="18700" xr:uid="{B9494DDF-8D8C-4AA8-8533-CDE39B973222}"/>
    <cellStyle name="Normal 2 3 3 2 2 2" xfId="18701" xr:uid="{6D73F4F3-875A-4DA1-8FDD-61DFF41AE8C5}"/>
    <cellStyle name="Normal 2 3 3 2 2 2 10" xfId="18702" xr:uid="{C88A5E05-4CC0-4A22-A2D7-384EFBC2461E}"/>
    <cellStyle name="Normal 2 3 3 2 2 2 11" xfId="18703" xr:uid="{FC9DBEB4-01F6-4368-BE2C-4834622473A9}"/>
    <cellStyle name="Normal 2 3 3 2 2 2 12" xfId="18704" xr:uid="{1BF4E4F5-8F1F-4089-914B-89A5A957205D}"/>
    <cellStyle name="Normal 2 3 3 2 2 2 13" xfId="18705" xr:uid="{61845085-101C-4BAB-9080-4183E937B251}"/>
    <cellStyle name="Normal 2 3 3 2 2 2 14" xfId="18706" xr:uid="{D83D228C-4C69-4252-9E9A-580EF95A9A3B}"/>
    <cellStyle name="Normal 2 3 3 2 2 2 15" xfId="18707" xr:uid="{0D5967FE-1108-40FD-8D11-60C603591A92}"/>
    <cellStyle name="Normal 2 3 3 2 2 2 2" xfId="18708" xr:uid="{2AEBEEB1-E439-48F5-9821-010C3CD09330}"/>
    <cellStyle name="Normal 2 3 3 2 2 2 2 10" xfId="18709" xr:uid="{0F5E5E56-C653-48A8-9CF5-03DA7709FBB0}"/>
    <cellStyle name="Normal 2 3 3 2 2 2 2 11" xfId="18710" xr:uid="{25B120A1-2811-4BF5-A2F1-8A919D1BF3DC}"/>
    <cellStyle name="Normal 2 3 3 2 2 2 2 12" xfId="18711" xr:uid="{3E473D1F-2DCE-46ED-97A7-EA14454F30F3}"/>
    <cellStyle name="Normal 2 3 3 2 2 2 2 2" xfId="18712" xr:uid="{55A18681-DE59-431C-BA93-EEBD102A19BF}"/>
    <cellStyle name="Normal 2 3 3 2 2 2 2 2 10" xfId="18713" xr:uid="{A09658BA-8792-430F-89E8-1F218744E92F}"/>
    <cellStyle name="Normal 2 3 3 2 2 2 2 2 11" xfId="18714" xr:uid="{F1744641-8B5E-402F-B27C-95EDD880E598}"/>
    <cellStyle name="Normal 2 3 3 2 2 2 2 2 12" xfId="18715" xr:uid="{D0F29E00-67CC-4888-AD86-4CF57CBBAD64}"/>
    <cellStyle name="Normal 2 3 3 2 2 2 2 2 2" xfId="18716" xr:uid="{CB256FBA-1872-4848-8170-1BAAE4CD8F74}"/>
    <cellStyle name="Normal 2 3 3 2 2 2 2 2 2 2" xfId="18717" xr:uid="{E2B66DB1-66F4-4BC0-8224-259DE9D0D903}"/>
    <cellStyle name="Normal 2 3 3 2 2 2 2 2 2 2 2" xfId="18718" xr:uid="{42B64DE3-42F3-401A-867C-22EF51243BF6}"/>
    <cellStyle name="Normal 2 3 3 2 2 2 2 2 2 2 2 2" xfId="18719" xr:uid="{E9E1D51F-205F-411B-9C7B-FC0363F9E1C7}"/>
    <cellStyle name="Normal 2 3 3 2 2 2 2 2 2 2 2 2 2" xfId="18720" xr:uid="{26DFC3DD-C23A-4BCC-B329-CF0324C06D37}"/>
    <cellStyle name="Normal 2 3 3 2 2 2 2 2 2 2 2 2 3" xfId="18721" xr:uid="{128074B3-47E3-410E-9F31-728210AFA4D0}"/>
    <cellStyle name="Normal 2 3 3 2 2 2 2 2 2 2 2 2 4" xfId="18722" xr:uid="{2EC40613-1ED3-43F1-9657-D280F63C14AB}"/>
    <cellStyle name="Normal 2 3 3 2 2 2 2 2 2 2 2 2 5" xfId="18723" xr:uid="{25EDF61E-0DFA-464A-AA93-5A27DCBFA2F0}"/>
    <cellStyle name="Normal 2 3 3 2 2 2 2 2 2 2 2 2 6" xfId="18724" xr:uid="{012C43D1-698F-4051-9983-09ED659B757D}"/>
    <cellStyle name="Normal 2 3 3 2 2 2 2 2 2 2 2 3" xfId="18725" xr:uid="{5B3390E8-0CB1-43A5-82F3-053F388CAF88}"/>
    <cellStyle name="Normal 2 3 3 2 2 2 2 2 2 2 2 4" xfId="18726" xr:uid="{D084E8EF-6F7B-461A-A888-C3DEAD7B87E6}"/>
    <cellStyle name="Normal 2 3 3 2 2 2 2 2 2 2 2 5" xfId="18727" xr:uid="{2F0805F8-785F-4F41-ABAE-19CAE7028B2E}"/>
    <cellStyle name="Normal 2 3 3 2 2 2 2 2 2 2 2 6" xfId="18728" xr:uid="{C0D59A70-6CF9-4798-8A80-2D7D2644EF6F}"/>
    <cellStyle name="Normal 2 3 3 2 2 2 2 2 2 2 3" xfId="18729" xr:uid="{6D91F0BC-5DC2-4140-9EB7-3DE83F4C92CE}"/>
    <cellStyle name="Normal 2 3 3 2 2 2 2 2 2 2 4" xfId="18730" xr:uid="{D1F96BB5-F6BD-4EB2-841B-0DE4B4FD12C2}"/>
    <cellStyle name="Normal 2 3 3 2 2 2 2 2 2 2 5" xfId="18731" xr:uid="{19780E09-CD94-4660-BEE2-5A3D397CA658}"/>
    <cellStyle name="Normal 2 3 3 2 2 2 2 2 2 2 6" xfId="18732" xr:uid="{8D01F220-EA1F-4C76-8EFD-26604DC9E7AD}"/>
    <cellStyle name="Normal 2 3 3 2 2 2 2 2 2 2 7" xfId="18733" xr:uid="{81F74D10-ACF9-4585-8DAE-383266A11BD9}"/>
    <cellStyle name="Normal 2 3 3 2 2 2 2 2 2 2 8" xfId="18734" xr:uid="{9D5F6555-8C4D-4ABA-A058-8204B4FF8C13}"/>
    <cellStyle name="Normal 2 3 3 2 2 2 2 2 2 2 9" xfId="18735" xr:uid="{FA75B091-275E-4468-9041-E4442FD0E736}"/>
    <cellStyle name="Normal 2 3 3 2 2 2 2 2 2 3" xfId="18736" xr:uid="{E8F48B7C-14C3-4AA6-AC8D-D1E7B43FAC88}"/>
    <cellStyle name="Normal 2 3 3 2 2 2 2 2 2 3 2" xfId="18737" xr:uid="{66E3F990-2008-4A87-A4B9-2DF1FD2055EF}"/>
    <cellStyle name="Normal 2 3 3 2 2 2 2 2 2 3 2 2" xfId="18738" xr:uid="{7D7E4CBE-D924-4706-93B9-3E42D4623102}"/>
    <cellStyle name="Normal 2 3 3 2 2 2 2 2 2 3 2 3" xfId="18739" xr:uid="{C4C9E270-0224-41C2-A76D-1911E0BFE880}"/>
    <cellStyle name="Normal 2 3 3 2 2 2 2 2 2 3 2 4" xfId="18740" xr:uid="{2413815F-CCB0-4074-AAB4-F14E5D1D649E}"/>
    <cellStyle name="Normal 2 3 3 2 2 2 2 2 2 3 2 5" xfId="18741" xr:uid="{4A916A2D-A4EB-47E1-8282-37FC76EE0530}"/>
    <cellStyle name="Normal 2 3 3 2 2 2 2 2 2 3 2 6" xfId="18742" xr:uid="{A3B91013-6477-429B-A487-BCAC9D6DC804}"/>
    <cellStyle name="Normal 2 3 3 2 2 2 2 2 2 3 3" xfId="18743" xr:uid="{8114945B-CAF0-44E2-B702-FC460DB2863C}"/>
    <cellStyle name="Normal 2 3 3 2 2 2 2 2 2 3 4" xfId="18744" xr:uid="{D4E7E1F8-1CA9-4313-9C58-382BB8AD0458}"/>
    <cellStyle name="Normal 2 3 3 2 2 2 2 2 2 3 5" xfId="18745" xr:uid="{A19110FD-9A80-44C5-B7E0-15C70A4C3D36}"/>
    <cellStyle name="Normal 2 3 3 2 2 2 2 2 2 3 6" xfId="18746" xr:uid="{85DE24E4-0E04-4D02-950F-FC2F365CA3C9}"/>
    <cellStyle name="Normal 2 3 3 2 2 2 2 2 2 4" xfId="18747" xr:uid="{AF98897B-15B0-4712-8A58-4B93A7A58AA1}"/>
    <cellStyle name="Normal 2 3 3 2 2 2 2 2 2 5" xfId="18748" xr:uid="{3CC1F667-B810-47DA-B132-F8CDD20727C3}"/>
    <cellStyle name="Normal 2 3 3 2 2 2 2 2 2 6" xfId="18749" xr:uid="{8AEB49D4-D63B-4722-A06E-BAC6174A736A}"/>
    <cellStyle name="Normal 2 3 3 2 2 2 2 2 2 7" xfId="18750" xr:uid="{55528439-CF87-40DE-B89C-B4B47F7A4915}"/>
    <cellStyle name="Normal 2 3 3 2 2 2 2 2 2 8" xfId="18751" xr:uid="{AD83491D-2AAF-477B-BBF9-77798A0E90A6}"/>
    <cellStyle name="Normal 2 3 3 2 2 2 2 2 2 9" xfId="18752" xr:uid="{72D60D6E-CD09-4D86-8ECB-C914A426F665}"/>
    <cellStyle name="Normal 2 3 3 2 2 2 2 2 3" xfId="18753" xr:uid="{51279DA7-F2B0-48EF-9A16-D865E37CC315}"/>
    <cellStyle name="Normal 2 3 3 2 2 2 2 2 4" xfId="18754" xr:uid="{6E707272-2B59-44B4-A51C-D4846AD916C0}"/>
    <cellStyle name="Normal 2 3 3 2 2 2 2 2 5" xfId="18755" xr:uid="{941779F2-B974-4EFA-8EF2-5B80E8B30447}"/>
    <cellStyle name="Normal 2 3 3 2 2 2 2 2 5 2" xfId="18756" xr:uid="{D6B745F9-5B31-42D8-8572-07DBFBE87D81}"/>
    <cellStyle name="Normal 2 3 3 2 2 2 2 2 5 2 2" xfId="18757" xr:uid="{EA8EC6DA-D5FD-45A5-9B93-72C3E060AC67}"/>
    <cellStyle name="Normal 2 3 3 2 2 2 2 2 5 2 3" xfId="18758" xr:uid="{DD3672BF-868C-47DE-9850-3F37E2D48C99}"/>
    <cellStyle name="Normal 2 3 3 2 2 2 2 2 5 2 4" xfId="18759" xr:uid="{589517B7-1C28-4627-A2A8-098481C9C4B1}"/>
    <cellStyle name="Normal 2 3 3 2 2 2 2 2 5 2 5" xfId="18760" xr:uid="{CC7AC1F3-1914-49E5-9F27-1772A11650BE}"/>
    <cellStyle name="Normal 2 3 3 2 2 2 2 2 5 2 6" xfId="18761" xr:uid="{25B4BB46-BF69-4632-8F2D-6E97B16008F9}"/>
    <cellStyle name="Normal 2 3 3 2 2 2 2 2 5 3" xfId="18762" xr:uid="{43670975-21F5-4D21-AD22-7257EA5820E4}"/>
    <cellStyle name="Normal 2 3 3 2 2 2 2 2 5 4" xfId="18763" xr:uid="{08551B23-12E7-4301-AD08-27FEDD98BD93}"/>
    <cellStyle name="Normal 2 3 3 2 2 2 2 2 5 5" xfId="18764" xr:uid="{38D140DC-9B7E-4492-90C9-A1F7268CF841}"/>
    <cellStyle name="Normal 2 3 3 2 2 2 2 2 5 6" xfId="18765" xr:uid="{896A4075-B769-4453-9A2E-ED5088140B9A}"/>
    <cellStyle name="Normal 2 3 3 2 2 2 2 2 6" xfId="18766" xr:uid="{362BD4A9-FEAA-46A5-86B7-E0C1756B22F5}"/>
    <cellStyle name="Normal 2 3 3 2 2 2 2 2 7" xfId="18767" xr:uid="{549902A6-9C88-4BF7-8507-8B2360698308}"/>
    <cellStyle name="Normal 2 3 3 2 2 2 2 2 8" xfId="18768" xr:uid="{AF4E86DA-5A49-4D9C-A8FA-E217F8E7FC9E}"/>
    <cellStyle name="Normal 2 3 3 2 2 2 2 2 9" xfId="18769" xr:uid="{7B28FAF2-0556-4A3D-B078-8979DFAC041E}"/>
    <cellStyle name="Normal 2 3 3 2 2 2 2 3" xfId="18770" xr:uid="{844B7E62-AA7C-4E60-B050-9C8B3E4E4F73}"/>
    <cellStyle name="Normal 2 3 3 2 2 2 2 3 2" xfId="18771" xr:uid="{A3DDBFDA-7662-418A-A57E-2848B0FEEFA1}"/>
    <cellStyle name="Normal 2 3 3 2 2 2 2 3 2 2" xfId="18772" xr:uid="{75D8B136-2EAE-4A26-99E4-C8DEC0037E4E}"/>
    <cellStyle name="Normal 2 3 3 2 2 2 2 3 2 2 2" xfId="18773" xr:uid="{31036FEE-3C80-4B55-85AC-4347EFBDF0AB}"/>
    <cellStyle name="Normal 2 3 3 2 2 2 2 3 2 2 2 2" xfId="18774" xr:uid="{7D780E31-A74A-44E0-9BFC-952A3F770126}"/>
    <cellStyle name="Normal 2 3 3 2 2 2 2 3 2 2 2 3" xfId="18775" xr:uid="{85B3105C-0319-4059-A11C-74E70FBBA8A1}"/>
    <cellStyle name="Normal 2 3 3 2 2 2 2 3 2 2 2 4" xfId="18776" xr:uid="{EFBE38FA-FA0C-4219-A916-4C6B61AE9C25}"/>
    <cellStyle name="Normal 2 3 3 2 2 2 2 3 2 2 2 5" xfId="18777" xr:uid="{0C3876FB-605F-49E6-90B8-B560C6F29809}"/>
    <cellStyle name="Normal 2 3 3 2 2 2 2 3 2 2 2 6" xfId="18778" xr:uid="{20BBCA70-AC12-46E6-86D1-C4BDB6D10671}"/>
    <cellStyle name="Normal 2 3 3 2 2 2 2 3 2 2 3" xfId="18779" xr:uid="{00534D00-8B72-4EB7-B98C-8A7CCFD3E2AC}"/>
    <cellStyle name="Normal 2 3 3 2 2 2 2 3 2 2 4" xfId="18780" xr:uid="{2C4071D8-4743-405A-BB8D-2F783246ED48}"/>
    <cellStyle name="Normal 2 3 3 2 2 2 2 3 2 2 5" xfId="18781" xr:uid="{6FEF9299-218E-41C6-8627-1CF39ABFE4F2}"/>
    <cellStyle name="Normal 2 3 3 2 2 2 2 3 2 2 6" xfId="18782" xr:uid="{DEAFB398-E934-4676-8EB0-23B225DFE66D}"/>
    <cellStyle name="Normal 2 3 3 2 2 2 2 3 2 3" xfId="18783" xr:uid="{62CE19C7-3AEF-45D4-8AD8-D5F020AD8467}"/>
    <cellStyle name="Normal 2 3 3 2 2 2 2 3 2 4" xfId="18784" xr:uid="{C28D63E1-FBFC-4ABE-B792-CE66A4D50D7E}"/>
    <cellStyle name="Normal 2 3 3 2 2 2 2 3 2 5" xfId="18785" xr:uid="{DF9F62CB-C1B5-4ED0-9430-7734E35724EC}"/>
    <cellStyle name="Normal 2 3 3 2 2 2 2 3 2 6" xfId="18786" xr:uid="{12BEF57A-3DE6-462B-BAFD-1D68FB7A8FC5}"/>
    <cellStyle name="Normal 2 3 3 2 2 2 2 3 2 7" xfId="18787" xr:uid="{C2B243AF-8266-41FE-8E1B-F330D5F8D980}"/>
    <cellStyle name="Normal 2 3 3 2 2 2 2 3 2 8" xfId="18788" xr:uid="{EC123E30-3B57-44AB-B7B4-E73A3748BEF5}"/>
    <cellStyle name="Normal 2 3 3 2 2 2 2 3 2 9" xfId="18789" xr:uid="{B02EF8EF-098B-4C6A-AD57-CC976F1A0FF3}"/>
    <cellStyle name="Normal 2 3 3 2 2 2 2 3 3" xfId="18790" xr:uid="{038B99E7-B3A6-47BD-AA84-936CFA51196C}"/>
    <cellStyle name="Normal 2 3 3 2 2 2 2 3 3 2" xfId="18791" xr:uid="{D2D9CBA1-37B7-4D6B-B1EF-FDAA31F5F407}"/>
    <cellStyle name="Normal 2 3 3 2 2 2 2 3 3 2 2" xfId="18792" xr:uid="{5F718D9C-20A2-455A-8E15-0F9BFEAE24F9}"/>
    <cellStyle name="Normal 2 3 3 2 2 2 2 3 3 2 3" xfId="18793" xr:uid="{3249C088-A404-4ADE-81F3-C4C64C899240}"/>
    <cellStyle name="Normal 2 3 3 2 2 2 2 3 3 2 4" xfId="18794" xr:uid="{68B1BFFC-83C9-448E-B150-D5903CDFB3F6}"/>
    <cellStyle name="Normal 2 3 3 2 2 2 2 3 3 2 5" xfId="18795" xr:uid="{80208576-13D3-4323-BDE8-9F76F3B583A6}"/>
    <cellStyle name="Normal 2 3 3 2 2 2 2 3 3 2 6" xfId="18796" xr:uid="{5569D340-1B21-43D0-85FB-C8362D93C0C3}"/>
    <cellStyle name="Normal 2 3 3 2 2 2 2 3 3 3" xfId="18797" xr:uid="{BAB98C41-CFB7-4149-9E3E-9FEA452B146E}"/>
    <cellStyle name="Normal 2 3 3 2 2 2 2 3 3 4" xfId="18798" xr:uid="{B558F99E-57D8-490B-8F26-154E6D20534A}"/>
    <cellStyle name="Normal 2 3 3 2 2 2 2 3 3 5" xfId="18799" xr:uid="{F3C57841-EFCC-4B4E-97BF-0178E364B646}"/>
    <cellStyle name="Normal 2 3 3 2 2 2 2 3 3 6" xfId="18800" xr:uid="{5BBE48AC-4AE9-49D1-B704-0174B8EC6DC3}"/>
    <cellStyle name="Normal 2 3 3 2 2 2 2 3 4" xfId="18801" xr:uid="{6E2473B8-C810-4780-912A-7DEBBE0B69B9}"/>
    <cellStyle name="Normal 2 3 3 2 2 2 2 3 5" xfId="18802" xr:uid="{1EE65FE0-1665-444A-8E07-7F4571E41AD5}"/>
    <cellStyle name="Normal 2 3 3 2 2 2 2 3 6" xfId="18803" xr:uid="{E24B52CD-9104-41E7-9042-5D79D6853FAE}"/>
    <cellStyle name="Normal 2 3 3 2 2 2 2 3 7" xfId="18804" xr:uid="{0F0C11BA-29CF-4D33-8081-3FC82C40D9EF}"/>
    <cellStyle name="Normal 2 3 3 2 2 2 2 3 8" xfId="18805" xr:uid="{0EF11DDE-AA4F-480B-845B-A38CAF551F04}"/>
    <cellStyle name="Normal 2 3 3 2 2 2 2 3 9" xfId="18806" xr:uid="{7541FBE7-051B-4F3B-8DBA-16F1CB0C3672}"/>
    <cellStyle name="Normal 2 3 3 2 2 2 2 4" xfId="18807" xr:uid="{D4DC3C47-6AF7-42D6-92C6-02C0AD1EEDAA}"/>
    <cellStyle name="Normal 2 3 3 2 2 2 2 5" xfId="18808" xr:uid="{8E2A29CF-B92E-4746-83D1-3813074D947A}"/>
    <cellStyle name="Normal 2 3 3 2 2 2 2 5 2" xfId="18809" xr:uid="{E5E180D7-64F3-4271-858C-080059327C7D}"/>
    <cellStyle name="Normal 2 3 3 2 2 2 2 5 2 2" xfId="18810" xr:uid="{AF9C8282-438F-4422-9F03-E3CC788C0C0F}"/>
    <cellStyle name="Normal 2 3 3 2 2 2 2 5 2 3" xfId="18811" xr:uid="{36342016-2E29-4F03-A09C-9CD83283E69C}"/>
    <cellStyle name="Normal 2 3 3 2 2 2 2 5 2 4" xfId="18812" xr:uid="{52324770-183B-499D-B7EA-B4B24E83D58F}"/>
    <cellStyle name="Normal 2 3 3 2 2 2 2 5 2 5" xfId="18813" xr:uid="{D9A86091-5AF6-4B83-915E-4B7D0B2CEF7D}"/>
    <cellStyle name="Normal 2 3 3 2 2 2 2 5 2 6" xfId="18814" xr:uid="{6D75D50D-E464-43A3-A160-677E079935F4}"/>
    <cellStyle name="Normal 2 3 3 2 2 2 2 5 3" xfId="18815" xr:uid="{513A07B4-417B-44F6-89FE-8994CF06831D}"/>
    <cellStyle name="Normal 2 3 3 2 2 2 2 5 4" xfId="18816" xr:uid="{93C69A00-9792-4A94-88D2-C93FDBD97675}"/>
    <cellStyle name="Normal 2 3 3 2 2 2 2 5 5" xfId="18817" xr:uid="{6CF04AA5-6500-4113-A23C-47DBDA37C312}"/>
    <cellStyle name="Normal 2 3 3 2 2 2 2 5 6" xfId="18818" xr:uid="{858C031F-2322-49AF-A1E3-A69632DE7056}"/>
    <cellStyle name="Normal 2 3 3 2 2 2 2 6" xfId="18819" xr:uid="{FA6D3019-DAA2-4237-91EC-522F6CD51744}"/>
    <cellStyle name="Normal 2 3 3 2 2 2 2 7" xfId="18820" xr:uid="{7D079090-8AF1-4694-9105-1A6E587F74FC}"/>
    <cellStyle name="Normal 2 3 3 2 2 2 2 8" xfId="18821" xr:uid="{B65765FB-F3A5-473B-A91C-3473340D1B16}"/>
    <cellStyle name="Normal 2 3 3 2 2 2 2 9" xfId="18822" xr:uid="{AF02977E-A7C8-4323-B18A-5DB12DC45DF0}"/>
    <cellStyle name="Normal 2 3 3 2 2 2 3" xfId="18823" xr:uid="{8976FC91-B53D-4C0D-A622-128A9EB0FB3A}"/>
    <cellStyle name="Normal 2 3 3 2 2 2 4" xfId="18824" xr:uid="{E270F195-F0FE-4496-91AC-7FE1CA88AE40}"/>
    <cellStyle name="Normal 2 3 3 2 2 2 5" xfId="18825" xr:uid="{6074292B-E1F0-40F9-8359-F6E8CCA6380F}"/>
    <cellStyle name="Normal 2 3 3 2 2 2 5 2" xfId="18826" xr:uid="{35E4BF98-67A4-4ACD-B2A7-F38E0827057E}"/>
    <cellStyle name="Normal 2 3 3 2 2 2 5 2 2" xfId="18827" xr:uid="{28C2CE7E-6BEE-4905-A4F9-03D224BF2021}"/>
    <cellStyle name="Normal 2 3 3 2 2 2 5 2 2 2" xfId="18828" xr:uid="{B322F84F-325B-41F6-90E5-C60D795EDC97}"/>
    <cellStyle name="Normal 2 3 3 2 2 2 5 2 2 2 2" xfId="18829" xr:uid="{DCC6D552-3156-4E85-B673-C3B0F02FABAD}"/>
    <cellStyle name="Normal 2 3 3 2 2 2 5 2 2 2 3" xfId="18830" xr:uid="{58D19DCE-C367-476D-A8CC-3F5056567359}"/>
    <cellStyle name="Normal 2 3 3 2 2 2 5 2 2 2 4" xfId="18831" xr:uid="{DAD4D6C9-B9C3-4B38-895D-3A147382FF6B}"/>
    <cellStyle name="Normal 2 3 3 2 2 2 5 2 2 2 5" xfId="18832" xr:uid="{952E86DE-1F90-4422-B6EC-3B400DE9D455}"/>
    <cellStyle name="Normal 2 3 3 2 2 2 5 2 2 2 6" xfId="18833" xr:uid="{CC53CB85-1BF5-4575-8C8B-B17A9EE84C1E}"/>
    <cellStyle name="Normal 2 3 3 2 2 2 5 2 2 3" xfId="18834" xr:uid="{4C80F901-DAC1-46C9-AE9B-DD96F0D51C49}"/>
    <cellStyle name="Normal 2 3 3 2 2 2 5 2 2 4" xfId="18835" xr:uid="{DA3F33D0-1C95-4BD9-8A8F-DEA525B6A526}"/>
    <cellStyle name="Normal 2 3 3 2 2 2 5 2 2 5" xfId="18836" xr:uid="{E2C0B224-7FE8-46DB-A9A2-BD36EE2BE172}"/>
    <cellStyle name="Normal 2 3 3 2 2 2 5 2 2 6" xfId="18837" xr:uid="{FE65E892-E71C-4971-854F-8EE8C52180F0}"/>
    <cellStyle name="Normal 2 3 3 2 2 2 5 2 3" xfId="18838" xr:uid="{14F00086-118B-4E3B-B143-D0838A73C4CF}"/>
    <cellStyle name="Normal 2 3 3 2 2 2 5 2 4" xfId="18839" xr:uid="{8FB9CE0D-E667-4AEC-82A4-9F20FB21176C}"/>
    <cellStyle name="Normal 2 3 3 2 2 2 5 2 5" xfId="18840" xr:uid="{A59AE6A6-E92F-4855-B209-23207BC086BB}"/>
    <cellStyle name="Normal 2 3 3 2 2 2 5 2 6" xfId="18841" xr:uid="{EFD3ED44-9979-47C1-8EAD-52DDC7BA7593}"/>
    <cellStyle name="Normal 2 3 3 2 2 2 5 2 7" xfId="18842" xr:uid="{44BDACCE-D794-4BCD-9C28-6FBCFDE5060D}"/>
    <cellStyle name="Normal 2 3 3 2 2 2 5 2 8" xfId="18843" xr:uid="{018C630B-81C1-4667-9324-9AABE80F6CB8}"/>
    <cellStyle name="Normal 2 3 3 2 2 2 5 2 9" xfId="18844" xr:uid="{3DF1C278-90A5-44B9-8A0E-E38BC65AABBB}"/>
    <cellStyle name="Normal 2 3 3 2 2 2 5 3" xfId="18845" xr:uid="{0CFAD7D5-CA52-4547-9C3C-DCE92C402265}"/>
    <cellStyle name="Normal 2 3 3 2 2 2 5 3 2" xfId="18846" xr:uid="{059AB81F-F01C-4B1A-9DA5-B84E3BDB99C6}"/>
    <cellStyle name="Normal 2 3 3 2 2 2 5 3 2 2" xfId="18847" xr:uid="{8817ADD9-12A1-4BE0-BC16-774F11AFD3F0}"/>
    <cellStyle name="Normal 2 3 3 2 2 2 5 3 2 3" xfId="18848" xr:uid="{98961126-4ADD-48A6-9927-2529DCC51E6F}"/>
    <cellStyle name="Normal 2 3 3 2 2 2 5 3 2 4" xfId="18849" xr:uid="{E1E60BE4-BC4F-410B-A795-BD7EEE13EC7D}"/>
    <cellStyle name="Normal 2 3 3 2 2 2 5 3 2 5" xfId="18850" xr:uid="{57CC1893-B234-4CFB-A58D-D81308C91BE3}"/>
    <cellStyle name="Normal 2 3 3 2 2 2 5 3 2 6" xfId="18851" xr:uid="{AACC8226-8902-45F3-AF39-4B92156438C8}"/>
    <cellStyle name="Normal 2 3 3 2 2 2 5 3 3" xfId="18852" xr:uid="{DBC0350F-95AD-44A3-8DAD-21CBE54FEC67}"/>
    <cellStyle name="Normal 2 3 3 2 2 2 5 3 4" xfId="18853" xr:uid="{C0CD3BD8-3914-40D2-8FF6-C7EFB01EC396}"/>
    <cellStyle name="Normal 2 3 3 2 2 2 5 3 5" xfId="18854" xr:uid="{D5A9D291-15B9-426E-B9F4-39382D204E41}"/>
    <cellStyle name="Normal 2 3 3 2 2 2 5 3 6" xfId="18855" xr:uid="{7C71BB4D-F362-4572-8D42-74EC7CF9C69C}"/>
    <cellStyle name="Normal 2 3 3 2 2 2 5 4" xfId="18856" xr:uid="{C20933A0-6364-48C1-994A-B37CF8357C90}"/>
    <cellStyle name="Normal 2 3 3 2 2 2 5 5" xfId="18857" xr:uid="{A639826B-3EF3-4140-8047-B075BA5B43FA}"/>
    <cellStyle name="Normal 2 3 3 2 2 2 5 6" xfId="18858" xr:uid="{DE3725FB-0B86-4486-9B3D-46A98C25E2E8}"/>
    <cellStyle name="Normal 2 3 3 2 2 2 5 7" xfId="18859" xr:uid="{89853819-83B9-4459-A47D-81E84BEBEDBC}"/>
    <cellStyle name="Normal 2 3 3 2 2 2 5 8" xfId="18860" xr:uid="{90C5800E-FE6F-40E4-BF9C-D115EAA73EFA}"/>
    <cellStyle name="Normal 2 3 3 2 2 2 5 9" xfId="18861" xr:uid="{D67A5649-9D04-46F5-8E72-B462C19D7673}"/>
    <cellStyle name="Normal 2 3 3 2 2 2 6" xfId="18862" xr:uid="{84D00147-2431-47AE-AD97-DC0A324415A8}"/>
    <cellStyle name="Normal 2 3 3 2 2 2 7" xfId="18863" xr:uid="{5194D6F1-B373-4734-A90C-4FFF79C9F56F}"/>
    <cellStyle name="Normal 2 3 3 2 2 2 8" xfId="18864" xr:uid="{4D2977B5-F7B2-4F9D-96CD-40C78709E7A1}"/>
    <cellStyle name="Normal 2 3 3 2 2 2 8 2" xfId="18865" xr:uid="{5A5E9024-F10E-4C82-A70E-A0843F2970DB}"/>
    <cellStyle name="Normal 2 3 3 2 2 2 8 2 2" xfId="18866" xr:uid="{0044D37D-2376-41B7-A5E0-E73097841823}"/>
    <cellStyle name="Normal 2 3 3 2 2 2 8 2 3" xfId="18867" xr:uid="{4FBF60B4-BA56-4B40-95B4-3959847B59F4}"/>
    <cellStyle name="Normal 2 3 3 2 2 2 8 2 4" xfId="18868" xr:uid="{E1ACEBD2-E060-4FF1-8409-4123B3B93C78}"/>
    <cellStyle name="Normal 2 3 3 2 2 2 8 2 5" xfId="18869" xr:uid="{21E4C046-21B8-45A1-8E8E-ADE54C2F4C23}"/>
    <cellStyle name="Normal 2 3 3 2 2 2 8 2 6" xfId="18870" xr:uid="{843E800F-665F-4A9E-9816-6F78BC1B1999}"/>
    <cellStyle name="Normal 2 3 3 2 2 2 8 3" xfId="18871" xr:uid="{B2326292-B944-4DE3-89AE-65BDB653DFEA}"/>
    <cellStyle name="Normal 2 3 3 2 2 2 8 4" xfId="18872" xr:uid="{D041B89D-D0FD-480A-910D-1800AB6E0FAE}"/>
    <cellStyle name="Normal 2 3 3 2 2 2 8 5" xfId="18873" xr:uid="{452A6916-961D-4434-8453-9D839D2E29A3}"/>
    <cellStyle name="Normal 2 3 3 2 2 2 8 6" xfId="18874" xr:uid="{F84FF706-81BC-429E-8A95-CC7B51C2A3BC}"/>
    <cellStyle name="Normal 2 3 3 2 2 2 9" xfId="18875" xr:uid="{FFC30B4D-00E7-430D-9787-0CC923C7FD8F}"/>
    <cellStyle name="Normal 2 3 3 2 2 3" xfId="18876" xr:uid="{681A0DEF-C066-44E2-8227-38CAD262A2A9}"/>
    <cellStyle name="Normal 2 3 3 2 2 3 10" xfId="18877" xr:uid="{33F8059D-BAA5-48E7-ACB7-59E7CD359F30}"/>
    <cellStyle name="Normal 2 3 3 2 2 3 11" xfId="18878" xr:uid="{48E3F3D5-59E4-446C-9F50-D2E7BE280BC4}"/>
    <cellStyle name="Normal 2 3 3 2 2 3 12" xfId="18879" xr:uid="{51740181-3B3A-4DB0-81EC-D5139196E8DF}"/>
    <cellStyle name="Normal 2 3 3 2 2 3 2" xfId="18880" xr:uid="{393DBFFD-4971-4D92-B547-FF02CE3B80DB}"/>
    <cellStyle name="Normal 2 3 3 2 2 3 2 10" xfId="18881" xr:uid="{720F5637-846E-45BC-B372-D76A04BA9883}"/>
    <cellStyle name="Normal 2 3 3 2 2 3 2 11" xfId="18882" xr:uid="{45FFFF70-4D43-4D28-ADF9-6787BDB223E9}"/>
    <cellStyle name="Normal 2 3 3 2 2 3 2 12" xfId="18883" xr:uid="{8E16AC80-7C90-4863-BFF3-5B1CC30674BA}"/>
    <cellStyle name="Normal 2 3 3 2 2 3 2 2" xfId="18884" xr:uid="{469153AB-7E47-4A60-BC32-B1E8A313F63D}"/>
    <cellStyle name="Normal 2 3 3 2 2 3 2 2 2" xfId="18885" xr:uid="{AEAE94A7-22E5-4185-8D90-EDE5BB26204E}"/>
    <cellStyle name="Normal 2 3 3 2 2 3 2 2 2 2" xfId="18886" xr:uid="{838FCBA0-1057-4D76-B0BC-0FF556AABD03}"/>
    <cellStyle name="Normal 2 3 3 2 2 3 2 2 2 2 2" xfId="18887" xr:uid="{31AD1E69-EE1F-4E94-9C57-AEAEF13A6D5B}"/>
    <cellStyle name="Normal 2 3 3 2 2 3 2 2 2 2 2 2" xfId="18888" xr:uid="{561E6645-0DF3-4879-B761-469344B47ECF}"/>
    <cellStyle name="Normal 2 3 3 2 2 3 2 2 2 2 2 3" xfId="18889" xr:uid="{9DA4079A-9277-4209-A0FC-C66E5BD98F16}"/>
    <cellStyle name="Normal 2 3 3 2 2 3 2 2 2 2 2 4" xfId="18890" xr:uid="{16316F0F-FA9F-4447-A220-B6F23144DBF9}"/>
    <cellStyle name="Normal 2 3 3 2 2 3 2 2 2 2 2 5" xfId="18891" xr:uid="{ED994A83-ACA9-4905-804C-F10C73DA2052}"/>
    <cellStyle name="Normal 2 3 3 2 2 3 2 2 2 2 2 6" xfId="18892" xr:uid="{7D42ADC6-AC5A-4676-8AE0-BDFFBFDDE76B}"/>
    <cellStyle name="Normal 2 3 3 2 2 3 2 2 2 2 3" xfId="18893" xr:uid="{F98C34C7-9193-4C5D-8EBD-321145E44D58}"/>
    <cellStyle name="Normal 2 3 3 2 2 3 2 2 2 2 4" xfId="18894" xr:uid="{9D690DA5-CD98-4AE2-B997-2D442BFDE051}"/>
    <cellStyle name="Normal 2 3 3 2 2 3 2 2 2 2 5" xfId="18895" xr:uid="{15151D79-A7A8-4ED3-BDF4-616A6DF74174}"/>
    <cellStyle name="Normal 2 3 3 2 2 3 2 2 2 2 6" xfId="18896" xr:uid="{6B8D8269-7150-4708-995A-0E0F4C4CC9B2}"/>
    <cellStyle name="Normal 2 3 3 2 2 3 2 2 2 3" xfId="18897" xr:uid="{D82D3F82-3916-4F3C-8197-0C4B05A1EC3D}"/>
    <cellStyle name="Normal 2 3 3 2 2 3 2 2 2 4" xfId="18898" xr:uid="{CBEC684E-6F44-4900-A778-F21DA3857DA1}"/>
    <cellStyle name="Normal 2 3 3 2 2 3 2 2 2 5" xfId="18899" xr:uid="{C5BAE5B1-3D9F-442E-AAE5-236AA79F7306}"/>
    <cellStyle name="Normal 2 3 3 2 2 3 2 2 2 6" xfId="18900" xr:uid="{95BF79E5-E81A-4D2A-8385-215D51A3E1BB}"/>
    <cellStyle name="Normal 2 3 3 2 2 3 2 2 2 7" xfId="18901" xr:uid="{EBA0A4D2-6CCF-4A33-ACA1-BECB587D2E8A}"/>
    <cellStyle name="Normal 2 3 3 2 2 3 2 2 2 8" xfId="18902" xr:uid="{F1350D09-329D-4235-8311-72238F3B70DB}"/>
    <cellStyle name="Normal 2 3 3 2 2 3 2 2 2 9" xfId="18903" xr:uid="{C3A5E11F-1957-4ABE-BA8B-73DEE3B78148}"/>
    <cellStyle name="Normal 2 3 3 2 2 3 2 2 3" xfId="18904" xr:uid="{B47A1494-E217-43D8-8C19-F22B68990C0B}"/>
    <cellStyle name="Normal 2 3 3 2 2 3 2 2 3 2" xfId="18905" xr:uid="{3A4B52BD-6A2A-47D8-BCE1-362FC1ABB466}"/>
    <cellStyle name="Normal 2 3 3 2 2 3 2 2 3 2 2" xfId="18906" xr:uid="{D9B7A1C0-AE45-4251-A05F-BB92EBD6C8B7}"/>
    <cellStyle name="Normal 2 3 3 2 2 3 2 2 3 2 3" xfId="18907" xr:uid="{4A6E9133-26EB-4CAB-B5C7-78E97D7C1FA8}"/>
    <cellStyle name="Normal 2 3 3 2 2 3 2 2 3 2 4" xfId="18908" xr:uid="{EE9F789E-9F25-450A-A6C2-1689D0361527}"/>
    <cellStyle name="Normal 2 3 3 2 2 3 2 2 3 2 5" xfId="18909" xr:uid="{FE3D5B23-8FA8-4E93-8870-4BB3F49C56CD}"/>
    <cellStyle name="Normal 2 3 3 2 2 3 2 2 3 2 6" xfId="18910" xr:uid="{E479EE97-B43F-47EF-BE5F-126333E91E04}"/>
    <cellStyle name="Normal 2 3 3 2 2 3 2 2 3 3" xfId="18911" xr:uid="{24C0DBF0-5B85-43E8-8195-15AFE70F7EEF}"/>
    <cellStyle name="Normal 2 3 3 2 2 3 2 2 3 4" xfId="18912" xr:uid="{755DE2C9-E35B-44FD-8E11-7FB6F525AA0E}"/>
    <cellStyle name="Normal 2 3 3 2 2 3 2 2 3 5" xfId="18913" xr:uid="{4843976F-ED98-464F-8EC9-347142F6B4CD}"/>
    <cellStyle name="Normal 2 3 3 2 2 3 2 2 3 6" xfId="18914" xr:uid="{4CDBF5B1-363B-4AB8-8932-B3F2BAD39A2C}"/>
    <cellStyle name="Normal 2 3 3 2 2 3 2 2 4" xfId="18915" xr:uid="{A6A59DEB-8899-41FD-A5C8-2B178C24EB1B}"/>
    <cellStyle name="Normal 2 3 3 2 2 3 2 2 5" xfId="18916" xr:uid="{2D041465-42C6-4EDE-B0F6-6242C53D2E72}"/>
    <cellStyle name="Normal 2 3 3 2 2 3 2 2 6" xfId="18917" xr:uid="{E8C236E8-D146-4714-9A14-5836FF62C020}"/>
    <cellStyle name="Normal 2 3 3 2 2 3 2 2 7" xfId="18918" xr:uid="{451EC70E-3C1E-45BE-9CAB-9D1F65021D89}"/>
    <cellStyle name="Normal 2 3 3 2 2 3 2 2 8" xfId="18919" xr:uid="{46A20770-95D0-4B3D-9BBC-C0C628BD3ACF}"/>
    <cellStyle name="Normal 2 3 3 2 2 3 2 2 9" xfId="18920" xr:uid="{D3D0F798-545C-443D-84EC-4E05BA5F1CA9}"/>
    <cellStyle name="Normal 2 3 3 2 2 3 2 3" xfId="18921" xr:uid="{F05FF288-44D8-4B1B-B435-FB227AC01629}"/>
    <cellStyle name="Normal 2 3 3 2 2 3 2 4" xfId="18922" xr:uid="{AF25FC36-1583-4B2B-A5FB-D09030C10897}"/>
    <cellStyle name="Normal 2 3 3 2 2 3 2 5" xfId="18923" xr:uid="{85E940C8-A353-46CE-A9C3-8B68874FD1B1}"/>
    <cellStyle name="Normal 2 3 3 2 2 3 2 5 2" xfId="18924" xr:uid="{FC02B2F3-32C2-4417-B198-C87C8FF81D1F}"/>
    <cellStyle name="Normal 2 3 3 2 2 3 2 5 2 2" xfId="18925" xr:uid="{E66CECF0-6595-48E8-A8BE-711B8809BDF4}"/>
    <cellStyle name="Normal 2 3 3 2 2 3 2 5 2 3" xfId="18926" xr:uid="{56B72703-242F-4707-878F-25A47E293CF3}"/>
    <cellStyle name="Normal 2 3 3 2 2 3 2 5 2 4" xfId="18927" xr:uid="{8A036A18-809B-4E18-8BE9-BAC60552E760}"/>
    <cellStyle name="Normal 2 3 3 2 2 3 2 5 2 5" xfId="18928" xr:uid="{50BB4065-A8CD-4E54-866F-3C22205AE874}"/>
    <cellStyle name="Normal 2 3 3 2 2 3 2 5 2 6" xfId="18929" xr:uid="{238F9047-9A6C-45BC-B150-A103DB448B74}"/>
    <cellStyle name="Normal 2 3 3 2 2 3 2 5 3" xfId="18930" xr:uid="{6B85370B-BE45-433C-AFF3-9A169F863227}"/>
    <cellStyle name="Normal 2 3 3 2 2 3 2 5 4" xfId="18931" xr:uid="{F7851A1F-3301-4841-AEFD-5F5C6D97D767}"/>
    <cellStyle name="Normal 2 3 3 2 2 3 2 5 5" xfId="18932" xr:uid="{6C739FE0-D5E9-453C-A0F0-59D237B8592C}"/>
    <cellStyle name="Normal 2 3 3 2 2 3 2 5 6" xfId="18933" xr:uid="{435182FD-B3E8-4C28-B036-3696B73029A3}"/>
    <cellStyle name="Normal 2 3 3 2 2 3 2 6" xfId="18934" xr:uid="{4AD9C993-E236-47D6-9BBF-53D84AA804C3}"/>
    <cellStyle name="Normal 2 3 3 2 2 3 2 7" xfId="18935" xr:uid="{B069AFEA-F343-463A-BF14-CB4BE94BCBC4}"/>
    <cellStyle name="Normal 2 3 3 2 2 3 2 8" xfId="18936" xr:uid="{B1BCD562-02D0-4998-9F38-84F67B034CDE}"/>
    <cellStyle name="Normal 2 3 3 2 2 3 2 9" xfId="18937" xr:uid="{F5888173-7BFA-45E0-9D52-6151E05DA836}"/>
    <cellStyle name="Normal 2 3 3 2 2 3 3" xfId="18938" xr:uid="{FE98DF2F-EAA4-4980-B228-6C543EC1FF48}"/>
    <cellStyle name="Normal 2 3 3 2 2 3 3 2" xfId="18939" xr:uid="{F0682037-C17C-437F-8B73-402598D8764B}"/>
    <cellStyle name="Normal 2 3 3 2 2 3 3 2 2" xfId="18940" xr:uid="{FD2EFD1D-A356-4DD4-86A3-AC629645752A}"/>
    <cellStyle name="Normal 2 3 3 2 2 3 3 2 2 2" xfId="18941" xr:uid="{E3150F18-B73E-4879-8D48-99568C3DC28A}"/>
    <cellStyle name="Normal 2 3 3 2 2 3 3 2 2 2 2" xfId="18942" xr:uid="{BF7B3EE7-FF0F-4601-AC15-03C9B0188A52}"/>
    <cellStyle name="Normal 2 3 3 2 2 3 3 2 2 2 3" xfId="18943" xr:uid="{5AC6A00D-FA00-475F-B41C-942F7677FCD1}"/>
    <cellStyle name="Normal 2 3 3 2 2 3 3 2 2 2 4" xfId="18944" xr:uid="{5E200353-0E62-4EEF-96AF-A2F3D7A8CF71}"/>
    <cellStyle name="Normal 2 3 3 2 2 3 3 2 2 2 5" xfId="18945" xr:uid="{8048EEEE-D4BC-44E6-9D6E-245F41498ABF}"/>
    <cellStyle name="Normal 2 3 3 2 2 3 3 2 2 2 6" xfId="18946" xr:uid="{31ADE00B-9008-46E8-A908-27A5B703D83A}"/>
    <cellStyle name="Normal 2 3 3 2 2 3 3 2 2 3" xfId="18947" xr:uid="{6A532378-F255-47AF-8509-D815ACD4B928}"/>
    <cellStyle name="Normal 2 3 3 2 2 3 3 2 2 4" xfId="18948" xr:uid="{2F8E1931-14E7-40A2-A97F-C7FB7C68A37E}"/>
    <cellStyle name="Normal 2 3 3 2 2 3 3 2 2 5" xfId="18949" xr:uid="{27A5404D-BD19-45F4-A97D-091EAFEA74C1}"/>
    <cellStyle name="Normal 2 3 3 2 2 3 3 2 2 6" xfId="18950" xr:uid="{6BD9844A-C600-492A-B960-55B0C0164FCB}"/>
    <cellStyle name="Normal 2 3 3 2 2 3 3 2 3" xfId="18951" xr:uid="{8282D63E-C9F3-47AD-92F4-0943F0DD2D86}"/>
    <cellStyle name="Normal 2 3 3 2 2 3 3 2 4" xfId="18952" xr:uid="{F78B871D-6776-40F9-B89F-8DA533FF01EA}"/>
    <cellStyle name="Normal 2 3 3 2 2 3 3 2 5" xfId="18953" xr:uid="{72D17021-4226-467C-84CB-82B7EEC11950}"/>
    <cellStyle name="Normal 2 3 3 2 2 3 3 2 6" xfId="18954" xr:uid="{8595FE14-0648-4207-8851-8244D2B2991D}"/>
    <cellStyle name="Normal 2 3 3 2 2 3 3 2 7" xfId="18955" xr:uid="{6C544C1B-0905-4141-9983-50D47FC9BF5D}"/>
    <cellStyle name="Normal 2 3 3 2 2 3 3 2 8" xfId="18956" xr:uid="{43929B77-FB27-4E7E-A249-CD98A295AE9F}"/>
    <cellStyle name="Normal 2 3 3 2 2 3 3 2 9" xfId="18957" xr:uid="{A7DA405A-3F75-494B-BC00-178CDD0C5CBA}"/>
    <cellStyle name="Normal 2 3 3 2 2 3 3 3" xfId="18958" xr:uid="{61BA8909-6C0A-4A57-9BF1-947FA5D4E44D}"/>
    <cellStyle name="Normal 2 3 3 2 2 3 3 3 2" xfId="18959" xr:uid="{7927F42A-0406-4755-90C5-85E2978432CA}"/>
    <cellStyle name="Normal 2 3 3 2 2 3 3 3 2 2" xfId="18960" xr:uid="{AFE81425-EF21-46E5-BAE7-051E5F4808B5}"/>
    <cellStyle name="Normal 2 3 3 2 2 3 3 3 2 3" xfId="18961" xr:uid="{37E7D1E3-C929-4F55-83D6-192912C316C6}"/>
    <cellStyle name="Normal 2 3 3 2 2 3 3 3 2 4" xfId="18962" xr:uid="{5997E2A4-AECA-478E-BCB6-A14E2C12F5CF}"/>
    <cellStyle name="Normal 2 3 3 2 2 3 3 3 2 5" xfId="18963" xr:uid="{CB5C803E-2A1D-4F55-A117-7A76246FF667}"/>
    <cellStyle name="Normal 2 3 3 2 2 3 3 3 2 6" xfId="18964" xr:uid="{509B99E5-0104-4BE5-B4C8-7481B91FD4D5}"/>
    <cellStyle name="Normal 2 3 3 2 2 3 3 3 3" xfId="18965" xr:uid="{D286B180-A776-43A4-9971-5C3270F7D99D}"/>
    <cellStyle name="Normal 2 3 3 2 2 3 3 3 4" xfId="18966" xr:uid="{CAA01D96-491B-4BC9-8377-61033C83538F}"/>
    <cellStyle name="Normal 2 3 3 2 2 3 3 3 5" xfId="18967" xr:uid="{E4F538B7-E395-44B3-9440-8790093073FE}"/>
    <cellStyle name="Normal 2 3 3 2 2 3 3 3 6" xfId="18968" xr:uid="{8692F053-16C2-4A37-896D-53BEC6F75247}"/>
    <cellStyle name="Normal 2 3 3 2 2 3 3 4" xfId="18969" xr:uid="{0C2A2A3D-A5FF-469D-B65B-B174140BB5FD}"/>
    <cellStyle name="Normal 2 3 3 2 2 3 3 5" xfId="18970" xr:uid="{B00F60A3-A6C9-4953-946C-958C16CA99D7}"/>
    <cellStyle name="Normal 2 3 3 2 2 3 3 6" xfId="18971" xr:uid="{FBECCA21-AFF8-4EB6-9F96-D441337C211C}"/>
    <cellStyle name="Normal 2 3 3 2 2 3 3 7" xfId="18972" xr:uid="{70D32AED-A98E-4896-AF11-F3AFBA88F3DD}"/>
    <cellStyle name="Normal 2 3 3 2 2 3 3 8" xfId="18973" xr:uid="{7F51B5A1-46DC-436A-8343-723CF47E7C1E}"/>
    <cellStyle name="Normal 2 3 3 2 2 3 3 9" xfId="18974" xr:uid="{6CC41AF8-AE0E-40F5-8801-0915F7D79BBD}"/>
    <cellStyle name="Normal 2 3 3 2 2 3 4" xfId="18975" xr:uid="{2CF56808-BA87-4507-BFBA-73483BC26CAA}"/>
    <cellStyle name="Normal 2 3 3 2 2 3 5" xfId="18976" xr:uid="{E594C788-2D16-43EB-B080-8BB508B8D542}"/>
    <cellStyle name="Normal 2 3 3 2 2 3 5 2" xfId="18977" xr:uid="{83D966FC-EB84-4B2A-ADCE-D7EC8BE30826}"/>
    <cellStyle name="Normal 2 3 3 2 2 3 5 2 2" xfId="18978" xr:uid="{4CCF2BCC-766C-494D-B46B-00BFEF9BFF4A}"/>
    <cellStyle name="Normal 2 3 3 2 2 3 5 2 3" xfId="18979" xr:uid="{28B8CBCA-9C80-4431-A11B-370000C275D6}"/>
    <cellStyle name="Normal 2 3 3 2 2 3 5 2 4" xfId="18980" xr:uid="{A81E9BD6-58FB-47C4-B64B-DB28490BEBF3}"/>
    <cellStyle name="Normal 2 3 3 2 2 3 5 2 5" xfId="18981" xr:uid="{A6B6AFF4-1377-4585-BF0D-F71F8D41A94C}"/>
    <cellStyle name="Normal 2 3 3 2 2 3 5 2 6" xfId="18982" xr:uid="{674AAB49-B5F6-4E5E-9C3A-E5A19FE9D2B0}"/>
    <cellStyle name="Normal 2 3 3 2 2 3 5 3" xfId="18983" xr:uid="{FEE7F671-F39A-4D02-98A4-256D1E2D3313}"/>
    <cellStyle name="Normal 2 3 3 2 2 3 5 4" xfId="18984" xr:uid="{576B21B6-B3BA-419F-81F2-6FA66C8D5A11}"/>
    <cellStyle name="Normal 2 3 3 2 2 3 5 5" xfId="18985" xr:uid="{3029E391-8E99-4735-B3D8-AD872C97DE41}"/>
    <cellStyle name="Normal 2 3 3 2 2 3 5 6" xfId="18986" xr:uid="{ED5FC0F4-9950-4E5A-A4BC-2C88C4BA7B63}"/>
    <cellStyle name="Normal 2 3 3 2 2 3 6" xfId="18987" xr:uid="{165AFF26-7E13-4216-84CF-F2DE7D9067F5}"/>
    <cellStyle name="Normal 2 3 3 2 2 3 7" xfId="18988" xr:uid="{0348A3CF-A03E-4735-BA7B-B7B7E202E6AE}"/>
    <cellStyle name="Normal 2 3 3 2 2 3 8" xfId="18989" xr:uid="{65C1A29A-EDA2-4078-B0AD-9288C5C252B0}"/>
    <cellStyle name="Normal 2 3 3 2 2 3 9" xfId="18990" xr:uid="{DA8601C4-8516-4FDA-87BE-D078ECD43841}"/>
    <cellStyle name="Normal 2 3 3 2 2 4" xfId="18991" xr:uid="{B10FDF8C-3BB2-46F4-8EB3-42B875D350D8}"/>
    <cellStyle name="Normal 2 3 3 2 2 5" xfId="18992" xr:uid="{2CCFDD72-49CF-412E-AB79-205538460F88}"/>
    <cellStyle name="Normal 2 3 3 2 2 5 2" xfId="18993" xr:uid="{EAD4D392-67E0-4573-AAA5-D311B22F56FA}"/>
    <cellStyle name="Normal 2 3 3 2 2 5 2 2" xfId="18994" xr:uid="{CD7AD3BF-0563-4608-8319-1C40135A3478}"/>
    <cellStyle name="Normal 2 3 3 2 2 5 2 2 2" xfId="18995" xr:uid="{78B57356-821F-403F-B556-867DF38B8F49}"/>
    <cellStyle name="Normal 2 3 3 2 2 5 2 2 2 2" xfId="18996" xr:uid="{42CD240A-1D7E-4BA6-96FF-386032A33B09}"/>
    <cellStyle name="Normal 2 3 3 2 2 5 2 2 2 3" xfId="18997" xr:uid="{C878C93C-8FD7-4FC9-9368-BF6D8361138C}"/>
    <cellStyle name="Normal 2 3 3 2 2 5 2 2 2 4" xfId="18998" xr:uid="{9E38D3E1-021B-475A-9966-61B508EB85AD}"/>
    <cellStyle name="Normal 2 3 3 2 2 5 2 2 2 5" xfId="18999" xr:uid="{233E3E98-3D35-41ED-A13E-8508154EB7CA}"/>
    <cellStyle name="Normal 2 3 3 2 2 5 2 2 2 6" xfId="19000" xr:uid="{552F5C3C-7E99-4314-82C1-E731F16C35D4}"/>
    <cellStyle name="Normal 2 3 3 2 2 5 2 2 3" xfId="19001" xr:uid="{7E413B22-42D4-4F26-8D66-3939A6E66DA9}"/>
    <cellStyle name="Normal 2 3 3 2 2 5 2 2 4" xfId="19002" xr:uid="{686E26B3-1992-4EB6-8DD3-6D19434BB806}"/>
    <cellStyle name="Normal 2 3 3 2 2 5 2 2 5" xfId="19003" xr:uid="{C9234ABF-C35A-443A-9A79-6EB27C1074DB}"/>
    <cellStyle name="Normal 2 3 3 2 2 5 2 2 6" xfId="19004" xr:uid="{5DE38A56-144F-46E8-8D0E-8D0838F5A133}"/>
    <cellStyle name="Normal 2 3 3 2 2 5 2 3" xfId="19005" xr:uid="{5E399B24-6B2C-4FEA-A398-545477487534}"/>
    <cellStyle name="Normal 2 3 3 2 2 5 2 4" xfId="19006" xr:uid="{CAFB9C3E-30CF-4DEB-8BCD-CF28C2675C17}"/>
    <cellStyle name="Normal 2 3 3 2 2 5 2 5" xfId="19007" xr:uid="{C384AD76-6571-49E3-8895-F52862B7FE05}"/>
    <cellStyle name="Normal 2 3 3 2 2 5 2 6" xfId="19008" xr:uid="{D6E2C1C8-3ED0-4807-BE38-356C5A72ED71}"/>
    <cellStyle name="Normal 2 3 3 2 2 5 2 7" xfId="19009" xr:uid="{DFE5CDC6-0581-4E1E-B8A1-89DD505FEE0F}"/>
    <cellStyle name="Normal 2 3 3 2 2 5 2 8" xfId="19010" xr:uid="{90B94B94-728B-47D5-A688-BC0CE277F369}"/>
    <cellStyle name="Normal 2 3 3 2 2 5 2 9" xfId="19011" xr:uid="{01F1BD47-A867-4D18-9B33-270C458745C3}"/>
    <cellStyle name="Normal 2 3 3 2 2 5 3" xfId="19012" xr:uid="{04B5EE09-248C-41F5-B45D-09266E816030}"/>
    <cellStyle name="Normal 2 3 3 2 2 5 3 2" xfId="19013" xr:uid="{D76D197A-15EA-4EDC-B376-65B650709734}"/>
    <cellStyle name="Normal 2 3 3 2 2 5 3 2 2" xfId="19014" xr:uid="{0DC3327C-9F5E-400C-BE1D-BBE0719D12F7}"/>
    <cellStyle name="Normal 2 3 3 2 2 5 3 2 3" xfId="19015" xr:uid="{DC300E82-C858-4987-89A7-00904A3496B3}"/>
    <cellStyle name="Normal 2 3 3 2 2 5 3 2 4" xfId="19016" xr:uid="{44766979-F2D5-4D33-BE87-40DD56331090}"/>
    <cellStyle name="Normal 2 3 3 2 2 5 3 2 5" xfId="19017" xr:uid="{62DF7211-DB75-4938-8E0F-FA369B16D24C}"/>
    <cellStyle name="Normal 2 3 3 2 2 5 3 2 6" xfId="19018" xr:uid="{283A1AA8-6CB2-444E-8850-8508D3F0999F}"/>
    <cellStyle name="Normal 2 3 3 2 2 5 3 3" xfId="19019" xr:uid="{E182787E-ED5A-4DFF-8709-321FC684654C}"/>
    <cellStyle name="Normal 2 3 3 2 2 5 3 4" xfId="19020" xr:uid="{1A6F9782-FE29-4004-9642-7368AFAC05BB}"/>
    <cellStyle name="Normal 2 3 3 2 2 5 3 5" xfId="19021" xr:uid="{511EDF68-3785-4F98-BC57-A6EF4BF190B0}"/>
    <cellStyle name="Normal 2 3 3 2 2 5 3 6" xfId="19022" xr:uid="{424D8CDA-9619-4D8E-997D-A55ACADE8CDA}"/>
    <cellStyle name="Normal 2 3 3 2 2 5 4" xfId="19023" xr:uid="{2424A500-D84A-41C1-B98F-8ACA00294565}"/>
    <cellStyle name="Normal 2 3 3 2 2 5 5" xfId="19024" xr:uid="{30C0627A-F9AC-45C8-84F8-7B7EB073E702}"/>
    <cellStyle name="Normal 2 3 3 2 2 5 6" xfId="19025" xr:uid="{1F92C414-1D69-4297-A6E9-A2BCD096552A}"/>
    <cellStyle name="Normal 2 3 3 2 2 5 7" xfId="19026" xr:uid="{ED77DE2F-9DE8-490D-862D-C06273A26D5C}"/>
    <cellStyle name="Normal 2 3 3 2 2 5 8" xfId="19027" xr:uid="{B521076E-B28E-4F56-A78B-C210E58AE7BD}"/>
    <cellStyle name="Normal 2 3 3 2 2 5 9" xfId="19028" xr:uid="{F6959417-8ACD-43F9-ACAB-F5679F552DC2}"/>
    <cellStyle name="Normal 2 3 3 2 2 6" xfId="19029" xr:uid="{1F72B5F9-8C2E-46A3-8F3C-55DB95CAB172}"/>
    <cellStyle name="Normal 2 3 3 2 2 7" xfId="19030" xr:uid="{0D6A6054-2E0B-447F-9A05-2E175047CD1B}"/>
    <cellStyle name="Normal 2 3 3 2 2 8" xfId="19031" xr:uid="{E5965A23-E347-4F3D-BDCD-2D205114CEAE}"/>
    <cellStyle name="Normal 2 3 3 2 2 8 2" xfId="19032" xr:uid="{61649D8D-5D42-4E36-8417-C201A708C74F}"/>
    <cellStyle name="Normal 2 3 3 2 2 8 2 2" xfId="19033" xr:uid="{886082A3-6B1A-4FBA-86EF-18088CA50B8D}"/>
    <cellStyle name="Normal 2 3 3 2 2 8 2 3" xfId="19034" xr:uid="{B9424D71-9191-4DD6-AE64-35CAEC2A3104}"/>
    <cellStyle name="Normal 2 3 3 2 2 8 2 4" xfId="19035" xr:uid="{C10B99E9-8EA3-4DE5-B39E-FAEE4860E2AA}"/>
    <cellStyle name="Normal 2 3 3 2 2 8 2 5" xfId="19036" xr:uid="{E6B7663A-FBFD-42D6-A10C-1C0AF2B5DFD7}"/>
    <cellStyle name="Normal 2 3 3 2 2 8 2 6" xfId="19037" xr:uid="{38791239-3C8A-4A37-BD80-9CD9FB9E31F6}"/>
    <cellStyle name="Normal 2 3 3 2 2 8 3" xfId="19038" xr:uid="{17CCD77A-C858-449B-9448-9908055163C5}"/>
    <cellStyle name="Normal 2 3 3 2 2 8 4" xfId="19039" xr:uid="{1A5A3257-53F7-4940-AF8C-C1E6BD8065CC}"/>
    <cellStyle name="Normal 2 3 3 2 2 8 5" xfId="19040" xr:uid="{39357886-727D-47E8-A38E-3B4C1AAB47EB}"/>
    <cellStyle name="Normal 2 3 3 2 2 8 6" xfId="19041" xr:uid="{DDEE14A6-3E72-45A0-B125-26DFD0928E55}"/>
    <cellStyle name="Normal 2 3 3 2 2 9" xfId="19042" xr:uid="{264E83F3-3DE4-4870-8325-4109E0373778}"/>
    <cellStyle name="Normal 2 3 3 2 3" xfId="19043" xr:uid="{A41ABF1E-F9DF-4545-AB2B-86575207AF81}"/>
    <cellStyle name="Normal 2 3 3 2 4" xfId="19044" xr:uid="{E33D3B9C-FAE3-468B-A14F-901EA8A5A2D5}"/>
    <cellStyle name="Normal 2 3 3 2 5" xfId="19045" xr:uid="{9B33D124-9B66-4DFD-BCB2-652176988D58}"/>
    <cellStyle name="Normal 2 3 3 2 5 10" xfId="19046" xr:uid="{551EA221-BF04-4283-89AE-B6410C96D3FE}"/>
    <cellStyle name="Normal 2 3 3 2 5 11" xfId="19047" xr:uid="{261E4DB7-F685-4DE5-9B9B-D24F663E3717}"/>
    <cellStyle name="Normal 2 3 3 2 5 12" xfId="19048" xr:uid="{56861E69-A5E4-4A39-BAAE-5D8B2A7269E8}"/>
    <cellStyle name="Normal 2 3 3 2 5 2" xfId="19049" xr:uid="{7DF1AA34-B66C-45F0-8AE3-51B3AD3F36C3}"/>
    <cellStyle name="Normal 2 3 3 2 5 2 10" xfId="19050" xr:uid="{21846100-CE28-4404-B21E-E42B938B225E}"/>
    <cellStyle name="Normal 2 3 3 2 5 2 11" xfId="19051" xr:uid="{914CA235-1976-4C29-9843-AF137D8F1AF7}"/>
    <cellStyle name="Normal 2 3 3 2 5 2 12" xfId="19052" xr:uid="{5FE71B7F-0D51-47FF-967E-74AF5B3C7F31}"/>
    <cellStyle name="Normal 2 3 3 2 5 2 2" xfId="19053" xr:uid="{AECEB1C9-47CA-465B-B067-C2A6DD927EE6}"/>
    <cellStyle name="Normal 2 3 3 2 5 2 2 2" xfId="19054" xr:uid="{A7C6440F-F6E8-454B-A194-3DAD6BDC1A54}"/>
    <cellStyle name="Normal 2 3 3 2 5 2 2 2 2" xfId="19055" xr:uid="{1E2E36FD-991E-419B-ACED-68C5E30E3AF8}"/>
    <cellStyle name="Normal 2 3 3 2 5 2 2 2 2 2" xfId="19056" xr:uid="{538101B1-42B3-4019-BEA5-B52DC5EC2247}"/>
    <cellStyle name="Normal 2 3 3 2 5 2 2 2 2 2 2" xfId="19057" xr:uid="{1452FC4C-961C-40E1-B702-890EDCC56D3A}"/>
    <cellStyle name="Normal 2 3 3 2 5 2 2 2 2 2 3" xfId="19058" xr:uid="{C5543FD9-8B1C-4E98-82F7-17DC040C5A6E}"/>
    <cellStyle name="Normal 2 3 3 2 5 2 2 2 2 2 4" xfId="19059" xr:uid="{1095B0D4-B55E-45F5-AEE7-B42AEDBB897C}"/>
    <cellStyle name="Normal 2 3 3 2 5 2 2 2 2 2 5" xfId="19060" xr:uid="{86840EDE-19CD-4C4B-9FA8-F4D8444AD718}"/>
    <cellStyle name="Normal 2 3 3 2 5 2 2 2 2 2 6" xfId="19061" xr:uid="{E67CD81C-1001-4A54-A87C-250008091139}"/>
    <cellStyle name="Normal 2 3 3 2 5 2 2 2 2 3" xfId="19062" xr:uid="{E001E649-7513-414C-8689-888B63DAB31D}"/>
    <cellStyle name="Normal 2 3 3 2 5 2 2 2 2 4" xfId="19063" xr:uid="{91923887-83DE-4B70-803E-9D753A8B65D3}"/>
    <cellStyle name="Normal 2 3 3 2 5 2 2 2 2 5" xfId="19064" xr:uid="{BB33EF05-189E-41FB-82DE-12DF2A98039D}"/>
    <cellStyle name="Normal 2 3 3 2 5 2 2 2 2 6" xfId="19065" xr:uid="{844C28D4-945B-49F8-B09D-6E7833523907}"/>
    <cellStyle name="Normal 2 3 3 2 5 2 2 2 3" xfId="19066" xr:uid="{4CBD18F7-5828-48FD-B5EF-E53CC21D4E97}"/>
    <cellStyle name="Normal 2 3 3 2 5 2 2 2 4" xfId="19067" xr:uid="{EF9CFB11-F15F-4102-AC05-AA8DD0DC6240}"/>
    <cellStyle name="Normal 2 3 3 2 5 2 2 2 5" xfId="19068" xr:uid="{95CAAD05-7D03-421C-AF09-31A2C035B50A}"/>
    <cellStyle name="Normal 2 3 3 2 5 2 2 2 6" xfId="19069" xr:uid="{AC655F3D-D747-4CF5-B1F2-747046330762}"/>
    <cellStyle name="Normal 2 3 3 2 5 2 2 2 7" xfId="19070" xr:uid="{4D976691-E675-4E5C-97BA-62AD4974A2E1}"/>
    <cellStyle name="Normal 2 3 3 2 5 2 2 2 8" xfId="19071" xr:uid="{4882ACF6-0357-4305-A44C-745B44D5C577}"/>
    <cellStyle name="Normal 2 3 3 2 5 2 2 2 9" xfId="19072" xr:uid="{D092BEB5-C9F6-4550-ABC7-C01690C9CE25}"/>
    <cellStyle name="Normal 2 3 3 2 5 2 2 3" xfId="19073" xr:uid="{2773353E-DF67-4ABD-A9EE-3BB5094204EB}"/>
    <cellStyle name="Normal 2 3 3 2 5 2 2 3 2" xfId="19074" xr:uid="{A46B707E-25CB-4DF4-90A0-397B77B00F11}"/>
    <cellStyle name="Normal 2 3 3 2 5 2 2 3 2 2" xfId="19075" xr:uid="{8404DE08-1249-438F-A28F-F1190D8FF369}"/>
    <cellStyle name="Normal 2 3 3 2 5 2 2 3 2 3" xfId="19076" xr:uid="{30625A1A-CAF1-4E42-ADC9-F431D0EDDA97}"/>
    <cellStyle name="Normal 2 3 3 2 5 2 2 3 2 4" xfId="19077" xr:uid="{D7BF518D-CC66-45C1-8FB1-68C6B97FFE0F}"/>
    <cellStyle name="Normal 2 3 3 2 5 2 2 3 2 5" xfId="19078" xr:uid="{543813B2-B524-4F55-A743-48405B4B45E6}"/>
    <cellStyle name="Normal 2 3 3 2 5 2 2 3 2 6" xfId="19079" xr:uid="{8D45356E-8BA2-42A3-9111-4C1F45AF0521}"/>
    <cellStyle name="Normal 2 3 3 2 5 2 2 3 3" xfId="19080" xr:uid="{1531B790-F7BE-48AB-AC1A-39738AB942C5}"/>
    <cellStyle name="Normal 2 3 3 2 5 2 2 3 4" xfId="19081" xr:uid="{800D8A6A-F155-4AEF-88CD-42389A295803}"/>
    <cellStyle name="Normal 2 3 3 2 5 2 2 3 5" xfId="19082" xr:uid="{C90D2C60-A08F-430E-AB89-707427E09F33}"/>
    <cellStyle name="Normal 2 3 3 2 5 2 2 3 6" xfId="19083" xr:uid="{AD77F731-28EC-4B69-A68C-114BAEE92B67}"/>
    <cellStyle name="Normal 2 3 3 2 5 2 2 4" xfId="19084" xr:uid="{3F0C63D6-E4ED-4E5C-B5B1-A5962F57C670}"/>
    <cellStyle name="Normal 2 3 3 2 5 2 2 5" xfId="19085" xr:uid="{D8533954-1BED-46B6-84A8-1BB4FF1F7620}"/>
    <cellStyle name="Normal 2 3 3 2 5 2 2 6" xfId="19086" xr:uid="{2935641B-D216-462E-A84E-2C3DFE9B7581}"/>
    <cellStyle name="Normal 2 3 3 2 5 2 2 7" xfId="19087" xr:uid="{25B7B679-7666-44CB-BB0D-29D511A2F709}"/>
    <cellStyle name="Normal 2 3 3 2 5 2 2 8" xfId="19088" xr:uid="{EEF75F30-15D4-48F3-88A5-183046510743}"/>
    <cellStyle name="Normal 2 3 3 2 5 2 2 9" xfId="19089" xr:uid="{2DDDA022-5A3F-4501-9B0C-B1C674598A2A}"/>
    <cellStyle name="Normal 2 3 3 2 5 2 3" xfId="19090" xr:uid="{F61A38BA-E599-4946-A938-6EEF1D33835C}"/>
    <cellStyle name="Normal 2 3 3 2 5 2 4" xfId="19091" xr:uid="{0E5724DA-F051-4396-9FD3-47402AAD543A}"/>
    <cellStyle name="Normal 2 3 3 2 5 2 5" xfId="19092" xr:uid="{EB1DD252-BD68-4A1F-A89D-A6D3EEE06680}"/>
    <cellStyle name="Normal 2 3 3 2 5 2 5 2" xfId="19093" xr:uid="{C1CD0764-3619-4601-99ED-7953D028A8F1}"/>
    <cellStyle name="Normal 2 3 3 2 5 2 5 2 2" xfId="19094" xr:uid="{0AE30344-BB8E-481F-B7CE-67B80AD2459F}"/>
    <cellStyle name="Normal 2 3 3 2 5 2 5 2 3" xfId="19095" xr:uid="{7AA7CD80-3043-459F-93CE-F13B9CA1EA6C}"/>
    <cellStyle name="Normal 2 3 3 2 5 2 5 2 4" xfId="19096" xr:uid="{6B1ECC80-83DA-4642-ADCC-856072A3560A}"/>
    <cellStyle name="Normal 2 3 3 2 5 2 5 2 5" xfId="19097" xr:uid="{4BFC2C56-9188-4F4B-9501-09940B655A7A}"/>
    <cellStyle name="Normal 2 3 3 2 5 2 5 2 6" xfId="19098" xr:uid="{9AC62673-AFF6-4D8F-ACB6-DAC90481362E}"/>
    <cellStyle name="Normal 2 3 3 2 5 2 5 3" xfId="19099" xr:uid="{C98CFA10-000B-4A1D-9E4A-F7DEECEA6EBC}"/>
    <cellStyle name="Normal 2 3 3 2 5 2 5 4" xfId="19100" xr:uid="{9917B747-2B81-472A-9F5D-6D20561F5C5B}"/>
    <cellStyle name="Normal 2 3 3 2 5 2 5 5" xfId="19101" xr:uid="{41724EA8-9923-4B7A-B1AF-3936D79E5033}"/>
    <cellStyle name="Normal 2 3 3 2 5 2 5 6" xfId="19102" xr:uid="{ABBFE2FD-6331-40B3-85F1-AC221B4BE3FD}"/>
    <cellStyle name="Normal 2 3 3 2 5 2 6" xfId="19103" xr:uid="{B4CCDF3D-A64A-4DAD-9AA6-55D075831136}"/>
    <cellStyle name="Normal 2 3 3 2 5 2 7" xfId="19104" xr:uid="{50C2D1AA-6C58-4566-932F-906F281651B6}"/>
    <cellStyle name="Normal 2 3 3 2 5 2 8" xfId="19105" xr:uid="{033743DD-42A9-48CC-83B3-02117B297674}"/>
    <cellStyle name="Normal 2 3 3 2 5 2 9" xfId="19106" xr:uid="{DECC40DF-AAF3-444E-8E45-3A40382F2CAB}"/>
    <cellStyle name="Normal 2 3 3 2 5 3" xfId="19107" xr:uid="{78489BE4-AE29-49DB-93AE-9256F3317774}"/>
    <cellStyle name="Normal 2 3 3 2 5 3 2" xfId="19108" xr:uid="{79D3E7B2-1F6C-4363-B895-A9ABA157190E}"/>
    <cellStyle name="Normal 2 3 3 2 5 3 2 2" xfId="19109" xr:uid="{86A00719-BAFE-4ADC-AAE1-5D5E30A31FC3}"/>
    <cellStyle name="Normal 2 3 3 2 5 3 2 2 2" xfId="19110" xr:uid="{095003A4-670D-4988-A304-E38077F3DB03}"/>
    <cellStyle name="Normal 2 3 3 2 5 3 2 2 2 2" xfId="19111" xr:uid="{AB9A3D0F-36CE-48F9-86CE-088A3C0CA976}"/>
    <cellStyle name="Normal 2 3 3 2 5 3 2 2 2 3" xfId="19112" xr:uid="{2259BA99-DBA3-42B0-AF4C-F7296F18946C}"/>
    <cellStyle name="Normal 2 3 3 2 5 3 2 2 2 4" xfId="19113" xr:uid="{EF8F49F1-39A1-4F81-B7E8-47042346DE7C}"/>
    <cellStyle name="Normal 2 3 3 2 5 3 2 2 2 5" xfId="19114" xr:uid="{49A97545-550C-4A0B-AA95-20E1AD73F570}"/>
    <cellStyle name="Normal 2 3 3 2 5 3 2 2 2 6" xfId="19115" xr:uid="{140A124F-2BB0-4B7B-A877-36749D50868F}"/>
    <cellStyle name="Normal 2 3 3 2 5 3 2 2 3" xfId="19116" xr:uid="{19CECEC9-D567-40A8-864F-726FA7B2A5E9}"/>
    <cellStyle name="Normal 2 3 3 2 5 3 2 2 4" xfId="19117" xr:uid="{44B00A4B-39D9-483B-AC44-88BCB67B7A18}"/>
    <cellStyle name="Normal 2 3 3 2 5 3 2 2 5" xfId="19118" xr:uid="{3114159B-EDF8-4CF6-8CD1-6AF13957F085}"/>
    <cellStyle name="Normal 2 3 3 2 5 3 2 2 6" xfId="19119" xr:uid="{59177FD8-E9E6-4ADE-B37D-B3C8B8F37560}"/>
    <cellStyle name="Normal 2 3 3 2 5 3 2 3" xfId="19120" xr:uid="{D4B8E1CB-845B-41E8-AEED-4E2F075C02D0}"/>
    <cellStyle name="Normal 2 3 3 2 5 3 2 4" xfId="19121" xr:uid="{8E65799E-BE28-4179-8027-A46F8E676AFD}"/>
    <cellStyle name="Normal 2 3 3 2 5 3 2 5" xfId="19122" xr:uid="{CF97FEBA-2BCD-41EB-9864-5E88953EC884}"/>
    <cellStyle name="Normal 2 3 3 2 5 3 2 6" xfId="19123" xr:uid="{F80C4964-FDC9-45AB-A621-35A9B66D8BAE}"/>
    <cellStyle name="Normal 2 3 3 2 5 3 2 7" xfId="19124" xr:uid="{272F116A-E5E4-4DF7-B659-33271212FAA9}"/>
    <cellStyle name="Normal 2 3 3 2 5 3 2 8" xfId="19125" xr:uid="{FABD87A0-C728-4E4A-9998-1871D2682698}"/>
    <cellStyle name="Normal 2 3 3 2 5 3 2 9" xfId="19126" xr:uid="{A5254846-4636-455E-B8CB-10B2F1083F99}"/>
    <cellStyle name="Normal 2 3 3 2 5 3 3" xfId="19127" xr:uid="{98D2889E-C3D4-4168-B8A3-E0957402801D}"/>
    <cellStyle name="Normal 2 3 3 2 5 3 3 2" xfId="19128" xr:uid="{0DA49529-45F9-4E65-80FA-7D2B9CE7A1BB}"/>
    <cellStyle name="Normal 2 3 3 2 5 3 3 2 2" xfId="19129" xr:uid="{E778ACF4-403E-42D8-92F0-F197C969F909}"/>
    <cellStyle name="Normal 2 3 3 2 5 3 3 2 3" xfId="19130" xr:uid="{8F301A48-86D8-47AB-B0EE-5F9CB67E519E}"/>
    <cellStyle name="Normal 2 3 3 2 5 3 3 2 4" xfId="19131" xr:uid="{BA655574-9F92-4FAF-B285-74082232D15D}"/>
    <cellStyle name="Normal 2 3 3 2 5 3 3 2 5" xfId="19132" xr:uid="{E61D6869-2194-4BEB-838F-7D31D2A6048B}"/>
    <cellStyle name="Normal 2 3 3 2 5 3 3 2 6" xfId="19133" xr:uid="{C65C2198-E1E7-4051-8FA1-6588CADD544F}"/>
    <cellStyle name="Normal 2 3 3 2 5 3 3 3" xfId="19134" xr:uid="{7EF60C5D-96D4-41F8-934F-8A672F03816D}"/>
    <cellStyle name="Normal 2 3 3 2 5 3 3 4" xfId="19135" xr:uid="{61344552-2C18-463A-A40C-CBE29E8D942B}"/>
    <cellStyle name="Normal 2 3 3 2 5 3 3 5" xfId="19136" xr:uid="{0DD6912E-E2C7-4B77-BD47-BD0F80237CA2}"/>
    <cellStyle name="Normal 2 3 3 2 5 3 3 6" xfId="19137" xr:uid="{8C8C1259-1459-4B6F-992C-B3BAE5EC5FBF}"/>
    <cellStyle name="Normal 2 3 3 2 5 3 4" xfId="19138" xr:uid="{8D699BFB-0F2C-44C1-AEFB-6B1F60C16599}"/>
    <cellStyle name="Normal 2 3 3 2 5 3 5" xfId="19139" xr:uid="{D2756113-0F09-43E5-B2C6-224BC054FFD2}"/>
    <cellStyle name="Normal 2 3 3 2 5 3 6" xfId="19140" xr:uid="{03C9547E-28A4-45EC-9360-B9BE3C31F4E4}"/>
    <cellStyle name="Normal 2 3 3 2 5 3 7" xfId="19141" xr:uid="{DEB7B2DD-059E-4E74-8404-0B686E913C1E}"/>
    <cellStyle name="Normal 2 3 3 2 5 3 8" xfId="19142" xr:uid="{2FF93533-6B56-4071-9CC2-917AC8DA6CF6}"/>
    <cellStyle name="Normal 2 3 3 2 5 3 9" xfId="19143" xr:uid="{A1C71D05-8C14-45D5-B320-5B18570B84CA}"/>
    <cellStyle name="Normal 2 3 3 2 5 4" xfId="19144" xr:uid="{BBBDB6BE-692C-4BDB-90AA-E4A9E89FD069}"/>
    <cellStyle name="Normal 2 3 3 2 5 5" xfId="19145" xr:uid="{D8F193BC-27E5-4D12-94C9-8EC76ECED30C}"/>
    <cellStyle name="Normal 2 3 3 2 5 5 2" xfId="19146" xr:uid="{8CF2A2F8-8849-4A71-B046-AEB21ABFC155}"/>
    <cellStyle name="Normal 2 3 3 2 5 5 2 2" xfId="19147" xr:uid="{F97CC4C1-BD80-4229-8E67-952C9159FD00}"/>
    <cellStyle name="Normal 2 3 3 2 5 5 2 3" xfId="19148" xr:uid="{BBBD6042-52A4-4F69-AF56-D3DAEAD70B7B}"/>
    <cellStyle name="Normal 2 3 3 2 5 5 2 4" xfId="19149" xr:uid="{90026A9C-3E25-4DDE-9D28-A915B89AA2E0}"/>
    <cellStyle name="Normal 2 3 3 2 5 5 2 5" xfId="19150" xr:uid="{CD12C055-8D95-4494-BDD8-8A82AB680BFC}"/>
    <cellStyle name="Normal 2 3 3 2 5 5 2 6" xfId="19151" xr:uid="{46E1580F-D6F9-4BF8-A62A-237988D9C887}"/>
    <cellStyle name="Normal 2 3 3 2 5 5 3" xfId="19152" xr:uid="{D9817EC4-1300-47E5-8D5E-173F13233021}"/>
    <cellStyle name="Normal 2 3 3 2 5 5 4" xfId="19153" xr:uid="{3ED066C6-B9FB-4DDE-993B-0C929604B5E4}"/>
    <cellStyle name="Normal 2 3 3 2 5 5 5" xfId="19154" xr:uid="{8F83AAC8-5A9D-4692-AA85-E6A26B4C7C5E}"/>
    <cellStyle name="Normal 2 3 3 2 5 5 6" xfId="19155" xr:uid="{9B335AA7-79FE-4DB9-9409-DC0E1CF87214}"/>
    <cellStyle name="Normal 2 3 3 2 5 6" xfId="19156" xr:uid="{B665BCAA-3471-4DA2-80C7-5680F34BCCF2}"/>
    <cellStyle name="Normal 2 3 3 2 5 7" xfId="19157" xr:uid="{DE8FE262-E7AB-46EA-A2AC-C6DC80A3468B}"/>
    <cellStyle name="Normal 2 3 3 2 5 8" xfId="19158" xr:uid="{AE3B4524-DA47-41ED-901B-77991B9F3BE3}"/>
    <cellStyle name="Normal 2 3 3 2 5 9" xfId="19159" xr:uid="{9CD70646-093D-4112-851F-17846540EADE}"/>
    <cellStyle name="Normal 2 3 3 2 6" xfId="19160" xr:uid="{D4740D9A-858F-4B4A-B004-DE76EAF3DB58}"/>
    <cellStyle name="Normal 2 3 3 2 7" xfId="19161" xr:uid="{2D26A000-F467-406E-BF95-D27F65643B2C}"/>
    <cellStyle name="Normal 2 3 3 2 8" xfId="19162" xr:uid="{C5560C3D-5ECF-4645-81A6-F16361DFACD8}"/>
    <cellStyle name="Normal 2 3 3 2 8 2" xfId="19163" xr:uid="{F73A2236-13F6-436D-AF76-BBA5F32D7A2A}"/>
    <cellStyle name="Normal 2 3 3 2 8 2 2" xfId="19164" xr:uid="{FADFE5F0-0AD5-4C13-83B1-57B846BE13CB}"/>
    <cellStyle name="Normal 2 3 3 2 8 2 2 2" xfId="19165" xr:uid="{377D218C-2029-4733-8F08-8C1D6E72CA03}"/>
    <cellStyle name="Normal 2 3 3 2 8 2 2 2 2" xfId="19166" xr:uid="{5DF01C05-998E-4951-AD93-B69583B55D53}"/>
    <cellStyle name="Normal 2 3 3 2 8 2 2 2 3" xfId="19167" xr:uid="{34571FA0-C7B6-49F5-A512-C359AA2358B1}"/>
    <cellStyle name="Normal 2 3 3 2 8 2 2 2 4" xfId="19168" xr:uid="{8FCCCF02-3042-493B-A3A0-9E5D9BA7E215}"/>
    <cellStyle name="Normal 2 3 3 2 8 2 2 2 5" xfId="19169" xr:uid="{3078C2B3-ACD7-4B89-9FD4-10163832A83E}"/>
    <cellStyle name="Normal 2 3 3 2 8 2 2 2 6" xfId="19170" xr:uid="{4890748B-B67D-496D-AB08-FC24CEAD8C9C}"/>
    <cellStyle name="Normal 2 3 3 2 8 2 2 3" xfId="19171" xr:uid="{15197160-1A5E-443F-891A-6B18E124FDFA}"/>
    <cellStyle name="Normal 2 3 3 2 8 2 2 4" xfId="19172" xr:uid="{DF9EF13E-57EF-4F2F-9A20-BF0331A54E59}"/>
    <cellStyle name="Normal 2 3 3 2 8 2 2 5" xfId="19173" xr:uid="{FC9D9435-267A-43A6-BE65-6AFE136CE66E}"/>
    <cellStyle name="Normal 2 3 3 2 8 2 2 6" xfId="19174" xr:uid="{EF5560EC-5FD6-4059-9D48-6DF1731A1126}"/>
    <cellStyle name="Normal 2 3 3 2 8 2 3" xfId="19175" xr:uid="{7AD89279-F9A7-4A94-B765-02318A747B74}"/>
    <cellStyle name="Normal 2 3 3 2 8 2 4" xfId="19176" xr:uid="{EB5471DA-9EEC-4493-B7E2-CC03792E2A03}"/>
    <cellStyle name="Normal 2 3 3 2 8 2 5" xfId="19177" xr:uid="{920C7340-6E38-41E2-8D1C-89A6A046F996}"/>
    <cellStyle name="Normal 2 3 3 2 8 2 6" xfId="19178" xr:uid="{28CD74D1-5373-4326-BB90-E6FF9D42FBBF}"/>
    <cellStyle name="Normal 2 3 3 2 8 2 7" xfId="19179" xr:uid="{76F5EBAC-E0C8-4914-AFD7-2CAA38860756}"/>
    <cellStyle name="Normal 2 3 3 2 8 2 8" xfId="19180" xr:uid="{B8D2B3CB-834F-483A-850B-015913D0A04C}"/>
    <cellStyle name="Normal 2 3 3 2 8 2 9" xfId="19181" xr:uid="{80C07DB8-FE23-4F60-A26D-0BE2C265A79F}"/>
    <cellStyle name="Normal 2 3 3 2 8 3" xfId="19182" xr:uid="{C4B45BBB-C128-4A33-9E3D-D206CD0EC557}"/>
    <cellStyle name="Normal 2 3 3 2 8 3 2" xfId="19183" xr:uid="{B332481F-58D3-4273-BD1A-F229866BC822}"/>
    <cellStyle name="Normal 2 3 3 2 8 3 2 2" xfId="19184" xr:uid="{9A767599-AA79-4132-A241-14EAA6F13A0A}"/>
    <cellStyle name="Normal 2 3 3 2 8 3 2 3" xfId="19185" xr:uid="{83C13A62-B6DA-4835-B952-21E5E3D4A78B}"/>
    <cellStyle name="Normal 2 3 3 2 8 3 2 4" xfId="19186" xr:uid="{8BA77F39-8270-4822-B023-678CA09E4849}"/>
    <cellStyle name="Normal 2 3 3 2 8 3 2 5" xfId="19187" xr:uid="{3C03F626-0938-4D9B-9B84-B1E6760BF75E}"/>
    <cellStyle name="Normal 2 3 3 2 8 3 2 6" xfId="19188" xr:uid="{6B296D4A-2170-44F0-8A3A-77676DADE20C}"/>
    <cellStyle name="Normal 2 3 3 2 8 3 3" xfId="19189" xr:uid="{B56DB1B1-E07D-42E2-92AE-82E8818B5DCF}"/>
    <cellStyle name="Normal 2 3 3 2 8 3 4" xfId="19190" xr:uid="{744772C6-B7BF-4E8C-AEAF-BB8FD6BDDB4E}"/>
    <cellStyle name="Normal 2 3 3 2 8 3 5" xfId="19191" xr:uid="{9CB883C4-8A0A-47E4-9465-CD670430661C}"/>
    <cellStyle name="Normal 2 3 3 2 8 3 6" xfId="19192" xr:uid="{C20CCF3F-3133-4712-96BA-E8612AA5D4F7}"/>
    <cellStyle name="Normal 2 3 3 2 8 4" xfId="19193" xr:uid="{A74998ED-05F2-4F20-9AEA-67911FB55010}"/>
    <cellStyle name="Normal 2 3 3 2 8 5" xfId="19194" xr:uid="{C43201BB-5EBD-4EB0-A747-C6AD3F7A38E1}"/>
    <cellStyle name="Normal 2 3 3 2 8 6" xfId="19195" xr:uid="{A8ACDE50-8C0C-4ECA-A6A8-543BA65B9FBA}"/>
    <cellStyle name="Normal 2 3 3 2 8 7" xfId="19196" xr:uid="{20F8C6EF-2630-4F82-88FF-98F17ABB0E55}"/>
    <cellStyle name="Normal 2 3 3 2 8 8" xfId="19197" xr:uid="{9E736EC1-02A8-4DC5-9D9F-FF0E444DF198}"/>
    <cellStyle name="Normal 2 3 3 2 8 9" xfId="19198" xr:uid="{38590C54-2E4B-4ABE-BBE3-DC58E7A233E4}"/>
    <cellStyle name="Normal 2 3 3 2 9" xfId="19199" xr:uid="{5058FBC4-8534-47EF-9A0A-931612F7FB43}"/>
    <cellStyle name="Normal 2 3 3 20" xfId="19200" xr:uid="{2C96C9D4-E033-4640-91BD-5BED02F35498}"/>
    <cellStyle name="Normal 2 3 3 21" xfId="19201" xr:uid="{33FBDEFC-1B0B-44D2-A727-A15CCB500521}"/>
    <cellStyle name="Normal 2 3 3 22" xfId="19202" xr:uid="{FF2E99A4-EAAE-40AC-8398-624FCFB67EB6}"/>
    <cellStyle name="Normal 2 3 3 23" xfId="19203" xr:uid="{2C99BD37-14D0-4BB9-BA3E-9B64087AB2C7}"/>
    <cellStyle name="Normal 2 3 3 24" xfId="19204" xr:uid="{0F869D4C-FD1F-4C25-978C-AFB1C31D0B57}"/>
    <cellStyle name="Normal 2 3 3 3" xfId="19205" xr:uid="{11523B4F-5302-4E40-B2FF-DEE720DC903A}"/>
    <cellStyle name="Normal 2 3 3 3 10" xfId="19206" xr:uid="{83FBCEDA-61ED-4EC0-8B9E-6468548615DE}"/>
    <cellStyle name="Normal 2 3 3 3 11" xfId="19207" xr:uid="{F0A1B1CD-BF20-4AA3-9EBF-CB03BE3955F1}"/>
    <cellStyle name="Normal 2 3 3 3 12" xfId="19208" xr:uid="{5C2800AA-1940-447D-8F25-464D45E65CB9}"/>
    <cellStyle name="Normal 2 3 3 3 13" xfId="19209" xr:uid="{90FB9F0D-E079-4E80-8C70-BEB2615B48BE}"/>
    <cellStyle name="Normal 2 3 3 3 14" xfId="19210" xr:uid="{C13D2087-D494-4FAE-B280-854FC9178E23}"/>
    <cellStyle name="Normal 2 3 3 3 15" xfId="19211" xr:uid="{DDADBB9B-B315-43F4-BA28-A7229CE5C9FC}"/>
    <cellStyle name="Normal 2 3 3 3 16" xfId="19212" xr:uid="{A0219A7E-B949-489A-91C8-451D2085C20D}"/>
    <cellStyle name="Normal 2 3 3 3 17" xfId="19213" xr:uid="{FF799F72-B825-4293-BF70-DA531B55E3E3}"/>
    <cellStyle name="Normal 2 3 3 3 18" xfId="19214" xr:uid="{BB650C51-F589-419F-B1E7-26C3A60F52A2}"/>
    <cellStyle name="Normal 2 3 3 3 19" xfId="19215" xr:uid="{7D782609-6181-4D9C-86AB-CE725E73ADF5}"/>
    <cellStyle name="Normal 2 3 3 3 2" xfId="19216" xr:uid="{AAD52F4A-D721-4989-BD38-2582311A1D48}"/>
    <cellStyle name="Normal 2 3 3 3 2 10" xfId="19217" xr:uid="{9039B0CF-0D60-4E1E-ABA5-35E3A7D59A13}"/>
    <cellStyle name="Normal 2 3 3 3 2 11" xfId="19218" xr:uid="{44F7ACBC-84F9-4953-9DCA-E0F7940F25DD}"/>
    <cellStyle name="Normal 2 3 3 3 2 12" xfId="19219" xr:uid="{5D33491B-850D-451B-ADDE-FC01A0EA9102}"/>
    <cellStyle name="Normal 2 3 3 3 2 13" xfId="19220" xr:uid="{A49C75A5-5CD5-4D0B-A52F-251E9DCE0456}"/>
    <cellStyle name="Normal 2 3 3 3 2 14" xfId="19221" xr:uid="{6141B381-04BD-4D44-8F52-ACECF39BA1B8}"/>
    <cellStyle name="Normal 2 3 3 3 2 15" xfId="19222" xr:uid="{27A08863-5B4D-4B8C-9342-63DDD76CA34E}"/>
    <cellStyle name="Normal 2 3 3 3 2 2" xfId="19223" xr:uid="{F4C975D2-D4DD-4377-B100-01C072E48FBC}"/>
    <cellStyle name="Normal 2 3 3 3 2 2 10" xfId="19224" xr:uid="{11BA3085-FF8E-4C90-A108-F8A9A0E2C35F}"/>
    <cellStyle name="Normal 2 3 3 3 2 2 11" xfId="19225" xr:uid="{C9542CDD-A12E-4457-9F20-870A0E44D476}"/>
    <cellStyle name="Normal 2 3 3 3 2 2 12" xfId="19226" xr:uid="{6BE002B2-F9DC-4898-8FFE-769A8C464389}"/>
    <cellStyle name="Normal 2 3 3 3 2 2 2" xfId="19227" xr:uid="{5EDEDF7C-7AD3-4D73-8260-9E0BFF079CE8}"/>
    <cellStyle name="Normal 2 3 3 3 2 2 2 10" xfId="19228" xr:uid="{3DB51E9E-FFBB-4E1E-B37B-7BE9569B283A}"/>
    <cellStyle name="Normal 2 3 3 3 2 2 2 11" xfId="19229" xr:uid="{C8FB6EE0-7D10-45DA-8F4F-88A157AEA4B2}"/>
    <cellStyle name="Normal 2 3 3 3 2 2 2 12" xfId="19230" xr:uid="{41F87BFA-6925-4361-AAC0-ABF5E718396F}"/>
    <cellStyle name="Normal 2 3 3 3 2 2 2 2" xfId="19231" xr:uid="{B7A337B5-1FD6-4EA2-BADD-81DD9BD1455C}"/>
    <cellStyle name="Normal 2 3 3 3 2 2 2 2 2" xfId="19232" xr:uid="{1580B029-7762-45AC-92CD-49F5F97D7121}"/>
    <cellStyle name="Normal 2 3 3 3 2 2 2 2 2 2" xfId="19233" xr:uid="{69E42215-2E62-460E-83FF-8AD6ED9E6DEA}"/>
    <cellStyle name="Normal 2 3 3 3 2 2 2 2 2 2 2" xfId="19234" xr:uid="{4AF8F589-A2C9-42A5-9A77-0417516AA444}"/>
    <cellStyle name="Normal 2 3 3 3 2 2 2 2 2 2 2 2" xfId="19235" xr:uid="{3D3DE66E-8157-4E75-95D1-7DD9B2633D58}"/>
    <cellStyle name="Normal 2 3 3 3 2 2 2 2 2 2 2 3" xfId="19236" xr:uid="{26A19A8A-B584-4076-B8F0-9EEAD1FF5129}"/>
    <cellStyle name="Normal 2 3 3 3 2 2 2 2 2 2 2 4" xfId="19237" xr:uid="{801466B5-10E8-4039-8B39-D2AD28D56F93}"/>
    <cellStyle name="Normal 2 3 3 3 2 2 2 2 2 2 2 5" xfId="19238" xr:uid="{F99C442C-8F85-4225-BFC1-CFEF1D6BE7F4}"/>
    <cellStyle name="Normal 2 3 3 3 2 2 2 2 2 2 2 6" xfId="19239" xr:uid="{9D1C14A1-32B9-4CFF-91D1-AAA73ECC5A8D}"/>
    <cellStyle name="Normal 2 3 3 3 2 2 2 2 2 2 3" xfId="19240" xr:uid="{D2585ED5-E533-4DA5-AD0D-BF31CE611132}"/>
    <cellStyle name="Normal 2 3 3 3 2 2 2 2 2 2 4" xfId="19241" xr:uid="{F8AF9B90-4A85-4C9F-8D0D-F492BAA3F854}"/>
    <cellStyle name="Normal 2 3 3 3 2 2 2 2 2 2 5" xfId="19242" xr:uid="{D3380964-452E-4086-99DC-DA9B27A931E4}"/>
    <cellStyle name="Normal 2 3 3 3 2 2 2 2 2 2 6" xfId="19243" xr:uid="{77C92BBB-282B-4A13-8633-9E8BC8FD8D3C}"/>
    <cellStyle name="Normal 2 3 3 3 2 2 2 2 2 3" xfId="19244" xr:uid="{3F457C9E-A6A8-4CCF-A183-96C922B847E3}"/>
    <cellStyle name="Normal 2 3 3 3 2 2 2 2 2 4" xfId="19245" xr:uid="{7BD7B59C-3CE6-4FBB-8B9C-6B7B9F015DF6}"/>
    <cellStyle name="Normal 2 3 3 3 2 2 2 2 2 5" xfId="19246" xr:uid="{5473B870-A112-4210-83A7-E5BE23D6D3F2}"/>
    <cellStyle name="Normal 2 3 3 3 2 2 2 2 2 6" xfId="19247" xr:uid="{3BB58EF5-925F-42F0-A32A-02456064F28D}"/>
    <cellStyle name="Normal 2 3 3 3 2 2 2 2 2 7" xfId="19248" xr:uid="{843C66F2-F43E-402A-B129-A40D4EFE769A}"/>
    <cellStyle name="Normal 2 3 3 3 2 2 2 2 2 8" xfId="19249" xr:uid="{B24AB9EF-C3AE-4809-9AE5-BE74337492F7}"/>
    <cellStyle name="Normal 2 3 3 3 2 2 2 2 2 9" xfId="19250" xr:uid="{E7FF52C4-AC1A-4E1A-9457-D2EEA5843E88}"/>
    <cellStyle name="Normal 2 3 3 3 2 2 2 2 3" xfId="19251" xr:uid="{BF10EB64-4C73-4039-8591-1BBCB45FD701}"/>
    <cellStyle name="Normal 2 3 3 3 2 2 2 2 3 2" xfId="19252" xr:uid="{C2765B72-F514-4867-8BC4-BBDE67830D17}"/>
    <cellStyle name="Normal 2 3 3 3 2 2 2 2 3 2 2" xfId="19253" xr:uid="{5E6C5FC0-5D18-42B2-A770-C1DB4751D45C}"/>
    <cellStyle name="Normal 2 3 3 3 2 2 2 2 3 2 3" xfId="19254" xr:uid="{84237D59-1822-4A65-B548-995789762C73}"/>
    <cellStyle name="Normal 2 3 3 3 2 2 2 2 3 2 4" xfId="19255" xr:uid="{DF7B9D89-B344-4BCB-8541-33F18DBDF469}"/>
    <cellStyle name="Normal 2 3 3 3 2 2 2 2 3 2 5" xfId="19256" xr:uid="{DCBE7AEE-043F-4C6F-BD8D-19C23E06EA8E}"/>
    <cellStyle name="Normal 2 3 3 3 2 2 2 2 3 2 6" xfId="19257" xr:uid="{46C5E488-8DFA-422F-B1A0-119DECE3E783}"/>
    <cellStyle name="Normal 2 3 3 3 2 2 2 2 3 3" xfId="19258" xr:uid="{837B9DED-480B-4C2C-BF20-DD8FEF8DF339}"/>
    <cellStyle name="Normal 2 3 3 3 2 2 2 2 3 4" xfId="19259" xr:uid="{450A32F6-762C-4A8A-A3AA-B770AD6B492C}"/>
    <cellStyle name="Normal 2 3 3 3 2 2 2 2 3 5" xfId="19260" xr:uid="{C2018F16-4661-438A-BA99-F74DAB7852EE}"/>
    <cellStyle name="Normal 2 3 3 3 2 2 2 2 3 6" xfId="19261" xr:uid="{09C7F57B-C143-4ED0-9244-F24D4493FE2A}"/>
    <cellStyle name="Normal 2 3 3 3 2 2 2 2 4" xfId="19262" xr:uid="{70146798-CF26-454B-9174-634BD432721E}"/>
    <cellStyle name="Normal 2 3 3 3 2 2 2 2 5" xfId="19263" xr:uid="{21F1BD56-D46A-479C-AD55-E1E770EDA50B}"/>
    <cellStyle name="Normal 2 3 3 3 2 2 2 2 6" xfId="19264" xr:uid="{7731FCC2-C90A-4D4A-9998-ED3E031132D6}"/>
    <cellStyle name="Normal 2 3 3 3 2 2 2 2 7" xfId="19265" xr:uid="{FD22F792-E066-4D47-BE68-3C8E54005F42}"/>
    <cellStyle name="Normal 2 3 3 3 2 2 2 2 8" xfId="19266" xr:uid="{C0CDEE6C-9C2E-4296-BBA5-DEBC9D06E067}"/>
    <cellStyle name="Normal 2 3 3 3 2 2 2 2 9" xfId="19267" xr:uid="{E07269B7-DE88-469D-BA33-FE25DAF0EB45}"/>
    <cellStyle name="Normal 2 3 3 3 2 2 2 3" xfId="19268" xr:uid="{C1A579B6-1C85-462B-872A-8FBA43A5E728}"/>
    <cellStyle name="Normal 2 3 3 3 2 2 2 4" xfId="19269" xr:uid="{370571A8-9291-4F86-93FB-560411178642}"/>
    <cellStyle name="Normal 2 3 3 3 2 2 2 5" xfId="19270" xr:uid="{211CC552-8F8D-4835-8976-4578BF14251B}"/>
    <cellStyle name="Normal 2 3 3 3 2 2 2 5 2" xfId="19271" xr:uid="{8464BF14-730D-4DC5-90F3-DCE8AB7CE9BF}"/>
    <cellStyle name="Normal 2 3 3 3 2 2 2 5 2 2" xfId="19272" xr:uid="{B581BEFE-E386-4E88-B189-916F14FDFCFE}"/>
    <cellStyle name="Normal 2 3 3 3 2 2 2 5 2 3" xfId="19273" xr:uid="{7EDD32E7-0FE7-4F0B-BC3E-3F3277C87619}"/>
    <cellStyle name="Normal 2 3 3 3 2 2 2 5 2 4" xfId="19274" xr:uid="{F2C37CF1-024D-4FCB-ADAB-B24EB19C97E5}"/>
    <cellStyle name="Normal 2 3 3 3 2 2 2 5 2 5" xfId="19275" xr:uid="{0352EAE4-B954-4CEE-85B1-243BB2098BF8}"/>
    <cellStyle name="Normal 2 3 3 3 2 2 2 5 2 6" xfId="19276" xr:uid="{62EE5D84-073D-44D1-A790-233C5EC9AC44}"/>
    <cellStyle name="Normal 2 3 3 3 2 2 2 5 3" xfId="19277" xr:uid="{075E5ABE-07BA-4DFD-91A4-2ACFC19ECFC6}"/>
    <cellStyle name="Normal 2 3 3 3 2 2 2 5 4" xfId="19278" xr:uid="{153E5436-1744-4E7A-931C-06E1B107AB1C}"/>
    <cellStyle name="Normal 2 3 3 3 2 2 2 5 5" xfId="19279" xr:uid="{79AF4F80-8933-49A2-9175-BD9AAE7E2360}"/>
    <cellStyle name="Normal 2 3 3 3 2 2 2 5 6" xfId="19280" xr:uid="{F25849F7-66ED-4D35-8671-78BCF0968127}"/>
    <cellStyle name="Normal 2 3 3 3 2 2 2 6" xfId="19281" xr:uid="{3E8A28EF-44B8-4BFE-996D-4BCAEAA0694D}"/>
    <cellStyle name="Normal 2 3 3 3 2 2 2 7" xfId="19282" xr:uid="{0E78CE47-6DA9-40AD-B98B-5C5D54799B90}"/>
    <cellStyle name="Normal 2 3 3 3 2 2 2 8" xfId="19283" xr:uid="{2624B3F4-DDC4-48FA-A378-34B88C2EDBAF}"/>
    <cellStyle name="Normal 2 3 3 3 2 2 2 9" xfId="19284" xr:uid="{C0779A40-7ECB-4577-ADBE-A3C2AAC8543D}"/>
    <cellStyle name="Normal 2 3 3 3 2 2 3" xfId="19285" xr:uid="{76CC12C8-CD02-4731-A831-07E32E6A1FBE}"/>
    <cellStyle name="Normal 2 3 3 3 2 2 3 2" xfId="19286" xr:uid="{3FE6B244-B1AE-4D14-8564-8169A7EE6A0F}"/>
    <cellStyle name="Normal 2 3 3 3 2 2 3 2 2" xfId="19287" xr:uid="{3A24501C-0536-4381-B5F7-E37B9A61F438}"/>
    <cellStyle name="Normal 2 3 3 3 2 2 3 2 2 2" xfId="19288" xr:uid="{79F7C308-A37B-493E-A6B5-04BA58FAB8B8}"/>
    <cellStyle name="Normal 2 3 3 3 2 2 3 2 2 2 2" xfId="19289" xr:uid="{A6403A2E-A93C-48F5-8A5F-4AC6E10B2C47}"/>
    <cellStyle name="Normal 2 3 3 3 2 2 3 2 2 2 3" xfId="19290" xr:uid="{571B1590-3E76-4D50-8606-C48A53CF879E}"/>
    <cellStyle name="Normal 2 3 3 3 2 2 3 2 2 2 4" xfId="19291" xr:uid="{5BDE44AD-5FA7-4279-9742-CDDF06A4ED21}"/>
    <cellStyle name="Normal 2 3 3 3 2 2 3 2 2 2 5" xfId="19292" xr:uid="{98B66970-B89C-4076-AF2A-B970740E51F6}"/>
    <cellStyle name="Normal 2 3 3 3 2 2 3 2 2 2 6" xfId="19293" xr:uid="{E8065651-4D1E-4D83-9FB4-198512A9221E}"/>
    <cellStyle name="Normal 2 3 3 3 2 2 3 2 2 3" xfId="19294" xr:uid="{6E204E09-B69D-4266-B1AE-4F165DAFC0A1}"/>
    <cellStyle name="Normal 2 3 3 3 2 2 3 2 2 4" xfId="19295" xr:uid="{72B8A755-2795-4810-BFBF-23D040210548}"/>
    <cellStyle name="Normal 2 3 3 3 2 2 3 2 2 5" xfId="19296" xr:uid="{B1B0B88E-F10C-4CE9-ABDB-D0B5EBCC3CFB}"/>
    <cellStyle name="Normal 2 3 3 3 2 2 3 2 2 6" xfId="19297" xr:uid="{F9982BD4-57DF-4C49-A546-C016E52F6556}"/>
    <cellStyle name="Normal 2 3 3 3 2 2 3 2 3" xfId="19298" xr:uid="{80D597C8-7DBC-40F6-A8E5-E9F0DBD0C783}"/>
    <cellStyle name="Normal 2 3 3 3 2 2 3 2 4" xfId="19299" xr:uid="{3F7C4868-ADF1-46A2-96BA-641240726C6E}"/>
    <cellStyle name="Normal 2 3 3 3 2 2 3 2 5" xfId="19300" xr:uid="{17388B62-EDC1-4E0F-BBBD-9DFBFD3AA11E}"/>
    <cellStyle name="Normal 2 3 3 3 2 2 3 2 6" xfId="19301" xr:uid="{C602CA08-AAE0-49DB-831B-D04B13E15258}"/>
    <cellStyle name="Normal 2 3 3 3 2 2 3 2 7" xfId="19302" xr:uid="{D12D23BE-1469-4865-8F0D-F151C660D00F}"/>
    <cellStyle name="Normal 2 3 3 3 2 2 3 2 8" xfId="19303" xr:uid="{67F07AB7-4674-4C46-A5ED-B1F704D5A181}"/>
    <cellStyle name="Normal 2 3 3 3 2 2 3 2 9" xfId="19304" xr:uid="{B3796670-C27D-4537-BDC6-75BC409F05C1}"/>
    <cellStyle name="Normal 2 3 3 3 2 2 3 3" xfId="19305" xr:uid="{2FBE1CCA-AEA2-423E-A242-812F6B7BD08D}"/>
    <cellStyle name="Normal 2 3 3 3 2 2 3 3 2" xfId="19306" xr:uid="{4C9F5750-BA6B-43C4-84E7-CB31CF8A701D}"/>
    <cellStyle name="Normal 2 3 3 3 2 2 3 3 2 2" xfId="19307" xr:uid="{6A48A286-F2E9-4821-A97D-3F772F510018}"/>
    <cellStyle name="Normal 2 3 3 3 2 2 3 3 2 3" xfId="19308" xr:uid="{582A4142-3B48-4007-A133-0DF5A4CB1819}"/>
    <cellStyle name="Normal 2 3 3 3 2 2 3 3 2 4" xfId="19309" xr:uid="{B233D1C4-EB89-4D71-825D-E22DE60D8CA7}"/>
    <cellStyle name="Normal 2 3 3 3 2 2 3 3 2 5" xfId="19310" xr:uid="{DE7B882B-9050-4788-B024-4AED855C8DAB}"/>
    <cellStyle name="Normal 2 3 3 3 2 2 3 3 2 6" xfId="19311" xr:uid="{98A3F580-1E57-4F71-AEB4-3333CE69DE77}"/>
    <cellStyle name="Normal 2 3 3 3 2 2 3 3 3" xfId="19312" xr:uid="{CF0C9F4F-40A5-4D96-8107-35357F219FD7}"/>
    <cellStyle name="Normal 2 3 3 3 2 2 3 3 4" xfId="19313" xr:uid="{1CCC662D-092B-41BE-8728-3B629CB904BC}"/>
    <cellStyle name="Normal 2 3 3 3 2 2 3 3 5" xfId="19314" xr:uid="{F25BCBAD-2AF3-4E90-BDD5-B26A259A9DFE}"/>
    <cellStyle name="Normal 2 3 3 3 2 2 3 3 6" xfId="19315" xr:uid="{6AD6ED59-05FC-4501-9B00-43C75566B5B2}"/>
    <cellStyle name="Normal 2 3 3 3 2 2 3 4" xfId="19316" xr:uid="{2474A882-6E8F-4C4F-A6CB-C0BDDBE93554}"/>
    <cellStyle name="Normal 2 3 3 3 2 2 3 5" xfId="19317" xr:uid="{CE22FE62-7C2D-4A6F-B373-8D9016E2DAC6}"/>
    <cellStyle name="Normal 2 3 3 3 2 2 3 6" xfId="19318" xr:uid="{DD3A5D41-D028-4D94-B61C-C58B126A7C97}"/>
    <cellStyle name="Normal 2 3 3 3 2 2 3 7" xfId="19319" xr:uid="{8BFAAE66-FDB8-40C8-9E64-31AEFAF3A3E8}"/>
    <cellStyle name="Normal 2 3 3 3 2 2 3 8" xfId="19320" xr:uid="{B0678C2C-F940-43DE-94FE-A9A1DF3E8DBD}"/>
    <cellStyle name="Normal 2 3 3 3 2 2 3 9" xfId="19321" xr:uid="{CE339175-2C36-4AFA-9567-96567E7F654E}"/>
    <cellStyle name="Normal 2 3 3 3 2 2 4" xfId="19322" xr:uid="{69AA6127-C99F-406D-B78D-1DF504B7D12D}"/>
    <cellStyle name="Normal 2 3 3 3 2 2 5" xfId="19323" xr:uid="{824F08C3-6A4E-4017-AEBD-13AB4F2A70EC}"/>
    <cellStyle name="Normal 2 3 3 3 2 2 5 2" xfId="19324" xr:uid="{EBA3C693-16A7-4E39-B96E-382B0256E67E}"/>
    <cellStyle name="Normal 2 3 3 3 2 2 5 2 2" xfId="19325" xr:uid="{6D224B03-54B7-4A37-AEBD-3D1FD77FA31A}"/>
    <cellStyle name="Normal 2 3 3 3 2 2 5 2 3" xfId="19326" xr:uid="{9D1D6CC1-8A01-4FF6-AF42-C5837FEF6A5D}"/>
    <cellStyle name="Normal 2 3 3 3 2 2 5 2 4" xfId="19327" xr:uid="{9E772FF2-963B-42A4-A412-C12E9A1AF9C2}"/>
    <cellStyle name="Normal 2 3 3 3 2 2 5 2 5" xfId="19328" xr:uid="{5ECB60AD-CB4D-4324-BEA8-36EC9159DB1E}"/>
    <cellStyle name="Normal 2 3 3 3 2 2 5 2 6" xfId="19329" xr:uid="{929030AD-48A5-4893-A709-BC0DB1B202C9}"/>
    <cellStyle name="Normal 2 3 3 3 2 2 5 3" xfId="19330" xr:uid="{D10AD9CF-AAC5-4E52-B834-C4B3D320DBA8}"/>
    <cellStyle name="Normal 2 3 3 3 2 2 5 4" xfId="19331" xr:uid="{36428626-DEF6-48D4-A5ED-C1932599A1AB}"/>
    <cellStyle name="Normal 2 3 3 3 2 2 5 5" xfId="19332" xr:uid="{A386D36E-F700-4392-9A22-FA315445F266}"/>
    <cellStyle name="Normal 2 3 3 3 2 2 5 6" xfId="19333" xr:uid="{C4B266FF-E3F8-45DC-A8BC-CA8D8EFC2375}"/>
    <cellStyle name="Normal 2 3 3 3 2 2 6" xfId="19334" xr:uid="{CA8B8EAC-DD1B-4118-8BDE-A6A796863FCF}"/>
    <cellStyle name="Normal 2 3 3 3 2 2 7" xfId="19335" xr:uid="{30C0E0D3-597E-436A-96FC-86907FF72E89}"/>
    <cellStyle name="Normal 2 3 3 3 2 2 8" xfId="19336" xr:uid="{25BCDF6F-B3A0-4EC3-9673-BDB53A69C326}"/>
    <cellStyle name="Normal 2 3 3 3 2 2 9" xfId="19337" xr:uid="{8609D792-13DA-4AFE-B012-D617D4C4E040}"/>
    <cellStyle name="Normal 2 3 3 3 2 3" xfId="19338" xr:uid="{A0DBA3D8-725C-46FE-AD06-3EF0DB704A55}"/>
    <cellStyle name="Normal 2 3 3 3 2 4" xfId="19339" xr:uid="{B17C5652-9540-4C8D-903B-314B0706A784}"/>
    <cellStyle name="Normal 2 3 3 3 2 5" xfId="19340" xr:uid="{ED7D544A-9DFA-471C-BB55-F45A9E982F33}"/>
    <cellStyle name="Normal 2 3 3 3 2 5 2" xfId="19341" xr:uid="{3C17E69C-0F44-4E1D-925C-46F571B12ED8}"/>
    <cellStyle name="Normal 2 3 3 3 2 5 2 2" xfId="19342" xr:uid="{FFFA3A07-D09D-4596-B529-ECCD625CC6E8}"/>
    <cellStyle name="Normal 2 3 3 3 2 5 2 2 2" xfId="19343" xr:uid="{8860B00F-439D-43AC-B8D3-5A641FF3F6C3}"/>
    <cellStyle name="Normal 2 3 3 3 2 5 2 2 2 2" xfId="19344" xr:uid="{EF68D422-E0ED-4D30-BE6B-06F42E698D9F}"/>
    <cellStyle name="Normal 2 3 3 3 2 5 2 2 2 3" xfId="19345" xr:uid="{4361CCCE-364A-47D9-9D28-0B74129FF260}"/>
    <cellStyle name="Normal 2 3 3 3 2 5 2 2 2 4" xfId="19346" xr:uid="{EA09D02F-A720-4B60-BD3E-B5687E62E9E9}"/>
    <cellStyle name="Normal 2 3 3 3 2 5 2 2 2 5" xfId="19347" xr:uid="{B68542F9-0031-494F-A43B-C5C3D99D27AA}"/>
    <cellStyle name="Normal 2 3 3 3 2 5 2 2 2 6" xfId="19348" xr:uid="{F72574AE-46C4-4B88-9903-FD52D0862B87}"/>
    <cellStyle name="Normal 2 3 3 3 2 5 2 2 3" xfId="19349" xr:uid="{D2A2140B-0C46-4318-9B4B-EDF32D73E763}"/>
    <cellStyle name="Normal 2 3 3 3 2 5 2 2 4" xfId="19350" xr:uid="{F0A9C78B-AC69-443C-8D0B-602E76C85620}"/>
    <cellStyle name="Normal 2 3 3 3 2 5 2 2 5" xfId="19351" xr:uid="{8833AD31-AE05-4D17-A023-B8ED2BFE8CA7}"/>
    <cellStyle name="Normal 2 3 3 3 2 5 2 2 6" xfId="19352" xr:uid="{F7F8F0F4-6A51-4192-844C-F70A5E682AC0}"/>
    <cellStyle name="Normal 2 3 3 3 2 5 2 3" xfId="19353" xr:uid="{6A27665D-E8F5-40AE-9CC1-852D4E9D932D}"/>
    <cellStyle name="Normal 2 3 3 3 2 5 2 4" xfId="19354" xr:uid="{EFEB6D70-D5C9-4614-842B-43BC1F573D2E}"/>
    <cellStyle name="Normal 2 3 3 3 2 5 2 5" xfId="19355" xr:uid="{B08F1B13-CF2B-47A6-A478-14048E11D963}"/>
    <cellStyle name="Normal 2 3 3 3 2 5 2 6" xfId="19356" xr:uid="{9C351419-0BDA-48BE-BADF-1CAD503156E2}"/>
    <cellStyle name="Normal 2 3 3 3 2 5 2 7" xfId="19357" xr:uid="{186EB717-9A4B-42CF-B906-FBB7C0D67440}"/>
    <cellStyle name="Normal 2 3 3 3 2 5 2 8" xfId="19358" xr:uid="{7864EC16-E809-4965-820F-CFB934D7484D}"/>
    <cellStyle name="Normal 2 3 3 3 2 5 2 9" xfId="19359" xr:uid="{CA0DE045-A779-4FEC-B5CB-0B27E6393AF2}"/>
    <cellStyle name="Normal 2 3 3 3 2 5 3" xfId="19360" xr:uid="{DFBE8999-03B4-4D3C-B285-87BF9438E7D8}"/>
    <cellStyle name="Normal 2 3 3 3 2 5 3 2" xfId="19361" xr:uid="{6E4F4BF3-09F1-48D1-81F2-4F8BFBA20D6E}"/>
    <cellStyle name="Normal 2 3 3 3 2 5 3 2 2" xfId="19362" xr:uid="{DB4988C2-0CE8-4439-911E-9B132E5AFCB0}"/>
    <cellStyle name="Normal 2 3 3 3 2 5 3 2 3" xfId="19363" xr:uid="{37969309-2B37-453C-803A-A85BFC05324A}"/>
    <cellStyle name="Normal 2 3 3 3 2 5 3 2 4" xfId="19364" xr:uid="{9F3CE2D2-329B-4078-A4A0-EC78DB15F1C0}"/>
    <cellStyle name="Normal 2 3 3 3 2 5 3 2 5" xfId="19365" xr:uid="{BCD5F5F5-913F-4192-96E4-59DEB83F588F}"/>
    <cellStyle name="Normal 2 3 3 3 2 5 3 2 6" xfId="19366" xr:uid="{C9F64C8C-0A8A-4193-9A47-FB50BADAD585}"/>
    <cellStyle name="Normal 2 3 3 3 2 5 3 3" xfId="19367" xr:uid="{CC7417F7-A8C2-4B65-A197-4D49B8F83350}"/>
    <cellStyle name="Normal 2 3 3 3 2 5 3 4" xfId="19368" xr:uid="{23EF6C98-0605-4E1B-A7D1-C31F2D5F3B8C}"/>
    <cellStyle name="Normal 2 3 3 3 2 5 3 5" xfId="19369" xr:uid="{5A25D9F0-FF2F-416D-A2B1-777BD5CB8F59}"/>
    <cellStyle name="Normal 2 3 3 3 2 5 3 6" xfId="19370" xr:uid="{75FD3B50-5EB6-4825-8A58-E9098B786B1D}"/>
    <cellStyle name="Normal 2 3 3 3 2 5 4" xfId="19371" xr:uid="{A90E4601-ECAD-4A90-8754-B8252371FE14}"/>
    <cellStyle name="Normal 2 3 3 3 2 5 5" xfId="19372" xr:uid="{FDBB6867-2DD2-48BA-9AE8-C0E03E4958E6}"/>
    <cellStyle name="Normal 2 3 3 3 2 5 6" xfId="19373" xr:uid="{BB5A486F-F203-4F79-9530-12497E5023C5}"/>
    <cellStyle name="Normal 2 3 3 3 2 5 7" xfId="19374" xr:uid="{032D490F-7611-4697-9D27-19EA382864FE}"/>
    <cellStyle name="Normal 2 3 3 3 2 5 8" xfId="19375" xr:uid="{904F2DD0-2445-4BF0-BBFA-5AC96965F26A}"/>
    <cellStyle name="Normal 2 3 3 3 2 5 9" xfId="19376" xr:uid="{6D721204-1414-4D28-AF57-30404E4FFA21}"/>
    <cellStyle name="Normal 2 3 3 3 2 6" xfId="19377" xr:uid="{50D5EF4F-F6C6-4911-9757-0B7044EECD2D}"/>
    <cellStyle name="Normal 2 3 3 3 2 7" xfId="19378" xr:uid="{C773B848-8254-4F16-82C6-8C00C43E3088}"/>
    <cellStyle name="Normal 2 3 3 3 2 8" xfId="19379" xr:uid="{8905C470-B7DA-4010-BBF6-0382AFA5A1EC}"/>
    <cellStyle name="Normal 2 3 3 3 2 8 2" xfId="19380" xr:uid="{A695412F-0B45-4977-8036-2B580E1A5C3C}"/>
    <cellStyle name="Normal 2 3 3 3 2 8 2 2" xfId="19381" xr:uid="{D9D3C880-8CEE-4D08-AF74-5E487DD14413}"/>
    <cellStyle name="Normal 2 3 3 3 2 8 2 3" xfId="19382" xr:uid="{94577685-743D-48F0-8002-F8C3CDBF8499}"/>
    <cellStyle name="Normal 2 3 3 3 2 8 2 4" xfId="19383" xr:uid="{C244B132-638C-4221-856D-5FB7346BE75C}"/>
    <cellStyle name="Normal 2 3 3 3 2 8 2 5" xfId="19384" xr:uid="{60628DD8-80F1-4641-861E-E342A8E90D29}"/>
    <cellStyle name="Normal 2 3 3 3 2 8 2 6" xfId="19385" xr:uid="{AD4B06C6-8DF9-48C3-91A0-A74DD9F1623C}"/>
    <cellStyle name="Normal 2 3 3 3 2 8 3" xfId="19386" xr:uid="{440B8831-2348-4F0B-BA8E-602913F90E95}"/>
    <cellStyle name="Normal 2 3 3 3 2 8 4" xfId="19387" xr:uid="{09FD3797-9CF0-47CE-9329-5C4FDCA94E3E}"/>
    <cellStyle name="Normal 2 3 3 3 2 8 5" xfId="19388" xr:uid="{AA35B7D2-0A4C-406F-9C45-82A95C14120B}"/>
    <cellStyle name="Normal 2 3 3 3 2 8 6" xfId="19389" xr:uid="{3483D781-21B6-45DE-997A-BF0B5BB07D0D}"/>
    <cellStyle name="Normal 2 3 3 3 2 9" xfId="19390" xr:uid="{0CC36BE4-E7A2-4DDC-96FA-2E01E91A3FAA}"/>
    <cellStyle name="Normal 2 3 3 3 3" xfId="19391" xr:uid="{9223CCE3-76AA-46B3-B21F-29FF760DF151}"/>
    <cellStyle name="Normal 2 3 3 3 3 10" xfId="19392" xr:uid="{3A3BE71A-F08F-4BFE-AD24-4E69FBAB75C0}"/>
    <cellStyle name="Normal 2 3 3 3 3 11" xfId="19393" xr:uid="{A1A3B4FE-91A9-43C4-9D2E-B98119DF54CE}"/>
    <cellStyle name="Normal 2 3 3 3 3 12" xfId="19394" xr:uid="{497A625B-C52C-45A2-9421-05C31CDAFD7C}"/>
    <cellStyle name="Normal 2 3 3 3 3 2" xfId="19395" xr:uid="{6297666B-2034-489A-BD3B-91C240F6D10B}"/>
    <cellStyle name="Normal 2 3 3 3 3 2 10" xfId="19396" xr:uid="{8AF34B89-A366-4657-90D0-7BE87FB3BD4D}"/>
    <cellStyle name="Normal 2 3 3 3 3 2 11" xfId="19397" xr:uid="{1D0F3775-108D-46BF-8B3A-DB8FD4BCC6C5}"/>
    <cellStyle name="Normal 2 3 3 3 3 2 12" xfId="19398" xr:uid="{D1625F69-24A7-480F-938B-48A1627F5BE5}"/>
    <cellStyle name="Normal 2 3 3 3 3 2 2" xfId="19399" xr:uid="{D1319357-CAB5-414A-B0B2-AB3A76CD00F7}"/>
    <cellStyle name="Normal 2 3 3 3 3 2 2 2" xfId="19400" xr:uid="{67CDDC1E-4CCE-4DA9-BB99-9B9C55DEA68E}"/>
    <cellStyle name="Normal 2 3 3 3 3 2 2 2 2" xfId="19401" xr:uid="{8B6E7D49-3DE5-43D1-9EC6-FFB2A7CED4A3}"/>
    <cellStyle name="Normal 2 3 3 3 3 2 2 2 2 2" xfId="19402" xr:uid="{FE0322A0-F070-40BE-895B-1B60930E035D}"/>
    <cellStyle name="Normal 2 3 3 3 3 2 2 2 2 2 2" xfId="19403" xr:uid="{B32E48F1-9BBA-4FA7-BDB9-1D7C404114A4}"/>
    <cellStyle name="Normal 2 3 3 3 3 2 2 2 2 2 3" xfId="19404" xr:uid="{65139C06-FA0F-4B41-B5D0-F89DB671AE35}"/>
    <cellStyle name="Normal 2 3 3 3 3 2 2 2 2 2 4" xfId="19405" xr:uid="{CACB22D6-DB3B-4492-BAE4-20E0B45721E0}"/>
    <cellStyle name="Normal 2 3 3 3 3 2 2 2 2 2 5" xfId="19406" xr:uid="{257426DB-EC00-4B79-8D89-85F43F040344}"/>
    <cellStyle name="Normal 2 3 3 3 3 2 2 2 2 2 6" xfId="19407" xr:uid="{1D232D2C-B16D-4549-B58B-94A1C54816BC}"/>
    <cellStyle name="Normal 2 3 3 3 3 2 2 2 2 3" xfId="19408" xr:uid="{9BED9178-8E04-4A42-B8B4-4E077888E26F}"/>
    <cellStyle name="Normal 2 3 3 3 3 2 2 2 2 4" xfId="19409" xr:uid="{DAC3F717-41B5-4ECC-B9F4-FA7FDE84641D}"/>
    <cellStyle name="Normal 2 3 3 3 3 2 2 2 2 5" xfId="19410" xr:uid="{764B8146-A57E-47F0-88FD-B5A6A9A266B1}"/>
    <cellStyle name="Normal 2 3 3 3 3 2 2 2 2 6" xfId="19411" xr:uid="{C9D62BF7-4FD0-42CB-B4D6-345CE3FDDBB5}"/>
    <cellStyle name="Normal 2 3 3 3 3 2 2 2 3" xfId="19412" xr:uid="{E788CFDF-8BA0-4D01-B735-1DDCA6049B40}"/>
    <cellStyle name="Normal 2 3 3 3 3 2 2 2 4" xfId="19413" xr:uid="{60E32365-3975-4B67-92D9-8EBAE8DE3BD7}"/>
    <cellStyle name="Normal 2 3 3 3 3 2 2 2 5" xfId="19414" xr:uid="{EA563859-2696-4D9D-BEFD-B6E239BC8A57}"/>
    <cellStyle name="Normal 2 3 3 3 3 2 2 2 6" xfId="19415" xr:uid="{48C42F9B-F4B3-45EF-BFB9-2C0799CF3C3D}"/>
    <cellStyle name="Normal 2 3 3 3 3 2 2 2 7" xfId="19416" xr:uid="{A3677023-FD57-42C7-925D-718A1376045B}"/>
    <cellStyle name="Normal 2 3 3 3 3 2 2 2 8" xfId="19417" xr:uid="{FD3CACA3-E121-43CE-9DC1-4A36C35EDD02}"/>
    <cellStyle name="Normal 2 3 3 3 3 2 2 2 9" xfId="19418" xr:uid="{CB2F8E6D-1991-4195-A50A-47CB42D76F65}"/>
    <cellStyle name="Normal 2 3 3 3 3 2 2 3" xfId="19419" xr:uid="{8D0889F7-1E6E-44F1-A810-0A2CE1E00E00}"/>
    <cellStyle name="Normal 2 3 3 3 3 2 2 3 2" xfId="19420" xr:uid="{2323916B-9319-405F-9497-8DF6D3A00764}"/>
    <cellStyle name="Normal 2 3 3 3 3 2 2 3 2 2" xfId="19421" xr:uid="{FC90C6C7-EA37-42CC-AA4F-4C6564669C42}"/>
    <cellStyle name="Normal 2 3 3 3 3 2 2 3 2 3" xfId="19422" xr:uid="{99B4F77E-E831-455D-A134-6610EE2D1C2D}"/>
    <cellStyle name="Normal 2 3 3 3 3 2 2 3 2 4" xfId="19423" xr:uid="{0F711873-F177-4744-A396-0131AB52E83F}"/>
    <cellStyle name="Normal 2 3 3 3 3 2 2 3 2 5" xfId="19424" xr:uid="{BB2721C5-B33C-4771-9415-3B6ACB268F32}"/>
    <cellStyle name="Normal 2 3 3 3 3 2 2 3 2 6" xfId="19425" xr:uid="{A2F65A87-241E-484D-8A7A-85CD99E3F087}"/>
    <cellStyle name="Normal 2 3 3 3 3 2 2 3 3" xfId="19426" xr:uid="{EB9A3A2C-B002-4533-8435-B792519EFBF8}"/>
    <cellStyle name="Normal 2 3 3 3 3 2 2 3 4" xfId="19427" xr:uid="{5C249EBE-0E54-4697-951F-D740FD5360BF}"/>
    <cellStyle name="Normal 2 3 3 3 3 2 2 3 5" xfId="19428" xr:uid="{53F42D85-3031-4287-9678-CCD4A9E1BEC5}"/>
    <cellStyle name="Normal 2 3 3 3 3 2 2 3 6" xfId="19429" xr:uid="{DF0675F7-CB40-4D4B-8F2F-F74136F07793}"/>
    <cellStyle name="Normal 2 3 3 3 3 2 2 4" xfId="19430" xr:uid="{3668F8A8-2843-42C8-AE59-E12D31D1F1BA}"/>
    <cellStyle name="Normal 2 3 3 3 3 2 2 5" xfId="19431" xr:uid="{AEE37D84-F8BA-4A02-A86B-134E21CC52E1}"/>
    <cellStyle name="Normal 2 3 3 3 3 2 2 6" xfId="19432" xr:uid="{C996C7D2-ABDA-4D7D-9271-A35343FD32ED}"/>
    <cellStyle name="Normal 2 3 3 3 3 2 2 7" xfId="19433" xr:uid="{05D2FABF-C491-4833-87B3-83A00A2FD5B6}"/>
    <cellStyle name="Normal 2 3 3 3 3 2 2 8" xfId="19434" xr:uid="{AF473E1F-CDC8-4F47-AF47-E48BAA591733}"/>
    <cellStyle name="Normal 2 3 3 3 3 2 2 9" xfId="19435" xr:uid="{00ABECAF-C387-4883-820E-75CA895A3922}"/>
    <cellStyle name="Normal 2 3 3 3 3 2 3" xfId="19436" xr:uid="{96DED2F2-287D-4630-89E0-A97FAC5C7F9C}"/>
    <cellStyle name="Normal 2 3 3 3 3 2 4" xfId="19437" xr:uid="{51AAAE0F-B63C-4174-9738-78EFB585AD67}"/>
    <cellStyle name="Normal 2 3 3 3 3 2 5" xfId="19438" xr:uid="{7B7724E5-DF40-413C-A112-302570C1C142}"/>
    <cellStyle name="Normal 2 3 3 3 3 2 5 2" xfId="19439" xr:uid="{37696499-857D-4FBC-882D-8B5527146708}"/>
    <cellStyle name="Normal 2 3 3 3 3 2 5 2 2" xfId="19440" xr:uid="{C5C7FD9A-782D-4C04-889C-11B106DF9CEA}"/>
    <cellStyle name="Normal 2 3 3 3 3 2 5 2 3" xfId="19441" xr:uid="{DE1CD36A-3BCF-4528-8895-0A8C111D0976}"/>
    <cellStyle name="Normal 2 3 3 3 3 2 5 2 4" xfId="19442" xr:uid="{8D46734B-31BD-48D0-B54B-6D0DC7D3AEEC}"/>
    <cellStyle name="Normal 2 3 3 3 3 2 5 2 5" xfId="19443" xr:uid="{2619369D-CDCD-42FB-BB18-01E54ADE4C04}"/>
    <cellStyle name="Normal 2 3 3 3 3 2 5 2 6" xfId="19444" xr:uid="{F151F404-62FF-4519-B141-4E0734554C1C}"/>
    <cellStyle name="Normal 2 3 3 3 3 2 5 3" xfId="19445" xr:uid="{BC2D8702-E186-4591-89BB-C9B350AC02ED}"/>
    <cellStyle name="Normal 2 3 3 3 3 2 5 4" xfId="19446" xr:uid="{2D87B1C4-CD5D-439A-BE3A-B669BD0FB2EA}"/>
    <cellStyle name="Normal 2 3 3 3 3 2 5 5" xfId="19447" xr:uid="{BBFFADB0-D700-4172-BE74-3980AF70C9B6}"/>
    <cellStyle name="Normal 2 3 3 3 3 2 5 6" xfId="19448" xr:uid="{47CBC7C4-6E40-4249-9927-13AF6EF092C8}"/>
    <cellStyle name="Normal 2 3 3 3 3 2 6" xfId="19449" xr:uid="{FE391EB3-3C46-4AF6-87E7-63239E6677EB}"/>
    <cellStyle name="Normal 2 3 3 3 3 2 7" xfId="19450" xr:uid="{77AA1EB5-2F2F-4C7D-8686-04BD57FD51D7}"/>
    <cellStyle name="Normal 2 3 3 3 3 2 8" xfId="19451" xr:uid="{DD507412-4D3A-481C-A92D-1CBB6666EC66}"/>
    <cellStyle name="Normal 2 3 3 3 3 2 9" xfId="19452" xr:uid="{4A55BCB1-844C-44F8-983A-57DB2FED50F1}"/>
    <cellStyle name="Normal 2 3 3 3 3 3" xfId="19453" xr:uid="{39DDE033-C298-411E-85E5-95241F21280D}"/>
    <cellStyle name="Normal 2 3 3 3 3 3 2" xfId="19454" xr:uid="{05478DE0-E934-4385-81BA-1A40CC15B53E}"/>
    <cellStyle name="Normal 2 3 3 3 3 3 2 2" xfId="19455" xr:uid="{3D0E66D8-9037-44C3-B053-AC8CD7AF9491}"/>
    <cellStyle name="Normal 2 3 3 3 3 3 2 2 2" xfId="19456" xr:uid="{7A97C5B1-83C7-49EA-B66E-CD3DE766A46C}"/>
    <cellStyle name="Normal 2 3 3 3 3 3 2 2 2 2" xfId="19457" xr:uid="{AD33FE01-CB79-409A-A1A6-719E8EFAB5DC}"/>
    <cellStyle name="Normal 2 3 3 3 3 3 2 2 2 3" xfId="19458" xr:uid="{E90EC1D1-53DA-4AB1-B550-4900CEE1BAD4}"/>
    <cellStyle name="Normal 2 3 3 3 3 3 2 2 2 4" xfId="19459" xr:uid="{964040DB-F60E-4CD5-AA68-C1D2B4DF1E02}"/>
    <cellStyle name="Normal 2 3 3 3 3 3 2 2 2 5" xfId="19460" xr:uid="{841B12BE-0BBA-403E-BDF1-C04E431D38A8}"/>
    <cellStyle name="Normal 2 3 3 3 3 3 2 2 2 6" xfId="19461" xr:uid="{9A83D4EE-BEBA-4C81-834B-3B5812D46633}"/>
    <cellStyle name="Normal 2 3 3 3 3 3 2 2 3" xfId="19462" xr:uid="{9EA92E3A-24CA-4AB3-9053-7824BB24BBE7}"/>
    <cellStyle name="Normal 2 3 3 3 3 3 2 2 4" xfId="19463" xr:uid="{2289F141-924D-41C9-A234-A35B260DE035}"/>
    <cellStyle name="Normal 2 3 3 3 3 3 2 2 5" xfId="19464" xr:uid="{7863EDB7-94EA-415A-B639-51DFB7AA7963}"/>
    <cellStyle name="Normal 2 3 3 3 3 3 2 2 6" xfId="19465" xr:uid="{E27BF3AE-5579-43BC-B87C-144E6F3D5069}"/>
    <cellStyle name="Normal 2 3 3 3 3 3 2 3" xfId="19466" xr:uid="{90873F96-70DC-447C-BE0C-08F59CC7C380}"/>
    <cellStyle name="Normal 2 3 3 3 3 3 2 4" xfId="19467" xr:uid="{5953DFA6-A4F7-4EAB-984B-CD1F4214D973}"/>
    <cellStyle name="Normal 2 3 3 3 3 3 2 5" xfId="19468" xr:uid="{015BFC92-3E06-41EF-A279-7189A92080D1}"/>
    <cellStyle name="Normal 2 3 3 3 3 3 2 6" xfId="19469" xr:uid="{7A643E1D-2AC1-48FA-826C-006402E74F13}"/>
    <cellStyle name="Normal 2 3 3 3 3 3 2 7" xfId="19470" xr:uid="{00194E6B-B2DA-4B3E-963D-22C1DFFAA19E}"/>
    <cellStyle name="Normal 2 3 3 3 3 3 2 8" xfId="19471" xr:uid="{BC3DEA65-994B-44DD-BF61-EACDDE75B093}"/>
    <cellStyle name="Normal 2 3 3 3 3 3 2 9" xfId="19472" xr:uid="{04029ECE-6553-4B6F-A769-B8E1D90DE072}"/>
    <cellStyle name="Normal 2 3 3 3 3 3 3" xfId="19473" xr:uid="{CBE6AD81-FC71-474F-A62B-8C181ABD36E1}"/>
    <cellStyle name="Normal 2 3 3 3 3 3 3 2" xfId="19474" xr:uid="{BBE8DC5E-C1DA-40E6-A4E4-FD5C17A8BBE1}"/>
    <cellStyle name="Normal 2 3 3 3 3 3 3 2 2" xfId="19475" xr:uid="{6A2857C9-36E0-4E70-918B-FCBC8670961F}"/>
    <cellStyle name="Normal 2 3 3 3 3 3 3 2 3" xfId="19476" xr:uid="{3950967E-0F15-42C8-B9D5-14E01D3CCCBA}"/>
    <cellStyle name="Normal 2 3 3 3 3 3 3 2 4" xfId="19477" xr:uid="{7CB8D134-4E04-48CB-AE15-892F68556B43}"/>
    <cellStyle name="Normal 2 3 3 3 3 3 3 2 5" xfId="19478" xr:uid="{C157AF91-6AE6-4C0A-8DC2-9DA1ACC818FA}"/>
    <cellStyle name="Normal 2 3 3 3 3 3 3 2 6" xfId="19479" xr:uid="{CAD7C0E1-9F44-42BB-AA8A-2740FB1E5B7D}"/>
    <cellStyle name="Normal 2 3 3 3 3 3 3 3" xfId="19480" xr:uid="{3EC316F4-0262-4612-8915-6673FD77DCA0}"/>
    <cellStyle name="Normal 2 3 3 3 3 3 3 4" xfId="19481" xr:uid="{3A4BE569-7ED8-4C5C-AD5E-02002F012B99}"/>
    <cellStyle name="Normal 2 3 3 3 3 3 3 5" xfId="19482" xr:uid="{225DA24E-D2B6-4B7B-BF13-52F36CD701EE}"/>
    <cellStyle name="Normal 2 3 3 3 3 3 3 6" xfId="19483" xr:uid="{F7E931D5-7105-4BDF-ABFD-5BF02529D72D}"/>
    <cellStyle name="Normal 2 3 3 3 3 3 4" xfId="19484" xr:uid="{241969C7-EED8-42AF-BE1F-E155C46570A8}"/>
    <cellStyle name="Normal 2 3 3 3 3 3 5" xfId="19485" xr:uid="{7AC79760-0779-4EFC-B77F-AF2C366BAE50}"/>
    <cellStyle name="Normal 2 3 3 3 3 3 6" xfId="19486" xr:uid="{B5FA3F00-8EB8-478A-84F3-BA49608871FA}"/>
    <cellStyle name="Normal 2 3 3 3 3 3 7" xfId="19487" xr:uid="{EFD3DBD9-F35B-4DB3-9F59-B69436A567A6}"/>
    <cellStyle name="Normal 2 3 3 3 3 3 8" xfId="19488" xr:uid="{7AAEA752-274A-4842-B2E3-EA0B0CC7905B}"/>
    <cellStyle name="Normal 2 3 3 3 3 3 9" xfId="19489" xr:uid="{B78C56C6-5679-4CDB-BDD9-FBC09EFF23B8}"/>
    <cellStyle name="Normal 2 3 3 3 3 4" xfId="19490" xr:uid="{FA08E5F5-AE72-46D7-A604-D5DA54B11E90}"/>
    <cellStyle name="Normal 2 3 3 3 3 5" xfId="19491" xr:uid="{4721383E-770C-4E9F-8220-20F4C5407EE7}"/>
    <cellStyle name="Normal 2 3 3 3 3 5 2" xfId="19492" xr:uid="{2ECC12F9-2359-44FD-A106-23E0C390B380}"/>
    <cellStyle name="Normal 2 3 3 3 3 5 2 2" xfId="19493" xr:uid="{41FC6731-D643-4905-B5A5-0A3E363126F4}"/>
    <cellStyle name="Normal 2 3 3 3 3 5 2 3" xfId="19494" xr:uid="{56578CF8-BAD7-41BD-A237-7D042D2831C7}"/>
    <cellStyle name="Normal 2 3 3 3 3 5 2 4" xfId="19495" xr:uid="{E2D9699D-BF38-49F2-B79E-2355923B17E8}"/>
    <cellStyle name="Normal 2 3 3 3 3 5 2 5" xfId="19496" xr:uid="{019BF4EE-E18D-4347-A640-4C7EEB7713A3}"/>
    <cellStyle name="Normal 2 3 3 3 3 5 2 6" xfId="19497" xr:uid="{019607C2-A707-4108-AF4A-5623601E5E49}"/>
    <cellStyle name="Normal 2 3 3 3 3 5 3" xfId="19498" xr:uid="{0EA6349F-8F8A-453E-B2E5-43C0539C8C7B}"/>
    <cellStyle name="Normal 2 3 3 3 3 5 4" xfId="19499" xr:uid="{8EB0A8D6-B145-4126-B0F4-24FAE27EB6C7}"/>
    <cellStyle name="Normal 2 3 3 3 3 5 5" xfId="19500" xr:uid="{126AC36D-1944-4154-A789-24CE563BBC71}"/>
    <cellStyle name="Normal 2 3 3 3 3 5 6" xfId="19501" xr:uid="{BC832C6E-914C-4FD4-9897-A9B7C8E7DC28}"/>
    <cellStyle name="Normal 2 3 3 3 3 6" xfId="19502" xr:uid="{A331A8C1-E80E-49E7-AF6E-1BD80E3D9F5C}"/>
    <cellStyle name="Normal 2 3 3 3 3 7" xfId="19503" xr:uid="{3A8F8952-E010-43F7-841B-5E8ED82275CA}"/>
    <cellStyle name="Normal 2 3 3 3 3 8" xfId="19504" xr:uid="{CD963B0A-12DF-44AC-9A3E-6623FA7F8977}"/>
    <cellStyle name="Normal 2 3 3 3 3 9" xfId="19505" xr:uid="{4361CA4F-3125-49A4-9F11-E9C50ABFAEE0}"/>
    <cellStyle name="Normal 2 3 3 3 4" xfId="19506" xr:uid="{CE12B4DF-D039-46D7-9472-32798345E8B8}"/>
    <cellStyle name="Normal 2 3 3 3 5" xfId="19507" xr:uid="{5F1EBF38-0B76-48DA-9E5F-8B37EDA2BF9D}"/>
    <cellStyle name="Normal 2 3 3 3 5 2" xfId="19508" xr:uid="{8EC2F041-8FAA-4274-98DD-1AEB6C92807E}"/>
    <cellStyle name="Normal 2 3 3 3 5 2 2" xfId="19509" xr:uid="{5B0E6CC3-D51E-45BE-B9BA-8E6FC02A0300}"/>
    <cellStyle name="Normal 2 3 3 3 5 2 2 2" xfId="19510" xr:uid="{F3A8EEF6-D6D1-4280-903A-D321F1DC1FCB}"/>
    <cellStyle name="Normal 2 3 3 3 5 2 2 2 2" xfId="19511" xr:uid="{D487F413-1D47-43A6-9445-7C3EA44A315F}"/>
    <cellStyle name="Normal 2 3 3 3 5 2 2 2 3" xfId="19512" xr:uid="{87E83FAD-3BA2-4849-957A-51C2852B15A8}"/>
    <cellStyle name="Normal 2 3 3 3 5 2 2 2 4" xfId="19513" xr:uid="{E5CD6F67-50BA-43CA-9EB0-FB27F5824CB0}"/>
    <cellStyle name="Normal 2 3 3 3 5 2 2 2 5" xfId="19514" xr:uid="{0D72BD37-E1B9-49AC-B4CA-271DF83BDED9}"/>
    <cellStyle name="Normal 2 3 3 3 5 2 2 2 6" xfId="19515" xr:uid="{A4D3C577-10C5-4256-BB89-247B9C5AF30D}"/>
    <cellStyle name="Normal 2 3 3 3 5 2 2 3" xfId="19516" xr:uid="{7846E13D-1482-4F24-B639-9CE0D4F4904C}"/>
    <cellStyle name="Normal 2 3 3 3 5 2 2 4" xfId="19517" xr:uid="{DAC785DE-4936-4864-B961-5DAFA3A640A7}"/>
    <cellStyle name="Normal 2 3 3 3 5 2 2 5" xfId="19518" xr:uid="{F164E264-290D-4973-909B-4C6713190B4A}"/>
    <cellStyle name="Normal 2 3 3 3 5 2 2 6" xfId="19519" xr:uid="{0DD8A249-C779-41D3-B4BA-1CAF7A539225}"/>
    <cellStyle name="Normal 2 3 3 3 5 2 3" xfId="19520" xr:uid="{A5B5ED5A-6785-42E8-A8BD-292488A0CC18}"/>
    <cellStyle name="Normal 2 3 3 3 5 2 4" xfId="19521" xr:uid="{689FD56A-57B0-49DC-A429-5460C45B96F7}"/>
    <cellStyle name="Normal 2 3 3 3 5 2 5" xfId="19522" xr:uid="{02B45D76-82EC-4DD2-864B-FA631A5CA893}"/>
    <cellStyle name="Normal 2 3 3 3 5 2 6" xfId="19523" xr:uid="{7026BECB-80FE-4F9B-9B54-EF80FA05E569}"/>
    <cellStyle name="Normal 2 3 3 3 5 2 7" xfId="19524" xr:uid="{7BD1F20F-99A5-4716-BB0A-459BE59F21B0}"/>
    <cellStyle name="Normal 2 3 3 3 5 2 8" xfId="19525" xr:uid="{E58FB994-A880-4738-B12D-6AB9E1CB7E43}"/>
    <cellStyle name="Normal 2 3 3 3 5 2 9" xfId="19526" xr:uid="{A32F37A6-A0D1-4261-A977-C2E892B4BA14}"/>
    <cellStyle name="Normal 2 3 3 3 5 3" xfId="19527" xr:uid="{6371FFA2-98FE-433D-BE2A-1A6F59912A7E}"/>
    <cellStyle name="Normal 2 3 3 3 5 3 2" xfId="19528" xr:uid="{CEE7ECB4-531F-47B3-81E0-D49AEE21FF95}"/>
    <cellStyle name="Normal 2 3 3 3 5 3 2 2" xfId="19529" xr:uid="{09BF280B-31A9-4D47-BCA6-F9C0D832BB13}"/>
    <cellStyle name="Normal 2 3 3 3 5 3 2 3" xfId="19530" xr:uid="{E86499F4-BB4A-4EE7-A540-01C621999086}"/>
    <cellStyle name="Normal 2 3 3 3 5 3 2 4" xfId="19531" xr:uid="{04F4DD3B-FAF3-4631-848F-932D78135C7B}"/>
    <cellStyle name="Normal 2 3 3 3 5 3 2 5" xfId="19532" xr:uid="{AC62965D-60BC-43CC-A4BF-9835105076D0}"/>
    <cellStyle name="Normal 2 3 3 3 5 3 2 6" xfId="19533" xr:uid="{1C799873-2191-4BD3-8C7A-0E2CEBAFA04C}"/>
    <cellStyle name="Normal 2 3 3 3 5 3 3" xfId="19534" xr:uid="{1A058F3A-A853-4ACA-9BE0-65A08D9D664A}"/>
    <cellStyle name="Normal 2 3 3 3 5 3 4" xfId="19535" xr:uid="{2F1B30F0-83B9-4CBA-9B3E-23E41C06350C}"/>
    <cellStyle name="Normal 2 3 3 3 5 3 5" xfId="19536" xr:uid="{6641A286-7DA2-4EC3-92F5-0DF2ED1BDBAD}"/>
    <cellStyle name="Normal 2 3 3 3 5 3 6" xfId="19537" xr:uid="{392BC3AB-28AC-4B0F-B002-3E9072EF565D}"/>
    <cellStyle name="Normal 2 3 3 3 5 4" xfId="19538" xr:uid="{51C82F37-0418-4757-A84F-5636DEA5D169}"/>
    <cellStyle name="Normal 2 3 3 3 5 5" xfId="19539" xr:uid="{269D4A4D-52E3-4181-8618-ED36ED5DA5F9}"/>
    <cellStyle name="Normal 2 3 3 3 5 6" xfId="19540" xr:uid="{FABEE879-D2B1-4FDF-8030-07DF8D1638E1}"/>
    <cellStyle name="Normal 2 3 3 3 5 7" xfId="19541" xr:uid="{76845DDB-D32F-4BC3-87A7-7D20ECF94F52}"/>
    <cellStyle name="Normal 2 3 3 3 5 8" xfId="19542" xr:uid="{42707C06-5109-4014-A4A5-82EF6552083D}"/>
    <cellStyle name="Normal 2 3 3 3 5 9" xfId="19543" xr:uid="{C0629F10-5A3E-4835-9D2C-3596B7CCD48E}"/>
    <cellStyle name="Normal 2 3 3 3 6" xfId="19544" xr:uid="{6698520E-E3E2-4C54-9551-DA3BE926CAB9}"/>
    <cellStyle name="Normal 2 3 3 3 7" xfId="19545" xr:uid="{0BF7EBE3-3312-489E-A5D1-21FBC4036533}"/>
    <cellStyle name="Normal 2 3 3 3 8" xfId="19546" xr:uid="{C87BC540-81CA-4AD2-9ECA-3E44C3FD5760}"/>
    <cellStyle name="Normal 2 3 3 3 8 2" xfId="19547" xr:uid="{D87E4B0E-677F-4BDC-8BD5-A28CCC3E9AA6}"/>
    <cellStyle name="Normal 2 3 3 3 8 2 2" xfId="19548" xr:uid="{7B40093C-7B82-4734-94C7-F0B6CBE72E4C}"/>
    <cellStyle name="Normal 2 3 3 3 8 2 3" xfId="19549" xr:uid="{361CEACA-7C65-4E94-ACC4-53694DEA274E}"/>
    <cellStyle name="Normal 2 3 3 3 8 2 4" xfId="19550" xr:uid="{F39BB121-74FA-4A1E-A1D2-E51E843F6D5D}"/>
    <cellStyle name="Normal 2 3 3 3 8 2 5" xfId="19551" xr:uid="{20FFA3C8-0999-4634-A0F4-33166624B136}"/>
    <cellStyle name="Normal 2 3 3 3 8 2 6" xfId="19552" xr:uid="{8F51FBE0-802F-4444-9B04-F4ECC506DEEE}"/>
    <cellStyle name="Normal 2 3 3 3 8 3" xfId="19553" xr:uid="{87CF8E15-04D9-4190-8A78-607227CE7EBD}"/>
    <cellStyle name="Normal 2 3 3 3 8 4" xfId="19554" xr:uid="{0CF1AC2A-795D-4188-B66F-899907D71D57}"/>
    <cellStyle name="Normal 2 3 3 3 8 5" xfId="19555" xr:uid="{8262458E-415F-4277-8B5A-1CC65688FF30}"/>
    <cellStyle name="Normal 2 3 3 3 8 6" xfId="19556" xr:uid="{13F384BF-B741-4373-B24A-9098AF16DE78}"/>
    <cellStyle name="Normal 2 3 3 3 9" xfId="19557" xr:uid="{1670EB1F-788A-4CF5-B4F7-DE71B6D2CAB1}"/>
    <cellStyle name="Normal 2 3 3 4" xfId="19558" xr:uid="{D58FBF86-D4B4-47CA-9BD6-0B93093B0F2B}"/>
    <cellStyle name="Normal 2 3 3 5" xfId="19559" xr:uid="{BB8F9093-5C00-4ADE-B211-AA04ECC24A81}"/>
    <cellStyle name="Normal 2 3 3 5 10" xfId="19560" xr:uid="{322FB6FA-7BE6-4145-B8AD-1A75F8DA0C0E}"/>
    <cellStyle name="Normal 2 3 3 5 11" xfId="19561" xr:uid="{EAD3F9D8-9B99-4941-8B9A-E09EA2E586EE}"/>
    <cellStyle name="Normal 2 3 3 5 12" xfId="19562" xr:uid="{A7ADEB45-376A-4B0C-ABBB-0286FCB208B4}"/>
    <cellStyle name="Normal 2 3 3 5 2" xfId="19563" xr:uid="{EDBD3091-5692-45E6-8E7A-72F708B501D4}"/>
    <cellStyle name="Normal 2 3 3 5 2 10" xfId="19564" xr:uid="{04A1F870-4C94-46FE-8B21-662A190595B1}"/>
    <cellStyle name="Normal 2 3 3 5 2 11" xfId="19565" xr:uid="{51540A41-9878-402B-B5F4-F230605FBE6E}"/>
    <cellStyle name="Normal 2 3 3 5 2 12" xfId="19566" xr:uid="{07B521FB-3C4D-4914-ADF0-4CCFE4E8ABD6}"/>
    <cellStyle name="Normal 2 3 3 5 2 2" xfId="19567" xr:uid="{AAB7CB49-36D6-4FC0-B718-4B17BF1A0E66}"/>
    <cellStyle name="Normal 2 3 3 5 2 2 2" xfId="19568" xr:uid="{0E473F8F-CCAC-4635-809A-F87023AC202D}"/>
    <cellStyle name="Normal 2 3 3 5 2 2 2 2" xfId="19569" xr:uid="{0602EFF2-6B06-4EFD-84B2-320B7A19C921}"/>
    <cellStyle name="Normal 2 3 3 5 2 2 2 2 2" xfId="19570" xr:uid="{9CD3D8E8-A9D8-468C-BF7E-D8DD191C5451}"/>
    <cellStyle name="Normal 2 3 3 5 2 2 2 2 2 2" xfId="19571" xr:uid="{DB575827-28A7-496B-AF97-3B3E8FCE3BDA}"/>
    <cellStyle name="Normal 2 3 3 5 2 2 2 2 2 3" xfId="19572" xr:uid="{21C5A305-AEC2-44DC-8327-72268E947220}"/>
    <cellStyle name="Normal 2 3 3 5 2 2 2 2 2 4" xfId="19573" xr:uid="{613F732D-ABD7-4518-AB9B-EAB337A6BB95}"/>
    <cellStyle name="Normal 2 3 3 5 2 2 2 2 2 5" xfId="19574" xr:uid="{DF170D25-9991-4BBE-ABE3-E7160118271C}"/>
    <cellStyle name="Normal 2 3 3 5 2 2 2 2 2 6" xfId="19575" xr:uid="{D955DEB2-7B7E-4909-A2DD-998D42FA2C7A}"/>
    <cellStyle name="Normal 2 3 3 5 2 2 2 2 3" xfId="19576" xr:uid="{571076C3-75E9-421B-97FD-E822BB305677}"/>
    <cellStyle name="Normal 2 3 3 5 2 2 2 2 4" xfId="19577" xr:uid="{D70ACE37-E0C6-4C1B-83BE-5CD32745D62A}"/>
    <cellStyle name="Normal 2 3 3 5 2 2 2 2 5" xfId="19578" xr:uid="{6E865D28-7355-47E8-B734-FA1D46644DDD}"/>
    <cellStyle name="Normal 2 3 3 5 2 2 2 2 6" xfId="19579" xr:uid="{DA6EA419-A123-4A8E-84A5-3A74D30BB64E}"/>
    <cellStyle name="Normal 2 3 3 5 2 2 2 3" xfId="19580" xr:uid="{1DB757A4-944A-4756-92EC-83DC32054A6C}"/>
    <cellStyle name="Normal 2 3 3 5 2 2 2 4" xfId="19581" xr:uid="{22012028-D815-4545-AC61-9999B1992152}"/>
    <cellStyle name="Normal 2 3 3 5 2 2 2 5" xfId="19582" xr:uid="{8B1E9717-2DBE-4D20-86DD-E25003ADA966}"/>
    <cellStyle name="Normal 2 3 3 5 2 2 2 6" xfId="19583" xr:uid="{AA93ECD0-949A-4586-96AC-C72A9FDE2DB5}"/>
    <cellStyle name="Normal 2 3 3 5 2 2 2 7" xfId="19584" xr:uid="{C24D8E02-B369-40BA-B742-1E7CEE9A2224}"/>
    <cellStyle name="Normal 2 3 3 5 2 2 2 8" xfId="19585" xr:uid="{183A2A33-F779-403F-8780-269ABB7DC2FD}"/>
    <cellStyle name="Normal 2 3 3 5 2 2 2 9" xfId="19586" xr:uid="{6F1F4E58-B588-4CAA-B38F-01299DB3CC70}"/>
    <cellStyle name="Normal 2 3 3 5 2 2 3" xfId="19587" xr:uid="{46EED548-A24C-483B-8120-299A6C495B43}"/>
    <cellStyle name="Normal 2 3 3 5 2 2 3 2" xfId="19588" xr:uid="{AB113995-E7B1-4BC8-A7C6-3936277908F9}"/>
    <cellStyle name="Normal 2 3 3 5 2 2 3 2 2" xfId="19589" xr:uid="{01D4620F-177C-42A1-A720-F0C7341F96A4}"/>
    <cellStyle name="Normal 2 3 3 5 2 2 3 2 3" xfId="19590" xr:uid="{4F2E4CC4-7C31-4F09-B2F8-C000BEF7746B}"/>
    <cellStyle name="Normal 2 3 3 5 2 2 3 2 4" xfId="19591" xr:uid="{D8101413-3B44-43E1-89E4-2A02A60B8170}"/>
    <cellStyle name="Normal 2 3 3 5 2 2 3 2 5" xfId="19592" xr:uid="{E6DC00AE-9163-4EC3-9B9E-516AC7104EBB}"/>
    <cellStyle name="Normal 2 3 3 5 2 2 3 2 6" xfId="19593" xr:uid="{CC973107-8B57-465D-BFA5-EFF9EAEFBEA2}"/>
    <cellStyle name="Normal 2 3 3 5 2 2 3 3" xfId="19594" xr:uid="{8E3E6521-3CC4-452F-9EC5-27241DD1EF33}"/>
    <cellStyle name="Normal 2 3 3 5 2 2 3 4" xfId="19595" xr:uid="{0A1FAFDC-7105-4087-8A64-466516268156}"/>
    <cellStyle name="Normal 2 3 3 5 2 2 3 5" xfId="19596" xr:uid="{FCB086C3-CF57-4C04-971E-1929281AE2B5}"/>
    <cellStyle name="Normal 2 3 3 5 2 2 3 6" xfId="19597" xr:uid="{BE27E8D8-A70A-4F68-8165-63872011EF95}"/>
    <cellStyle name="Normal 2 3 3 5 2 2 4" xfId="19598" xr:uid="{3C73427D-BE29-4CF2-B150-630EC31D63C2}"/>
    <cellStyle name="Normal 2 3 3 5 2 2 5" xfId="19599" xr:uid="{27B0C27A-DA99-4526-AF26-039AB3F33129}"/>
    <cellStyle name="Normal 2 3 3 5 2 2 6" xfId="19600" xr:uid="{9C548593-7E9C-4863-A644-7BFF6E5C5E92}"/>
    <cellStyle name="Normal 2 3 3 5 2 2 7" xfId="19601" xr:uid="{90B94B59-C1FC-4022-BF21-7E4FC3A70298}"/>
    <cellStyle name="Normal 2 3 3 5 2 2 8" xfId="19602" xr:uid="{70E63B94-AF31-450B-8FEA-272E25333300}"/>
    <cellStyle name="Normal 2 3 3 5 2 2 9" xfId="19603" xr:uid="{8D1DA7F1-4FB6-45EE-80FA-36936D3305D1}"/>
    <cellStyle name="Normal 2 3 3 5 2 3" xfId="19604" xr:uid="{FF102CA7-EA79-40E5-A400-D885B670A4E7}"/>
    <cellStyle name="Normal 2 3 3 5 2 4" xfId="19605" xr:uid="{4273B79B-32D7-4595-8B49-6235A53DF79D}"/>
    <cellStyle name="Normal 2 3 3 5 2 5" xfId="19606" xr:uid="{6F6564CC-48CD-4315-9C55-62E65332052C}"/>
    <cellStyle name="Normal 2 3 3 5 2 5 2" xfId="19607" xr:uid="{BCF2534C-78E2-4F71-A259-C81492AAC517}"/>
    <cellStyle name="Normal 2 3 3 5 2 5 2 2" xfId="19608" xr:uid="{189B3D5D-2A1B-48F7-B674-A1C8F8CDEABF}"/>
    <cellStyle name="Normal 2 3 3 5 2 5 2 3" xfId="19609" xr:uid="{374A1F8C-65C0-4AA0-8829-CA90F58C4DBF}"/>
    <cellStyle name="Normal 2 3 3 5 2 5 2 4" xfId="19610" xr:uid="{3BD108F5-0844-4B26-BF86-AB7196E264BD}"/>
    <cellStyle name="Normal 2 3 3 5 2 5 2 5" xfId="19611" xr:uid="{C6C85362-1548-40AB-ADEB-591807F5E72D}"/>
    <cellStyle name="Normal 2 3 3 5 2 5 2 6" xfId="19612" xr:uid="{356620E2-177C-4964-B911-AE9F1EE01FA4}"/>
    <cellStyle name="Normal 2 3 3 5 2 5 3" xfId="19613" xr:uid="{A43EBBF0-CD1F-4A22-AFF3-80AEAEBF71F9}"/>
    <cellStyle name="Normal 2 3 3 5 2 5 4" xfId="19614" xr:uid="{8DA528D6-4BB2-44CE-BD70-EAC72BF07097}"/>
    <cellStyle name="Normal 2 3 3 5 2 5 5" xfId="19615" xr:uid="{EE11A6D5-C145-49B4-94EE-0CF27C57BBF5}"/>
    <cellStyle name="Normal 2 3 3 5 2 5 6" xfId="19616" xr:uid="{B2BD24B4-F91C-4252-8F7A-B3E2E2F6272A}"/>
    <cellStyle name="Normal 2 3 3 5 2 6" xfId="19617" xr:uid="{FB82132E-96FC-4627-968B-276C527EDC9F}"/>
    <cellStyle name="Normal 2 3 3 5 2 7" xfId="19618" xr:uid="{45E3F6B4-6470-4360-A9E6-A5457F75509F}"/>
    <cellStyle name="Normal 2 3 3 5 2 8" xfId="19619" xr:uid="{BDCD78AD-F1F3-4433-AE5C-951194E13343}"/>
    <cellStyle name="Normal 2 3 3 5 2 9" xfId="19620" xr:uid="{C755D635-48D5-4BAC-BF68-08AC6096D109}"/>
    <cellStyle name="Normal 2 3 3 5 3" xfId="19621" xr:uid="{0B43AECC-0292-4C5E-A86D-8FEDD22DB9C9}"/>
    <cellStyle name="Normal 2 3 3 5 3 2" xfId="19622" xr:uid="{08AFE7D8-9EB3-418D-AE2B-323755951EFA}"/>
    <cellStyle name="Normal 2 3 3 5 3 2 2" xfId="19623" xr:uid="{A16732CB-F2A2-4B55-835C-22CEC4B656D0}"/>
    <cellStyle name="Normal 2 3 3 5 3 2 2 2" xfId="19624" xr:uid="{6985CAFB-D5AB-4CD1-B4E7-F8644A6AE311}"/>
    <cellStyle name="Normal 2 3 3 5 3 2 2 2 2" xfId="19625" xr:uid="{B93A146E-440C-4038-8279-43F425D8A8D0}"/>
    <cellStyle name="Normal 2 3 3 5 3 2 2 2 3" xfId="19626" xr:uid="{BF978E16-B25B-4A3E-B264-DC8B3CFD9851}"/>
    <cellStyle name="Normal 2 3 3 5 3 2 2 2 4" xfId="19627" xr:uid="{96007434-449A-4756-8F8A-CF363FA5DA1F}"/>
    <cellStyle name="Normal 2 3 3 5 3 2 2 2 5" xfId="19628" xr:uid="{F8238775-D7D2-4F4A-9C74-086F006A6DE3}"/>
    <cellStyle name="Normal 2 3 3 5 3 2 2 2 6" xfId="19629" xr:uid="{BF5DCFCF-4FAB-4E50-B5A0-96F90E5C86D0}"/>
    <cellStyle name="Normal 2 3 3 5 3 2 2 3" xfId="19630" xr:uid="{8BD0A8A4-3436-4125-854C-A9CADBBBA11A}"/>
    <cellStyle name="Normal 2 3 3 5 3 2 2 4" xfId="19631" xr:uid="{1CC906B0-EECC-46DE-BE24-35BD3291B636}"/>
    <cellStyle name="Normal 2 3 3 5 3 2 2 5" xfId="19632" xr:uid="{9984513A-3CDA-4AF6-A6EC-EC1409519F7B}"/>
    <cellStyle name="Normal 2 3 3 5 3 2 2 6" xfId="19633" xr:uid="{AC3F5988-3CA5-489C-9ADD-E6E3E0CC6577}"/>
    <cellStyle name="Normal 2 3 3 5 3 2 3" xfId="19634" xr:uid="{E95DD1CC-E5AC-4BCB-B373-1D3A8C61EE7E}"/>
    <cellStyle name="Normal 2 3 3 5 3 2 4" xfId="19635" xr:uid="{1472D55A-9AF6-4F6B-830E-8F151C8622FF}"/>
    <cellStyle name="Normal 2 3 3 5 3 2 5" xfId="19636" xr:uid="{2B51F35A-ADC5-43F4-AB0F-74A9B90F719F}"/>
    <cellStyle name="Normal 2 3 3 5 3 2 6" xfId="19637" xr:uid="{8581D54B-90CB-465D-AD8B-A137A558BA7C}"/>
    <cellStyle name="Normal 2 3 3 5 3 2 7" xfId="19638" xr:uid="{E83FA293-C307-46B1-BAD7-1DACB607A3BC}"/>
    <cellStyle name="Normal 2 3 3 5 3 2 8" xfId="19639" xr:uid="{3EFCA09E-F21C-401D-9343-8312EBBE8883}"/>
    <cellStyle name="Normal 2 3 3 5 3 2 9" xfId="19640" xr:uid="{E7C1064F-6189-4760-8CD0-0A1E39B2D359}"/>
    <cellStyle name="Normal 2 3 3 5 3 3" xfId="19641" xr:uid="{16F50C9E-C501-4913-B108-0126DB527492}"/>
    <cellStyle name="Normal 2 3 3 5 3 3 2" xfId="19642" xr:uid="{BFE6EC24-EEC5-40F2-AF73-DBEC77D0AE02}"/>
    <cellStyle name="Normal 2 3 3 5 3 3 2 2" xfId="19643" xr:uid="{FB8FE6B4-CA0C-4A14-BE89-A1738B562BCA}"/>
    <cellStyle name="Normal 2 3 3 5 3 3 2 3" xfId="19644" xr:uid="{76729E8A-A32A-48B8-998C-1B4252616814}"/>
    <cellStyle name="Normal 2 3 3 5 3 3 2 4" xfId="19645" xr:uid="{DD803443-A862-4B8D-8AEA-803EA7D053F1}"/>
    <cellStyle name="Normal 2 3 3 5 3 3 2 5" xfId="19646" xr:uid="{257430E8-3B6D-4907-A2C9-0D050D705240}"/>
    <cellStyle name="Normal 2 3 3 5 3 3 2 6" xfId="19647" xr:uid="{2B993F5B-9BB0-4EF8-8DDF-C8C717284D5F}"/>
    <cellStyle name="Normal 2 3 3 5 3 3 3" xfId="19648" xr:uid="{EF3DBE83-88AF-40D3-8A8D-1CE1D66717FB}"/>
    <cellStyle name="Normal 2 3 3 5 3 3 4" xfId="19649" xr:uid="{2900301C-1C5A-444C-AA77-BBF1CCF63B66}"/>
    <cellStyle name="Normal 2 3 3 5 3 3 5" xfId="19650" xr:uid="{AC3D414E-B440-46C1-A6AB-A90B0210993A}"/>
    <cellStyle name="Normal 2 3 3 5 3 3 6" xfId="19651" xr:uid="{2FCA5150-1035-4163-B899-AEB2FFBE8400}"/>
    <cellStyle name="Normal 2 3 3 5 3 4" xfId="19652" xr:uid="{8293F198-20BE-46C8-AA25-4ACA1D152C6B}"/>
    <cellStyle name="Normal 2 3 3 5 3 5" xfId="19653" xr:uid="{A7880CFC-1487-4E58-98E7-E4A2130B5BFF}"/>
    <cellStyle name="Normal 2 3 3 5 3 6" xfId="19654" xr:uid="{B0653E49-F5C1-4409-9CDE-C6D32AE3D8A0}"/>
    <cellStyle name="Normal 2 3 3 5 3 7" xfId="19655" xr:uid="{0C75C00B-5E2E-41C2-8B95-AC334FE0546E}"/>
    <cellStyle name="Normal 2 3 3 5 3 8" xfId="19656" xr:uid="{EBDEA061-2712-4D9A-969B-45BC698A2621}"/>
    <cellStyle name="Normal 2 3 3 5 3 9" xfId="19657" xr:uid="{35D19444-D397-4D8A-AC14-BBD12214CC5E}"/>
    <cellStyle name="Normal 2 3 3 5 4" xfId="19658" xr:uid="{3186A02A-CB3C-4220-8681-441ED4833818}"/>
    <cellStyle name="Normal 2 3 3 5 5" xfId="19659" xr:uid="{69197BE7-F587-4D43-A35C-C0E68BF564CE}"/>
    <cellStyle name="Normal 2 3 3 5 5 2" xfId="19660" xr:uid="{D5ADBDC4-E35E-489D-8ECD-E8691E4FEBA2}"/>
    <cellStyle name="Normal 2 3 3 5 5 2 2" xfId="19661" xr:uid="{25752B34-2ED5-42A1-95E5-51F6BDB6D9DF}"/>
    <cellStyle name="Normal 2 3 3 5 5 2 3" xfId="19662" xr:uid="{B8173A13-8234-4E50-8579-1E2DB5322BD3}"/>
    <cellStyle name="Normal 2 3 3 5 5 2 4" xfId="19663" xr:uid="{5F5923E9-E74A-4438-95A3-F8F7C5A6EE96}"/>
    <cellStyle name="Normal 2 3 3 5 5 2 5" xfId="19664" xr:uid="{1548746A-FB20-4A61-88FC-EBB6C3BE7AC4}"/>
    <cellStyle name="Normal 2 3 3 5 5 2 6" xfId="19665" xr:uid="{E2546C1A-4AD4-4AE2-9C25-BA62B9837715}"/>
    <cellStyle name="Normal 2 3 3 5 5 3" xfId="19666" xr:uid="{23176D08-A347-4408-BF2C-9682FBF92DEC}"/>
    <cellStyle name="Normal 2 3 3 5 5 4" xfId="19667" xr:uid="{6938FE62-BBCF-484B-8A9C-77C72BC19945}"/>
    <cellStyle name="Normal 2 3 3 5 5 5" xfId="19668" xr:uid="{1FFF271F-8405-49F9-A823-8B11FB8C2F18}"/>
    <cellStyle name="Normal 2 3 3 5 5 6" xfId="19669" xr:uid="{9858CDD4-42FF-4419-B766-1AB4275DD7F1}"/>
    <cellStyle name="Normal 2 3 3 5 6" xfId="19670" xr:uid="{38FFBAB4-8D3D-4B16-BE6A-B12D02133BD8}"/>
    <cellStyle name="Normal 2 3 3 5 7" xfId="19671" xr:uid="{E9EF33A6-DE28-47F6-B5F7-C18ACD5EE4D0}"/>
    <cellStyle name="Normal 2 3 3 5 8" xfId="19672" xr:uid="{37DF6911-5286-4663-BA73-B4D2D8DE75E2}"/>
    <cellStyle name="Normal 2 3 3 5 9" xfId="19673" xr:uid="{A32089D6-D9F7-4A1D-A78E-C02AA2CD7361}"/>
    <cellStyle name="Normal 2 3 3 6" xfId="19674" xr:uid="{B2B5278B-EA38-422F-8836-B8C852F29EB8}"/>
    <cellStyle name="Normal 2 3 3 7" xfId="19675" xr:uid="{D2B831AB-44C2-44CC-8C8F-E2F9BA63424D}"/>
    <cellStyle name="Normal 2 3 3 8" xfId="19676" xr:uid="{BFB21AD3-DB4C-4FC0-BD8A-C4429B09B73C}"/>
    <cellStyle name="Normal 2 3 3 8 2" xfId="19677" xr:uid="{E925DA36-CB55-4958-94A4-A77A1B943E70}"/>
    <cellStyle name="Normal 2 3 3 8 2 2" xfId="19678" xr:uid="{AC110A8A-1ECC-42D4-94DC-29A0A70EBD57}"/>
    <cellStyle name="Normal 2 3 3 8 2 2 2" xfId="19679" xr:uid="{592C65AE-B996-40F5-93BB-FA35C5760291}"/>
    <cellStyle name="Normal 2 3 3 8 2 2 2 2" xfId="19680" xr:uid="{A8B38F6D-E5DB-4EA1-A546-56230EE8B80F}"/>
    <cellStyle name="Normal 2 3 3 8 2 2 2 3" xfId="19681" xr:uid="{110B9F25-334A-4E87-9FF4-44209C809445}"/>
    <cellStyle name="Normal 2 3 3 8 2 2 2 4" xfId="19682" xr:uid="{4695ABCE-80BD-416F-BB38-6117926BE356}"/>
    <cellStyle name="Normal 2 3 3 8 2 2 2 5" xfId="19683" xr:uid="{345F6E7E-4930-427E-80CB-78508ECC86E3}"/>
    <cellStyle name="Normal 2 3 3 8 2 2 2 6" xfId="19684" xr:uid="{4BECC416-C2C9-418B-B527-93489B13B71D}"/>
    <cellStyle name="Normal 2 3 3 8 2 2 3" xfId="19685" xr:uid="{2A13BB61-7735-493E-9213-C87B8AF554E1}"/>
    <cellStyle name="Normal 2 3 3 8 2 2 4" xfId="19686" xr:uid="{3513BDAB-0846-44CD-86FA-50F4EE151366}"/>
    <cellStyle name="Normal 2 3 3 8 2 2 5" xfId="19687" xr:uid="{56EBAFA6-128D-4743-B5CB-EACD14E7B76B}"/>
    <cellStyle name="Normal 2 3 3 8 2 2 6" xfId="19688" xr:uid="{59A0C110-A3E2-4633-B554-02D8C8179E7E}"/>
    <cellStyle name="Normal 2 3 3 8 2 3" xfId="19689" xr:uid="{A15BE2EB-F973-4D57-AC44-264F2CF40F13}"/>
    <cellStyle name="Normal 2 3 3 8 2 4" xfId="19690" xr:uid="{31EBAB9D-A7CA-40B1-A784-E30CD7B1486F}"/>
    <cellStyle name="Normal 2 3 3 8 2 5" xfId="19691" xr:uid="{6502D81E-B509-4FFD-B270-5E5CDBE5009B}"/>
    <cellStyle name="Normal 2 3 3 8 2 6" xfId="19692" xr:uid="{CAA9C98B-BFF7-4679-B66C-83248BBA5673}"/>
    <cellStyle name="Normal 2 3 3 8 2 7" xfId="19693" xr:uid="{45D31DCF-3E47-4CEA-BEFE-155DE7BB71C6}"/>
    <cellStyle name="Normal 2 3 3 8 2 8" xfId="19694" xr:uid="{6E7C8A8F-604B-4E86-AF35-11EF2545D616}"/>
    <cellStyle name="Normal 2 3 3 8 2 9" xfId="19695" xr:uid="{4F1D5524-F6A3-440F-969A-1841B5719288}"/>
    <cellStyle name="Normal 2 3 3 8 3" xfId="19696" xr:uid="{71CB9E44-061A-48D0-916F-4A63FA1C7A9B}"/>
    <cellStyle name="Normal 2 3 3 8 3 2" xfId="19697" xr:uid="{1C3B0A77-8F1C-458F-A5B6-387297B07889}"/>
    <cellStyle name="Normal 2 3 3 8 3 2 2" xfId="19698" xr:uid="{955DA943-9E20-4C80-9CB4-F4AE993936AB}"/>
    <cellStyle name="Normal 2 3 3 8 3 2 3" xfId="19699" xr:uid="{E2931349-59DE-4FBD-99FD-2509A2236376}"/>
    <cellStyle name="Normal 2 3 3 8 3 2 4" xfId="19700" xr:uid="{D9788065-087B-4586-AE4C-B11D8280D2A9}"/>
    <cellStyle name="Normal 2 3 3 8 3 2 5" xfId="19701" xr:uid="{2291FFFE-00F1-48FC-AE48-DF5E7CD232E8}"/>
    <cellStyle name="Normal 2 3 3 8 3 2 6" xfId="19702" xr:uid="{C80722D9-7C8A-4174-9E4A-EF81BA222BCF}"/>
    <cellStyle name="Normal 2 3 3 8 3 3" xfId="19703" xr:uid="{B0C13DBF-BC7F-45ED-A599-61053D4341C4}"/>
    <cellStyle name="Normal 2 3 3 8 3 4" xfId="19704" xr:uid="{5EBBF8CF-816F-4B41-83FE-6E441F61279F}"/>
    <cellStyle name="Normal 2 3 3 8 3 5" xfId="19705" xr:uid="{7D02E967-A2AF-4817-8DBB-E6D92EEB09A8}"/>
    <cellStyle name="Normal 2 3 3 8 3 6" xfId="19706" xr:uid="{26E5C039-3B86-4A0B-AE0A-8CD5B6977A7B}"/>
    <cellStyle name="Normal 2 3 3 8 4" xfId="19707" xr:uid="{D9A34206-A054-473C-9096-7EE76FA51068}"/>
    <cellStyle name="Normal 2 3 3 8 5" xfId="19708" xr:uid="{3EC221E8-9BF3-489D-9F11-79ED387CFB2F}"/>
    <cellStyle name="Normal 2 3 3 8 6" xfId="19709" xr:uid="{643E365E-813B-4823-8E7A-FE6F589D9F63}"/>
    <cellStyle name="Normal 2 3 3 8 7" xfId="19710" xr:uid="{97D3AF7F-C582-4EEB-9C81-3020B362473D}"/>
    <cellStyle name="Normal 2 3 3 8 8" xfId="19711" xr:uid="{CB624766-BAB1-48EE-AD61-56B004771CDD}"/>
    <cellStyle name="Normal 2 3 3 8 9" xfId="19712" xr:uid="{1D8B792D-E0E6-44AD-B72C-F7575BFD596B}"/>
    <cellStyle name="Normal 2 3 3 9" xfId="19713" xr:uid="{FF191FEE-47E3-4526-80F1-FA2AE7532245}"/>
    <cellStyle name="Normal 2 3 30" xfId="19714" xr:uid="{49AF88A8-8428-4ADB-BCD4-66E4E32005E0}"/>
    <cellStyle name="Normal 2 3 31" xfId="19715" xr:uid="{FA0F4C15-2B5A-40BA-B1E3-7F7EE46C6965}"/>
    <cellStyle name="Normal 2 3 32" xfId="19716" xr:uid="{E5332250-CAC1-4F16-8513-E2AD5B81E22A}"/>
    <cellStyle name="Normal 2 3 33" xfId="19717" xr:uid="{A3976316-D925-483E-8D7A-9DEE4531D35A}"/>
    <cellStyle name="Normal 2 3 34" xfId="19718" xr:uid="{10DAE3BB-B9D2-4C0D-AD01-F058F52E1860}"/>
    <cellStyle name="Normal 2 3 35" xfId="19719" xr:uid="{5D6B3AC9-D519-4FF2-8D62-E398D890024A}"/>
    <cellStyle name="Normal 2 3 36" xfId="19720" xr:uid="{210DF59F-EBD6-436E-B90A-017D532638B2}"/>
    <cellStyle name="Normal 2 3 36 10" xfId="19721" xr:uid="{DD4AFAE7-EBAA-48A3-B015-55A1FCC20E2A}"/>
    <cellStyle name="Normal 2 3 36 11" xfId="19722" xr:uid="{6F77AA9E-1473-4A53-A3FA-627FB05546BF}"/>
    <cellStyle name="Normal 2 3 36 12" xfId="19723" xr:uid="{0A17CDD7-F568-4277-8BA1-E922E46D9D64}"/>
    <cellStyle name="Normal 2 3 36 13" xfId="19724" xr:uid="{CE582158-9E3A-4D84-8729-72303ABA5F82}"/>
    <cellStyle name="Normal 2 3 36 14" xfId="19725" xr:uid="{6DF9DE00-3A94-47A8-A743-78BEE3A14FCE}"/>
    <cellStyle name="Normal 2 3 36 15" xfId="19726" xr:uid="{8F8A3B40-AAD5-48B1-930C-6278CED821F4}"/>
    <cellStyle name="Normal 2 3 36 16" xfId="19727" xr:uid="{B9C1CF8F-11F5-4ED9-ADAD-C484FB206C24}"/>
    <cellStyle name="Normal 2 3 36 17" xfId="19728" xr:uid="{0FE4AA40-2F70-4B71-AB9B-E03DF3303D64}"/>
    <cellStyle name="Normal 2 3 36 2" xfId="19729" xr:uid="{21DD5F0C-6DA9-4AA0-AE9B-740D63F1BB4D}"/>
    <cellStyle name="Normal 2 3 36 2 10" xfId="19730" xr:uid="{D74B9589-BAB5-4602-9398-749A12BCDF9A}"/>
    <cellStyle name="Normal 2 3 36 2 11" xfId="19731" xr:uid="{43A42A05-6881-4CFE-86E2-99B9E0D15A71}"/>
    <cellStyle name="Normal 2 3 36 2 12" xfId="19732" xr:uid="{CF95321F-81E1-4E90-B863-892009DFEBAA}"/>
    <cellStyle name="Normal 2 3 36 2 13" xfId="19733" xr:uid="{3C8A6004-8D7B-4D1D-AEE0-4692A6CF9008}"/>
    <cellStyle name="Normal 2 3 36 2 14" xfId="19734" xr:uid="{A486395B-ECD2-4A88-967C-35760F786DCD}"/>
    <cellStyle name="Normal 2 3 36 2 15" xfId="19735" xr:uid="{6A932084-53B1-432F-BCB2-1B81BFD065C6}"/>
    <cellStyle name="Normal 2 3 36 2 16" xfId="19736" xr:uid="{E3F36477-B4FB-4B0B-B6A3-FB63FBF49BFB}"/>
    <cellStyle name="Normal 2 3 36 2 17" xfId="19737" xr:uid="{2BD49862-F0BD-4276-AAE2-E694310B2A58}"/>
    <cellStyle name="Normal 2 3 36 2 2" xfId="19738" xr:uid="{AA938CB6-B66A-425A-8BCB-FD30B99209E9}"/>
    <cellStyle name="Normal 2 3 36 2 2 2" xfId="19739" xr:uid="{E23018D9-2795-49CB-9462-0B87FE25B1A3}"/>
    <cellStyle name="Normal 2 3 36 2 2 2 2" xfId="19740" xr:uid="{EF03044B-6FD3-4E4F-A355-7122B335D282}"/>
    <cellStyle name="Normal 2 3 36 2 2 2 3" xfId="19741" xr:uid="{8217C623-A0F5-497A-ACA6-1AC282AA62A9}"/>
    <cellStyle name="Normal 2 3 36 2 2 2 4" xfId="19742" xr:uid="{A990A5A2-23E0-4898-9BC7-B8F10CB3C4C8}"/>
    <cellStyle name="Normal 2 3 36 2 2 2 5" xfId="19743" xr:uid="{F0E3C7A5-D6BB-47C9-851E-9A6329AA7C57}"/>
    <cellStyle name="Normal 2 3 36 2 2 2 6" xfId="19744" xr:uid="{617F7E68-84E4-4A0A-8891-4146B57BCC91}"/>
    <cellStyle name="Normal 2 3 36 2 2 2 7" xfId="19745" xr:uid="{F7663AB1-F8F5-41DC-9336-4F4720E9C12C}"/>
    <cellStyle name="Normal 2 3 36 2 2 2 8" xfId="19746" xr:uid="{1F1640D6-99C0-4483-B83C-A3CBA67473C0}"/>
    <cellStyle name="Normal 2 3 36 2 2 2 9" xfId="19747" xr:uid="{BE076E2C-29A8-4FA9-AB8A-A41203763D2A}"/>
    <cellStyle name="Normal 2 3 36 2 2 3" xfId="19748" xr:uid="{A08692EB-A7CD-43B0-8183-BA3A13970D83}"/>
    <cellStyle name="Normal 2 3 36 2 2 4" xfId="19749" xr:uid="{D398AEA8-F016-4EB2-96A9-E5806AC9B1F2}"/>
    <cellStyle name="Normal 2 3 36 2 2 5" xfId="19750" xr:uid="{F687ED3E-36D2-434E-8258-DD465F06F3E6}"/>
    <cellStyle name="Normal 2 3 36 2 2 6" xfId="19751" xr:uid="{7DAC4C15-3C51-498A-B58A-F4558EDF5E88}"/>
    <cellStyle name="Normal 2 3 36 2 2 7" xfId="19752" xr:uid="{674A1F0B-AE6F-43CD-8FD2-435C716AB29A}"/>
    <cellStyle name="Normal 2 3 36 2 2 8" xfId="19753" xr:uid="{31B6A370-0FB4-4CED-9681-4374CA87D80C}"/>
    <cellStyle name="Normal 2 3 36 2 2 9" xfId="19754" xr:uid="{AFBB0655-2BF4-42F7-A596-D068BC598434}"/>
    <cellStyle name="Normal 2 3 36 2 3" xfId="19755" xr:uid="{C244E558-043F-4A1D-AA73-19AEEDF4FAB5}"/>
    <cellStyle name="Normal 2 3 36 2 4" xfId="19756" xr:uid="{8550D3BD-D971-4221-8348-6F5B7DC9010B}"/>
    <cellStyle name="Normal 2 3 36 2 5" xfId="19757" xr:uid="{7DAFB1AC-2DBD-43EF-8D6E-6BF4EEF6A9D2}"/>
    <cellStyle name="Normal 2 3 36 2 6" xfId="19758" xr:uid="{03592933-435D-42F7-99D6-32FFEA3E7333}"/>
    <cellStyle name="Normal 2 3 36 2 7" xfId="19759" xr:uid="{EC1734D7-BD3B-4E94-93F7-B66F468AC91B}"/>
    <cellStyle name="Normal 2 3 36 2 8" xfId="19760" xr:uid="{DC4B0673-75AC-4B00-9CB3-3B5419F8DAD0}"/>
    <cellStyle name="Normal 2 3 36 2 9" xfId="19761" xr:uid="{C741E19A-7A82-409E-B74E-5CF4ECCDE844}"/>
    <cellStyle name="Normal 2 3 36 3" xfId="19762" xr:uid="{569F413B-8866-493E-9C5B-722F03D3C435}"/>
    <cellStyle name="Normal 2 3 36 3 2" xfId="19763" xr:uid="{DFE4C4B1-CBA1-4D78-A662-48556856B24F}"/>
    <cellStyle name="Normal 2 3 36 3 2 2" xfId="19764" xr:uid="{11A6D35A-AB65-4D73-BE9E-1A4F2262D918}"/>
    <cellStyle name="Normal 2 3 36 3 2 3" xfId="19765" xr:uid="{B2BF9E79-E7C2-4F50-9220-86B575CB83E3}"/>
    <cellStyle name="Normal 2 3 36 3 2 4" xfId="19766" xr:uid="{31E0D902-D341-4250-A349-B0CA70427883}"/>
    <cellStyle name="Normal 2 3 36 3 2 5" xfId="19767" xr:uid="{09E6610C-AA89-4C57-B426-3AF9ABE86CA8}"/>
    <cellStyle name="Normal 2 3 36 3 2 6" xfId="19768" xr:uid="{7A723121-BD0E-47E5-BC65-4381B8B4EF45}"/>
    <cellStyle name="Normal 2 3 36 3 2 7" xfId="19769" xr:uid="{DBA8EB89-1837-4B90-8826-E7AB42F488D9}"/>
    <cellStyle name="Normal 2 3 36 3 2 8" xfId="19770" xr:uid="{9795E2E5-A5D7-432A-8706-63DB728E3F8F}"/>
    <cellStyle name="Normal 2 3 36 3 2 9" xfId="19771" xr:uid="{B47ECBBD-817C-48F8-905D-F074FFE672BC}"/>
    <cellStyle name="Normal 2 3 36 3 3" xfId="19772" xr:uid="{35DC13BB-B043-4846-8FCA-4B54BE709383}"/>
    <cellStyle name="Normal 2 3 36 3 4" xfId="19773" xr:uid="{6C228B30-4592-4137-9C01-8BBF244C4A04}"/>
    <cellStyle name="Normal 2 3 36 3 5" xfId="19774" xr:uid="{E10D6633-5435-4BC2-B391-19207E4523DF}"/>
    <cellStyle name="Normal 2 3 36 3 6" xfId="19775" xr:uid="{4322C55C-A42B-4D7B-A7D7-FE2744F6DCCA}"/>
    <cellStyle name="Normal 2 3 36 3 7" xfId="19776" xr:uid="{BC1C7F66-C398-43E3-8208-ADEFB87C717F}"/>
    <cellStyle name="Normal 2 3 36 3 8" xfId="19777" xr:uid="{24D842BF-FA38-4E46-B560-530A40894CE2}"/>
    <cellStyle name="Normal 2 3 36 3 9" xfId="19778" xr:uid="{C70E78B2-4AF5-41F8-A268-5FC67EAE7294}"/>
    <cellStyle name="Normal 2 3 36 4" xfId="19779" xr:uid="{E3DC245F-DF1E-49E4-BC31-EF40D8AC3E0D}"/>
    <cellStyle name="Normal 2 3 36 5" xfId="19780" xr:uid="{081944D7-FDD5-4F2B-BDE1-400C8B964748}"/>
    <cellStyle name="Normal 2 3 36 6" xfId="19781" xr:uid="{B539FF5E-A162-42C4-800D-850DCF8E32A9}"/>
    <cellStyle name="Normal 2 3 36 7" xfId="19782" xr:uid="{91ACBD7C-301E-4A1E-B74E-09A4BC9E2658}"/>
    <cellStyle name="Normal 2 3 36 8" xfId="19783" xr:uid="{90A15D98-515E-44D4-ABDB-F04D2138CF4C}"/>
    <cellStyle name="Normal 2 3 36 9" xfId="19784" xr:uid="{97A51C0D-9A3D-46EF-9E5B-18BA888CF317}"/>
    <cellStyle name="Normal 2 3 37" xfId="19785" xr:uid="{8579CC41-C9F9-443F-9952-42C123BAF2D8}"/>
    <cellStyle name="Normal 2 3 38" xfId="19786" xr:uid="{AF34F822-E26E-4F70-9768-EA9C33CD2BE5}"/>
    <cellStyle name="Normal 2 3 39" xfId="19787" xr:uid="{8D2FA9A0-BA1D-446B-BE6F-D1911BF657B6}"/>
    <cellStyle name="Normal 2 3 4" xfId="19788" xr:uid="{BA36B49C-C9F0-48A2-98B3-A6AC5CBAD959}"/>
    <cellStyle name="Normal 2 3 4 2" xfId="19789" xr:uid="{83FD5628-818B-4005-8DE7-6E42DBB09E41}"/>
    <cellStyle name="Normal 2 3 4 3" xfId="19790" xr:uid="{8F1D708A-E83E-4311-89D1-5DFE2F3201CF}"/>
    <cellStyle name="Normal 2 3 4 4" xfId="19791" xr:uid="{AE5C402F-E220-456E-B2CF-E3DDCF4A3729}"/>
    <cellStyle name="Normal 2 3 4 5" xfId="19792" xr:uid="{D069616D-AC7A-4ECA-9976-612ACDB3A734}"/>
    <cellStyle name="Normal 2 3 4 6" xfId="19793" xr:uid="{DF034AA2-AA62-456B-9B78-797891416A4D}"/>
    <cellStyle name="Normal 2 3 40" xfId="19794" xr:uid="{9F47A6E1-77A5-435C-92D4-D3EA109FB497}"/>
    <cellStyle name="Normal 2 3 41" xfId="19795" xr:uid="{8703BC69-0267-4991-8BA5-C905463FFC92}"/>
    <cellStyle name="Normal 2 3 42" xfId="19796" xr:uid="{3794EFC4-F164-4A2D-BB8D-3FC7FFCBC60C}"/>
    <cellStyle name="Normal 2 3 43" xfId="19797" xr:uid="{9CE46C78-C1F7-4567-8E98-932C01F58C14}"/>
    <cellStyle name="Normal 2 3 44" xfId="19798" xr:uid="{EBB8D48C-DABB-4286-90F9-1E471B12913E}"/>
    <cellStyle name="Normal 2 3 45" xfId="19799" xr:uid="{A4C55A1C-D442-434D-8E0F-80E803EB8C29}"/>
    <cellStyle name="Normal 2 3 46" xfId="19800" xr:uid="{DF425A38-AADF-4B91-A7FC-A1905DF5EAE1}"/>
    <cellStyle name="Normal 2 3 46 2" xfId="19801" xr:uid="{B6375E8D-DA4E-4CC5-82A9-229AB438DA8B}"/>
    <cellStyle name="Normal 2 3 46 2 2" xfId="19802" xr:uid="{E842D9B6-C90B-4407-8344-0984E55F2BB4}"/>
    <cellStyle name="Normal 2 3 46 2 3" xfId="19803" xr:uid="{3A9EB3D5-EA3A-4410-B10E-B6096E84FCBA}"/>
    <cellStyle name="Normal 2 3 46 2 4" xfId="19804" xr:uid="{3D3A5479-652B-4223-9841-24865C33848F}"/>
    <cellStyle name="Normal 2 3 46 2 5" xfId="19805" xr:uid="{A669F9D9-1BDF-48C1-A2BC-ADFF3494981A}"/>
    <cellStyle name="Normal 2 3 46 2 6" xfId="19806" xr:uid="{21B33958-DEB1-4AD9-8CB4-54BE9631A0CC}"/>
    <cellStyle name="Normal 2 3 46 2 7" xfId="19807" xr:uid="{668D37EB-0E28-4EEF-9F5B-F25DE85AA813}"/>
    <cellStyle name="Normal 2 3 46 2 8" xfId="19808" xr:uid="{68B78C9D-D5F7-4CE2-997E-3A07F3A1CF38}"/>
    <cellStyle name="Normal 2 3 46 2 9" xfId="19809" xr:uid="{2F2FA6D8-4E31-4943-9D30-C7113F287BC3}"/>
    <cellStyle name="Normal 2 3 46 3" xfId="19810" xr:uid="{8F9EF36E-0CCE-45EE-82AC-66664F4BC2F6}"/>
    <cellStyle name="Normal 2 3 46 4" xfId="19811" xr:uid="{6B5B20A2-0682-44A3-91F3-1346C93FB6B8}"/>
    <cellStyle name="Normal 2 3 46 5" xfId="19812" xr:uid="{A729AAEC-A333-42E3-8F40-32DE9F425DA8}"/>
    <cellStyle name="Normal 2 3 46 6" xfId="19813" xr:uid="{1EE87671-130F-459C-BAEA-8FB5E8F7FCF6}"/>
    <cellStyle name="Normal 2 3 46 7" xfId="19814" xr:uid="{FAF9567D-0AC6-4B34-B08B-82E530BA522F}"/>
    <cellStyle name="Normal 2 3 46 8" xfId="19815" xr:uid="{446CD0BC-2D77-4376-9BBC-B157C842E6F9}"/>
    <cellStyle name="Normal 2 3 46 9" xfId="19816" xr:uid="{EE145AFE-37CE-45AE-B189-41D31E33EBB0}"/>
    <cellStyle name="Normal 2 3 47" xfId="19817" xr:uid="{2DD68F80-7563-43EB-892F-D24A87FECA8B}"/>
    <cellStyle name="Normal 2 3 48" xfId="19818" xr:uid="{40A43084-D630-4134-A58A-AEE566B4F628}"/>
    <cellStyle name="Normal 2 3 49" xfId="19819" xr:uid="{8754C7B9-FEA0-42CC-B092-EF4C8E52EF95}"/>
    <cellStyle name="Normal 2 3 5" xfId="19820" xr:uid="{635024F8-68B6-40F5-A9E8-326305C0AFFB}"/>
    <cellStyle name="Normal 2 3 5 10" xfId="19821" xr:uid="{C0B05222-19D7-49A5-978D-DAE79ACBE100}"/>
    <cellStyle name="Normal 2 3 5 11" xfId="19822" xr:uid="{CB858CC9-2B11-4BBE-8358-4071E788623C}"/>
    <cellStyle name="Normal 2 3 5 12" xfId="19823" xr:uid="{03A2A795-1E6F-4FC0-823D-1607E4C0597D}"/>
    <cellStyle name="Normal 2 3 5 13" xfId="19824" xr:uid="{F4DED4C9-7B42-450F-B9A0-1395F615A576}"/>
    <cellStyle name="Normal 2 3 5 14" xfId="19825" xr:uid="{F84B29C1-BAEC-494B-8BC1-87117FA5EDA6}"/>
    <cellStyle name="Normal 2 3 5 15" xfId="19826" xr:uid="{D7A150A4-5475-4FDE-8C67-A980886F0F05}"/>
    <cellStyle name="Normal 2 3 5 16" xfId="19827" xr:uid="{EE3D5831-F178-43D2-9498-C01FB06FA50F}"/>
    <cellStyle name="Normal 2 3 5 17" xfId="19828" xr:uid="{3A4CAE51-110D-4248-B2EB-116C6A202428}"/>
    <cellStyle name="Normal 2 3 5 18" xfId="19829" xr:uid="{33BA4601-E74F-400F-AABF-0D98F954B641}"/>
    <cellStyle name="Normal 2 3 5 19" xfId="19830" xr:uid="{14A4DD43-422D-4167-9F11-0398548D169D}"/>
    <cellStyle name="Normal 2 3 5 2" xfId="19831" xr:uid="{EE07DC5E-9C12-4FA7-855C-328AB73E6872}"/>
    <cellStyle name="Normal 2 3 5 2 10" xfId="19832" xr:uid="{42BD69DC-21D6-490E-B492-DF349B9FCD7D}"/>
    <cellStyle name="Normal 2 3 5 2 11" xfId="19833" xr:uid="{4A03B992-F165-4B4D-9ED2-B480E8ED0E9B}"/>
    <cellStyle name="Normal 2 3 5 2 12" xfId="19834" xr:uid="{16CCDBF8-F572-466F-A9F8-DDC7EDA04AA0}"/>
    <cellStyle name="Normal 2 3 5 2 13" xfId="19835" xr:uid="{2C37280C-8A6A-403D-866F-D7B75FD99B95}"/>
    <cellStyle name="Normal 2 3 5 2 14" xfId="19836" xr:uid="{B2CD2C41-3982-4676-B1E1-D490A26E7DB2}"/>
    <cellStyle name="Normal 2 3 5 2 15" xfId="19837" xr:uid="{A12A577A-D76B-4624-B003-97882143B9D7}"/>
    <cellStyle name="Normal 2 3 5 2 2" xfId="19838" xr:uid="{9FE10263-F5B2-4347-92B3-63032C76BE3F}"/>
    <cellStyle name="Normal 2 3 5 2 2 10" xfId="19839" xr:uid="{6F35A9C5-2ECF-42EB-A308-DAA2C35FAD86}"/>
    <cellStyle name="Normal 2 3 5 2 2 11" xfId="19840" xr:uid="{3065A1ED-D91A-4F15-B9F4-0CE3937C1B7C}"/>
    <cellStyle name="Normal 2 3 5 2 2 12" xfId="19841" xr:uid="{BE075661-B2AE-46D3-8043-E6165C6B2B33}"/>
    <cellStyle name="Normal 2 3 5 2 2 2" xfId="19842" xr:uid="{26654FEE-2995-4867-9E8D-6267811ADBF9}"/>
    <cellStyle name="Normal 2 3 5 2 2 2 10" xfId="19843" xr:uid="{2A33B6B3-4E24-420E-8586-D4F9FFA6D1F1}"/>
    <cellStyle name="Normal 2 3 5 2 2 2 11" xfId="19844" xr:uid="{11289228-B356-4DE0-9B5E-C76DC572E79C}"/>
    <cellStyle name="Normal 2 3 5 2 2 2 12" xfId="19845" xr:uid="{1CE48C2B-9D20-4B8F-8C8C-CEE93BFB517E}"/>
    <cellStyle name="Normal 2 3 5 2 2 2 2" xfId="19846" xr:uid="{4CD85480-071E-4121-8797-8609AD23F064}"/>
    <cellStyle name="Normal 2 3 5 2 2 2 2 2" xfId="19847" xr:uid="{9C4D8245-A13A-4D3C-9120-2C30B54B70D8}"/>
    <cellStyle name="Normal 2 3 5 2 2 2 2 2 2" xfId="19848" xr:uid="{B0B40B1E-8EEA-4711-BD76-C977535FBBE2}"/>
    <cellStyle name="Normal 2 3 5 2 2 2 2 2 2 2" xfId="19849" xr:uid="{ABFBB6B3-BE5E-430B-B13B-D23C6AD73130}"/>
    <cellStyle name="Normal 2 3 5 2 2 2 2 2 2 2 2" xfId="19850" xr:uid="{4C415577-AEF0-4F26-899E-ECD7322CDA10}"/>
    <cellStyle name="Normal 2 3 5 2 2 2 2 2 2 2 3" xfId="19851" xr:uid="{74E1EF1E-6898-452A-9D47-CBCDF02F2E0D}"/>
    <cellStyle name="Normal 2 3 5 2 2 2 2 2 2 2 4" xfId="19852" xr:uid="{CF5D5334-94A2-4E3F-B508-0F0CA0AA36F8}"/>
    <cellStyle name="Normal 2 3 5 2 2 2 2 2 2 2 5" xfId="19853" xr:uid="{72C4CD99-DA22-4D4B-A585-72C3489F344A}"/>
    <cellStyle name="Normal 2 3 5 2 2 2 2 2 2 2 6" xfId="19854" xr:uid="{ACF60D44-85FE-479C-B9FB-38FD543F9B7D}"/>
    <cellStyle name="Normal 2 3 5 2 2 2 2 2 2 3" xfId="19855" xr:uid="{1D19CB46-CA7B-4594-84A2-7D19A85353BD}"/>
    <cellStyle name="Normal 2 3 5 2 2 2 2 2 2 4" xfId="19856" xr:uid="{981A95FA-B068-4487-92F1-A9C0B6C6652A}"/>
    <cellStyle name="Normal 2 3 5 2 2 2 2 2 2 5" xfId="19857" xr:uid="{5FCFB412-968F-4274-B148-982DFF8D99E1}"/>
    <cellStyle name="Normal 2 3 5 2 2 2 2 2 2 6" xfId="19858" xr:uid="{68C0BDB2-67C3-4588-B53A-B633F40031E6}"/>
    <cellStyle name="Normal 2 3 5 2 2 2 2 2 3" xfId="19859" xr:uid="{6C66D14C-1489-4A89-A045-4F0C4D5FE331}"/>
    <cellStyle name="Normal 2 3 5 2 2 2 2 2 4" xfId="19860" xr:uid="{534C3C50-6841-485A-8BA8-304C7DBBF5A9}"/>
    <cellStyle name="Normal 2 3 5 2 2 2 2 2 5" xfId="19861" xr:uid="{969D9257-8535-429F-80EF-65F758BFCCE7}"/>
    <cellStyle name="Normal 2 3 5 2 2 2 2 2 6" xfId="19862" xr:uid="{BD436236-6FD6-424D-B726-63A6E2E27611}"/>
    <cellStyle name="Normal 2 3 5 2 2 2 2 2 7" xfId="19863" xr:uid="{CE98197F-BEE1-4E54-B087-10CA4A6CC92E}"/>
    <cellStyle name="Normal 2 3 5 2 2 2 2 2 8" xfId="19864" xr:uid="{89690DBA-B4EF-4B06-B914-7FF9A593612B}"/>
    <cellStyle name="Normal 2 3 5 2 2 2 2 2 9" xfId="19865" xr:uid="{7811BB94-464E-4EB7-8CBF-C1792FA74A31}"/>
    <cellStyle name="Normal 2 3 5 2 2 2 2 3" xfId="19866" xr:uid="{CDB98C7F-8D62-4B41-AA46-07A5A66DC87A}"/>
    <cellStyle name="Normal 2 3 5 2 2 2 2 3 2" xfId="19867" xr:uid="{9E9A163A-387B-4A9D-B4BD-A107152D43C9}"/>
    <cellStyle name="Normal 2 3 5 2 2 2 2 3 2 2" xfId="19868" xr:uid="{D6E58E68-B041-45C7-910B-DAD38A317331}"/>
    <cellStyle name="Normal 2 3 5 2 2 2 2 3 2 3" xfId="19869" xr:uid="{93E7A68A-BA23-4253-AAA2-D8A59E845927}"/>
    <cellStyle name="Normal 2 3 5 2 2 2 2 3 2 4" xfId="19870" xr:uid="{3D305488-A095-4C1A-9B7B-C2E272426E65}"/>
    <cellStyle name="Normal 2 3 5 2 2 2 2 3 2 5" xfId="19871" xr:uid="{5DF36F94-F813-48F8-993F-9F74840E0FB0}"/>
    <cellStyle name="Normal 2 3 5 2 2 2 2 3 2 6" xfId="19872" xr:uid="{50E0BCB3-CDAC-4492-9F04-62EE6544431B}"/>
    <cellStyle name="Normal 2 3 5 2 2 2 2 3 3" xfId="19873" xr:uid="{4B161A25-688D-46A5-9CE2-60DEB3D9FD5C}"/>
    <cellStyle name="Normal 2 3 5 2 2 2 2 3 4" xfId="19874" xr:uid="{8A0701C5-210D-4DB5-B108-D08E1A6EA8FF}"/>
    <cellStyle name="Normal 2 3 5 2 2 2 2 3 5" xfId="19875" xr:uid="{8C4D476D-1C41-4177-94B7-B1D929A870D0}"/>
    <cellStyle name="Normal 2 3 5 2 2 2 2 3 6" xfId="19876" xr:uid="{BF1692B5-D637-4B09-B014-083C7398527E}"/>
    <cellStyle name="Normal 2 3 5 2 2 2 2 4" xfId="19877" xr:uid="{5358A2A5-8DE2-4318-9FD5-37D9A7DE23B3}"/>
    <cellStyle name="Normal 2 3 5 2 2 2 2 5" xfId="19878" xr:uid="{CFB4B5C7-29AF-4C07-86DF-85157EFF82A9}"/>
    <cellStyle name="Normal 2 3 5 2 2 2 2 6" xfId="19879" xr:uid="{BADE9CE2-B866-4414-A093-A29A713ECFAD}"/>
    <cellStyle name="Normal 2 3 5 2 2 2 2 7" xfId="19880" xr:uid="{FCF8BBE0-5D10-43A0-800F-64C8225E162F}"/>
    <cellStyle name="Normal 2 3 5 2 2 2 2 8" xfId="19881" xr:uid="{E955CD16-D193-4E31-8373-B80C55AA7BCA}"/>
    <cellStyle name="Normal 2 3 5 2 2 2 2 9" xfId="19882" xr:uid="{7E7D378C-FD64-4478-A508-A8BE2A93EF81}"/>
    <cellStyle name="Normal 2 3 5 2 2 2 3" xfId="19883" xr:uid="{0F9BDBF3-4871-4E8A-8871-ABB9E441E544}"/>
    <cellStyle name="Normal 2 3 5 2 2 2 4" xfId="19884" xr:uid="{F029F8AE-F97A-4B57-92FF-45C9C4C4F19F}"/>
    <cellStyle name="Normal 2 3 5 2 2 2 5" xfId="19885" xr:uid="{914EBA90-A8F2-4C5D-AE65-D247F3619BCD}"/>
    <cellStyle name="Normal 2 3 5 2 2 2 5 2" xfId="19886" xr:uid="{3AA77645-69B6-4962-8DFA-BBFBBFBC7188}"/>
    <cellStyle name="Normal 2 3 5 2 2 2 5 2 2" xfId="19887" xr:uid="{A98BA6BF-1C4C-467E-858E-1F246E39BE17}"/>
    <cellStyle name="Normal 2 3 5 2 2 2 5 2 3" xfId="19888" xr:uid="{1A1621DC-7BE5-49A5-BA83-E87EED5BF169}"/>
    <cellStyle name="Normal 2 3 5 2 2 2 5 2 4" xfId="19889" xr:uid="{46CA4A67-6B6E-45CD-A033-46832028BB0C}"/>
    <cellStyle name="Normal 2 3 5 2 2 2 5 2 5" xfId="19890" xr:uid="{CDC959E7-410E-4024-A00B-8A24479DF7A5}"/>
    <cellStyle name="Normal 2 3 5 2 2 2 5 2 6" xfId="19891" xr:uid="{8203B1FF-84E7-483D-AA55-A888C27E2550}"/>
    <cellStyle name="Normal 2 3 5 2 2 2 5 3" xfId="19892" xr:uid="{A17308EC-D6F7-482A-BC1E-AB78B3CF5A35}"/>
    <cellStyle name="Normal 2 3 5 2 2 2 5 4" xfId="19893" xr:uid="{3AEBBCEC-8EA9-46A8-8408-594B949CDB4E}"/>
    <cellStyle name="Normal 2 3 5 2 2 2 5 5" xfId="19894" xr:uid="{607009E4-77E6-473C-A1B6-721AA897F023}"/>
    <cellStyle name="Normal 2 3 5 2 2 2 5 6" xfId="19895" xr:uid="{243AD14D-06BB-4B0F-8785-54CF4005E5A4}"/>
    <cellStyle name="Normal 2 3 5 2 2 2 6" xfId="19896" xr:uid="{44C90190-0D16-459A-9A12-AF6A1376A955}"/>
    <cellStyle name="Normal 2 3 5 2 2 2 7" xfId="19897" xr:uid="{AED264DF-0A49-42CA-A2DB-F9E912E11869}"/>
    <cellStyle name="Normal 2 3 5 2 2 2 8" xfId="19898" xr:uid="{4028E951-C7FC-4859-90C9-C53BD598605D}"/>
    <cellStyle name="Normal 2 3 5 2 2 2 9" xfId="19899" xr:uid="{530F645B-3E00-479B-A19C-A0E3361E8A0A}"/>
    <cellStyle name="Normal 2 3 5 2 2 3" xfId="19900" xr:uid="{DF981E89-99DE-4546-BF0D-D526C0D29277}"/>
    <cellStyle name="Normal 2 3 5 2 2 3 2" xfId="19901" xr:uid="{BAACD114-67E9-4138-A25F-4ADA3049C038}"/>
    <cellStyle name="Normal 2 3 5 2 2 3 2 2" xfId="19902" xr:uid="{FC1E8268-6647-4098-AD8B-E62D4BAF2C8E}"/>
    <cellStyle name="Normal 2 3 5 2 2 3 2 2 2" xfId="19903" xr:uid="{73012DA2-E580-4319-BF73-1D6EBF7E0098}"/>
    <cellStyle name="Normal 2 3 5 2 2 3 2 2 2 2" xfId="19904" xr:uid="{F7B33AD0-88CC-4D99-9112-4C629BE85174}"/>
    <cellStyle name="Normal 2 3 5 2 2 3 2 2 2 3" xfId="19905" xr:uid="{D7DF0604-5A65-4A27-8A13-9F3590D57000}"/>
    <cellStyle name="Normal 2 3 5 2 2 3 2 2 2 4" xfId="19906" xr:uid="{4093E454-E9A4-4010-B51E-79875A55F206}"/>
    <cellStyle name="Normal 2 3 5 2 2 3 2 2 2 5" xfId="19907" xr:uid="{EBB05EDB-8716-4BCD-8AB1-56870C5F453D}"/>
    <cellStyle name="Normal 2 3 5 2 2 3 2 2 2 6" xfId="19908" xr:uid="{557ECD8F-B540-4546-A8B1-50AF14239CAF}"/>
    <cellStyle name="Normal 2 3 5 2 2 3 2 2 3" xfId="19909" xr:uid="{B25791F3-BA1E-443F-AAC3-99E98DFB8A35}"/>
    <cellStyle name="Normal 2 3 5 2 2 3 2 2 4" xfId="19910" xr:uid="{B14A05A9-24DA-4B6D-B605-FF77E3C3A329}"/>
    <cellStyle name="Normal 2 3 5 2 2 3 2 2 5" xfId="19911" xr:uid="{4769723B-C799-4818-A9CD-C95190487F29}"/>
    <cellStyle name="Normal 2 3 5 2 2 3 2 2 6" xfId="19912" xr:uid="{A3449047-A12B-4070-85E4-66431B88A309}"/>
    <cellStyle name="Normal 2 3 5 2 2 3 2 3" xfId="19913" xr:uid="{E36A88AF-2B21-45B2-967D-B0CE9B72F303}"/>
    <cellStyle name="Normal 2 3 5 2 2 3 2 4" xfId="19914" xr:uid="{F358A224-77D3-49FC-9594-6701D31C3152}"/>
    <cellStyle name="Normal 2 3 5 2 2 3 2 5" xfId="19915" xr:uid="{B7C212C1-36EC-486E-A1BF-634C169174AD}"/>
    <cellStyle name="Normal 2 3 5 2 2 3 2 6" xfId="19916" xr:uid="{50C450F1-4669-465F-BC9A-637D6D0ED508}"/>
    <cellStyle name="Normal 2 3 5 2 2 3 2 7" xfId="19917" xr:uid="{8E11817A-0210-4773-AD09-C127622EE3AE}"/>
    <cellStyle name="Normal 2 3 5 2 2 3 2 8" xfId="19918" xr:uid="{9E22DD9C-2B59-4463-9409-DAE26D6702AA}"/>
    <cellStyle name="Normal 2 3 5 2 2 3 2 9" xfId="19919" xr:uid="{50EAD236-BBEE-4EFD-AA8C-964E9F950143}"/>
    <cellStyle name="Normal 2 3 5 2 2 3 3" xfId="19920" xr:uid="{F1C66253-7E27-4E29-AD78-B3E1646C51D6}"/>
    <cellStyle name="Normal 2 3 5 2 2 3 3 2" xfId="19921" xr:uid="{FCFF389F-6593-4569-86F0-3D52CBD4A6F0}"/>
    <cellStyle name="Normal 2 3 5 2 2 3 3 2 2" xfId="19922" xr:uid="{B0C465AC-6757-46F6-A96F-DFBFF790B52A}"/>
    <cellStyle name="Normal 2 3 5 2 2 3 3 2 3" xfId="19923" xr:uid="{E7B0FDCC-E18C-4206-967D-10EE7FCB8427}"/>
    <cellStyle name="Normal 2 3 5 2 2 3 3 2 4" xfId="19924" xr:uid="{340F4834-C17A-44FC-B140-5061D7C5F8AF}"/>
    <cellStyle name="Normal 2 3 5 2 2 3 3 2 5" xfId="19925" xr:uid="{6BF7BB38-57F0-4E0E-B80C-C3A1DFC044BD}"/>
    <cellStyle name="Normal 2 3 5 2 2 3 3 2 6" xfId="19926" xr:uid="{1826CAAC-25C6-4687-9368-C69E233DBE5F}"/>
    <cellStyle name="Normal 2 3 5 2 2 3 3 3" xfId="19927" xr:uid="{10A92210-C705-4B26-8362-5D7A4EA9660E}"/>
    <cellStyle name="Normal 2 3 5 2 2 3 3 4" xfId="19928" xr:uid="{7AA948AF-6530-4B7C-9732-5FD2B5DBD39F}"/>
    <cellStyle name="Normal 2 3 5 2 2 3 3 5" xfId="19929" xr:uid="{DEB370F9-3184-418E-8E38-5ADE743EF77B}"/>
    <cellStyle name="Normal 2 3 5 2 2 3 3 6" xfId="19930" xr:uid="{B8CC540F-9BC6-48B1-B789-2662FD0A41BE}"/>
    <cellStyle name="Normal 2 3 5 2 2 3 4" xfId="19931" xr:uid="{B9B4C3A3-85CD-4AF0-ABD0-A591938E21A7}"/>
    <cellStyle name="Normal 2 3 5 2 2 3 5" xfId="19932" xr:uid="{F9E2AE74-D4D5-4639-9359-2A35A1D74E89}"/>
    <cellStyle name="Normal 2 3 5 2 2 3 6" xfId="19933" xr:uid="{4EF41721-942B-4F1E-851A-821EDA347835}"/>
    <cellStyle name="Normal 2 3 5 2 2 3 7" xfId="19934" xr:uid="{A90AB03E-33B0-4013-89F7-2F2B457DD123}"/>
    <cellStyle name="Normal 2 3 5 2 2 3 8" xfId="19935" xr:uid="{E4D3DBF2-1F10-43F4-9DD9-3E91B464B0FD}"/>
    <cellStyle name="Normal 2 3 5 2 2 3 9" xfId="19936" xr:uid="{2EE278FB-1ECF-4947-9F5A-6473452B1798}"/>
    <cellStyle name="Normal 2 3 5 2 2 4" xfId="19937" xr:uid="{C1E04FA9-E918-409C-ADB5-647832CA0D15}"/>
    <cellStyle name="Normal 2 3 5 2 2 5" xfId="19938" xr:uid="{1DC8D545-C3E2-40A3-BC2E-5D5733845F5C}"/>
    <cellStyle name="Normal 2 3 5 2 2 5 2" xfId="19939" xr:uid="{B4F0A9F8-75DE-448A-8A7E-5A8D24924A12}"/>
    <cellStyle name="Normal 2 3 5 2 2 5 2 2" xfId="19940" xr:uid="{B5990837-D2C2-4EDB-9F79-3D36B19B09AD}"/>
    <cellStyle name="Normal 2 3 5 2 2 5 2 3" xfId="19941" xr:uid="{C0BC074D-1FCF-4B31-9EB4-E8501D165128}"/>
    <cellStyle name="Normal 2 3 5 2 2 5 2 4" xfId="19942" xr:uid="{3FB4867F-0BBE-457E-9F33-24477B913291}"/>
    <cellStyle name="Normal 2 3 5 2 2 5 2 5" xfId="19943" xr:uid="{5E2A4DD8-4E49-440B-BA54-594EA364D0A9}"/>
    <cellStyle name="Normal 2 3 5 2 2 5 2 6" xfId="19944" xr:uid="{F5AD130D-5082-407D-9D09-1D1A9CA50106}"/>
    <cellStyle name="Normal 2 3 5 2 2 5 3" xfId="19945" xr:uid="{3F21B996-49C3-4619-8749-A41128BBAC71}"/>
    <cellStyle name="Normal 2 3 5 2 2 5 4" xfId="19946" xr:uid="{DCB9C006-571F-42B4-8731-355D7C126001}"/>
    <cellStyle name="Normal 2 3 5 2 2 5 5" xfId="19947" xr:uid="{3C6BEF39-10D2-44D6-AEDC-991CCC717E00}"/>
    <cellStyle name="Normal 2 3 5 2 2 5 6" xfId="19948" xr:uid="{0201AF97-0DB5-4D58-80A4-41C1203A36D9}"/>
    <cellStyle name="Normal 2 3 5 2 2 6" xfId="19949" xr:uid="{1E8121D2-0BD6-4D0E-8327-A4A4D0E3D967}"/>
    <cellStyle name="Normal 2 3 5 2 2 7" xfId="19950" xr:uid="{047052DE-9C46-49B3-B2FC-1C815A04FE27}"/>
    <cellStyle name="Normal 2 3 5 2 2 8" xfId="19951" xr:uid="{BD591E30-5C3E-4793-AF32-6883D2A5EA88}"/>
    <cellStyle name="Normal 2 3 5 2 2 9" xfId="19952" xr:uid="{16C93E6A-B130-462D-A9E3-F09FD536C0F3}"/>
    <cellStyle name="Normal 2 3 5 2 3" xfId="19953" xr:uid="{120EADE1-ABD4-4D59-A7B8-B4A39F43F344}"/>
    <cellStyle name="Normal 2 3 5 2 4" xfId="19954" xr:uid="{CABB9219-1091-4CCF-81D4-53F95BCB7106}"/>
    <cellStyle name="Normal 2 3 5 2 5" xfId="19955" xr:uid="{974318EE-BB84-4211-BC52-9B951BC5507E}"/>
    <cellStyle name="Normal 2 3 5 2 5 2" xfId="19956" xr:uid="{0D77C43E-5281-4C73-9073-D5246A674F28}"/>
    <cellStyle name="Normal 2 3 5 2 5 2 2" xfId="19957" xr:uid="{8114A53A-AE89-4FC8-B1A3-E75084E4E2E7}"/>
    <cellStyle name="Normal 2 3 5 2 5 2 2 2" xfId="19958" xr:uid="{E80FE23D-58B9-43FC-BAE7-A07334E7836A}"/>
    <cellStyle name="Normal 2 3 5 2 5 2 2 2 2" xfId="19959" xr:uid="{1C6E7156-8823-41DC-A05C-6D785E5628F6}"/>
    <cellStyle name="Normal 2 3 5 2 5 2 2 2 3" xfId="19960" xr:uid="{30F97F5E-0415-4413-A862-419E59D937CC}"/>
    <cellStyle name="Normal 2 3 5 2 5 2 2 2 4" xfId="19961" xr:uid="{2ECCF5E8-A690-49D6-8977-3F2A5A8A184C}"/>
    <cellStyle name="Normal 2 3 5 2 5 2 2 2 5" xfId="19962" xr:uid="{49F2C23C-0D53-4490-8C8F-B1DE5563941D}"/>
    <cellStyle name="Normal 2 3 5 2 5 2 2 2 6" xfId="19963" xr:uid="{88B6C463-4A82-4D54-826A-38A934C4D064}"/>
    <cellStyle name="Normal 2 3 5 2 5 2 2 3" xfId="19964" xr:uid="{6FE19F61-7314-42A1-8926-FFDF54CC4FA0}"/>
    <cellStyle name="Normal 2 3 5 2 5 2 2 4" xfId="19965" xr:uid="{75F5B45C-FFB8-4CCA-905F-E828A8B7E690}"/>
    <cellStyle name="Normal 2 3 5 2 5 2 2 5" xfId="19966" xr:uid="{3FC9DA7A-4E76-4EC5-B3A7-6DA10D1310D1}"/>
    <cellStyle name="Normal 2 3 5 2 5 2 2 6" xfId="19967" xr:uid="{E79BC558-0EDB-4144-AC3A-00E18E6ACEA3}"/>
    <cellStyle name="Normal 2 3 5 2 5 2 3" xfId="19968" xr:uid="{7D7A6A27-00DC-4B77-915E-D84C966BA1A3}"/>
    <cellStyle name="Normal 2 3 5 2 5 2 4" xfId="19969" xr:uid="{62BEE17E-FDE3-4021-9B94-0863FCF52315}"/>
    <cellStyle name="Normal 2 3 5 2 5 2 5" xfId="19970" xr:uid="{71FFA6F7-B18C-4661-9E2E-10F9DD19EE74}"/>
    <cellStyle name="Normal 2 3 5 2 5 2 6" xfId="19971" xr:uid="{225117D8-F4F5-47CA-AECE-1F453447BAEF}"/>
    <cellStyle name="Normal 2 3 5 2 5 2 7" xfId="19972" xr:uid="{749BE500-B224-44A1-B81C-65DE2AB0D1FD}"/>
    <cellStyle name="Normal 2 3 5 2 5 2 8" xfId="19973" xr:uid="{BD5D2169-0A6B-4826-840D-13FA4344DC3E}"/>
    <cellStyle name="Normal 2 3 5 2 5 2 9" xfId="19974" xr:uid="{6D6A1F97-D16C-47F4-ABD8-F689D29600B8}"/>
    <cellStyle name="Normal 2 3 5 2 5 3" xfId="19975" xr:uid="{13B03032-203A-45FA-AA7E-D78A1F8EC69A}"/>
    <cellStyle name="Normal 2 3 5 2 5 3 2" xfId="19976" xr:uid="{DE35E59F-BFED-493C-B96D-5E1ACDDE8FEF}"/>
    <cellStyle name="Normal 2 3 5 2 5 3 2 2" xfId="19977" xr:uid="{32A22541-F1C4-48B7-92D3-EBB4485E41E1}"/>
    <cellStyle name="Normal 2 3 5 2 5 3 2 3" xfId="19978" xr:uid="{7151CC97-1128-4C50-8D27-A4191C5D1FA3}"/>
    <cellStyle name="Normal 2 3 5 2 5 3 2 4" xfId="19979" xr:uid="{06393CDA-40B2-4134-82A0-142E30BE0048}"/>
    <cellStyle name="Normal 2 3 5 2 5 3 2 5" xfId="19980" xr:uid="{CECD9C9F-2548-4A85-A885-3E844A9E637E}"/>
    <cellStyle name="Normal 2 3 5 2 5 3 2 6" xfId="19981" xr:uid="{14041678-9C4C-4B58-B059-AE051662420A}"/>
    <cellStyle name="Normal 2 3 5 2 5 3 3" xfId="19982" xr:uid="{DA46049D-DB4E-4B30-8649-D491386C2192}"/>
    <cellStyle name="Normal 2 3 5 2 5 3 4" xfId="19983" xr:uid="{41C29BC8-AC9B-4ADF-A3F2-C39618089C65}"/>
    <cellStyle name="Normal 2 3 5 2 5 3 5" xfId="19984" xr:uid="{6EBDB145-DB79-4329-8981-8B22B48893FE}"/>
    <cellStyle name="Normal 2 3 5 2 5 3 6" xfId="19985" xr:uid="{748397E1-BB60-44D8-9249-9BA9AF95BAF0}"/>
    <cellStyle name="Normal 2 3 5 2 5 4" xfId="19986" xr:uid="{957E4B85-9530-44F0-9D49-A6D76CB2DAFA}"/>
    <cellStyle name="Normal 2 3 5 2 5 5" xfId="19987" xr:uid="{ED135820-10F6-4C84-85EE-8706E70DDE6C}"/>
    <cellStyle name="Normal 2 3 5 2 5 6" xfId="19988" xr:uid="{BE816E6A-8D93-4DAB-96C6-93C0308616BA}"/>
    <cellStyle name="Normal 2 3 5 2 5 7" xfId="19989" xr:uid="{CF6362D0-EBAC-47BA-B3C1-233548FB13FD}"/>
    <cellStyle name="Normal 2 3 5 2 5 8" xfId="19990" xr:uid="{2BE544FF-2D73-4208-A9B5-04D77F982112}"/>
    <cellStyle name="Normal 2 3 5 2 5 9" xfId="19991" xr:uid="{A8F623A0-E9E1-40B1-B1CF-08A2A658FDF7}"/>
    <cellStyle name="Normal 2 3 5 2 6" xfId="19992" xr:uid="{0A1D28ED-2213-4CDF-A5CF-0D90A247D94A}"/>
    <cellStyle name="Normal 2 3 5 2 7" xfId="19993" xr:uid="{16B06271-81FD-43F9-8C77-2A95264217F8}"/>
    <cellStyle name="Normal 2 3 5 2 8" xfId="19994" xr:uid="{1BCB659A-632C-4FF2-8097-F326A15030E0}"/>
    <cellStyle name="Normal 2 3 5 2 8 2" xfId="19995" xr:uid="{C3289B5D-9AFA-45F2-80C5-67E874D176F6}"/>
    <cellStyle name="Normal 2 3 5 2 8 2 2" xfId="19996" xr:uid="{12CFBE3E-77F8-4A07-B794-32A0427562B3}"/>
    <cellStyle name="Normal 2 3 5 2 8 2 3" xfId="19997" xr:uid="{817758D3-D29E-47DE-8959-634B1E0AC13D}"/>
    <cellStyle name="Normal 2 3 5 2 8 2 4" xfId="19998" xr:uid="{014A6CB9-4206-452C-A94D-7D543FD9A1E4}"/>
    <cellStyle name="Normal 2 3 5 2 8 2 5" xfId="19999" xr:uid="{C1E924F0-CEA6-481B-A987-D60E8CF1FFF3}"/>
    <cellStyle name="Normal 2 3 5 2 8 2 6" xfId="20000" xr:uid="{16DBA2D8-5A59-4F74-B5C6-A55E70B222D2}"/>
    <cellStyle name="Normal 2 3 5 2 8 3" xfId="20001" xr:uid="{F7F5B21D-9B8C-450E-9CAC-097083DC9492}"/>
    <cellStyle name="Normal 2 3 5 2 8 4" xfId="20002" xr:uid="{89E209B6-AEC9-410F-B305-ADD55640A812}"/>
    <cellStyle name="Normal 2 3 5 2 8 5" xfId="20003" xr:uid="{977A87E1-F398-4C10-9B70-1802A39366E2}"/>
    <cellStyle name="Normal 2 3 5 2 8 6" xfId="20004" xr:uid="{E1A2C9CE-58A0-4F5E-B4C6-6367748B9E7A}"/>
    <cellStyle name="Normal 2 3 5 2 9" xfId="20005" xr:uid="{5C32A2A3-68FE-4315-9F81-99752ABD4AFC}"/>
    <cellStyle name="Normal 2 3 5 20" xfId="20006" xr:uid="{781A8AEA-F514-4B04-942D-3A67FA69CEFB}"/>
    <cellStyle name="Normal 2 3 5 3" xfId="20007" xr:uid="{D1FD9C03-1060-4EF6-B9D3-68414316A401}"/>
    <cellStyle name="Normal 2 3 5 3 10" xfId="20008" xr:uid="{C4A4462E-D6EF-4A47-80DE-CD0707F21CFD}"/>
    <cellStyle name="Normal 2 3 5 3 11" xfId="20009" xr:uid="{3850DC63-B35F-4166-AF6A-434375CEB150}"/>
    <cellStyle name="Normal 2 3 5 3 12" xfId="20010" xr:uid="{93A0BD45-4C0B-4C18-9C0B-A4AF153C282C}"/>
    <cellStyle name="Normal 2 3 5 3 2" xfId="20011" xr:uid="{1B300A67-5501-4DCA-B416-5926C535B2F6}"/>
    <cellStyle name="Normal 2 3 5 3 2 10" xfId="20012" xr:uid="{B6BD4247-939E-42B8-8EF2-B9B534FF4D46}"/>
    <cellStyle name="Normal 2 3 5 3 2 11" xfId="20013" xr:uid="{DACB21EB-FA65-4163-8DAA-A207B958FFBD}"/>
    <cellStyle name="Normal 2 3 5 3 2 12" xfId="20014" xr:uid="{90D6AF29-BAF3-410B-8F74-C507C2F239E3}"/>
    <cellStyle name="Normal 2 3 5 3 2 2" xfId="20015" xr:uid="{2B1E3AC2-30EF-456F-AC52-12E36CB68C4F}"/>
    <cellStyle name="Normal 2 3 5 3 2 2 2" xfId="20016" xr:uid="{2CB59149-2EB0-4547-B980-F1059A3CDF18}"/>
    <cellStyle name="Normal 2 3 5 3 2 2 2 2" xfId="20017" xr:uid="{C3EA44A1-B2C1-4FD4-A3FB-A981AE217D30}"/>
    <cellStyle name="Normal 2 3 5 3 2 2 2 2 2" xfId="20018" xr:uid="{BDC17E53-BAEE-4034-A527-63CD09BEF278}"/>
    <cellStyle name="Normal 2 3 5 3 2 2 2 2 2 2" xfId="20019" xr:uid="{1DF5BB53-D03A-41FF-8A1D-46CE76178632}"/>
    <cellStyle name="Normal 2 3 5 3 2 2 2 2 2 3" xfId="20020" xr:uid="{BD9617CA-8422-4D76-A43B-BE21B581155B}"/>
    <cellStyle name="Normal 2 3 5 3 2 2 2 2 2 4" xfId="20021" xr:uid="{AAFF8113-9445-436F-BB39-AA4C94828EF5}"/>
    <cellStyle name="Normal 2 3 5 3 2 2 2 2 2 5" xfId="20022" xr:uid="{5DFBB7B8-C180-4C32-9ABC-FCFD3705CA4E}"/>
    <cellStyle name="Normal 2 3 5 3 2 2 2 2 2 6" xfId="20023" xr:uid="{7AF79272-E7D1-4B84-92E7-C9634493F314}"/>
    <cellStyle name="Normal 2 3 5 3 2 2 2 2 3" xfId="20024" xr:uid="{A9008571-14E3-4F0D-BCBA-B9F51582D267}"/>
    <cellStyle name="Normal 2 3 5 3 2 2 2 2 4" xfId="20025" xr:uid="{74725F31-4048-4627-A4DF-FBD72406DF6C}"/>
    <cellStyle name="Normal 2 3 5 3 2 2 2 2 5" xfId="20026" xr:uid="{CE1BB326-EF09-4F17-A7C5-6F228C76AC18}"/>
    <cellStyle name="Normal 2 3 5 3 2 2 2 2 6" xfId="20027" xr:uid="{A94901D8-DEF3-4F4F-9369-497198696213}"/>
    <cellStyle name="Normal 2 3 5 3 2 2 2 3" xfId="20028" xr:uid="{C5D35F07-0F47-4157-8CB1-B775A8596E59}"/>
    <cellStyle name="Normal 2 3 5 3 2 2 2 4" xfId="20029" xr:uid="{3DD033A1-2CD8-4E4D-B4C9-69955918169D}"/>
    <cellStyle name="Normal 2 3 5 3 2 2 2 5" xfId="20030" xr:uid="{32981AF7-C7FB-4F13-82CC-5083F4ABED92}"/>
    <cellStyle name="Normal 2 3 5 3 2 2 2 6" xfId="20031" xr:uid="{B3454FD3-87ED-47E2-8577-571F4DE7145C}"/>
    <cellStyle name="Normal 2 3 5 3 2 2 2 7" xfId="20032" xr:uid="{8EC5D3C7-923C-4665-9211-9D28BD9BFCFA}"/>
    <cellStyle name="Normal 2 3 5 3 2 2 2 8" xfId="20033" xr:uid="{BC82FB4D-05F8-419E-97C0-FFE5E5E7317E}"/>
    <cellStyle name="Normal 2 3 5 3 2 2 2 9" xfId="20034" xr:uid="{5098CAAC-EB8E-424E-B6B9-F966EFB8BDF1}"/>
    <cellStyle name="Normal 2 3 5 3 2 2 3" xfId="20035" xr:uid="{50A390B4-FC3C-4905-B52F-74BFAAD2CABC}"/>
    <cellStyle name="Normal 2 3 5 3 2 2 3 2" xfId="20036" xr:uid="{EBADC81F-7807-41B6-A282-2C0CA000D218}"/>
    <cellStyle name="Normal 2 3 5 3 2 2 3 2 2" xfId="20037" xr:uid="{925D7DD0-573D-4F43-8E96-6367A28187C4}"/>
    <cellStyle name="Normal 2 3 5 3 2 2 3 2 3" xfId="20038" xr:uid="{303C524E-7798-41B0-B741-B0120E2E019A}"/>
    <cellStyle name="Normal 2 3 5 3 2 2 3 2 4" xfId="20039" xr:uid="{406BA221-4CCE-4F45-9E51-18E76FA2B940}"/>
    <cellStyle name="Normal 2 3 5 3 2 2 3 2 5" xfId="20040" xr:uid="{6D9FF6C4-DC2A-451B-A984-72FBDB3526BC}"/>
    <cellStyle name="Normal 2 3 5 3 2 2 3 2 6" xfId="20041" xr:uid="{3246FFA1-5A0E-4D60-820F-6D78B5DC67F0}"/>
    <cellStyle name="Normal 2 3 5 3 2 2 3 3" xfId="20042" xr:uid="{D0ADBEE7-89D1-450E-8858-A05583A5382C}"/>
    <cellStyle name="Normal 2 3 5 3 2 2 3 4" xfId="20043" xr:uid="{07691EC3-30FA-4452-BB6E-32F52C0D126E}"/>
    <cellStyle name="Normal 2 3 5 3 2 2 3 5" xfId="20044" xr:uid="{354B0A23-4DB7-4CB5-8EAF-6B10EEBFF88B}"/>
    <cellStyle name="Normal 2 3 5 3 2 2 3 6" xfId="20045" xr:uid="{6822D799-2084-4F3B-87F2-193C5144711B}"/>
    <cellStyle name="Normal 2 3 5 3 2 2 4" xfId="20046" xr:uid="{42560029-2DA7-47EF-A8CA-686B22A013A3}"/>
    <cellStyle name="Normal 2 3 5 3 2 2 5" xfId="20047" xr:uid="{BF749265-C21E-4894-9863-80E69ABC3AB7}"/>
    <cellStyle name="Normal 2 3 5 3 2 2 6" xfId="20048" xr:uid="{CB61A320-2D2B-4B66-AC8A-01FB927CD062}"/>
    <cellStyle name="Normal 2 3 5 3 2 2 7" xfId="20049" xr:uid="{D1A5AD1B-0A0E-4EF1-A14E-45E94A8B8000}"/>
    <cellStyle name="Normal 2 3 5 3 2 2 8" xfId="20050" xr:uid="{177C25A1-62E6-4027-8FCA-119DD8A5A738}"/>
    <cellStyle name="Normal 2 3 5 3 2 2 9" xfId="20051" xr:uid="{44A8A09F-8E1B-451F-BE7C-5EBE47730B81}"/>
    <cellStyle name="Normal 2 3 5 3 2 3" xfId="20052" xr:uid="{568CC1F4-177C-429C-8065-2DA37D8C9367}"/>
    <cellStyle name="Normal 2 3 5 3 2 4" xfId="20053" xr:uid="{9206BFC2-81B0-4E1A-B614-E4F85E368DDE}"/>
    <cellStyle name="Normal 2 3 5 3 2 5" xfId="20054" xr:uid="{A1D15031-4AF5-42B9-8BBB-180C23646CF4}"/>
    <cellStyle name="Normal 2 3 5 3 2 5 2" xfId="20055" xr:uid="{6A327EC7-E770-4BA2-8EE0-6292BED77426}"/>
    <cellStyle name="Normal 2 3 5 3 2 5 2 2" xfId="20056" xr:uid="{CB2604FA-67AC-4A42-921D-A6184A474D76}"/>
    <cellStyle name="Normal 2 3 5 3 2 5 2 3" xfId="20057" xr:uid="{5C39BF41-58D9-449C-92EE-6979840CC758}"/>
    <cellStyle name="Normal 2 3 5 3 2 5 2 4" xfId="20058" xr:uid="{BABBCC9D-2B7F-4BB0-A76E-DFE22D94D2EE}"/>
    <cellStyle name="Normal 2 3 5 3 2 5 2 5" xfId="20059" xr:uid="{B3DA3882-DC3E-4CDE-85FB-F1930552080E}"/>
    <cellStyle name="Normal 2 3 5 3 2 5 2 6" xfId="20060" xr:uid="{3EF0EF73-BA07-48EF-809A-FC463996DB82}"/>
    <cellStyle name="Normal 2 3 5 3 2 5 3" xfId="20061" xr:uid="{7A5AB3E5-A0C1-4049-8EC2-D6CB4C6DE147}"/>
    <cellStyle name="Normal 2 3 5 3 2 5 4" xfId="20062" xr:uid="{53D2CE8D-95CF-442B-AA54-B8E83AE7D372}"/>
    <cellStyle name="Normal 2 3 5 3 2 5 5" xfId="20063" xr:uid="{DED7BE43-CCB3-4B43-A6D4-29B9BFAF2EE0}"/>
    <cellStyle name="Normal 2 3 5 3 2 5 6" xfId="20064" xr:uid="{1B545D56-5820-4884-BA62-CD0689423835}"/>
    <cellStyle name="Normal 2 3 5 3 2 6" xfId="20065" xr:uid="{0411BCE8-077B-4D8D-8198-3671C41A45E4}"/>
    <cellStyle name="Normal 2 3 5 3 2 7" xfId="20066" xr:uid="{47284D52-2A93-4DC0-88FC-60F1248E9978}"/>
    <cellStyle name="Normal 2 3 5 3 2 8" xfId="20067" xr:uid="{965A7249-CEFD-4430-B4F1-5312F8130CE3}"/>
    <cellStyle name="Normal 2 3 5 3 2 9" xfId="20068" xr:uid="{FCC2B9EA-76A9-45A2-9E2D-CEAB28DD6959}"/>
    <cellStyle name="Normal 2 3 5 3 3" xfId="20069" xr:uid="{96393E6F-2457-4E1B-ADE0-D5D5DCA6C9F5}"/>
    <cellStyle name="Normal 2 3 5 3 3 2" xfId="20070" xr:uid="{DA45AC97-C74D-4A98-B982-91F4A99E2C31}"/>
    <cellStyle name="Normal 2 3 5 3 3 2 2" xfId="20071" xr:uid="{3337068B-39CE-4DA3-9641-B34A72A56456}"/>
    <cellStyle name="Normal 2 3 5 3 3 2 2 2" xfId="20072" xr:uid="{48908514-FD83-475D-8E09-28E4D10372B5}"/>
    <cellStyle name="Normal 2 3 5 3 3 2 2 2 2" xfId="20073" xr:uid="{7B615D39-301D-4963-976A-F7841635111D}"/>
    <cellStyle name="Normal 2 3 5 3 3 2 2 2 3" xfId="20074" xr:uid="{8DF6BF06-09C1-4E86-B10C-64EC1B52BCCD}"/>
    <cellStyle name="Normal 2 3 5 3 3 2 2 2 4" xfId="20075" xr:uid="{B8A11E09-D266-4657-81AC-2ED901AA5E26}"/>
    <cellStyle name="Normal 2 3 5 3 3 2 2 2 5" xfId="20076" xr:uid="{08D267E1-155F-4472-AF7B-03324A76422C}"/>
    <cellStyle name="Normal 2 3 5 3 3 2 2 2 6" xfId="20077" xr:uid="{29D3FFD0-4013-4B57-ACBE-5512EE02EF15}"/>
    <cellStyle name="Normal 2 3 5 3 3 2 2 3" xfId="20078" xr:uid="{688A1C4A-F33C-4A67-89EF-481F697D2667}"/>
    <cellStyle name="Normal 2 3 5 3 3 2 2 4" xfId="20079" xr:uid="{B346BADC-727F-4EB8-8CAA-3D4FDBFBE621}"/>
    <cellStyle name="Normal 2 3 5 3 3 2 2 5" xfId="20080" xr:uid="{B603CA1A-612B-44EC-A7EC-51A5F6A995CC}"/>
    <cellStyle name="Normal 2 3 5 3 3 2 2 6" xfId="20081" xr:uid="{DFBE2EAE-DD09-407D-8169-4E7B07CB030A}"/>
    <cellStyle name="Normal 2 3 5 3 3 2 3" xfId="20082" xr:uid="{7951F41E-7D50-4FB2-B472-A003B0626DA4}"/>
    <cellStyle name="Normal 2 3 5 3 3 2 4" xfId="20083" xr:uid="{81993E1F-0BA0-4D87-8AE6-1570BB10626D}"/>
    <cellStyle name="Normal 2 3 5 3 3 2 5" xfId="20084" xr:uid="{7FD56186-2644-4C7B-837F-F02672AE312F}"/>
    <cellStyle name="Normal 2 3 5 3 3 2 6" xfId="20085" xr:uid="{99ABB3C2-311B-43AD-BA85-B9CC8DDC2CDA}"/>
    <cellStyle name="Normal 2 3 5 3 3 2 7" xfId="20086" xr:uid="{BC61DB1B-992F-4A23-B2A0-1315436997C1}"/>
    <cellStyle name="Normal 2 3 5 3 3 2 8" xfId="20087" xr:uid="{5D6AF276-3D9D-492C-A716-91ADB2A94AD5}"/>
    <cellStyle name="Normal 2 3 5 3 3 2 9" xfId="20088" xr:uid="{38B2BD7A-8473-45EC-8764-495067C013C3}"/>
    <cellStyle name="Normal 2 3 5 3 3 3" xfId="20089" xr:uid="{CC4CACD5-3F9A-45C3-BFBA-B115CA8346F3}"/>
    <cellStyle name="Normal 2 3 5 3 3 3 2" xfId="20090" xr:uid="{34199B6E-34B7-43D8-9EBD-2F01EE62C9D9}"/>
    <cellStyle name="Normal 2 3 5 3 3 3 2 2" xfId="20091" xr:uid="{31F1E7DC-D20D-4AD8-9ACC-4DF2FB90DC2E}"/>
    <cellStyle name="Normal 2 3 5 3 3 3 2 3" xfId="20092" xr:uid="{8F23DC5C-E9BD-48A1-8C4E-EAB5C056361B}"/>
    <cellStyle name="Normal 2 3 5 3 3 3 2 4" xfId="20093" xr:uid="{23D604AE-FF60-4E7C-9B26-A5B5108EFDB0}"/>
    <cellStyle name="Normal 2 3 5 3 3 3 2 5" xfId="20094" xr:uid="{88529D38-C9F2-4A0A-B448-4D1D9DB83B40}"/>
    <cellStyle name="Normal 2 3 5 3 3 3 2 6" xfId="20095" xr:uid="{A464B0EA-7968-44DC-AD63-DFDAD1336218}"/>
    <cellStyle name="Normal 2 3 5 3 3 3 3" xfId="20096" xr:uid="{AF330276-133D-48B1-90C7-53389F4C996C}"/>
    <cellStyle name="Normal 2 3 5 3 3 3 4" xfId="20097" xr:uid="{B0AFB958-ABFF-48C6-B01A-BB89A12F888A}"/>
    <cellStyle name="Normal 2 3 5 3 3 3 5" xfId="20098" xr:uid="{1B11BD67-0CE1-4192-AA1C-F001ED1F1B80}"/>
    <cellStyle name="Normal 2 3 5 3 3 3 6" xfId="20099" xr:uid="{2FBBA830-9037-48C6-BC66-C4F76A15D085}"/>
    <cellStyle name="Normal 2 3 5 3 3 4" xfId="20100" xr:uid="{86D762ED-4EDF-4137-B43B-3595A198494B}"/>
    <cellStyle name="Normal 2 3 5 3 3 5" xfId="20101" xr:uid="{06BF3C88-E37E-48EC-AAF5-5142AC31AB42}"/>
    <cellStyle name="Normal 2 3 5 3 3 6" xfId="20102" xr:uid="{6856DBC4-2FB1-445F-A2CC-B3618CCD82B8}"/>
    <cellStyle name="Normal 2 3 5 3 3 7" xfId="20103" xr:uid="{CC586656-B810-4E10-8717-53BF49B1AC19}"/>
    <cellStyle name="Normal 2 3 5 3 3 8" xfId="20104" xr:uid="{55829019-DF61-41FD-BCF1-59CA4A59D5FA}"/>
    <cellStyle name="Normal 2 3 5 3 3 9" xfId="20105" xr:uid="{31A33EC3-93DE-4C4C-9452-CF4E9E807159}"/>
    <cellStyle name="Normal 2 3 5 3 4" xfId="20106" xr:uid="{09E45B64-DF79-4A63-AE11-5A1FA35EFF77}"/>
    <cellStyle name="Normal 2 3 5 3 5" xfId="20107" xr:uid="{970BDFD4-C170-4A5A-A5A4-FE2063FE6F75}"/>
    <cellStyle name="Normal 2 3 5 3 5 2" xfId="20108" xr:uid="{634DC1FF-DB56-4EBF-82E3-650B62A7F2A1}"/>
    <cellStyle name="Normal 2 3 5 3 5 2 2" xfId="20109" xr:uid="{A3437D19-33E7-4077-9161-485A61BFAA8F}"/>
    <cellStyle name="Normal 2 3 5 3 5 2 3" xfId="20110" xr:uid="{9CA20652-FFBA-4472-B3F7-A78BBD7FEE9A}"/>
    <cellStyle name="Normal 2 3 5 3 5 2 4" xfId="20111" xr:uid="{8E6FA5B2-C78D-436E-9F9B-07F943DB8B3D}"/>
    <cellStyle name="Normal 2 3 5 3 5 2 5" xfId="20112" xr:uid="{B8353076-9A54-4CEE-B539-3B2D92CA2D23}"/>
    <cellStyle name="Normal 2 3 5 3 5 2 6" xfId="20113" xr:uid="{A2FDC889-8330-4D23-A68B-D36A97466188}"/>
    <cellStyle name="Normal 2 3 5 3 5 3" xfId="20114" xr:uid="{C18775D9-A5D9-4EB5-B536-52463E668845}"/>
    <cellStyle name="Normal 2 3 5 3 5 4" xfId="20115" xr:uid="{CD2F2891-FB8D-4B59-A20E-6F357FF94788}"/>
    <cellStyle name="Normal 2 3 5 3 5 5" xfId="20116" xr:uid="{E88082CB-9351-49B3-A2D5-52194816E92B}"/>
    <cellStyle name="Normal 2 3 5 3 5 6" xfId="20117" xr:uid="{FBB19495-2BC7-43CE-AF5D-F4BBC19BB503}"/>
    <cellStyle name="Normal 2 3 5 3 6" xfId="20118" xr:uid="{FEE25984-6BB2-4AEA-8E75-899AC2D3E524}"/>
    <cellStyle name="Normal 2 3 5 3 7" xfId="20119" xr:uid="{795DD27C-B32F-4F21-8771-3BB1B872D89D}"/>
    <cellStyle name="Normal 2 3 5 3 8" xfId="20120" xr:uid="{0B931AF1-860B-42E8-ABB8-87232283C0C5}"/>
    <cellStyle name="Normal 2 3 5 3 9" xfId="20121" xr:uid="{F76AD2CF-9884-4FEF-BA4C-5A4D5E3E6C1A}"/>
    <cellStyle name="Normal 2 3 5 4" xfId="20122" xr:uid="{BED2AC34-7D4C-4431-9392-D68C20116B94}"/>
    <cellStyle name="Normal 2 3 5 5" xfId="20123" xr:uid="{C3DB6051-653C-4DB5-891E-D5CE5A68B5DD}"/>
    <cellStyle name="Normal 2 3 5 5 2" xfId="20124" xr:uid="{788F85D1-1971-4996-A1C7-B74774C81B2E}"/>
    <cellStyle name="Normal 2 3 5 5 2 2" xfId="20125" xr:uid="{8A9EA731-847F-4D64-B8B2-7504F7E62C29}"/>
    <cellStyle name="Normal 2 3 5 5 2 2 2" xfId="20126" xr:uid="{926CE611-9798-45DE-AD85-6DA481DC6F91}"/>
    <cellStyle name="Normal 2 3 5 5 2 2 2 2" xfId="20127" xr:uid="{27FF3928-1F6C-49FA-B6B1-EB27DFCEFB7C}"/>
    <cellStyle name="Normal 2 3 5 5 2 2 2 3" xfId="20128" xr:uid="{35AFFCA1-EDD4-4C86-9A7C-917959D998EA}"/>
    <cellStyle name="Normal 2 3 5 5 2 2 2 4" xfId="20129" xr:uid="{EB651142-4612-4E5F-922D-ABCDC3CA85A4}"/>
    <cellStyle name="Normal 2 3 5 5 2 2 2 5" xfId="20130" xr:uid="{B148085B-8960-492A-8B6A-21288BBD4AE4}"/>
    <cellStyle name="Normal 2 3 5 5 2 2 2 6" xfId="20131" xr:uid="{63B882F6-950D-44AF-8897-A54ADFF6DBD9}"/>
    <cellStyle name="Normal 2 3 5 5 2 2 3" xfId="20132" xr:uid="{5E1A22C1-100C-464A-9213-4859B3C2582F}"/>
    <cellStyle name="Normal 2 3 5 5 2 2 4" xfId="20133" xr:uid="{2839EA22-9729-49D3-8120-650380737D00}"/>
    <cellStyle name="Normal 2 3 5 5 2 2 5" xfId="20134" xr:uid="{94DCAD44-A91E-4417-9FFD-3E118DB4976E}"/>
    <cellStyle name="Normal 2 3 5 5 2 2 6" xfId="20135" xr:uid="{9D445EB6-54F1-44D1-B938-B867EAEA8F1D}"/>
    <cellStyle name="Normal 2 3 5 5 2 3" xfId="20136" xr:uid="{9A04D218-7F2F-4B87-877E-CE3FAEEE96B1}"/>
    <cellStyle name="Normal 2 3 5 5 2 4" xfId="20137" xr:uid="{CEEDAB37-B6D8-46AE-B36D-4BB867ACAC43}"/>
    <cellStyle name="Normal 2 3 5 5 2 5" xfId="20138" xr:uid="{9EEA4356-790F-4405-AFC7-94713F0AD896}"/>
    <cellStyle name="Normal 2 3 5 5 2 6" xfId="20139" xr:uid="{21701AA6-8E99-4817-9F80-2F4CBAC017E5}"/>
    <cellStyle name="Normal 2 3 5 5 2 7" xfId="20140" xr:uid="{DD6ADCD1-E88A-433F-BD37-D2C707F515C5}"/>
    <cellStyle name="Normal 2 3 5 5 2 8" xfId="20141" xr:uid="{92D7BD2D-C7CF-4704-A23F-7FD09D35B142}"/>
    <cellStyle name="Normal 2 3 5 5 2 9" xfId="20142" xr:uid="{FFD1679D-8788-46BD-81A8-2FE73EE63BD0}"/>
    <cellStyle name="Normal 2 3 5 5 3" xfId="20143" xr:uid="{04C1DFA7-200E-48BB-A07D-D6C79C6412BF}"/>
    <cellStyle name="Normal 2 3 5 5 3 2" xfId="20144" xr:uid="{6B3AC107-A0FA-40AA-9887-81D2732B509B}"/>
    <cellStyle name="Normal 2 3 5 5 3 2 2" xfId="20145" xr:uid="{0F1668D1-2867-4366-848D-6EEAF559D2D7}"/>
    <cellStyle name="Normal 2 3 5 5 3 2 3" xfId="20146" xr:uid="{8AAA879E-E907-4A90-AD2B-2558FF5FD089}"/>
    <cellStyle name="Normal 2 3 5 5 3 2 4" xfId="20147" xr:uid="{01BFCD2D-2C77-47EA-9959-AC41D5B8CDA1}"/>
    <cellStyle name="Normal 2 3 5 5 3 2 5" xfId="20148" xr:uid="{4233FEA3-E0F8-4C0E-B710-FDDDB2D6BA5D}"/>
    <cellStyle name="Normal 2 3 5 5 3 2 6" xfId="20149" xr:uid="{1359F825-4987-43C6-9443-504CBA7F975D}"/>
    <cellStyle name="Normal 2 3 5 5 3 3" xfId="20150" xr:uid="{27EE76F9-DF21-4211-B08B-31A19E73D28F}"/>
    <cellStyle name="Normal 2 3 5 5 3 4" xfId="20151" xr:uid="{5D8BA9AD-0D96-43FE-AAF6-AABB1E343F3B}"/>
    <cellStyle name="Normal 2 3 5 5 3 5" xfId="20152" xr:uid="{45D4BAF9-E266-4D33-87E5-80672BFB5C68}"/>
    <cellStyle name="Normal 2 3 5 5 3 6" xfId="20153" xr:uid="{6A339E2F-DB42-4EFA-8D7F-3D60C834B3C2}"/>
    <cellStyle name="Normal 2 3 5 5 4" xfId="20154" xr:uid="{F4154FAC-AE28-4AA7-8970-5024A971A25E}"/>
    <cellStyle name="Normal 2 3 5 5 5" xfId="20155" xr:uid="{C919CCF1-5403-4066-82C0-8EB413A84B95}"/>
    <cellStyle name="Normal 2 3 5 5 6" xfId="20156" xr:uid="{E73F3DF4-7A6A-4949-ABF6-786EA41C714F}"/>
    <cellStyle name="Normal 2 3 5 5 7" xfId="20157" xr:uid="{BF2CD122-E88C-4BB9-BB85-693109181E18}"/>
    <cellStyle name="Normal 2 3 5 5 8" xfId="20158" xr:uid="{AC836063-6F5B-4BA2-AFDB-3E60524DC341}"/>
    <cellStyle name="Normal 2 3 5 5 9" xfId="20159" xr:uid="{2F13FB24-83EF-4827-A9FA-7B489C7E1EC1}"/>
    <cellStyle name="Normal 2 3 5 6" xfId="20160" xr:uid="{ADF06CAA-78C6-4D6B-B26F-84AF4CAEED34}"/>
    <cellStyle name="Normal 2 3 5 7" xfId="20161" xr:uid="{F153920C-3441-44EB-A1BE-F3AF58A45F7F}"/>
    <cellStyle name="Normal 2 3 5 8" xfId="20162" xr:uid="{77B54FE2-2B8E-42D1-9EE1-920A74669BEC}"/>
    <cellStyle name="Normal 2 3 5 8 2" xfId="20163" xr:uid="{2C32F901-A58E-496B-978B-94B718F7C55A}"/>
    <cellStyle name="Normal 2 3 5 8 2 2" xfId="20164" xr:uid="{4A830BC3-7119-441A-90F8-B0ACA52B374E}"/>
    <cellStyle name="Normal 2 3 5 8 2 3" xfId="20165" xr:uid="{DA2B9105-0A69-41F5-9315-08CAAEA13F97}"/>
    <cellStyle name="Normal 2 3 5 8 2 4" xfId="20166" xr:uid="{339E2FA8-C93E-4FC1-9725-731C4F715AE1}"/>
    <cellStyle name="Normal 2 3 5 8 2 5" xfId="20167" xr:uid="{3512ED74-6029-49D2-9528-235B385D668F}"/>
    <cellStyle name="Normal 2 3 5 8 2 6" xfId="20168" xr:uid="{0FCE76D5-540F-4C7E-AD8A-383AF56EFCD7}"/>
    <cellStyle name="Normal 2 3 5 8 3" xfId="20169" xr:uid="{252ADB1D-0C0A-4164-9623-B4843B9185F6}"/>
    <cellStyle name="Normal 2 3 5 8 4" xfId="20170" xr:uid="{C76D88B3-19A0-437E-8742-A0128B963217}"/>
    <cellStyle name="Normal 2 3 5 8 5" xfId="20171" xr:uid="{245192B5-7A17-48E9-8965-CC4F01E9967A}"/>
    <cellStyle name="Normal 2 3 5 8 6" xfId="20172" xr:uid="{F89917BA-F270-44D8-9407-7F8BCDC75394}"/>
    <cellStyle name="Normal 2 3 5 9" xfId="20173" xr:uid="{BD945F3B-EDFB-4808-86EC-CA545E97B3DF}"/>
    <cellStyle name="Normal 2 3 50" xfId="20174" xr:uid="{9E441E70-9891-41A0-A187-86E6AE36F165}"/>
    <cellStyle name="Normal 2 3 51" xfId="20175" xr:uid="{1EAD6FE5-EA43-4AF0-A6E5-6A32350FB20A}"/>
    <cellStyle name="Normal 2 3 52" xfId="20176" xr:uid="{B92D14DF-C2D8-4B72-9E84-D1ED25F249B9}"/>
    <cellStyle name="Normal 2 3 53" xfId="20177" xr:uid="{1FBD107A-6F3A-4379-9CB2-81686BFDF830}"/>
    <cellStyle name="Normal 2 3 54" xfId="20178" xr:uid="{F9B03CC3-BB1C-4108-A1BA-36B55AD7DD00}"/>
    <cellStyle name="Normal 2 3 55" xfId="20179" xr:uid="{E612AC9A-EDB0-43B3-9AAD-368EA334DCBD}"/>
    <cellStyle name="Normal 2 3 56" xfId="20180" xr:uid="{48C2CFE1-F7B6-45A3-AA29-6A5C934AC4D6}"/>
    <cellStyle name="Normal 2 3 57" xfId="20181" xr:uid="{29970B3A-42A9-4ED3-AC19-8F049D123CEC}"/>
    <cellStyle name="Normal 2 3 58" xfId="20182" xr:uid="{1F716F2C-B76C-4C83-8BD9-0102A051F073}"/>
    <cellStyle name="Normal 2 3 59" xfId="20183" xr:uid="{FBD86D44-14E2-4625-B710-BB7B3CAFEACB}"/>
    <cellStyle name="Normal 2 3 6" xfId="20184" xr:uid="{10971ECA-659C-4993-BE42-19DC720503C1}"/>
    <cellStyle name="Normal 2 3 6 2" xfId="20185" xr:uid="{F22DD5B3-CAFC-489E-9521-082493F41572}"/>
    <cellStyle name="Normal 2 3 6 3" xfId="20186" xr:uid="{CBB62E9F-8C69-4006-A590-46DB491912C6}"/>
    <cellStyle name="Normal 2 3 6 4" xfId="20187" xr:uid="{A7DCEDC1-15EE-4590-98E5-5C30B7066893}"/>
    <cellStyle name="Normal 2 3 6 5" xfId="20188" xr:uid="{ECFEB25D-7FA7-4A5A-8AC8-3BF1AE86622F}"/>
    <cellStyle name="Normal 2 3 6 6" xfId="20189" xr:uid="{8CE00C45-5FFD-48A7-9563-CB9C5B37779E}"/>
    <cellStyle name="Normal 2 3 60" xfId="20190" xr:uid="{D15F7B8C-D0F0-4C22-A01A-D12C2B7F3F69}"/>
    <cellStyle name="Normal 2 3 61" xfId="20191" xr:uid="{4B9232BE-5D54-43A1-8C89-A265FAC434CA}"/>
    <cellStyle name="Normal 2 3 62" xfId="20192" xr:uid="{48095946-C9C9-4F04-95B2-A2BF81AAC234}"/>
    <cellStyle name="Normal 2 3 62 2" xfId="20193" xr:uid="{5576D09E-E0AF-4CAB-8CF4-A54F6947D932}"/>
    <cellStyle name="Normal 2 3 62 2 2" xfId="20194" xr:uid="{40078C86-4DCD-4988-B95F-79F19E47B6CA}"/>
    <cellStyle name="Normal 2 3 62 2 2 2" xfId="20195" xr:uid="{450DBC78-AEAA-4680-B533-BD8A01E6AD59}"/>
    <cellStyle name="Normal 2 3 62 3" xfId="20196" xr:uid="{A2557C00-CFCA-4384-8048-BF711BD5017C}"/>
    <cellStyle name="Normal 2 3 62 4" xfId="20197" xr:uid="{7D79F480-520A-45EE-9BD6-5A249414054F}"/>
    <cellStyle name="Normal 2 3 62 5" xfId="20198" xr:uid="{955BD6C9-650B-49FC-B39B-4B47A6D184E1}"/>
    <cellStyle name="Normal 2 3 62 6" xfId="20199" xr:uid="{7F7CD134-E5A3-4330-89CD-E3159442053C}"/>
    <cellStyle name="Normal 2 3 63" xfId="20200" xr:uid="{36611E8A-9C9C-41E2-972D-A6A59515C49C}"/>
    <cellStyle name="Normal 2 3 63 2" xfId="20201" xr:uid="{ED7DAC67-EA83-40AF-930B-7A57CE7BFA78}"/>
    <cellStyle name="Normal 2 3 63 2 2" xfId="20202" xr:uid="{710A8B3D-2687-462B-8CF7-49DC55E6D875}"/>
    <cellStyle name="Normal 2 3 64" xfId="20203" xr:uid="{01416060-3FEC-4868-8B43-83F4342A24D4}"/>
    <cellStyle name="Normal 2 3 65" xfId="20204" xr:uid="{4F2905DA-0B7D-4DBB-9EF4-C1F7F104EC93}"/>
    <cellStyle name="Normal 2 3 66" xfId="20205" xr:uid="{D058542C-ED0E-4EA6-9C30-E995CDD108B6}"/>
    <cellStyle name="Normal 2 3 67" xfId="20206" xr:uid="{8E86ECC5-9B12-4CD7-82C0-8F3190DC3B40}"/>
    <cellStyle name="Normal 2 3 68" xfId="20207" xr:uid="{256397FC-E285-4876-9C90-688A0BC7013C}"/>
    <cellStyle name="Normal 2 3 69" xfId="20208" xr:uid="{D6F8B165-6CCB-494A-9D78-85A3A7C10358}"/>
    <cellStyle name="Normal 2 3 7" xfId="20209" xr:uid="{487779E0-B68D-4E67-AD06-67C30B0712E3}"/>
    <cellStyle name="Normal 2 3 7 2" xfId="20210" xr:uid="{EFD7FD9C-67FF-4B81-A28F-189D6D719EA8}"/>
    <cellStyle name="Normal 2 3 7 3" xfId="20211" xr:uid="{A8907D06-0344-4078-B1BF-B42BA691C96F}"/>
    <cellStyle name="Normal 2 3 7 4" xfId="20212" xr:uid="{E237600F-46CE-40E8-AC88-12BEF8814284}"/>
    <cellStyle name="Normal 2 3 7 5" xfId="20213" xr:uid="{D1AE3232-D141-487B-BE14-5E3F2ACD423C}"/>
    <cellStyle name="Normal 2 3 7 6" xfId="20214" xr:uid="{17B9C5F9-897F-4F43-9A02-A060D741F575}"/>
    <cellStyle name="Normal 2 3 70" xfId="20215" xr:uid="{4A689968-710B-4F1D-80D7-F6315549724B}"/>
    <cellStyle name="Normal 2 3 71" xfId="20216" xr:uid="{DA2AF593-8A81-4629-94BA-CD6D07369529}"/>
    <cellStyle name="Normal 2 3 72" xfId="20217" xr:uid="{11C42959-D94D-4DDF-B8F1-334D9FF13D14}"/>
    <cellStyle name="Normal 2 3 72 10" xfId="20218" xr:uid="{A1EFC466-99D7-4DEC-978D-D2CD5073C254}"/>
    <cellStyle name="Normal 2 3 72 11" xfId="20219" xr:uid="{CC2A7F57-6386-40E1-9EE5-1C33C8A6FF04}"/>
    <cellStyle name="Normal 2 3 72 12" xfId="20220" xr:uid="{19FE7149-FCDB-453F-ABAC-168984FDABCA}"/>
    <cellStyle name="Normal 2 3 72 13" xfId="20221" xr:uid="{8BB58CAB-9F56-445F-9B07-DE320FB8791E}"/>
    <cellStyle name="Normal 2 3 72 14" xfId="20222" xr:uid="{F84F9DC8-B65F-45D8-95E8-E250F251529F}"/>
    <cellStyle name="Normal 2 3 72 15" xfId="20223" xr:uid="{33E3132E-1D52-4388-8782-D90A9C7815C9}"/>
    <cellStyle name="Normal 2 3 72 16" xfId="20224" xr:uid="{4FE0466D-406F-4EC0-BB97-C0C7443F63FC}"/>
    <cellStyle name="Normal 2 3 72 2" xfId="20225" xr:uid="{BF5F80CB-88D7-4922-8327-DE37B4FFF056}"/>
    <cellStyle name="Normal 2 3 72 3" xfId="20226" xr:uid="{F2E205C3-8CD8-4D67-AEB9-02F58BDCFE98}"/>
    <cellStyle name="Normal 2 3 72 4" xfId="20227" xr:uid="{0C0A9A68-5225-422D-9266-F2604B6F2A8E}"/>
    <cellStyle name="Normal 2 3 72 5" xfId="20228" xr:uid="{301457A5-E733-402D-A593-321B90F6A813}"/>
    <cellStyle name="Normal 2 3 72 6" xfId="20229" xr:uid="{5D2B7569-5205-441C-AEB4-5AA4F4AED945}"/>
    <cellStyle name="Normal 2 3 72 7" xfId="20230" xr:uid="{67634339-42EA-4D4C-A7D2-AD58E882B5A5}"/>
    <cellStyle name="Normal 2 3 72 8" xfId="20231" xr:uid="{E0FFBCFD-4B77-4130-8CDA-74268CC44262}"/>
    <cellStyle name="Normal 2 3 72 9" xfId="20232" xr:uid="{3E3E9B77-ECFC-4F55-98FE-594EE934A7C4}"/>
    <cellStyle name="Normal 2 3 73" xfId="20233" xr:uid="{0EF8F8D3-F9C9-4D20-B68B-F23C464C6FCA}"/>
    <cellStyle name="Normal 2 3 74" xfId="20234" xr:uid="{9D91DB6D-739C-4852-968C-29A3DA8A0634}"/>
    <cellStyle name="Normal 2 3 75" xfId="20235" xr:uid="{18DB4015-9389-4DCD-8540-AA2E6441D7C4}"/>
    <cellStyle name="Normal 2 3 76" xfId="20236" xr:uid="{BD76AA8F-EF12-428E-B6DE-12DE15299B2B}"/>
    <cellStyle name="Normal 2 3 77" xfId="20237" xr:uid="{0939AC85-9B4B-4158-8764-97E2E89EAD40}"/>
    <cellStyle name="Normal 2 3 78" xfId="20238" xr:uid="{B7F30B52-6E25-49D0-8160-0B3B52C6F646}"/>
    <cellStyle name="Normal 2 3 79" xfId="20239" xr:uid="{7CE6FC15-2004-4A46-B760-11D7BA174D64}"/>
    <cellStyle name="Normal 2 3 8" xfId="20240" xr:uid="{F9C1F519-26D9-4838-9EBF-7B640C28985C}"/>
    <cellStyle name="Normal 2 3 8 10" xfId="20241" xr:uid="{A802E571-CC9B-4A75-A5FD-4EA2A79F27A8}"/>
    <cellStyle name="Normal 2 3 8 11" xfId="20242" xr:uid="{91533B88-B57C-4D55-94B9-A3FCEAC43DFA}"/>
    <cellStyle name="Normal 2 3 8 12" xfId="20243" xr:uid="{BD4EB26D-705E-4B40-A225-0CA7741E75F0}"/>
    <cellStyle name="Normal 2 3 8 13" xfId="20244" xr:uid="{AD523E81-1DFA-4EE7-B5E6-60BEBEB79F87}"/>
    <cellStyle name="Normal 2 3 8 14" xfId="20245" xr:uid="{9081B194-DCD4-4FB8-AB56-0112089AD7B8}"/>
    <cellStyle name="Normal 2 3 8 15" xfId="20246" xr:uid="{D66F4745-8FA3-4D57-8A84-C230FD5C5864}"/>
    <cellStyle name="Normal 2 3 8 16" xfId="20247" xr:uid="{0906E527-1060-4743-B9E2-D6525BB62C36}"/>
    <cellStyle name="Normal 2 3 8 17" xfId="20248" xr:uid="{E465D99F-44AF-45BF-BB7A-B2AFA27CB18E}"/>
    <cellStyle name="Normal 2 3 8 2" xfId="20249" xr:uid="{A0D0FD38-D82B-45CC-9455-43049A38F3C2}"/>
    <cellStyle name="Normal 2 3 8 2 10" xfId="20250" xr:uid="{5E7EED42-70BB-43BE-B93C-FBADBC06F63D}"/>
    <cellStyle name="Normal 2 3 8 2 11" xfId="20251" xr:uid="{390834C6-C3B5-44B6-86DB-7CC681B767B7}"/>
    <cellStyle name="Normal 2 3 8 2 12" xfId="20252" xr:uid="{9EC66F4A-1946-43F0-9C9C-4BF6689B3E7E}"/>
    <cellStyle name="Normal 2 3 8 2 2" xfId="20253" xr:uid="{8D379AF7-4BE3-4196-AB97-166F4F95D4E0}"/>
    <cellStyle name="Normal 2 3 8 2 2 2" xfId="20254" xr:uid="{B52586B6-1632-48F4-B3AA-23566834C200}"/>
    <cellStyle name="Normal 2 3 8 2 2 2 2" xfId="20255" xr:uid="{CE7D604A-884B-422B-949C-B82EA4A7E5AF}"/>
    <cellStyle name="Normal 2 3 8 2 2 2 2 2" xfId="20256" xr:uid="{F7F90D66-F104-4D5D-8774-B56BDA0FEA34}"/>
    <cellStyle name="Normal 2 3 8 2 2 2 2 2 2" xfId="20257" xr:uid="{E7AD2950-F129-468E-AF9E-ED8F437C77F0}"/>
    <cellStyle name="Normal 2 3 8 2 2 2 2 2 3" xfId="20258" xr:uid="{A33F0845-B8BA-4ACA-8C99-70C7925ABD62}"/>
    <cellStyle name="Normal 2 3 8 2 2 2 2 2 4" xfId="20259" xr:uid="{F19B2C86-AF7A-4EB8-8561-8E888D7C22E4}"/>
    <cellStyle name="Normal 2 3 8 2 2 2 2 2 5" xfId="20260" xr:uid="{D5FF1D16-3C4B-4757-BE61-E4940E54143C}"/>
    <cellStyle name="Normal 2 3 8 2 2 2 2 2 6" xfId="20261" xr:uid="{951681A5-1110-484A-9E78-430C5A5BC0C9}"/>
    <cellStyle name="Normal 2 3 8 2 2 2 2 3" xfId="20262" xr:uid="{97D34590-67A4-4020-8AE8-121B2B11AEDF}"/>
    <cellStyle name="Normal 2 3 8 2 2 2 2 4" xfId="20263" xr:uid="{FA033F6F-2B6B-4404-A2FD-161E5216FA30}"/>
    <cellStyle name="Normal 2 3 8 2 2 2 2 5" xfId="20264" xr:uid="{262575BF-2200-417E-8695-11305D65D487}"/>
    <cellStyle name="Normal 2 3 8 2 2 2 2 6" xfId="20265" xr:uid="{1A6BB115-F23F-448B-8824-AB6B1096F94D}"/>
    <cellStyle name="Normal 2 3 8 2 2 2 3" xfId="20266" xr:uid="{B9BC4384-B441-4025-9224-618C967039CD}"/>
    <cellStyle name="Normal 2 3 8 2 2 2 4" xfId="20267" xr:uid="{46A870EF-FCCD-4487-8BAB-C70E11F61551}"/>
    <cellStyle name="Normal 2 3 8 2 2 2 5" xfId="20268" xr:uid="{FA1D9105-AE46-42D8-82DA-324C3BF1B832}"/>
    <cellStyle name="Normal 2 3 8 2 2 2 6" xfId="20269" xr:uid="{8A233278-AA50-455F-A1E4-154D4905A2F4}"/>
    <cellStyle name="Normal 2 3 8 2 2 2 7" xfId="20270" xr:uid="{9E9F0F01-46AD-47BF-882C-1DFC0A0AEE51}"/>
    <cellStyle name="Normal 2 3 8 2 2 2 8" xfId="20271" xr:uid="{72EC4A49-EF9E-41AD-9484-F3E64547FA7E}"/>
    <cellStyle name="Normal 2 3 8 2 2 2 9" xfId="20272" xr:uid="{CD9BA81B-8342-4918-AFE8-E26EECEDCFD8}"/>
    <cellStyle name="Normal 2 3 8 2 2 3" xfId="20273" xr:uid="{9E8C25AC-9476-4A66-AC63-E7E0F7956356}"/>
    <cellStyle name="Normal 2 3 8 2 2 3 2" xfId="20274" xr:uid="{4BED8DA6-F235-4F88-8C60-7E5ECA3F55A9}"/>
    <cellStyle name="Normal 2 3 8 2 2 3 2 2" xfId="20275" xr:uid="{0902845E-56CB-469A-8BAC-A0F251ED55D5}"/>
    <cellStyle name="Normal 2 3 8 2 2 3 2 3" xfId="20276" xr:uid="{B7019504-67C5-40AE-860A-657B765DE23B}"/>
    <cellStyle name="Normal 2 3 8 2 2 3 2 4" xfId="20277" xr:uid="{3056488D-0299-473E-BB93-7254C1CF462A}"/>
    <cellStyle name="Normal 2 3 8 2 2 3 2 5" xfId="20278" xr:uid="{790A8824-2C2A-4ECD-863E-9C5D7A3375FB}"/>
    <cellStyle name="Normal 2 3 8 2 2 3 2 6" xfId="20279" xr:uid="{9B475778-C55A-48F3-9153-4972FF259CE5}"/>
    <cellStyle name="Normal 2 3 8 2 2 3 3" xfId="20280" xr:uid="{93AA55F0-7200-4A54-A079-9C78AAC70D14}"/>
    <cellStyle name="Normal 2 3 8 2 2 3 4" xfId="20281" xr:uid="{3DA45D11-3A7E-4F29-9DBF-7BA273467A2E}"/>
    <cellStyle name="Normal 2 3 8 2 2 3 5" xfId="20282" xr:uid="{DC72B361-07F8-4FBB-84DF-42B24C476FBE}"/>
    <cellStyle name="Normal 2 3 8 2 2 3 6" xfId="20283" xr:uid="{A88BA327-0F49-4D50-B596-8F0EC2A82F09}"/>
    <cellStyle name="Normal 2 3 8 2 2 4" xfId="20284" xr:uid="{C1534379-4347-4D7C-95FC-CD9829339C1E}"/>
    <cellStyle name="Normal 2 3 8 2 2 5" xfId="20285" xr:uid="{C933225E-6E4F-4F6E-89E0-37E441F897DF}"/>
    <cellStyle name="Normal 2 3 8 2 2 6" xfId="20286" xr:uid="{60BED8A1-ADAD-4216-8C36-2F8DE4A4EE04}"/>
    <cellStyle name="Normal 2 3 8 2 2 7" xfId="20287" xr:uid="{12E10D07-1EA3-4D01-A8E3-0E2CC09767F0}"/>
    <cellStyle name="Normal 2 3 8 2 2 8" xfId="20288" xr:uid="{B2B2DF7A-4C76-4A29-B841-5D3A53238C0A}"/>
    <cellStyle name="Normal 2 3 8 2 2 9" xfId="20289" xr:uid="{4E3ACF87-1931-4349-BF4B-99834DA7D261}"/>
    <cellStyle name="Normal 2 3 8 2 3" xfId="20290" xr:uid="{506D22EE-3696-4C46-8443-26347B25277D}"/>
    <cellStyle name="Normal 2 3 8 2 4" xfId="20291" xr:uid="{4554C488-F339-4604-A6F5-429CBB1E0C77}"/>
    <cellStyle name="Normal 2 3 8 2 5" xfId="20292" xr:uid="{DB805573-B962-400D-B56A-A070BDEB5A91}"/>
    <cellStyle name="Normal 2 3 8 2 5 2" xfId="20293" xr:uid="{C252CED3-AA22-46F0-98B0-C6A203A12EE4}"/>
    <cellStyle name="Normal 2 3 8 2 5 2 2" xfId="20294" xr:uid="{5B93AA9A-8F22-4FEF-8360-E1074A52F641}"/>
    <cellStyle name="Normal 2 3 8 2 5 2 3" xfId="20295" xr:uid="{572B14A6-D69B-4E36-AE1C-C88A147B8BBF}"/>
    <cellStyle name="Normal 2 3 8 2 5 2 4" xfId="20296" xr:uid="{BA71188E-9F4F-4FB9-95DD-D14C8D6B10DE}"/>
    <cellStyle name="Normal 2 3 8 2 5 2 5" xfId="20297" xr:uid="{24B44721-1B9E-44EB-A5E6-42B9C1A2B19C}"/>
    <cellStyle name="Normal 2 3 8 2 5 2 6" xfId="20298" xr:uid="{1BCB2ABF-6A42-4E96-B59A-03244DB076B8}"/>
    <cellStyle name="Normal 2 3 8 2 5 3" xfId="20299" xr:uid="{7544A496-C538-453D-8A57-6082C81E5D72}"/>
    <cellStyle name="Normal 2 3 8 2 5 4" xfId="20300" xr:uid="{31125E5F-8778-4370-ABFE-E95B5A51DEEC}"/>
    <cellStyle name="Normal 2 3 8 2 5 5" xfId="20301" xr:uid="{D3E4527B-9209-4E67-82CC-AFAFA3A0BF10}"/>
    <cellStyle name="Normal 2 3 8 2 5 6" xfId="20302" xr:uid="{5A867DC6-D9E9-402B-BA12-4485027F09AA}"/>
    <cellStyle name="Normal 2 3 8 2 6" xfId="20303" xr:uid="{87E54F9A-D29C-462D-BC7F-57439811F687}"/>
    <cellStyle name="Normal 2 3 8 2 7" xfId="20304" xr:uid="{DCFE41D8-C646-4D8A-9B4A-E0D1697B0E6B}"/>
    <cellStyle name="Normal 2 3 8 2 8" xfId="20305" xr:uid="{E57596FD-B128-4117-998A-CD36C5BC4EAF}"/>
    <cellStyle name="Normal 2 3 8 2 9" xfId="20306" xr:uid="{6AE1F8F1-9719-402A-9BE4-BAD91C34B02F}"/>
    <cellStyle name="Normal 2 3 8 3" xfId="20307" xr:uid="{A2A67172-8967-4682-88A1-93210F4626AA}"/>
    <cellStyle name="Normal 2 3 8 3 2" xfId="20308" xr:uid="{70ECB3CE-E31F-4090-A44B-BB3AE1CB629C}"/>
    <cellStyle name="Normal 2 3 8 3 2 2" xfId="20309" xr:uid="{CC9571C5-DC4B-4E46-9691-DCED809FAD37}"/>
    <cellStyle name="Normal 2 3 8 3 2 2 2" xfId="20310" xr:uid="{068AAEF7-58E3-477A-B6DF-D508A0304919}"/>
    <cellStyle name="Normal 2 3 8 3 2 2 2 2" xfId="20311" xr:uid="{5630BCEB-4D8E-4882-8FFC-F04384DFC816}"/>
    <cellStyle name="Normal 2 3 8 3 2 2 2 3" xfId="20312" xr:uid="{E8905D7D-B8E2-4EEE-9DD9-6DF78889E7C3}"/>
    <cellStyle name="Normal 2 3 8 3 2 2 2 4" xfId="20313" xr:uid="{EF922BD7-E621-411C-9EA6-3A77D9C3CC4F}"/>
    <cellStyle name="Normal 2 3 8 3 2 2 2 5" xfId="20314" xr:uid="{9CFD4E1D-33AC-48E9-BA14-FA610C2FCED8}"/>
    <cellStyle name="Normal 2 3 8 3 2 2 2 6" xfId="20315" xr:uid="{BA6D8567-265B-4943-AF30-1D1E7F78EFBA}"/>
    <cellStyle name="Normal 2 3 8 3 2 2 3" xfId="20316" xr:uid="{492D7D28-0A94-4395-9E9A-9E77AF372067}"/>
    <cellStyle name="Normal 2 3 8 3 2 2 4" xfId="20317" xr:uid="{36828FB9-DDCD-4E1B-8B91-FC1A38DD2B7A}"/>
    <cellStyle name="Normal 2 3 8 3 2 2 5" xfId="20318" xr:uid="{7E40FDAC-CA8B-4628-AB57-BE026B5BFF76}"/>
    <cellStyle name="Normal 2 3 8 3 2 2 6" xfId="20319" xr:uid="{E4378331-04DA-4A07-B206-775A0467500F}"/>
    <cellStyle name="Normal 2 3 8 3 2 3" xfId="20320" xr:uid="{799F3DDA-47A4-4051-8FE8-CCAACBB9B67D}"/>
    <cellStyle name="Normal 2 3 8 3 2 4" xfId="20321" xr:uid="{ECFF281D-4EC6-467C-9149-3849D52C71AD}"/>
    <cellStyle name="Normal 2 3 8 3 2 5" xfId="20322" xr:uid="{6C31E6DB-9DC5-4B63-B86F-FB3EC951B9D0}"/>
    <cellStyle name="Normal 2 3 8 3 2 6" xfId="20323" xr:uid="{203753B4-5224-4252-96AE-A134C36F6AE7}"/>
    <cellStyle name="Normal 2 3 8 3 2 7" xfId="20324" xr:uid="{09C29A2B-4B17-4C31-8078-46FB999FE0EE}"/>
    <cellStyle name="Normal 2 3 8 3 2 8" xfId="20325" xr:uid="{41F53B55-F041-4988-A964-980EB07C8793}"/>
    <cellStyle name="Normal 2 3 8 3 2 9" xfId="20326" xr:uid="{CECAFB3D-5B61-4401-BEF7-F78F6CD1FE85}"/>
    <cellStyle name="Normal 2 3 8 3 3" xfId="20327" xr:uid="{58953D19-31B8-4B35-8954-E995D745D42C}"/>
    <cellStyle name="Normal 2 3 8 3 3 2" xfId="20328" xr:uid="{ACAAB32C-86EF-4B66-8B8C-F1DF09F40E83}"/>
    <cellStyle name="Normal 2 3 8 3 3 2 2" xfId="20329" xr:uid="{5AD84839-4AA5-436B-B493-565A4B554599}"/>
    <cellStyle name="Normal 2 3 8 3 3 2 3" xfId="20330" xr:uid="{5B26D0FA-704A-46AB-A783-10736E6FE8E3}"/>
    <cellStyle name="Normal 2 3 8 3 3 2 4" xfId="20331" xr:uid="{932DACF1-ADB6-407F-9ED6-BB501DC56351}"/>
    <cellStyle name="Normal 2 3 8 3 3 2 5" xfId="20332" xr:uid="{A9C2EA6A-80F6-4DC5-8ADB-EDAA684BF72A}"/>
    <cellStyle name="Normal 2 3 8 3 3 2 6" xfId="20333" xr:uid="{AFC5A737-F305-4367-9241-9F6FB2EB0653}"/>
    <cellStyle name="Normal 2 3 8 3 3 3" xfId="20334" xr:uid="{0B1F6BEB-C1B5-4754-8D1D-08AF55EAE230}"/>
    <cellStyle name="Normal 2 3 8 3 3 4" xfId="20335" xr:uid="{B716DBCE-6C27-4A0B-822C-697B3CDABE89}"/>
    <cellStyle name="Normal 2 3 8 3 3 5" xfId="20336" xr:uid="{823398DD-462D-40C4-B8FD-C060914139CD}"/>
    <cellStyle name="Normal 2 3 8 3 3 6" xfId="20337" xr:uid="{4ED5EAC7-EE24-48D9-9590-9B1527648CC0}"/>
    <cellStyle name="Normal 2 3 8 3 4" xfId="20338" xr:uid="{160DB74A-B770-4315-A044-49F20F3D9A0D}"/>
    <cellStyle name="Normal 2 3 8 3 5" xfId="20339" xr:uid="{3BFD9F96-263E-4A5E-BAC9-EE6FB32F6B90}"/>
    <cellStyle name="Normal 2 3 8 3 6" xfId="20340" xr:uid="{9CE76C04-512B-4691-8031-6A1735980A07}"/>
    <cellStyle name="Normal 2 3 8 3 7" xfId="20341" xr:uid="{A052303D-F67A-42DD-88E8-D1C8B9B69082}"/>
    <cellStyle name="Normal 2 3 8 3 8" xfId="20342" xr:uid="{9201B60E-1A6F-411C-80F8-542A4FC72336}"/>
    <cellStyle name="Normal 2 3 8 3 9" xfId="20343" xr:uid="{5B96185B-47B7-4E04-BD4C-C4F03695A44D}"/>
    <cellStyle name="Normal 2 3 8 4" xfId="20344" xr:uid="{EB1B330A-B17B-4216-AF77-3381B7AE891D}"/>
    <cellStyle name="Normal 2 3 8 5" xfId="20345" xr:uid="{E8467D2B-3686-41FC-8B98-EB1B922D89D6}"/>
    <cellStyle name="Normal 2 3 8 5 2" xfId="20346" xr:uid="{9BEBCA00-BCF5-40E2-AB98-162723B46734}"/>
    <cellStyle name="Normal 2 3 8 5 2 2" xfId="20347" xr:uid="{3E9847A1-515B-40EE-A61E-9452F014F7D5}"/>
    <cellStyle name="Normal 2 3 8 5 2 3" xfId="20348" xr:uid="{8CD7F06F-ADE9-4C81-BD50-A5CE277DD4A3}"/>
    <cellStyle name="Normal 2 3 8 5 2 4" xfId="20349" xr:uid="{A74D6206-83C6-427A-8CBA-3A5AD5E0A99D}"/>
    <cellStyle name="Normal 2 3 8 5 2 5" xfId="20350" xr:uid="{7923F429-1663-47DD-855E-14A52DFAEE3D}"/>
    <cellStyle name="Normal 2 3 8 5 2 6" xfId="20351" xr:uid="{774EB11D-3D33-4183-B170-79AA4130D099}"/>
    <cellStyle name="Normal 2 3 8 5 3" xfId="20352" xr:uid="{115C0F39-D18B-459D-BC15-2211648B154E}"/>
    <cellStyle name="Normal 2 3 8 5 4" xfId="20353" xr:uid="{6C53D60A-DAB8-41C2-A33E-5C0255B3D297}"/>
    <cellStyle name="Normal 2 3 8 5 5" xfId="20354" xr:uid="{FFEB9903-5CDD-463F-A5FC-6FB8440E60CD}"/>
    <cellStyle name="Normal 2 3 8 5 6" xfId="20355" xr:uid="{5A9B4670-6FB4-4E58-9C07-EB251284B00B}"/>
    <cellStyle name="Normal 2 3 8 6" xfId="20356" xr:uid="{C8E5E358-D767-43B4-9C3F-A3A5F3B5A60A}"/>
    <cellStyle name="Normal 2 3 8 7" xfId="20357" xr:uid="{8213BD25-6E45-4069-A5B0-2B8E2D9CE981}"/>
    <cellStyle name="Normal 2 3 8 8" xfId="20358" xr:uid="{9912D5E5-5675-453B-9E86-19D692232DDA}"/>
    <cellStyle name="Normal 2 3 8 9" xfId="20359" xr:uid="{7C5CAC20-150B-4B58-9FE6-E48FAA5FC018}"/>
    <cellStyle name="Normal 2 3 80" xfId="20360" xr:uid="{BA45DBDC-1893-4029-9AC7-243A8BF25BD5}"/>
    <cellStyle name="Normal 2 3 81" xfId="20361" xr:uid="{07656DC9-4735-44C7-9C43-D1057399CF69}"/>
    <cellStyle name="Normal 2 3 82" xfId="20362" xr:uid="{830CFE28-AF21-4012-8B52-D158D57DAE2D}"/>
    <cellStyle name="Normal 2 3 83" xfId="20363" xr:uid="{A63E1091-35F4-40C1-BE5F-3B90650E7E3C}"/>
    <cellStyle name="Normal 2 3 84" xfId="20364" xr:uid="{C095BAC3-238D-42D2-8F8B-AB37B787C4F8}"/>
    <cellStyle name="Normal 2 3 85" xfId="20365" xr:uid="{406F7FE9-52D5-4E83-AF52-600BBD08E4DA}"/>
    <cellStyle name="Normal 2 3 86" xfId="20366" xr:uid="{25E55668-FAA8-48EF-8579-576DDD65FB57}"/>
    <cellStyle name="Normal 2 3 87" xfId="20367" xr:uid="{7776D1BF-E56E-463B-8DA5-9CB6C1811D6C}"/>
    <cellStyle name="Normal 2 3 88" xfId="20368" xr:uid="{12189AAB-8C34-427F-84CF-61085364DBE5}"/>
    <cellStyle name="Normal 2 3 89" xfId="20369" xr:uid="{59B2669E-72B8-4609-ABC0-26D7185CA59E}"/>
    <cellStyle name="Normal 2 3 9" xfId="20370" xr:uid="{EF5FBADD-278D-4E05-A9AC-FB78F955BBD3}"/>
    <cellStyle name="Normal 2 3 9 2" xfId="20371" xr:uid="{7823B383-FF58-4C46-96CB-1CA1A6E1E54F}"/>
    <cellStyle name="Normal 2 3 9 3" xfId="20372" xr:uid="{AA070158-9E3B-497A-A88C-13743DA7ABF3}"/>
    <cellStyle name="Normal 2 3 9 4" xfId="20373" xr:uid="{D903C85E-A7C7-428C-9B65-6C39664EA8D1}"/>
    <cellStyle name="Normal 2 3 9 5" xfId="20374" xr:uid="{76D78483-50A5-4987-8B86-23D6266B1F59}"/>
    <cellStyle name="Normal 2 3 9 6" xfId="20375" xr:uid="{B4BF547D-42E0-432D-907C-150AB5F59F61}"/>
    <cellStyle name="Normal 2 3 90" xfId="20376" xr:uid="{3D5CA62B-CA81-40EE-BAD9-7B3AD98BCC70}"/>
    <cellStyle name="Normal 2 3 91" xfId="20377" xr:uid="{B51266B8-53A1-4503-B605-03DB3FCFAAF7}"/>
    <cellStyle name="Normal 2 3 92" xfId="20378" xr:uid="{2DAB49D7-E592-4B4F-983F-39C69E2C54C4}"/>
    <cellStyle name="Normal 2 3 93" xfId="20379" xr:uid="{E29E4750-67F9-4AF9-9642-A99B3518C79E}"/>
    <cellStyle name="Normal 2 3 94" xfId="20380" xr:uid="{F2906305-4EDC-4C24-9456-A4B5EEB1602A}"/>
    <cellStyle name="Normal 2 3 95" xfId="20381" xr:uid="{475EBA28-C811-4997-9835-061DC9193985}"/>
    <cellStyle name="Normal 2 3 96" xfId="20382" xr:uid="{CF1FC69C-0523-4C54-82BD-3AE8A782768C}"/>
    <cellStyle name="Normal 2 3 97" xfId="20383" xr:uid="{A838F585-1676-4BBF-AC4E-B4ED9CA3F9F4}"/>
    <cellStyle name="Normal 2 3 98" xfId="20384" xr:uid="{4C3C5FA2-1762-420C-AF40-8E9B7D61BA8C}"/>
    <cellStyle name="Normal 2 30" xfId="20385" xr:uid="{3CA79D85-5E11-4DFF-BD1C-41C8B131747C}"/>
    <cellStyle name="Normal 2 30 2" xfId="20386" xr:uid="{5C68CC0B-26B1-47B0-AA4D-E61B1194CE64}"/>
    <cellStyle name="Normal 2 31" xfId="20387" xr:uid="{FE93CE22-A412-4589-9FCA-FF753DCC44AD}"/>
    <cellStyle name="Normal 2 31 2" xfId="20388" xr:uid="{E7FEDF1F-60E6-4E8B-8950-F39A18C4B844}"/>
    <cellStyle name="Normal 2 32" xfId="20389" xr:uid="{3A4626A6-3ECF-41B1-B73C-CD688146B04E}"/>
    <cellStyle name="Normal 2 32 10" xfId="20390" xr:uid="{61BB5D21-79D0-441A-B4BC-2ED6A651F423}"/>
    <cellStyle name="Normal 2 32 11" xfId="20391" xr:uid="{1384AF96-98C6-48BF-9332-5AD6AAC7A95A}"/>
    <cellStyle name="Normal 2 32 2" xfId="20392" xr:uid="{C700538D-1946-4B3C-B77D-59761E094AA6}"/>
    <cellStyle name="Normal 2 32 2 2" xfId="20393" xr:uid="{921D551B-17E2-43FC-8E64-5CA24A1E2E3B}"/>
    <cellStyle name="Normal 2 32 2 3" xfId="20394" xr:uid="{372565F0-7014-49F2-9902-E0ED9489B744}"/>
    <cellStyle name="Normal 2 32 2 4" xfId="20395" xr:uid="{9C51A52D-6D95-4905-9509-2088FA8F65DA}"/>
    <cellStyle name="Normal 2 32 2 5" xfId="20396" xr:uid="{A04BDE28-3E50-4E49-BF2A-00CE763528BF}"/>
    <cellStyle name="Normal 2 32 2 6" xfId="20397" xr:uid="{F8EDE7E3-376F-4346-98E0-4B17D7523D48}"/>
    <cellStyle name="Normal 2 32 2 7" xfId="20398" xr:uid="{3B1551DD-60B0-44E6-9B19-A977436C85D7}"/>
    <cellStyle name="Normal 2 32 2 8" xfId="20399" xr:uid="{0C537DA0-1EA3-496D-9FA0-19B8B083405B}"/>
    <cellStyle name="Normal 2 32 2 9" xfId="20400" xr:uid="{87B5A98B-E2C8-42D7-865F-1D1D918FB6AD}"/>
    <cellStyle name="Normal 2 32 3" xfId="20401" xr:uid="{2F1658FB-55E4-4FD1-837E-7035C40F41A3}"/>
    <cellStyle name="Normal 2 32 4" xfId="20402" xr:uid="{9EA39F02-14F5-4F56-80A8-9DE6138FD17F}"/>
    <cellStyle name="Normal 2 32 5" xfId="20403" xr:uid="{5C8D64B3-F477-47AA-A311-380C431E642E}"/>
    <cellStyle name="Normal 2 32 6" xfId="20404" xr:uid="{0CED52AA-9DCC-47B2-AE5E-29A687151C18}"/>
    <cellStyle name="Normal 2 32 7" xfId="20405" xr:uid="{9A6DA368-A10A-4339-87AF-A530FEECEE3E}"/>
    <cellStyle name="Normal 2 32 8" xfId="20406" xr:uid="{8B3C99AC-9E0E-48FC-A9FA-479040C672F2}"/>
    <cellStyle name="Normal 2 32 9" xfId="20407" xr:uid="{1A10160B-ECA2-4CD6-8CD7-AE6BDBDAD61A}"/>
    <cellStyle name="Normal 2 33" xfId="20408" xr:uid="{9E3F0951-5FAD-4FFE-AFCE-88FA3CE6ED45}"/>
    <cellStyle name="Normal 2 33 10" xfId="20409" xr:uid="{137BBDCF-B01D-4B39-8C26-51B158AA7D18}"/>
    <cellStyle name="Normal 2 33 11" xfId="20410" xr:uid="{71AF5050-F94E-42A9-9365-C602CAAE7B98}"/>
    <cellStyle name="Normal 2 33 12" xfId="20411" xr:uid="{00DAA1AC-F499-4F17-97F7-788A8EB69178}"/>
    <cellStyle name="Normal 2 33 13" xfId="20412" xr:uid="{E5B85584-93D9-48CF-9014-4C06CA659F7E}"/>
    <cellStyle name="Normal 2 33 14" xfId="20413" xr:uid="{BAD3C216-9F4B-4003-AD13-8859FB36802B}"/>
    <cellStyle name="Normal 2 33 15" xfId="20414" xr:uid="{F65B4F5C-70FC-412F-9109-CA8BACB09612}"/>
    <cellStyle name="Normal 2 33 16" xfId="20415" xr:uid="{71708D26-99E0-4AC6-9509-43F2A49C4539}"/>
    <cellStyle name="Normal 2 33 2" xfId="20416" xr:uid="{160463CE-05CB-455E-873B-EE8776CF4925}"/>
    <cellStyle name="Normal 2 33 2 10" xfId="20417" xr:uid="{134D82C9-008A-43F7-8C7D-E172A2FBCA70}"/>
    <cellStyle name="Normal 2 33 2 11" xfId="20418" xr:uid="{CC604989-4D3D-4274-802A-872C4F5653BE}"/>
    <cellStyle name="Normal 2 33 2 12" xfId="20419" xr:uid="{18E9AC66-A96D-4FFD-8ACE-064E4801C95D}"/>
    <cellStyle name="Normal 2 33 2 13" xfId="20420" xr:uid="{D186EF22-B8E7-463B-A58A-46BFCCD9E3AA}"/>
    <cellStyle name="Normal 2 33 2 14" xfId="20421" xr:uid="{4FF3A8FC-C427-48AB-AC39-078FFAA93821}"/>
    <cellStyle name="Normal 2 33 2 15" xfId="20422" xr:uid="{63A82CA3-0F75-450B-8EF6-0F219B7BA00B}"/>
    <cellStyle name="Normal 2 33 2 2" xfId="20423" xr:uid="{ACE41F6E-7E59-434A-A8B6-B0E3954750BB}"/>
    <cellStyle name="Normal 2 33 2 2 10" xfId="20424" xr:uid="{853FEAB7-FAFF-4361-B364-A6168203E906}"/>
    <cellStyle name="Normal 2 33 2 2 11" xfId="20425" xr:uid="{C46380D2-ED26-47EC-9A15-38347A170A87}"/>
    <cellStyle name="Normal 2 33 2 2 12" xfId="20426" xr:uid="{E9C36CEA-CB72-42F6-B021-D76CBFFB16BE}"/>
    <cellStyle name="Normal 2 33 2 2 2" xfId="20427" xr:uid="{240CC520-C74B-46F3-B8A5-27A1E072AE48}"/>
    <cellStyle name="Normal 2 33 2 2 2 10" xfId="20428" xr:uid="{925A6779-6EB4-44F7-AC30-AF4474F7ECD8}"/>
    <cellStyle name="Normal 2 33 2 2 2 11" xfId="20429" xr:uid="{8763C94E-20B8-40D6-8677-FEB4436D0E80}"/>
    <cellStyle name="Normal 2 33 2 2 2 12" xfId="20430" xr:uid="{21FF8C23-6852-4A8B-999B-3C0323F3B100}"/>
    <cellStyle name="Normal 2 33 2 2 2 2" xfId="20431" xr:uid="{C67F6338-234C-47B0-B7FE-D143FE7EA717}"/>
    <cellStyle name="Normal 2 33 2 2 2 2 2" xfId="20432" xr:uid="{4C6A5E4B-3A45-4036-B2F2-75EF3FCF0F1C}"/>
    <cellStyle name="Normal 2 33 2 2 2 2 2 2" xfId="20433" xr:uid="{266537A6-214C-4428-BE8E-D7AAA80B12CF}"/>
    <cellStyle name="Normal 2 33 2 2 2 2 2 2 2" xfId="20434" xr:uid="{0A7EFCC1-6E3B-42CD-A143-84FBB523B919}"/>
    <cellStyle name="Normal 2 33 2 2 2 2 2 2 2 2" xfId="20435" xr:uid="{662B1F85-68B0-46E7-B3BF-5E78CA94FF7B}"/>
    <cellStyle name="Normal 2 33 2 2 2 2 2 2 2 3" xfId="20436" xr:uid="{B45E025B-601B-4C08-8F50-00D900CC712E}"/>
    <cellStyle name="Normal 2 33 2 2 2 2 2 2 2 4" xfId="20437" xr:uid="{37DFAB0D-7001-479B-9D4C-244DDE4C80E3}"/>
    <cellStyle name="Normal 2 33 2 2 2 2 2 2 2 5" xfId="20438" xr:uid="{AAA2A810-2420-4CAA-8760-378E01A46333}"/>
    <cellStyle name="Normal 2 33 2 2 2 2 2 2 2 6" xfId="20439" xr:uid="{1EA94E89-40CE-400F-96DD-DBFB3AEDCA31}"/>
    <cellStyle name="Normal 2 33 2 2 2 2 2 2 3" xfId="20440" xr:uid="{57D56873-CB57-46A1-8968-50C43A781378}"/>
    <cellStyle name="Normal 2 33 2 2 2 2 2 2 4" xfId="20441" xr:uid="{9029D6E3-E4CF-433A-BEFB-DBB719E44D04}"/>
    <cellStyle name="Normal 2 33 2 2 2 2 2 2 5" xfId="20442" xr:uid="{E6C0573C-71F2-4916-8FED-BC74538F83FC}"/>
    <cellStyle name="Normal 2 33 2 2 2 2 2 2 6" xfId="20443" xr:uid="{DCF387A2-7A27-4AFC-91E6-D190F8E7305C}"/>
    <cellStyle name="Normal 2 33 2 2 2 2 2 3" xfId="20444" xr:uid="{1F89351C-0B0C-4C18-9C39-DA8F282185F3}"/>
    <cellStyle name="Normal 2 33 2 2 2 2 2 4" xfId="20445" xr:uid="{4A0D7DB7-CD9E-477F-9A97-9369FFAC7D2E}"/>
    <cellStyle name="Normal 2 33 2 2 2 2 2 5" xfId="20446" xr:uid="{A54836D2-9C8B-499D-9E7A-F5E8BA254AB2}"/>
    <cellStyle name="Normal 2 33 2 2 2 2 2 6" xfId="20447" xr:uid="{F667BE77-C81F-48A0-ACF1-9F7246055756}"/>
    <cellStyle name="Normal 2 33 2 2 2 2 2 7" xfId="20448" xr:uid="{A9F2C567-8FC6-4C53-81DA-2CE1E2030EE7}"/>
    <cellStyle name="Normal 2 33 2 2 2 2 2 8" xfId="20449" xr:uid="{76CAA263-2966-400A-9DDF-06F2E3892A19}"/>
    <cellStyle name="Normal 2 33 2 2 2 2 2 9" xfId="20450" xr:uid="{9C67F38C-F3CE-4092-8920-D387E1E25335}"/>
    <cellStyle name="Normal 2 33 2 2 2 2 3" xfId="20451" xr:uid="{5CC27AB9-42E9-4B38-B4AF-1EDDDBC391B8}"/>
    <cellStyle name="Normal 2 33 2 2 2 2 3 2" xfId="20452" xr:uid="{1C19763A-EDE1-4DD6-9A9D-83754BAA00C7}"/>
    <cellStyle name="Normal 2 33 2 2 2 2 3 2 2" xfId="20453" xr:uid="{8C9F713F-4B61-41C7-93BE-F48994D6DF20}"/>
    <cellStyle name="Normal 2 33 2 2 2 2 3 2 3" xfId="20454" xr:uid="{564648FA-CD42-4DB0-B1CC-366D8BC65C03}"/>
    <cellStyle name="Normal 2 33 2 2 2 2 3 2 4" xfId="20455" xr:uid="{AEA793A0-10E6-4E3B-9464-2007C7260065}"/>
    <cellStyle name="Normal 2 33 2 2 2 2 3 2 5" xfId="20456" xr:uid="{FEAD4A1E-00F3-4C73-B067-FE8444F4C0F0}"/>
    <cellStyle name="Normal 2 33 2 2 2 2 3 2 6" xfId="20457" xr:uid="{9F844113-9CE7-4645-9DEA-03FF8E5AC40D}"/>
    <cellStyle name="Normal 2 33 2 2 2 2 3 3" xfId="20458" xr:uid="{5D80D11E-CF21-40C4-BD46-20E251BF86DD}"/>
    <cellStyle name="Normal 2 33 2 2 2 2 3 4" xfId="20459" xr:uid="{73FC620D-8BC8-4ACD-ADA0-9114C3F332D5}"/>
    <cellStyle name="Normal 2 33 2 2 2 2 3 5" xfId="20460" xr:uid="{873674C7-848C-4AD1-8B13-D22E0ED84954}"/>
    <cellStyle name="Normal 2 33 2 2 2 2 3 6" xfId="20461" xr:uid="{4D94C8B2-DE5E-4808-A339-D1CE9ECD7864}"/>
    <cellStyle name="Normal 2 33 2 2 2 2 4" xfId="20462" xr:uid="{44A5383A-5FED-42C5-876E-1B0A050B31C1}"/>
    <cellStyle name="Normal 2 33 2 2 2 2 5" xfId="20463" xr:uid="{EA0A9C11-490B-4071-B894-6A04C763BA7B}"/>
    <cellStyle name="Normal 2 33 2 2 2 2 6" xfId="20464" xr:uid="{A876562D-194B-4A51-A820-CA9CE87BD38F}"/>
    <cellStyle name="Normal 2 33 2 2 2 2 7" xfId="20465" xr:uid="{BD022093-6B47-4BAB-8E3D-389DC9F23CBA}"/>
    <cellStyle name="Normal 2 33 2 2 2 2 8" xfId="20466" xr:uid="{BFE9CDA7-37E7-4201-AF24-6646A30C8634}"/>
    <cellStyle name="Normal 2 33 2 2 2 2 9" xfId="20467" xr:uid="{53467EF4-5C88-44CC-89C0-7E8C2B9EE1FD}"/>
    <cellStyle name="Normal 2 33 2 2 2 3" xfId="20468" xr:uid="{C5FEA1D8-22F5-4E77-99DE-5362FFDA74AB}"/>
    <cellStyle name="Normal 2 33 2 2 2 4" xfId="20469" xr:uid="{8897FE4B-EA5E-43FF-9B7F-9E9DB569704A}"/>
    <cellStyle name="Normal 2 33 2 2 2 5" xfId="20470" xr:uid="{94128C6C-F042-4444-9F49-11182D1BD929}"/>
    <cellStyle name="Normal 2 33 2 2 2 5 2" xfId="20471" xr:uid="{DD3EDFE9-9AE4-4889-9F65-27F38B6E33E1}"/>
    <cellStyle name="Normal 2 33 2 2 2 5 2 2" xfId="20472" xr:uid="{417DB681-CEFA-4232-9E40-2571333F6C78}"/>
    <cellStyle name="Normal 2 33 2 2 2 5 2 3" xfId="20473" xr:uid="{F8C480CB-1970-4E18-8A28-6259C85D5702}"/>
    <cellStyle name="Normal 2 33 2 2 2 5 2 4" xfId="20474" xr:uid="{4F89C8F0-0959-46C4-B618-74B1BB19FCDE}"/>
    <cellStyle name="Normal 2 33 2 2 2 5 2 5" xfId="20475" xr:uid="{F2B7077A-A343-4B8D-B543-1670ED9F98E8}"/>
    <cellStyle name="Normal 2 33 2 2 2 5 2 6" xfId="20476" xr:uid="{6BB8F824-CBD1-4BF1-92B3-8D06E11EEF62}"/>
    <cellStyle name="Normal 2 33 2 2 2 5 3" xfId="20477" xr:uid="{B503F2F1-D689-47FB-AE45-681631F74B57}"/>
    <cellStyle name="Normal 2 33 2 2 2 5 4" xfId="20478" xr:uid="{52893B06-5A7D-420A-880F-A12CD029BFC0}"/>
    <cellStyle name="Normal 2 33 2 2 2 5 5" xfId="20479" xr:uid="{A425F346-37FB-4400-9B9E-27CCE6C85C01}"/>
    <cellStyle name="Normal 2 33 2 2 2 5 6" xfId="20480" xr:uid="{DCFF0CDC-17BF-48D1-89C9-FC0846E7C5D4}"/>
    <cellStyle name="Normal 2 33 2 2 2 6" xfId="20481" xr:uid="{CA2EF536-2EB5-48FC-895B-9C057BEE4A9C}"/>
    <cellStyle name="Normal 2 33 2 2 2 7" xfId="20482" xr:uid="{4F162B4B-76F2-487D-A3FF-07E905117B67}"/>
    <cellStyle name="Normal 2 33 2 2 2 8" xfId="20483" xr:uid="{7F94AB60-6495-4EA0-9280-AB303631C276}"/>
    <cellStyle name="Normal 2 33 2 2 2 9" xfId="20484" xr:uid="{F330D101-3E6D-49B3-8215-59F2BD74BBC2}"/>
    <cellStyle name="Normal 2 33 2 2 3" xfId="20485" xr:uid="{FB0443EF-001E-4B1F-9FEE-096C8EF8FC3D}"/>
    <cellStyle name="Normal 2 33 2 2 3 2" xfId="20486" xr:uid="{9586DF36-CDFA-4273-8C6D-F8986FB372EA}"/>
    <cellStyle name="Normal 2 33 2 2 3 2 2" xfId="20487" xr:uid="{07E5A354-D7B3-4FF7-9F9F-170C4AFC4715}"/>
    <cellStyle name="Normal 2 33 2 2 3 2 2 2" xfId="20488" xr:uid="{55CAA6B7-F4E2-43C1-8DB8-8A44EC71A44B}"/>
    <cellStyle name="Normal 2 33 2 2 3 2 2 2 2" xfId="20489" xr:uid="{337F6739-05FF-49E9-A8C3-FC328F4C59C5}"/>
    <cellStyle name="Normal 2 33 2 2 3 2 2 2 3" xfId="20490" xr:uid="{34C4099B-A8E1-46ED-8ED3-72D4B8F911DE}"/>
    <cellStyle name="Normal 2 33 2 2 3 2 2 2 4" xfId="20491" xr:uid="{F206E8B1-D7AC-466D-A145-F164D56903D2}"/>
    <cellStyle name="Normal 2 33 2 2 3 2 2 2 5" xfId="20492" xr:uid="{F747C0A8-068F-4EB9-82F6-7B62F01562C7}"/>
    <cellStyle name="Normal 2 33 2 2 3 2 2 2 6" xfId="20493" xr:uid="{786DA13C-FC3E-46D7-8FF8-0543E05B497B}"/>
    <cellStyle name="Normal 2 33 2 2 3 2 2 3" xfId="20494" xr:uid="{60A4A6D4-2B3F-442A-B960-141621F88496}"/>
    <cellStyle name="Normal 2 33 2 2 3 2 2 4" xfId="20495" xr:uid="{DCAFAA49-D739-42AE-9921-E64042D88188}"/>
    <cellStyle name="Normal 2 33 2 2 3 2 2 5" xfId="20496" xr:uid="{CAE9F91D-8B9E-4993-8F15-B9C7B969AA34}"/>
    <cellStyle name="Normal 2 33 2 2 3 2 2 6" xfId="20497" xr:uid="{C7C39232-6D03-4E27-8343-5BA196AC830E}"/>
    <cellStyle name="Normal 2 33 2 2 3 2 3" xfId="20498" xr:uid="{DFAB9AD6-9E9A-4FD2-91D5-32E72F4F7213}"/>
    <cellStyle name="Normal 2 33 2 2 3 2 4" xfId="20499" xr:uid="{2C38C52B-66D9-49C6-A1AE-D16BFB269AE7}"/>
    <cellStyle name="Normal 2 33 2 2 3 2 5" xfId="20500" xr:uid="{59FEFC56-D152-492C-AECD-FADD48C44CDA}"/>
    <cellStyle name="Normal 2 33 2 2 3 2 6" xfId="20501" xr:uid="{944ACAEE-8F2A-42E6-9EA6-FA89412C183D}"/>
    <cellStyle name="Normal 2 33 2 2 3 2 7" xfId="20502" xr:uid="{D4FC0429-72FC-40D2-9D87-86A95933CA91}"/>
    <cellStyle name="Normal 2 33 2 2 3 2 8" xfId="20503" xr:uid="{26990C18-198B-4FA0-97D0-C66996960D44}"/>
    <cellStyle name="Normal 2 33 2 2 3 2 9" xfId="20504" xr:uid="{402B0851-36A6-457F-A8FD-10AB896B09BB}"/>
    <cellStyle name="Normal 2 33 2 2 3 3" xfId="20505" xr:uid="{E6CB8014-295E-4641-8CC7-6C7A035F322B}"/>
    <cellStyle name="Normal 2 33 2 2 3 3 2" xfId="20506" xr:uid="{6027ADB7-C8B9-4679-8F5E-F4634BAF8ABD}"/>
    <cellStyle name="Normal 2 33 2 2 3 3 2 2" xfId="20507" xr:uid="{59136767-306B-41E8-8BA0-0BC250852FFC}"/>
    <cellStyle name="Normal 2 33 2 2 3 3 2 3" xfId="20508" xr:uid="{D1A4F9A7-8E79-45C5-B982-F65CB376D2C5}"/>
    <cellStyle name="Normal 2 33 2 2 3 3 2 4" xfId="20509" xr:uid="{D8258A76-6DA7-4A0B-9278-8F29242E3DA7}"/>
    <cellStyle name="Normal 2 33 2 2 3 3 2 5" xfId="20510" xr:uid="{EE26806C-EF0F-419A-A339-4FC80C891BA9}"/>
    <cellStyle name="Normal 2 33 2 2 3 3 2 6" xfId="20511" xr:uid="{164E4307-E0F3-43C3-B329-0A7BA750AF4F}"/>
    <cellStyle name="Normal 2 33 2 2 3 3 3" xfId="20512" xr:uid="{099794D8-E0D5-4C4C-AC1D-8F1FE6C1A549}"/>
    <cellStyle name="Normal 2 33 2 2 3 3 4" xfId="20513" xr:uid="{952193C7-6C3A-49C9-9132-F46C6D7D5196}"/>
    <cellStyle name="Normal 2 33 2 2 3 3 5" xfId="20514" xr:uid="{4D8FC95F-A29F-4207-8E37-7192DDB3735C}"/>
    <cellStyle name="Normal 2 33 2 2 3 3 6" xfId="20515" xr:uid="{70A6C3A0-FA83-412A-A9AB-50C61B37F348}"/>
    <cellStyle name="Normal 2 33 2 2 3 4" xfId="20516" xr:uid="{9293C4D4-38F8-4546-83F7-A69218E9F54B}"/>
    <cellStyle name="Normal 2 33 2 2 3 5" xfId="20517" xr:uid="{04972144-DCE8-4973-903E-AF3B61F14F3A}"/>
    <cellStyle name="Normal 2 33 2 2 3 6" xfId="20518" xr:uid="{3FD3EAB2-9CFF-4CAF-92CC-7EF0E6112897}"/>
    <cellStyle name="Normal 2 33 2 2 3 7" xfId="20519" xr:uid="{068FC8DA-D8C2-4712-A372-B53D7BE36408}"/>
    <cellStyle name="Normal 2 33 2 2 3 8" xfId="20520" xr:uid="{E97972A0-CB23-436A-A721-B8E3012029EF}"/>
    <cellStyle name="Normal 2 33 2 2 3 9" xfId="20521" xr:uid="{6C0ABB41-49FC-42E1-B69D-FF168A59EC8D}"/>
    <cellStyle name="Normal 2 33 2 2 4" xfId="20522" xr:uid="{396F2E84-0C26-4157-834D-42A2F5CC7BB9}"/>
    <cellStyle name="Normal 2 33 2 2 5" xfId="20523" xr:uid="{5BC60284-63B7-4DB6-8B42-6A4F7CD80377}"/>
    <cellStyle name="Normal 2 33 2 2 5 2" xfId="20524" xr:uid="{0B95FCDD-AAA3-48A9-B1DC-40A342047732}"/>
    <cellStyle name="Normal 2 33 2 2 5 2 2" xfId="20525" xr:uid="{4AA623E5-F7A2-4288-8780-278684B7040F}"/>
    <cellStyle name="Normal 2 33 2 2 5 2 3" xfId="20526" xr:uid="{9A9DB2FC-95A8-4EB0-B4D4-841BBAE716DB}"/>
    <cellStyle name="Normal 2 33 2 2 5 2 4" xfId="20527" xr:uid="{A151240B-67DE-4CB5-ACF3-B7D38220FB6D}"/>
    <cellStyle name="Normal 2 33 2 2 5 2 5" xfId="20528" xr:uid="{84ECCA36-4B46-4D66-B4E1-252A53C50C48}"/>
    <cellStyle name="Normal 2 33 2 2 5 2 6" xfId="20529" xr:uid="{510DC336-FCD2-4AFE-BDAB-6EB446B6D6BD}"/>
    <cellStyle name="Normal 2 33 2 2 5 3" xfId="20530" xr:uid="{8529C87A-38AD-47A6-BA7E-983C4DA07B37}"/>
    <cellStyle name="Normal 2 33 2 2 5 4" xfId="20531" xr:uid="{4FB4FE65-985F-450A-B676-8F2FB5A7107F}"/>
    <cellStyle name="Normal 2 33 2 2 5 5" xfId="20532" xr:uid="{9DC2E82C-DF2E-43F6-BE8C-2AD77B43443F}"/>
    <cellStyle name="Normal 2 33 2 2 5 6" xfId="20533" xr:uid="{761AD52C-6C6A-42A8-BF42-E7A717586991}"/>
    <cellStyle name="Normal 2 33 2 2 6" xfId="20534" xr:uid="{47DA4F0F-0490-41E1-820A-48129C937451}"/>
    <cellStyle name="Normal 2 33 2 2 7" xfId="20535" xr:uid="{CAFA1551-5887-4900-ADB7-AA11AE85F9B1}"/>
    <cellStyle name="Normal 2 33 2 2 8" xfId="20536" xr:uid="{D3513842-211D-44E3-A8FC-C152125023DB}"/>
    <cellStyle name="Normal 2 33 2 2 9" xfId="20537" xr:uid="{6309B248-D5F4-40E6-A752-8AB96E6C464D}"/>
    <cellStyle name="Normal 2 33 2 3" xfId="20538" xr:uid="{EF562C7B-9715-420A-AC94-1CE11896C23A}"/>
    <cellStyle name="Normal 2 33 2 4" xfId="20539" xr:uid="{C3CB505F-3FD1-4CC8-B63D-296D9B5431AD}"/>
    <cellStyle name="Normal 2 33 2 5" xfId="20540" xr:uid="{3DF5BD40-AD6A-4B1A-96AD-39F14990C993}"/>
    <cellStyle name="Normal 2 33 2 5 2" xfId="20541" xr:uid="{64334D0C-E6EB-48C5-AAC3-E59DCD96C569}"/>
    <cellStyle name="Normal 2 33 2 5 2 2" xfId="20542" xr:uid="{EF49A1EE-CFEF-4A69-A1BC-A47F4478A8D3}"/>
    <cellStyle name="Normal 2 33 2 5 2 2 2" xfId="20543" xr:uid="{94C1748D-89D1-4FB0-8A56-3AA4410FE37D}"/>
    <cellStyle name="Normal 2 33 2 5 2 2 2 2" xfId="20544" xr:uid="{15B87BC0-7080-4E69-AA2D-63FFCD0F05BA}"/>
    <cellStyle name="Normal 2 33 2 5 2 2 2 3" xfId="20545" xr:uid="{C2384927-C3C4-4932-A539-A133A9657DE0}"/>
    <cellStyle name="Normal 2 33 2 5 2 2 2 4" xfId="20546" xr:uid="{90D8DF56-FDD5-43CD-84D4-296E44FA1F24}"/>
    <cellStyle name="Normal 2 33 2 5 2 2 2 5" xfId="20547" xr:uid="{D475C61B-8032-45F9-A114-A340373EF8B1}"/>
    <cellStyle name="Normal 2 33 2 5 2 2 2 6" xfId="20548" xr:uid="{4668F3A7-2AF9-4D87-B530-ACEC959327CF}"/>
    <cellStyle name="Normal 2 33 2 5 2 2 3" xfId="20549" xr:uid="{97F768C0-71D1-4A50-BB4B-8B956B4A8AFB}"/>
    <cellStyle name="Normal 2 33 2 5 2 2 4" xfId="20550" xr:uid="{07BD3255-0FF2-497A-92B5-503F9E0C2F61}"/>
    <cellStyle name="Normal 2 33 2 5 2 2 5" xfId="20551" xr:uid="{7977B316-D3A0-4569-87E2-57EFDF378265}"/>
    <cellStyle name="Normal 2 33 2 5 2 2 6" xfId="20552" xr:uid="{8142F5F6-42E3-4FC0-9872-E4C91E5ED01D}"/>
    <cellStyle name="Normal 2 33 2 5 2 3" xfId="20553" xr:uid="{482D7BBF-1011-4325-8DCF-4F147C5301CF}"/>
    <cellStyle name="Normal 2 33 2 5 2 4" xfId="20554" xr:uid="{BBFDC83D-67CE-43FE-AE4C-D9771B9162C8}"/>
    <cellStyle name="Normal 2 33 2 5 2 5" xfId="20555" xr:uid="{1CCCFE8F-DB25-4812-A40B-A40E3F8BCC88}"/>
    <cellStyle name="Normal 2 33 2 5 2 6" xfId="20556" xr:uid="{F91F583B-745F-4E3A-957F-C2105CA42801}"/>
    <cellStyle name="Normal 2 33 2 5 2 7" xfId="20557" xr:uid="{A5B0792D-37D2-4403-B7D9-D4F1B76351A5}"/>
    <cellStyle name="Normal 2 33 2 5 2 8" xfId="20558" xr:uid="{411D9196-9F6C-4051-976B-A64F05C25E05}"/>
    <cellStyle name="Normal 2 33 2 5 2 9" xfId="20559" xr:uid="{03C8BF5C-AEC7-4EF3-B913-E6C4D90D7A87}"/>
    <cellStyle name="Normal 2 33 2 5 3" xfId="20560" xr:uid="{CEB7DB05-B86F-4478-B525-8803EBD72027}"/>
    <cellStyle name="Normal 2 33 2 5 3 2" xfId="20561" xr:uid="{A6116567-4E59-42B0-A582-1C2E656A1DEC}"/>
    <cellStyle name="Normal 2 33 2 5 3 2 2" xfId="20562" xr:uid="{8228838A-DAF2-4288-B355-03D29FF2A23D}"/>
    <cellStyle name="Normal 2 33 2 5 3 2 3" xfId="20563" xr:uid="{F68A8F6C-5FE5-42B5-9085-116366899EA4}"/>
    <cellStyle name="Normal 2 33 2 5 3 2 4" xfId="20564" xr:uid="{7F158862-F47B-4EB1-B333-CB63D4C5A312}"/>
    <cellStyle name="Normal 2 33 2 5 3 2 5" xfId="20565" xr:uid="{C1745FE8-4A7B-47BF-BB47-11CAFD2E5878}"/>
    <cellStyle name="Normal 2 33 2 5 3 2 6" xfId="20566" xr:uid="{36FDEDDE-74DB-432A-8B87-A0241C4D24C0}"/>
    <cellStyle name="Normal 2 33 2 5 3 3" xfId="20567" xr:uid="{C0705978-A1D4-42FC-A699-19035F62A39D}"/>
    <cellStyle name="Normal 2 33 2 5 3 4" xfId="20568" xr:uid="{A1B010FB-16A5-4D8B-A54C-E021C0FBE223}"/>
    <cellStyle name="Normal 2 33 2 5 3 5" xfId="20569" xr:uid="{EF5773C5-A89D-4B41-9707-7CF1666A32EE}"/>
    <cellStyle name="Normal 2 33 2 5 3 6" xfId="20570" xr:uid="{3BC2B630-7FFA-445C-9BED-7E4E534708EF}"/>
    <cellStyle name="Normal 2 33 2 5 4" xfId="20571" xr:uid="{E732A798-C2A9-4BBB-AFE8-3CBC5A9DBF27}"/>
    <cellStyle name="Normal 2 33 2 5 5" xfId="20572" xr:uid="{4BFA5812-50F1-4AA4-8691-A675BCCE31EF}"/>
    <cellStyle name="Normal 2 33 2 5 6" xfId="20573" xr:uid="{EEF6D344-9B69-45C6-92CF-00C2EE8243F8}"/>
    <cellStyle name="Normal 2 33 2 5 7" xfId="20574" xr:uid="{5777E900-4ED1-4787-9FFD-1DF9908E63CE}"/>
    <cellStyle name="Normal 2 33 2 5 8" xfId="20575" xr:uid="{2DCB2BBD-ACB7-4569-817D-D344EF401B9B}"/>
    <cellStyle name="Normal 2 33 2 5 9" xfId="20576" xr:uid="{2A6EE223-B282-4761-A0EB-79AFDB66A227}"/>
    <cellStyle name="Normal 2 33 2 6" xfId="20577" xr:uid="{637B24F7-66DB-4AFA-8CCF-3130D9941D4C}"/>
    <cellStyle name="Normal 2 33 2 7" xfId="20578" xr:uid="{7A2AAC35-E1D1-4A74-8780-E6C044D30DA7}"/>
    <cellStyle name="Normal 2 33 2 8" xfId="20579" xr:uid="{0318DCC5-F06B-473F-9763-E1E9E8FC8E0C}"/>
    <cellStyle name="Normal 2 33 2 8 2" xfId="20580" xr:uid="{B79CD556-F270-476B-95F0-A7655C0DB1D4}"/>
    <cellStyle name="Normal 2 33 2 8 2 2" xfId="20581" xr:uid="{C7F8650D-D38D-44E5-B81C-BCCC6848F651}"/>
    <cellStyle name="Normal 2 33 2 8 2 3" xfId="20582" xr:uid="{3F1A28CD-6C62-4599-8537-148C467BDE97}"/>
    <cellStyle name="Normal 2 33 2 8 2 4" xfId="20583" xr:uid="{3FBEC965-946E-4C2D-8E66-BCE9AD36FC4B}"/>
    <cellStyle name="Normal 2 33 2 8 2 5" xfId="20584" xr:uid="{4F80F3C4-3020-49EE-9B9D-DCA37654F7D8}"/>
    <cellStyle name="Normal 2 33 2 8 2 6" xfId="20585" xr:uid="{87D54E3B-D5EF-48AE-82CA-CE15B88FC8C4}"/>
    <cellStyle name="Normal 2 33 2 8 3" xfId="20586" xr:uid="{D8B5C5CF-CAD5-408C-91D6-D0627AE0BECF}"/>
    <cellStyle name="Normal 2 33 2 8 4" xfId="20587" xr:uid="{58012875-A116-4079-8D46-26F0E32277A7}"/>
    <cellStyle name="Normal 2 33 2 8 5" xfId="20588" xr:uid="{CA70A463-1927-4716-AC03-67235DA00FF4}"/>
    <cellStyle name="Normal 2 33 2 8 6" xfId="20589" xr:uid="{DF77C219-FD8D-4EAA-A08C-A8F538B8D93C}"/>
    <cellStyle name="Normal 2 33 2 9" xfId="20590" xr:uid="{DD4487C1-6254-4CB7-8D96-1FC6B7C69D7F}"/>
    <cellStyle name="Normal 2 33 3" xfId="20591" xr:uid="{38500CB3-D346-4B57-AD84-A58AADB4B194}"/>
    <cellStyle name="Normal 2 33 3 10" xfId="20592" xr:uid="{2BE3B689-34FF-4838-86BE-16FCBCC1056D}"/>
    <cellStyle name="Normal 2 33 3 11" xfId="20593" xr:uid="{1E12AD96-01CA-43EB-9767-8CD020EBF3A0}"/>
    <cellStyle name="Normal 2 33 3 12" xfId="20594" xr:uid="{30D29016-5E1D-45B9-B32F-CE143C13E875}"/>
    <cellStyle name="Normal 2 33 3 2" xfId="20595" xr:uid="{D4D3DFDB-F6F3-491A-88D7-CD94281E8937}"/>
    <cellStyle name="Normal 2 33 3 2 10" xfId="20596" xr:uid="{DED13172-A62A-4C24-AA14-8DD4E9705577}"/>
    <cellStyle name="Normal 2 33 3 2 11" xfId="20597" xr:uid="{63660F52-E015-498B-A1D1-3BE89D9482DC}"/>
    <cellStyle name="Normal 2 33 3 2 12" xfId="20598" xr:uid="{59D966CA-899E-4B06-9150-691DDF7D41B5}"/>
    <cellStyle name="Normal 2 33 3 2 2" xfId="20599" xr:uid="{D2B3BDE9-A503-4003-9E8B-2ACFA074F1E9}"/>
    <cellStyle name="Normal 2 33 3 2 2 2" xfId="20600" xr:uid="{932FF830-9570-4258-9A83-0149AB3F55E2}"/>
    <cellStyle name="Normal 2 33 3 2 2 2 2" xfId="20601" xr:uid="{73C00D4C-841F-40FD-A90C-CC85ABBC5FFB}"/>
    <cellStyle name="Normal 2 33 3 2 2 2 2 2" xfId="20602" xr:uid="{3E6E1676-FA7D-40A7-938B-D12EE88867EF}"/>
    <cellStyle name="Normal 2 33 3 2 2 2 2 2 2" xfId="20603" xr:uid="{D06E660E-6857-4780-830A-2C1490F8151B}"/>
    <cellStyle name="Normal 2 33 3 2 2 2 2 2 3" xfId="20604" xr:uid="{9C076E68-3EB3-4309-A6B8-225EFF271DBB}"/>
    <cellStyle name="Normal 2 33 3 2 2 2 2 2 4" xfId="20605" xr:uid="{A407D295-8D34-4CA1-A449-A295D58D0362}"/>
    <cellStyle name="Normal 2 33 3 2 2 2 2 2 5" xfId="20606" xr:uid="{216A961B-ADE7-454E-93F2-4B76EC7CB4FE}"/>
    <cellStyle name="Normal 2 33 3 2 2 2 2 2 6" xfId="20607" xr:uid="{AAE60249-71A7-44BA-8028-B6C8DD8359E3}"/>
    <cellStyle name="Normal 2 33 3 2 2 2 2 3" xfId="20608" xr:uid="{A2598EEE-0710-4698-92E2-9A75E45B5E55}"/>
    <cellStyle name="Normal 2 33 3 2 2 2 2 4" xfId="20609" xr:uid="{17C40883-B857-49C9-80F3-8E32068E6112}"/>
    <cellStyle name="Normal 2 33 3 2 2 2 2 5" xfId="20610" xr:uid="{38EB8A89-529C-404A-BF51-F9F10BB0252F}"/>
    <cellStyle name="Normal 2 33 3 2 2 2 2 6" xfId="20611" xr:uid="{BBD010BE-A6A9-4DE3-8A1F-9F3247E215B8}"/>
    <cellStyle name="Normal 2 33 3 2 2 2 3" xfId="20612" xr:uid="{E77F751C-EAE3-4620-9E53-9EC5CC5A797E}"/>
    <cellStyle name="Normal 2 33 3 2 2 2 4" xfId="20613" xr:uid="{00D00F91-5FAB-4D2C-9A2E-1DCB2FA98191}"/>
    <cellStyle name="Normal 2 33 3 2 2 2 5" xfId="20614" xr:uid="{F22E8E02-5488-4284-8883-15E41FDE4040}"/>
    <cellStyle name="Normal 2 33 3 2 2 2 6" xfId="20615" xr:uid="{1EC498A6-7589-4860-AC71-9364E0DCB3D9}"/>
    <cellStyle name="Normal 2 33 3 2 2 2 7" xfId="20616" xr:uid="{BB1EE2CE-40EB-4D8D-809B-8DA11160DD7F}"/>
    <cellStyle name="Normal 2 33 3 2 2 2 8" xfId="20617" xr:uid="{C2167901-A05E-4CD3-8383-BA152D57F46F}"/>
    <cellStyle name="Normal 2 33 3 2 2 2 9" xfId="20618" xr:uid="{2525EFA4-6C69-4190-A72B-A4330AA814D6}"/>
    <cellStyle name="Normal 2 33 3 2 2 3" xfId="20619" xr:uid="{B0F1AD68-BDCE-4F63-93D5-DA1B50998693}"/>
    <cellStyle name="Normal 2 33 3 2 2 3 2" xfId="20620" xr:uid="{CFA95775-5BBE-4218-9362-44EE18CA307D}"/>
    <cellStyle name="Normal 2 33 3 2 2 3 2 2" xfId="20621" xr:uid="{D642F127-7639-476D-9CDE-26D4766B4028}"/>
    <cellStyle name="Normal 2 33 3 2 2 3 2 3" xfId="20622" xr:uid="{F030C3CB-CE4B-4099-9FF8-CA3D98EC7945}"/>
    <cellStyle name="Normal 2 33 3 2 2 3 2 4" xfId="20623" xr:uid="{4EF9744B-15A8-4FE8-9E1E-500D8BFF1970}"/>
    <cellStyle name="Normal 2 33 3 2 2 3 2 5" xfId="20624" xr:uid="{791F79EA-A8C2-4BC5-8628-46F40287FCCE}"/>
    <cellStyle name="Normal 2 33 3 2 2 3 2 6" xfId="20625" xr:uid="{7099D03B-5B7D-4177-8BFB-BEEE25837DB2}"/>
    <cellStyle name="Normal 2 33 3 2 2 3 3" xfId="20626" xr:uid="{3576BFDF-0CF9-46AB-AB5D-A53EFB607606}"/>
    <cellStyle name="Normal 2 33 3 2 2 3 4" xfId="20627" xr:uid="{68992A2D-9D5B-4E83-80B9-88F280877AD5}"/>
    <cellStyle name="Normal 2 33 3 2 2 3 5" xfId="20628" xr:uid="{5BA2B148-5C43-4A79-AADC-FCB18079A5A0}"/>
    <cellStyle name="Normal 2 33 3 2 2 3 6" xfId="20629" xr:uid="{DF067E2A-5B15-4FD7-9F52-E4013050E973}"/>
    <cellStyle name="Normal 2 33 3 2 2 4" xfId="20630" xr:uid="{622A9CA3-1828-4932-AEF3-603027DD95F8}"/>
    <cellStyle name="Normal 2 33 3 2 2 5" xfId="20631" xr:uid="{5C66F8C4-DFE0-41ED-A5A4-04DFEA16A1D3}"/>
    <cellStyle name="Normal 2 33 3 2 2 6" xfId="20632" xr:uid="{D3EB9E22-0720-4FD1-A7B0-7332191F15FD}"/>
    <cellStyle name="Normal 2 33 3 2 2 7" xfId="20633" xr:uid="{8947D039-E64D-498B-8055-0C1ED9FB0F61}"/>
    <cellStyle name="Normal 2 33 3 2 2 8" xfId="20634" xr:uid="{5B0F536F-14B6-4103-AFE7-11AAD7D5E2C1}"/>
    <cellStyle name="Normal 2 33 3 2 2 9" xfId="20635" xr:uid="{E2FDE51A-573F-460D-8D45-53436B825C38}"/>
    <cellStyle name="Normal 2 33 3 2 3" xfId="20636" xr:uid="{E755FF1F-42CE-41B4-BD8E-29F67FB27F79}"/>
    <cellStyle name="Normal 2 33 3 2 4" xfId="20637" xr:uid="{464CF718-1AEF-4305-9B5A-57DF715AFE05}"/>
    <cellStyle name="Normal 2 33 3 2 5" xfId="20638" xr:uid="{F54CC905-33A6-4F77-869F-2867AB2A7E17}"/>
    <cellStyle name="Normal 2 33 3 2 5 2" xfId="20639" xr:uid="{AE6A24FB-E46C-43E0-89E7-D8551EF7F775}"/>
    <cellStyle name="Normal 2 33 3 2 5 2 2" xfId="20640" xr:uid="{A03A2520-B0BA-4660-A56F-03C4F8E2E8AC}"/>
    <cellStyle name="Normal 2 33 3 2 5 2 3" xfId="20641" xr:uid="{8C47B52D-A9CF-44FC-9F97-A0E012724128}"/>
    <cellStyle name="Normal 2 33 3 2 5 2 4" xfId="20642" xr:uid="{3AE93A41-357E-4A64-836E-F29091D28B60}"/>
    <cellStyle name="Normal 2 33 3 2 5 2 5" xfId="20643" xr:uid="{C09FE478-7C73-442A-9A99-E1AC5CC55798}"/>
    <cellStyle name="Normal 2 33 3 2 5 2 6" xfId="20644" xr:uid="{BB92B9F7-6755-481D-BF2E-E0DDAE3A1495}"/>
    <cellStyle name="Normal 2 33 3 2 5 3" xfId="20645" xr:uid="{9C6F97B6-04D7-4F9D-9366-2939996E1F28}"/>
    <cellStyle name="Normal 2 33 3 2 5 4" xfId="20646" xr:uid="{C7B018E5-67C7-415B-846C-FFAFEE54EE06}"/>
    <cellStyle name="Normal 2 33 3 2 5 5" xfId="20647" xr:uid="{84751203-65BB-419A-B85A-7A2611A876EB}"/>
    <cellStyle name="Normal 2 33 3 2 5 6" xfId="20648" xr:uid="{AB49A5AA-6495-4A40-B1F8-36A55D331E3D}"/>
    <cellStyle name="Normal 2 33 3 2 6" xfId="20649" xr:uid="{00E6320C-CD57-4312-8B03-E7CBE4AF85C9}"/>
    <cellStyle name="Normal 2 33 3 2 7" xfId="20650" xr:uid="{8F3E6F31-045B-498B-AE32-73D5D738D4C4}"/>
    <cellStyle name="Normal 2 33 3 2 8" xfId="20651" xr:uid="{E0227097-F2B2-4F55-994C-18324368C81A}"/>
    <cellStyle name="Normal 2 33 3 2 9" xfId="20652" xr:uid="{28F8D158-3F96-4EFF-9672-1B15ABDA0263}"/>
    <cellStyle name="Normal 2 33 3 3" xfId="20653" xr:uid="{72E9E718-A520-466B-8D4D-98593D1C6BCD}"/>
    <cellStyle name="Normal 2 33 3 3 2" xfId="20654" xr:uid="{18B3CF40-5ADB-4738-8C39-7C25CFBA153A}"/>
    <cellStyle name="Normal 2 33 3 3 2 2" xfId="20655" xr:uid="{51EE553F-14D3-4B10-8C22-F1163B8063A8}"/>
    <cellStyle name="Normal 2 33 3 3 2 2 2" xfId="20656" xr:uid="{467BFC07-0F0E-405F-9DF2-FEE4DA2DDBA2}"/>
    <cellStyle name="Normal 2 33 3 3 2 2 2 2" xfId="20657" xr:uid="{D22E518B-6268-40ED-BCCE-0FF0AC8C6BE3}"/>
    <cellStyle name="Normal 2 33 3 3 2 2 2 3" xfId="20658" xr:uid="{96FFFF32-1D88-4410-987D-E3B0D3E51125}"/>
    <cellStyle name="Normal 2 33 3 3 2 2 2 4" xfId="20659" xr:uid="{439C3355-8BDD-43DA-AFF4-8EE51187E734}"/>
    <cellStyle name="Normal 2 33 3 3 2 2 2 5" xfId="20660" xr:uid="{1F9125EA-90C3-4008-8BF2-54E6B48708E9}"/>
    <cellStyle name="Normal 2 33 3 3 2 2 2 6" xfId="20661" xr:uid="{E8599D0E-1DA4-4967-AD39-8B94952FAD86}"/>
    <cellStyle name="Normal 2 33 3 3 2 2 3" xfId="20662" xr:uid="{9FB8C188-77C7-4537-81FB-0AD33E3C941F}"/>
    <cellStyle name="Normal 2 33 3 3 2 2 4" xfId="20663" xr:uid="{ED6966D6-6376-4401-A6BE-B34328C95D77}"/>
    <cellStyle name="Normal 2 33 3 3 2 2 5" xfId="20664" xr:uid="{DA2B1E7C-E916-4244-BCC7-2DE4DCA069D1}"/>
    <cellStyle name="Normal 2 33 3 3 2 2 6" xfId="20665" xr:uid="{A094B86A-D062-4593-9193-FD38DDD4E3B6}"/>
    <cellStyle name="Normal 2 33 3 3 2 3" xfId="20666" xr:uid="{EF2DD058-0146-44E5-B55C-186C6D20007F}"/>
    <cellStyle name="Normal 2 33 3 3 2 4" xfId="20667" xr:uid="{C015B6FC-DF7F-4347-8B4B-7415FB7796F2}"/>
    <cellStyle name="Normal 2 33 3 3 2 5" xfId="20668" xr:uid="{EA148B58-29A5-4752-AA73-4E207CA9FD9D}"/>
    <cellStyle name="Normal 2 33 3 3 2 6" xfId="20669" xr:uid="{B7DAAA6A-65F5-4459-97EC-3BFFE82C96E5}"/>
    <cellStyle name="Normal 2 33 3 3 2 7" xfId="20670" xr:uid="{9D94CAC6-848E-4E0C-AE2C-5E1D691B3974}"/>
    <cellStyle name="Normal 2 33 3 3 2 8" xfId="20671" xr:uid="{882E37F6-3ECB-4AB6-BE81-4FA6CEA7ADB0}"/>
    <cellStyle name="Normal 2 33 3 3 2 9" xfId="20672" xr:uid="{F40DB7C1-580A-461C-B098-99359D0C91B8}"/>
    <cellStyle name="Normal 2 33 3 3 3" xfId="20673" xr:uid="{BE1AF38A-F813-4631-83AC-106D3831B47D}"/>
    <cellStyle name="Normal 2 33 3 3 3 2" xfId="20674" xr:uid="{C28F92CE-FDFD-430E-B645-5EE5DE26DEF4}"/>
    <cellStyle name="Normal 2 33 3 3 3 2 2" xfId="20675" xr:uid="{89E4C078-058D-4DE5-9BCB-80A42C34D481}"/>
    <cellStyle name="Normal 2 33 3 3 3 2 3" xfId="20676" xr:uid="{61FEB9DB-3E41-4ADA-AB95-1F7C8F1C8682}"/>
    <cellStyle name="Normal 2 33 3 3 3 2 4" xfId="20677" xr:uid="{2B86495E-666E-4C74-BD1B-3AECFF9ECA33}"/>
    <cellStyle name="Normal 2 33 3 3 3 2 5" xfId="20678" xr:uid="{BC54830E-B75F-4428-8B00-92242C3FE289}"/>
    <cellStyle name="Normal 2 33 3 3 3 2 6" xfId="20679" xr:uid="{255667E7-0F78-4007-9146-2D6F4AC830E2}"/>
    <cellStyle name="Normal 2 33 3 3 3 3" xfId="20680" xr:uid="{7082E9DD-3AE2-4D7C-97EE-F53993C59984}"/>
    <cellStyle name="Normal 2 33 3 3 3 4" xfId="20681" xr:uid="{A008A2C1-7C85-478C-A9F8-C6EFCBFA48CC}"/>
    <cellStyle name="Normal 2 33 3 3 3 5" xfId="20682" xr:uid="{EC371C93-C59A-443E-8836-77868021559C}"/>
    <cellStyle name="Normal 2 33 3 3 3 6" xfId="20683" xr:uid="{F9E784B9-43C7-4A3D-89E3-66777754BDF0}"/>
    <cellStyle name="Normal 2 33 3 3 4" xfId="20684" xr:uid="{C1B71F79-CF2C-48D4-B7FA-F107DA60CB15}"/>
    <cellStyle name="Normal 2 33 3 3 5" xfId="20685" xr:uid="{699B192E-BB9F-4BC6-B872-98A90E505BEC}"/>
    <cellStyle name="Normal 2 33 3 3 6" xfId="20686" xr:uid="{4901B14E-A123-461B-9599-CD2AC41E6AD1}"/>
    <cellStyle name="Normal 2 33 3 3 7" xfId="20687" xr:uid="{2FD4E53C-2DBD-4A7F-8362-16C5D3D1EEE3}"/>
    <cellStyle name="Normal 2 33 3 3 8" xfId="20688" xr:uid="{FE051B97-A634-479F-8D12-099E6D28AD7B}"/>
    <cellStyle name="Normal 2 33 3 3 9" xfId="20689" xr:uid="{FA43FF1F-1A0B-4C83-AF2B-14BD50D6793E}"/>
    <cellStyle name="Normal 2 33 3 4" xfId="20690" xr:uid="{951C33ED-DFCF-4201-8423-B990181BD728}"/>
    <cellStyle name="Normal 2 33 3 5" xfId="20691" xr:uid="{8CD5757D-D5B4-4922-965E-DDF74F033F4A}"/>
    <cellStyle name="Normal 2 33 3 5 2" xfId="20692" xr:uid="{94B596EB-A384-4D6A-A8CE-01301DDCD9EE}"/>
    <cellStyle name="Normal 2 33 3 5 2 2" xfId="20693" xr:uid="{130CF937-9962-4A7B-AEA2-6391E8D7B6C7}"/>
    <cellStyle name="Normal 2 33 3 5 2 3" xfId="20694" xr:uid="{91B793B5-6C77-4599-8A02-0D79D0E59F15}"/>
    <cellStyle name="Normal 2 33 3 5 2 4" xfId="20695" xr:uid="{CD77A269-D0E7-45EC-AD8C-F3963912031B}"/>
    <cellStyle name="Normal 2 33 3 5 2 5" xfId="20696" xr:uid="{49B012AD-D29A-482F-84D4-93DA6554E85B}"/>
    <cellStyle name="Normal 2 33 3 5 2 6" xfId="20697" xr:uid="{1DE78E36-4C19-4952-A1B7-F450C465FB77}"/>
    <cellStyle name="Normal 2 33 3 5 3" xfId="20698" xr:uid="{D3C77105-9E75-404A-A926-38D3AEC641A8}"/>
    <cellStyle name="Normal 2 33 3 5 4" xfId="20699" xr:uid="{10AF8814-19AA-4277-8C48-942758D792BD}"/>
    <cellStyle name="Normal 2 33 3 5 5" xfId="20700" xr:uid="{6FE5B8B0-B170-447A-A877-E9525E4CA953}"/>
    <cellStyle name="Normal 2 33 3 5 6" xfId="20701" xr:uid="{48D789D0-0D6D-4F73-AC4D-1FC02864253F}"/>
    <cellStyle name="Normal 2 33 3 6" xfId="20702" xr:uid="{A47981C0-FA7E-456F-BD3D-D2A07EAA38E9}"/>
    <cellStyle name="Normal 2 33 3 7" xfId="20703" xr:uid="{E6E81B7B-3D90-4F11-8ADC-4B0F25FE0AD2}"/>
    <cellStyle name="Normal 2 33 3 8" xfId="20704" xr:uid="{FE80167C-9845-4128-9FD8-0E8CB13C7B53}"/>
    <cellStyle name="Normal 2 33 3 9" xfId="20705" xr:uid="{4AADECBA-6F98-40B1-BF6F-947BF1941208}"/>
    <cellStyle name="Normal 2 33 4" xfId="20706" xr:uid="{52632DC1-F0F7-429C-929A-6B788EAEF41B}"/>
    <cellStyle name="Normal 2 33 5" xfId="20707" xr:uid="{510B3728-21FD-4AB0-BB03-3381D13666B8}"/>
    <cellStyle name="Normal 2 33 5 2" xfId="20708" xr:uid="{2D950EF9-4090-41ED-A9BE-038E1DFCDE6B}"/>
    <cellStyle name="Normal 2 33 5 2 2" xfId="20709" xr:uid="{D9A7EE73-FC33-4E8D-AA5B-93460E3B86D5}"/>
    <cellStyle name="Normal 2 33 5 2 2 2" xfId="20710" xr:uid="{55064BF1-4ABD-4B5E-8776-80FF4084A448}"/>
    <cellStyle name="Normal 2 33 5 2 2 2 2" xfId="20711" xr:uid="{0239AF47-F656-4A1B-BF65-FAB073E9C81D}"/>
    <cellStyle name="Normal 2 33 5 2 2 2 3" xfId="20712" xr:uid="{1BEBF80C-D5AA-47F9-AF31-F83DA460FAED}"/>
    <cellStyle name="Normal 2 33 5 2 2 2 4" xfId="20713" xr:uid="{FC918670-B6FF-44B8-A880-3C06DFB4C5A8}"/>
    <cellStyle name="Normal 2 33 5 2 2 2 5" xfId="20714" xr:uid="{1CE5A822-6424-4B68-BE9F-E6AC3652EF60}"/>
    <cellStyle name="Normal 2 33 5 2 2 2 6" xfId="20715" xr:uid="{B3C162A4-8649-48C5-82BC-195D3C282158}"/>
    <cellStyle name="Normal 2 33 5 2 2 3" xfId="20716" xr:uid="{9C63F03B-0439-46E2-9293-DA69451EC4F6}"/>
    <cellStyle name="Normal 2 33 5 2 2 4" xfId="20717" xr:uid="{7FAB7DD3-08E3-4FEA-AA0D-1F9E16332CD7}"/>
    <cellStyle name="Normal 2 33 5 2 2 5" xfId="20718" xr:uid="{6E5BBA00-6F61-4D8D-9FA0-1A4022BAFB50}"/>
    <cellStyle name="Normal 2 33 5 2 2 6" xfId="20719" xr:uid="{4BD62CA3-D847-43D2-A470-B3DD20E699F0}"/>
    <cellStyle name="Normal 2 33 5 2 3" xfId="20720" xr:uid="{EEC23510-3CFF-4A9A-AEB0-39678FDA8444}"/>
    <cellStyle name="Normal 2 33 5 2 4" xfId="20721" xr:uid="{E54415C9-330B-4873-ACAD-A7E56A97987C}"/>
    <cellStyle name="Normal 2 33 5 2 5" xfId="20722" xr:uid="{311CC5EC-AB8B-481C-9E26-323D8039AB50}"/>
    <cellStyle name="Normal 2 33 5 2 6" xfId="20723" xr:uid="{934AB090-43C9-4163-B783-631607370AC4}"/>
    <cellStyle name="Normal 2 33 5 2 7" xfId="20724" xr:uid="{8CD230B3-0520-439C-94CD-20AC4DF19C2C}"/>
    <cellStyle name="Normal 2 33 5 2 8" xfId="20725" xr:uid="{2182E213-4651-4DBB-B516-C95B0709F3AA}"/>
    <cellStyle name="Normal 2 33 5 2 9" xfId="20726" xr:uid="{A602106A-871A-4CD3-AA46-E78D75590699}"/>
    <cellStyle name="Normal 2 33 5 3" xfId="20727" xr:uid="{A936602D-EC68-4DD6-828B-CF79C88A95CD}"/>
    <cellStyle name="Normal 2 33 5 3 2" xfId="20728" xr:uid="{6244A1D7-DFA1-4447-ACB8-A97D03333538}"/>
    <cellStyle name="Normal 2 33 5 3 2 2" xfId="20729" xr:uid="{4DACA65B-12B9-46A4-8060-529F35B97AB2}"/>
    <cellStyle name="Normal 2 33 5 3 2 3" xfId="20730" xr:uid="{A779F9BB-BEEF-44BC-A298-BD168D9097E8}"/>
    <cellStyle name="Normal 2 33 5 3 2 4" xfId="20731" xr:uid="{4045C2CC-1F6B-4B8D-A57D-DA7D0ABAB933}"/>
    <cellStyle name="Normal 2 33 5 3 2 5" xfId="20732" xr:uid="{39A814A8-750A-4127-B391-1F9ABC69D3B2}"/>
    <cellStyle name="Normal 2 33 5 3 2 6" xfId="20733" xr:uid="{E1A76643-0A8F-4024-A4E6-A3A21C5250B9}"/>
    <cellStyle name="Normal 2 33 5 3 3" xfId="20734" xr:uid="{1E3D49FD-A131-4454-80E5-188D86349A11}"/>
    <cellStyle name="Normal 2 33 5 3 4" xfId="20735" xr:uid="{9298C755-6833-4D3B-AB62-CE93A74BB071}"/>
    <cellStyle name="Normal 2 33 5 3 5" xfId="20736" xr:uid="{168455ED-4893-4A0A-AC5C-60CF86C3319B}"/>
    <cellStyle name="Normal 2 33 5 3 6" xfId="20737" xr:uid="{5295C2F0-0CD2-4C05-B728-3E8F847A9B38}"/>
    <cellStyle name="Normal 2 33 5 4" xfId="20738" xr:uid="{C047867D-D12A-46DE-B3DA-3BDC83FEFA7E}"/>
    <cellStyle name="Normal 2 33 5 5" xfId="20739" xr:uid="{75C876C4-A6FE-4CCC-B74E-37B9DD382D61}"/>
    <cellStyle name="Normal 2 33 5 6" xfId="20740" xr:uid="{7F651A0A-C50A-434E-8BE5-44BD8E5CE28B}"/>
    <cellStyle name="Normal 2 33 5 7" xfId="20741" xr:uid="{01CC9E32-2312-4134-BEDE-DB3632240F5B}"/>
    <cellStyle name="Normal 2 33 5 8" xfId="20742" xr:uid="{902139F1-2E97-4581-A242-67BBD5347A1D}"/>
    <cellStyle name="Normal 2 33 5 9" xfId="20743" xr:uid="{60BBA2AA-04C0-4F13-9160-6542FC8CAF16}"/>
    <cellStyle name="Normal 2 33 6" xfId="20744" xr:uid="{BD318E11-03DA-4E34-80FC-30CFE32D7CC4}"/>
    <cellStyle name="Normal 2 33 7" xfId="20745" xr:uid="{E7267269-0775-4F68-8469-5BFB91D01A33}"/>
    <cellStyle name="Normal 2 33 8" xfId="20746" xr:uid="{50774C9C-DEDE-4440-9E0A-25948E51AF63}"/>
    <cellStyle name="Normal 2 33 8 2" xfId="20747" xr:uid="{622DD30D-1736-41D6-B93E-2E103B4789F2}"/>
    <cellStyle name="Normal 2 33 8 2 2" xfId="20748" xr:uid="{531609B6-DC26-4937-9A1E-A3665D6A46DD}"/>
    <cellStyle name="Normal 2 33 8 2 3" xfId="20749" xr:uid="{42EE3455-5A50-453D-A046-F5DF103BACCE}"/>
    <cellStyle name="Normal 2 33 8 2 4" xfId="20750" xr:uid="{636EE4E3-D26F-4E64-B87E-882D91093545}"/>
    <cellStyle name="Normal 2 33 8 2 5" xfId="20751" xr:uid="{DB9D0515-2037-4461-B09F-78362D8884E1}"/>
    <cellStyle name="Normal 2 33 8 2 6" xfId="20752" xr:uid="{A9BE7E67-B62C-433F-925B-299F732C6F95}"/>
    <cellStyle name="Normal 2 33 8 3" xfId="20753" xr:uid="{10429B16-2130-46D8-8414-29E28E7EA58E}"/>
    <cellStyle name="Normal 2 33 8 4" xfId="20754" xr:uid="{EBEA755E-6500-49E1-A679-74203F65BF62}"/>
    <cellStyle name="Normal 2 33 8 5" xfId="20755" xr:uid="{41433470-9068-41EB-A028-007AF459241D}"/>
    <cellStyle name="Normal 2 33 8 6" xfId="20756" xr:uid="{4DC69007-9763-4016-85DC-00BE4D0BA49E}"/>
    <cellStyle name="Normal 2 33 9" xfId="20757" xr:uid="{011B6364-5D3D-4E06-ACBA-BF50B9217E28}"/>
    <cellStyle name="Normal 2 34" xfId="20758" xr:uid="{55C5F44C-9EF0-4F1D-BCFC-56E85E1230BF}"/>
    <cellStyle name="Normal 2 34 2" xfId="20759" xr:uid="{1AAEA714-64D0-4101-8B9D-3EF4A04DD7E2}"/>
    <cellStyle name="Normal 2 35" xfId="20760" xr:uid="{96B59D7D-0142-48CB-A031-517474367614}"/>
    <cellStyle name="Normal 2 35 2" xfId="20761" xr:uid="{42F63142-2CC0-430E-8E65-C07928604B08}"/>
    <cellStyle name="Normal 2 36" xfId="20762" xr:uid="{B52016C1-F88B-4F15-A270-0B96370E3CED}"/>
    <cellStyle name="Normal 2 36 10" xfId="20763" xr:uid="{627293A1-22FA-4D98-B257-82F63E8730AF}"/>
    <cellStyle name="Normal 2 36 11" xfId="20764" xr:uid="{D2FB2505-ED6B-4519-BE41-4425B3B80E59}"/>
    <cellStyle name="Normal 2 36 12" xfId="20765" xr:uid="{D5E52EA4-9BF3-4F4C-AF36-96F853DDCBB8}"/>
    <cellStyle name="Normal 2 36 13" xfId="20766" xr:uid="{C9DE0736-96AD-4B96-A481-3AA3820FD337}"/>
    <cellStyle name="Normal 2 36 2" xfId="20767" xr:uid="{298CF7AB-790B-46ED-A9C0-4CD64557171B}"/>
    <cellStyle name="Normal 2 36 2 10" xfId="20768" xr:uid="{3128FC8A-B81B-481E-9ECC-F2FF4C3ED851}"/>
    <cellStyle name="Normal 2 36 2 11" xfId="20769" xr:uid="{4ECA4E8B-2C96-4041-AEA4-88044A664358}"/>
    <cellStyle name="Normal 2 36 2 12" xfId="20770" xr:uid="{23495BA9-01D7-4203-A638-8CFEB2923E29}"/>
    <cellStyle name="Normal 2 36 2 2" xfId="20771" xr:uid="{D07C1313-4D1C-4EDA-8D62-B787DEF4F6D8}"/>
    <cellStyle name="Normal 2 36 2 2 2" xfId="20772" xr:uid="{244EAE5E-4B1C-489F-9362-5CD100B7BAC8}"/>
    <cellStyle name="Normal 2 36 2 2 2 2" xfId="20773" xr:uid="{7DB75BD9-E7DA-4ED8-BA23-25D01101FA05}"/>
    <cellStyle name="Normal 2 36 2 2 2 2 2" xfId="20774" xr:uid="{09EFA940-D7CE-4848-93E9-5FDE1EBD33C7}"/>
    <cellStyle name="Normal 2 36 2 2 2 2 2 2" xfId="20775" xr:uid="{D51B8DCC-ADE4-4300-B6D9-31F4D259F0C3}"/>
    <cellStyle name="Normal 2 36 2 2 2 2 2 3" xfId="20776" xr:uid="{04359733-7673-42BA-BD6F-A9F64F876D6D}"/>
    <cellStyle name="Normal 2 36 2 2 2 2 2 4" xfId="20777" xr:uid="{1B3ACF96-CE35-4527-A923-24E3BD34C71D}"/>
    <cellStyle name="Normal 2 36 2 2 2 2 2 5" xfId="20778" xr:uid="{C41E90FB-7DE7-4AE5-83F8-B01D50AAEB66}"/>
    <cellStyle name="Normal 2 36 2 2 2 2 2 6" xfId="20779" xr:uid="{A0B94DAC-5976-4A75-840B-6B782CA63907}"/>
    <cellStyle name="Normal 2 36 2 2 2 2 3" xfId="20780" xr:uid="{02B00F6A-C23A-4625-9F97-70CD989CCC4C}"/>
    <cellStyle name="Normal 2 36 2 2 2 2 4" xfId="20781" xr:uid="{043891BF-A2D9-44FC-980F-3A97640216F3}"/>
    <cellStyle name="Normal 2 36 2 2 2 2 5" xfId="20782" xr:uid="{F99BFA79-FA36-45F9-9AFC-D0F3963E5615}"/>
    <cellStyle name="Normal 2 36 2 2 2 2 6" xfId="20783" xr:uid="{B9B2ECBF-95B5-471E-91BF-F036031B34DC}"/>
    <cellStyle name="Normal 2 36 2 2 2 3" xfId="20784" xr:uid="{5370F03A-8314-43B5-8284-2C823DA04EE3}"/>
    <cellStyle name="Normal 2 36 2 2 2 4" xfId="20785" xr:uid="{DBE43D03-CAE5-41B1-AA18-9C59C7A74550}"/>
    <cellStyle name="Normal 2 36 2 2 2 5" xfId="20786" xr:uid="{D7E89627-3DF3-4EF9-8416-63FEFDD6ED5B}"/>
    <cellStyle name="Normal 2 36 2 2 2 6" xfId="20787" xr:uid="{0ABBB954-456D-44C1-9E8E-AFF54FCA2E93}"/>
    <cellStyle name="Normal 2 36 2 2 2 7" xfId="20788" xr:uid="{E0AF0C60-3C10-454E-AF00-D3D8E8FF0A03}"/>
    <cellStyle name="Normal 2 36 2 2 2 8" xfId="20789" xr:uid="{A4828C60-619E-463A-8913-5E6D403D7980}"/>
    <cellStyle name="Normal 2 36 2 2 2 9" xfId="20790" xr:uid="{29D47188-7529-4FE2-BF54-6B6420485D24}"/>
    <cellStyle name="Normal 2 36 2 2 3" xfId="20791" xr:uid="{CD423F31-1A18-4302-8A10-C77D5D807236}"/>
    <cellStyle name="Normal 2 36 2 2 3 2" xfId="20792" xr:uid="{F0F26AF7-B64B-4CF4-90FB-AD6C33F9813F}"/>
    <cellStyle name="Normal 2 36 2 2 3 2 2" xfId="20793" xr:uid="{FF4D012B-8C73-4E23-9DC4-6D398455ADAF}"/>
    <cellStyle name="Normal 2 36 2 2 3 2 3" xfId="20794" xr:uid="{4BAE1D40-B5E3-4C96-A743-0292481FBE04}"/>
    <cellStyle name="Normal 2 36 2 2 3 2 4" xfId="20795" xr:uid="{26CC8254-A0E3-438F-AC4C-F91E35133A5C}"/>
    <cellStyle name="Normal 2 36 2 2 3 2 5" xfId="20796" xr:uid="{930C4958-353B-4829-9E1A-2527D05F5E3F}"/>
    <cellStyle name="Normal 2 36 2 2 3 2 6" xfId="20797" xr:uid="{3A5E88C8-48C9-4262-9101-CE54CC08EBC9}"/>
    <cellStyle name="Normal 2 36 2 2 3 3" xfId="20798" xr:uid="{12E98B95-6ABA-49DF-A86C-A92ABB5667A1}"/>
    <cellStyle name="Normal 2 36 2 2 3 4" xfId="20799" xr:uid="{DF5431C9-32B4-44BD-B4EC-B6DD4FBA56E8}"/>
    <cellStyle name="Normal 2 36 2 2 3 5" xfId="20800" xr:uid="{3C305074-DF60-4D4A-A5A7-CB83D5A06FF1}"/>
    <cellStyle name="Normal 2 36 2 2 3 6" xfId="20801" xr:uid="{718D6262-383D-49CA-AB44-FD07C0B7B7CD}"/>
    <cellStyle name="Normal 2 36 2 2 4" xfId="20802" xr:uid="{26FA1FBE-BC64-4DF3-96E3-6C5BF8BB2D38}"/>
    <cellStyle name="Normal 2 36 2 2 5" xfId="20803" xr:uid="{57C11E7C-BCAE-4CEB-80AC-870427461397}"/>
    <cellStyle name="Normal 2 36 2 2 6" xfId="20804" xr:uid="{30898E33-F780-4C52-8557-3DAD9EA12BC8}"/>
    <cellStyle name="Normal 2 36 2 2 7" xfId="20805" xr:uid="{D7408B3F-6ECF-4587-A69B-94E757FC7FD6}"/>
    <cellStyle name="Normal 2 36 2 2 8" xfId="20806" xr:uid="{2093F004-98B3-430F-B66C-B91C296CDA0A}"/>
    <cellStyle name="Normal 2 36 2 2 9" xfId="20807" xr:uid="{D7CD9218-F352-421B-8BAB-C6D7AFA43348}"/>
    <cellStyle name="Normal 2 36 2 3" xfId="20808" xr:uid="{1E03E7BB-28C9-4E32-A5DE-53752BA03DD6}"/>
    <cellStyle name="Normal 2 36 2 4" xfId="20809" xr:uid="{20B68855-B06D-4FFC-BCCC-234EDF64A4FC}"/>
    <cellStyle name="Normal 2 36 2 5" xfId="20810" xr:uid="{0FB8B7B3-1D4A-4B2A-80D9-67EEC5BF36D7}"/>
    <cellStyle name="Normal 2 36 2 5 2" xfId="20811" xr:uid="{7DDE1275-ED34-4E3E-B041-9ECEF551C272}"/>
    <cellStyle name="Normal 2 36 2 5 2 2" xfId="20812" xr:uid="{42F7D379-1CA7-4D00-92AA-48B60F307FF2}"/>
    <cellStyle name="Normal 2 36 2 5 2 3" xfId="20813" xr:uid="{851F26CD-A408-41C2-A02B-FA1BB27140D6}"/>
    <cellStyle name="Normal 2 36 2 5 2 4" xfId="20814" xr:uid="{0291C2FD-1F17-465C-B55C-F30B8AAE6B30}"/>
    <cellStyle name="Normal 2 36 2 5 2 5" xfId="20815" xr:uid="{18E93517-5486-456B-8DEE-BAEB343A602D}"/>
    <cellStyle name="Normal 2 36 2 5 2 6" xfId="20816" xr:uid="{658BB11F-8D6E-4F82-B11A-8241B97655B2}"/>
    <cellStyle name="Normal 2 36 2 5 3" xfId="20817" xr:uid="{34EDB233-B1DC-4DA8-BFDF-56B33B623C33}"/>
    <cellStyle name="Normal 2 36 2 5 4" xfId="20818" xr:uid="{00F170D9-7796-4946-878E-5DCBA52296F5}"/>
    <cellStyle name="Normal 2 36 2 5 5" xfId="20819" xr:uid="{3C40A8FF-0B4F-48CB-8A5E-0463833ACA75}"/>
    <cellStyle name="Normal 2 36 2 5 6" xfId="20820" xr:uid="{17DF75B3-7CDE-43F6-A55F-1B48CFC1BE0F}"/>
    <cellStyle name="Normal 2 36 2 6" xfId="20821" xr:uid="{32280E58-799C-4911-B764-1589E53CFB81}"/>
    <cellStyle name="Normal 2 36 2 7" xfId="20822" xr:uid="{B5926C5C-BDC4-4281-87FE-DA074C1BCC0B}"/>
    <cellStyle name="Normal 2 36 2 8" xfId="20823" xr:uid="{798BB69A-A9C4-4A7C-83BF-D916E6846B5B}"/>
    <cellStyle name="Normal 2 36 2 9" xfId="20824" xr:uid="{8C9386B1-9BB9-414C-BEA0-4E2751D78DA6}"/>
    <cellStyle name="Normal 2 36 3" xfId="20825" xr:uid="{7D22D90A-72A5-430F-8729-30B8C9C71081}"/>
    <cellStyle name="Normal 2 36 3 2" xfId="20826" xr:uid="{071B81BB-8D27-4225-B41C-2D3A6C08761F}"/>
    <cellStyle name="Normal 2 36 3 2 2" xfId="20827" xr:uid="{BBF5CD95-86B3-4254-B3B9-46C6DB5519EF}"/>
    <cellStyle name="Normal 2 36 3 2 2 2" xfId="20828" xr:uid="{9339C178-501C-4C7C-9D03-BBB4FC568FDC}"/>
    <cellStyle name="Normal 2 36 3 2 2 2 2" xfId="20829" xr:uid="{7FD67907-65B1-4160-B57B-803D5E24C30C}"/>
    <cellStyle name="Normal 2 36 3 2 2 2 3" xfId="20830" xr:uid="{8946527A-E66A-4F1A-9BB2-97DF69EDEFDD}"/>
    <cellStyle name="Normal 2 36 3 2 2 2 4" xfId="20831" xr:uid="{EF245E50-11EE-4C4D-AF28-24D6352BB546}"/>
    <cellStyle name="Normal 2 36 3 2 2 2 5" xfId="20832" xr:uid="{1CC7E913-F1AE-443A-9718-6A37181C89B6}"/>
    <cellStyle name="Normal 2 36 3 2 2 2 6" xfId="20833" xr:uid="{D7DBDC81-E62A-4FFE-AD4B-1CED8F1191C3}"/>
    <cellStyle name="Normal 2 36 3 2 2 3" xfId="20834" xr:uid="{E1F09C17-B98E-4102-BB9F-DD6C173677B0}"/>
    <cellStyle name="Normal 2 36 3 2 2 4" xfId="20835" xr:uid="{FB16093D-2812-4192-9257-426D28EF8D4B}"/>
    <cellStyle name="Normal 2 36 3 2 2 5" xfId="20836" xr:uid="{16D00475-4B6B-45C3-96DC-2DFDF21B0165}"/>
    <cellStyle name="Normal 2 36 3 2 2 6" xfId="20837" xr:uid="{A30FA0B8-1C6E-4DD3-B760-556FCB85CD29}"/>
    <cellStyle name="Normal 2 36 3 2 3" xfId="20838" xr:uid="{E9E1DAF9-8AAE-4A72-86FD-413330078229}"/>
    <cellStyle name="Normal 2 36 3 2 4" xfId="20839" xr:uid="{C3EE6D9D-5A67-4BAD-8122-FE87E2DE56C9}"/>
    <cellStyle name="Normal 2 36 3 2 5" xfId="20840" xr:uid="{E9B94470-08F3-4909-B1ED-973FB62CD216}"/>
    <cellStyle name="Normal 2 36 3 2 6" xfId="20841" xr:uid="{EAE39000-9F57-4A2A-97DA-0AC3DA3832D4}"/>
    <cellStyle name="Normal 2 36 3 2 7" xfId="20842" xr:uid="{035A2C6A-F9CF-4CAA-B596-E6568AA1C8F4}"/>
    <cellStyle name="Normal 2 36 3 2 8" xfId="20843" xr:uid="{1A100FE8-0078-410F-9D2C-B33581CE5DD6}"/>
    <cellStyle name="Normal 2 36 3 2 9" xfId="20844" xr:uid="{506D2C66-55A9-450D-BB4C-326B3BD98BAB}"/>
    <cellStyle name="Normal 2 36 3 3" xfId="20845" xr:uid="{2ED46E9F-83A9-4F01-A769-F2BEA4E4DBBE}"/>
    <cellStyle name="Normal 2 36 3 3 2" xfId="20846" xr:uid="{92080FFE-CA59-48F7-8F59-F41A7FB4E58E}"/>
    <cellStyle name="Normal 2 36 3 3 2 2" xfId="20847" xr:uid="{4E074546-29C0-4041-9049-1688AEA211CB}"/>
    <cellStyle name="Normal 2 36 3 3 2 3" xfId="20848" xr:uid="{4B0BF1B1-3D9C-474B-9D99-6F13DBD80E8A}"/>
    <cellStyle name="Normal 2 36 3 3 2 4" xfId="20849" xr:uid="{083DE55B-1D34-4C2C-BC3B-2369B22C52F8}"/>
    <cellStyle name="Normal 2 36 3 3 2 5" xfId="20850" xr:uid="{FBBB6DEE-5AB9-46B4-971C-392F18F88764}"/>
    <cellStyle name="Normal 2 36 3 3 2 6" xfId="20851" xr:uid="{4BB40317-614C-4F11-8087-D5130D46C5D6}"/>
    <cellStyle name="Normal 2 36 3 3 3" xfId="20852" xr:uid="{BBA94F95-8806-4B24-8952-4F4778E9EE94}"/>
    <cellStyle name="Normal 2 36 3 3 4" xfId="20853" xr:uid="{72A90307-4410-4356-BE19-E47F0A6185E4}"/>
    <cellStyle name="Normal 2 36 3 3 5" xfId="20854" xr:uid="{C1CB143C-F05B-4EAC-AD30-5C9D672A8020}"/>
    <cellStyle name="Normal 2 36 3 3 6" xfId="20855" xr:uid="{1E1924A8-60B1-47E3-AE87-05EFF3A9E728}"/>
    <cellStyle name="Normal 2 36 3 4" xfId="20856" xr:uid="{CE30918F-7816-4C35-AA73-DF515A8F913B}"/>
    <cellStyle name="Normal 2 36 3 5" xfId="20857" xr:uid="{FEA6C0DB-CFED-4039-8BE0-92B3D928C21A}"/>
    <cellStyle name="Normal 2 36 3 6" xfId="20858" xr:uid="{2DE91A18-C75D-47E2-B3B2-6406BAEA586B}"/>
    <cellStyle name="Normal 2 36 3 7" xfId="20859" xr:uid="{ABFD14F6-F7DE-42AC-B1E4-E702CD5D9AF8}"/>
    <cellStyle name="Normal 2 36 3 8" xfId="20860" xr:uid="{28CB1B95-9F27-4049-9EC9-336A73F3C89A}"/>
    <cellStyle name="Normal 2 36 3 9" xfId="20861" xr:uid="{84AD958A-1456-4569-A910-90A3920AA888}"/>
    <cellStyle name="Normal 2 36 4" xfId="20862" xr:uid="{C0C20FA4-AD6F-4EE3-A2A8-3106DA24CC32}"/>
    <cellStyle name="Normal 2 36 5" xfId="20863" xr:uid="{7EF55EEB-C3EE-48E0-AAB4-CDE93D4A67D1}"/>
    <cellStyle name="Normal 2 36 5 2" xfId="20864" xr:uid="{4785A5AA-6910-4D77-A96C-CF684305916D}"/>
    <cellStyle name="Normal 2 36 5 2 2" xfId="20865" xr:uid="{4A3DDC46-BABD-4A70-9110-914BD7FC7E40}"/>
    <cellStyle name="Normal 2 36 5 2 3" xfId="20866" xr:uid="{0D90387F-D5BF-4024-839E-452970EB5F16}"/>
    <cellStyle name="Normal 2 36 5 2 4" xfId="20867" xr:uid="{1F59E656-7698-4E05-86A5-072DAA2B36A6}"/>
    <cellStyle name="Normal 2 36 5 2 5" xfId="20868" xr:uid="{32535117-48D9-457B-A279-9A98E33A4DB8}"/>
    <cellStyle name="Normal 2 36 5 2 6" xfId="20869" xr:uid="{09E5BE39-BB28-46DA-A2B9-A9B5D7C4299F}"/>
    <cellStyle name="Normal 2 36 5 3" xfId="20870" xr:uid="{A3A172A0-A096-439B-891B-01F6E5D02979}"/>
    <cellStyle name="Normal 2 36 5 4" xfId="20871" xr:uid="{2B83A799-E8CB-4E57-BCCD-1271F4EAD6CA}"/>
    <cellStyle name="Normal 2 36 5 5" xfId="20872" xr:uid="{6BA1A565-6DA6-45B6-BBD2-EE0144C94152}"/>
    <cellStyle name="Normal 2 36 5 6" xfId="20873" xr:uid="{2E45E886-2A4E-49B5-91E4-0A4B5EEB8324}"/>
    <cellStyle name="Normal 2 36 6" xfId="20874" xr:uid="{CD2B60CD-0B33-48F1-8452-B5432985FBFF}"/>
    <cellStyle name="Normal 2 36 7" xfId="20875" xr:uid="{E607E37D-6747-44D0-88DB-3FEAE2A1F86A}"/>
    <cellStyle name="Normal 2 36 8" xfId="20876" xr:uid="{20127C53-8E70-4C15-809C-13CCEC99E86F}"/>
    <cellStyle name="Normal 2 36 9" xfId="20877" xr:uid="{4F83ACE7-92D5-452F-89AF-DD3BF6EBE152}"/>
    <cellStyle name="Normal 2 37" xfId="20878" xr:uid="{F8AEEB5F-E80C-492D-A6E9-9AF4DFCF6559}"/>
    <cellStyle name="Normal 2 37 2" xfId="20879" xr:uid="{AE23D59F-6B3A-4453-8485-05302308D70E}"/>
    <cellStyle name="Normal 2 38" xfId="20880" xr:uid="{263BEB50-8153-44DC-AE81-D4BF9BF384B7}"/>
    <cellStyle name="Normal 2 38 2" xfId="20881" xr:uid="{1DA4E56A-5F19-4668-BA39-6108E1357A1C}"/>
    <cellStyle name="Normal 2 39" xfId="20882" xr:uid="{A64A4C36-7E24-430A-9C1B-D454131946D1}"/>
    <cellStyle name="Normal 2 39 10" xfId="20883" xr:uid="{B8566805-0B40-4C70-8437-15A267366FD8}"/>
    <cellStyle name="Normal 2 39 2" xfId="20884" xr:uid="{FEEE2F3A-D04A-4159-9883-E3E1D68FE1F0}"/>
    <cellStyle name="Normal 2 39 2 10" xfId="20885" xr:uid="{FD4B210B-DF63-4478-9346-9CAF46AA8D5B}"/>
    <cellStyle name="Normal 2 39 2 2" xfId="20886" xr:uid="{7375009E-08D1-42B5-9436-421A25DB6ACD}"/>
    <cellStyle name="Normal 2 39 2 2 2" xfId="20887" xr:uid="{C9291DB0-5553-401F-8583-EE53D4050DF8}"/>
    <cellStyle name="Normal 2 39 2 2 2 2" xfId="20888" xr:uid="{8FA5FCC7-5ECA-45A2-ADB2-90BA8E7509C8}"/>
    <cellStyle name="Normal 2 39 2 2 2 3" xfId="20889" xr:uid="{1A05F1BF-92B7-4442-A853-0950E352BB0B}"/>
    <cellStyle name="Normal 2 39 2 2 2 4" xfId="20890" xr:uid="{97F6F1D6-BBE0-45A7-B3F2-465510DDA09F}"/>
    <cellStyle name="Normal 2 39 2 2 2 5" xfId="20891" xr:uid="{AD2F98E5-048C-419E-8E7D-C16108998868}"/>
    <cellStyle name="Normal 2 39 2 2 2 6" xfId="20892" xr:uid="{4F904036-9C70-4AC8-BEFC-7C6D24F1FCF6}"/>
    <cellStyle name="Normal 2 39 2 2 2 7" xfId="20893" xr:uid="{68F83950-2B21-4FE4-B96B-2971278A13E6}"/>
    <cellStyle name="Normal 2 39 2 2 3" xfId="20894" xr:uid="{8D66B143-0D61-4A4D-B95D-CEC156519486}"/>
    <cellStyle name="Normal 2 39 2 2 4" xfId="20895" xr:uid="{D20BBB68-3D0C-4994-B3FE-CBDF98F6A23C}"/>
    <cellStyle name="Normal 2 39 2 2 5" xfId="20896" xr:uid="{AE201CF2-0DE1-4770-9DF6-A8728E51EF15}"/>
    <cellStyle name="Normal 2 39 2 2 6" xfId="20897" xr:uid="{03B43CF4-626C-4A7B-A170-999848516762}"/>
    <cellStyle name="Normal 2 39 2 2 7" xfId="20898" xr:uid="{4C0B4465-BA4C-4385-B555-F69C6A7848BC}"/>
    <cellStyle name="Normal 2 39 2 3" xfId="20899" xr:uid="{7F42A99D-78A6-4A44-8264-4680C2E04C9F}"/>
    <cellStyle name="Normal 2 39 2 4" xfId="20900" xr:uid="{60482262-7C18-46DF-9A75-0BEBB9E4F8EA}"/>
    <cellStyle name="Normal 2 39 2 5" xfId="20901" xr:uid="{30500343-6213-49F3-9D7C-32CDB1A5BE25}"/>
    <cellStyle name="Normal 2 39 2 6" xfId="20902" xr:uid="{60197B6A-F1CB-4B4C-B0C4-25437E9F6945}"/>
    <cellStyle name="Normal 2 39 2 7" xfId="20903" xr:uid="{7644E488-8CD5-4E07-B110-E9B39773B3B7}"/>
    <cellStyle name="Normal 2 39 2 8" xfId="20904" xr:uid="{B2E57F1F-7160-4682-A61B-8D9D55A1373B}"/>
    <cellStyle name="Normal 2 39 2 9" xfId="20905" xr:uid="{4B0A6988-E0EB-4A47-B0F2-738336C6FE60}"/>
    <cellStyle name="Normal 2 39 3" xfId="20906" xr:uid="{2C7B9DE4-7EB2-4AAE-833A-4277DF543B70}"/>
    <cellStyle name="Normal 2 39 3 2" xfId="20907" xr:uid="{9965B3C5-A852-4363-94D0-CC6AC9D6B873}"/>
    <cellStyle name="Normal 2 39 3 2 2" xfId="20908" xr:uid="{D0D528B9-5C85-4360-B0D2-4A3B98070E27}"/>
    <cellStyle name="Normal 2 39 3 2 3" xfId="20909" xr:uid="{67180D35-A3A2-40F9-B857-37A4DBEF0A56}"/>
    <cellStyle name="Normal 2 39 3 2 4" xfId="20910" xr:uid="{ED5AC8D7-7503-475C-A43D-E04A54D6CA38}"/>
    <cellStyle name="Normal 2 39 3 2 5" xfId="20911" xr:uid="{37638FC2-1E96-4E2A-B122-D70654B4BBE8}"/>
    <cellStyle name="Normal 2 39 3 2 6" xfId="20912" xr:uid="{DFAACC43-8DF3-4321-9A2D-7DD2754AB4C7}"/>
    <cellStyle name="Normal 2 39 3 3" xfId="20913" xr:uid="{6B086FDF-49A4-4B62-B555-25E2E27E4A74}"/>
    <cellStyle name="Normal 2 39 3 4" xfId="20914" xr:uid="{C16D9540-55B6-409D-A5D2-799318A0CB2D}"/>
    <cellStyle name="Normal 2 39 3 5" xfId="20915" xr:uid="{7933F2E0-85D8-4DDE-890C-4E42D71AA246}"/>
    <cellStyle name="Normal 2 39 3 6" xfId="20916" xr:uid="{293B4689-17EA-4454-A58E-7F37B6E0CF3F}"/>
    <cellStyle name="Normal 2 39 3 7" xfId="20917" xr:uid="{68EF4E2F-C62F-46BA-AFF5-EDD21EAB97AB}"/>
    <cellStyle name="Normal 2 39 4" xfId="20918" xr:uid="{3FB3DD0B-0486-4F18-9924-1E1CF27F8C66}"/>
    <cellStyle name="Normal 2 39 5" xfId="20919" xr:uid="{14F156F8-69B9-4B0F-B3FD-C131FA3BF99D}"/>
    <cellStyle name="Normal 2 39 6" xfId="20920" xr:uid="{618D08D4-64ED-4D8A-972A-B576AA8311C6}"/>
    <cellStyle name="Normal 2 39 7" xfId="20921" xr:uid="{178B73F7-DDB8-447C-8B5F-143424156562}"/>
    <cellStyle name="Normal 2 39 8" xfId="20922" xr:uid="{29327DD8-4341-4B11-8017-C6879ACDD938}"/>
    <cellStyle name="Normal 2 39 9" xfId="20923" xr:uid="{866A4E4B-2D97-4FA9-B43A-D5E2EAC2408D}"/>
    <cellStyle name="Normal 2 4" xfId="20924" xr:uid="{41679EFC-9D56-4E1A-9E8B-EEC3862D7D6D}"/>
    <cellStyle name="Normal 2 4 10" xfId="20925" xr:uid="{15ADBABF-3581-4A79-80F9-BB476F37DA62}"/>
    <cellStyle name="Normal 2 4 11" xfId="20926" xr:uid="{0D16DED8-7D36-40ED-8847-B54107B0C4D5}"/>
    <cellStyle name="Normal 2 4 12" xfId="20927" xr:uid="{114D5F46-D66E-41B7-A96C-A517F1D7840C}"/>
    <cellStyle name="Normal 2 4 12 2" xfId="20928" xr:uid="{18304CAE-0A27-473B-B8B0-7CCE2A47658C}"/>
    <cellStyle name="Normal 2 4 12 2 2" xfId="20929" xr:uid="{1DEA619D-AABA-4A23-9005-55C1E8C817B0}"/>
    <cellStyle name="Normal 2 4 12 2 3" xfId="20930" xr:uid="{CCAC624B-2E41-48E4-AB5F-21C7601E0F61}"/>
    <cellStyle name="Normal 2 4 12 2 4" xfId="20931" xr:uid="{9B921A62-33D5-4784-A03C-5F1B8AD56485}"/>
    <cellStyle name="Normal 2 4 12 2 5" xfId="20932" xr:uid="{555280FA-8E64-479B-BC5E-497809E4520D}"/>
    <cellStyle name="Normal 2 4 12 2 6" xfId="20933" xr:uid="{675C1731-5FE8-4602-86FF-07397BB8499C}"/>
    <cellStyle name="Normal 2 4 12 2 7" xfId="20934" xr:uid="{201D41C8-E4A1-471C-B242-5EECD7A01702}"/>
    <cellStyle name="Normal 2 4 12 2 8" xfId="20935" xr:uid="{073DFDE1-B3C7-4EBC-B9B1-EB1099EAD3FE}"/>
    <cellStyle name="Normal 2 4 12 2 9" xfId="20936" xr:uid="{644A7BDC-218D-4F2A-90B0-90557DF1D53B}"/>
    <cellStyle name="Normal 2 4 12 3" xfId="20937" xr:uid="{11EA692E-9164-4C4C-883F-5C075BE35562}"/>
    <cellStyle name="Normal 2 4 12 4" xfId="20938" xr:uid="{55D844CB-DE41-40CA-B1AC-994831EA96EE}"/>
    <cellStyle name="Normal 2 4 12 5" xfId="20939" xr:uid="{F0C2D989-F20A-49BF-97B5-0095E94257B2}"/>
    <cellStyle name="Normal 2 4 12 6" xfId="20940" xr:uid="{37A65092-3342-4C4F-B37B-F234B744AE2B}"/>
    <cellStyle name="Normal 2 4 12 7" xfId="20941" xr:uid="{9081B067-EA27-4EFB-9EBA-8FBF0DEE2290}"/>
    <cellStyle name="Normal 2 4 12 8" xfId="20942" xr:uid="{90C1F6D1-FF16-44BB-9654-6862C9491256}"/>
    <cellStyle name="Normal 2 4 12 9" xfId="20943" xr:uid="{9AE11AC5-93C1-400C-A642-6A7957F7605C}"/>
    <cellStyle name="Normal 2 4 13" xfId="20944" xr:uid="{4B5A31A1-B394-438C-98E1-E14CAAF11BD7}"/>
    <cellStyle name="Normal 2 4 14" xfId="20945" xr:uid="{59903C9F-DF2C-4388-853D-9A3F691500F0}"/>
    <cellStyle name="Normal 2 4 15" xfId="20946" xr:uid="{DD054B7A-9FDC-4A71-BA01-B950E9DE26FF}"/>
    <cellStyle name="Normal 2 4 16" xfId="20947" xr:uid="{7E885D1D-6102-4530-B4A1-34CE76361D03}"/>
    <cellStyle name="Normal 2 4 17" xfId="20948" xr:uid="{FE7FF0A0-D78B-4F4C-BE88-F72A25E08EA6}"/>
    <cellStyle name="Normal 2 4 18" xfId="20949" xr:uid="{8E55DEFA-8A3E-49AE-81AF-14F0849A4FFB}"/>
    <cellStyle name="Normal 2 4 19" xfId="20950" xr:uid="{E75B072B-0B6E-4FC6-BEF1-4131AC92E54A}"/>
    <cellStyle name="Normal 2 4 2" xfId="20951" xr:uid="{57BC7984-8A47-4C90-A3C6-7AF8924CA5CF}"/>
    <cellStyle name="Normal 2 4 2 10" xfId="20952" xr:uid="{8CF8413E-C3CB-4F3C-88BA-0711B838C582}"/>
    <cellStyle name="Normal 2 4 2 11" xfId="20953" xr:uid="{4F6A7C10-AFCD-4FC2-881B-22A5C6D016BC}"/>
    <cellStyle name="Normal 2 4 2 12" xfId="20954" xr:uid="{8941AB33-02C7-44C7-9A10-E8FBC3C874C9}"/>
    <cellStyle name="Normal 2 4 2 12 2" xfId="20955" xr:uid="{08157453-4FCF-43DE-8549-F866827AEAE1}"/>
    <cellStyle name="Normal 2 4 2 12 2 2" xfId="20956" xr:uid="{7B4BB162-2E33-404E-BE34-0B03C58AB08C}"/>
    <cellStyle name="Normal 2 4 2 12 2 3" xfId="20957" xr:uid="{F7729A98-85BA-477F-887F-A533E5E31FCA}"/>
    <cellStyle name="Normal 2 4 2 12 2 4" xfId="20958" xr:uid="{E7C33E1F-60DC-40AA-9CAF-1B17F84CF87C}"/>
    <cellStyle name="Normal 2 4 2 12 2 5" xfId="20959" xr:uid="{3DA4AAEC-D412-4A18-9E51-D353FBE57E93}"/>
    <cellStyle name="Normal 2 4 2 12 2 6" xfId="20960" xr:uid="{EB5DED8E-1533-464B-A77E-C3B242B16E21}"/>
    <cellStyle name="Normal 2 4 2 12 2 7" xfId="20961" xr:uid="{241D0287-31AB-43F4-88D8-7D50D40294C6}"/>
    <cellStyle name="Normal 2 4 2 12 2 8" xfId="20962" xr:uid="{78B4632D-E51C-4B2C-A1F9-D8B2CAEDDBFE}"/>
    <cellStyle name="Normal 2 4 2 12 2 9" xfId="20963" xr:uid="{8B891C0D-84FF-4AD5-95A8-118944C78BFE}"/>
    <cellStyle name="Normal 2 4 2 12 3" xfId="20964" xr:uid="{51040619-89C5-442B-AE30-F40F93B5F896}"/>
    <cellStyle name="Normal 2 4 2 12 4" xfId="20965" xr:uid="{3495FAB7-275D-4ECD-8943-2A00026A98B1}"/>
    <cellStyle name="Normal 2 4 2 12 5" xfId="20966" xr:uid="{60B5A805-0CA4-4690-BCC2-2B62055BBE99}"/>
    <cellStyle name="Normal 2 4 2 12 6" xfId="20967" xr:uid="{F3E6816B-E4BB-4FB3-811F-FCDC62A8F174}"/>
    <cellStyle name="Normal 2 4 2 12 7" xfId="20968" xr:uid="{16C2B680-DDF7-4533-8D03-701919F3A28B}"/>
    <cellStyle name="Normal 2 4 2 12 8" xfId="20969" xr:uid="{C58C3632-F31E-4870-8ED1-509ACB164876}"/>
    <cellStyle name="Normal 2 4 2 12 9" xfId="20970" xr:uid="{F8D5A1C1-889A-42E5-8407-18D4D96E093C}"/>
    <cellStyle name="Normal 2 4 2 13" xfId="20971" xr:uid="{AEAE0482-AA95-45FF-AD34-40556C32DFF7}"/>
    <cellStyle name="Normal 2 4 2 14" xfId="20972" xr:uid="{CAC21E7A-E4CB-4E86-8050-DCA18F843349}"/>
    <cellStyle name="Normal 2 4 2 15" xfId="20973" xr:uid="{2336F4DA-B856-46E1-8070-0829625A0A51}"/>
    <cellStyle name="Normal 2 4 2 16" xfId="20974" xr:uid="{488B8DDA-353F-48E3-914F-1723A3660405}"/>
    <cellStyle name="Normal 2 4 2 17" xfId="20975" xr:uid="{E5A02C18-272D-4C76-91C0-FFD466566E23}"/>
    <cellStyle name="Normal 2 4 2 18" xfId="20976" xr:uid="{15BA247E-19C0-4907-8597-B0BC3C409701}"/>
    <cellStyle name="Normal 2 4 2 19" xfId="20977" xr:uid="{C208D196-48C8-472A-AB0D-B6B6FF8F9FB1}"/>
    <cellStyle name="Normal 2 4 2 2" xfId="20978" xr:uid="{6F4883E9-4D35-48B6-9FD7-EE92DF8A2EBE}"/>
    <cellStyle name="Normal 2 4 2 2 10" xfId="20979" xr:uid="{EC6CC5FC-D995-4242-B3FC-5D95754D1C79}"/>
    <cellStyle name="Normal 2 4 2 2 11" xfId="20980" xr:uid="{9BDF04E2-645E-4152-BEEA-2F9940B46242}"/>
    <cellStyle name="Normal 2 4 2 2 12" xfId="20981" xr:uid="{8A0F90B9-CE6B-4E0A-A3CD-2A25BF8A8845}"/>
    <cellStyle name="Normal 2 4 2 2 13" xfId="20982" xr:uid="{CE45273B-643C-4BEF-B75F-799F2205BD70}"/>
    <cellStyle name="Normal 2 4 2 2 14" xfId="20983" xr:uid="{2AEB6A1B-A35F-4573-B4F4-36E65D4FBB3D}"/>
    <cellStyle name="Normal 2 4 2 2 15" xfId="20984" xr:uid="{EBF1CAA5-CB76-4769-A468-7A3B5740C282}"/>
    <cellStyle name="Normal 2 4 2 2 16" xfId="20985" xr:uid="{197E26C7-FDD2-4E0A-9C9A-338AF8FF5A51}"/>
    <cellStyle name="Normal 2 4 2 2 17" xfId="20986" xr:uid="{67715B15-138D-43C5-8CD3-8AD83C79B96A}"/>
    <cellStyle name="Normal 2 4 2 2 18" xfId="20987" xr:uid="{FD60862F-B2A5-4F7B-A4F3-465E8DB138AF}"/>
    <cellStyle name="Normal 2 4 2 2 18 2" xfId="20988" xr:uid="{799FE37A-E043-43D8-93E0-4541F4E6BB64}"/>
    <cellStyle name="Normal 2 4 2 2 18 2 2" xfId="20989" xr:uid="{C2FF0014-72C7-4480-A9F4-652323F249CE}"/>
    <cellStyle name="Normal 2 4 2 2 18 2 2 2" xfId="20990" xr:uid="{8B2225EA-6AB1-4C89-87B5-62EDD6288417}"/>
    <cellStyle name="Normal 2 4 2 2 18 3" xfId="20991" xr:uid="{4877B16F-8AB7-4E34-A5BD-54B8196A870C}"/>
    <cellStyle name="Normal 2 4 2 2 18 4" xfId="20992" xr:uid="{81C9E611-DDFF-472F-91F2-AFE9F7FAD540}"/>
    <cellStyle name="Normal 2 4 2 2 18 5" xfId="20993" xr:uid="{F0956069-B88E-4D0D-B1B1-A31C1D3900E7}"/>
    <cellStyle name="Normal 2 4 2 2 18 6" xfId="20994" xr:uid="{053BE02A-671E-41AD-A419-E194358E5145}"/>
    <cellStyle name="Normal 2 4 2 2 19" xfId="20995" xr:uid="{D6B76233-5473-471D-8AE3-049AD8CEE7BF}"/>
    <cellStyle name="Normal 2 4 2 2 19 2" xfId="20996" xr:uid="{410203BA-6452-472A-BE7E-730C8F9C94F2}"/>
    <cellStyle name="Normal 2 4 2 2 19 2 2" xfId="20997" xr:uid="{A85BEB81-A03D-4724-8E2F-A21E46151E52}"/>
    <cellStyle name="Normal 2 4 2 2 2" xfId="20998" xr:uid="{21B8E264-64C4-4818-A9B1-CD5264E7CFCC}"/>
    <cellStyle name="Normal 2 4 2 2 2 10" xfId="20999" xr:uid="{A61A90DA-15B1-469B-8698-AA482D4EABA3}"/>
    <cellStyle name="Normal 2 4 2 2 2 11" xfId="21000" xr:uid="{5B971A40-030E-4920-8C6A-6729AF163091}"/>
    <cellStyle name="Normal 2 4 2 2 2 12" xfId="21001" xr:uid="{D02D36E4-E781-49CD-B6A1-358D312EFA32}"/>
    <cellStyle name="Normal 2 4 2 2 2 13" xfId="21002" xr:uid="{9A50F6B8-36D7-4CFC-A94D-12C1E6919F6B}"/>
    <cellStyle name="Normal 2 4 2 2 2 14" xfId="21003" xr:uid="{EB9B26D8-C5B7-4564-AFE4-7DCEE566185D}"/>
    <cellStyle name="Normal 2 4 2 2 2 15" xfId="21004" xr:uid="{789D8A9C-D29C-47F9-927A-652B5F312790}"/>
    <cellStyle name="Normal 2 4 2 2 2 16" xfId="21005" xr:uid="{CA24F42E-DC66-47F0-8D10-F071DE8742D2}"/>
    <cellStyle name="Normal 2 4 2 2 2 17" xfId="21006" xr:uid="{3008AB60-8DC4-4D01-82EE-986121D7128F}"/>
    <cellStyle name="Normal 2 4 2 2 2 18" xfId="21007" xr:uid="{F9B09F54-7155-4083-810C-E1F15D1DE6CC}"/>
    <cellStyle name="Normal 2 4 2 2 2 18 2" xfId="21008" xr:uid="{7027E268-1B96-43E6-8E7A-3E2495F9B8C1}"/>
    <cellStyle name="Normal 2 4 2 2 2 18 2 2" xfId="21009" xr:uid="{90152653-2C07-45E7-8267-BD08454B4101}"/>
    <cellStyle name="Normal 2 4 2 2 2 18 2 2 2" xfId="21010" xr:uid="{2D8E9169-76EC-4C4F-8479-EFF57BBEE3F6}"/>
    <cellStyle name="Normal 2 4 2 2 2 18 3" xfId="21011" xr:uid="{E031A225-F7AE-452A-9DA6-823FD1ABDC31}"/>
    <cellStyle name="Normal 2 4 2 2 2 18 4" xfId="21012" xr:uid="{55FC6A08-DBC6-4075-BDFB-56EB61E40DFB}"/>
    <cellStyle name="Normal 2 4 2 2 2 18 5" xfId="21013" xr:uid="{47A75BF4-8D10-45D2-BADD-9EABC2F672B5}"/>
    <cellStyle name="Normal 2 4 2 2 2 18 6" xfId="21014" xr:uid="{AC6BA218-A102-4BDF-9845-A1F094DBC448}"/>
    <cellStyle name="Normal 2 4 2 2 2 19" xfId="21015" xr:uid="{1F16AC64-1A49-4F89-BB69-8C2F162B93A6}"/>
    <cellStyle name="Normal 2 4 2 2 2 19 2" xfId="21016" xr:uid="{A9F03D8D-AA3C-42C5-B587-518F5F701FED}"/>
    <cellStyle name="Normal 2 4 2 2 2 19 2 2" xfId="21017" xr:uid="{CE5F0796-BF60-4B77-BEC8-8FEEC5490AE3}"/>
    <cellStyle name="Normal 2 4 2 2 2 2" xfId="21018" xr:uid="{7E94C52B-5267-43EC-B63A-F9C1ED963F4C}"/>
    <cellStyle name="Normal 2 4 2 2 2 2 10" xfId="21019" xr:uid="{B3D6C690-CCB4-479C-A24F-F091C8D79601}"/>
    <cellStyle name="Normal 2 4 2 2 2 2 10 2" xfId="21020" xr:uid="{24F3FBEC-C800-450F-B5BD-2BA765967B8D}"/>
    <cellStyle name="Normal 2 4 2 2 2 2 10 2 2" xfId="21021" xr:uid="{EE17858D-8BFA-4048-A2AC-077D66841C2F}"/>
    <cellStyle name="Normal 2 4 2 2 2 2 10 2 2 2" xfId="21022" xr:uid="{D4916B86-B7E5-4F1C-A280-BBD3E0FEF6EE}"/>
    <cellStyle name="Normal 2 4 2 2 2 2 10 3" xfId="21023" xr:uid="{63A7785B-99B7-40F1-AD64-26C995E6835F}"/>
    <cellStyle name="Normal 2 4 2 2 2 2 10 4" xfId="21024" xr:uid="{80C98E52-DDA0-4757-BFB2-6F4C3F3B202B}"/>
    <cellStyle name="Normal 2 4 2 2 2 2 10 5" xfId="21025" xr:uid="{5B2DA473-E60D-4F44-9C59-DBB762E01C97}"/>
    <cellStyle name="Normal 2 4 2 2 2 2 10 6" xfId="21026" xr:uid="{B4C0D9F2-D6A7-4DF7-9A2D-07FB0CD5B535}"/>
    <cellStyle name="Normal 2 4 2 2 2 2 11" xfId="21027" xr:uid="{E9F8CADA-603D-407F-9A7D-E02A80139CFF}"/>
    <cellStyle name="Normal 2 4 2 2 2 2 11 2" xfId="21028" xr:uid="{3C9751C0-740A-4735-92D4-F75A18CA690F}"/>
    <cellStyle name="Normal 2 4 2 2 2 2 11 2 2" xfId="21029" xr:uid="{5976AD24-88F4-4C90-B168-E36719DC41C6}"/>
    <cellStyle name="Normal 2 4 2 2 2 2 12" xfId="21030" xr:uid="{F903C0DC-9A4E-4267-B80E-FDCD25F4CCF0}"/>
    <cellStyle name="Normal 2 4 2 2 2 2 13" xfId="21031" xr:uid="{BE4C624B-85C3-42CB-A471-665E199575C3}"/>
    <cellStyle name="Normal 2 4 2 2 2 2 14" xfId="21032" xr:uid="{105C2101-1435-4E39-941C-CC3A4587CE2D}"/>
    <cellStyle name="Normal 2 4 2 2 2 2 2" xfId="21033" xr:uid="{D875C811-8611-49F3-B991-46320F541222}"/>
    <cellStyle name="Normal 2 4 2 2 2 2 2 10" xfId="21034" xr:uid="{C22BAED8-176E-4CB4-8160-A2CF507F9F04}"/>
    <cellStyle name="Normal 2 4 2 2 2 2 2 10 2" xfId="21035" xr:uid="{C3A7C5E1-1AC2-40FC-A3EC-F96302F36061}"/>
    <cellStyle name="Normal 2 4 2 2 2 2 2 10 2 2" xfId="21036" xr:uid="{BE7082AE-66CA-4E11-A682-43E4AD148B09}"/>
    <cellStyle name="Normal 2 4 2 2 2 2 2 10 2 2 2" xfId="21037" xr:uid="{93D899F2-0C70-4C15-B5B2-D22B85EEC827}"/>
    <cellStyle name="Normal 2 4 2 2 2 2 2 10 3" xfId="21038" xr:uid="{BC3D69FF-7D69-4B64-A5C1-FA7B19223C29}"/>
    <cellStyle name="Normal 2 4 2 2 2 2 2 10 4" xfId="21039" xr:uid="{3B057C2E-11F5-41AD-A806-AF475EE9DB0F}"/>
    <cellStyle name="Normal 2 4 2 2 2 2 2 10 5" xfId="21040" xr:uid="{5AA3C4F4-3920-41D0-BD3D-28F740B550DB}"/>
    <cellStyle name="Normal 2 4 2 2 2 2 2 10 6" xfId="21041" xr:uid="{3F5B3967-BF3B-4119-ADE7-CA4A8A5CF1D6}"/>
    <cellStyle name="Normal 2 4 2 2 2 2 2 11" xfId="21042" xr:uid="{82ACCB98-2A0F-43EC-B997-CE18B9F84413}"/>
    <cellStyle name="Normal 2 4 2 2 2 2 2 11 2" xfId="21043" xr:uid="{5CAA4FA6-F0F6-4353-9087-3A353EECCE69}"/>
    <cellStyle name="Normal 2 4 2 2 2 2 2 11 2 2" xfId="21044" xr:uid="{7A94DE82-CD8E-46E1-AD68-1E030E517A3E}"/>
    <cellStyle name="Normal 2 4 2 2 2 2 2 12" xfId="21045" xr:uid="{37EBC111-286D-4AE6-8969-EC300CD4029F}"/>
    <cellStyle name="Normal 2 4 2 2 2 2 2 13" xfId="21046" xr:uid="{78E94F48-C70C-4EEF-BA27-88B7453FB6ED}"/>
    <cellStyle name="Normal 2 4 2 2 2 2 2 14" xfId="21047" xr:uid="{3D37E598-BFF7-4A7D-8E14-DF0BC7759450}"/>
    <cellStyle name="Normal 2 4 2 2 2 2 2 2" xfId="21048" xr:uid="{F7B3AC7B-FCBC-4F43-8B96-A5242B063E25}"/>
    <cellStyle name="Normal 2 4 2 2 2 2 2 2 2" xfId="21049" xr:uid="{B0A2BABB-80F2-4AEF-8B2B-4D0D87F99145}"/>
    <cellStyle name="Normal 2 4 2 2 2 2 2 2 2 2" xfId="21050" xr:uid="{894BD684-36D5-440B-B919-FB98729EA2FD}"/>
    <cellStyle name="Normal 2 4 2 2 2 2 2 2 2 2 2" xfId="21051" xr:uid="{8C67A173-50F3-46E7-AB27-C25F36A88821}"/>
    <cellStyle name="Normal 2 4 2 2 2 2 2 2 2 2 2 2" xfId="21052" xr:uid="{4F65FBB6-7169-467D-9AA6-B564976AEA55}"/>
    <cellStyle name="Normal 2 4 2 2 2 2 2 2 2 3" xfId="21053" xr:uid="{6E0964EC-6E01-4760-93EB-06817B312E47}"/>
    <cellStyle name="Normal 2 4 2 2 2 2 2 2 2 4" xfId="21054" xr:uid="{FCE78EBA-AD06-4664-B9AF-4471D0AC397C}"/>
    <cellStyle name="Normal 2 4 2 2 2 2 2 2 2 5" xfId="21055" xr:uid="{A456AD33-FC6A-4EAB-A957-B54F093A1299}"/>
    <cellStyle name="Normal 2 4 2 2 2 2 2 2 2 6" xfId="21056" xr:uid="{BC70E56D-234D-4C46-987C-F08987512B0A}"/>
    <cellStyle name="Normal 2 4 2 2 2 2 2 2 3" xfId="21057" xr:uid="{641BED3D-CFFC-47EA-A9D9-5CDB8166069B}"/>
    <cellStyle name="Normal 2 4 2 2 2 2 2 2 4" xfId="21058" xr:uid="{506066C7-45BD-4F80-9E8A-29D36C8D2D8F}"/>
    <cellStyle name="Normal 2 4 2 2 2 2 2 2 4 2" xfId="21059" xr:uid="{34BD29EF-1E5F-43CF-91FE-9D5CA46AE21B}"/>
    <cellStyle name="Normal 2 4 2 2 2 2 2 2 4 2 2" xfId="21060" xr:uid="{6A24B59A-2616-475B-8AB9-42CFE8C49596}"/>
    <cellStyle name="Normal 2 4 2 2 2 2 2 2 5" xfId="21061" xr:uid="{674D3F42-1C03-4FA3-B85D-4228C71FBEC8}"/>
    <cellStyle name="Normal 2 4 2 2 2 2 2 2 6" xfId="21062" xr:uid="{39C597DA-F5B0-4D4B-9067-5D65A9924CAE}"/>
    <cellStyle name="Normal 2 4 2 2 2 2 2 2 7" xfId="21063" xr:uid="{7EAF2893-35AC-486B-8A31-B276E196898F}"/>
    <cellStyle name="Normal 2 4 2 2 2 2 2 3" xfId="21064" xr:uid="{9C646654-E738-4730-8363-08353FACDE4A}"/>
    <cellStyle name="Normal 2 4 2 2 2 2 2 4" xfId="21065" xr:uid="{5ECE8653-DCBB-4AE0-BE06-57F739B64018}"/>
    <cellStyle name="Normal 2 4 2 2 2 2 2 5" xfId="21066" xr:uid="{EA691EA3-2F5B-49A1-A5EF-D0578734BBB7}"/>
    <cellStyle name="Normal 2 4 2 2 2 2 2 6" xfId="21067" xr:uid="{D45EAF58-74F2-42FD-B463-523BCA019C7B}"/>
    <cellStyle name="Normal 2 4 2 2 2 2 2 7" xfId="21068" xr:uid="{BADE77DD-181C-4C71-9147-DFFFC90644AF}"/>
    <cellStyle name="Normal 2 4 2 2 2 2 2 8" xfId="21069" xr:uid="{AF9F7C1F-6A47-475E-A369-F64C3C33B78B}"/>
    <cellStyle name="Normal 2 4 2 2 2 2 2 9" xfId="21070" xr:uid="{00C2C065-47C6-414B-B43A-EC468850A26D}"/>
    <cellStyle name="Normal 2 4 2 2 2 2 3" xfId="21071" xr:uid="{FD0A728C-6804-44D2-B10E-BD629AEE1D1B}"/>
    <cellStyle name="Normal 2 4 2 2 2 2 4" xfId="21072" xr:uid="{59728DFE-561F-4932-8284-C1EEDDBDFB62}"/>
    <cellStyle name="Normal 2 4 2 2 2 2 5" xfId="21073" xr:uid="{F9AC33C1-D26A-48E0-A653-71F9FE7A91F3}"/>
    <cellStyle name="Normal 2 4 2 2 2 2 6" xfId="21074" xr:uid="{A4D5356D-6DE6-4FBD-B7FE-D200613402B3}"/>
    <cellStyle name="Normal 2 4 2 2 2 2 7" xfId="21075" xr:uid="{CD4C805A-2E0E-445B-AAE8-B3CF749157CE}"/>
    <cellStyle name="Normal 2 4 2 2 2 2 8" xfId="21076" xr:uid="{C639B851-518E-4641-82E3-37E1A20165EF}"/>
    <cellStyle name="Normal 2 4 2 2 2 2 9" xfId="21077" xr:uid="{9BA7D466-20D0-4411-A38D-559DF53D160A}"/>
    <cellStyle name="Normal 2 4 2 2 2 20" xfId="21078" xr:uid="{79A286C9-2851-4416-B4CC-7B23566C974F}"/>
    <cellStyle name="Normal 2 4 2 2 2 21" xfId="21079" xr:uid="{BE012355-C9D9-4342-B411-7845452219E9}"/>
    <cellStyle name="Normal 2 4 2 2 2 22" xfId="21080" xr:uid="{63B560E2-235D-49A6-927A-388F8840F0EE}"/>
    <cellStyle name="Normal 2 4 2 2 2 3" xfId="21081" xr:uid="{75D53B9C-1F9D-476F-B8E1-DF33C5A7044E}"/>
    <cellStyle name="Normal 2 4 2 2 2 4" xfId="21082" xr:uid="{E7D7B47E-6864-4066-8542-DFEE07F028A5}"/>
    <cellStyle name="Normal 2 4 2 2 2 5" xfId="21083" xr:uid="{4208C264-A9C7-444D-BD0A-A814C3F552B5}"/>
    <cellStyle name="Normal 2 4 2 2 2 6" xfId="21084" xr:uid="{D4F3A4BD-7AAA-4341-8337-7B1DECC74A97}"/>
    <cellStyle name="Normal 2 4 2 2 2 7" xfId="21085" xr:uid="{AB8A7C73-9510-400F-B666-E57366ED1AA2}"/>
    <cellStyle name="Normal 2 4 2 2 2 8" xfId="21086" xr:uid="{67B42F75-956E-4A2B-9198-5D5D5757BF62}"/>
    <cellStyle name="Normal 2 4 2 2 2 9" xfId="21087" xr:uid="{912003B6-BCF2-40EB-B84F-11EC8ACE0C26}"/>
    <cellStyle name="Normal 2 4 2 2 20" xfId="21088" xr:uid="{8CF23B7C-9186-4696-9ABB-BB4009E68459}"/>
    <cellStyle name="Normal 2 4 2 2 21" xfId="21089" xr:uid="{0CC4821F-86FF-4F1B-BAF5-D4765527CD90}"/>
    <cellStyle name="Normal 2 4 2 2 22" xfId="21090" xr:uid="{B9294BBB-F445-4BFD-97F4-8FEC08D15BD5}"/>
    <cellStyle name="Normal 2 4 2 2 3" xfId="21091" xr:uid="{5C6E2DAA-D399-4474-85D8-A2C39B42725B}"/>
    <cellStyle name="Normal 2 4 2 2 3 2" xfId="21092" xr:uid="{6CD5197D-F7B7-4890-A7A4-46448079EADD}"/>
    <cellStyle name="Normal 2 4 2 2 3 2 2" xfId="21093" xr:uid="{7099FA89-0215-466D-804A-D95F0D0EFDD2}"/>
    <cellStyle name="Normal 2 4 2 2 3 2 3" xfId="21094" xr:uid="{B6F16DC5-C191-4A1C-A8D8-DADF54F35739}"/>
    <cellStyle name="Normal 2 4 2 2 3 2 4" xfId="21095" xr:uid="{6B69E61B-C675-400F-9C42-1D5521C00285}"/>
    <cellStyle name="Normal 2 4 2 2 3 2 5" xfId="21096" xr:uid="{07CED3F1-A66B-46F7-AB5B-DA9D8221CF13}"/>
    <cellStyle name="Normal 2 4 2 2 3 2 6" xfId="21097" xr:uid="{2A3C4083-E41A-4FCA-8A41-B16DD252C395}"/>
    <cellStyle name="Normal 2 4 2 2 3 2 7" xfId="21098" xr:uid="{34B1821A-B40F-43F8-B5B3-AB175623A81F}"/>
    <cellStyle name="Normal 2 4 2 2 3 2 8" xfId="21099" xr:uid="{82649047-5BE0-4B63-ACD3-ABAE10098B3D}"/>
    <cellStyle name="Normal 2 4 2 2 3 2 9" xfId="21100" xr:uid="{A51800B1-6347-464F-93A0-64945539D163}"/>
    <cellStyle name="Normal 2 4 2 2 3 3" xfId="21101" xr:uid="{5441B052-5939-426A-8CCD-9E8AB6F4E567}"/>
    <cellStyle name="Normal 2 4 2 2 3 4" xfId="21102" xr:uid="{BA326975-38A9-445E-995E-F899B6D490D0}"/>
    <cellStyle name="Normal 2 4 2 2 3 5" xfId="21103" xr:uid="{9E291E5C-EA1B-4B9C-80F2-F224F9DFD4FA}"/>
    <cellStyle name="Normal 2 4 2 2 3 6" xfId="21104" xr:uid="{74F3557C-2A30-4FAF-B6CE-4BE369394344}"/>
    <cellStyle name="Normal 2 4 2 2 3 7" xfId="21105" xr:uid="{68CB5773-5FCE-4CAF-A60D-075B028F6476}"/>
    <cellStyle name="Normal 2 4 2 2 3 8" xfId="21106" xr:uid="{4C126EE0-D81D-442E-8133-C22BE5618B80}"/>
    <cellStyle name="Normal 2 4 2 2 3 9" xfId="21107" xr:uid="{5CACE4B2-4BF5-48CD-A081-67D5532AAE86}"/>
    <cellStyle name="Normal 2 4 2 2 4" xfId="21108" xr:uid="{ECF146F0-7F57-45E2-A7E2-4960AB607D04}"/>
    <cellStyle name="Normal 2 4 2 2 5" xfId="21109" xr:uid="{B1102C0A-7F75-451C-9A24-A4E0EB8F82BD}"/>
    <cellStyle name="Normal 2 4 2 2 6" xfId="21110" xr:uid="{A0A2A9AE-74AA-4808-8FAA-899D944A08D3}"/>
    <cellStyle name="Normal 2 4 2 2 7" xfId="21111" xr:uid="{99561FD0-0870-451A-A9CF-C5ED8356A97E}"/>
    <cellStyle name="Normal 2 4 2 2 8" xfId="21112" xr:uid="{DD01A59B-9FFF-41A8-ABF6-7BC899CC09E9}"/>
    <cellStyle name="Normal 2 4 2 2 9" xfId="21113" xr:uid="{5F362A7D-5328-4DFE-9393-C6D7DA3DBA07}"/>
    <cellStyle name="Normal 2 4 2 20" xfId="21114" xr:uid="{2A667ED4-1ED3-41CD-93A0-97EFAA7469E8}"/>
    <cellStyle name="Normal 2 4 2 21" xfId="21115" xr:uid="{D3C3383C-9FB4-4479-9408-E7E7A3E2004A}"/>
    <cellStyle name="Normal 2 4 2 22" xfId="21116" xr:uid="{93D24072-A4F4-4713-891C-2BC9D793E932}"/>
    <cellStyle name="Normal 2 4 2 23" xfId="21117" xr:uid="{2573EDA0-6C47-4AED-8B66-2BDB36198971}"/>
    <cellStyle name="Normal 2 4 2 24" xfId="21118" xr:uid="{F4395A6D-8617-4A16-8DF6-9AC1280F59C4}"/>
    <cellStyle name="Normal 2 4 2 25" xfId="21119" xr:uid="{2A12DCF9-602A-4723-B45A-9CF5F3B6028B}"/>
    <cellStyle name="Normal 2 4 2 26" xfId="21120" xr:uid="{3796648E-503E-46F1-BBDE-0E7F514A1FCE}"/>
    <cellStyle name="Normal 2 4 2 27" xfId="21121" xr:uid="{4DF2532C-C46D-4AE2-B972-EBF8D72487CC}"/>
    <cellStyle name="Normal 2 4 2 28" xfId="21122" xr:uid="{DC0639BE-8A14-46E2-B417-DA2A764F8B2B}"/>
    <cellStyle name="Normal 2 4 2 28 2" xfId="21123" xr:uid="{560CEF55-B41A-42A9-BCFB-97959DAEB47D}"/>
    <cellStyle name="Normal 2 4 2 28 2 2" xfId="21124" xr:uid="{2ADBDB50-115E-49A1-9429-8C9F89C10566}"/>
    <cellStyle name="Normal 2 4 2 28 2 2 2" xfId="21125" xr:uid="{FF81A38E-03F9-4E24-9978-B536E3FB770D}"/>
    <cellStyle name="Normal 2 4 2 28 3" xfId="21126" xr:uid="{FEBB5B7A-7082-476E-A12F-C346670E2488}"/>
    <cellStyle name="Normal 2 4 2 28 4" xfId="21127" xr:uid="{CF94FC69-C51B-4388-AB10-CA6250CEA0FF}"/>
    <cellStyle name="Normal 2 4 2 28 5" xfId="21128" xr:uid="{A0DD58EC-3CC1-4FFD-A42C-D29AAFF0B69C}"/>
    <cellStyle name="Normal 2 4 2 28 6" xfId="21129" xr:uid="{84B3DED6-7D26-4D53-9768-7FABCEA3AC5A}"/>
    <cellStyle name="Normal 2 4 2 29" xfId="21130" xr:uid="{E9286352-EB8E-415E-9B50-9D2B06CBD8FD}"/>
    <cellStyle name="Normal 2 4 2 29 2" xfId="21131" xr:uid="{F0CC16BF-6751-4DF1-A8E1-6B555F7237E0}"/>
    <cellStyle name="Normal 2 4 2 29 2 2" xfId="21132" xr:uid="{1F8AEAF1-4C72-4754-8E22-8BB6541AD69D}"/>
    <cellStyle name="Normal 2 4 2 3" xfId="21133" xr:uid="{26CE83F8-0C9B-4A57-9528-757D49E154D3}"/>
    <cellStyle name="Normal 2 4 2 30" xfId="21134" xr:uid="{BE879853-87A6-4724-A98C-B9897EB9B259}"/>
    <cellStyle name="Normal 2 4 2 31" xfId="21135" xr:uid="{D67F8566-0ACF-46D3-9D0A-385A79E3E5DD}"/>
    <cellStyle name="Normal 2 4 2 32" xfId="21136" xr:uid="{F3B23447-284A-480C-A937-D2E24DFE4D26}"/>
    <cellStyle name="Normal 2 4 2 33" xfId="21137" xr:uid="{8710B455-D25F-462D-9E3D-02CE5E0108C3}"/>
    <cellStyle name="Normal 2 4 2 4" xfId="21138" xr:uid="{0285DEA8-4898-4BBB-8067-279F11735BE1}"/>
    <cellStyle name="Normal 2 4 2 5" xfId="21139" xr:uid="{A00D0C10-E195-4F8C-A30C-E50A30BAF9FA}"/>
    <cellStyle name="Normal 2 4 2 6" xfId="21140" xr:uid="{11487BF2-D230-4D14-8072-AB57D4EBD846}"/>
    <cellStyle name="Normal 2 4 2 7" xfId="21141" xr:uid="{D95C5B4F-1181-4BF5-BB43-4EC163F2D4B2}"/>
    <cellStyle name="Normal 2 4 2 8" xfId="21142" xr:uid="{50CD9E92-AD83-41EE-B953-077EEE111090}"/>
    <cellStyle name="Normal 2 4 2 9" xfId="21143" xr:uid="{A9B78090-CC6B-4290-9A37-58D6A35B23DB}"/>
    <cellStyle name="Normal 2 4 20" xfId="21144" xr:uid="{0F9862A1-21A9-479E-B7E5-8FB3E14E5848}"/>
    <cellStyle name="Normal 2 4 21" xfId="21145" xr:uid="{370F450F-8FC0-45BC-A59A-441C1F96384A}"/>
    <cellStyle name="Normal 2 4 22" xfId="21146" xr:uid="{230548CC-A666-442A-87CB-C4B586CECC40}"/>
    <cellStyle name="Normal 2 4 23" xfId="21147" xr:uid="{E14B555D-189C-4CD8-8816-D8A9BB84FE2A}"/>
    <cellStyle name="Normal 2 4 24" xfId="21148" xr:uid="{0272707E-003A-4164-9565-624F2070A87B}"/>
    <cellStyle name="Normal 2 4 25" xfId="21149" xr:uid="{BDF0290B-DDB5-4098-9277-ABE6487E8DEF}"/>
    <cellStyle name="Normal 2 4 26" xfId="21150" xr:uid="{997DE27D-8946-444B-AA5B-561E2F2305D7}"/>
    <cellStyle name="Normal 2 4 27" xfId="21151" xr:uid="{F9806D62-C14A-42E4-BD48-194D9FB9EED4}"/>
    <cellStyle name="Normal 2 4 28" xfId="21152" xr:uid="{674F556B-68B3-4AD6-B39F-7BED61D4B7F6}"/>
    <cellStyle name="Normal 2 4 28 2" xfId="21153" xr:uid="{1E6EBF8C-EA48-4B99-8AAE-1A550D06D6DD}"/>
    <cellStyle name="Normal 2 4 28 2 2" xfId="21154" xr:uid="{80F8E41F-5934-4D60-AF0F-AFC6340BCD57}"/>
    <cellStyle name="Normal 2 4 28 2 2 2" xfId="21155" xr:uid="{A940069C-DB01-412E-8F86-C84F4E4011B6}"/>
    <cellStyle name="Normal 2 4 28 3" xfId="21156" xr:uid="{90FF8D3A-35FC-48AE-9968-9D327F689135}"/>
    <cellStyle name="Normal 2 4 28 4" xfId="21157" xr:uid="{C10F6B80-70F2-4DC7-8375-8550615C0A8D}"/>
    <cellStyle name="Normal 2 4 28 5" xfId="21158" xr:uid="{821E7274-3F98-4ACD-AF72-DE7FC5CBD126}"/>
    <cellStyle name="Normal 2 4 28 6" xfId="21159" xr:uid="{641DFDBE-F34F-43AE-834E-03CEF500F332}"/>
    <cellStyle name="Normal 2 4 29" xfId="21160" xr:uid="{A84F5E9F-AD21-457C-938C-E2168902FEE3}"/>
    <cellStyle name="Normal 2 4 29 2" xfId="21161" xr:uid="{DD893B56-53C7-41B7-8112-4BEDB0858781}"/>
    <cellStyle name="Normal 2 4 29 2 2" xfId="21162" xr:uid="{E8E09A43-E7A7-4910-86D2-9A06B4AC2E8A}"/>
    <cellStyle name="Normal 2 4 3" xfId="21163" xr:uid="{0747CE82-0E60-49B6-975A-90BE1A096688}"/>
    <cellStyle name="Normal 2 4 3 10" xfId="21164" xr:uid="{FC2F7EED-CBB8-4124-99A0-1D2817959C20}"/>
    <cellStyle name="Normal 2 4 3 11" xfId="21165" xr:uid="{7353DFE4-77A2-4E98-9DAF-B89A43368D46}"/>
    <cellStyle name="Normal 2 4 3 12" xfId="21166" xr:uid="{527B14A4-0FEF-485A-9017-D97094B8932E}"/>
    <cellStyle name="Normal 2 4 3 13" xfId="21167" xr:uid="{EDA61C3A-E690-41A5-912C-7931D2075539}"/>
    <cellStyle name="Normal 2 4 3 14" xfId="21168" xr:uid="{21009CBC-4BC7-4E5F-A861-85081290C96D}"/>
    <cellStyle name="Normal 2 4 3 15" xfId="21169" xr:uid="{F6A41936-5CFB-4C81-853B-1E8E75F983E7}"/>
    <cellStyle name="Normal 2 4 3 16" xfId="21170" xr:uid="{FECFACAA-3F06-4168-8C90-DD33A2456A95}"/>
    <cellStyle name="Normal 2 4 3 17" xfId="21171" xr:uid="{2DABF628-B596-473A-AE15-CB2F8E8ED0A6}"/>
    <cellStyle name="Normal 2 4 3 2" xfId="21172" xr:uid="{497BD307-912B-4C7A-AD47-2A3774E98B54}"/>
    <cellStyle name="Normal 2 4 3 2 10" xfId="21173" xr:uid="{878B873C-C23B-4D54-9BD7-4E5813A707CB}"/>
    <cellStyle name="Normal 2 4 3 2 11" xfId="21174" xr:uid="{9A9592C4-FC76-48B1-B525-5B216E52A1A2}"/>
    <cellStyle name="Normal 2 4 3 2 12" xfId="21175" xr:uid="{2EF4B700-AE01-4361-B8E6-99E2FD07B37B}"/>
    <cellStyle name="Normal 2 4 3 2 13" xfId="21176" xr:uid="{F57C8EEF-1B6F-40F1-81E9-2EE30BF8B6BE}"/>
    <cellStyle name="Normal 2 4 3 2 14" xfId="21177" xr:uid="{C69D4B6B-386B-4DCC-B970-6660882ED218}"/>
    <cellStyle name="Normal 2 4 3 2 15" xfId="21178" xr:uid="{9414280D-4596-46F4-8C5D-D7C4006D8F2D}"/>
    <cellStyle name="Normal 2 4 3 2 16" xfId="21179" xr:uid="{00B7FD51-5153-461C-AD7F-304021E6D866}"/>
    <cellStyle name="Normal 2 4 3 2 17" xfId="21180" xr:uid="{891710BA-9273-4F9A-895B-9678F5670D46}"/>
    <cellStyle name="Normal 2 4 3 2 2" xfId="21181" xr:uid="{CD541C37-2208-45DA-A526-7D1BFAE31A46}"/>
    <cellStyle name="Normal 2 4 3 2 2 2" xfId="21182" xr:uid="{D8F57D1A-B469-4E15-93D0-A22181943BA7}"/>
    <cellStyle name="Normal 2 4 3 2 2 2 2" xfId="21183" xr:uid="{383C03F9-5C7C-44F5-9C2C-74975147526D}"/>
    <cellStyle name="Normal 2 4 3 2 2 2 3" xfId="21184" xr:uid="{0CA929A6-B097-4263-A294-E69B43E7A17D}"/>
    <cellStyle name="Normal 2 4 3 2 2 2 4" xfId="21185" xr:uid="{86BDD054-9F1A-491E-B3A9-97D52C6BBE05}"/>
    <cellStyle name="Normal 2 4 3 2 2 2 5" xfId="21186" xr:uid="{AB0B5871-D139-4915-91AF-7B3A1CF4A990}"/>
    <cellStyle name="Normal 2 4 3 2 2 2 6" xfId="21187" xr:uid="{87F6A0DC-F51D-4378-9D65-75BBD39B7EB9}"/>
    <cellStyle name="Normal 2 4 3 2 2 2 7" xfId="21188" xr:uid="{A4C58C79-D1CC-4F44-BB9C-DB692B00DEBC}"/>
    <cellStyle name="Normal 2 4 3 2 2 2 8" xfId="21189" xr:uid="{64A8783D-3AFF-4E64-A0C7-6C81D4FD559F}"/>
    <cellStyle name="Normal 2 4 3 2 2 2 9" xfId="21190" xr:uid="{4B94C701-0895-4D79-8240-C4FD0455EA79}"/>
    <cellStyle name="Normal 2 4 3 2 2 3" xfId="21191" xr:uid="{26B8AC7E-05D1-44B8-87C2-481705ED5196}"/>
    <cellStyle name="Normal 2 4 3 2 2 4" xfId="21192" xr:uid="{EA495376-7942-486D-83C7-27ACD3AC2341}"/>
    <cellStyle name="Normal 2 4 3 2 2 5" xfId="21193" xr:uid="{FF885B4F-C60A-4C6C-8F73-5459E66ACA71}"/>
    <cellStyle name="Normal 2 4 3 2 2 6" xfId="21194" xr:uid="{3885F7DD-0B96-451C-8BFA-EDA299D786AE}"/>
    <cellStyle name="Normal 2 4 3 2 2 7" xfId="21195" xr:uid="{DFFC831B-ED6C-4FAC-A978-2D9637494FF4}"/>
    <cellStyle name="Normal 2 4 3 2 2 8" xfId="21196" xr:uid="{C8B19701-3A03-49FF-BE87-8EDC55432ECB}"/>
    <cellStyle name="Normal 2 4 3 2 2 9" xfId="21197" xr:uid="{3149F9FD-9AC1-46BB-AE68-C303FFBEEE2C}"/>
    <cellStyle name="Normal 2 4 3 2 3" xfId="21198" xr:uid="{D936E935-8B6E-487F-A15B-4547F0A40053}"/>
    <cellStyle name="Normal 2 4 3 2 4" xfId="21199" xr:uid="{7CAA67F8-C531-424D-BE7A-13A1D337F3F1}"/>
    <cellStyle name="Normal 2 4 3 2 5" xfId="21200" xr:uid="{4EDCB7DE-ECE7-4C1A-B20D-322705DDD6B2}"/>
    <cellStyle name="Normal 2 4 3 2 6" xfId="21201" xr:uid="{A8BFD47C-3513-4DB5-A2C4-50FDA4BFA271}"/>
    <cellStyle name="Normal 2 4 3 2 7" xfId="21202" xr:uid="{5275C5AD-C96B-46E1-8199-E568DCCDACD8}"/>
    <cellStyle name="Normal 2 4 3 2 8" xfId="21203" xr:uid="{A622F4E9-1724-43DB-93AE-298996DE3CA9}"/>
    <cellStyle name="Normal 2 4 3 2 9" xfId="21204" xr:uid="{A56A2004-8C76-4F50-9B25-0A65DA0AB393}"/>
    <cellStyle name="Normal 2 4 3 3" xfId="21205" xr:uid="{97687D56-480B-4873-A527-890F1ABC4F07}"/>
    <cellStyle name="Normal 2 4 3 3 2" xfId="21206" xr:uid="{1C7D0AAF-1531-4257-BB48-8F61C03E9076}"/>
    <cellStyle name="Normal 2 4 3 3 2 2" xfId="21207" xr:uid="{0587C696-4629-41A5-95DB-C3739AC53FC8}"/>
    <cellStyle name="Normal 2 4 3 3 2 3" xfId="21208" xr:uid="{C623CEE3-A181-46E0-B20B-2B095D6B0991}"/>
    <cellStyle name="Normal 2 4 3 3 2 4" xfId="21209" xr:uid="{601A987A-5DC4-44D8-A233-0593575921DA}"/>
    <cellStyle name="Normal 2 4 3 3 2 5" xfId="21210" xr:uid="{9B3D990E-6DEF-4A5C-98C2-788C6050A9C3}"/>
    <cellStyle name="Normal 2 4 3 3 2 6" xfId="21211" xr:uid="{CBD07D1B-EABB-46A3-8FBF-2F764437E243}"/>
    <cellStyle name="Normal 2 4 3 3 2 7" xfId="21212" xr:uid="{CED07B5B-5922-4CBF-9BBB-8DA8C3D24FD0}"/>
    <cellStyle name="Normal 2 4 3 3 2 8" xfId="21213" xr:uid="{1B0FBAC1-81A6-4826-95F4-5C88B5612640}"/>
    <cellStyle name="Normal 2 4 3 3 2 9" xfId="21214" xr:uid="{4AE98834-F759-4AF0-9C2D-71A47A73F731}"/>
    <cellStyle name="Normal 2 4 3 3 3" xfId="21215" xr:uid="{8515F0EC-A360-4D84-9791-68D084FFDD1B}"/>
    <cellStyle name="Normal 2 4 3 3 4" xfId="21216" xr:uid="{276EB954-45CA-46B9-80B8-4CE0B1E85F1B}"/>
    <cellStyle name="Normal 2 4 3 3 5" xfId="21217" xr:uid="{9F9B0355-4279-40BA-B461-DD3A4905CF8A}"/>
    <cellStyle name="Normal 2 4 3 3 6" xfId="21218" xr:uid="{BCAF6EF1-9D33-4446-B52C-4ADA03D1EEA2}"/>
    <cellStyle name="Normal 2 4 3 3 7" xfId="21219" xr:uid="{7E365965-D1FB-4044-B3DF-5C454D3A3948}"/>
    <cellStyle name="Normal 2 4 3 3 8" xfId="21220" xr:uid="{DC940D26-2302-4D55-AAC8-65024713C1DD}"/>
    <cellStyle name="Normal 2 4 3 3 9" xfId="21221" xr:uid="{54EAF3A1-15C6-4588-A1EF-81B36622DC68}"/>
    <cellStyle name="Normal 2 4 3 4" xfId="21222" xr:uid="{D05145BB-4EB5-4528-8061-E6BF0B46BE38}"/>
    <cellStyle name="Normal 2 4 3 5" xfId="21223" xr:uid="{A9BD2B37-71FA-43F3-ACF9-A3405743B765}"/>
    <cellStyle name="Normal 2 4 3 6" xfId="21224" xr:uid="{82F70685-7240-4E0C-9516-8CEBA87A436B}"/>
    <cellStyle name="Normal 2 4 3 7" xfId="21225" xr:uid="{B30B02AC-AB00-4FA7-997B-74692C704CE2}"/>
    <cellStyle name="Normal 2 4 3 8" xfId="21226" xr:uid="{5DCEE404-B75E-4357-ACBB-056C0CCC203F}"/>
    <cellStyle name="Normal 2 4 3 9" xfId="21227" xr:uid="{C8CE1E12-BA3E-4557-ACFD-AEC0D8C63BF1}"/>
    <cellStyle name="Normal 2 4 30" xfId="21228" xr:uid="{4F57D289-1610-482E-979F-F40AF6A3F40D}"/>
    <cellStyle name="Normal 2 4 31" xfId="21229" xr:uid="{B9862294-0BE7-4E98-8683-CFB6390210AE}"/>
    <cellStyle name="Normal 2 4 32" xfId="21230" xr:uid="{56CBB70F-48CD-4108-B0BC-798CBE5F57E9}"/>
    <cellStyle name="Normal 2 4 33" xfId="21231" xr:uid="{DBB481C3-C255-4B23-A2AC-E93CAE7B0AB4}"/>
    <cellStyle name="Normal 2 4 34" xfId="21232" xr:uid="{650ED854-8C13-400B-9A3A-B475B4A2E779}"/>
    <cellStyle name="Normal 2 4 35" xfId="21233" xr:uid="{01AEBE3F-ABE8-4CDC-BD08-B5BBAB1E91E0}"/>
    <cellStyle name="Normal 2 4 36" xfId="21234" xr:uid="{1098656F-8AC0-4AD2-8159-AE7E134D24B9}"/>
    <cellStyle name="Normal 2 4 4" xfId="21235" xr:uid="{389CD5A2-2CAC-49BB-9398-47898E8E89C8}"/>
    <cellStyle name="Normal 2 4 5" xfId="21236" xr:uid="{3AAEF089-2994-420D-B59E-B1941EBA0D9A}"/>
    <cellStyle name="Normal 2 4 6" xfId="21237" xr:uid="{C286E1BC-3186-4D89-9AFB-19D5DACEFF88}"/>
    <cellStyle name="Normal 2 4 7" xfId="21238" xr:uid="{ED26537E-C0A3-41FE-BCE5-75C9EF790EBC}"/>
    <cellStyle name="Normal 2 4 8" xfId="21239" xr:uid="{0F429D17-0575-46EA-BAF1-A2404540DD57}"/>
    <cellStyle name="Normal 2 4 9" xfId="21240" xr:uid="{299ABF15-741F-45A3-ACC0-E743272DA5E8}"/>
    <cellStyle name="Normal 2 40" xfId="21241" xr:uid="{2B5C75DF-426E-4FE1-AB19-A77D4B9D8EE7}"/>
    <cellStyle name="Normal 2 40 2" xfId="21242" xr:uid="{1ACA9352-4F91-4EA7-88F6-FE2978A20EEA}"/>
    <cellStyle name="Normal 2 41" xfId="21243" xr:uid="{E2072039-E2A1-406E-9750-14823F966AFC}"/>
    <cellStyle name="Normal 2 41 10" xfId="21244" xr:uid="{9B80D78E-B01D-4603-B4A8-BB4128464EB5}"/>
    <cellStyle name="Normal 2 41 11" xfId="21245" xr:uid="{67187C4B-F43C-4989-9D6B-1875B75F0828}"/>
    <cellStyle name="Normal 2 41 12" xfId="21246" xr:uid="{1B0F4D5F-A38B-4CE0-BEEA-3BBB0948ABC3}"/>
    <cellStyle name="Normal 2 41 13" xfId="21247" xr:uid="{8982B2BE-1BEC-438A-AE04-82EDB894BC40}"/>
    <cellStyle name="Normal 2 41 14" xfId="21248" xr:uid="{2CA2964D-7924-4492-ABB0-B403374949AD}"/>
    <cellStyle name="Normal 2 41 15" xfId="21249" xr:uid="{CF4B00C3-5022-41DF-8694-0FA5876A87E0}"/>
    <cellStyle name="Normal 2 41 16" xfId="21250" xr:uid="{CCB23D21-B491-4A18-8E76-C551F2A0D396}"/>
    <cellStyle name="Normal 2 41 17" xfId="21251" xr:uid="{F32F653D-8D86-42C1-A969-F8E1E55E1259}"/>
    <cellStyle name="Normal 2 41 18" xfId="21252" xr:uid="{37BAB5BE-D6F0-4721-982C-98B9A19A5EE2}"/>
    <cellStyle name="Normal 2 41 2" xfId="21253" xr:uid="{182F8F8F-68D5-4EB5-B0B1-82BE65FCFFBB}"/>
    <cellStyle name="Normal 2 41 2 10" xfId="21254" xr:uid="{1C86FF55-61BA-4ED9-8537-AD99D36F7A39}"/>
    <cellStyle name="Normal 2 41 2 11" xfId="21255" xr:uid="{B0136A87-5D3D-45A8-928B-17408960F04E}"/>
    <cellStyle name="Normal 2 41 2 12" xfId="21256" xr:uid="{266BDADD-1779-419A-A8FF-A91B5ED90D9B}"/>
    <cellStyle name="Normal 2 41 2 13" xfId="21257" xr:uid="{84E95591-618A-4F53-A88A-70FD28258D6A}"/>
    <cellStyle name="Normal 2 41 2 14" xfId="21258" xr:uid="{9D542D1B-DE04-4E72-8B9B-94CEA78AAE74}"/>
    <cellStyle name="Normal 2 41 2 15" xfId="21259" xr:uid="{D5899C3A-5B2A-4D98-A92B-5D8466ACC8A7}"/>
    <cellStyle name="Normal 2 41 2 16" xfId="21260" xr:uid="{CB964FCC-695C-4783-A7F6-B943ECD9C721}"/>
    <cellStyle name="Normal 2 41 2 17" xfId="21261" xr:uid="{030DB953-3F97-4AD5-B707-2120A2778981}"/>
    <cellStyle name="Normal 2 41 2 2" xfId="21262" xr:uid="{A665B4F0-9E83-40DD-A555-30B433EECF30}"/>
    <cellStyle name="Normal 2 41 2 2 2" xfId="21263" xr:uid="{2E4E8B61-7D73-4074-8BBC-2DE66345DAE2}"/>
    <cellStyle name="Normal 2 41 2 2 2 2" xfId="21264" xr:uid="{AAA83CDE-38CD-4553-AED6-5B1EE01D26AB}"/>
    <cellStyle name="Normal 2 41 2 2 2 3" xfId="21265" xr:uid="{67B84A68-4DC8-4A82-8948-B9D23E087819}"/>
    <cellStyle name="Normal 2 41 2 2 2 4" xfId="21266" xr:uid="{37EB2904-36F2-48AA-BB59-904E493DB024}"/>
    <cellStyle name="Normal 2 41 2 2 2 5" xfId="21267" xr:uid="{C0FCD436-363A-4EB3-B0BC-EB8F9071A8B3}"/>
    <cellStyle name="Normal 2 41 2 2 2 6" xfId="21268" xr:uid="{EEA5D936-C473-4EB0-BDD4-AD68299D0DEB}"/>
    <cellStyle name="Normal 2 41 2 2 2 7" xfId="21269" xr:uid="{D394DF0C-C48B-4779-B8E8-0D341F690E9A}"/>
    <cellStyle name="Normal 2 41 2 2 2 8" xfId="21270" xr:uid="{BBBEDA18-8C23-4F16-BD9D-88B3D6457CB6}"/>
    <cellStyle name="Normal 2 41 2 2 2 9" xfId="21271" xr:uid="{540079AF-6ED5-4D5D-9E37-9114766350D5}"/>
    <cellStyle name="Normal 2 41 2 2 3" xfId="21272" xr:uid="{7867E741-7871-4242-BCA1-D2E009D0788B}"/>
    <cellStyle name="Normal 2 41 2 2 4" xfId="21273" xr:uid="{C5869EA9-D733-44CA-8FC2-5963034D3742}"/>
    <cellStyle name="Normal 2 41 2 2 5" xfId="21274" xr:uid="{2F7B797A-7B19-423C-AD6E-1E90C26DFBE3}"/>
    <cellStyle name="Normal 2 41 2 2 6" xfId="21275" xr:uid="{883A2074-3131-4654-BBA3-E6EC2AEB369A}"/>
    <cellStyle name="Normal 2 41 2 2 7" xfId="21276" xr:uid="{4845BB1A-B82F-443A-BEED-1C04ABCAC9F5}"/>
    <cellStyle name="Normal 2 41 2 2 8" xfId="21277" xr:uid="{167A5DDA-D6D5-4EB1-AE7A-78B0F72B759F}"/>
    <cellStyle name="Normal 2 41 2 2 9" xfId="21278" xr:uid="{DF026AF0-00F1-48BD-84A6-C3383AC4DD1B}"/>
    <cellStyle name="Normal 2 41 2 3" xfId="21279" xr:uid="{4129B699-E5E7-48A9-88A1-3F8247EA3FA3}"/>
    <cellStyle name="Normal 2 41 2 4" xfId="21280" xr:uid="{FFA4D6F9-F002-4F95-ABD3-1D77C6E21AC5}"/>
    <cellStyle name="Normal 2 41 2 5" xfId="21281" xr:uid="{F0CF6683-DE2E-4159-BDBD-4EA07646BB9E}"/>
    <cellStyle name="Normal 2 41 2 6" xfId="21282" xr:uid="{A25683A9-B559-4FF0-88ED-01F2C08A27B8}"/>
    <cellStyle name="Normal 2 41 2 7" xfId="21283" xr:uid="{CB1B2C07-A15A-4189-B6B6-65B7E480F78A}"/>
    <cellStyle name="Normal 2 41 2 8" xfId="21284" xr:uid="{E42A0E01-43C6-4ABF-9878-EDBE191B5E05}"/>
    <cellStyle name="Normal 2 41 2 9" xfId="21285" xr:uid="{E495F5C1-7DDF-4B2D-ACE1-CE98A3B0AB54}"/>
    <cellStyle name="Normal 2 41 3" xfId="21286" xr:uid="{747C6C8B-4C83-40CC-B7F4-A8F42C4E231E}"/>
    <cellStyle name="Normal 2 41 3 2" xfId="21287" xr:uid="{25FB6666-1AC3-4F97-93B4-FCDDA6CC8F82}"/>
    <cellStyle name="Normal 2 41 3 2 2" xfId="21288" xr:uid="{CD1EE1D1-BB99-45E1-B043-852091B495A1}"/>
    <cellStyle name="Normal 2 41 3 2 3" xfId="21289" xr:uid="{23328BB7-97B3-4A28-83D1-14770AF23864}"/>
    <cellStyle name="Normal 2 41 3 2 4" xfId="21290" xr:uid="{C2E7099A-F79C-44B7-BC6E-06684DA94018}"/>
    <cellStyle name="Normal 2 41 3 2 5" xfId="21291" xr:uid="{8D98403D-8D37-4E32-A9BC-1D8009F6D64E}"/>
    <cellStyle name="Normal 2 41 3 2 6" xfId="21292" xr:uid="{DAA5A79D-8457-4E14-ABB1-A9DF11E4EA87}"/>
    <cellStyle name="Normal 2 41 3 2 7" xfId="21293" xr:uid="{B3EDFC5F-E018-4473-AECB-B999E0F7B7DA}"/>
    <cellStyle name="Normal 2 41 3 2 8" xfId="21294" xr:uid="{8ADA148B-8765-4FAE-A938-8BD3A7033362}"/>
    <cellStyle name="Normal 2 41 3 2 9" xfId="21295" xr:uid="{73F6F2C6-20A6-4113-A6F7-1BF321590949}"/>
    <cellStyle name="Normal 2 41 3 3" xfId="21296" xr:uid="{BEB98765-3651-456A-ACEE-710C0C9D5133}"/>
    <cellStyle name="Normal 2 41 3 4" xfId="21297" xr:uid="{EA2C0506-59C7-4C4F-B0A1-F47F6CCA602F}"/>
    <cellStyle name="Normal 2 41 3 5" xfId="21298" xr:uid="{9A006A7A-B53C-4477-A9DF-2230A4A10ED8}"/>
    <cellStyle name="Normal 2 41 3 6" xfId="21299" xr:uid="{01763A83-A444-4975-9319-8956AAA99ED1}"/>
    <cellStyle name="Normal 2 41 3 7" xfId="21300" xr:uid="{13D1ECE8-6149-4C27-8CB6-85CB587A3930}"/>
    <cellStyle name="Normal 2 41 3 8" xfId="21301" xr:uid="{81A450CE-2448-4FEB-B2FC-1D292281DD01}"/>
    <cellStyle name="Normal 2 41 3 9" xfId="21302" xr:uid="{369A5F8F-9EA1-4E57-BF52-5BB9DF588E92}"/>
    <cellStyle name="Normal 2 41 4" xfId="21303" xr:uid="{A4564094-F015-47E7-B361-1AC99FD71D73}"/>
    <cellStyle name="Normal 2 41 5" xfId="21304" xr:uid="{8EFBCAB8-37BE-4317-9AE6-33359F3DE689}"/>
    <cellStyle name="Normal 2 41 6" xfId="21305" xr:uid="{97CE9F1D-EB7D-4069-8D58-8FA9F1F9655F}"/>
    <cellStyle name="Normal 2 41 7" xfId="21306" xr:uid="{22ABF2C2-2768-482B-A5FF-B66635DB3A03}"/>
    <cellStyle name="Normal 2 41 8" xfId="21307" xr:uid="{08AD63D8-D825-4E4F-9A47-2B6E258122E7}"/>
    <cellStyle name="Normal 2 41 9" xfId="21308" xr:uid="{D07A3779-C13F-45CE-A876-D8ECBA803F92}"/>
    <cellStyle name="Normal 2 42" xfId="21309" xr:uid="{9B4C0DCF-B9FD-4D1B-81F8-3DBC7A60F321}"/>
    <cellStyle name="Normal 2 42 10" xfId="21310" xr:uid="{CF5129B0-3AF8-4E10-B32E-D7271D63BA21}"/>
    <cellStyle name="Normal 2 42 11" xfId="21311" xr:uid="{4BA0F45F-6523-4F33-AF02-76997DF0F4F8}"/>
    <cellStyle name="Normal 2 42 2" xfId="21312" xr:uid="{78A6FDFB-634B-4927-9B99-2A3B8D70B4EF}"/>
    <cellStyle name="Normal 2 42 2 2" xfId="21313" xr:uid="{2EF0DC91-A2EC-41FA-9067-91453EDD0230}"/>
    <cellStyle name="Normal 2 42 2 3" xfId="21314" xr:uid="{C61F2655-87D6-4B6D-98E2-B260D432FC6A}"/>
    <cellStyle name="Normal 2 42 2 4" xfId="21315" xr:uid="{39D0C70D-AC5A-4C88-AAE8-A4210DBD31A0}"/>
    <cellStyle name="Normal 2 42 2 5" xfId="21316" xr:uid="{BC194D80-B071-4321-9924-8FD04860070F}"/>
    <cellStyle name="Normal 2 42 2 6" xfId="21317" xr:uid="{76B8393E-F955-472A-BBAD-90E9A4A40D69}"/>
    <cellStyle name="Normal 2 42 3" xfId="21318" xr:uid="{362BBD43-78B0-41FE-9615-E2586346E895}"/>
    <cellStyle name="Normal 2 42 4" xfId="21319" xr:uid="{B4CF5666-7966-46A1-BCC6-8913875EDFC0}"/>
    <cellStyle name="Normal 2 42 5" xfId="21320" xr:uid="{A1A09155-8FA1-4028-93BF-7FC50E0CF351}"/>
    <cellStyle name="Normal 2 42 6" xfId="21321" xr:uid="{C745C99E-4215-4905-87B0-A7BF71DE7174}"/>
    <cellStyle name="Normal 2 42 7" xfId="21322" xr:uid="{C5765772-CB96-44A9-B820-5D4C43DB01FD}"/>
    <cellStyle name="Normal 2 42 8" xfId="21323" xr:uid="{AA7A8111-A45D-4EF5-8879-450B9EFF397A}"/>
    <cellStyle name="Normal 2 42 9" xfId="21324" xr:uid="{08617717-E458-4914-B700-6553598CE41F}"/>
    <cellStyle name="Normal 2 43" xfId="21325" xr:uid="{AC55FE62-F902-4247-AE07-2088A27F0B98}"/>
    <cellStyle name="Normal 2 43 10" xfId="21326" xr:uid="{B6411084-EB94-43E2-ACFF-6793A5859A55}"/>
    <cellStyle name="Normal 2 43 2" xfId="21327" xr:uid="{46DB484D-9334-442B-9A73-86300900E057}"/>
    <cellStyle name="Normal 2 43 3" xfId="21328" xr:uid="{D546C0FA-AC5A-4B4E-ACAB-11376C2F3A5F}"/>
    <cellStyle name="Normal 2 43 4" xfId="21329" xr:uid="{D8A4FF65-1CBB-42BD-A4AF-D1B1F6A517CD}"/>
    <cellStyle name="Normal 2 43 5" xfId="21330" xr:uid="{0FE5A572-8E40-45D5-AD59-67D805BE78C6}"/>
    <cellStyle name="Normal 2 43 6" xfId="21331" xr:uid="{B7D41554-B459-427D-BC53-76069F40CB5B}"/>
    <cellStyle name="Normal 2 43 7" xfId="21332" xr:uid="{7F072C99-9491-4536-9F66-9149A3583912}"/>
    <cellStyle name="Normal 2 43 8" xfId="21333" xr:uid="{E98BCDB7-0F06-43B6-8685-3A8A24E927C4}"/>
    <cellStyle name="Normal 2 43 9" xfId="21334" xr:uid="{3EF47936-D902-43C8-B8C9-7CCF894C9326}"/>
    <cellStyle name="Normal 2 44" xfId="21335" xr:uid="{6B1362A8-5265-4C6B-9F24-D2883FDEC366}"/>
    <cellStyle name="Normal 2 44 2" xfId="21336" xr:uid="{B68B9F85-FA97-46B5-8ED1-4B7EC997EA25}"/>
    <cellStyle name="Normal 2 45" xfId="21337" xr:uid="{7B01C399-87CB-4215-86CD-9E2F3A286DF9}"/>
    <cellStyle name="Normal 2 45 2" xfId="21338" xr:uid="{F3948F35-9CF2-4A1C-83FE-6C9069742D24}"/>
    <cellStyle name="Normal 2 45 3" xfId="21339" xr:uid="{59F9F62D-560E-4E55-A874-411CD75149FA}"/>
    <cellStyle name="Normal 2 46" xfId="21340" xr:uid="{BB5DC680-C386-41CD-8335-5D9B13C98F8F}"/>
    <cellStyle name="Normal 2 46 2" xfId="21341" xr:uid="{29A691C6-F565-4CB0-8880-11803D5D3394}"/>
    <cellStyle name="Normal 2 46 3" xfId="21342" xr:uid="{D4C8279B-9DD3-46C1-A851-B242CF171C2D}"/>
    <cellStyle name="Normal 2 47" xfId="21343" xr:uid="{36AE96DE-8E49-42DB-864B-890F6EA814DE}"/>
    <cellStyle name="Normal 2 47 2" xfId="21344" xr:uid="{B22B120A-C586-4AEA-A57E-891D85527625}"/>
    <cellStyle name="Normal 2 47 3" xfId="21345" xr:uid="{1B48819F-DC01-49CB-AD85-F737000AD608}"/>
    <cellStyle name="Normal 2 48" xfId="21346" xr:uid="{17BD11AF-F406-473A-993D-1805C781A0BE}"/>
    <cellStyle name="Normal 2 48 2" xfId="21347" xr:uid="{D8FB7150-C498-47FA-B522-BC79F047EBC3}"/>
    <cellStyle name="Normal 2 49" xfId="21348" xr:uid="{DA17663A-64F0-4CBA-A7AF-66D1A1BCE0A2}"/>
    <cellStyle name="Normal 2 49 2" xfId="21349" xr:uid="{0C00FCE3-788A-4890-946A-489F74A2E3F7}"/>
    <cellStyle name="Normal 2 5" xfId="21350" xr:uid="{7CA806BD-3EB3-4EE9-A004-EB14AA8E5EC4}"/>
    <cellStyle name="Normal 2 5 2" xfId="21351" xr:uid="{42176B92-2218-4AEC-82F1-6D8B7F328C83}"/>
    <cellStyle name="Normal 2 5 2 2" xfId="21352" xr:uid="{07A2148D-D57E-48D1-B87B-95C39CEC6AD5}"/>
    <cellStyle name="Normal 2 5 3" xfId="21353" xr:uid="{8EC3C421-175C-497D-8720-DAE74766259E}"/>
    <cellStyle name="Normal 2 5 4" xfId="21354" xr:uid="{9ECD4A5C-304F-41DA-A71C-79632495F7E6}"/>
    <cellStyle name="Normal 2 5 5" xfId="21355" xr:uid="{EE06D242-135D-4883-B497-432BC4E4B5D5}"/>
    <cellStyle name="Normal 2 50" xfId="21356" xr:uid="{7F63F656-1231-4CED-87B6-D33D6F468105}"/>
    <cellStyle name="Normal 2 50 2" xfId="21357" xr:uid="{962350DA-B561-46BF-B925-37F150996C08}"/>
    <cellStyle name="Normal 2 51" xfId="21358" xr:uid="{00D06306-67DA-4485-9912-E880D8D2E5C5}"/>
    <cellStyle name="Normal 2 51 10" xfId="21359" xr:uid="{A6B5B655-0B30-40F1-9AE3-0EBBD61B2B8E}"/>
    <cellStyle name="Normal 2 51 2" xfId="21360" xr:uid="{B68D52E5-A31D-48F5-A493-F9E94B58F746}"/>
    <cellStyle name="Normal 2 51 2 2" xfId="21361" xr:uid="{CBC72B9E-8AD8-4DA3-83BD-985CE9CC801B}"/>
    <cellStyle name="Normal 2 51 2 3" xfId="21362" xr:uid="{5EF55545-7477-4F4B-A8F1-3CC3A8A6100A}"/>
    <cellStyle name="Normal 2 51 2 4" xfId="21363" xr:uid="{06C7D813-457C-47D7-A514-F84E9AA13E31}"/>
    <cellStyle name="Normal 2 51 2 5" xfId="21364" xr:uid="{04586BD7-ABF5-4B24-BAB3-1BB68F5C8920}"/>
    <cellStyle name="Normal 2 51 2 6" xfId="21365" xr:uid="{3F94223C-C7A6-4D36-85BF-A1DC32E463EC}"/>
    <cellStyle name="Normal 2 51 2 7" xfId="21366" xr:uid="{92975D1D-E3CB-4CA4-9C0F-24E99481AAEC}"/>
    <cellStyle name="Normal 2 51 2 8" xfId="21367" xr:uid="{5FF53AAC-7221-4403-AECA-F3DE93C688A1}"/>
    <cellStyle name="Normal 2 51 2 9" xfId="21368" xr:uid="{DBEF9F62-F7CF-4116-887A-BDB85BE28791}"/>
    <cellStyle name="Normal 2 51 3" xfId="21369" xr:uid="{49A11E57-666F-49B0-AEF7-17B9E77BF699}"/>
    <cellStyle name="Normal 2 51 4" xfId="21370" xr:uid="{ED1C29EE-1E16-4777-9CC3-C836A3F3EB69}"/>
    <cellStyle name="Normal 2 51 5" xfId="21371" xr:uid="{F9EEBADC-E043-43F6-8758-73E1B30F3756}"/>
    <cellStyle name="Normal 2 51 6" xfId="21372" xr:uid="{BF1392CD-1CCA-42ED-BDD4-8DE87862EAEC}"/>
    <cellStyle name="Normal 2 51 7" xfId="21373" xr:uid="{65CE186D-6241-4045-A61B-BAE179540310}"/>
    <cellStyle name="Normal 2 51 8" xfId="21374" xr:uid="{3228EF85-A640-421D-BC6F-58697F544DC6}"/>
    <cellStyle name="Normal 2 51 9" xfId="21375" xr:uid="{F86C5FF9-4A97-419E-BF42-DBEA925B2A78}"/>
    <cellStyle name="Normal 2 52" xfId="21376" xr:uid="{59C48A04-7DE6-45D2-9ECB-64BCCA2EB02D}"/>
    <cellStyle name="Normal 2 52 2" xfId="21377" xr:uid="{A2783632-FCE9-4FA5-A8B0-2723BF4D5048}"/>
    <cellStyle name="Normal 2 52 3" xfId="21378" xr:uid="{CECE4572-1827-4A2D-96EA-4D7308D7A472}"/>
    <cellStyle name="Normal 2 53" xfId="21379" xr:uid="{03001AAE-CBA5-49A5-BA56-A1F283CAB50C}"/>
    <cellStyle name="Normal 2 53 2" xfId="21380" xr:uid="{B725F0A7-437D-4BEF-BC12-23F874AF4A1B}"/>
    <cellStyle name="Normal 2 54" xfId="21381" xr:uid="{377AFB44-A231-4496-961F-F1BD9BE526A9}"/>
    <cellStyle name="Normal 2 54 2" xfId="21382" xr:uid="{2B0829FA-7B72-47D7-B875-4C0AB70A6FEC}"/>
    <cellStyle name="Normal 2 55" xfId="21383" xr:uid="{A0CDEA95-F618-4F9D-B6CE-AA7706DB34FA}"/>
    <cellStyle name="Normal 2 55 2" xfId="21384" xr:uid="{617C925B-DB4D-476E-8713-A40A4583E233}"/>
    <cellStyle name="Normal 2 56" xfId="21385" xr:uid="{34E6D029-F9DC-4184-8A59-1FC370180278}"/>
    <cellStyle name="Normal 2 56 2" xfId="21386" xr:uid="{6A575BCE-9867-4AFA-BA90-7153F20B128F}"/>
    <cellStyle name="Normal 2 57" xfId="21387" xr:uid="{DC8D9681-F29B-43E8-AD71-CCC8ADED55F9}"/>
    <cellStyle name="Normal 2 57 2" xfId="21388" xr:uid="{A21C2FD2-C5AE-4367-B6BC-30CBAA7A7418}"/>
    <cellStyle name="Normal 2 58" xfId="21389" xr:uid="{217D6DD6-96F5-4391-B223-FED9AEE98DAA}"/>
    <cellStyle name="Normal 2 58 2" xfId="21390" xr:uid="{A80F4DB1-52F4-4DB0-8984-B50F195D9D0E}"/>
    <cellStyle name="Normal 2 59" xfId="21391" xr:uid="{381B167E-E252-4288-8477-19FDDD130686}"/>
    <cellStyle name="Normal 2 59 2" xfId="21392" xr:uid="{BFFCE754-C18F-4AA2-8419-D66455A2023B}"/>
    <cellStyle name="Normal 2 6" xfId="21393" xr:uid="{FAA12C42-8503-43DC-AF5B-3E177536B4CE}"/>
    <cellStyle name="Normal 2 6 2" xfId="21394" xr:uid="{E6619869-FA06-4428-8664-C50B587AC218}"/>
    <cellStyle name="Normal 2 6 3" xfId="21395" xr:uid="{FCA6DAA5-BF41-4738-8AB2-81B903CCE9DC}"/>
    <cellStyle name="Normal 2 6 4" xfId="21396" xr:uid="{94B16615-7A37-4B02-9FB1-A57DC9FE370B}"/>
    <cellStyle name="Normal 2 60" xfId="21397" xr:uid="{B519F0CE-1AE8-4476-BA13-0DBB7E2D9C8B}"/>
    <cellStyle name="Normal 2 60 2" xfId="21398" xr:uid="{B87C493E-269F-46F1-B8BE-4C61CE6050A7}"/>
    <cellStyle name="Normal 2 61" xfId="21399" xr:uid="{51AD5A3C-2F8E-4D83-A7CD-700C3960102E}"/>
    <cellStyle name="Normal 2 61 2" xfId="21400" xr:uid="{88920052-FEF9-45E8-A52B-7A375ABAAA0D}"/>
    <cellStyle name="Normal 2 62" xfId="21401" xr:uid="{96F6D530-C6D1-41DF-859D-283325A5A873}"/>
    <cellStyle name="Normal 2 62 2" xfId="21402" xr:uid="{A38FC581-BFA8-47AA-860C-77B037D3D338}"/>
    <cellStyle name="Normal 2 63" xfId="21403" xr:uid="{16D531E9-6085-44B5-A5A7-059F86DBC7A9}"/>
    <cellStyle name="Normal 2 63 2" xfId="21404" xr:uid="{4E9C61CD-2AF0-445E-94B8-B03D8A8D89EB}"/>
    <cellStyle name="Normal 2 64" xfId="21405" xr:uid="{9C378152-4636-4593-BAFA-8415C77F4490}"/>
    <cellStyle name="Normal 2 64 2" xfId="21406" xr:uid="{460E17BD-7F88-4947-98B7-A7A0DDCAB70E}"/>
    <cellStyle name="Normal 2 64 3" xfId="21407" xr:uid="{E46FFF3B-9919-4F0D-A557-B484F2C14BDD}"/>
    <cellStyle name="Normal 2 65" xfId="21408" xr:uid="{0C52CB6A-630D-46F4-91C8-37ACAA26DF86}"/>
    <cellStyle name="Normal 2 65 2" xfId="21409" xr:uid="{93CE0050-5419-42AB-B1F2-6066452C6948}"/>
    <cellStyle name="Normal 2 66" xfId="21410" xr:uid="{9E819908-B991-4AF6-9D3C-960D8CC32EA8}"/>
    <cellStyle name="Normal 2 66 2" xfId="21411" xr:uid="{28471AD9-2F0A-4DB7-AA28-2D531F6C6B0C}"/>
    <cellStyle name="Normal 2 67" xfId="21412" xr:uid="{AEEC33B8-C8FC-4B57-9D25-02102E9B06DA}"/>
    <cellStyle name="Normal 2 67 2" xfId="21413" xr:uid="{3A4EC571-9E5B-459D-9419-503ECEE60DAA}"/>
    <cellStyle name="Normal 2 67 2 2" xfId="21414" xr:uid="{3669E877-6B4B-4FDA-A0B0-EA03A0BB288C}"/>
    <cellStyle name="Normal 2 67 2 2 2" xfId="21415" xr:uid="{4719545B-60EE-43AE-A122-A2CF9C30A50D}"/>
    <cellStyle name="Normal 2 67 2 3" xfId="21416" xr:uid="{E328EDF3-9CE6-49E8-A42F-DE427BEF2748}"/>
    <cellStyle name="Normal 2 67 3" xfId="21417" xr:uid="{1966A553-104B-4B4F-B80A-C213E639BC8D}"/>
    <cellStyle name="Normal 2 67 3 2" xfId="21418" xr:uid="{A22837FB-6B6B-461A-B739-34DD6D4900C0}"/>
    <cellStyle name="Normal 2 67 4" xfId="21419" xr:uid="{05F733BA-12D5-4F3B-B77B-B7A3229F535C}"/>
    <cellStyle name="Normal 2 67 4 2" xfId="21420" xr:uid="{0927478A-9B5D-4344-9189-A56E377A4098}"/>
    <cellStyle name="Normal 2 67 5" xfId="21421" xr:uid="{55A84C7B-2BFE-4075-AAD8-80A246F4C506}"/>
    <cellStyle name="Normal 2 67 6" xfId="21422" xr:uid="{79B6E57B-B23D-4558-AE5A-201522BBCDE3}"/>
    <cellStyle name="Normal 2 67 7" xfId="21423" xr:uid="{CFDF61D1-5946-458E-BA3B-CF1A9DF4CAC7}"/>
    <cellStyle name="Normal 2 67 8" xfId="21424" xr:uid="{BC70637B-10AE-430A-8269-5FCFF4998815}"/>
    <cellStyle name="Normal 2 67 9" xfId="21425" xr:uid="{816B9F01-B28E-41E4-BABE-024EC712FBD3}"/>
    <cellStyle name="Normal 2 68" xfId="21426" xr:uid="{26D1DA02-1468-424E-828E-314510BA6A66}"/>
    <cellStyle name="Normal 2 68 2" xfId="21427" xr:uid="{BF1088A4-6137-4AE0-B610-41CBBDD179E0}"/>
    <cellStyle name="Normal 2 68 2 2" xfId="21428" xr:uid="{3DF110B4-14DD-4E15-89BB-2F326D8EE257}"/>
    <cellStyle name="Normal 2 69" xfId="21429" xr:uid="{B6A70582-1D19-4430-A2C0-C74A0C38029F}"/>
    <cellStyle name="Normal 2 7" xfId="21430" xr:uid="{8591E3C4-7BAB-4FE8-8895-82E1718A510B}"/>
    <cellStyle name="Normal 2 7 2" xfId="21431" xr:uid="{97371D51-8079-4FEB-9A67-A29F15F59787}"/>
    <cellStyle name="Normal 2 7 3" xfId="21432" xr:uid="{05D2D198-A690-4D0D-8C8B-394E999C758C}"/>
    <cellStyle name="Normal 2 7 4" xfId="21433" xr:uid="{FE08F943-5327-47D8-AC94-980AAE3E18E0}"/>
    <cellStyle name="Normal 2 70" xfId="21434" xr:uid="{341E9609-6808-429E-9F67-269DF7D81350}"/>
    <cellStyle name="Normal 2 71" xfId="21435" xr:uid="{259B6B61-83EC-4EBC-A964-BC0D55D7C725}"/>
    <cellStyle name="Normal 2 72" xfId="21436" xr:uid="{3CFE6C61-4F46-4561-A783-72FAFE035978}"/>
    <cellStyle name="Normal 2 73" xfId="21437" xr:uid="{937D990A-5A0E-42B2-9783-90C53A39D45E}"/>
    <cellStyle name="Normal 2 74" xfId="21438" xr:uid="{4374E74D-B024-4D25-88F0-5F50FC7A7C50}"/>
    <cellStyle name="Normal 2 75" xfId="21439" xr:uid="{EF9B90C5-8C25-4106-ABA9-036B2E2CFE21}"/>
    <cellStyle name="Normal 2 76" xfId="21440" xr:uid="{AA6C9810-4B2F-4913-94A7-CA4FBB48A50D}"/>
    <cellStyle name="Normal 2 77" xfId="21441" xr:uid="{1A3D9922-D4F4-4DB3-A82C-C6B0AE91CD20}"/>
    <cellStyle name="Normal 2 78" xfId="21442" xr:uid="{699C0284-BC9C-492E-A45A-CA699CB81E1E}"/>
    <cellStyle name="Normal 2 79" xfId="21443" xr:uid="{30077941-FD3A-45B7-B056-88C5FC625B78}"/>
    <cellStyle name="Normal 2 79 10" xfId="21444" xr:uid="{B0F0EE5A-E046-40FA-8F03-E54233610A29}"/>
    <cellStyle name="Normal 2 79 11" xfId="21445" xr:uid="{6A1ED274-914D-42DF-8697-BFAAD7F012EA}"/>
    <cellStyle name="Normal 2 79 11 10" xfId="21446" xr:uid="{038ACE1F-8831-431A-A7F6-EB2E31F4206B}"/>
    <cellStyle name="Normal 2 79 11 11" xfId="21447" xr:uid="{11923C0B-78BC-471D-8701-E3897EE70626}"/>
    <cellStyle name="Normal 2 79 11 11 2" xfId="21448" xr:uid="{E23A8EE3-FDE9-438A-888E-0869F68072F0}"/>
    <cellStyle name="Normal 2 79 11 11 3" xfId="21449" xr:uid="{EA8816F2-68D2-4B67-AE0E-007B937CE5D7}"/>
    <cellStyle name="Normal 2 79 11 11 4" xfId="21450" xr:uid="{650AC555-F19A-41CA-BBD0-E61BA09D7A1B}"/>
    <cellStyle name="Normal 2 79 11 12" xfId="21451" xr:uid="{4B9953B8-4392-403C-BA26-B65584AC1FE2}"/>
    <cellStyle name="Normal 2 79 11 13" xfId="21452" xr:uid="{22CF944B-408B-4A7A-A368-47A7731A0A10}"/>
    <cellStyle name="Normal 2 79 11 14" xfId="21453" xr:uid="{B0136811-367D-4C17-9E23-C37DF0785F2A}"/>
    <cellStyle name="Normal 2 79 11 2" xfId="21454" xr:uid="{BAC4F20F-7CC3-408F-BA5A-C866EA642CCA}"/>
    <cellStyle name="Normal 2 79 11 2 10" xfId="21455" xr:uid="{4CD542D4-0F66-4B5B-A0F0-B812FC57D49A}"/>
    <cellStyle name="Normal 2 79 11 2 11" xfId="21456" xr:uid="{F51C6E2B-F39C-4284-9A49-906C988C5A39}"/>
    <cellStyle name="Normal 2 79 11 2 2" xfId="21457" xr:uid="{FA77681E-E473-4679-9309-816AC8124A7C}"/>
    <cellStyle name="Normal 2 79 11 2 2 10" xfId="21458" xr:uid="{E612856A-9B7E-4842-98F0-BF5EE994A458}"/>
    <cellStyle name="Normal 2 79 11 2 2 11" xfId="21459" xr:uid="{B4D494B3-BE11-4F39-AEC1-955075CB0899}"/>
    <cellStyle name="Normal 2 79 11 2 2 2" xfId="21460" xr:uid="{181D096F-C54D-49FF-A933-9D10C2AD3BC7}"/>
    <cellStyle name="Normal 2 79 11 2 2 2 2" xfId="21461" xr:uid="{1E8E5CCF-2745-4146-A4AD-73B726E8F85A}"/>
    <cellStyle name="Normal 2 79 11 2 2 2 2 2" xfId="21462" xr:uid="{30C34D75-22A8-47C9-985D-8A844B05BB26}"/>
    <cellStyle name="Normal 2 79 11 2 2 2 2 3" xfId="21463" xr:uid="{38921FF6-21C3-45F3-B7CC-5BE347F31F42}"/>
    <cellStyle name="Normal 2 79 11 2 2 2 2 4" xfId="21464" xr:uid="{0345207E-018F-4A77-967B-B93FFB6F581F}"/>
    <cellStyle name="Normal 2 79 11 2 2 2 3" xfId="21465" xr:uid="{8DDE0DF7-0934-4385-9CA0-4E4204DB2335}"/>
    <cellStyle name="Normal 2 79 11 2 2 2 4" xfId="21466" xr:uid="{D6CCD192-60E2-4603-813B-0D2FB996A276}"/>
    <cellStyle name="Normal 2 79 11 2 2 2 5" xfId="21467" xr:uid="{53EF0EAC-FBD9-4B75-93C3-3A3CCCC941B1}"/>
    <cellStyle name="Normal 2 79 11 2 2 2 6" xfId="21468" xr:uid="{15776BD1-8AEA-4E7B-B991-048D581F7640}"/>
    <cellStyle name="Normal 2 79 11 2 2 3" xfId="21469" xr:uid="{927C816E-842D-4F41-960D-DA6464952A6D}"/>
    <cellStyle name="Normal 2 79 11 2 2 4" xfId="21470" xr:uid="{BB49B7F1-B7D4-4B26-B6B4-D5CE8E70B467}"/>
    <cellStyle name="Normal 2 79 11 2 2 5" xfId="21471" xr:uid="{2C781ED9-61EA-4B01-B449-1D8EE7C26624}"/>
    <cellStyle name="Normal 2 79 11 2 2 6" xfId="21472" xr:uid="{33976F4C-364A-4DC3-B873-7D21A9D017C2}"/>
    <cellStyle name="Normal 2 79 11 2 2 7" xfId="21473" xr:uid="{670516C3-DA38-4949-A0A6-7EDF0D0F5219}"/>
    <cellStyle name="Normal 2 79 11 2 2 8" xfId="21474" xr:uid="{D73E9B43-DC8F-4434-92C0-062685F294CA}"/>
    <cellStyle name="Normal 2 79 11 2 2 8 2" xfId="21475" xr:uid="{ED429CFD-14B0-4F16-80EC-511459DD63D4}"/>
    <cellStyle name="Normal 2 79 11 2 2 8 3" xfId="21476" xr:uid="{C54ABAFF-AA80-4F1A-AA2C-6546C5352901}"/>
    <cellStyle name="Normal 2 79 11 2 2 8 4" xfId="21477" xr:uid="{200295EB-7786-4A37-A99F-A088A3C9AA4A}"/>
    <cellStyle name="Normal 2 79 11 2 2 9" xfId="21478" xr:uid="{F91FAAE4-1F9A-4DB9-BCDF-C724E9B31E7C}"/>
    <cellStyle name="Normal 2 79 11 2 3" xfId="21479" xr:uid="{05352EDD-BA0C-499A-831F-7F2548522049}"/>
    <cellStyle name="Normal 2 79 11 2 3 2" xfId="21480" xr:uid="{1006DB2A-5300-4335-B034-ABDF6B2FA277}"/>
    <cellStyle name="Normal 2 79 11 2 3 2 2" xfId="21481" xr:uid="{8D7F6AC6-97AA-424B-A6E8-9E898327FAA1}"/>
    <cellStyle name="Normal 2 79 11 2 3 2 3" xfId="21482" xr:uid="{290ABEFF-294A-4094-BA9F-E61F7D1E86C9}"/>
    <cellStyle name="Normal 2 79 11 2 3 2 4" xfId="21483" xr:uid="{67C700F1-5815-4FCB-BECD-5256525BA5CE}"/>
    <cellStyle name="Normal 2 79 11 2 3 3" xfId="21484" xr:uid="{8FA6E4B7-A4BB-46DF-A8E0-85E070EF92F2}"/>
    <cellStyle name="Normal 2 79 11 2 3 4" xfId="21485" xr:uid="{D46E85F2-1063-4DC4-961C-A15B97DA9BC5}"/>
    <cellStyle name="Normal 2 79 11 2 3 5" xfId="21486" xr:uid="{6487C489-D2F0-438A-9769-C7D7D08BDBD2}"/>
    <cellStyle name="Normal 2 79 11 2 3 6" xfId="21487" xr:uid="{40604988-65CB-47DD-9A26-FB9B2EF08AFD}"/>
    <cellStyle name="Normal 2 79 11 2 4" xfId="21488" xr:uid="{FB0D8306-A0E1-4314-92DF-9EF8C46A0766}"/>
    <cellStyle name="Normal 2 79 11 2 5" xfId="21489" xr:uid="{185BF325-D759-4AC4-B1BE-B7E78A55AE40}"/>
    <cellStyle name="Normal 2 79 11 2 6" xfId="21490" xr:uid="{22F76A99-E532-4C4A-AA45-B1343661ADDD}"/>
    <cellStyle name="Normal 2 79 11 2 7" xfId="21491" xr:uid="{B4A768DF-0388-4A02-A51A-B7EBA1930F79}"/>
    <cellStyle name="Normal 2 79 11 2 8" xfId="21492" xr:uid="{A0B61DC6-515B-4A8E-A799-9436E4E3C506}"/>
    <cellStyle name="Normal 2 79 11 2 8 2" xfId="21493" xr:uid="{74400AF2-C0AB-4126-B9BC-65F503E20864}"/>
    <cellStyle name="Normal 2 79 11 2 8 3" xfId="21494" xr:uid="{EABDD4BD-E4BA-4D4E-A040-50D6A25BADC9}"/>
    <cellStyle name="Normal 2 79 11 2 8 4" xfId="21495" xr:uid="{2A081306-94D3-48E8-BFC1-748FC22E07B8}"/>
    <cellStyle name="Normal 2 79 11 2 9" xfId="21496" xr:uid="{0AD05499-5310-4F89-A494-A0AEC23AE987}"/>
    <cellStyle name="Normal 2 79 11 3" xfId="21497" xr:uid="{A892CFA7-001B-4EDE-97DA-B5BE2D1439B8}"/>
    <cellStyle name="Normal 2 79 11 4" xfId="21498" xr:uid="{31BB71F4-AA27-40BA-AF78-EFA1A494D6C7}"/>
    <cellStyle name="Normal 2 79 11 5" xfId="21499" xr:uid="{99273B5C-BC0D-476A-8289-DB54FAB41E2E}"/>
    <cellStyle name="Normal 2 79 11 5 2" xfId="21500" xr:uid="{65E4DC76-0804-428E-9767-74DBC2D5534E}"/>
    <cellStyle name="Normal 2 79 11 5 2 2" xfId="21501" xr:uid="{8E793DA3-CF7E-4E15-988F-20809C411060}"/>
    <cellStyle name="Normal 2 79 11 5 2 3" xfId="21502" xr:uid="{68DFAB7C-C8E2-4710-A4D2-EF9FDA35F15C}"/>
    <cellStyle name="Normal 2 79 11 5 2 4" xfId="21503" xr:uid="{D4303B1F-E3F2-434F-A454-E9C7C6C2FFFF}"/>
    <cellStyle name="Normal 2 79 11 5 3" xfId="21504" xr:uid="{5CC0721C-C85B-474E-A3B5-22628261C3C9}"/>
    <cellStyle name="Normal 2 79 11 5 4" xfId="21505" xr:uid="{799AFC01-9CFE-425C-9933-5114EABD4891}"/>
    <cellStyle name="Normal 2 79 11 5 5" xfId="21506" xr:uid="{C461B207-9882-4D64-A6CD-D613F5306E61}"/>
    <cellStyle name="Normal 2 79 11 5 6" xfId="21507" xr:uid="{21750FCC-0FC4-4089-88BF-E466C0D8950B}"/>
    <cellStyle name="Normal 2 79 11 6" xfId="21508" xr:uid="{AA48BD9F-FA2B-4A85-BB72-D8C361602054}"/>
    <cellStyle name="Normal 2 79 11 7" xfId="21509" xr:uid="{456FF251-DC89-42D5-8780-9188DF40842F}"/>
    <cellStyle name="Normal 2 79 11 8" xfId="21510" xr:uid="{4DCCA908-C6AE-4D8E-BA38-09B3A18CDC96}"/>
    <cellStyle name="Normal 2 79 11 9" xfId="21511" xr:uid="{5BD4ECD0-357F-406B-8190-B655D42BBBAC}"/>
    <cellStyle name="Normal 2 79 12" xfId="21512" xr:uid="{8EA47067-0995-40F7-BB11-1439C30E4DD5}"/>
    <cellStyle name="Normal 2 79 13" xfId="21513" xr:uid="{EDB87A21-2372-4217-A684-17DE5457A779}"/>
    <cellStyle name="Normal 2 79 13 10" xfId="21514" xr:uid="{96AB0A10-A096-4D8E-A62D-56BA41289A4B}"/>
    <cellStyle name="Normal 2 79 13 11" xfId="21515" xr:uid="{AF7B27BB-497F-4FC6-9761-4D144FED8420}"/>
    <cellStyle name="Normal 2 79 13 2" xfId="21516" xr:uid="{876845CA-29A0-4BC0-BA2B-D1DCA23B7BB3}"/>
    <cellStyle name="Normal 2 79 13 2 10" xfId="21517" xr:uid="{0F133A7C-CCBC-495C-A179-0B57D804FD9B}"/>
    <cellStyle name="Normal 2 79 13 2 11" xfId="21518" xr:uid="{669FC30F-CF7D-4F0C-81D6-F431D743F8A7}"/>
    <cellStyle name="Normal 2 79 13 2 2" xfId="21519" xr:uid="{43B82DCD-781E-485F-8C39-2F2B884D70DC}"/>
    <cellStyle name="Normal 2 79 13 2 2 2" xfId="21520" xr:uid="{C6A5B9B6-F6C5-4ABF-81AD-9CF013D2F7F9}"/>
    <cellStyle name="Normal 2 79 13 2 2 2 2" xfId="21521" xr:uid="{1FF501A8-1C7A-45C2-86F4-5A25D1F92695}"/>
    <cellStyle name="Normal 2 79 13 2 2 2 3" xfId="21522" xr:uid="{21D57E5C-A33A-46C0-879E-A2414AB939F9}"/>
    <cellStyle name="Normal 2 79 13 2 2 2 4" xfId="21523" xr:uid="{1EB9D46A-537B-4D80-A2F4-956CA8306A37}"/>
    <cellStyle name="Normal 2 79 13 2 2 3" xfId="21524" xr:uid="{C506C7D9-F7CF-4213-82A8-461EEA5FCA4B}"/>
    <cellStyle name="Normal 2 79 13 2 2 4" xfId="21525" xr:uid="{D2532B7E-C4AC-41F2-846A-6D18695C2E99}"/>
    <cellStyle name="Normal 2 79 13 2 2 5" xfId="21526" xr:uid="{D2F2F7B0-7772-4593-8F2E-CC6B87F9BBCB}"/>
    <cellStyle name="Normal 2 79 13 2 2 6" xfId="21527" xr:uid="{DBE2577B-49B9-41E2-AEC1-4E92D1677D51}"/>
    <cellStyle name="Normal 2 79 13 2 3" xfId="21528" xr:uid="{8E363AE5-6C0F-474E-92E7-1BB859AF0944}"/>
    <cellStyle name="Normal 2 79 13 2 4" xfId="21529" xr:uid="{D3E5123C-2D63-421F-B40D-ACB3D12D123B}"/>
    <cellStyle name="Normal 2 79 13 2 5" xfId="21530" xr:uid="{B3B3A9C0-528E-4949-A51E-1C153F6CE716}"/>
    <cellStyle name="Normal 2 79 13 2 6" xfId="21531" xr:uid="{FB3B0393-C090-47BB-A653-0C55A1EA11EF}"/>
    <cellStyle name="Normal 2 79 13 2 7" xfId="21532" xr:uid="{47DF8DDB-4248-4EDC-9507-8FD84646CFA3}"/>
    <cellStyle name="Normal 2 79 13 2 8" xfId="21533" xr:uid="{B61029BB-046A-42A3-9BFE-7A2BF8E386BE}"/>
    <cellStyle name="Normal 2 79 13 2 8 2" xfId="21534" xr:uid="{AB2A72E2-C26B-4C6B-B526-A3D7B2DCD21A}"/>
    <cellStyle name="Normal 2 79 13 2 8 3" xfId="21535" xr:uid="{A0FAB743-A8FB-42BE-8901-2CD8C225F9CA}"/>
    <cellStyle name="Normal 2 79 13 2 8 4" xfId="21536" xr:uid="{F30846BF-C843-4063-965A-1D6360A38469}"/>
    <cellStyle name="Normal 2 79 13 2 9" xfId="21537" xr:uid="{5E2FC434-47C3-4283-8774-11BF82855FC4}"/>
    <cellStyle name="Normal 2 79 13 3" xfId="21538" xr:uid="{32804A73-84F2-4560-BDF4-F056B5256BBB}"/>
    <cellStyle name="Normal 2 79 13 3 2" xfId="21539" xr:uid="{C220B746-B73E-49CF-B40F-D47E207B21B8}"/>
    <cellStyle name="Normal 2 79 13 3 2 2" xfId="21540" xr:uid="{A96B600F-C438-4D92-8396-9F9B876B8F40}"/>
    <cellStyle name="Normal 2 79 13 3 2 3" xfId="21541" xr:uid="{F3D1F8C6-D18C-4E58-A2D7-1419252954C8}"/>
    <cellStyle name="Normal 2 79 13 3 2 4" xfId="21542" xr:uid="{D755B5D9-4AA3-4943-92D3-1976026BCF00}"/>
    <cellStyle name="Normal 2 79 13 3 3" xfId="21543" xr:uid="{17FCC2BE-C907-4B46-A078-B53E2CDCBB5A}"/>
    <cellStyle name="Normal 2 79 13 3 4" xfId="21544" xr:uid="{8FB061D0-2572-4122-A451-0189137D9FA7}"/>
    <cellStyle name="Normal 2 79 13 3 5" xfId="21545" xr:uid="{03FB81C4-D43C-4F5D-84A7-7A73DBD75390}"/>
    <cellStyle name="Normal 2 79 13 3 6" xfId="21546" xr:uid="{80334BBA-968F-49D5-B5DA-9006D03E18C7}"/>
    <cellStyle name="Normal 2 79 13 4" xfId="21547" xr:uid="{06FBA200-F6D5-455B-ADF8-0EC29979B021}"/>
    <cellStyle name="Normal 2 79 13 5" xfId="21548" xr:uid="{CDE981FA-9850-4A8A-BACF-26FCEA100E1E}"/>
    <cellStyle name="Normal 2 79 13 6" xfId="21549" xr:uid="{4C1153AB-ABBC-413E-BAE9-CB1C6103969A}"/>
    <cellStyle name="Normal 2 79 13 7" xfId="21550" xr:uid="{F289A46D-B680-42DF-A815-324CDA1ED0C8}"/>
    <cellStyle name="Normal 2 79 13 8" xfId="21551" xr:uid="{CEE6157C-2D42-4B39-AADE-7312D80C2B7D}"/>
    <cellStyle name="Normal 2 79 13 8 2" xfId="21552" xr:uid="{0975B069-8FA7-4DAA-BAF4-E40858B66B7E}"/>
    <cellStyle name="Normal 2 79 13 8 3" xfId="21553" xr:uid="{E10E08A0-4452-4C78-A26A-E7CC1B90DADF}"/>
    <cellStyle name="Normal 2 79 13 8 4" xfId="21554" xr:uid="{1D140402-E89A-4129-AAB2-2E67CFFABE57}"/>
    <cellStyle name="Normal 2 79 13 9" xfId="21555" xr:uid="{F6FCBB98-9DC0-4372-A653-46FCB12F386D}"/>
    <cellStyle name="Normal 2 79 14" xfId="21556" xr:uid="{0F270511-200D-41B9-ADB4-A75877006DA0}"/>
    <cellStyle name="Normal 2 79 15" xfId="21557" xr:uid="{3EABF0A2-CE67-42B4-B97E-24EDDF224E24}"/>
    <cellStyle name="Normal 2 79 15 2" xfId="21558" xr:uid="{D1C25CA1-9736-4E90-9A76-12849FABFB65}"/>
    <cellStyle name="Normal 2 79 15 2 2" xfId="21559" xr:uid="{DB3BC88E-3825-4E92-9C25-4BE3A2607568}"/>
    <cellStyle name="Normal 2 79 15 2 3" xfId="21560" xr:uid="{B238BDBD-17B7-4838-B029-B28D759D502A}"/>
    <cellStyle name="Normal 2 79 15 2 4" xfId="21561" xr:uid="{A7A7AAA5-4DD4-4540-95CB-032A80995AB7}"/>
    <cellStyle name="Normal 2 79 15 3" xfId="21562" xr:uid="{B24A338D-B50A-4463-9B90-CEF6ED295B22}"/>
    <cellStyle name="Normal 2 79 15 4" xfId="21563" xr:uid="{A21781F2-0FC9-498B-99FC-4B6605789216}"/>
    <cellStyle name="Normal 2 79 15 5" xfId="21564" xr:uid="{C14E5E59-81EB-4CEA-AF89-35E3F2A67886}"/>
    <cellStyle name="Normal 2 79 15 6" xfId="21565" xr:uid="{8CFD1AFA-15B7-4F07-ADFD-2A219AE5E1A5}"/>
    <cellStyle name="Normal 2 79 16" xfId="21566" xr:uid="{F9581697-9986-42F1-9EAF-1544E046576B}"/>
    <cellStyle name="Normal 2 79 17" xfId="21567" xr:uid="{39340D58-A7E7-4F7A-BBCF-9A1CDB458403}"/>
    <cellStyle name="Normal 2 79 18" xfId="21568" xr:uid="{6F8DFC20-35FE-49A4-AE20-1799BCE1DB82}"/>
    <cellStyle name="Normal 2 79 19" xfId="21569" xr:uid="{13784937-F528-45C7-B888-952145828266}"/>
    <cellStyle name="Normal 2 79 2" xfId="21570" xr:uid="{0F7D7FBE-8A41-42DC-81DF-33F0C8B1FA5D}"/>
    <cellStyle name="Normal 2 79 2 10" xfId="21571" xr:uid="{45079C8A-6CBC-4C67-82E9-B559097BF06D}"/>
    <cellStyle name="Normal 2 79 2 11" xfId="21572" xr:uid="{60CB1A5C-62A2-45FF-B0FC-690D1062ACE2}"/>
    <cellStyle name="Normal 2 79 2 12" xfId="21573" xr:uid="{62228830-6024-4F1A-9BE4-FABA320EC607}"/>
    <cellStyle name="Normal 2 79 2 13" xfId="21574" xr:uid="{F367E35D-42EE-4B81-85BC-CB1EFFEF329F}"/>
    <cellStyle name="Normal 2 79 2 13 2" xfId="21575" xr:uid="{B751ED47-276E-4500-8AF1-533440DF9CF1}"/>
    <cellStyle name="Normal 2 79 2 13 3" xfId="21576" xr:uid="{2F841BB0-AF9B-4677-A871-F5E4C4698F77}"/>
    <cellStyle name="Normal 2 79 2 13 4" xfId="21577" xr:uid="{08E46ACE-E2BD-4AEB-A56D-BF7F75C0AE71}"/>
    <cellStyle name="Normal 2 79 2 14" xfId="21578" xr:uid="{6DA102DE-144E-42A3-BA0D-1CD3A5035677}"/>
    <cellStyle name="Normal 2 79 2 15" xfId="21579" xr:uid="{1D3CA406-7EE2-434E-8B96-400EF2C3867C}"/>
    <cellStyle name="Normal 2 79 2 16" xfId="21580" xr:uid="{6808F380-6EF6-4A42-87C7-8DBA1B905331}"/>
    <cellStyle name="Normal 2 79 2 2" xfId="21581" xr:uid="{8BA5C1BE-2A1D-43BC-B0FC-AE5519A7F314}"/>
    <cellStyle name="Normal 2 79 2 2 10" xfId="21582" xr:uid="{7008FAFC-E558-4CBB-B32C-544396408A9C}"/>
    <cellStyle name="Normal 2 79 2 2 11" xfId="21583" xr:uid="{99DA70AA-C0FE-48C6-92A7-E075F2581D15}"/>
    <cellStyle name="Normal 2 79 2 2 11 2" xfId="21584" xr:uid="{4B31E9E9-086C-401E-8A0F-4F1AF7056E82}"/>
    <cellStyle name="Normal 2 79 2 2 11 3" xfId="21585" xr:uid="{8BF40DF0-DD5E-4E1D-A89E-7B1FFDDF5FF1}"/>
    <cellStyle name="Normal 2 79 2 2 11 4" xfId="21586" xr:uid="{9CBC8261-0048-4BAC-8DD6-8C3518DC2B86}"/>
    <cellStyle name="Normal 2 79 2 2 12" xfId="21587" xr:uid="{A2901977-E253-4D4C-8B51-F00E8F4B8424}"/>
    <cellStyle name="Normal 2 79 2 2 13" xfId="21588" xr:uid="{BAF86AD8-97B2-4866-AA5F-40A0B53E4EC9}"/>
    <cellStyle name="Normal 2 79 2 2 14" xfId="21589" xr:uid="{2E639608-01BF-46BB-A9C8-A971D9D1FD7C}"/>
    <cellStyle name="Normal 2 79 2 2 2" xfId="21590" xr:uid="{A6F7AC3A-5B9C-471F-B789-CF5941630617}"/>
    <cellStyle name="Normal 2 79 2 2 2 10" xfId="21591" xr:uid="{86FD6894-6366-41AF-865D-968018FC6E41}"/>
    <cellStyle name="Normal 2 79 2 2 2 11" xfId="21592" xr:uid="{98508DBC-91E7-493C-BCF1-B4B01DAE7643}"/>
    <cellStyle name="Normal 2 79 2 2 2 2" xfId="21593" xr:uid="{E402680A-7E71-4A76-9E8F-ABFA5656708C}"/>
    <cellStyle name="Normal 2 79 2 2 2 2 10" xfId="21594" xr:uid="{9DF2028F-E4F0-4F94-B615-FFAE301ED42F}"/>
    <cellStyle name="Normal 2 79 2 2 2 2 11" xfId="21595" xr:uid="{2499C4C4-7CA5-4F64-B7E3-9C600524831D}"/>
    <cellStyle name="Normal 2 79 2 2 2 2 2" xfId="21596" xr:uid="{C7232A3D-2BDC-4673-9DC1-9C9F6DB50AE8}"/>
    <cellStyle name="Normal 2 79 2 2 2 2 2 2" xfId="21597" xr:uid="{F12EACA9-9B33-4519-AAA3-28F0E0A9AC6F}"/>
    <cellStyle name="Normal 2 79 2 2 2 2 2 2 2" xfId="21598" xr:uid="{66FC10BC-916D-40F5-BA46-18BDA2513E67}"/>
    <cellStyle name="Normal 2 79 2 2 2 2 2 2 3" xfId="21599" xr:uid="{BCFB3EE4-90D1-463D-A325-FDE18025DFE8}"/>
    <cellStyle name="Normal 2 79 2 2 2 2 2 2 4" xfId="21600" xr:uid="{FE049FA4-6D79-472F-A631-8FF0C2B77AB3}"/>
    <cellStyle name="Normal 2 79 2 2 2 2 2 3" xfId="21601" xr:uid="{0182F7B6-8855-45EF-968B-3CEACE3C930E}"/>
    <cellStyle name="Normal 2 79 2 2 2 2 2 4" xfId="21602" xr:uid="{ADDF2489-4DF0-4601-A84C-E93B7054318A}"/>
    <cellStyle name="Normal 2 79 2 2 2 2 2 5" xfId="21603" xr:uid="{C6D02CB0-43A9-4FAD-872F-3390C502A5B4}"/>
    <cellStyle name="Normal 2 79 2 2 2 2 2 6" xfId="21604" xr:uid="{FA0C8097-8D08-4035-85ED-DCB8D3DCFC5C}"/>
    <cellStyle name="Normal 2 79 2 2 2 2 3" xfId="21605" xr:uid="{42345C6A-CB8E-4DCA-867A-AB784BCC2372}"/>
    <cellStyle name="Normal 2 79 2 2 2 2 4" xfId="21606" xr:uid="{E7B825E8-78E2-4F98-85A3-B1CDECE6DCEA}"/>
    <cellStyle name="Normal 2 79 2 2 2 2 5" xfId="21607" xr:uid="{AF01472C-5605-47EC-B58F-2EEA38C35BBD}"/>
    <cellStyle name="Normal 2 79 2 2 2 2 6" xfId="21608" xr:uid="{820C8484-E8C9-4BBC-BD32-B4CC39666252}"/>
    <cellStyle name="Normal 2 79 2 2 2 2 7" xfId="21609" xr:uid="{67B92D3A-6F8C-4BB6-9DDA-24048F25E30D}"/>
    <cellStyle name="Normal 2 79 2 2 2 2 8" xfId="21610" xr:uid="{A824E471-EFF4-467F-B510-CBD5A05990C2}"/>
    <cellStyle name="Normal 2 79 2 2 2 2 8 2" xfId="21611" xr:uid="{F65CC4EA-5738-40A7-84E6-9C1754C5490C}"/>
    <cellStyle name="Normal 2 79 2 2 2 2 8 3" xfId="21612" xr:uid="{F14E596B-07C8-4D58-AE80-F095C7817007}"/>
    <cellStyle name="Normal 2 79 2 2 2 2 8 4" xfId="21613" xr:uid="{348B384D-B8BC-4AAC-A837-D0A3B1454283}"/>
    <cellStyle name="Normal 2 79 2 2 2 2 9" xfId="21614" xr:uid="{C9027279-2C3A-40A5-A002-C0F68FE37D16}"/>
    <cellStyle name="Normal 2 79 2 2 2 3" xfId="21615" xr:uid="{E3CC6F36-304C-4DF0-ADB1-6EDFC68C9CB6}"/>
    <cellStyle name="Normal 2 79 2 2 2 3 2" xfId="21616" xr:uid="{2B07A3C5-B57F-4B2B-88C0-F1A40BAF9462}"/>
    <cellStyle name="Normal 2 79 2 2 2 3 2 2" xfId="21617" xr:uid="{6B917196-59E1-42F1-8B67-5D697170EA9D}"/>
    <cellStyle name="Normal 2 79 2 2 2 3 2 3" xfId="21618" xr:uid="{8BC2EF69-EC35-4CAF-AB4E-27AA6F959DBC}"/>
    <cellStyle name="Normal 2 79 2 2 2 3 2 4" xfId="21619" xr:uid="{D0519849-AD9D-473C-BFE7-389C78184867}"/>
    <cellStyle name="Normal 2 79 2 2 2 3 3" xfId="21620" xr:uid="{03BEA73C-970C-4C80-9BE3-28DF41B101F2}"/>
    <cellStyle name="Normal 2 79 2 2 2 3 4" xfId="21621" xr:uid="{16622F04-A644-4CB1-BA2C-F7C0354EFEAB}"/>
    <cellStyle name="Normal 2 79 2 2 2 3 5" xfId="21622" xr:uid="{2B9A5FB6-E528-4C5A-9445-D17FECC58316}"/>
    <cellStyle name="Normal 2 79 2 2 2 3 6" xfId="21623" xr:uid="{F2A33449-1308-4C6E-96C8-187D5BBDD0BC}"/>
    <cellStyle name="Normal 2 79 2 2 2 4" xfId="21624" xr:uid="{8C0CF091-AF30-4668-9B12-4463514C83B0}"/>
    <cellStyle name="Normal 2 79 2 2 2 5" xfId="21625" xr:uid="{71D1A0B9-3B51-4C45-8C84-D33DE65CE757}"/>
    <cellStyle name="Normal 2 79 2 2 2 6" xfId="21626" xr:uid="{6E71C8EB-20B3-4889-A95C-B909107BAEAA}"/>
    <cellStyle name="Normal 2 79 2 2 2 7" xfId="21627" xr:uid="{D38112D2-97AE-4FB0-87D5-FE8C46847E9C}"/>
    <cellStyle name="Normal 2 79 2 2 2 8" xfId="21628" xr:uid="{33596596-D10D-4855-8321-8622E2B50748}"/>
    <cellStyle name="Normal 2 79 2 2 2 8 2" xfId="21629" xr:uid="{7A4965D5-9044-4EB6-8A11-1ED343ED40DC}"/>
    <cellStyle name="Normal 2 79 2 2 2 8 3" xfId="21630" xr:uid="{CCB42479-D63B-4299-882A-FF2F0530536D}"/>
    <cellStyle name="Normal 2 79 2 2 2 8 4" xfId="21631" xr:uid="{65794FE5-9E90-446F-A1ED-25C78CC2C286}"/>
    <cellStyle name="Normal 2 79 2 2 2 9" xfId="21632" xr:uid="{4B0D6B5F-B623-43B7-9E23-609FFC8069A4}"/>
    <cellStyle name="Normal 2 79 2 2 3" xfId="21633" xr:uid="{89BD909D-BA59-48A1-9511-7D7A4AFF68E6}"/>
    <cellStyle name="Normal 2 79 2 2 4" xfId="21634" xr:uid="{6EAEC93E-DC70-4B93-A7F9-E51C1E31F60B}"/>
    <cellStyle name="Normal 2 79 2 2 5" xfId="21635" xr:uid="{43F3E0B0-3F9A-4A39-B720-541746FB266C}"/>
    <cellStyle name="Normal 2 79 2 2 5 2" xfId="21636" xr:uid="{D2A76D99-9308-4F94-B385-B5A57D231E17}"/>
    <cellStyle name="Normal 2 79 2 2 5 2 2" xfId="21637" xr:uid="{56383D1F-107E-404B-9F3F-846F2CF77799}"/>
    <cellStyle name="Normal 2 79 2 2 5 2 3" xfId="21638" xr:uid="{B44708B9-24A9-412B-807B-6E329B3FA3C2}"/>
    <cellStyle name="Normal 2 79 2 2 5 2 4" xfId="21639" xr:uid="{8D680471-FB8A-417B-8F21-1B42DE8F0A4E}"/>
    <cellStyle name="Normal 2 79 2 2 5 3" xfId="21640" xr:uid="{F7C15B67-2C02-44C5-A302-818BE678C34E}"/>
    <cellStyle name="Normal 2 79 2 2 5 4" xfId="21641" xr:uid="{6B6DF466-F3D7-4529-B413-D37388EEC8D3}"/>
    <cellStyle name="Normal 2 79 2 2 5 5" xfId="21642" xr:uid="{CC758A84-469C-42E9-B6A7-FA2EC8D0CF82}"/>
    <cellStyle name="Normal 2 79 2 2 5 6" xfId="21643" xr:uid="{037D4CE9-3DCC-44E5-9D54-44B1B20D0A87}"/>
    <cellStyle name="Normal 2 79 2 2 6" xfId="21644" xr:uid="{E5E5E97B-8DEE-4983-82B9-89B6B0ACE7D4}"/>
    <cellStyle name="Normal 2 79 2 2 7" xfId="21645" xr:uid="{2B1ABC17-430A-4308-8932-4492BC341DD9}"/>
    <cellStyle name="Normal 2 79 2 2 8" xfId="21646" xr:uid="{990CF24B-F8ED-4890-8881-57634C0CC12E}"/>
    <cellStyle name="Normal 2 79 2 2 9" xfId="21647" xr:uid="{D916D310-15BB-4AA0-B244-46E76B68CFB8}"/>
    <cellStyle name="Normal 2 79 2 3" xfId="21648" xr:uid="{717DC4B3-58A1-45FB-B4A9-6A17B6EB7F09}"/>
    <cellStyle name="Normal 2 79 2 4" xfId="21649" xr:uid="{BADDC24A-6927-4117-AC57-3FE7AA7A97B8}"/>
    <cellStyle name="Normal 2 79 2 5" xfId="21650" xr:uid="{4B7E26CF-EAC3-4492-BCF1-9AD0FA891611}"/>
    <cellStyle name="Normal 2 79 2 5 10" xfId="21651" xr:uid="{D90DB024-1675-47CD-91B1-80ACB78338DE}"/>
    <cellStyle name="Normal 2 79 2 5 11" xfId="21652" xr:uid="{377794F3-1CBF-4071-AF27-E44312319BD0}"/>
    <cellStyle name="Normal 2 79 2 5 2" xfId="21653" xr:uid="{D34B9738-A6F3-4C00-92E3-5A0D9DBA7ABB}"/>
    <cellStyle name="Normal 2 79 2 5 2 10" xfId="21654" xr:uid="{F9E3A082-8BAE-49B2-9A23-B8A30B3D68B7}"/>
    <cellStyle name="Normal 2 79 2 5 2 11" xfId="21655" xr:uid="{68AC06E8-6B88-4690-90A4-ED4A384B11F7}"/>
    <cellStyle name="Normal 2 79 2 5 2 2" xfId="21656" xr:uid="{F9748220-203C-4EB8-A71B-9327BCC39EEA}"/>
    <cellStyle name="Normal 2 79 2 5 2 2 2" xfId="21657" xr:uid="{A2074526-2BE2-45C8-9E78-60520B3A42C4}"/>
    <cellStyle name="Normal 2 79 2 5 2 2 2 2" xfId="21658" xr:uid="{C2243DF0-F0DE-44EE-A139-FE45121D8537}"/>
    <cellStyle name="Normal 2 79 2 5 2 2 2 3" xfId="21659" xr:uid="{F33E45C7-E9F8-433E-A719-1F9483D645A9}"/>
    <cellStyle name="Normal 2 79 2 5 2 2 2 4" xfId="21660" xr:uid="{EC91852F-8AF9-4AB0-9D9C-2DD272CBFD70}"/>
    <cellStyle name="Normal 2 79 2 5 2 2 3" xfId="21661" xr:uid="{D774C88A-E46F-4FFB-A99B-AC6D43F1BE6B}"/>
    <cellStyle name="Normal 2 79 2 5 2 2 4" xfId="21662" xr:uid="{0080C43D-2BEA-4278-B16C-F9C1A4A433C8}"/>
    <cellStyle name="Normal 2 79 2 5 2 2 5" xfId="21663" xr:uid="{3D67354D-F998-4010-802E-8EBC8E901582}"/>
    <cellStyle name="Normal 2 79 2 5 2 2 6" xfId="21664" xr:uid="{38CFFF1D-F180-4F1C-931A-87375ED701C7}"/>
    <cellStyle name="Normal 2 79 2 5 2 3" xfId="21665" xr:uid="{1B671D57-CA5F-420D-A423-6F734592E536}"/>
    <cellStyle name="Normal 2 79 2 5 2 4" xfId="21666" xr:uid="{543737AB-3BE6-4871-A13D-CC14D10B1AF2}"/>
    <cellStyle name="Normal 2 79 2 5 2 5" xfId="21667" xr:uid="{268A8744-95DA-4BE6-A839-22C87CB3D1C8}"/>
    <cellStyle name="Normal 2 79 2 5 2 6" xfId="21668" xr:uid="{DE5F3BD5-A6F6-4F6D-8C71-4D9FA554BF11}"/>
    <cellStyle name="Normal 2 79 2 5 2 7" xfId="21669" xr:uid="{DD0DF2BD-5A84-4420-8DAF-ECFA17853C13}"/>
    <cellStyle name="Normal 2 79 2 5 2 8" xfId="21670" xr:uid="{E44F8E65-4070-4243-A396-06084658282E}"/>
    <cellStyle name="Normal 2 79 2 5 2 8 2" xfId="21671" xr:uid="{ACCA134F-A774-4C47-AE66-661A1698C68B}"/>
    <cellStyle name="Normal 2 79 2 5 2 8 3" xfId="21672" xr:uid="{7684993E-F9FA-4999-8CD2-DE2368619607}"/>
    <cellStyle name="Normal 2 79 2 5 2 8 4" xfId="21673" xr:uid="{8746B7D3-2C9B-4CBE-A067-6753434C5906}"/>
    <cellStyle name="Normal 2 79 2 5 2 9" xfId="21674" xr:uid="{219A2814-6ADE-4BA4-82C8-04DF1AC73E49}"/>
    <cellStyle name="Normal 2 79 2 5 3" xfId="21675" xr:uid="{2FA6B622-006A-48E2-8481-AF083B9CF8D4}"/>
    <cellStyle name="Normal 2 79 2 5 3 2" xfId="21676" xr:uid="{CD555FA9-ACC3-47C2-A72E-CFCC6B48CDB7}"/>
    <cellStyle name="Normal 2 79 2 5 3 2 2" xfId="21677" xr:uid="{5159A65F-B9B6-48DE-B579-82535189244D}"/>
    <cellStyle name="Normal 2 79 2 5 3 2 3" xfId="21678" xr:uid="{41577665-A16C-4042-B1A2-35F3BD25DC27}"/>
    <cellStyle name="Normal 2 79 2 5 3 2 4" xfId="21679" xr:uid="{AB01B71F-DC5A-4858-A6BC-DD7577A027AC}"/>
    <cellStyle name="Normal 2 79 2 5 3 3" xfId="21680" xr:uid="{5A9BD1AA-2417-48D4-A5C6-691F849E1673}"/>
    <cellStyle name="Normal 2 79 2 5 3 4" xfId="21681" xr:uid="{0F473EEC-6975-4C8D-9DAB-127BDEA863C4}"/>
    <cellStyle name="Normal 2 79 2 5 3 5" xfId="21682" xr:uid="{5101DFCE-E5AC-4800-B1D0-A2CFE7C3E12D}"/>
    <cellStyle name="Normal 2 79 2 5 3 6" xfId="21683" xr:uid="{84D8F2FF-B4DF-432F-8A30-765A79CCA6E3}"/>
    <cellStyle name="Normal 2 79 2 5 4" xfId="21684" xr:uid="{1312248E-252F-4612-8DF5-5137B3238F2E}"/>
    <cellStyle name="Normal 2 79 2 5 5" xfId="21685" xr:uid="{E1A090CC-325B-412A-9848-BCB1741C187C}"/>
    <cellStyle name="Normal 2 79 2 5 6" xfId="21686" xr:uid="{5D1BD16D-0CC0-4D72-BC3A-439EE9449ECB}"/>
    <cellStyle name="Normal 2 79 2 5 7" xfId="21687" xr:uid="{7EEC2653-3727-4D3F-AAA6-F43F7AB401C4}"/>
    <cellStyle name="Normal 2 79 2 5 8" xfId="21688" xr:uid="{204C2B35-5DE3-4B93-ADA5-F1E86E39770C}"/>
    <cellStyle name="Normal 2 79 2 5 8 2" xfId="21689" xr:uid="{94DD8A16-E91D-4711-B794-A7718A74A1CD}"/>
    <cellStyle name="Normal 2 79 2 5 8 3" xfId="21690" xr:uid="{2723592C-3D2D-47B6-A9B3-A87D73037657}"/>
    <cellStyle name="Normal 2 79 2 5 8 4" xfId="21691" xr:uid="{DACB33B9-F8E9-4F16-8039-4661D6D355A2}"/>
    <cellStyle name="Normal 2 79 2 5 9" xfId="21692" xr:uid="{07F809B3-E8BB-4F2A-BB29-304C682FB8D6}"/>
    <cellStyle name="Normal 2 79 2 6" xfId="21693" xr:uid="{DBD0075D-77B6-4339-9815-CC0EFD13BC30}"/>
    <cellStyle name="Normal 2 79 2 7" xfId="21694" xr:uid="{C1B42C60-B264-4B65-B3A8-261DA6F634C4}"/>
    <cellStyle name="Normal 2 79 2 7 2" xfId="21695" xr:uid="{E6AD752F-FF85-4491-9B6F-9B23400D6DAF}"/>
    <cellStyle name="Normal 2 79 2 7 2 2" xfId="21696" xr:uid="{C4E4F27B-5C72-4A8A-AC67-E1C4699454A7}"/>
    <cellStyle name="Normal 2 79 2 7 2 3" xfId="21697" xr:uid="{C4B9BB3E-335E-429E-A091-6467B90C0E3B}"/>
    <cellStyle name="Normal 2 79 2 7 2 4" xfId="21698" xr:uid="{57ACA602-12D8-40D3-BCDA-8F7D806DD210}"/>
    <cellStyle name="Normal 2 79 2 7 3" xfId="21699" xr:uid="{18A84AEE-6E7E-4C6B-B679-D127B8B2E4B4}"/>
    <cellStyle name="Normal 2 79 2 7 4" xfId="21700" xr:uid="{60FDA67E-CAB6-42E2-87BC-C9B7C0F4D196}"/>
    <cellStyle name="Normal 2 79 2 7 5" xfId="21701" xr:uid="{22E6A28E-A9BD-4BBC-8CA3-932B1B5A4C34}"/>
    <cellStyle name="Normal 2 79 2 7 6" xfId="21702" xr:uid="{E855D978-4A0E-4690-951F-8A5059227C39}"/>
    <cellStyle name="Normal 2 79 2 8" xfId="21703" xr:uid="{007C2F7A-7177-44B5-932D-3CE4C2BF0498}"/>
    <cellStyle name="Normal 2 79 2 9" xfId="21704" xr:uid="{ED0FB976-CEF3-446C-9548-35D724659C1D}"/>
    <cellStyle name="Normal 2 79 20" xfId="21705" xr:uid="{A5D4D314-8219-4CAA-B2F8-50689B1B0752}"/>
    <cellStyle name="Normal 2 79 21" xfId="21706" xr:uid="{813A3A2C-92E4-4D87-A4A1-8D0B1DF00481}"/>
    <cellStyle name="Normal 2 79 21 2" xfId="21707" xr:uid="{CE0E7678-EA21-4564-8F36-6F2ECDA2433E}"/>
    <cellStyle name="Normal 2 79 21 3" xfId="21708" xr:uid="{E96834D1-FB93-44CB-ACE8-04A6D975F586}"/>
    <cellStyle name="Normal 2 79 21 4" xfId="21709" xr:uid="{5A1C0A53-8633-4AA4-BCC6-AAED0C2B5B54}"/>
    <cellStyle name="Normal 2 79 22" xfId="21710" xr:uid="{6C32BB62-6E27-49F2-843B-5AFA463C7099}"/>
    <cellStyle name="Normal 2 79 23" xfId="21711" xr:uid="{93ECB67B-F59C-4829-91F8-838396005034}"/>
    <cellStyle name="Normal 2 79 24" xfId="21712" xr:uid="{6FCADAA2-D82E-49A1-BA42-28D290607F8F}"/>
    <cellStyle name="Normal 2 79 3" xfId="21713" xr:uid="{B9CB7083-BE16-4F99-9F14-B0B46CEEEDCF}"/>
    <cellStyle name="Normal 2 79 4" xfId="21714" xr:uid="{A28FEE4A-2E51-4F58-A46E-AC95BCBA90FE}"/>
    <cellStyle name="Normal 2 79 5" xfId="21715" xr:uid="{B5EB1F52-7F2B-4B13-B7AF-08A8853AC29B}"/>
    <cellStyle name="Normal 2 79 6" xfId="21716" xr:uid="{B89DF61F-6C9F-49EE-9DE6-612C87A4DFB2}"/>
    <cellStyle name="Normal 2 79 7" xfId="21717" xr:uid="{F1216420-55A3-44FA-B8ED-CAD73B518536}"/>
    <cellStyle name="Normal 2 79 8" xfId="21718" xr:uid="{87C0A10F-02C9-467E-93CE-B51E79963E71}"/>
    <cellStyle name="Normal 2 79 9" xfId="21719" xr:uid="{43FB62AB-2A24-4F99-96B5-0AE587C49B11}"/>
    <cellStyle name="Normal 2 8" xfId="21720" xr:uid="{48906E56-AE8F-4E11-B47E-0630EE4C1627}"/>
    <cellStyle name="Normal 2 8 2" xfId="21721" xr:uid="{8F0763B5-0EE6-4952-9B1E-B492FBC23979}"/>
    <cellStyle name="Normal 2 8 3" xfId="21722" xr:uid="{51155852-A509-48FE-A86C-4C06DB163364}"/>
    <cellStyle name="Normal 2 8 4" xfId="21723" xr:uid="{A95D1075-FF1C-4AC7-B237-F169007ADE14}"/>
    <cellStyle name="Normal 2 80" xfId="21724" xr:uid="{910B1FBB-440E-4277-9839-EF2EB3301DC4}"/>
    <cellStyle name="Normal 2 80 10" xfId="21725" xr:uid="{0E3C8D02-A83B-4D06-B1C6-477907132212}"/>
    <cellStyle name="Normal 2 80 11" xfId="21726" xr:uid="{32CFAAC1-09E5-4A8D-873B-BFA600D2E946}"/>
    <cellStyle name="Normal 2 80 12" xfId="21727" xr:uid="{B7ABA47D-96B1-492A-8CAA-F82D12584B81}"/>
    <cellStyle name="Normal 2 80 13" xfId="21728" xr:uid="{D976037F-FE13-49C1-B31F-0A9ADC6C2934}"/>
    <cellStyle name="Normal 2 80 13 2" xfId="21729" xr:uid="{9FA728D7-6B46-4E0B-89A7-FD477004C0C9}"/>
    <cellStyle name="Normal 2 80 13 3" xfId="21730" xr:uid="{08DDA288-CA34-40F9-BA40-99CE368A4B9E}"/>
    <cellStyle name="Normal 2 80 13 4" xfId="21731" xr:uid="{2FCCFAC0-1044-482D-B368-7ADD50230FC5}"/>
    <cellStyle name="Normal 2 80 14" xfId="21732" xr:uid="{1ADBA5B7-6034-4B46-9BD0-0CBD4E412AA9}"/>
    <cellStyle name="Normal 2 80 15" xfId="21733" xr:uid="{5EE3B7DC-D1C2-4848-BA0F-8974C4E0B938}"/>
    <cellStyle name="Normal 2 80 16" xfId="21734" xr:uid="{446874AA-D1BA-4411-9D97-FECF2136E6B4}"/>
    <cellStyle name="Normal 2 80 2" xfId="21735" xr:uid="{58B9BE81-1FD5-4A9B-A195-ED1AE00A8051}"/>
    <cellStyle name="Normal 2 80 2 10" xfId="21736" xr:uid="{B36ABF0A-565B-46F1-8C39-1095036C1A7D}"/>
    <cellStyle name="Normal 2 80 2 11" xfId="21737" xr:uid="{3A0FDF6F-F226-4006-BA22-7F832DED7AB9}"/>
    <cellStyle name="Normal 2 80 2 11 2" xfId="21738" xr:uid="{24E06D81-8C12-4520-81DD-19DC3C09150B}"/>
    <cellStyle name="Normal 2 80 2 11 3" xfId="21739" xr:uid="{550ADD14-6EEB-4510-9969-FF65B986944D}"/>
    <cellStyle name="Normal 2 80 2 11 4" xfId="21740" xr:uid="{C8070A4D-4D51-4167-9F6D-1E5A6ED92C24}"/>
    <cellStyle name="Normal 2 80 2 12" xfId="21741" xr:uid="{C7599DF4-B727-4C92-B14C-F0BEBD2747F6}"/>
    <cellStyle name="Normal 2 80 2 13" xfId="21742" xr:uid="{6360EC49-7D5C-43F1-99B5-16FBB7D41384}"/>
    <cellStyle name="Normal 2 80 2 14" xfId="21743" xr:uid="{2909EF42-3340-4C5E-BEAA-DBB37BB3A4EF}"/>
    <cellStyle name="Normal 2 80 2 2" xfId="21744" xr:uid="{EB32328D-2827-44CF-831D-C49FA7AC583A}"/>
    <cellStyle name="Normal 2 80 2 2 10" xfId="21745" xr:uid="{951AB3B1-43F2-4F5D-8738-4CFE42506EE9}"/>
    <cellStyle name="Normal 2 80 2 2 11" xfId="21746" xr:uid="{BD08D276-DE92-49A0-866A-0FED1BC5207A}"/>
    <cellStyle name="Normal 2 80 2 2 2" xfId="21747" xr:uid="{CA30E90B-9A35-474F-A1F2-56EE5682BC27}"/>
    <cellStyle name="Normal 2 80 2 2 2 10" xfId="21748" xr:uid="{C1F52E91-D432-41EA-A593-03B63FCD4C35}"/>
    <cellStyle name="Normal 2 80 2 2 2 11" xfId="21749" xr:uid="{D22DA9FF-8BBA-4FC5-85B2-883BF16D54E5}"/>
    <cellStyle name="Normal 2 80 2 2 2 2" xfId="21750" xr:uid="{67FF37CD-E987-45F3-8128-2C6B48E6F7AC}"/>
    <cellStyle name="Normal 2 80 2 2 2 2 2" xfId="21751" xr:uid="{EC7CBE30-D672-4CA6-BEAE-D51E588ADB40}"/>
    <cellStyle name="Normal 2 80 2 2 2 2 2 2" xfId="21752" xr:uid="{2805B418-4E58-4653-9603-7A6657EF04C3}"/>
    <cellStyle name="Normal 2 80 2 2 2 2 2 3" xfId="21753" xr:uid="{B6197B0E-432D-436E-8443-60E42DBCF09C}"/>
    <cellStyle name="Normal 2 80 2 2 2 2 2 4" xfId="21754" xr:uid="{E1974E91-D09F-40A6-9120-26E04DA5AFF8}"/>
    <cellStyle name="Normal 2 80 2 2 2 2 3" xfId="21755" xr:uid="{1C01988C-A8E7-4B16-BC30-F41A1D6F006D}"/>
    <cellStyle name="Normal 2 80 2 2 2 2 4" xfId="21756" xr:uid="{AE245FFD-EA1B-4C27-A429-9E2780176B73}"/>
    <cellStyle name="Normal 2 80 2 2 2 2 5" xfId="21757" xr:uid="{2B81DC88-83E8-4E26-A829-F0DC2E9E9E71}"/>
    <cellStyle name="Normal 2 80 2 2 2 2 6" xfId="21758" xr:uid="{BAC01CBA-FEDE-47F9-AA59-5487B0CFA2D4}"/>
    <cellStyle name="Normal 2 80 2 2 2 3" xfId="21759" xr:uid="{6F2ED38E-628F-469E-B392-678F4EC3F1CF}"/>
    <cellStyle name="Normal 2 80 2 2 2 4" xfId="21760" xr:uid="{D1C5C384-A58B-47C5-93ED-9B59A8D8C2B1}"/>
    <cellStyle name="Normal 2 80 2 2 2 5" xfId="21761" xr:uid="{9ACF0A3F-5DCC-401E-96B5-B1F1F4570D4C}"/>
    <cellStyle name="Normal 2 80 2 2 2 6" xfId="21762" xr:uid="{D62E23EA-1F26-4185-9AA4-377FC85B1E05}"/>
    <cellStyle name="Normal 2 80 2 2 2 7" xfId="21763" xr:uid="{CEE1B22E-5CC3-4DCC-BCCF-E80ACAC77E51}"/>
    <cellStyle name="Normal 2 80 2 2 2 8" xfId="21764" xr:uid="{A05D2724-F530-4B12-935F-46DCE71D60A0}"/>
    <cellStyle name="Normal 2 80 2 2 2 8 2" xfId="21765" xr:uid="{E872B39D-D16A-4922-9B1B-2DF1878B4104}"/>
    <cellStyle name="Normal 2 80 2 2 2 8 3" xfId="21766" xr:uid="{2E1C0295-F664-4C80-8AE2-0DD2F6507F8A}"/>
    <cellStyle name="Normal 2 80 2 2 2 8 4" xfId="21767" xr:uid="{D18E518A-173A-4452-8F05-54AAC50270EE}"/>
    <cellStyle name="Normal 2 80 2 2 2 9" xfId="21768" xr:uid="{AB3F7949-D232-4089-A191-DEE0CB67AF57}"/>
    <cellStyle name="Normal 2 80 2 2 3" xfId="21769" xr:uid="{D83D7561-34AD-432B-A360-9424DBC8A5E3}"/>
    <cellStyle name="Normal 2 80 2 2 3 2" xfId="21770" xr:uid="{524B7BA4-FEDA-4B9A-B02B-2458FDA2CFF0}"/>
    <cellStyle name="Normal 2 80 2 2 3 2 2" xfId="21771" xr:uid="{77628A4F-2C5B-4565-8A57-41EAC32BC8D8}"/>
    <cellStyle name="Normal 2 80 2 2 3 2 3" xfId="21772" xr:uid="{F6ED7AEF-8681-44FA-851B-D2D121E08EA0}"/>
    <cellStyle name="Normal 2 80 2 2 3 2 4" xfId="21773" xr:uid="{71DF2702-71A7-47FD-9AA2-08E3DD41B496}"/>
    <cellStyle name="Normal 2 80 2 2 3 3" xfId="21774" xr:uid="{F477E172-93A9-4220-96E3-54E780C7A909}"/>
    <cellStyle name="Normal 2 80 2 2 3 4" xfId="21775" xr:uid="{F4B14CA4-1828-454D-9A8F-0D55FD952D05}"/>
    <cellStyle name="Normal 2 80 2 2 3 5" xfId="21776" xr:uid="{FD115D75-497B-4FFF-8E86-83BD1E1B6C27}"/>
    <cellStyle name="Normal 2 80 2 2 3 6" xfId="21777" xr:uid="{DB3F3839-03F1-4505-9F38-159C2C80B438}"/>
    <cellStyle name="Normal 2 80 2 2 4" xfId="21778" xr:uid="{3156FFF9-F8D9-42B4-A472-F69698000CA1}"/>
    <cellStyle name="Normal 2 80 2 2 5" xfId="21779" xr:uid="{374DF4C4-0F8B-432D-B35C-6F37CF99BDE8}"/>
    <cellStyle name="Normal 2 80 2 2 6" xfId="21780" xr:uid="{93FAB7C5-F712-452F-8C59-60D9C0487999}"/>
    <cellStyle name="Normal 2 80 2 2 7" xfId="21781" xr:uid="{EDDA01F8-C0BA-42A9-860F-6067F87B4C1C}"/>
    <cellStyle name="Normal 2 80 2 2 8" xfId="21782" xr:uid="{40D9687A-C726-4B6B-B9E2-8F51CF389961}"/>
    <cellStyle name="Normal 2 80 2 2 8 2" xfId="21783" xr:uid="{65A8EFC5-098E-42C3-AE4C-20966CCA56FB}"/>
    <cellStyle name="Normal 2 80 2 2 8 3" xfId="21784" xr:uid="{1E27813A-3A3B-41CA-BFFA-10B73118F372}"/>
    <cellStyle name="Normal 2 80 2 2 8 4" xfId="21785" xr:uid="{07966AEB-43FE-4A16-9C18-675B1E731B3D}"/>
    <cellStyle name="Normal 2 80 2 2 9" xfId="21786" xr:uid="{0C8EACAD-111F-46EC-B248-45F9DE3C30F1}"/>
    <cellStyle name="Normal 2 80 2 3" xfId="21787" xr:uid="{867335AF-256A-4572-905A-DB24837DED0F}"/>
    <cellStyle name="Normal 2 80 2 4" xfId="21788" xr:uid="{FD61382F-2CEE-4ACB-886A-939CA1D25E09}"/>
    <cellStyle name="Normal 2 80 2 5" xfId="21789" xr:uid="{9888378A-E10A-447E-A012-2CDACEE55855}"/>
    <cellStyle name="Normal 2 80 2 5 2" xfId="21790" xr:uid="{DE3680C0-9A75-408E-80B4-C7F2037B57ED}"/>
    <cellStyle name="Normal 2 80 2 5 2 2" xfId="21791" xr:uid="{6B05C030-C695-431D-86B6-2CA8AB5D19BA}"/>
    <cellStyle name="Normal 2 80 2 5 2 3" xfId="21792" xr:uid="{15434662-52E9-4A66-88D8-7006E3026EC1}"/>
    <cellStyle name="Normal 2 80 2 5 2 4" xfId="21793" xr:uid="{BFEF080E-0F5D-4028-9DA5-7D6F589F959B}"/>
    <cellStyle name="Normal 2 80 2 5 3" xfId="21794" xr:uid="{C106F287-1DA3-417C-A010-DD525B4DE1C8}"/>
    <cellStyle name="Normal 2 80 2 5 4" xfId="21795" xr:uid="{313D80A5-D0EE-40D1-B02D-B4EB31C5B4FD}"/>
    <cellStyle name="Normal 2 80 2 5 5" xfId="21796" xr:uid="{85538B47-1F10-43B4-976B-348CA638D740}"/>
    <cellStyle name="Normal 2 80 2 5 6" xfId="21797" xr:uid="{8614DC85-D06B-4AE4-ABF1-C6ACD20B5BEE}"/>
    <cellStyle name="Normal 2 80 2 6" xfId="21798" xr:uid="{4BDA8F74-04B9-4FB4-B6D6-31958C524ACC}"/>
    <cellStyle name="Normal 2 80 2 7" xfId="21799" xr:uid="{EA58B4E2-B426-4B37-8530-35C154A57628}"/>
    <cellStyle name="Normal 2 80 2 8" xfId="21800" xr:uid="{9D197697-19C8-4928-BE9F-66C45828221F}"/>
    <cellStyle name="Normal 2 80 2 9" xfId="21801" xr:uid="{2E1D2F38-E005-4F56-8EAD-5689C40ECFE8}"/>
    <cellStyle name="Normal 2 80 3" xfId="21802" xr:uid="{C72355AE-C23D-48E1-B8D5-A7ED3AB21BF8}"/>
    <cellStyle name="Normal 2 80 4" xfId="21803" xr:uid="{05E1965E-BC99-4D69-B559-E9D478D3F7A3}"/>
    <cellStyle name="Normal 2 80 5" xfId="21804" xr:uid="{B1C49D6D-FC4B-427E-A56D-EE2DB120D371}"/>
    <cellStyle name="Normal 2 80 5 10" xfId="21805" xr:uid="{0973AD07-64AF-405B-BFF5-D575D7A3AEDD}"/>
    <cellStyle name="Normal 2 80 5 11" xfId="21806" xr:uid="{2178508B-A430-4B8D-BBEF-FABE48D5434A}"/>
    <cellStyle name="Normal 2 80 5 2" xfId="21807" xr:uid="{9C00A1CE-7C29-4E96-914E-9EF445B21D64}"/>
    <cellStyle name="Normal 2 80 5 2 10" xfId="21808" xr:uid="{6E8403CB-D716-4562-91EA-E0AB14576CB8}"/>
    <cellStyle name="Normal 2 80 5 2 11" xfId="21809" xr:uid="{C521AF98-DF22-43D5-8681-B6E7256F62CD}"/>
    <cellStyle name="Normal 2 80 5 2 2" xfId="21810" xr:uid="{0B8CC1C2-666A-4F72-9046-C0C208D37DE2}"/>
    <cellStyle name="Normal 2 80 5 2 2 2" xfId="21811" xr:uid="{0FF727AC-F4DB-4FF6-BF11-9F8D781DD510}"/>
    <cellStyle name="Normal 2 80 5 2 2 2 2" xfId="21812" xr:uid="{C2C4A0B4-4D94-4797-BE11-04CA2B7A838D}"/>
    <cellStyle name="Normal 2 80 5 2 2 2 3" xfId="21813" xr:uid="{000BA7A9-D86C-41C1-A313-AF15A3778B0F}"/>
    <cellStyle name="Normal 2 80 5 2 2 2 4" xfId="21814" xr:uid="{0302B163-14FF-48FF-A345-FDA93F050CFF}"/>
    <cellStyle name="Normal 2 80 5 2 2 3" xfId="21815" xr:uid="{BAC1A4A7-4D63-40BB-A39D-239E7028A600}"/>
    <cellStyle name="Normal 2 80 5 2 2 4" xfId="21816" xr:uid="{AFC8A4D5-C2C4-472F-9B26-64ACBC32006C}"/>
    <cellStyle name="Normal 2 80 5 2 2 5" xfId="21817" xr:uid="{2F2B5B63-930B-4E7E-8EC4-EBA9D49AEE9F}"/>
    <cellStyle name="Normal 2 80 5 2 2 6" xfId="21818" xr:uid="{7DFAA74E-3C89-4969-B232-8E961C77A7D0}"/>
    <cellStyle name="Normal 2 80 5 2 3" xfId="21819" xr:uid="{9EB08594-F62E-4419-A8C9-77CDF90DC648}"/>
    <cellStyle name="Normal 2 80 5 2 4" xfId="21820" xr:uid="{4F79C16A-1B28-4A6A-A37F-D25575DFA8F3}"/>
    <cellStyle name="Normal 2 80 5 2 5" xfId="21821" xr:uid="{B7B1E974-4DF7-4461-8897-0DF490737D5A}"/>
    <cellStyle name="Normal 2 80 5 2 6" xfId="21822" xr:uid="{C1C0CDFF-A964-4185-A9B9-DB7A225A340C}"/>
    <cellStyle name="Normal 2 80 5 2 7" xfId="21823" xr:uid="{1D87BC2A-838D-4BAA-9487-3C4D49C38F14}"/>
    <cellStyle name="Normal 2 80 5 2 8" xfId="21824" xr:uid="{232C47C0-FB4E-4203-B547-9EEE859BBBE0}"/>
    <cellStyle name="Normal 2 80 5 2 8 2" xfId="21825" xr:uid="{B096EDAF-4F3C-4E39-9F42-32045C851B1C}"/>
    <cellStyle name="Normal 2 80 5 2 8 3" xfId="21826" xr:uid="{5BBA52EE-0266-432B-85D9-49A44E1EF536}"/>
    <cellStyle name="Normal 2 80 5 2 8 4" xfId="21827" xr:uid="{90EC0E16-FC25-4CAB-A604-66BA29F8F9D2}"/>
    <cellStyle name="Normal 2 80 5 2 9" xfId="21828" xr:uid="{58F59774-9816-4A0C-8C4C-D2B4F3EC4C3A}"/>
    <cellStyle name="Normal 2 80 5 3" xfId="21829" xr:uid="{515D570D-FF0D-4263-AE51-E1F9522DC667}"/>
    <cellStyle name="Normal 2 80 5 3 2" xfId="21830" xr:uid="{D61CDD8E-133E-4281-A6FD-F8117D56175C}"/>
    <cellStyle name="Normal 2 80 5 3 2 2" xfId="21831" xr:uid="{4B7F0C3A-E45E-4459-B0FA-130BEDA3CFAD}"/>
    <cellStyle name="Normal 2 80 5 3 2 3" xfId="21832" xr:uid="{8571B146-9A20-4E52-84F0-7A6A7D12B44E}"/>
    <cellStyle name="Normal 2 80 5 3 2 4" xfId="21833" xr:uid="{8C6F1CA9-6252-491C-927D-38D4E4945676}"/>
    <cellStyle name="Normal 2 80 5 3 3" xfId="21834" xr:uid="{51424823-2F5B-423D-8C10-ED5FB7835019}"/>
    <cellStyle name="Normal 2 80 5 3 4" xfId="21835" xr:uid="{FFC3E413-13BE-41C4-AA3B-149D208F68BC}"/>
    <cellStyle name="Normal 2 80 5 3 5" xfId="21836" xr:uid="{CFB0485D-B0DD-4629-BD9F-588154AC3877}"/>
    <cellStyle name="Normal 2 80 5 3 6" xfId="21837" xr:uid="{963B1B23-02CB-4524-9196-B7B7C99A6C9B}"/>
    <cellStyle name="Normal 2 80 5 4" xfId="21838" xr:uid="{F52F9BF2-8167-4A85-8335-57396BB020F2}"/>
    <cellStyle name="Normal 2 80 5 5" xfId="21839" xr:uid="{4010FB52-9989-4BDB-A575-942507C95BA3}"/>
    <cellStyle name="Normal 2 80 5 6" xfId="21840" xr:uid="{CB01DF3F-038D-4987-B75D-5D0CEEA09F04}"/>
    <cellStyle name="Normal 2 80 5 7" xfId="21841" xr:uid="{20FB7F9D-6885-40A2-94E6-E9511448E01B}"/>
    <cellStyle name="Normal 2 80 5 8" xfId="21842" xr:uid="{513FA723-1E95-4EB9-AA92-439BFEF07D7C}"/>
    <cellStyle name="Normal 2 80 5 8 2" xfId="21843" xr:uid="{1A031DE7-670E-4005-891A-062E3789FE4E}"/>
    <cellStyle name="Normal 2 80 5 8 3" xfId="21844" xr:uid="{1AFFE7C9-C355-45B1-8A9F-D3ACD0967377}"/>
    <cellStyle name="Normal 2 80 5 8 4" xfId="21845" xr:uid="{DDC4CFFF-A9C6-43AB-A265-837CA6BE8D6E}"/>
    <cellStyle name="Normal 2 80 5 9" xfId="21846" xr:uid="{08911B2E-E428-4371-ABA1-04F1B57ECC7C}"/>
    <cellStyle name="Normal 2 80 6" xfId="21847" xr:uid="{F85C1C38-EA9B-43BF-AC11-D8CCA8DCD6F1}"/>
    <cellStyle name="Normal 2 80 7" xfId="21848" xr:uid="{AC2AF5B4-627B-4128-9858-8D483982DDAC}"/>
    <cellStyle name="Normal 2 80 7 2" xfId="21849" xr:uid="{B9BA4224-BDA5-477A-9583-0C38B66E97FC}"/>
    <cellStyle name="Normal 2 80 7 2 2" xfId="21850" xr:uid="{C0E9C549-F326-4AA0-9741-C520D736C944}"/>
    <cellStyle name="Normal 2 80 7 2 3" xfId="21851" xr:uid="{6BFA9C3C-646C-4840-BD4D-827BEF9834A8}"/>
    <cellStyle name="Normal 2 80 7 2 4" xfId="21852" xr:uid="{21E65C0E-D29B-4C82-B4C8-4CABF207159C}"/>
    <cellStyle name="Normal 2 80 7 3" xfId="21853" xr:uid="{D26EEC84-A349-47CD-9FBD-D5D065351EDB}"/>
    <cellStyle name="Normal 2 80 7 4" xfId="21854" xr:uid="{7FCE3776-E555-481C-AC18-7119738D7AA0}"/>
    <cellStyle name="Normal 2 80 7 5" xfId="21855" xr:uid="{58882BF9-5CB8-49F6-A1B2-C120340CE8C7}"/>
    <cellStyle name="Normal 2 80 7 6" xfId="21856" xr:uid="{EFCB29CA-33D0-428B-A292-849559912381}"/>
    <cellStyle name="Normal 2 80 8" xfId="21857" xr:uid="{67DBC2F7-6B67-4165-92DB-585FC7161793}"/>
    <cellStyle name="Normal 2 80 9" xfId="21858" xr:uid="{2A97F9AE-A631-4D2D-8151-4A4851961666}"/>
    <cellStyle name="Normal 2 81" xfId="21859" xr:uid="{71C598DF-EDE5-4D2C-969F-50FC0E57B337}"/>
    <cellStyle name="Normal 2 82" xfId="21860" xr:uid="{CBF9315D-DD99-4FFF-B17D-5DEBA8FDC17F}"/>
    <cellStyle name="Normal 2 83" xfId="21861" xr:uid="{09ECCE45-B4D3-48CA-8F96-8314C2557753}"/>
    <cellStyle name="Normal 2 84" xfId="21862" xr:uid="{06CBF735-CE51-437A-AACF-0DC59072B937}"/>
    <cellStyle name="Normal 2 85" xfId="21863" xr:uid="{A97C525C-B653-4E27-A8E7-1A2221A9823C}"/>
    <cellStyle name="Normal 2 86" xfId="21864" xr:uid="{BC74B1B4-0A51-4269-A6C3-AC11B16CE8A9}"/>
    <cellStyle name="Normal 2 87" xfId="21865" xr:uid="{908D0210-8F4E-4130-93DB-59E1CE0199F5}"/>
    <cellStyle name="Normal 2 88" xfId="21866" xr:uid="{CB444E55-BB49-4E29-B4C1-60F6AF520631}"/>
    <cellStyle name="Normal 2 88 10" xfId="21867" xr:uid="{729F5FBC-D6BC-4CC0-A8F5-555D4B608F1B}"/>
    <cellStyle name="Normal 2 88 11" xfId="21868" xr:uid="{63A1B1DB-8290-41F0-A4B4-FFED9C365C82}"/>
    <cellStyle name="Normal 2 88 11 2" xfId="21869" xr:uid="{0004942D-D0E0-43C5-A0EB-7F0D9DA23236}"/>
    <cellStyle name="Normal 2 88 11 3" xfId="21870" xr:uid="{7581ECA9-ED7B-497E-9FFB-7BF4B6E2F241}"/>
    <cellStyle name="Normal 2 88 11 4" xfId="21871" xr:uid="{31F84785-9BFC-478D-A191-2B225D2768E9}"/>
    <cellStyle name="Normal 2 88 12" xfId="21872" xr:uid="{B264CABE-46C0-4AC5-A460-997239554732}"/>
    <cellStyle name="Normal 2 88 13" xfId="21873" xr:uid="{7F4CCBAC-8379-4016-890D-DFE5F854F750}"/>
    <cellStyle name="Normal 2 88 14" xfId="21874" xr:uid="{BCAD2A8C-B51E-4DDD-A264-C3AA389DF17A}"/>
    <cellStyle name="Normal 2 88 2" xfId="21875" xr:uid="{E35A2674-612B-4272-BF37-418EBAEB72DD}"/>
    <cellStyle name="Normal 2 88 2 10" xfId="21876" xr:uid="{9B2B9F4A-B9F2-4C71-9D13-62F35DCB7F0F}"/>
    <cellStyle name="Normal 2 88 2 11" xfId="21877" xr:uid="{0FCDC852-B99C-45B0-AF8B-E92DEFBD45D7}"/>
    <cellStyle name="Normal 2 88 2 2" xfId="21878" xr:uid="{74A41A58-2A36-40CD-A29F-E3245D9FB8C6}"/>
    <cellStyle name="Normal 2 88 2 2 10" xfId="21879" xr:uid="{04A4ED53-8985-4C0F-931F-00C0BFFA8A47}"/>
    <cellStyle name="Normal 2 88 2 2 11" xfId="21880" xr:uid="{81C35023-CD4A-48EE-9342-90F077699980}"/>
    <cellStyle name="Normal 2 88 2 2 2" xfId="21881" xr:uid="{F2B9E8FA-117B-4F9E-9A7C-4CE2D97DF234}"/>
    <cellStyle name="Normal 2 88 2 2 2 2" xfId="21882" xr:uid="{09876D1E-271F-4F18-8EBD-AE69C8098CBD}"/>
    <cellStyle name="Normal 2 88 2 2 2 2 2" xfId="21883" xr:uid="{3ADBE7A4-4909-4A54-9DEF-97C48DB6AA6D}"/>
    <cellStyle name="Normal 2 88 2 2 2 2 3" xfId="21884" xr:uid="{F09B49C5-2D02-4FCC-AD28-8E1D16B4938C}"/>
    <cellStyle name="Normal 2 88 2 2 2 2 4" xfId="21885" xr:uid="{188D24BB-C7A4-4F7F-9EAC-C6A5ECFF1F3E}"/>
    <cellStyle name="Normal 2 88 2 2 2 3" xfId="21886" xr:uid="{8D8A1387-B9CD-444B-851D-0601C25D3280}"/>
    <cellStyle name="Normal 2 88 2 2 2 4" xfId="21887" xr:uid="{896F99BE-CEF6-4E9F-BB88-86B608521889}"/>
    <cellStyle name="Normal 2 88 2 2 2 5" xfId="21888" xr:uid="{07D716C2-3B6E-4BA6-ACC1-44E8AD68948E}"/>
    <cellStyle name="Normal 2 88 2 2 2 6" xfId="21889" xr:uid="{A88348D2-D216-45DB-9D94-5D13841D4B49}"/>
    <cellStyle name="Normal 2 88 2 2 3" xfId="21890" xr:uid="{17D5078A-48FC-480E-8796-1EE2A2B3F0C9}"/>
    <cellStyle name="Normal 2 88 2 2 4" xfId="21891" xr:uid="{13CB45C0-C9D8-471D-B92F-4807161F9C03}"/>
    <cellStyle name="Normal 2 88 2 2 5" xfId="21892" xr:uid="{BCA47A03-CA07-4ED1-A68C-45DBC7D44516}"/>
    <cellStyle name="Normal 2 88 2 2 6" xfId="21893" xr:uid="{30494150-D8FF-494D-8941-8ECA5AE466B9}"/>
    <cellStyle name="Normal 2 88 2 2 7" xfId="21894" xr:uid="{F20728DC-288E-4059-9E54-A1421584B99D}"/>
    <cellStyle name="Normal 2 88 2 2 8" xfId="21895" xr:uid="{FAEB643F-C845-48B8-9015-4AD6D5978F0E}"/>
    <cellStyle name="Normal 2 88 2 2 8 2" xfId="21896" xr:uid="{B6B37299-46D1-4305-A8CF-7EED95DCE736}"/>
    <cellStyle name="Normal 2 88 2 2 8 3" xfId="21897" xr:uid="{4B3DD535-F823-4ED9-BB9E-89328B891E75}"/>
    <cellStyle name="Normal 2 88 2 2 8 4" xfId="21898" xr:uid="{A1661EA2-E2A2-45F9-A382-84D0858DA5B2}"/>
    <cellStyle name="Normal 2 88 2 2 9" xfId="21899" xr:uid="{66536EA9-69E9-4868-B7F4-267C4A3F1B58}"/>
    <cellStyle name="Normal 2 88 2 3" xfId="21900" xr:uid="{083B8D3A-E999-403C-984B-6FD00604BA6E}"/>
    <cellStyle name="Normal 2 88 2 3 2" xfId="21901" xr:uid="{52CEECEA-0B63-40B4-97DD-9F7EEE91BF5C}"/>
    <cellStyle name="Normal 2 88 2 3 2 2" xfId="21902" xr:uid="{4515018C-568B-4A7E-A899-9497DC0E927A}"/>
    <cellStyle name="Normal 2 88 2 3 2 3" xfId="21903" xr:uid="{0B8D9265-29D0-4E6A-B14E-42CF21BAE98A}"/>
    <cellStyle name="Normal 2 88 2 3 2 4" xfId="21904" xr:uid="{F3336B42-61CF-4CB0-BCBA-A15243090D16}"/>
    <cellStyle name="Normal 2 88 2 3 3" xfId="21905" xr:uid="{81910E79-40C9-4DEA-87E5-F57AA70E713C}"/>
    <cellStyle name="Normal 2 88 2 3 4" xfId="21906" xr:uid="{0A9541C4-E705-4CF1-AB6C-8B617B455758}"/>
    <cellStyle name="Normal 2 88 2 3 5" xfId="21907" xr:uid="{EE75EC0D-012D-4C3A-ABA1-2EC8959E339F}"/>
    <cellStyle name="Normal 2 88 2 3 6" xfId="21908" xr:uid="{CDD1FE65-BC27-4B7B-B8E0-C0D05AE426AA}"/>
    <cellStyle name="Normal 2 88 2 4" xfId="21909" xr:uid="{E51098D9-65E7-4C3E-B25C-1DEE71AAE349}"/>
    <cellStyle name="Normal 2 88 2 5" xfId="21910" xr:uid="{B9DD0CCD-4460-4230-9AE6-9AFAE635B6C7}"/>
    <cellStyle name="Normal 2 88 2 6" xfId="21911" xr:uid="{170702DC-3CC3-41E1-8B85-BF2C4109B202}"/>
    <cellStyle name="Normal 2 88 2 7" xfId="21912" xr:uid="{575F0717-60AD-4795-8415-BED5D4DB0877}"/>
    <cellStyle name="Normal 2 88 2 8" xfId="21913" xr:uid="{2147C59D-DD26-41C5-BFF9-4FEA38F34928}"/>
    <cellStyle name="Normal 2 88 2 8 2" xfId="21914" xr:uid="{C37E001D-21CE-4FFC-92A7-12CC434B38B0}"/>
    <cellStyle name="Normal 2 88 2 8 3" xfId="21915" xr:uid="{E7918AE7-1453-4922-B12C-E7F7CAC7ABA7}"/>
    <cellStyle name="Normal 2 88 2 8 4" xfId="21916" xr:uid="{085C9781-E64F-4E7A-9C26-217325D62FD1}"/>
    <cellStyle name="Normal 2 88 2 9" xfId="21917" xr:uid="{C6A51E38-DFA2-46EB-AF38-3E2DFCBCAD79}"/>
    <cellStyle name="Normal 2 88 3" xfId="21918" xr:uid="{C7984F94-6126-4296-AF8A-241D01D41B1A}"/>
    <cellStyle name="Normal 2 88 4" xfId="21919" xr:uid="{242F4AD3-F29B-4CF6-A1D0-716F7D7256D5}"/>
    <cellStyle name="Normal 2 88 5" xfId="21920" xr:uid="{0DDC2762-545A-470E-B9E8-4BDD0EF0B70B}"/>
    <cellStyle name="Normal 2 88 5 2" xfId="21921" xr:uid="{CE8319FA-1BA0-4FB7-AFF0-6D837C54B5C4}"/>
    <cellStyle name="Normal 2 88 5 2 2" xfId="21922" xr:uid="{F68240DB-40DB-4793-B1FF-7EE518925B9E}"/>
    <cellStyle name="Normal 2 88 5 2 3" xfId="21923" xr:uid="{58DB0191-E452-40DD-817C-0901078CD8D4}"/>
    <cellStyle name="Normal 2 88 5 2 4" xfId="21924" xr:uid="{BF3A1B2D-5C65-4F7D-8E50-BAFDBA95C420}"/>
    <cellStyle name="Normal 2 88 5 3" xfId="21925" xr:uid="{0E2877DA-2C09-4225-B823-7233FD27147B}"/>
    <cellStyle name="Normal 2 88 5 4" xfId="21926" xr:uid="{83DF1A57-A70C-4E53-A0EF-17E0D09A668C}"/>
    <cellStyle name="Normal 2 88 5 5" xfId="21927" xr:uid="{2B630DCD-1A9E-4413-B188-CACC0F5E52EB}"/>
    <cellStyle name="Normal 2 88 5 6" xfId="21928" xr:uid="{BB18E39E-1EB8-48D0-9980-A82451605C36}"/>
    <cellStyle name="Normal 2 88 6" xfId="21929" xr:uid="{C27970B3-FCCF-46AC-A766-D9CB566AAC18}"/>
    <cellStyle name="Normal 2 88 7" xfId="21930" xr:uid="{BDC63865-6A3F-4D6E-B761-73B0AF0F7712}"/>
    <cellStyle name="Normal 2 88 8" xfId="21931" xr:uid="{C20C4206-889D-4C2E-B09B-52184704E4ED}"/>
    <cellStyle name="Normal 2 88 9" xfId="21932" xr:uid="{C14CB6AF-578D-4C39-ACA3-24E741659DD1}"/>
    <cellStyle name="Normal 2 89" xfId="21933" xr:uid="{318B8BF6-34AB-4E17-924B-94871AFDA577}"/>
    <cellStyle name="Normal 2 9" xfId="21934" xr:uid="{7BDE7A13-DBBA-4116-BC32-C0BCB98634AE}"/>
    <cellStyle name="Normal 2 9 2" xfId="21935" xr:uid="{59DF7269-2011-43A1-8C68-675E26B2757E}"/>
    <cellStyle name="Normal 2 9 3" xfId="21936" xr:uid="{979867FA-624D-426F-96BC-0C80CC5353AF}"/>
    <cellStyle name="Normal 2 90" xfId="21937" xr:uid="{1349D1B6-874A-4B37-8211-E733E4855978}"/>
    <cellStyle name="Normal 2 90 10" xfId="21938" xr:uid="{AF9DB40E-1666-49B1-B898-428F183AEA97}"/>
    <cellStyle name="Normal 2 90 11" xfId="21939" xr:uid="{535EF116-996D-40EA-BD87-D9AEF16064EE}"/>
    <cellStyle name="Normal 2 90 2" xfId="21940" xr:uid="{230D8E94-4E8D-449A-9542-CA6A98E4324E}"/>
    <cellStyle name="Normal 2 90 2 10" xfId="21941" xr:uid="{361859A2-1AEE-4E1C-A73C-2A8F75CCFF5D}"/>
    <cellStyle name="Normal 2 90 2 11" xfId="21942" xr:uid="{BCC79272-E54E-4829-B6C3-B72EA3D0CCEA}"/>
    <cellStyle name="Normal 2 90 2 2" xfId="21943" xr:uid="{132094ED-1FB0-4015-907E-55D0CD99DFEB}"/>
    <cellStyle name="Normal 2 90 2 2 2" xfId="21944" xr:uid="{41665043-3CB8-4B50-A2C9-82076474BD11}"/>
    <cellStyle name="Normal 2 90 2 2 2 2" xfId="21945" xr:uid="{12DA9868-3A1F-48A6-91CA-3D5EF7C88768}"/>
    <cellStyle name="Normal 2 90 2 2 2 3" xfId="21946" xr:uid="{2538A465-B362-4C8A-A1F9-B454A61F2AE1}"/>
    <cellStyle name="Normal 2 90 2 2 2 4" xfId="21947" xr:uid="{8B31E858-F995-40B9-BB99-3908D80467DF}"/>
    <cellStyle name="Normal 2 90 2 2 3" xfId="21948" xr:uid="{8BC335E7-DBA9-4939-A3D9-0FB75CC2A068}"/>
    <cellStyle name="Normal 2 90 2 2 4" xfId="21949" xr:uid="{C9B47C8B-B173-4CEB-8C0B-AA40945FB413}"/>
    <cellStyle name="Normal 2 90 2 2 5" xfId="21950" xr:uid="{5228AADA-0578-4039-8330-AA837BEE1B52}"/>
    <cellStyle name="Normal 2 90 2 2 6" xfId="21951" xr:uid="{E5DADC4C-64D6-4631-B30B-D5DD307CAED8}"/>
    <cellStyle name="Normal 2 90 2 3" xfId="21952" xr:uid="{8CD1E7CA-0539-411A-8A45-C29CB5770035}"/>
    <cellStyle name="Normal 2 90 2 4" xfId="21953" xr:uid="{147AA0E2-3DF8-4D72-A313-18DE5B201A36}"/>
    <cellStyle name="Normal 2 90 2 5" xfId="21954" xr:uid="{DF855695-8267-4BBF-97E8-76EF52D81C8A}"/>
    <cellStyle name="Normal 2 90 2 6" xfId="21955" xr:uid="{FB945EBE-C4A9-4058-A69F-41F23DFCD0FA}"/>
    <cellStyle name="Normal 2 90 2 7" xfId="21956" xr:uid="{F1F97C9F-0FAD-4BBC-9EEC-C8CD39E19E81}"/>
    <cellStyle name="Normal 2 90 2 8" xfId="21957" xr:uid="{8B5442B3-6A20-4AD2-A723-E6012B0F94D9}"/>
    <cellStyle name="Normal 2 90 2 8 2" xfId="21958" xr:uid="{2B018633-B125-4A9C-AFD2-8ED986EC378E}"/>
    <cellStyle name="Normal 2 90 2 8 3" xfId="21959" xr:uid="{D2FE61D4-D994-4066-A09F-B2D422E0A0AF}"/>
    <cellStyle name="Normal 2 90 2 8 4" xfId="21960" xr:uid="{8ABEF227-3390-47A6-A4BB-99C03DDBEF6F}"/>
    <cellStyle name="Normal 2 90 2 9" xfId="21961" xr:uid="{5DBFD669-D78D-4423-8B73-2386C0634F50}"/>
    <cellStyle name="Normal 2 90 3" xfId="21962" xr:uid="{1B3184E9-9231-47EE-9401-7B6E9A1AFA4D}"/>
    <cellStyle name="Normal 2 90 3 2" xfId="21963" xr:uid="{098C4D10-D1B2-4DE5-B5C2-9E36F4F8817D}"/>
    <cellStyle name="Normal 2 90 3 2 2" xfId="21964" xr:uid="{A90CF06A-58AF-4192-833F-5D0BEEA0D015}"/>
    <cellStyle name="Normal 2 90 3 2 3" xfId="21965" xr:uid="{0867F743-330C-41DE-8CB2-90239DE90469}"/>
    <cellStyle name="Normal 2 90 3 2 4" xfId="21966" xr:uid="{41E58E02-47EF-4B03-9FD0-95415BF5B9B2}"/>
    <cellStyle name="Normal 2 90 3 3" xfId="21967" xr:uid="{34512F83-9AA8-444A-B758-69C4CF38E853}"/>
    <cellStyle name="Normal 2 90 3 4" xfId="21968" xr:uid="{192B8964-6FDF-41FC-8F70-935496B4536D}"/>
    <cellStyle name="Normal 2 90 3 5" xfId="21969" xr:uid="{5D23DDE6-A4C5-44BB-8992-842F121818FC}"/>
    <cellStyle name="Normal 2 90 3 6" xfId="21970" xr:uid="{7FC660DD-5A64-4117-871D-9B1496703247}"/>
    <cellStyle name="Normal 2 90 4" xfId="21971" xr:uid="{937AEAA1-7851-4516-9928-93D49C10A364}"/>
    <cellStyle name="Normal 2 90 5" xfId="21972" xr:uid="{56E9D7C8-2836-49AB-AA96-4735256743AF}"/>
    <cellStyle name="Normal 2 90 6" xfId="21973" xr:uid="{0F90213B-C6F1-4917-BFE0-E068917918CF}"/>
    <cellStyle name="Normal 2 90 7" xfId="21974" xr:uid="{BB4BEEA9-5887-4952-83D2-2FA48CD8992C}"/>
    <cellStyle name="Normal 2 90 8" xfId="21975" xr:uid="{090A0718-724F-40E0-9BEF-DB6765CF809F}"/>
    <cellStyle name="Normal 2 90 8 2" xfId="21976" xr:uid="{16571A3E-815B-4ECA-8921-571230D14FFC}"/>
    <cellStyle name="Normal 2 90 8 3" xfId="21977" xr:uid="{CECD9A4D-450B-4FC1-9F64-BB421040E7C2}"/>
    <cellStyle name="Normal 2 90 8 4" xfId="21978" xr:uid="{99BA53C2-AF61-422E-BFDC-9A4209AA9476}"/>
    <cellStyle name="Normal 2 90 9" xfId="21979" xr:uid="{E91596FF-73AF-4658-90BD-FF2C1A3AAFD8}"/>
    <cellStyle name="Normal 2 91" xfId="21980" xr:uid="{2459DF8F-745F-4A58-8508-79668BE20478}"/>
    <cellStyle name="Normal 2 92" xfId="21981" xr:uid="{533377D2-A26B-48B7-9B68-7750B5755C55}"/>
    <cellStyle name="Normal 2 92 2" xfId="21982" xr:uid="{8BEAD490-176A-4E88-943B-974747A7EA84}"/>
    <cellStyle name="Normal 2 92 2 2" xfId="21983" xr:uid="{3557D722-A55E-4E37-994E-09B0F7A5ABF7}"/>
    <cellStyle name="Normal 2 92 2 3" xfId="21984" xr:uid="{DDD6C9A0-D78E-4C3F-9CE6-9B30924D013E}"/>
    <cellStyle name="Normal 2 92 2 4" xfId="21985" xr:uid="{F46C6D05-85FD-4B81-B603-0131FAB295FC}"/>
    <cellStyle name="Normal 2 92 3" xfId="21986" xr:uid="{5503AADA-0DD9-4965-894A-700255879B24}"/>
    <cellStyle name="Normal 2 92 4" xfId="21987" xr:uid="{9510426D-81D2-4796-AFEB-4E048B254C3D}"/>
    <cellStyle name="Normal 2 92 5" xfId="21988" xr:uid="{FCFF10F2-8C8C-40D9-A1D4-7ABECF794CDB}"/>
    <cellStyle name="Normal 2 92 6" xfId="21989" xr:uid="{FE98FE99-1659-4FA2-A429-F35A81763784}"/>
    <cellStyle name="Normal 2 93" xfId="21990" xr:uid="{B72458D0-ECF2-4BD5-B7FE-84C6FAA19A63}"/>
    <cellStyle name="Normal 2 94" xfId="21991" xr:uid="{F791AFA1-6B63-4A62-BC72-B636175BE1E2}"/>
    <cellStyle name="Normal 2 95" xfId="21992" xr:uid="{20B807D1-9E5F-4C8A-B44A-D6D1F97ED382}"/>
    <cellStyle name="Normal 2 96" xfId="21993" xr:uid="{191A72E8-1847-44BF-8759-12ED78B40E44}"/>
    <cellStyle name="Normal 2 97" xfId="21994" xr:uid="{427E7735-3592-4136-93DF-C723C86C8DD3}"/>
    <cellStyle name="Normal 2 98" xfId="21995" xr:uid="{F68F97E3-8843-4D48-B47D-9346808C0343}"/>
    <cellStyle name="Normal 2 98 2" xfId="21996" xr:uid="{4BA754AF-D5BD-4E01-AB21-3959023A028A}"/>
    <cellStyle name="Normal 2 98 3" xfId="21997" xr:uid="{BF670B44-F19F-4FBF-8617-572F954146F5}"/>
    <cellStyle name="Normal 2 98 4" xfId="21998" xr:uid="{E9F5E7EA-D11F-48EF-9913-EC845D8AAA2D}"/>
    <cellStyle name="Normal 2 99" xfId="21999" xr:uid="{369A27D5-D757-4EAA-8E5A-B6FE361F7B47}"/>
    <cellStyle name="Normal 2_110621 OBRoutput FSR transUpdate and tobacco jun25" xfId="22000" xr:uid="{DB7A8C40-981A-49F4-BE94-97384BDB8EC3}"/>
    <cellStyle name="Normal 20" xfId="22001" xr:uid="{1C5E0DBF-1575-4141-BB8A-B40C6E5E83CC}"/>
    <cellStyle name="Normal 20 10" xfId="22002" xr:uid="{BC632736-FED1-4173-AE75-6B2BC2E20655}"/>
    <cellStyle name="Normal 20 11" xfId="22003" xr:uid="{46474A19-BE64-4551-B175-504478D249B9}"/>
    <cellStyle name="Normal 20 12" xfId="22004" xr:uid="{FD7EA5D5-E2FE-4145-AA30-85BC05136231}"/>
    <cellStyle name="Normal 20 13" xfId="22005" xr:uid="{C4D4D764-42F3-494E-9026-C34D7C5338F8}"/>
    <cellStyle name="Normal 20 14" xfId="22006" xr:uid="{980FB118-CD11-4532-ACA0-BBF125AE650B}"/>
    <cellStyle name="Normal 20 15" xfId="22007" xr:uid="{5A58C9D6-FE52-4CF6-9D6E-CBDAA22D7885}"/>
    <cellStyle name="Normal 20 16" xfId="22008" xr:uid="{ED317109-9FCA-484C-B1C6-EEAFBB2C6909}"/>
    <cellStyle name="Normal 20 17" xfId="22009" xr:uid="{6681B740-AF72-445F-89F6-3AF7ADF349B5}"/>
    <cellStyle name="Normal 20 18" xfId="22010" xr:uid="{69AE85DD-2925-4A9E-8399-30783958EFD1}"/>
    <cellStyle name="Normal 20 19" xfId="22011" xr:uid="{C2B9E893-6517-409F-B4D8-27F076A876F3}"/>
    <cellStyle name="Normal 20 2" xfId="22012" xr:uid="{1D66549F-0940-47DB-892F-7A1C89889890}"/>
    <cellStyle name="Normal 20 2 2" xfId="22013" xr:uid="{86F9D734-F36A-45F8-9C5E-E804E40F66C9}"/>
    <cellStyle name="Normal 20 2 2 2" xfId="22014" xr:uid="{C5F550E6-269B-4625-9B8D-486D25EAC8DD}"/>
    <cellStyle name="Normal 20 2 3" xfId="22015" xr:uid="{FA01F9AA-926B-41E1-824D-4BC7BCE90671}"/>
    <cellStyle name="Normal 20 20" xfId="22016" xr:uid="{4FC90D62-5E7F-440B-8FB7-3EAD24989FDD}"/>
    <cellStyle name="Normal 20 21" xfId="22017" xr:uid="{9324390D-D774-44FE-A49C-F78E830F91C8}"/>
    <cellStyle name="Normal 20 22" xfId="22018" xr:uid="{F2922EF8-6EC4-4F18-8E24-69583F9B09C1}"/>
    <cellStyle name="Normal 20 23" xfId="22019" xr:uid="{986AC397-3AD7-4D2A-AC82-FB8B10B486AD}"/>
    <cellStyle name="Normal 20 3" xfId="22020" xr:uid="{2EA4B896-DDB0-4008-B661-D729F2539257}"/>
    <cellStyle name="Normal 20 3 2" xfId="22021" xr:uid="{FA631423-0C7B-41B7-979A-9DED3145F314}"/>
    <cellStyle name="Normal 20 4" xfId="22022" xr:uid="{9E2D2CE4-AC48-4862-893D-FBB590570356}"/>
    <cellStyle name="Normal 20 5" xfId="22023" xr:uid="{6474E37C-3043-4E94-9D7F-AD8C22805678}"/>
    <cellStyle name="Normal 20 6" xfId="22024" xr:uid="{AEAE0B54-2E8F-4339-AC8D-0F40BC1E4F8B}"/>
    <cellStyle name="Normal 20 7" xfId="22025" xr:uid="{9FA33A18-8494-43CB-9A21-8701F68367DF}"/>
    <cellStyle name="Normal 20 8" xfId="22026" xr:uid="{88910753-ED38-4D90-B2B2-D9C0ECC33C7D}"/>
    <cellStyle name="Normal 20 9" xfId="22027" xr:uid="{BB785272-4B10-4D2A-AB3E-8C3642D2A7AE}"/>
    <cellStyle name="Normal 200" xfId="22028" xr:uid="{AE432CF4-BC59-45E6-9CB8-C8663AA4D217}"/>
    <cellStyle name="Normal 201" xfId="22029" xr:uid="{54106CB5-F9BE-4CC3-8ABC-46F9FF096D04}"/>
    <cellStyle name="Normal 202" xfId="22030" xr:uid="{8BDB5B58-CEC1-46A0-891F-BFFDBAB9FB86}"/>
    <cellStyle name="Normal 203" xfId="22031" xr:uid="{9F64372C-8C5C-46E4-B138-040B7FCB5437}"/>
    <cellStyle name="Normal 204" xfId="22032" xr:uid="{D17C1903-1AC6-4900-9A21-0BCE3706232E}"/>
    <cellStyle name="Normal 205" xfId="22033" xr:uid="{83D24995-DC01-40C5-A65A-0125474437F3}"/>
    <cellStyle name="Normal 206" xfId="22034" xr:uid="{58886211-420E-4089-9A3B-F0264AECBB08}"/>
    <cellStyle name="Normal 207" xfId="22035" xr:uid="{4DB87D24-CD49-4124-B717-34C71A9A0F3D}"/>
    <cellStyle name="Normal 208" xfId="22036" xr:uid="{05655D85-0F21-4DBC-B83A-DE50C0397505}"/>
    <cellStyle name="Normal 208 2" xfId="22037" xr:uid="{2FEA53EF-B8BF-4206-BEDD-17D8005B5D6B}"/>
    <cellStyle name="Normal 208 3" xfId="22038" xr:uid="{19910F0F-6F24-4314-BA2F-ACBCFAB0D72C}"/>
    <cellStyle name="Normal 208 4" xfId="22039" xr:uid="{3CEBBFCA-F955-425C-89C3-254C63F1FDBE}"/>
    <cellStyle name="Normal 209" xfId="22040" xr:uid="{759F3B98-D8FB-4E53-86F3-F1BFD278CCA1}"/>
    <cellStyle name="Normal 209 2" xfId="22041" xr:uid="{B330CC71-399C-4402-99DE-A4C41E287072}"/>
    <cellStyle name="Normal 209 2 2" xfId="22042" xr:uid="{3A354C47-A632-44F7-9CC6-2EA230661371}"/>
    <cellStyle name="Normal 21" xfId="22043" xr:uid="{51037BCC-9C5B-48EF-8E22-E71B9D7EEDDD}"/>
    <cellStyle name="Normal 21 10" xfId="22044" xr:uid="{33B641BA-C9A8-441C-B829-98AEA2A53076}"/>
    <cellStyle name="Normal 21 11" xfId="22045" xr:uid="{654DE594-B8F7-4A84-873D-15CBF70FFF1F}"/>
    <cellStyle name="Normal 21 12" xfId="22046" xr:uid="{0182CE99-AD64-4CAC-83F3-51AC371AA1F1}"/>
    <cellStyle name="Normal 21 13" xfId="22047" xr:uid="{618F7701-C993-4DCE-97D0-0B97EB5B4B3D}"/>
    <cellStyle name="Normal 21 14" xfId="22048" xr:uid="{A2099D94-2A7C-42CB-A14D-56B352D20B11}"/>
    <cellStyle name="Normal 21 15" xfId="22049" xr:uid="{BA0E40E4-1C61-4EB4-BE2C-3ED7EB490E4D}"/>
    <cellStyle name="Normal 21 16" xfId="22050" xr:uid="{4F876C9B-987E-4C40-BC05-9A9D0F9A8F63}"/>
    <cellStyle name="Normal 21 17" xfId="22051" xr:uid="{3B872AAD-7113-4E87-8C09-7412C40F6B34}"/>
    <cellStyle name="Normal 21 18" xfId="22052" xr:uid="{5A267FD8-E7D1-4432-889C-F1682B5B290B}"/>
    <cellStyle name="Normal 21 19" xfId="22053" xr:uid="{C42AD67D-E6DC-4173-84C0-E0BC71C3DD8C}"/>
    <cellStyle name="Normal 21 2" xfId="22054" xr:uid="{8E6C8AAC-3B24-414F-8EE6-518A53E0DA9E}"/>
    <cellStyle name="Normal 21 2 2" xfId="22055" xr:uid="{1734E625-12EE-42A5-8FAD-C2429C4E1C18}"/>
    <cellStyle name="Normal 21 20" xfId="22056" xr:uid="{A8DFEBD2-C3D9-4AB6-949E-D72E8AB1451F}"/>
    <cellStyle name="Normal 21 21" xfId="22057" xr:uid="{29B4D74E-1CC7-476F-8EF8-75AC23044592}"/>
    <cellStyle name="Normal 21 22" xfId="22058" xr:uid="{E17FDABA-176E-41E7-8F6B-39CE528C2CBD}"/>
    <cellStyle name="Normal 21 23" xfId="22059" xr:uid="{894B8CDE-D3DA-42BF-9AC4-123F09AECB6F}"/>
    <cellStyle name="Normal 21 3" xfId="22060" xr:uid="{BF21593B-BE8D-4B20-9499-9CA0E655F16B}"/>
    <cellStyle name="Normal 21 4" xfId="22061" xr:uid="{0A5EE43D-2B05-405B-B3F3-5CB2D7329A85}"/>
    <cellStyle name="Normal 21 5" xfId="22062" xr:uid="{9F964608-E848-4B86-96C9-6C770F61B5E9}"/>
    <cellStyle name="Normal 21 6" xfId="22063" xr:uid="{B8FE5797-4041-48CC-8D14-74865A53CC8A}"/>
    <cellStyle name="Normal 21 7" xfId="22064" xr:uid="{D81CCA28-23FB-4B90-A882-AFD0DA903735}"/>
    <cellStyle name="Normal 21 8" xfId="22065" xr:uid="{9D60472E-F97D-424E-8988-9B9EAF398B39}"/>
    <cellStyle name="Normal 21 9" xfId="22066" xr:uid="{0BA3ACFE-8ABB-427F-AAF0-A7FE4EDD0E63}"/>
    <cellStyle name="Normal 21_Book1" xfId="22067" xr:uid="{ED43EE51-09AF-4C5A-9B3E-F1807645AF04}"/>
    <cellStyle name="Normal 210" xfId="22068" xr:uid="{9CCF582E-4E79-488D-A542-36E029A45627}"/>
    <cellStyle name="Normal 211" xfId="22069" xr:uid="{5A1F53F3-CF0A-4A2D-9D01-853AC3C73886}"/>
    <cellStyle name="Normal 212" xfId="22070" xr:uid="{E1465964-77DC-4A26-8E30-63F279294FB5}"/>
    <cellStyle name="Normal 213" xfId="22071" xr:uid="{AD002C7B-265D-40E8-BD59-9D1559615B0A}"/>
    <cellStyle name="Normal 214" xfId="22072" xr:uid="{673058BD-9567-4CB4-8116-17DD986A25A3}"/>
    <cellStyle name="Normal 215" xfId="22073" xr:uid="{AFC202CB-EF08-40BA-A781-ACC4D1F0C9EA}"/>
    <cellStyle name="Normal 216" xfId="22074" xr:uid="{E3A53A96-D8EF-40B0-AAFB-790CE56FCE9A}"/>
    <cellStyle name="Normal 217" xfId="22075" xr:uid="{917EA739-B24A-455F-9C51-B5E379BD50C2}"/>
    <cellStyle name="Normal 218" xfId="22076" xr:uid="{97C74DB5-8D3C-41B1-8E79-08C0225ED279}"/>
    <cellStyle name="Normal 219" xfId="22077" xr:uid="{DB765968-1011-46D1-95AC-96C743FCAB42}"/>
    <cellStyle name="Normal 22" xfId="22078" xr:uid="{EA85AFB0-A562-4CC4-B778-344E44E6DE1D}"/>
    <cellStyle name="Normal 22 10" xfId="22079" xr:uid="{65F4BAFC-3237-4575-ADB1-9A29C0DC0B0D}"/>
    <cellStyle name="Normal 22 11" xfId="22080" xr:uid="{0D2797ED-68F1-4197-811F-6052E4586727}"/>
    <cellStyle name="Normal 22 12" xfId="22081" xr:uid="{68F7F54A-DFBD-46E2-8A42-900BE01D208D}"/>
    <cellStyle name="Normal 22 13" xfId="22082" xr:uid="{39B36FC4-2288-4EDD-BEF6-48DD1A58904C}"/>
    <cellStyle name="Normal 22 14" xfId="22083" xr:uid="{1C92B8DB-CE3C-4221-8B62-C99CDDFD72CB}"/>
    <cellStyle name="Normal 22 15" xfId="22084" xr:uid="{4666190D-9844-4737-8762-3C534D5306F8}"/>
    <cellStyle name="Normal 22 16" xfId="22085" xr:uid="{321B3965-FB06-4589-8833-77D7A10DC9FE}"/>
    <cellStyle name="Normal 22 17" xfId="22086" xr:uid="{88774289-C31F-472D-872F-702EC290C695}"/>
    <cellStyle name="Normal 22 18" xfId="22087" xr:uid="{E1EAF625-6626-43DB-A2D3-BEFBF0DE8AFB}"/>
    <cellStyle name="Normal 22 19" xfId="22088" xr:uid="{F910E114-2567-4530-8E7C-C2A81A942A49}"/>
    <cellStyle name="Normal 22 2" xfId="22089" xr:uid="{E8CE4469-A3D1-431D-86FB-CE46EEBA5D7E}"/>
    <cellStyle name="Normal 22 2 2" xfId="22090" xr:uid="{09F58D63-AB61-4A21-B2BD-180F48689E05}"/>
    <cellStyle name="Normal 22 20" xfId="22091" xr:uid="{7AEF2FAD-58DE-494D-B32F-65F44C4ABFC4}"/>
    <cellStyle name="Normal 22 21" xfId="22092" xr:uid="{B806437A-D8AB-4475-9338-2C4B752FBCA7}"/>
    <cellStyle name="Normal 22 22" xfId="22093" xr:uid="{3F6B4163-B665-4BD1-AE7F-FCB5ECD8E392}"/>
    <cellStyle name="Normal 22 23" xfId="22094" xr:uid="{D787F80C-0AEA-4F8A-85BB-89564C22E182}"/>
    <cellStyle name="Normal 22 3" xfId="22095" xr:uid="{AFA33108-C6CF-48AD-85FC-6E3A76438F15}"/>
    <cellStyle name="Normal 22 4" xfId="22096" xr:uid="{050E3254-A36A-4DD7-A560-1FD0E6A93487}"/>
    <cellStyle name="Normal 22 5" xfId="22097" xr:uid="{4A097C4B-1D30-4E84-A227-123C5591E60E}"/>
    <cellStyle name="Normal 22 6" xfId="22098" xr:uid="{780C0E06-8ECC-4FFB-8327-5063F87775FE}"/>
    <cellStyle name="Normal 22 7" xfId="22099" xr:uid="{0568D025-FE61-4892-8D52-9FFE053E81CA}"/>
    <cellStyle name="Normal 22 8" xfId="22100" xr:uid="{97158F49-E348-440C-99AC-248D25CA430B}"/>
    <cellStyle name="Normal 22 9" xfId="22101" xr:uid="{A38E74B8-34CD-44B2-ADFE-ED6D449F4C06}"/>
    <cellStyle name="Normal 22_Book1" xfId="22102" xr:uid="{EE87CB9E-B1D8-4F85-B762-C483B4B3E657}"/>
    <cellStyle name="Normal 220" xfId="22103" xr:uid="{71016AD3-2B07-4171-A47B-06F1BE444BB4}"/>
    <cellStyle name="Normal 221" xfId="22104" xr:uid="{1638BADE-128D-4248-8754-F2E973F0504B}"/>
    <cellStyle name="Normal 222" xfId="22105" xr:uid="{BEB6D2E5-ADBA-4C8A-9F82-4CAA7ED09E35}"/>
    <cellStyle name="Normal 223" xfId="22106" xr:uid="{3FE5AAB6-79BD-4216-B66B-7325D4AAD63F}"/>
    <cellStyle name="Normal 224" xfId="22107" xr:uid="{07E405FB-F5F5-44C6-A7CE-0DC9C053C07D}"/>
    <cellStyle name="Normal 225" xfId="22108" xr:uid="{FA8E92BF-F064-49B8-9097-76536E8DE0D3}"/>
    <cellStyle name="Normal 226" xfId="17" xr:uid="{18D614C9-89A5-4056-B1F9-9169D4EFDAAB}"/>
    <cellStyle name="Normal 227" xfId="37859" xr:uid="{DD3C5A49-0B23-4E34-9F17-7B63B362A711}"/>
    <cellStyle name="Normal 228" xfId="37858" xr:uid="{56F9612F-3454-4315-ACE4-E119D4D30D51}"/>
    <cellStyle name="Normal 229" xfId="37864" xr:uid="{E4D5EB61-A032-4A5B-858A-1FF18C0713F0}"/>
    <cellStyle name="Normal 23" xfId="22109" xr:uid="{CF7014A3-3E20-4662-ACBF-58B0816D75A7}"/>
    <cellStyle name="Normal 23 10" xfId="22110" xr:uid="{509CF84C-2491-4A19-8B13-E6EDF34640C6}"/>
    <cellStyle name="Normal 23 11" xfId="22111" xr:uid="{C8C8DF31-A33D-4669-B712-D61152836761}"/>
    <cellStyle name="Normal 23 12" xfId="22112" xr:uid="{F4CD5A18-DE8C-4EE2-B926-B52C2BD9F862}"/>
    <cellStyle name="Normal 23 13" xfId="22113" xr:uid="{65B82E67-C2EF-41A7-A6F4-63123DD7040A}"/>
    <cellStyle name="Normal 23 14" xfId="22114" xr:uid="{60AE05BC-740C-490F-B602-FA511E034E23}"/>
    <cellStyle name="Normal 23 15" xfId="22115" xr:uid="{5B55A676-EF43-4D12-8F96-C3350F14178C}"/>
    <cellStyle name="Normal 23 16" xfId="22116" xr:uid="{A08D4604-1CBF-4736-A9BB-CBC8E5E3F7D9}"/>
    <cellStyle name="Normal 23 17" xfId="22117" xr:uid="{704AD5E4-1052-4773-B9F8-75E23DFE7D90}"/>
    <cellStyle name="Normal 23 18" xfId="22118" xr:uid="{A88574AE-7872-4F37-BC71-2CF645E076F0}"/>
    <cellStyle name="Normal 23 19" xfId="22119" xr:uid="{6F599072-BDD9-44D1-BEED-51097AE8F88D}"/>
    <cellStyle name="Normal 23 2" xfId="22120" xr:uid="{7E57AD7D-9144-424D-B34C-741FC4931D48}"/>
    <cellStyle name="Normal 23 20" xfId="22121" xr:uid="{FEF2818D-E8FF-4E80-BBA1-4C8FC2032632}"/>
    <cellStyle name="Normal 23 21" xfId="22122" xr:uid="{9FF39148-5EBD-406D-87A2-53BF62C62128}"/>
    <cellStyle name="Normal 23 22" xfId="22123" xr:uid="{5C00CEC3-3D85-43BF-8DB2-6A0D06A69612}"/>
    <cellStyle name="Normal 23 23" xfId="22124" xr:uid="{EB82F303-4D5F-4979-96DF-5EF532A6B725}"/>
    <cellStyle name="Normal 23 3" xfId="22125" xr:uid="{2C37BB55-B40D-4A92-95D7-6B89D4A71917}"/>
    <cellStyle name="Normal 23 4" xfId="22126" xr:uid="{1D4C114E-A3CA-459B-97DB-654E7A7B09CE}"/>
    <cellStyle name="Normal 23 5" xfId="22127" xr:uid="{A62402B7-04F0-46DA-B5F0-9BBF8AA10C6C}"/>
    <cellStyle name="Normal 23 6" xfId="22128" xr:uid="{BBA903E7-FC13-4838-9195-9F0BFC3B92F6}"/>
    <cellStyle name="Normal 23 7" xfId="22129" xr:uid="{DA000A81-9429-4E9F-BC3F-21FA068A745F}"/>
    <cellStyle name="Normal 23 8" xfId="22130" xr:uid="{CC67BB61-D466-45FF-946C-CBA3909E36F7}"/>
    <cellStyle name="Normal 23 9" xfId="22131" xr:uid="{1B8B48EC-6E9B-4599-ABC6-372868EA2A7D}"/>
    <cellStyle name="Normal 230" xfId="37867" xr:uid="{9859AB65-3FC9-4488-A41F-EA074B1A5A28}"/>
    <cellStyle name="Normal 231" xfId="37869" xr:uid="{C10C7671-DCC7-4AB9-8C50-FC96B7F19844}"/>
    <cellStyle name="Normal 232" xfId="37871" xr:uid="{827BF9BE-2710-4565-9628-355305FC1874}"/>
    <cellStyle name="Normal 233" xfId="37873" xr:uid="{7CEA0DC3-5B06-4C2B-9E92-C94EBBC7753E}"/>
    <cellStyle name="Normal 234" xfId="37875" xr:uid="{44EA541F-CAFE-4045-BF33-FC48CEDEE1DC}"/>
    <cellStyle name="Normal 235" xfId="37877" xr:uid="{4ACD8E15-C818-4912-A720-8BE0C88E9A97}"/>
    <cellStyle name="Normal 236" xfId="37879" xr:uid="{86B8A82A-9ED4-472A-BC4C-CF5AF44E98A5}"/>
    <cellStyle name="Normal 237" xfId="37881" xr:uid="{D45DA1E4-1B5D-4453-8A87-FD060D0CF585}"/>
    <cellStyle name="Normal 238" xfId="37883" xr:uid="{F147C724-06AE-48C3-9896-F3BCC18D11C3}"/>
    <cellStyle name="Normal 239" xfId="37885" xr:uid="{7AA354DB-4289-4903-8905-0291E6D6CD6F}"/>
    <cellStyle name="Normal 24" xfId="22132" xr:uid="{1CA07AC8-A7F3-49E1-A5DA-8416CAF910A6}"/>
    <cellStyle name="Normal 24 10" xfId="22133" xr:uid="{2D013E22-4903-426E-9BF6-CAFB4F50FBAE}"/>
    <cellStyle name="Normal 24 11" xfId="22134" xr:uid="{D68D1F69-8D68-440A-96EA-3A1091701BAC}"/>
    <cellStyle name="Normal 24 12" xfId="22135" xr:uid="{19260046-5B84-4E50-88B6-7CD87220DDE0}"/>
    <cellStyle name="Normal 24 13" xfId="22136" xr:uid="{64085EFA-0F81-4673-98CD-2C7E74026E79}"/>
    <cellStyle name="Normal 24 14" xfId="22137" xr:uid="{D1A966E5-4BA8-4289-9A17-6C8DB85A6A22}"/>
    <cellStyle name="Normal 24 15" xfId="22138" xr:uid="{B74F159E-5419-4AC6-A888-F62B2515D5F9}"/>
    <cellStyle name="Normal 24 16" xfId="22139" xr:uid="{EA9FFC3E-7EA5-4DF7-BED2-C18BA1CD3FA8}"/>
    <cellStyle name="Normal 24 17" xfId="22140" xr:uid="{687CB64A-C78C-493D-B2C1-2BAB126DA551}"/>
    <cellStyle name="Normal 24 18" xfId="22141" xr:uid="{88DBEDDC-EF22-4C36-8D34-27D134813089}"/>
    <cellStyle name="Normal 24 19" xfId="22142" xr:uid="{B2EBBEBD-720F-4C69-9CA9-68320EE543DC}"/>
    <cellStyle name="Normal 24 2" xfId="22143" xr:uid="{671B229F-9D29-4AB3-890A-9F2427E1F335}"/>
    <cellStyle name="Normal 24 2 2" xfId="22144" xr:uid="{6160BC3E-4298-4D2B-82D7-293FE0F46389}"/>
    <cellStyle name="Normal 24 2 3" xfId="22145" xr:uid="{41B9C68C-7DFF-4C6C-B52E-F04397364F8B}"/>
    <cellStyle name="Normal 24 20" xfId="22146" xr:uid="{A74D65A9-32F4-4F8F-8943-A943DAA47A5F}"/>
    <cellStyle name="Normal 24 21" xfId="22147" xr:uid="{FA090732-CEE3-4624-AADA-380060E7A29D}"/>
    <cellStyle name="Normal 24 22" xfId="22148" xr:uid="{02546ABF-CD0B-4A03-8F1C-E6C68CCFA4D3}"/>
    <cellStyle name="Normal 24 23" xfId="22149" xr:uid="{5C207FA2-3441-491A-A243-F6385447435A}"/>
    <cellStyle name="Normal 24 24" xfId="22150" xr:uid="{230ED6B8-93D6-4977-9606-7F87EC6F5EC5}"/>
    <cellStyle name="Normal 24 25" xfId="22151" xr:uid="{02752690-5A57-4295-98EA-083F51824DE7}"/>
    <cellStyle name="Normal 24 3" xfId="22152" xr:uid="{C61FBD4A-025B-486F-AA83-738FC9EB9A08}"/>
    <cellStyle name="Normal 24 3 2" xfId="22153" xr:uid="{020B8CF9-B3D9-4B67-B51C-7B5B31D7A280}"/>
    <cellStyle name="Normal 24 3 3" xfId="22154" xr:uid="{0C2A829D-D661-467D-B81B-73E15829DE61}"/>
    <cellStyle name="Normal 24 4" xfId="22155" xr:uid="{BE99B5EF-9A0F-4FF4-A64C-BF16A7D1071B}"/>
    <cellStyle name="Normal 24 5" xfId="22156" xr:uid="{67E46A5F-4C6E-4E06-9F4E-CBDF2CBE7B6E}"/>
    <cellStyle name="Normal 24 6" xfId="22157" xr:uid="{3EADDC66-6C31-4F5B-AC98-F0CC02783A41}"/>
    <cellStyle name="Normal 24 7" xfId="22158" xr:uid="{98BF06E3-8899-4BC7-8DE4-87B769CED1C7}"/>
    <cellStyle name="Normal 24 8" xfId="22159" xr:uid="{2EFF21BE-1B39-413F-9058-5C143A480128}"/>
    <cellStyle name="Normal 24 9" xfId="22160" xr:uid="{9EE4FDD3-B8F5-4B6A-A8CD-76F92A7A7EDC}"/>
    <cellStyle name="Normal 240" xfId="37887" xr:uid="{206A0D26-B3E1-472B-914C-1D3BD315DF75}"/>
    <cellStyle name="Normal 241" xfId="37889" xr:uid="{6E47D821-80C2-42DD-8EE8-8001DDC935D9}"/>
    <cellStyle name="Normal 242" xfId="37891" xr:uid="{B46F0463-82A9-4BB6-98B8-A3602DBC8C82}"/>
    <cellStyle name="Normal 243" xfId="37893" xr:uid="{81EA93A1-0CF1-4473-B8E9-3E0D844A3CA5}"/>
    <cellStyle name="Normal 244" xfId="37895" xr:uid="{682B5453-3840-468A-9340-239F251FF8F3}"/>
    <cellStyle name="Normal 245" xfId="37897" xr:uid="{A1C19B26-81B2-49A7-9725-E8ED65FC8857}"/>
    <cellStyle name="Normal 246" xfId="37899" xr:uid="{FE97E35F-BB20-42F0-919B-27C395E80444}"/>
    <cellStyle name="Normal 247" xfId="37901" xr:uid="{7DE16E4E-C5C0-40F0-9AFE-45C36DE3AF77}"/>
    <cellStyle name="Normal 248" xfId="37903" xr:uid="{0B676BB6-84EA-4B6F-97B0-AFA5E6B3183B}"/>
    <cellStyle name="Normal 249" xfId="37905" xr:uid="{CE8DEB24-5141-4CFF-8EFF-7F6E6BAFA9E2}"/>
    <cellStyle name="Normal 25" xfId="22161" xr:uid="{8E387F79-E82B-40A9-8B8A-0CCB2AC0165E}"/>
    <cellStyle name="Normal 25 10" xfId="22162" xr:uid="{4D35A3B0-8415-4558-90D8-E00D99C08AC5}"/>
    <cellStyle name="Normal 25 11" xfId="22163" xr:uid="{61711D02-6A63-4644-9AA5-6F4156A5C36F}"/>
    <cellStyle name="Normal 25 12" xfId="22164" xr:uid="{6E175A26-E23A-4074-818F-6F22839821DE}"/>
    <cellStyle name="Normal 25 13" xfId="22165" xr:uid="{CB7370CE-9E5B-4647-BA1F-9E892BC7C850}"/>
    <cellStyle name="Normal 25 14" xfId="22166" xr:uid="{42242798-24D2-4088-963E-7FBBA0410766}"/>
    <cellStyle name="Normal 25 15" xfId="22167" xr:uid="{05EA5B0D-002C-4277-AC68-A095F72A1FF9}"/>
    <cellStyle name="Normal 25 16" xfId="22168" xr:uid="{B5706799-996B-49E7-AC06-F2CBA787989C}"/>
    <cellStyle name="Normal 25 17" xfId="22169" xr:uid="{4865818C-218E-4D99-A16E-7A49B4AFA807}"/>
    <cellStyle name="Normal 25 18" xfId="22170" xr:uid="{6BEEBA31-146A-45D2-A863-BAB320B67C9E}"/>
    <cellStyle name="Normal 25 19" xfId="22171" xr:uid="{597D37D3-1E06-4AF7-9454-991A163DEA55}"/>
    <cellStyle name="Normal 25 2" xfId="22172" xr:uid="{FBB85318-451D-492F-8302-F4F1656D5185}"/>
    <cellStyle name="Normal 25 20" xfId="22173" xr:uid="{EDB5FA4D-B02C-4D3F-B581-F0B3E02C2DB1}"/>
    <cellStyle name="Normal 25 21" xfId="22174" xr:uid="{74AE79E3-21CA-45F9-B519-CD500D30C1AD}"/>
    <cellStyle name="Normal 25 3" xfId="22175" xr:uid="{A0176745-4008-4587-8179-56A72149BC25}"/>
    <cellStyle name="Normal 25 4" xfId="22176" xr:uid="{16A80B43-26E0-44E6-9895-09CADC8FCD9B}"/>
    <cellStyle name="Normal 25 5" xfId="22177" xr:uid="{9F63D865-2D10-438C-981A-A3AC82B87702}"/>
    <cellStyle name="Normal 25 6" xfId="22178" xr:uid="{1EF7161E-A56A-489A-977B-6979651056C3}"/>
    <cellStyle name="Normal 25 7" xfId="22179" xr:uid="{43C619F9-EC53-456B-B178-028AE613635C}"/>
    <cellStyle name="Normal 25 8" xfId="22180" xr:uid="{726193B7-4958-4A2C-94CA-FD4F6DBC5A98}"/>
    <cellStyle name="Normal 25 9" xfId="22181" xr:uid="{2A5BDDDF-885C-4E00-B176-4CD82BFDE9E6}"/>
    <cellStyle name="Normal 250" xfId="37907" xr:uid="{7F620DD2-763F-427B-986B-A9484A2325E5}"/>
    <cellStyle name="Normal 251" xfId="37909" xr:uid="{E013A998-7A38-48CA-9E99-2BFAF432989D}"/>
    <cellStyle name="Normal 252" xfId="37911" xr:uid="{4191623A-75C8-4683-96F5-E9DD673F60B4}"/>
    <cellStyle name="Normal 253" xfId="37913" xr:uid="{8169B0F1-D98B-46EF-9F0B-47D65934DFFC}"/>
    <cellStyle name="Normal 254" xfId="37915" xr:uid="{BEA1E48A-AF61-4005-A189-CFE89ACF1F01}"/>
    <cellStyle name="Normal 255" xfId="37916" xr:uid="{4B7F21F8-C7AC-48A2-80DA-67EBC75C63B2}"/>
    <cellStyle name="Normal 256" xfId="37917" xr:uid="{2A6DD02A-3E01-4BA9-B7A8-E30BC82BF623}"/>
    <cellStyle name="Normal 257" xfId="37919" xr:uid="{8A9F12F5-05B6-496D-8BA7-3B07627D3AD8}"/>
    <cellStyle name="Normal 258" xfId="37918" xr:uid="{9F78FF3B-D060-48E3-9D21-B7237D8BD5F6}"/>
    <cellStyle name="Normal 259" xfId="37920" xr:uid="{CA37DA8D-2752-4EFD-95C9-F00D8272B50A}"/>
    <cellStyle name="Normal 26" xfId="22182" xr:uid="{2D838123-B7DB-41A7-A77A-3F74D2DCA062}"/>
    <cellStyle name="Normal 26 10" xfId="22183" xr:uid="{08201AC1-7DD6-4BB2-90BA-49C036434355}"/>
    <cellStyle name="Normal 26 11" xfId="22184" xr:uid="{CAD8901F-2A87-4328-B1F5-D7C60E403A1E}"/>
    <cellStyle name="Normal 26 12" xfId="22185" xr:uid="{2BA524E9-5B38-4E7E-8AEE-F5EFC140CE53}"/>
    <cellStyle name="Normal 26 13" xfId="22186" xr:uid="{4D0FF1C1-49CF-45C7-A6D5-FB8A62231DE4}"/>
    <cellStyle name="Normal 26 14" xfId="22187" xr:uid="{32EE57DD-3907-42CF-A6A4-A30699970055}"/>
    <cellStyle name="Normal 26 15" xfId="22188" xr:uid="{CEA68A99-5F86-40B3-98BB-17C238C8462D}"/>
    <cellStyle name="Normal 26 16" xfId="22189" xr:uid="{CCE9B004-BDBB-45D9-9FE7-310075D59A28}"/>
    <cellStyle name="Normal 26 17" xfId="22190" xr:uid="{B6D30A6B-D6C0-447C-B130-5F016A65BD06}"/>
    <cellStyle name="Normal 26 18" xfId="22191" xr:uid="{0B898077-D189-438C-8AC4-22AAFBD641AD}"/>
    <cellStyle name="Normal 26 19" xfId="22192" xr:uid="{8A37BB92-5C54-4265-835D-A090A6A5184E}"/>
    <cellStyle name="Normal 26 2" xfId="22193" xr:uid="{1DCAACD1-A407-4B50-9853-2D46B2D38668}"/>
    <cellStyle name="Normal 26 20" xfId="22194" xr:uid="{D596740E-DE14-4D71-AD10-0B1C55D21FE8}"/>
    <cellStyle name="Normal 26 3" xfId="22195" xr:uid="{1399B3B1-710C-4F6B-902E-1E2F4FDFA843}"/>
    <cellStyle name="Normal 26 4" xfId="22196" xr:uid="{8C0EDD23-AF4E-42E9-AD4C-ACB171EC0751}"/>
    <cellStyle name="Normal 26 5" xfId="22197" xr:uid="{A8008120-396C-4DD5-8998-823A396E6297}"/>
    <cellStyle name="Normal 26 6" xfId="22198" xr:uid="{F030B173-5905-44E2-894D-26724D90422B}"/>
    <cellStyle name="Normal 26 7" xfId="22199" xr:uid="{616CE3E9-BCD2-4076-B773-9FE9AAD272BE}"/>
    <cellStyle name="Normal 26 8" xfId="22200" xr:uid="{2597D9DC-92C4-462A-985F-AA368706A9BF}"/>
    <cellStyle name="Normal 26 9" xfId="22201" xr:uid="{A4D6F587-38F8-4967-8C6C-77C18F38D921}"/>
    <cellStyle name="Normal 260" xfId="37921" xr:uid="{DF0DF80E-4742-4852-9709-0FCCF0D60312}"/>
    <cellStyle name="Normal 261" xfId="37922" xr:uid="{80B9325F-9107-418A-A55D-E884AD1237EE}"/>
    <cellStyle name="Normal 262" xfId="16" xr:uid="{3F66682A-E8C4-48E0-AF75-B871440E7842}"/>
    <cellStyle name="Normal 27" xfId="22202" xr:uid="{C9E5168F-20C2-43CA-82FD-CAD13B6A35B3}"/>
    <cellStyle name="Normal 27 10" xfId="22203" xr:uid="{BB485167-26BB-4C63-9927-5D6259536B5B}"/>
    <cellStyle name="Normal 27 11" xfId="22204" xr:uid="{84F11B5E-B7E9-428B-9F8E-F108109D2937}"/>
    <cellStyle name="Normal 27 12" xfId="22205" xr:uid="{A2FDA005-4274-4B9C-AB63-AA6A9B501E28}"/>
    <cellStyle name="Normal 27 13" xfId="22206" xr:uid="{B6777F2C-2D00-4B3C-A058-CA7F923D456E}"/>
    <cellStyle name="Normal 27 14" xfId="22207" xr:uid="{3AFC0F3F-8D57-4EB3-968D-41E88F0B2B50}"/>
    <cellStyle name="Normal 27 15" xfId="22208" xr:uid="{BE6FFE49-C7FF-4151-9390-6E0C8D7FB3EC}"/>
    <cellStyle name="Normal 27 16" xfId="22209" xr:uid="{7BA91EC1-9F3E-4E23-B8E2-05DE3D02FA7E}"/>
    <cellStyle name="Normal 27 17" xfId="22210" xr:uid="{A9B37511-25A3-428F-8681-70151705E905}"/>
    <cellStyle name="Normal 27 18" xfId="22211" xr:uid="{1E97E093-F7D3-4C9A-BFA9-BE742DA972EA}"/>
    <cellStyle name="Normal 27 19" xfId="22212" xr:uid="{7A664E6B-9A30-48D6-BECC-F57E4A20DC05}"/>
    <cellStyle name="Normal 27 2" xfId="22213" xr:uid="{29E807E6-D2F7-4AD0-850A-9FB4963E7A41}"/>
    <cellStyle name="Normal 27 20" xfId="22214" xr:uid="{96DC18BA-F4CB-4647-8908-C63BC0D4FF7C}"/>
    <cellStyle name="Normal 27 21" xfId="22215" xr:uid="{9C65A784-05B9-4F47-82E9-957235CAC757}"/>
    <cellStyle name="Normal 27 3" xfId="22216" xr:uid="{B6573BBD-46F1-4C91-ACE2-6F86ED830B5B}"/>
    <cellStyle name="Normal 27 4" xfId="22217" xr:uid="{7C163894-E26A-426D-A419-A53318AE5361}"/>
    <cellStyle name="Normal 27 5" xfId="22218" xr:uid="{766B9467-DF23-44B0-AB25-F0154696A1CA}"/>
    <cellStyle name="Normal 27 6" xfId="22219" xr:uid="{190E5F15-9B10-4345-B1F7-9E0BE47489C0}"/>
    <cellStyle name="Normal 27 7" xfId="22220" xr:uid="{97D4D5FC-528A-4B40-A720-60A87834FB29}"/>
    <cellStyle name="Normal 27 8" xfId="22221" xr:uid="{3F7581C6-906B-40BD-BA26-969F1864F8BD}"/>
    <cellStyle name="Normal 27 9" xfId="22222" xr:uid="{D01F1D05-9437-44F9-9078-4EF8AEE66D02}"/>
    <cellStyle name="Normal 28" xfId="22223" xr:uid="{40E1D7CC-267B-453C-8BE5-997FDB0EF1CA}"/>
    <cellStyle name="Normal 28 10" xfId="22224" xr:uid="{577797DD-0B69-46E7-AE00-3A4A0EA60715}"/>
    <cellStyle name="Normal 28 11" xfId="22225" xr:uid="{0DA457AC-82A2-4CF3-AE04-7FC3F2F3B75F}"/>
    <cellStyle name="Normal 28 12" xfId="22226" xr:uid="{2A91E59F-AEEB-4B0C-BCA1-904F0DF360A9}"/>
    <cellStyle name="Normal 28 13" xfId="22227" xr:uid="{FD61FC67-B657-41F0-9829-719D152DC4FA}"/>
    <cellStyle name="Normal 28 14" xfId="22228" xr:uid="{97ABB837-5747-4B99-8E9A-15097CA07375}"/>
    <cellStyle name="Normal 28 15" xfId="22229" xr:uid="{6818BFBC-372D-4C22-9A56-B166E5E03280}"/>
    <cellStyle name="Normal 28 16" xfId="22230" xr:uid="{41D112DC-7AE7-4A7B-81FD-C556EF26BB64}"/>
    <cellStyle name="Normal 28 17" xfId="22231" xr:uid="{5131EEBE-D3EF-401E-A7E2-96D456FBF852}"/>
    <cellStyle name="Normal 28 18" xfId="22232" xr:uid="{725F00AF-FC63-4B51-A609-0DD1F214AB03}"/>
    <cellStyle name="Normal 28 19" xfId="22233" xr:uid="{4DB5C69E-8A07-4F4A-8F01-65469AA62F18}"/>
    <cellStyle name="Normal 28 2" xfId="22234" xr:uid="{A00F6778-E748-49CD-A880-76BF3341E50D}"/>
    <cellStyle name="Normal 28 2 10" xfId="22235" xr:uid="{15C39637-511F-4240-AF08-3149AACC0DC6}"/>
    <cellStyle name="Normal 28 2 11" xfId="22236" xr:uid="{D8651007-4EE7-4CCE-8D1D-A77EB6FD4055}"/>
    <cellStyle name="Normal 28 2 12" xfId="22237" xr:uid="{795439CA-55C4-4A4A-B0EB-9A3915C91F0B}"/>
    <cellStyle name="Normal 28 2 13" xfId="22238" xr:uid="{246D1962-5BCA-4995-8D20-4F0CE826536C}"/>
    <cellStyle name="Normal 28 2 14" xfId="22239" xr:uid="{4BDF591D-5C29-4259-A781-D0AC2A09406B}"/>
    <cellStyle name="Normal 28 2 15" xfId="22240" xr:uid="{E9F18DD2-86A1-489B-B1BF-FFB8D9263D56}"/>
    <cellStyle name="Normal 28 2 16" xfId="22241" xr:uid="{BCF27F11-71C1-4789-B31C-4C4BA80FE59A}"/>
    <cellStyle name="Normal 28 2 17" xfId="22242" xr:uid="{D24F8AC1-3FC0-4C16-9446-3301AF3CF66A}"/>
    <cellStyle name="Normal 28 2 18" xfId="22243" xr:uid="{50DE4875-73F9-4A6F-AE6C-A77BEDDA3BE0}"/>
    <cellStyle name="Normal 28 2 19" xfId="22244" xr:uid="{EBDE1E2F-BBA4-4FD2-BB41-25714B568651}"/>
    <cellStyle name="Normal 28 2 2" xfId="22245" xr:uid="{E087E930-3BC0-437F-B42C-C72548DA59E7}"/>
    <cellStyle name="Normal 28 2 2 10" xfId="22246" xr:uid="{6287E8BB-26EA-48EF-8571-8BBCCEC5F023}"/>
    <cellStyle name="Normal 28 2 2 11" xfId="22247" xr:uid="{7B885F6C-BC6D-4271-BC59-BC04BF8F4FB6}"/>
    <cellStyle name="Normal 28 2 2 12" xfId="22248" xr:uid="{51274F6A-D81B-44E7-8484-1A69A5E0D077}"/>
    <cellStyle name="Normal 28 2 2 2" xfId="22249" xr:uid="{8DDEA3B7-2D44-41C1-AB7D-E615D116FBEC}"/>
    <cellStyle name="Normal 28 2 2 2 10" xfId="22250" xr:uid="{AD0C4E73-4536-4135-B911-2860F24BF2F8}"/>
    <cellStyle name="Normal 28 2 2 2 11" xfId="22251" xr:uid="{9061F628-1635-41BF-8C91-1AB057705F2F}"/>
    <cellStyle name="Normal 28 2 2 2 12" xfId="22252" xr:uid="{FCD26E15-59D9-42C3-ABF5-94F76CCF9FEE}"/>
    <cellStyle name="Normal 28 2 2 2 2" xfId="22253" xr:uid="{9DC0A964-BB87-4A72-9BAE-11C229422A91}"/>
    <cellStyle name="Normal 28 2 2 2 2 2" xfId="22254" xr:uid="{134C6B65-38B2-40F3-A5B5-AACDF8A9BE3E}"/>
    <cellStyle name="Normal 28 2 2 2 2 2 2" xfId="22255" xr:uid="{8676BBB2-BA25-43C0-92B9-8C4ECF7F3260}"/>
    <cellStyle name="Normal 28 2 2 2 2 2 2 2" xfId="22256" xr:uid="{F2EEFC70-1EF3-4BDE-933B-0352E09A2F03}"/>
    <cellStyle name="Normal 28 2 2 2 2 2 2 2 2" xfId="22257" xr:uid="{F0342109-21BB-47A5-85EF-D03E974607ED}"/>
    <cellStyle name="Normal 28 2 2 2 2 2 2 2 3" xfId="22258" xr:uid="{AB1D95B0-5C96-41F3-9990-A9CEF107559A}"/>
    <cellStyle name="Normal 28 2 2 2 2 2 2 2 4" xfId="22259" xr:uid="{E861E6B7-F12D-4996-A773-719F9F3A0159}"/>
    <cellStyle name="Normal 28 2 2 2 2 2 2 2 5" xfId="22260" xr:uid="{0420D98E-897A-4DA7-B121-E43AA69B8E9A}"/>
    <cellStyle name="Normal 28 2 2 2 2 2 2 2 6" xfId="22261" xr:uid="{704572CC-17D9-4A23-BA64-94A17AEE2094}"/>
    <cellStyle name="Normal 28 2 2 2 2 2 2 3" xfId="22262" xr:uid="{07282E02-4DE7-477C-9F2D-2F6218459128}"/>
    <cellStyle name="Normal 28 2 2 2 2 2 2 4" xfId="22263" xr:uid="{70B1E531-5306-44E9-8E47-215F03982C3C}"/>
    <cellStyle name="Normal 28 2 2 2 2 2 2 5" xfId="22264" xr:uid="{1798E1FC-26A2-494A-BAE7-BE7D0A8B5220}"/>
    <cellStyle name="Normal 28 2 2 2 2 2 2 6" xfId="22265" xr:uid="{DA77213F-317D-4A65-A4ED-25DEC0E9B4D4}"/>
    <cellStyle name="Normal 28 2 2 2 2 2 3" xfId="22266" xr:uid="{CD03549C-963F-4EDC-BB11-D36659E9D8D8}"/>
    <cellStyle name="Normal 28 2 2 2 2 2 4" xfId="22267" xr:uid="{5F2C1778-A569-4CB8-9592-CA6A280992E1}"/>
    <cellStyle name="Normal 28 2 2 2 2 2 5" xfId="22268" xr:uid="{2FF11C7A-8C8B-457A-89A8-3D22ACD2E27C}"/>
    <cellStyle name="Normal 28 2 2 2 2 2 6" xfId="22269" xr:uid="{5573F9D4-EA3E-4CDB-AD85-437225694A10}"/>
    <cellStyle name="Normal 28 2 2 2 2 2 7" xfId="22270" xr:uid="{53AE7E33-2CD9-41B8-8F6C-50EBE108535C}"/>
    <cellStyle name="Normal 28 2 2 2 2 2 8" xfId="22271" xr:uid="{3B7F5061-5793-447A-9BBB-8B32FCFFA89B}"/>
    <cellStyle name="Normal 28 2 2 2 2 2 9" xfId="22272" xr:uid="{DF1A0FC3-1539-4274-AD4C-2F63ADF1080A}"/>
    <cellStyle name="Normal 28 2 2 2 2 3" xfId="22273" xr:uid="{F3BA5148-3EF9-4AB4-9009-8DC77F31299F}"/>
    <cellStyle name="Normal 28 2 2 2 2 3 2" xfId="22274" xr:uid="{8AEB1B3C-5CF9-49A4-BC39-F142EB6B0ABB}"/>
    <cellStyle name="Normal 28 2 2 2 2 3 2 2" xfId="22275" xr:uid="{1DBC7489-D4ED-4D07-8273-E1B240C83ED9}"/>
    <cellStyle name="Normal 28 2 2 2 2 3 2 3" xfId="22276" xr:uid="{77B39A14-42E1-486F-9C3A-A86B2ECB2FB8}"/>
    <cellStyle name="Normal 28 2 2 2 2 3 2 4" xfId="22277" xr:uid="{2BB8B4CC-5309-4F7F-8F33-7F622497405F}"/>
    <cellStyle name="Normal 28 2 2 2 2 3 2 5" xfId="22278" xr:uid="{185FF9EC-E217-45CA-B42D-5A77AABC3349}"/>
    <cellStyle name="Normal 28 2 2 2 2 3 2 6" xfId="22279" xr:uid="{F4E2CC16-958C-4855-8302-A8D94BC1A1B1}"/>
    <cellStyle name="Normal 28 2 2 2 2 3 3" xfId="22280" xr:uid="{F8B8B93C-94CB-4269-8B89-A10D037C9851}"/>
    <cellStyle name="Normal 28 2 2 2 2 3 4" xfId="22281" xr:uid="{F61B8EE3-C717-4A6F-B0AF-60E5CE7C0CED}"/>
    <cellStyle name="Normal 28 2 2 2 2 3 5" xfId="22282" xr:uid="{432C463A-25FA-4812-B726-D206E9220AB0}"/>
    <cellStyle name="Normal 28 2 2 2 2 3 6" xfId="22283" xr:uid="{38630DA9-F5B2-4128-BE58-281F9428D92B}"/>
    <cellStyle name="Normal 28 2 2 2 2 4" xfId="22284" xr:uid="{E24201B2-59DE-44F7-8EF7-B95BE4918757}"/>
    <cellStyle name="Normal 28 2 2 2 2 5" xfId="22285" xr:uid="{669967F4-E295-4468-8510-2A2DC78EB9AA}"/>
    <cellStyle name="Normal 28 2 2 2 2 6" xfId="22286" xr:uid="{94BC63B3-CABB-421D-831D-042E49EC6FAD}"/>
    <cellStyle name="Normal 28 2 2 2 2 7" xfId="22287" xr:uid="{9EBFED76-8B75-464E-99A1-CC8A9EF6AC1A}"/>
    <cellStyle name="Normal 28 2 2 2 2 8" xfId="22288" xr:uid="{7A2977B5-8F7F-4384-BBF7-DB121748A3A4}"/>
    <cellStyle name="Normal 28 2 2 2 2 9" xfId="22289" xr:uid="{5E0625E2-1411-4E25-BBAF-2019614A3557}"/>
    <cellStyle name="Normal 28 2 2 2 3" xfId="22290" xr:uid="{30D51837-647A-43EE-A09A-B08267EEA2F9}"/>
    <cellStyle name="Normal 28 2 2 2 4" xfId="22291" xr:uid="{08364B09-3AE5-49BE-A245-1C8FBCD4DA49}"/>
    <cellStyle name="Normal 28 2 2 2 5" xfId="22292" xr:uid="{F8716AB9-3A9F-43FE-9A8C-932FBB668C47}"/>
    <cellStyle name="Normal 28 2 2 2 5 2" xfId="22293" xr:uid="{A1804CDB-769F-4FB9-B11A-6CC89BADAE85}"/>
    <cellStyle name="Normal 28 2 2 2 5 2 2" xfId="22294" xr:uid="{EBC6A7D8-05A4-4D38-A596-397C5581B093}"/>
    <cellStyle name="Normal 28 2 2 2 5 2 3" xfId="22295" xr:uid="{1CA40F1B-8942-4A23-B6A0-520B55E9C4CD}"/>
    <cellStyle name="Normal 28 2 2 2 5 2 4" xfId="22296" xr:uid="{1D4C70AB-1595-4F41-83EC-629E6F8CC293}"/>
    <cellStyle name="Normal 28 2 2 2 5 2 5" xfId="22297" xr:uid="{3C3F6807-E1FD-45C8-9033-00F8E6892924}"/>
    <cellStyle name="Normal 28 2 2 2 5 2 6" xfId="22298" xr:uid="{5674A728-D939-4187-B1C3-5E25C0760D94}"/>
    <cellStyle name="Normal 28 2 2 2 5 3" xfId="22299" xr:uid="{864F1CF3-96A7-4984-B034-BAC660312386}"/>
    <cellStyle name="Normal 28 2 2 2 5 4" xfId="22300" xr:uid="{1DDEBE5C-1AFB-442E-B128-9374D99B4335}"/>
    <cellStyle name="Normal 28 2 2 2 5 5" xfId="22301" xr:uid="{8882FC10-4D04-4A8D-836B-EE1E3D0408C2}"/>
    <cellStyle name="Normal 28 2 2 2 5 6" xfId="22302" xr:uid="{6FA96193-2AD4-4E63-AA72-DFB110F271C5}"/>
    <cellStyle name="Normal 28 2 2 2 6" xfId="22303" xr:uid="{B5CC4F99-D976-405D-929F-495AAC6815C0}"/>
    <cellStyle name="Normal 28 2 2 2 7" xfId="22304" xr:uid="{E9D4F86B-FEDE-4DB1-98B5-9DC9F30B2875}"/>
    <cellStyle name="Normal 28 2 2 2 8" xfId="22305" xr:uid="{8F89A3A4-846C-4B4D-BAAC-DB7A750690B3}"/>
    <cellStyle name="Normal 28 2 2 2 9" xfId="22306" xr:uid="{7FC53D86-F3F9-4784-9CD4-54322EC2C440}"/>
    <cellStyle name="Normal 28 2 2 3" xfId="22307" xr:uid="{B4E3EFC4-D2ED-4B36-BC00-E47EF90CD625}"/>
    <cellStyle name="Normal 28 2 2 3 2" xfId="22308" xr:uid="{59F859A2-105E-4C29-9D91-E61DBB1FA5A9}"/>
    <cellStyle name="Normal 28 2 2 3 2 2" xfId="22309" xr:uid="{ACE97258-9382-4272-82AB-C3BE59F57D2D}"/>
    <cellStyle name="Normal 28 2 2 3 2 2 2" xfId="22310" xr:uid="{115852C0-D161-4D0F-B3D8-BFDF50733D24}"/>
    <cellStyle name="Normal 28 2 2 3 2 2 2 2" xfId="22311" xr:uid="{6EBB3E2D-CA5D-473A-9C31-F0469C79A1D5}"/>
    <cellStyle name="Normal 28 2 2 3 2 2 2 3" xfId="22312" xr:uid="{48701CEA-99C7-4062-B034-B667B1EE24CC}"/>
    <cellStyle name="Normal 28 2 2 3 2 2 2 4" xfId="22313" xr:uid="{FC3E8EC2-EDD8-4990-9A65-DD3BA216CBC7}"/>
    <cellStyle name="Normal 28 2 2 3 2 2 2 5" xfId="22314" xr:uid="{AE8FD559-17BB-4B43-B466-4C85E80DA6BF}"/>
    <cellStyle name="Normal 28 2 2 3 2 2 2 6" xfId="22315" xr:uid="{16C141DF-8884-49D5-B001-B7456C8486EE}"/>
    <cellStyle name="Normal 28 2 2 3 2 2 3" xfId="22316" xr:uid="{2F743062-FAA6-427A-9F6B-8701A243547C}"/>
    <cellStyle name="Normal 28 2 2 3 2 2 4" xfId="22317" xr:uid="{9896E007-7BF8-4743-BF82-5AC8E7B51E82}"/>
    <cellStyle name="Normal 28 2 2 3 2 2 5" xfId="22318" xr:uid="{41B0808A-F1DA-4F21-B04D-D362C6DC600F}"/>
    <cellStyle name="Normal 28 2 2 3 2 2 6" xfId="22319" xr:uid="{835292CB-499E-4F0D-A845-D6694D50FB2E}"/>
    <cellStyle name="Normal 28 2 2 3 2 3" xfId="22320" xr:uid="{3F775500-B9C0-4524-930E-52A6B8DB3FA0}"/>
    <cellStyle name="Normal 28 2 2 3 2 4" xfId="22321" xr:uid="{E54A56B1-45B6-4F7F-A4AE-92DDFD3430FB}"/>
    <cellStyle name="Normal 28 2 2 3 2 5" xfId="22322" xr:uid="{9936FE38-8726-4521-ABD2-2321AE7A8381}"/>
    <cellStyle name="Normal 28 2 2 3 2 6" xfId="22323" xr:uid="{AB892447-4860-499C-AC4C-928DC1D88BB2}"/>
    <cellStyle name="Normal 28 2 2 3 2 7" xfId="22324" xr:uid="{B3D11799-F043-42CB-8C4C-D5DC2E2208F9}"/>
    <cellStyle name="Normal 28 2 2 3 2 8" xfId="22325" xr:uid="{C53E27A4-E7AF-403D-8DDF-DDB2F9D1887E}"/>
    <cellStyle name="Normal 28 2 2 3 2 9" xfId="22326" xr:uid="{2DAC6F27-7E13-4694-91A9-2026786343C2}"/>
    <cellStyle name="Normal 28 2 2 3 3" xfId="22327" xr:uid="{63B38074-B846-47DB-AA14-B39008A435FC}"/>
    <cellStyle name="Normal 28 2 2 3 3 2" xfId="22328" xr:uid="{E01F4F74-DEB5-4845-986C-D759A1644A1E}"/>
    <cellStyle name="Normal 28 2 2 3 3 2 2" xfId="22329" xr:uid="{E262E85F-10A2-4BB1-B1D3-3FD641DBC2BD}"/>
    <cellStyle name="Normal 28 2 2 3 3 2 3" xfId="22330" xr:uid="{6FEE8538-25E0-44CB-9321-5124D2686E1E}"/>
    <cellStyle name="Normal 28 2 2 3 3 2 4" xfId="22331" xr:uid="{A355D7F7-F28D-4B7B-BE9D-6EEA20B4A707}"/>
    <cellStyle name="Normal 28 2 2 3 3 2 5" xfId="22332" xr:uid="{68E8F340-84E1-47FD-AE36-BF9D39C3D33D}"/>
    <cellStyle name="Normal 28 2 2 3 3 2 6" xfId="22333" xr:uid="{2F75375A-2F3A-4DD9-BBB4-0307FD7787AD}"/>
    <cellStyle name="Normal 28 2 2 3 3 3" xfId="22334" xr:uid="{9F753914-9A0A-406C-815C-0412593EBCAE}"/>
    <cellStyle name="Normal 28 2 2 3 3 4" xfId="22335" xr:uid="{03391B5C-6504-45F9-B8BB-C04A50F12A8F}"/>
    <cellStyle name="Normal 28 2 2 3 3 5" xfId="22336" xr:uid="{041782AC-1C63-43BE-B1E4-F8018495CFA7}"/>
    <cellStyle name="Normal 28 2 2 3 3 6" xfId="22337" xr:uid="{30AA5515-4EC3-4F58-945D-6E3CAECA204D}"/>
    <cellStyle name="Normal 28 2 2 3 4" xfId="22338" xr:uid="{4FCF7151-18FB-42E7-B548-9C8C2C9C4DED}"/>
    <cellStyle name="Normal 28 2 2 3 5" xfId="22339" xr:uid="{6D291DDF-DF7B-4B84-875A-C0D97A40CB5A}"/>
    <cellStyle name="Normal 28 2 2 3 6" xfId="22340" xr:uid="{892114A1-CDAF-47F0-8530-5776CCF5EB6E}"/>
    <cellStyle name="Normal 28 2 2 3 7" xfId="22341" xr:uid="{4D3188B8-5290-4EE1-A812-578EA2719A6E}"/>
    <cellStyle name="Normal 28 2 2 3 8" xfId="22342" xr:uid="{5301E668-0D9F-42DC-932F-E7F8FA9183DF}"/>
    <cellStyle name="Normal 28 2 2 3 9" xfId="22343" xr:uid="{A2F07206-B8E4-4222-A06B-8C108F9A8288}"/>
    <cellStyle name="Normal 28 2 2 4" xfId="22344" xr:uid="{2117ACE4-C922-46EA-B1A4-71DE5AA2FD8B}"/>
    <cellStyle name="Normal 28 2 2 5" xfId="22345" xr:uid="{C40FCD75-D216-466C-A873-681C73AD364C}"/>
    <cellStyle name="Normal 28 2 2 5 2" xfId="22346" xr:uid="{66E3E7D0-BD40-4F66-9418-96920F5AA50D}"/>
    <cellStyle name="Normal 28 2 2 5 2 2" xfId="22347" xr:uid="{AF8BB967-8524-4FC4-A61B-AFE7B62A7D5F}"/>
    <cellStyle name="Normal 28 2 2 5 2 3" xfId="22348" xr:uid="{D7DF2C19-B9F3-4B31-BD7A-17E65A93199D}"/>
    <cellStyle name="Normal 28 2 2 5 2 4" xfId="22349" xr:uid="{69DA23D3-9913-4F9B-B0F8-CCDDC2D29FC3}"/>
    <cellStyle name="Normal 28 2 2 5 2 5" xfId="22350" xr:uid="{79763399-ED57-4513-B2B1-7BEB7795C8F1}"/>
    <cellStyle name="Normal 28 2 2 5 2 6" xfId="22351" xr:uid="{585FF0D5-A47D-4656-8BC9-5B36A3DF8A09}"/>
    <cellStyle name="Normal 28 2 2 5 3" xfId="22352" xr:uid="{9A4993BD-13BA-4A9E-8C16-7437830EFE61}"/>
    <cellStyle name="Normal 28 2 2 5 4" xfId="22353" xr:uid="{28EB5C71-CD89-407D-B1EA-7B9C0761BC7E}"/>
    <cellStyle name="Normal 28 2 2 5 5" xfId="22354" xr:uid="{BAB8782D-852A-4D85-A75C-C159483D75A6}"/>
    <cellStyle name="Normal 28 2 2 5 6" xfId="22355" xr:uid="{BBB3C4EE-21B8-4177-9868-61AA1B2552C4}"/>
    <cellStyle name="Normal 28 2 2 6" xfId="22356" xr:uid="{C22637EC-AAE1-4857-B058-B8A1E39633E1}"/>
    <cellStyle name="Normal 28 2 2 7" xfId="22357" xr:uid="{898EB60D-F7E3-47FC-916D-836444AF1E8E}"/>
    <cellStyle name="Normal 28 2 2 8" xfId="22358" xr:uid="{EC169889-84D7-4CE1-BBE4-39E336CA46B8}"/>
    <cellStyle name="Normal 28 2 2 9" xfId="22359" xr:uid="{D05A7234-FDCD-4D57-8CB4-C1F4E370D0D4}"/>
    <cellStyle name="Normal 28 2 3" xfId="22360" xr:uid="{913BECCC-ED6E-4C71-9745-2C6223161537}"/>
    <cellStyle name="Normal 28 2 4" xfId="22361" xr:uid="{04EFBD20-BE93-46B8-9DF5-24B2B6249060}"/>
    <cellStyle name="Normal 28 2 5" xfId="22362" xr:uid="{18401566-EBF2-42A5-9593-0679F6F22DDD}"/>
    <cellStyle name="Normal 28 2 5 2" xfId="22363" xr:uid="{082F0D2A-AFDE-4756-9EA7-DF2E5487BCB0}"/>
    <cellStyle name="Normal 28 2 5 2 2" xfId="22364" xr:uid="{3DE3A38D-2735-47FB-BF06-BCE9604A0385}"/>
    <cellStyle name="Normal 28 2 5 2 2 2" xfId="22365" xr:uid="{AC32E852-8B99-4A79-912A-A0E962BE88E6}"/>
    <cellStyle name="Normal 28 2 5 2 2 2 2" xfId="22366" xr:uid="{38B80633-BCD8-4A2A-ACF5-7A13A31532C3}"/>
    <cellStyle name="Normal 28 2 5 2 2 2 3" xfId="22367" xr:uid="{96A6361D-7CDE-460E-AB0E-1F720E7662EF}"/>
    <cellStyle name="Normal 28 2 5 2 2 2 4" xfId="22368" xr:uid="{2C4F9E8D-AB4C-4E56-90A8-66309F799B04}"/>
    <cellStyle name="Normal 28 2 5 2 2 2 5" xfId="22369" xr:uid="{3FD5538F-87D6-44A2-9E16-AAB10612D360}"/>
    <cellStyle name="Normal 28 2 5 2 2 2 6" xfId="22370" xr:uid="{9A9E823E-4EA2-4EA7-89DC-CDF83CDABE01}"/>
    <cellStyle name="Normal 28 2 5 2 2 3" xfId="22371" xr:uid="{1862AC88-42E9-43A3-92D7-A9B7F59A1D73}"/>
    <cellStyle name="Normal 28 2 5 2 2 4" xfId="22372" xr:uid="{AC07D407-CCC0-4BA6-9FEA-66DE382474FB}"/>
    <cellStyle name="Normal 28 2 5 2 2 5" xfId="22373" xr:uid="{AA5A748C-1FE2-489D-8C33-EC3BBEA26206}"/>
    <cellStyle name="Normal 28 2 5 2 2 6" xfId="22374" xr:uid="{AB45212F-3D68-450C-B595-39CE5EB64293}"/>
    <cellStyle name="Normal 28 2 5 2 3" xfId="22375" xr:uid="{6FEEE0FE-5138-44E5-932D-C24E8F7DC7A2}"/>
    <cellStyle name="Normal 28 2 5 2 4" xfId="22376" xr:uid="{E558892F-E685-4941-A4E0-D929FC84BA2A}"/>
    <cellStyle name="Normal 28 2 5 2 5" xfId="22377" xr:uid="{D43F6267-54A0-4264-A6E3-98B467BB118F}"/>
    <cellStyle name="Normal 28 2 5 2 6" xfId="22378" xr:uid="{6E521CFB-F6E9-456A-B422-A2AB14B8419B}"/>
    <cellStyle name="Normal 28 2 5 2 7" xfId="22379" xr:uid="{5E838876-0121-4720-A05F-50A59A4D3743}"/>
    <cellStyle name="Normal 28 2 5 2 8" xfId="22380" xr:uid="{17CE5E17-E23A-4F1A-80EA-56F6B2B2C476}"/>
    <cellStyle name="Normal 28 2 5 2 9" xfId="22381" xr:uid="{1F77E45C-17C2-4C76-BB8A-70B1D4422F8D}"/>
    <cellStyle name="Normal 28 2 5 3" xfId="22382" xr:uid="{29A0BA35-6472-4EDB-A01D-C0FDFF05133B}"/>
    <cellStyle name="Normal 28 2 5 3 2" xfId="22383" xr:uid="{CDD723B8-F4EC-451C-90A6-DF390ABE6486}"/>
    <cellStyle name="Normal 28 2 5 3 2 2" xfId="22384" xr:uid="{E9CA7C49-C629-42C0-8EF4-5C79570165FE}"/>
    <cellStyle name="Normal 28 2 5 3 2 3" xfId="22385" xr:uid="{66ECAAF8-CF32-4938-A058-BE8505C4156D}"/>
    <cellStyle name="Normal 28 2 5 3 2 4" xfId="22386" xr:uid="{492CBC34-5371-4A66-9282-81CB323DB7A3}"/>
    <cellStyle name="Normal 28 2 5 3 2 5" xfId="22387" xr:uid="{2A16B9DA-C66E-431C-9216-B0FD9A00B7B3}"/>
    <cellStyle name="Normal 28 2 5 3 2 6" xfId="22388" xr:uid="{6C2FB1BC-25EF-4E93-A528-EF5DB1FCD6F5}"/>
    <cellStyle name="Normal 28 2 5 3 3" xfId="22389" xr:uid="{34A487DC-DF93-44BA-AF26-7E6D21CFA53A}"/>
    <cellStyle name="Normal 28 2 5 3 4" xfId="22390" xr:uid="{A4BE3B94-5923-4A7C-811E-3843075E0EAC}"/>
    <cellStyle name="Normal 28 2 5 3 5" xfId="22391" xr:uid="{C8F355DB-81D5-44B3-BCF6-B2D09A1E40B1}"/>
    <cellStyle name="Normal 28 2 5 3 6" xfId="22392" xr:uid="{C1D447F8-E41A-4FD1-BDF7-07F56501F5D2}"/>
    <cellStyle name="Normal 28 2 5 4" xfId="22393" xr:uid="{A6771183-65B4-467D-9D8D-AD4CF14A2EC8}"/>
    <cellStyle name="Normal 28 2 5 5" xfId="22394" xr:uid="{827B2689-6392-40B7-B88C-2AB1EBFFD38D}"/>
    <cellStyle name="Normal 28 2 5 6" xfId="22395" xr:uid="{49633851-F845-497D-BA59-F64CAEFF3A1B}"/>
    <cellStyle name="Normal 28 2 5 7" xfId="22396" xr:uid="{A1727A94-0503-4202-A5AD-C3C21E6CD634}"/>
    <cellStyle name="Normal 28 2 5 8" xfId="22397" xr:uid="{53C4A78F-DD63-487B-A14C-676E9398F396}"/>
    <cellStyle name="Normal 28 2 5 9" xfId="22398" xr:uid="{1BF55B71-E0E0-42CB-82E3-EC6095EB0F75}"/>
    <cellStyle name="Normal 28 2 6" xfId="22399" xr:uid="{CD4FE117-BE3F-4217-8DF7-E021D3B388D8}"/>
    <cellStyle name="Normal 28 2 7" xfId="22400" xr:uid="{300154DF-A20F-49DB-A4FC-620DA4A1F354}"/>
    <cellStyle name="Normal 28 2 8" xfId="22401" xr:uid="{2CB59A2D-EF23-4B41-AAFB-40451FEC234D}"/>
    <cellStyle name="Normal 28 2 8 2" xfId="22402" xr:uid="{AF904E45-8F58-40FC-A04F-7893D903D50F}"/>
    <cellStyle name="Normal 28 2 8 2 2" xfId="22403" xr:uid="{EB8CA800-2E7C-4723-8FEC-C84027B58BEC}"/>
    <cellStyle name="Normal 28 2 8 2 3" xfId="22404" xr:uid="{57BD271D-8B04-4F85-B803-79418E1BFF7B}"/>
    <cellStyle name="Normal 28 2 8 2 4" xfId="22405" xr:uid="{A1754C90-9928-478A-9849-8C2DE021EB03}"/>
    <cellStyle name="Normal 28 2 8 2 5" xfId="22406" xr:uid="{229254CA-D4D7-4731-9278-F21A00AE1D5D}"/>
    <cellStyle name="Normal 28 2 8 2 6" xfId="22407" xr:uid="{D5A657E8-E109-4348-AF78-900149C1BB3A}"/>
    <cellStyle name="Normal 28 2 8 3" xfId="22408" xr:uid="{45A6B252-CBB9-40EA-8134-E0986DEEB96C}"/>
    <cellStyle name="Normal 28 2 8 4" xfId="22409" xr:uid="{E1AA284E-F855-4123-A92C-6CAA80B1FEE9}"/>
    <cellStyle name="Normal 28 2 8 5" xfId="22410" xr:uid="{9C0E3A0F-73CF-402C-A752-6E4D3412E172}"/>
    <cellStyle name="Normal 28 2 8 6" xfId="22411" xr:uid="{88C3F0AF-7405-4302-B92B-2861013CA3E3}"/>
    <cellStyle name="Normal 28 2 9" xfId="22412" xr:uid="{5456AC5E-DF4F-4D4B-9700-5B6BA596EC0F}"/>
    <cellStyle name="Normal 28 20" xfId="22413" xr:uid="{5433C5C3-60BD-4F99-85C8-346D76403EE4}"/>
    <cellStyle name="Normal 28 21" xfId="22414" xr:uid="{B06DEF71-0FF6-4FDD-AF54-0B90FE317F55}"/>
    <cellStyle name="Normal 28 3" xfId="22415" xr:uid="{D8DD32DA-E329-48EF-ADC5-B544C5F3E21E}"/>
    <cellStyle name="Normal 28 3 10" xfId="22416" xr:uid="{29BC3698-69D4-4BB4-94AD-7644AE6997C0}"/>
    <cellStyle name="Normal 28 3 11" xfId="22417" xr:uid="{0F86A2CB-BDE9-4BBB-AEFB-8C301163D109}"/>
    <cellStyle name="Normal 28 3 12" xfId="22418" xr:uid="{6C82A11C-DC52-48AC-94CF-AF1D1DC1C7F0}"/>
    <cellStyle name="Normal 28 3 13" xfId="22419" xr:uid="{4D3193F0-CFD3-46A0-8E3F-79FDD488ADFD}"/>
    <cellStyle name="Normal 28 3 14" xfId="22420" xr:uid="{BF1FB01F-8493-4BAD-BE2A-1899FF03D5AC}"/>
    <cellStyle name="Normal 28 3 15" xfId="22421" xr:uid="{EFA94F58-E04A-425E-8AEA-6A25E591414C}"/>
    <cellStyle name="Normal 28 3 16" xfId="22422" xr:uid="{CBF099D1-5A15-47B8-9F88-9DE712B65BAC}"/>
    <cellStyle name="Normal 28 3 2" xfId="22423" xr:uid="{25AEA5B2-2922-4B12-BC32-925ACB71F949}"/>
    <cellStyle name="Normal 28 3 2 10" xfId="22424" xr:uid="{21486E6E-CBEC-4201-9981-517ABFD3B4DE}"/>
    <cellStyle name="Normal 28 3 2 11" xfId="22425" xr:uid="{2BADBD7C-902E-4BE7-BC65-54D4BA3DBE06}"/>
    <cellStyle name="Normal 28 3 2 12" xfId="22426" xr:uid="{0EFE1682-ED91-4DA9-A117-8B77926311BD}"/>
    <cellStyle name="Normal 28 3 2 2" xfId="22427" xr:uid="{F6DDCFFE-FEF0-4C2D-A3F5-40446B7728A1}"/>
    <cellStyle name="Normal 28 3 2 2 2" xfId="22428" xr:uid="{67370626-B8D4-4621-9C9F-BF35DA2C9E45}"/>
    <cellStyle name="Normal 28 3 2 2 2 2" xfId="22429" xr:uid="{56153265-1721-4350-9881-325EF642EC6E}"/>
    <cellStyle name="Normal 28 3 2 2 2 2 2" xfId="22430" xr:uid="{734864DC-1789-40B0-8B77-948630DA95C3}"/>
    <cellStyle name="Normal 28 3 2 2 2 2 2 2" xfId="22431" xr:uid="{7018907E-577E-4CD7-9417-E98CB8F726CE}"/>
    <cellStyle name="Normal 28 3 2 2 2 2 2 3" xfId="22432" xr:uid="{833920B2-218E-489B-9461-97ED3BA6681E}"/>
    <cellStyle name="Normal 28 3 2 2 2 2 2 4" xfId="22433" xr:uid="{AD9E61B8-92BF-4996-A285-58B12C657F80}"/>
    <cellStyle name="Normal 28 3 2 2 2 2 2 5" xfId="22434" xr:uid="{5E088F45-CE7E-4100-8AA0-0E6377AFAC35}"/>
    <cellStyle name="Normal 28 3 2 2 2 2 2 6" xfId="22435" xr:uid="{7AF27F35-043F-4A68-BE92-F8251DDE2A90}"/>
    <cellStyle name="Normal 28 3 2 2 2 2 3" xfId="22436" xr:uid="{7533F75E-1A02-4BF1-AE83-31E7BCD502F4}"/>
    <cellStyle name="Normal 28 3 2 2 2 2 4" xfId="22437" xr:uid="{3E6E95F6-0BBE-4CD1-8650-F38060AA1C14}"/>
    <cellStyle name="Normal 28 3 2 2 2 2 5" xfId="22438" xr:uid="{CD3F3342-4198-4131-8220-44E44CD4F514}"/>
    <cellStyle name="Normal 28 3 2 2 2 2 6" xfId="22439" xr:uid="{59CA8474-6B4E-48B9-B688-DD32888DFC5C}"/>
    <cellStyle name="Normal 28 3 2 2 2 3" xfId="22440" xr:uid="{174F71F7-9CBF-4DED-832B-51C39A05725D}"/>
    <cellStyle name="Normal 28 3 2 2 2 4" xfId="22441" xr:uid="{1F979C28-9554-4291-A064-8C0495AAA29F}"/>
    <cellStyle name="Normal 28 3 2 2 2 5" xfId="22442" xr:uid="{83D1056D-350B-46FF-9797-7B54C71A43B3}"/>
    <cellStyle name="Normal 28 3 2 2 2 6" xfId="22443" xr:uid="{5B513C4E-39FB-4C6A-8634-FCFDF51DF13D}"/>
    <cellStyle name="Normal 28 3 2 2 2 7" xfId="22444" xr:uid="{D5AFC6FF-7268-48E8-B8C0-7F22464F9EE5}"/>
    <cellStyle name="Normal 28 3 2 2 2 8" xfId="22445" xr:uid="{8FA174DB-F1A5-450E-8D9B-6DC7981C92BC}"/>
    <cellStyle name="Normal 28 3 2 2 2 9" xfId="22446" xr:uid="{33951002-7F03-44E2-956E-47466FA6AF38}"/>
    <cellStyle name="Normal 28 3 2 2 3" xfId="22447" xr:uid="{7A90D024-A04C-4485-B9F4-1DD683C06EF8}"/>
    <cellStyle name="Normal 28 3 2 2 3 2" xfId="22448" xr:uid="{AA465E02-03B9-4594-9009-8B915798DBED}"/>
    <cellStyle name="Normal 28 3 2 2 3 2 2" xfId="22449" xr:uid="{CDC0F590-B740-478A-8C6B-28D6A4FDC4D3}"/>
    <cellStyle name="Normal 28 3 2 2 3 2 3" xfId="22450" xr:uid="{C13AF0CA-6743-4931-97B5-529AB43D88D8}"/>
    <cellStyle name="Normal 28 3 2 2 3 2 4" xfId="22451" xr:uid="{BAFD018E-A685-4688-A7F3-0FCC723711E4}"/>
    <cellStyle name="Normal 28 3 2 2 3 2 5" xfId="22452" xr:uid="{8423F3D7-3DE5-4758-A38A-8A03DC365162}"/>
    <cellStyle name="Normal 28 3 2 2 3 2 6" xfId="22453" xr:uid="{A184D828-108C-4A0F-96EC-237D102F517D}"/>
    <cellStyle name="Normal 28 3 2 2 3 3" xfId="22454" xr:uid="{635CDB5A-385A-47E0-AEC6-BFC4EA7C0B20}"/>
    <cellStyle name="Normal 28 3 2 2 3 4" xfId="22455" xr:uid="{364A1B56-639B-4614-A9A6-90DDB15D9690}"/>
    <cellStyle name="Normal 28 3 2 2 3 5" xfId="22456" xr:uid="{BDB821AF-779B-46B5-B347-367CB1AF44F0}"/>
    <cellStyle name="Normal 28 3 2 2 3 6" xfId="22457" xr:uid="{11022EC7-FC8C-41BF-B8D0-1D648BA005F9}"/>
    <cellStyle name="Normal 28 3 2 2 4" xfId="22458" xr:uid="{AC1CEF31-C9AE-4AEC-A81C-F8E4F0E2FF4B}"/>
    <cellStyle name="Normal 28 3 2 2 5" xfId="22459" xr:uid="{F4BA5DB4-1F2B-47C2-AD8D-362EDD646BF2}"/>
    <cellStyle name="Normal 28 3 2 2 6" xfId="22460" xr:uid="{4347F95B-FF99-4BA8-9486-D0BF58BD88C3}"/>
    <cellStyle name="Normal 28 3 2 2 7" xfId="22461" xr:uid="{78FECEA5-83F5-4DCD-A0F3-B5DF966F901F}"/>
    <cellStyle name="Normal 28 3 2 2 8" xfId="22462" xr:uid="{A29ACFED-A178-44D4-A9B6-FD8519A63D9C}"/>
    <cellStyle name="Normal 28 3 2 2 9" xfId="22463" xr:uid="{5BDCAF8E-3F96-4022-97EB-2A945ACFAC50}"/>
    <cellStyle name="Normal 28 3 2 3" xfId="22464" xr:uid="{201BDF88-322C-4943-B9A3-270305658458}"/>
    <cellStyle name="Normal 28 3 2 4" xfId="22465" xr:uid="{C6731B80-7D00-49AC-A4DA-AD39AFA095F9}"/>
    <cellStyle name="Normal 28 3 2 5" xfId="22466" xr:uid="{BEE780BC-82D4-4E1C-8416-5428489F26E5}"/>
    <cellStyle name="Normal 28 3 2 5 2" xfId="22467" xr:uid="{01E68CCB-520A-4A88-8E51-5DCA92E4BDE8}"/>
    <cellStyle name="Normal 28 3 2 5 2 2" xfId="22468" xr:uid="{B19EAA1D-595B-4800-9CCD-45521A0B4291}"/>
    <cellStyle name="Normal 28 3 2 5 2 3" xfId="22469" xr:uid="{D3249D42-EDED-42B6-8D3B-9D0DA03004C0}"/>
    <cellStyle name="Normal 28 3 2 5 2 4" xfId="22470" xr:uid="{06B78573-58F9-4CEA-9BFC-D1C6FCC76A5F}"/>
    <cellStyle name="Normal 28 3 2 5 2 5" xfId="22471" xr:uid="{0FBC15DE-855D-454E-A104-D711099BB8FE}"/>
    <cellStyle name="Normal 28 3 2 5 2 6" xfId="22472" xr:uid="{160E22AC-BCE3-4C58-B17B-FC020D270CBD}"/>
    <cellStyle name="Normal 28 3 2 5 3" xfId="22473" xr:uid="{5376E644-2A72-489F-8AD6-6F257D0FF76A}"/>
    <cellStyle name="Normal 28 3 2 5 4" xfId="22474" xr:uid="{559DC081-73CB-4C7A-B9A6-81EB962F3CEF}"/>
    <cellStyle name="Normal 28 3 2 5 5" xfId="22475" xr:uid="{8CC81C74-13C0-45FB-A068-C0AF016531E4}"/>
    <cellStyle name="Normal 28 3 2 5 6" xfId="22476" xr:uid="{27845DC9-ED42-4E07-ACF4-AB912B5F0592}"/>
    <cellStyle name="Normal 28 3 2 6" xfId="22477" xr:uid="{E0D9AEC6-DFC6-4E54-B384-F1273796A21F}"/>
    <cellStyle name="Normal 28 3 2 7" xfId="22478" xr:uid="{56FD8B5B-D44C-4A46-96DB-73FABFE54787}"/>
    <cellStyle name="Normal 28 3 2 8" xfId="22479" xr:uid="{8B195FDE-1156-4304-A8A2-15C2CBABF2DC}"/>
    <cellStyle name="Normal 28 3 2 9" xfId="22480" xr:uid="{77A2C428-54E9-4466-9E04-6F43BEA5F8F9}"/>
    <cellStyle name="Normal 28 3 3" xfId="22481" xr:uid="{EF0BB871-0CCF-4E21-8FD2-4DC1859CB031}"/>
    <cellStyle name="Normal 28 3 3 2" xfId="22482" xr:uid="{64ABCEF1-38D5-4E81-A9B2-1CA7E4E55170}"/>
    <cellStyle name="Normal 28 3 3 2 2" xfId="22483" xr:uid="{0150B747-2BEB-4897-B8E0-55BB14BE24E7}"/>
    <cellStyle name="Normal 28 3 3 2 2 2" xfId="22484" xr:uid="{F05BC3EE-375B-4B94-8AC5-746AE4354E3E}"/>
    <cellStyle name="Normal 28 3 3 2 2 2 2" xfId="22485" xr:uid="{362C8836-834F-4E52-B6D0-ECACAE4B6E47}"/>
    <cellStyle name="Normal 28 3 3 2 2 2 3" xfId="22486" xr:uid="{264B67DA-7A88-4B0C-97D8-2353238A041E}"/>
    <cellStyle name="Normal 28 3 3 2 2 2 4" xfId="22487" xr:uid="{281511DB-4695-477D-AC10-E751BB9C5549}"/>
    <cellStyle name="Normal 28 3 3 2 2 2 5" xfId="22488" xr:uid="{97D6ED7E-3DE9-4307-9197-7DF18C00E9C0}"/>
    <cellStyle name="Normal 28 3 3 2 2 2 6" xfId="22489" xr:uid="{439434EC-8579-416B-A5AD-3288BC0C8011}"/>
    <cellStyle name="Normal 28 3 3 2 2 3" xfId="22490" xr:uid="{385E3EC8-27D1-4BF9-9535-D908D8042BB6}"/>
    <cellStyle name="Normal 28 3 3 2 2 4" xfId="22491" xr:uid="{859B4010-39BF-4774-AD4C-40206FB55C2E}"/>
    <cellStyle name="Normal 28 3 3 2 2 5" xfId="22492" xr:uid="{B344CC5D-5F8E-4F9D-801E-26C3F4AE9E08}"/>
    <cellStyle name="Normal 28 3 3 2 2 6" xfId="22493" xr:uid="{4144668F-A111-4DBC-9E1E-785815C5EB32}"/>
    <cellStyle name="Normal 28 3 3 2 3" xfId="22494" xr:uid="{918A4130-854C-40C6-BCC6-F35DF525C83D}"/>
    <cellStyle name="Normal 28 3 3 2 4" xfId="22495" xr:uid="{906FCB2F-A55D-4556-B030-EB2DDD061267}"/>
    <cellStyle name="Normal 28 3 3 2 5" xfId="22496" xr:uid="{CC3A4C75-7D35-43C9-AAE6-974A32D874DB}"/>
    <cellStyle name="Normal 28 3 3 2 6" xfId="22497" xr:uid="{0F6B824D-B823-453D-AE9C-E8882870A650}"/>
    <cellStyle name="Normal 28 3 3 2 7" xfId="22498" xr:uid="{6EC4617A-CC78-4720-A259-182F4A98B239}"/>
    <cellStyle name="Normal 28 3 3 2 8" xfId="22499" xr:uid="{FCB42EB4-0457-4029-A0C0-EF1B0A4DC11E}"/>
    <cellStyle name="Normal 28 3 3 2 9" xfId="22500" xr:uid="{21FF7DB2-C53E-493F-8076-C0333A6397B2}"/>
    <cellStyle name="Normal 28 3 3 3" xfId="22501" xr:uid="{384C8D9A-8438-46B9-BDE3-96D2BE05FBA4}"/>
    <cellStyle name="Normal 28 3 3 3 2" xfId="22502" xr:uid="{060DFD60-927C-41DA-821F-A853F707F12A}"/>
    <cellStyle name="Normal 28 3 3 3 2 2" xfId="22503" xr:uid="{C8CD68C3-CA82-4D65-9070-7A3834CDA6CC}"/>
    <cellStyle name="Normal 28 3 3 3 2 3" xfId="22504" xr:uid="{86594DEC-097A-4D0A-A62F-720FA9B0805F}"/>
    <cellStyle name="Normal 28 3 3 3 2 4" xfId="22505" xr:uid="{0929EBBD-0B32-406E-9549-25CEEB2C5AE2}"/>
    <cellStyle name="Normal 28 3 3 3 2 5" xfId="22506" xr:uid="{FE8F7462-257D-4073-94A7-1941B910E0C1}"/>
    <cellStyle name="Normal 28 3 3 3 2 6" xfId="22507" xr:uid="{173D514F-6DF4-41EC-8051-62DE739DA3C6}"/>
    <cellStyle name="Normal 28 3 3 3 3" xfId="22508" xr:uid="{14108B5C-A88A-4D75-8D97-6F358B55353A}"/>
    <cellStyle name="Normal 28 3 3 3 4" xfId="22509" xr:uid="{FF25EDF2-E142-4ABC-B872-49A9029734ED}"/>
    <cellStyle name="Normal 28 3 3 3 5" xfId="22510" xr:uid="{80D61FD4-B71C-47C6-8389-AC5C4A48393E}"/>
    <cellStyle name="Normal 28 3 3 3 6" xfId="22511" xr:uid="{0D4B8FC1-36E5-4D5B-9016-3BF69B94C103}"/>
    <cellStyle name="Normal 28 3 3 4" xfId="22512" xr:uid="{57592AFD-B1B3-48A3-A8A0-7C1F86672774}"/>
    <cellStyle name="Normal 28 3 3 5" xfId="22513" xr:uid="{1C30E8A7-E60B-4A47-9058-E3D76B48E1EB}"/>
    <cellStyle name="Normal 28 3 3 6" xfId="22514" xr:uid="{0AB14C93-F1A3-461F-B93B-D500C98A67B0}"/>
    <cellStyle name="Normal 28 3 3 7" xfId="22515" xr:uid="{66687177-67FC-43BB-AEB8-A97C6D4132E0}"/>
    <cellStyle name="Normal 28 3 3 8" xfId="22516" xr:uid="{935E7656-FA24-4626-892D-7574F17F64CB}"/>
    <cellStyle name="Normal 28 3 3 9" xfId="22517" xr:uid="{54A569D3-50D6-437A-A04F-D9A020D9D8B8}"/>
    <cellStyle name="Normal 28 3 4" xfId="22518" xr:uid="{3CA44BFF-84D6-4A94-AC0B-7066314519E2}"/>
    <cellStyle name="Normal 28 3 5" xfId="22519" xr:uid="{7083831A-B1E8-4820-9649-A654D9CBA8D9}"/>
    <cellStyle name="Normal 28 3 5 2" xfId="22520" xr:uid="{D5D6E1CB-9D86-40BA-B67F-DC187EAE9E95}"/>
    <cellStyle name="Normal 28 3 5 2 2" xfId="22521" xr:uid="{2B319851-DBC1-442C-A38A-9B39AA5A48E5}"/>
    <cellStyle name="Normal 28 3 5 2 3" xfId="22522" xr:uid="{6CFF8E3B-57CD-40ED-8067-EFB34068928D}"/>
    <cellStyle name="Normal 28 3 5 2 4" xfId="22523" xr:uid="{0C6883BF-A84F-4D0A-9342-CB2EB3201D55}"/>
    <cellStyle name="Normal 28 3 5 2 5" xfId="22524" xr:uid="{5B1F5D6F-9C83-4E21-9B10-BC50B36C8241}"/>
    <cellStyle name="Normal 28 3 5 2 6" xfId="22525" xr:uid="{4D799C33-2DF5-46D5-A640-0CACB1C7CF8C}"/>
    <cellStyle name="Normal 28 3 5 3" xfId="22526" xr:uid="{C5E458F5-7859-421F-8631-2951A205EE4E}"/>
    <cellStyle name="Normal 28 3 5 4" xfId="22527" xr:uid="{A9D802DE-ACAB-44EF-ABAB-679F6949CF05}"/>
    <cellStyle name="Normal 28 3 5 5" xfId="22528" xr:uid="{5DD8CD02-774E-4372-9897-B49A4E60F88F}"/>
    <cellStyle name="Normal 28 3 5 6" xfId="22529" xr:uid="{F35F5ECB-03F5-41BA-854B-EEFF87872596}"/>
    <cellStyle name="Normal 28 3 6" xfId="22530" xr:uid="{35B8271E-E860-4F68-9323-5330FD323E58}"/>
    <cellStyle name="Normal 28 3 7" xfId="22531" xr:uid="{3D69A572-8F01-4778-AF25-C7AC7E39CA5B}"/>
    <cellStyle name="Normal 28 3 8" xfId="22532" xr:uid="{5C66AD5B-C809-4BB9-B160-752BFE140550}"/>
    <cellStyle name="Normal 28 3 9" xfId="22533" xr:uid="{EBBCBE2B-7600-4BC2-BE38-1A22327A5F0F}"/>
    <cellStyle name="Normal 28 4" xfId="22534" xr:uid="{01AC4E7B-9B13-4EBA-8604-D1B892C46378}"/>
    <cellStyle name="Normal 28 4 2" xfId="22535" xr:uid="{F86A284E-CE5C-4303-A928-425F9C7A701A}"/>
    <cellStyle name="Normal 28 4 3" xfId="22536" xr:uid="{64AF2061-86F5-4998-B110-01FDFF97913A}"/>
    <cellStyle name="Normal 28 4 4" xfId="22537" xr:uid="{F23AB6BF-5FB4-4C33-AE9A-1ABDA2254419}"/>
    <cellStyle name="Normal 28 4 5" xfId="22538" xr:uid="{AE9B0531-708E-4581-BA12-0CA405E83312}"/>
    <cellStyle name="Normal 28 5" xfId="22539" xr:uid="{BD1A6C22-0017-403A-B83A-D83CADE75582}"/>
    <cellStyle name="Normal 28 6" xfId="22540" xr:uid="{4EA1D59B-DAC0-4649-BC3F-BD8E80A77CB3}"/>
    <cellStyle name="Normal 28 7" xfId="22541" xr:uid="{6F6D4748-BCB4-4B70-8671-5D5B1FDEE203}"/>
    <cellStyle name="Normal 28 8" xfId="22542" xr:uid="{D894C3B5-677E-40A4-972C-A6AD493967AB}"/>
    <cellStyle name="Normal 28 9" xfId="22543" xr:uid="{DA2BB207-7BC3-42C5-AF59-CC427A908F61}"/>
    <cellStyle name="Normal 29" xfId="22544" xr:uid="{5F2EB6A6-1EFA-4F15-B1FD-5B9BC9D33EAC}"/>
    <cellStyle name="Normal 29 10" xfId="22545" xr:uid="{BBA64102-B7A1-426F-BAA6-67698102FDF7}"/>
    <cellStyle name="Normal 29 11" xfId="22546" xr:uid="{95B48A76-915A-4B9F-AA8B-4DDD222A2494}"/>
    <cellStyle name="Normal 29 12" xfId="22547" xr:uid="{AADE5046-8AB3-46C5-B1F7-776AC4DBD199}"/>
    <cellStyle name="Normal 29 13" xfId="22548" xr:uid="{8E924597-BAC8-44C2-B893-6E01E20BCDAB}"/>
    <cellStyle name="Normal 29 14" xfId="22549" xr:uid="{2EFA9B45-DA52-40E1-81BB-6CBCE6D196EB}"/>
    <cellStyle name="Normal 29 15" xfId="22550" xr:uid="{7CB723DE-245A-4192-BB96-EFBA257A99BB}"/>
    <cellStyle name="Normal 29 16" xfId="22551" xr:uid="{B1FA11E8-20AE-42F4-8220-9A4A4419B8B0}"/>
    <cellStyle name="Normal 29 17" xfId="22552" xr:uid="{C3CBD3A5-D617-41CE-8DDE-421A7B529186}"/>
    <cellStyle name="Normal 29 18" xfId="22553" xr:uid="{E8337F2F-F24D-4402-B0BC-D2A5BFDFF583}"/>
    <cellStyle name="Normal 29 19" xfId="22554" xr:uid="{66D3E95E-F250-48AA-B135-F2C94020CCDE}"/>
    <cellStyle name="Normal 29 2" xfId="22555" xr:uid="{B6DD5D1B-034B-49B5-A4FD-76EEB3730715}"/>
    <cellStyle name="Normal 29 20" xfId="22556" xr:uid="{A9434BBA-F153-4D27-B87F-955114E7396B}"/>
    <cellStyle name="Normal 29 21" xfId="22557" xr:uid="{171D4A52-01AC-4D14-87BA-BBDBBC3061C9}"/>
    <cellStyle name="Normal 29 3" xfId="22558" xr:uid="{B1F635DE-BAF6-422E-89AF-6E52DC85672A}"/>
    <cellStyle name="Normal 29 4" xfId="22559" xr:uid="{131F3FA4-1663-48EA-81CB-F71FAB15026D}"/>
    <cellStyle name="Normal 29 5" xfId="22560" xr:uid="{E46E0539-DBF3-4093-A04B-279D6AA903A4}"/>
    <cellStyle name="Normal 29 6" xfId="22561" xr:uid="{C4B67F8B-940C-4D1F-8F23-7CF404FA160B}"/>
    <cellStyle name="Normal 29 7" xfId="22562" xr:uid="{10F7C10A-4B13-4ED9-9638-6AF6436AA65A}"/>
    <cellStyle name="Normal 29 8" xfId="22563" xr:uid="{C9C2514D-4821-4F8A-B22F-484DD5A1D135}"/>
    <cellStyle name="Normal 29 9" xfId="22564" xr:uid="{4CEE639D-0D0D-4605-ADF4-FCDA7409077D}"/>
    <cellStyle name="Normal 3" xfId="11" xr:uid="{00000000-0005-0000-0000-000008000000}"/>
    <cellStyle name="Normal 3 10" xfId="22566" xr:uid="{73340201-3F88-438E-889E-1BA57B030095}"/>
    <cellStyle name="Normal 3 10 2" xfId="22567" xr:uid="{3365D61F-3631-492B-A7BD-AF0BF9D4D4CF}"/>
    <cellStyle name="Normal 3 10 3" xfId="22568" xr:uid="{FA1F86CA-B183-4CEE-839B-62829DC82848}"/>
    <cellStyle name="Normal 3 10 4" xfId="22569" xr:uid="{BC458438-F2CE-4D0D-B531-43886DF35BBD}"/>
    <cellStyle name="Normal 3 11" xfId="22570" xr:uid="{63B07709-CF5E-447C-B383-FFCEA8444880}"/>
    <cellStyle name="Normal 3 11 2" xfId="22571" xr:uid="{808AFC0D-C910-4E5C-B75D-79CB9AC46F5D}"/>
    <cellStyle name="Normal 3 11 3" xfId="22572" xr:uid="{28CBCE0A-95C0-4B06-A36B-F602367CC340}"/>
    <cellStyle name="Normal 3 11 4" xfId="22573" xr:uid="{FCAF0CF0-4659-45D7-BE62-407784D9ECBD}"/>
    <cellStyle name="Normal 3 12" xfId="22574" xr:uid="{B4E15257-5EF4-4EE8-93CF-9AE30AC2AEAF}"/>
    <cellStyle name="Normal 3 12 10" xfId="22575" xr:uid="{FDCA9DDC-76EB-4FA1-8CD9-5D87E1093E5D}"/>
    <cellStyle name="Normal 3 12 11" xfId="22576" xr:uid="{4B994FC3-B265-4984-A2F3-8D23E51FA0DC}"/>
    <cellStyle name="Normal 3 12 2" xfId="22577" xr:uid="{A6EB65E1-4047-4A0D-8BDB-7EDE4E3733F7}"/>
    <cellStyle name="Normal 3 12 2 10" xfId="22578" xr:uid="{42443369-1BB2-4997-9665-09E9493D090F}"/>
    <cellStyle name="Normal 3 12 2 10 2" xfId="22579" xr:uid="{4DCDBFFC-9356-4F21-9822-B4649CF72D63}"/>
    <cellStyle name="Normal 3 12 2 10 3" xfId="22580" xr:uid="{6430F62A-D4C2-4EC4-968E-E0024EC7C0D0}"/>
    <cellStyle name="Normal 3 12 2 10 4" xfId="22581" xr:uid="{0A5B25E2-A38D-4CD8-9A21-1D39C5DBE5AC}"/>
    <cellStyle name="Normal 3 12 2 10 5" xfId="22582" xr:uid="{A36F262A-91CB-434C-8DB2-44E85C342DF3}"/>
    <cellStyle name="Normal 3 12 2 10 6" xfId="22583" xr:uid="{5FF79B60-3F4A-40F9-8E8C-14CD3F3CE29C}"/>
    <cellStyle name="Normal 3 12 2 11" xfId="22584" xr:uid="{E6635E59-28E4-48A9-941C-3B027E02F6F4}"/>
    <cellStyle name="Normal 3 12 2 11 2" xfId="22585" xr:uid="{9E1F96C8-13B1-4E3A-A26E-D5FD935DD80A}"/>
    <cellStyle name="Normal 3 12 2 11 3" xfId="22586" xr:uid="{0065E6AB-CAC1-431D-8173-2168CFA95C95}"/>
    <cellStyle name="Normal 3 12 2 11 4" xfId="22587" xr:uid="{C9D1529F-167C-4BFE-97B3-0F9059E6FC16}"/>
    <cellStyle name="Normal 3 12 2 11 5" xfId="22588" xr:uid="{866E9721-F021-4F00-9A3A-506EF5B8EE44}"/>
    <cellStyle name="Normal 3 12 2 11 6" xfId="22589" xr:uid="{99313022-AFDB-4264-AF18-FDD9F1875BE0}"/>
    <cellStyle name="Normal 3 12 2 12" xfId="22590" xr:uid="{0E8E4EC2-B61C-4BDD-B0FB-2F12FE330626}"/>
    <cellStyle name="Normal 3 12 2 12 2" xfId="22591" xr:uid="{00C2B25B-7D10-42E4-B89C-2A072D3496D9}"/>
    <cellStyle name="Normal 3 12 2 12 3" xfId="22592" xr:uid="{320414EC-7838-4097-8D81-BAA975D5B347}"/>
    <cellStyle name="Normal 3 12 2 12 4" xfId="22593" xr:uid="{CDDCA17F-45BD-4F53-A0C6-4F69621A3681}"/>
    <cellStyle name="Normal 3 12 2 12 5" xfId="22594" xr:uid="{5FE15E24-8C50-47DD-B7A4-A362F6790388}"/>
    <cellStyle name="Normal 3 12 2 12 6" xfId="22595" xr:uid="{15DD4E06-1F39-4AB5-BF6E-E660CC3323CB}"/>
    <cellStyle name="Normal 3 12 2 13" xfId="22596" xr:uid="{5A409B28-41AC-4CCD-B8AE-FEC153051A50}"/>
    <cellStyle name="Normal 3 12 2 13 2" xfId="22597" xr:uid="{B2B0FDC8-8361-41FE-A59C-2EED0A9471DA}"/>
    <cellStyle name="Normal 3 12 2 13 3" xfId="22598" xr:uid="{846CBDFE-AFCE-4CE5-9B49-23DF1C217A7B}"/>
    <cellStyle name="Normal 3 12 2 13 4" xfId="22599" xr:uid="{ACD4037A-B8B2-4098-8B51-35A9AB049753}"/>
    <cellStyle name="Normal 3 12 2 13 5" xfId="22600" xr:uid="{52163394-2140-4EFF-BA43-20D7C6A15EC6}"/>
    <cellStyle name="Normal 3 12 2 13 6" xfId="22601" xr:uid="{B8232604-8EB6-47DF-A5F5-ACCF2CDFA0F6}"/>
    <cellStyle name="Normal 3 12 2 14" xfId="22602" xr:uid="{D2DF7505-21B3-4289-96F3-8FA826F8394D}"/>
    <cellStyle name="Normal 3 12 2 14 2" xfId="22603" xr:uid="{16509BD7-112F-4A73-9E45-04060EBBA5B3}"/>
    <cellStyle name="Normal 3 12 2 14 3" xfId="22604" xr:uid="{7DEBC09D-F31B-44C8-B34E-BEA061959A84}"/>
    <cellStyle name="Normal 3 12 2 14 4" xfId="22605" xr:uid="{B45F0E6A-A0C1-4410-8A90-ABA908661B05}"/>
    <cellStyle name="Normal 3 12 2 14 5" xfId="22606" xr:uid="{563E2692-47B7-46C9-9DDD-5065494946FD}"/>
    <cellStyle name="Normal 3 12 2 14 6" xfId="22607" xr:uid="{0496319D-6616-41B4-B5CD-C77F2E958B9A}"/>
    <cellStyle name="Normal 3 12 2 15" xfId="22608" xr:uid="{C8CBBA66-7E29-4AA2-B4F4-D6387C971F7B}"/>
    <cellStyle name="Normal 3 12 2 16" xfId="22609" xr:uid="{A1D3A8CD-8F3A-4A45-B21A-C77FE122A418}"/>
    <cellStyle name="Normal 3 12 2 17" xfId="22610" xr:uid="{25FA8F9B-4107-43C1-A979-B00339400F40}"/>
    <cellStyle name="Normal 3 12 2 18" xfId="22611" xr:uid="{1486C677-E568-4279-B576-0DB004C79C2E}"/>
    <cellStyle name="Normal 3 12 2 19" xfId="22612" xr:uid="{CB39DAF2-83F6-456D-A198-431805C7E7C8}"/>
    <cellStyle name="Normal 3 12 2 2" xfId="22613" xr:uid="{478CB27F-0C52-4043-BF9F-BF0E27994028}"/>
    <cellStyle name="Normal 3 12 2 3" xfId="22614" xr:uid="{1439D7ED-8CCA-43B6-BC01-0099EBD790C8}"/>
    <cellStyle name="Normal 3 12 2 4" xfId="22615" xr:uid="{CD68DBEC-813F-4760-B32A-DE761658B614}"/>
    <cellStyle name="Normal 3 12 2 5" xfId="22616" xr:uid="{0E19B899-2E10-48C0-AC3A-F5870859CE33}"/>
    <cellStyle name="Normal 3 12 2 6" xfId="22617" xr:uid="{66728D3F-A294-4115-905D-D4B390FFAE22}"/>
    <cellStyle name="Normal 3 12 2 7" xfId="22618" xr:uid="{E0E026DB-EF4E-4C11-9943-67CD1AB1CBD8}"/>
    <cellStyle name="Normal 3 12 2 8" xfId="22619" xr:uid="{52C230C6-F630-46DB-AAA4-235690EDF383}"/>
    <cellStyle name="Normal 3 12 2 9" xfId="22620" xr:uid="{8235E8D3-47C4-46DA-AC56-D3D422E2E45E}"/>
    <cellStyle name="Normal 3 12 3" xfId="22621" xr:uid="{0AED26C2-C32B-4B5C-B75F-A27125C5C82C}"/>
    <cellStyle name="Normal 3 12 3 10" xfId="22622" xr:uid="{719B1C90-DD6A-46AA-9AE9-04C0C221F49F}"/>
    <cellStyle name="Normal 3 12 3 11" xfId="22623" xr:uid="{F7FAC2CD-021C-4D77-B6BA-F24BDDDC0E71}"/>
    <cellStyle name="Normal 3 12 3 2" xfId="22624" xr:uid="{233C3F87-6C31-45A1-B2A1-736B5651F7AD}"/>
    <cellStyle name="Normal 3 12 3 2 2" xfId="22625" xr:uid="{388E97C6-236A-4505-B879-8307E74E52EB}"/>
    <cellStyle name="Normal 3 12 3 2 3" xfId="22626" xr:uid="{F70DAC5B-2A1A-49A5-8F32-3420A973B095}"/>
    <cellStyle name="Normal 3 12 3 2 4" xfId="22627" xr:uid="{6DDFCF38-322B-49F9-BB63-8AA0AEE2FF50}"/>
    <cellStyle name="Normal 3 12 3 2 5" xfId="22628" xr:uid="{A74A2A99-FBE1-4D37-8529-3F17922975CC}"/>
    <cellStyle name="Normal 3 12 3 2 6" xfId="22629" xr:uid="{60A9D1D9-92E4-42D6-AE57-EAD7BADECF41}"/>
    <cellStyle name="Normal 3 12 3 3" xfId="22630" xr:uid="{20950333-1971-490B-A8BC-FBC6101F2B44}"/>
    <cellStyle name="Normal 3 12 3 3 2" xfId="22631" xr:uid="{D3203B68-A7FE-43BB-A9C7-B5D66FDB8892}"/>
    <cellStyle name="Normal 3 12 3 3 3" xfId="22632" xr:uid="{E6143B34-A93A-4B05-879E-0E4D23F559D1}"/>
    <cellStyle name="Normal 3 12 3 3 4" xfId="22633" xr:uid="{066CB954-6997-499F-B77C-D71569C698D4}"/>
    <cellStyle name="Normal 3 12 3 3 5" xfId="22634" xr:uid="{F0A5AE59-5AB4-4393-BFDF-D2025AA2507C}"/>
    <cellStyle name="Normal 3 12 3 3 6" xfId="22635" xr:uid="{3FAC0FA5-79DD-480D-B61E-4353FF7FED18}"/>
    <cellStyle name="Normal 3 12 3 4" xfId="22636" xr:uid="{41AFE447-8E1A-4029-9029-CB6A6C29DA28}"/>
    <cellStyle name="Normal 3 12 3 4 2" xfId="22637" xr:uid="{7A6311BC-981F-4577-9821-664DCB92132A}"/>
    <cellStyle name="Normal 3 12 3 4 3" xfId="22638" xr:uid="{DEE3D097-C2F1-4B1B-8DCB-6AEBA61B564F}"/>
    <cellStyle name="Normal 3 12 3 4 4" xfId="22639" xr:uid="{1EC15C56-8477-4001-BB61-D35CC26AEA16}"/>
    <cellStyle name="Normal 3 12 3 4 5" xfId="22640" xr:uid="{F92FEA46-9836-4266-AC2B-5EDBAFAF03AF}"/>
    <cellStyle name="Normal 3 12 3 4 6" xfId="22641" xr:uid="{AA65D0DA-1A70-4D36-84EC-0E6A2748BD6D}"/>
    <cellStyle name="Normal 3 12 3 5" xfId="22642" xr:uid="{D8A8DA77-4190-4293-89BE-2CD9E9CD4147}"/>
    <cellStyle name="Normal 3 12 3 5 2" xfId="22643" xr:uid="{07778787-E3E6-4CDB-BBF6-03BFF6DBD61C}"/>
    <cellStyle name="Normal 3 12 3 5 3" xfId="22644" xr:uid="{E8C8BE43-5DD0-44AE-A3BE-6AA1917D3C5F}"/>
    <cellStyle name="Normal 3 12 3 5 4" xfId="22645" xr:uid="{F62FDE35-476F-4A34-AF1B-E0DD634F0863}"/>
    <cellStyle name="Normal 3 12 3 5 5" xfId="22646" xr:uid="{02EB3D8F-9A14-4A98-8B21-6A068709933A}"/>
    <cellStyle name="Normal 3 12 3 5 6" xfId="22647" xr:uid="{93A88E68-1D2E-47C9-999D-A56360637DEE}"/>
    <cellStyle name="Normal 3 12 3 6" xfId="22648" xr:uid="{0B0497C3-6DA2-4B19-83AB-E476AC8AA18A}"/>
    <cellStyle name="Normal 3 12 3 6 2" xfId="22649" xr:uid="{02EFEDE1-ED1A-4D8B-9DD0-8318B6147A7F}"/>
    <cellStyle name="Normal 3 12 3 6 3" xfId="22650" xr:uid="{E09C1EE8-75DC-4571-9CD5-9D30519EA927}"/>
    <cellStyle name="Normal 3 12 3 6 4" xfId="22651" xr:uid="{EA266A7A-162F-4B8D-BB63-F21029808882}"/>
    <cellStyle name="Normal 3 12 3 6 5" xfId="22652" xr:uid="{777E573D-16B6-44D4-AA52-DCC49F5C78BF}"/>
    <cellStyle name="Normal 3 12 3 6 6" xfId="22653" xr:uid="{145B67EF-AD58-4B0F-9AD8-50816D0CEF08}"/>
    <cellStyle name="Normal 3 12 3 7" xfId="22654" xr:uid="{656ADA4B-89A8-4414-A819-C100CEBD92F5}"/>
    <cellStyle name="Normal 3 12 3 8" xfId="22655" xr:uid="{BD98C76C-1BBD-4E09-BED9-D8D984363596}"/>
    <cellStyle name="Normal 3 12 3 9" xfId="22656" xr:uid="{C83A7BE3-1810-43DA-B0F8-D7E3FCAC410B}"/>
    <cellStyle name="Normal 3 12 4" xfId="22657" xr:uid="{66AEDC99-7AAA-421E-86B0-2E88EFDDA13B}"/>
    <cellStyle name="Normal 3 12 4 10" xfId="22658" xr:uid="{90F8CB16-43A0-4776-BF16-0619C3000058}"/>
    <cellStyle name="Normal 3 12 4 11" xfId="22659" xr:uid="{8214F8CE-248D-4A68-BCBD-38D9BB763DC2}"/>
    <cellStyle name="Normal 3 12 4 2" xfId="22660" xr:uid="{EA3CB5E2-70CA-4A80-BC47-0B4329B51128}"/>
    <cellStyle name="Normal 3 12 4 2 2" xfId="22661" xr:uid="{2577F5CE-BCC1-4392-B6E3-2B4AD4BB0C88}"/>
    <cellStyle name="Normal 3 12 4 2 3" xfId="22662" xr:uid="{293E59AE-63E8-463C-AF67-5ABC09DAA2DE}"/>
    <cellStyle name="Normal 3 12 4 2 4" xfId="22663" xr:uid="{00EE5521-DF17-4CF4-A5D4-4DF4D6775005}"/>
    <cellStyle name="Normal 3 12 4 2 5" xfId="22664" xr:uid="{2B9BF393-5978-44CF-A86B-25EEECB25494}"/>
    <cellStyle name="Normal 3 12 4 2 6" xfId="22665" xr:uid="{2E959595-125A-4B3A-BA9C-7C3B3E82B881}"/>
    <cellStyle name="Normal 3 12 4 3" xfId="22666" xr:uid="{71CE4FC1-A821-4CF1-B88C-DAF13D8E50CF}"/>
    <cellStyle name="Normal 3 12 4 3 2" xfId="22667" xr:uid="{97CCB6D6-77F8-4767-9938-B75915D76FED}"/>
    <cellStyle name="Normal 3 12 4 3 3" xfId="22668" xr:uid="{15D493D0-6F1D-4766-8BF7-D932CB2CDC9F}"/>
    <cellStyle name="Normal 3 12 4 3 4" xfId="22669" xr:uid="{B3ACA684-5FF2-424C-9D9C-7D5A77DE947F}"/>
    <cellStyle name="Normal 3 12 4 3 5" xfId="22670" xr:uid="{31B01039-67C7-4D3A-978A-18A7E1B01BDF}"/>
    <cellStyle name="Normal 3 12 4 3 6" xfId="22671" xr:uid="{7D7B4016-B519-4802-99D8-55683BF831D8}"/>
    <cellStyle name="Normal 3 12 4 4" xfId="22672" xr:uid="{EE40FA51-63A7-4301-9F44-E251CBD15331}"/>
    <cellStyle name="Normal 3 12 4 4 2" xfId="22673" xr:uid="{A3FDA618-1E4B-483A-A981-1ED5A2155684}"/>
    <cellStyle name="Normal 3 12 4 4 3" xfId="22674" xr:uid="{804259A2-AFA6-4574-BF7B-0A4DCEFBA51A}"/>
    <cellStyle name="Normal 3 12 4 4 4" xfId="22675" xr:uid="{A3D8AD49-48B0-4E6B-BC1C-D4016251B7CA}"/>
    <cellStyle name="Normal 3 12 4 4 5" xfId="22676" xr:uid="{54A1C397-90EE-41D0-A2B4-1AC7E870A480}"/>
    <cellStyle name="Normal 3 12 4 4 6" xfId="22677" xr:uid="{BDCF7C86-0C44-490D-AEFD-219C1ED5B23B}"/>
    <cellStyle name="Normal 3 12 4 5" xfId="22678" xr:uid="{EBF9211F-1CD5-450C-8169-968F84397526}"/>
    <cellStyle name="Normal 3 12 4 5 2" xfId="22679" xr:uid="{6F0F0565-6FB6-4DED-9785-7EF570BA5603}"/>
    <cellStyle name="Normal 3 12 4 5 3" xfId="22680" xr:uid="{40E1F916-7680-4AC5-A8DB-88943503AB7D}"/>
    <cellStyle name="Normal 3 12 4 5 4" xfId="22681" xr:uid="{5AF2B9F0-BC1C-4156-82AD-E7C70C64C3B9}"/>
    <cellStyle name="Normal 3 12 4 5 5" xfId="22682" xr:uid="{7D6B03B4-7449-44E7-9D11-886C69B9FA2E}"/>
    <cellStyle name="Normal 3 12 4 5 6" xfId="22683" xr:uid="{F0537939-C905-43D3-AB7C-8341AE682C20}"/>
    <cellStyle name="Normal 3 12 4 6" xfId="22684" xr:uid="{6F30FF7E-9288-4B0D-8AEE-B8CC2686C31F}"/>
    <cellStyle name="Normal 3 12 4 6 2" xfId="22685" xr:uid="{C810F786-61AA-44CB-9E1D-78A0A9F200E3}"/>
    <cellStyle name="Normal 3 12 4 6 3" xfId="22686" xr:uid="{028BC2DD-EEEF-4BB8-9F4C-8EE769DCBC6D}"/>
    <cellStyle name="Normal 3 12 4 6 4" xfId="22687" xr:uid="{C4090340-4DA2-4CFE-AAC9-3097D50233CF}"/>
    <cellStyle name="Normal 3 12 4 6 5" xfId="22688" xr:uid="{94000D2D-9140-4499-AB2B-BFAB9CB978B0}"/>
    <cellStyle name="Normal 3 12 4 6 6" xfId="22689" xr:uid="{549BA525-D9FE-4272-8C54-FB1D236097FE}"/>
    <cellStyle name="Normal 3 12 4 7" xfId="22690" xr:uid="{40FD9745-7DA6-4339-B154-9CEB2C92A82F}"/>
    <cellStyle name="Normal 3 12 4 8" xfId="22691" xr:uid="{38CFC5A4-EA01-4612-A9F7-7FCE7D797D54}"/>
    <cellStyle name="Normal 3 12 4 9" xfId="22692" xr:uid="{F06B2F73-C0C1-4996-9A40-D0699CC40321}"/>
    <cellStyle name="Normal 3 12 5" xfId="22693" xr:uid="{792793F7-FBAA-4D4C-988D-34489B855B75}"/>
    <cellStyle name="Normal 3 12 5 10" xfId="22694" xr:uid="{DAA5DCAD-CCF5-4E8A-B916-0FB3650A3E7D}"/>
    <cellStyle name="Normal 3 12 5 11" xfId="22695" xr:uid="{284A0020-7511-49EE-9EF4-A273A3F2FBBF}"/>
    <cellStyle name="Normal 3 12 5 2" xfId="22696" xr:uid="{DDEE2F1B-E00B-4C78-98EF-A50478AF2450}"/>
    <cellStyle name="Normal 3 12 5 2 2" xfId="22697" xr:uid="{82FC1AAB-5604-45B3-8643-092B15AEA2FB}"/>
    <cellStyle name="Normal 3 12 5 2 3" xfId="22698" xr:uid="{1B516380-89A5-465A-A1AD-21383E5477CE}"/>
    <cellStyle name="Normal 3 12 5 2 4" xfId="22699" xr:uid="{316A6E89-9E79-4F82-93B4-C5407664889B}"/>
    <cellStyle name="Normal 3 12 5 2 5" xfId="22700" xr:uid="{9661C69D-092C-4892-9FEC-DD0932A92C28}"/>
    <cellStyle name="Normal 3 12 5 2 6" xfId="22701" xr:uid="{18E752FC-2E4F-4497-8C58-EF8DDA40C167}"/>
    <cellStyle name="Normal 3 12 5 3" xfId="22702" xr:uid="{B189858B-023E-4446-9EDB-BA9DCA483DC9}"/>
    <cellStyle name="Normal 3 12 5 3 2" xfId="22703" xr:uid="{063739DF-62E2-46B5-97A3-A430FF4F93A6}"/>
    <cellStyle name="Normal 3 12 5 3 3" xfId="22704" xr:uid="{7684BE37-B4FE-42C4-B214-764EFCC11918}"/>
    <cellStyle name="Normal 3 12 5 3 4" xfId="22705" xr:uid="{69E7DA5E-7AB6-41C1-9FF2-C4888E234FE6}"/>
    <cellStyle name="Normal 3 12 5 3 5" xfId="22706" xr:uid="{7C036E97-E8F1-482F-A58D-530F2B367734}"/>
    <cellStyle name="Normal 3 12 5 3 6" xfId="22707" xr:uid="{F1D7F5F3-C978-412B-9F02-F46B7D7A7E90}"/>
    <cellStyle name="Normal 3 12 5 4" xfId="22708" xr:uid="{D8B605E6-9520-4FF2-95A7-188A9ABCE805}"/>
    <cellStyle name="Normal 3 12 5 4 2" xfId="22709" xr:uid="{0499C6CC-0AE9-4F23-AC90-F3BCE9C5F4A9}"/>
    <cellStyle name="Normal 3 12 5 4 3" xfId="22710" xr:uid="{CC69E0F0-0C1D-458A-B063-AE1EC71818E7}"/>
    <cellStyle name="Normal 3 12 5 4 4" xfId="22711" xr:uid="{951DF97D-9E00-4F7D-BF45-ED94EA631D24}"/>
    <cellStyle name="Normal 3 12 5 4 5" xfId="22712" xr:uid="{DD327E08-CFAA-4F4B-8879-1DD669217F71}"/>
    <cellStyle name="Normal 3 12 5 4 6" xfId="22713" xr:uid="{43A6F7A9-44FF-4F05-9555-3755062F6BE8}"/>
    <cellStyle name="Normal 3 12 5 5" xfId="22714" xr:uid="{F37AFB92-91AE-4D2E-8651-85988C1B4345}"/>
    <cellStyle name="Normal 3 12 5 5 2" xfId="22715" xr:uid="{ED701885-97C7-420F-B7F5-60CD03AFE0CB}"/>
    <cellStyle name="Normal 3 12 5 5 3" xfId="22716" xr:uid="{F9F0944F-0153-4FB5-B36D-3A319539626C}"/>
    <cellStyle name="Normal 3 12 5 5 4" xfId="22717" xr:uid="{165FC47B-50CE-410D-9A08-2584C37B047F}"/>
    <cellStyle name="Normal 3 12 5 5 5" xfId="22718" xr:uid="{481B68CF-601B-43DD-A616-88F34929D5FD}"/>
    <cellStyle name="Normal 3 12 5 5 6" xfId="22719" xr:uid="{8A91F7B6-DBEA-41A8-B824-AE881BDE2085}"/>
    <cellStyle name="Normal 3 12 5 6" xfId="22720" xr:uid="{9522CE03-7574-4824-946B-978FE9A5A36A}"/>
    <cellStyle name="Normal 3 12 5 6 2" xfId="22721" xr:uid="{35595303-2757-4D68-83B6-02356AA5E2AD}"/>
    <cellStyle name="Normal 3 12 5 6 3" xfId="22722" xr:uid="{05AF507A-3241-453E-BA1A-BB06BF96E16C}"/>
    <cellStyle name="Normal 3 12 5 6 4" xfId="22723" xr:uid="{BE3A87C1-8C73-41E9-B5A3-3B40D744F196}"/>
    <cellStyle name="Normal 3 12 5 6 5" xfId="22724" xr:uid="{C3E77E17-AD1B-4362-A786-EC5512C5AD21}"/>
    <cellStyle name="Normal 3 12 5 6 6" xfId="22725" xr:uid="{B874B9E4-4771-46B9-B7FD-F8EE078ED089}"/>
    <cellStyle name="Normal 3 12 5 7" xfId="22726" xr:uid="{E5C4429A-FA64-42BF-BDCD-ADA582AAB8F1}"/>
    <cellStyle name="Normal 3 12 5 8" xfId="22727" xr:uid="{679301CD-721C-4B3B-82D2-FDD7B8E0DF2F}"/>
    <cellStyle name="Normal 3 12 5 9" xfId="22728" xr:uid="{F605DF45-F86E-4D83-98C8-A79049C90FFB}"/>
    <cellStyle name="Normal 3 12 6" xfId="22729" xr:uid="{BD911163-EB08-4666-8EB4-AE1C9D8D13C2}"/>
    <cellStyle name="Normal 3 12 6 10" xfId="22730" xr:uid="{B0C42075-641C-4670-B049-F0727A996AD3}"/>
    <cellStyle name="Normal 3 12 6 11" xfId="22731" xr:uid="{3B98280F-F50B-4E4E-8F0B-B09A2D7A780C}"/>
    <cellStyle name="Normal 3 12 6 2" xfId="22732" xr:uid="{C4A6B3B2-F994-409C-8025-3E73B8504B9B}"/>
    <cellStyle name="Normal 3 12 6 2 2" xfId="22733" xr:uid="{460D321D-F341-48B2-938A-0363D62A88C9}"/>
    <cellStyle name="Normal 3 12 6 2 3" xfId="22734" xr:uid="{CF6B78EA-6D1A-4113-B1F0-80D8A72C838E}"/>
    <cellStyle name="Normal 3 12 6 2 4" xfId="22735" xr:uid="{C92BB722-50A9-4CEE-AAA5-3639532EB792}"/>
    <cellStyle name="Normal 3 12 6 2 5" xfId="22736" xr:uid="{EF294C80-7C57-4111-88F9-29681E6126D6}"/>
    <cellStyle name="Normal 3 12 6 2 6" xfId="22737" xr:uid="{5F70398C-EFF4-4BD8-995E-413DF8EBE924}"/>
    <cellStyle name="Normal 3 12 6 3" xfId="22738" xr:uid="{18E42749-ADE9-437D-B752-20DEF71C2031}"/>
    <cellStyle name="Normal 3 12 6 3 2" xfId="22739" xr:uid="{AC73BAC5-8EE2-4C8A-83A2-449B53B02560}"/>
    <cellStyle name="Normal 3 12 6 3 3" xfId="22740" xr:uid="{368A820D-2494-41D8-8D86-4807CCEFDF65}"/>
    <cellStyle name="Normal 3 12 6 3 4" xfId="22741" xr:uid="{DE18BFB6-6EE5-4EEA-A119-B28338959C02}"/>
    <cellStyle name="Normal 3 12 6 3 5" xfId="22742" xr:uid="{B848560F-031F-4162-B4DE-47A9A05883D9}"/>
    <cellStyle name="Normal 3 12 6 3 6" xfId="22743" xr:uid="{A653024E-0E23-46C0-8D40-5071B6893AE8}"/>
    <cellStyle name="Normal 3 12 6 4" xfId="22744" xr:uid="{345E0552-DC48-4AD5-8C6D-233B4271F69B}"/>
    <cellStyle name="Normal 3 12 6 4 2" xfId="22745" xr:uid="{0BBEFDB2-1ADB-4B57-8361-D87569570AAC}"/>
    <cellStyle name="Normal 3 12 6 4 3" xfId="22746" xr:uid="{B5BD896D-B0F4-428D-8D0A-63AD810ADDEB}"/>
    <cellStyle name="Normal 3 12 6 4 4" xfId="22747" xr:uid="{77FB76A9-5BC3-4409-8DCB-B95E7D49E177}"/>
    <cellStyle name="Normal 3 12 6 4 5" xfId="22748" xr:uid="{63C2953C-6996-4FB8-B563-7B24029EF42A}"/>
    <cellStyle name="Normal 3 12 6 4 6" xfId="22749" xr:uid="{2FF56AB6-A392-4AD8-8FDE-E6A0FD90B3E2}"/>
    <cellStyle name="Normal 3 12 6 5" xfId="22750" xr:uid="{49EEF09B-C52F-423B-9854-98225AE8A7A7}"/>
    <cellStyle name="Normal 3 12 6 5 2" xfId="22751" xr:uid="{5EE8D467-0BDF-426F-8E6E-97F1B5721E00}"/>
    <cellStyle name="Normal 3 12 6 5 3" xfId="22752" xr:uid="{7C4A5353-EE6B-47B5-9C28-65FE60E530B6}"/>
    <cellStyle name="Normal 3 12 6 5 4" xfId="22753" xr:uid="{C287E1AD-CF86-4EA1-AFA8-FC354EC3F4F2}"/>
    <cellStyle name="Normal 3 12 6 5 5" xfId="22754" xr:uid="{2F2DB9B6-E6B0-49BB-84AA-A31DE8778A55}"/>
    <cellStyle name="Normal 3 12 6 5 6" xfId="22755" xr:uid="{A3E2AA0D-5D00-46BD-AF43-6F5F5B57A9FA}"/>
    <cellStyle name="Normal 3 12 6 6" xfId="22756" xr:uid="{5A272DAE-0CF6-47F1-97D8-6CB2CBA9063D}"/>
    <cellStyle name="Normal 3 12 6 6 2" xfId="22757" xr:uid="{ACDFAFE3-B072-400A-98C4-5E0F2719A6D3}"/>
    <cellStyle name="Normal 3 12 6 6 3" xfId="22758" xr:uid="{09F5F1E3-AF8A-465B-9205-B8B88937C218}"/>
    <cellStyle name="Normal 3 12 6 6 4" xfId="22759" xr:uid="{59FF1E96-4C57-4488-B0A2-3B44B6B76271}"/>
    <cellStyle name="Normal 3 12 6 6 5" xfId="22760" xr:uid="{5B38D54C-3EA1-4BD0-B949-F9264B5C5A3A}"/>
    <cellStyle name="Normal 3 12 6 6 6" xfId="22761" xr:uid="{337575B8-78AD-4FCC-9B99-8D443A993E4B}"/>
    <cellStyle name="Normal 3 12 6 7" xfId="22762" xr:uid="{1D49BAB2-4728-445E-AE28-2D2AF125A0F3}"/>
    <cellStyle name="Normal 3 12 6 8" xfId="22763" xr:uid="{C410F1B0-0D21-468E-855B-E50CA6F944DE}"/>
    <cellStyle name="Normal 3 12 6 9" xfId="22764" xr:uid="{503D333B-3F3B-4233-8413-D6C88CC4B694}"/>
    <cellStyle name="Normal 3 12 7" xfId="22765" xr:uid="{2B4E5BFD-DFD7-4905-B20C-15D59CDA5458}"/>
    <cellStyle name="Normal 3 12 7 10" xfId="22766" xr:uid="{4498411A-78E0-4261-ADA7-A4E5AFBB5D55}"/>
    <cellStyle name="Normal 3 12 7 11" xfId="22767" xr:uid="{2D226D7E-F47F-4C89-8F97-6B3A5481A071}"/>
    <cellStyle name="Normal 3 12 7 2" xfId="22768" xr:uid="{16F252B1-9B28-4266-815A-BAD7FA293EA8}"/>
    <cellStyle name="Normal 3 12 7 2 2" xfId="22769" xr:uid="{71A7C9AE-8CF2-41BE-815C-19F2F40DEE2F}"/>
    <cellStyle name="Normal 3 12 7 2 3" xfId="22770" xr:uid="{540B03A2-26E7-4FA6-B219-C790F5AB7D35}"/>
    <cellStyle name="Normal 3 12 7 2 4" xfId="22771" xr:uid="{3F081BFF-39AC-4BF3-8F77-9F11375F4AE6}"/>
    <cellStyle name="Normal 3 12 7 2 5" xfId="22772" xr:uid="{FF093ED8-25DE-4EF9-9F8B-92E5F8728611}"/>
    <cellStyle name="Normal 3 12 7 2 6" xfId="22773" xr:uid="{E0B9C4A6-7D7E-42A3-95CE-721F2E450B48}"/>
    <cellStyle name="Normal 3 12 7 3" xfId="22774" xr:uid="{A9EE7E1C-2DEB-40B0-ABC8-C93DC6916BD5}"/>
    <cellStyle name="Normal 3 12 7 3 2" xfId="22775" xr:uid="{DF7D3131-DD2B-411E-A9C3-41579C30D6D4}"/>
    <cellStyle name="Normal 3 12 7 3 3" xfId="22776" xr:uid="{930435E7-3AFB-46A7-84E2-EF1B91C97AE1}"/>
    <cellStyle name="Normal 3 12 7 3 4" xfId="22777" xr:uid="{44DF27DF-8065-4A23-ABEC-71BE3B81CE33}"/>
    <cellStyle name="Normal 3 12 7 3 5" xfId="22778" xr:uid="{DB64C9BA-4B4A-4499-86D3-EBFF2AB0688F}"/>
    <cellStyle name="Normal 3 12 7 3 6" xfId="22779" xr:uid="{4B5FA60E-3C6A-42A8-8C82-01F3AB8E3F36}"/>
    <cellStyle name="Normal 3 12 7 4" xfId="22780" xr:uid="{FB3135FB-A839-42DA-A04F-BC686734590F}"/>
    <cellStyle name="Normal 3 12 7 4 2" xfId="22781" xr:uid="{BFD52FA8-1376-4BCD-910A-CF8FBA8AC7BC}"/>
    <cellStyle name="Normal 3 12 7 4 3" xfId="22782" xr:uid="{F3ED3C94-CB3E-431A-9C07-6D4D6C281DEE}"/>
    <cellStyle name="Normal 3 12 7 4 4" xfId="22783" xr:uid="{E95A00BB-1A6C-480F-AD74-286A8A75B201}"/>
    <cellStyle name="Normal 3 12 7 4 5" xfId="22784" xr:uid="{1D551D3B-4E17-43E9-8127-35720B9A18A5}"/>
    <cellStyle name="Normal 3 12 7 4 6" xfId="22785" xr:uid="{7CDFABC5-66BD-4586-87B8-F94C8240983F}"/>
    <cellStyle name="Normal 3 12 7 5" xfId="22786" xr:uid="{7F713B77-3C00-4EDB-8349-38A8CDFF919F}"/>
    <cellStyle name="Normal 3 12 7 5 2" xfId="22787" xr:uid="{DAAB4C22-F5F5-4ADB-B502-7A46ED51F2C4}"/>
    <cellStyle name="Normal 3 12 7 5 3" xfId="22788" xr:uid="{850DF8D7-D12E-4758-907E-932E3DE6D72F}"/>
    <cellStyle name="Normal 3 12 7 5 4" xfId="22789" xr:uid="{66232292-72CD-4405-ADB6-91E5539B5419}"/>
    <cellStyle name="Normal 3 12 7 5 5" xfId="22790" xr:uid="{EF7FB3CC-7924-42B6-B978-2E890B8D6E09}"/>
    <cellStyle name="Normal 3 12 7 5 6" xfId="22791" xr:uid="{A6DC22AC-C9BC-4E74-B92F-D3B1D07AEAF4}"/>
    <cellStyle name="Normal 3 12 7 6" xfId="22792" xr:uid="{AC591125-6DB7-4008-A0EC-214E5AB91A2A}"/>
    <cellStyle name="Normal 3 12 7 6 2" xfId="22793" xr:uid="{6F7ADB86-7C9A-45E2-9E47-DCDE870F8EDB}"/>
    <cellStyle name="Normal 3 12 7 6 3" xfId="22794" xr:uid="{3C1F9D98-45D0-4426-B569-1D863BB962B8}"/>
    <cellStyle name="Normal 3 12 7 6 4" xfId="22795" xr:uid="{5553FF02-0601-46AE-8986-80674B845064}"/>
    <cellStyle name="Normal 3 12 7 6 5" xfId="22796" xr:uid="{F2C262E6-95EF-4655-B7C5-5A674C10ED9A}"/>
    <cellStyle name="Normal 3 12 7 6 6" xfId="22797" xr:uid="{401F4609-A523-4B49-A088-B021986BEEB5}"/>
    <cellStyle name="Normal 3 12 7 7" xfId="22798" xr:uid="{5C799DC7-6629-4A12-B905-E16F3486FE94}"/>
    <cellStyle name="Normal 3 12 7 8" xfId="22799" xr:uid="{5E587DD3-54E2-405E-8E72-00B175A6EB11}"/>
    <cellStyle name="Normal 3 12 7 9" xfId="22800" xr:uid="{5677647C-21C3-433A-90B9-32DB34DB0F1A}"/>
    <cellStyle name="Normal 3 12 8" xfId="22801" xr:uid="{C5C97034-5973-4A98-A933-48F3D0D203BA}"/>
    <cellStyle name="Normal 3 12 8 10" xfId="22802" xr:uid="{B416BAD9-6A46-4411-85A1-444BE73DCFC7}"/>
    <cellStyle name="Normal 3 12 8 11" xfId="22803" xr:uid="{65924527-1876-4E13-957B-BD29653F9003}"/>
    <cellStyle name="Normal 3 12 8 2" xfId="22804" xr:uid="{2B7F6399-F94E-403B-871C-902429446005}"/>
    <cellStyle name="Normal 3 12 8 2 2" xfId="22805" xr:uid="{6A11D1E0-1789-45B1-8999-AB90635C1A98}"/>
    <cellStyle name="Normal 3 12 8 2 3" xfId="22806" xr:uid="{D5F29D05-4CAD-4253-8559-6753356A06CE}"/>
    <cellStyle name="Normal 3 12 8 2 4" xfId="22807" xr:uid="{B5633F20-E13E-4DAA-B0EE-CF3F839FFBC2}"/>
    <cellStyle name="Normal 3 12 8 2 5" xfId="22808" xr:uid="{37FA9CCC-ED80-46EB-8DBE-16CFFECA2B0D}"/>
    <cellStyle name="Normal 3 12 8 2 6" xfId="22809" xr:uid="{85D10C67-45BC-4E7A-8F86-4C03D55851F6}"/>
    <cellStyle name="Normal 3 12 8 3" xfId="22810" xr:uid="{22D4A9ED-6C49-482F-90F9-25C580584AEC}"/>
    <cellStyle name="Normal 3 12 8 3 2" xfId="22811" xr:uid="{BCA6949C-723E-4A11-9B8B-E46855A8FCE1}"/>
    <cellStyle name="Normal 3 12 8 3 3" xfId="22812" xr:uid="{0ADE3786-6466-4AD7-99AD-A699CD81BB37}"/>
    <cellStyle name="Normal 3 12 8 3 4" xfId="22813" xr:uid="{66D4DC02-38F4-4286-A666-5369B22FAC1F}"/>
    <cellStyle name="Normal 3 12 8 3 5" xfId="22814" xr:uid="{A82AE7F8-5327-4EC4-A61F-C998443CBFC1}"/>
    <cellStyle name="Normal 3 12 8 3 6" xfId="22815" xr:uid="{EAF69010-047B-4BA1-A7F8-32C17BBAF19C}"/>
    <cellStyle name="Normal 3 12 8 4" xfId="22816" xr:uid="{A7222E83-54F1-4752-85E4-6CA006E79D14}"/>
    <cellStyle name="Normal 3 12 8 4 2" xfId="22817" xr:uid="{EBDD6259-DCBD-4D7F-A59B-C918A3950F16}"/>
    <cellStyle name="Normal 3 12 8 4 3" xfId="22818" xr:uid="{A6A9A8D7-734C-48F3-A138-8B08D59769DE}"/>
    <cellStyle name="Normal 3 12 8 4 4" xfId="22819" xr:uid="{831D1602-F798-4032-ABD8-231C9E5CD6DA}"/>
    <cellStyle name="Normal 3 12 8 4 5" xfId="22820" xr:uid="{40350F3E-702F-4520-B116-F8EFAD1EF24B}"/>
    <cellStyle name="Normal 3 12 8 4 6" xfId="22821" xr:uid="{3EFAE053-FFF4-4113-B178-82F42A720108}"/>
    <cellStyle name="Normal 3 12 8 5" xfId="22822" xr:uid="{D31FF9D7-1267-4E6B-A11A-FD94BEC200C3}"/>
    <cellStyle name="Normal 3 12 8 5 2" xfId="22823" xr:uid="{78A6D2BE-B0D4-4AC3-AF69-B975389967D9}"/>
    <cellStyle name="Normal 3 12 8 5 3" xfId="22824" xr:uid="{60D1FA8A-573D-42FE-BC42-A8A3550CA13F}"/>
    <cellStyle name="Normal 3 12 8 5 4" xfId="22825" xr:uid="{37BC8A0A-162D-4684-9FB2-D61CDF9DA144}"/>
    <cellStyle name="Normal 3 12 8 5 5" xfId="22826" xr:uid="{46D7DE5F-19BB-4B18-8359-8CEB4919A52A}"/>
    <cellStyle name="Normal 3 12 8 5 6" xfId="22827" xr:uid="{8C495A33-5C62-42A1-8893-D2E72F62116D}"/>
    <cellStyle name="Normal 3 12 8 6" xfId="22828" xr:uid="{C082335D-0C6A-4A1D-897E-5E6236E7D034}"/>
    <cellStyle name="Normal 3 12 8 6 2" xfId="22829" xr:uid="{D79549FA-D341-4750-B248-99BA3E573249}"/>
    <cellStyle name="Normal 3 12 8 6 3" xfId="22830" xr:uid="{37AE4675-BB5D-4A37-9014-2C88283521BE}"/>
    <cellStyle name="Normal 3 12 8 6 4" xfId="22831" xr:uid="{93570935-2B7C-452B-BD1F-198714F67CF9}"/>
    <cellStyle name="Normal 3 12 8 6 5" xfId="22832" xr:uid="{8F6BAFA8-15FE-42AD-A5AA-90DD096575FC}"/>
    <cellStyle name="Normal 3 12 8 6 6" xfId="22833" xr:uid="{B55ADC47-FC5D-4FAF-9FCE-3593624ACCCB}"/>
    <cellStyle name="Normal 3 12 8 7" xfId="22834" xr:uid="{DF5592B5-DF77-4BA9-8C6A-58E492FCB1DF}"/>
    <cellStyle name="Normal 3 12 8 8" xfId="22835" xr:uid="{142B4AB6-9143-43DB-921A-2A4197EA7400}"/>
    <cellStyle name="Normal 3 12 8 9" xfId="22836" xr:uid="{3DE177A0-3A11-4B38-AFAB-0452C1CFFA8C}"/>
    <cellStyle name="Normal 3 12 9" xfId="22837" xr:uid="{EEEF2A29-96F0-4C3E-9E9E-01A25B604BD7}"/>
    <cellStyle name="Normal 3 12 9 10" xfId="22838" xr:uid="{57829C40-80EB-4648-A813-C39A00031B29}"/>
    <cellStyle name="Normal 3 12 9 11" xfId="22839" xr:uid="{E48D9011-F146-4570-9FD8-137A161DA6F8}"/>
    <cellStyle name="Normal 3 12 9 2" xfId="22840" xr:uid="{7036E041-FB89-47CF-9326-D71C5F2B78A8}"/>
    <cellStyle name="Normal 3 12 9 2 2" xfId="22841" xr:uid="{7F499E14-9248-49BD-BB47-7D3CAF4C590C}"/>
    <cellStyle name="Normal 3 12 9 2 3" xfId="22842" xr:uid="{336D433A-3963-4BE1-A3E3-1426253008DD}"/>
    <cellStyle name="Normal 3 12 9 2 4" xfId="22843" xr:uid="{7B4EDB49-468F-4488-AA82-E20FCFD30A92}"/>
    <cellStyle name="Normal 3 12 9 2 5" xfId="22844" xr:uid="{95E7C6ED-6065-495A-B18A-84660D467570}"/>
    <cellStyle name="Normal 3 12 9 2 6" xfId="22845" xr:uid="{E5474701-E64C-42DB-B9A3-93D333D24E67}"/>
    <cellStyle name="Normal 3 12 9 3" xfId="22846" xr:uid="{6C356706-7CDC-498B-855F-0E0AE303D87F}"/>
    <cellStyle name="Normal 3 12 9 3 2" xfId="22847" xr:uid="{33408715-B73F-4FD0-BCB4-2FC354D7AD2D}"/>
    <cellStyle name="Normal 3 12 9 3 3" xfId="22848" xr:uid="{CFF22FEA-17F7-4FDE-ACA7-EAAE117E1D22}"/>
    <cellStyle name="Normal 3 12 9 3 4" xfId="22849" xr:uid="{3F4B9D62-68A3-4FC8-9637-25163D21B226}"/>
    <cellStyle name="Normal 3 12 9 3 5" xfId="22850" xr:uid="{09E0DB77-BAC8-4CC8-B76C-C4A1282F5786}"/>
    <cellStyle name="Normal 3 12 9 3 6" xfId="22851" xr:uid="{C2EAB22C-B364-43D2-B631-5D5271A991AC}"/>
    <cellStyle name="Normal 3 12 9 4" xfId="22852" xr:uid="{CEE23B46-24CA-4EDD-B2E8-4F1E1D95D4FA}"/>
    <cellStyle name="Normal 3 12 9 4 2" xfId="22853" xr:uid="{81DE9833-1890-4102-82B8-969CCC946A4F}"/>
    <cellStyle name="Normal 3 12 9 4 3" xfId="22854" xr:uid="{B287B603-3CBF-4E99-A242-6EF8A1B672A7}"/>
    <cellStyle name="Normal 3 12 9 4 4" xfId="22855" xr:uid="{534F1190-7BB5-4177-A295-B554DB7F9254}"/>
    <cellStyle name="Normal 3 12 9 4 5" xfId="22856" xr:uid="{AB45E831-18FA-4B8B-8A71-6CB213C194FC}"/>
    <cellStyle name="Normal 3 12 9 4 6" xfId="22857" xr:uid="{81C68267-93BC-4E56-8778-DC6AC6A2E03D}"/>
    <cellStyle name="Normal 3 12 9 5" xfId="22858" xr:uid="{F9121790-93D4-4F3E-AB11-73B37A171E16}"/>
    <cellStyle name="Normal 3 12 9 5 2" xfId="22859" xr:uid="{0D1707D0-C3AE-44DD-AF40-5C55A28D855B}"/>
    <cellStyle name="Normal 3 12 9 5 3" xfId="22860" xr:uid="{0B52B041-3DFE-4624-A4A0-EC2DE11F77B2}"/>
    <cellStyle name="Normal 3 12 9 5 4" xfId="22861" xr:uid="{54B28DE6-DCB5-4F8A-A9E6-A9F35B99C9C8}"/>
    <cellStyle name="Normal 3 12 9 5 5" xfId="22862" xr:uid="{7CF00BC9-BFAF-45EF-A4D1-B810843DA954}"/>
    <cellStyle name="Normal 3 12 9 5 6" xfId="22863" xr:uid="{A7CB3045-1DAC-4B71-AFAF-BD4F54AFC253}"/>
    <cellStyle name="Normal 3 12 9 6" xfId="22864" xr:uid="{97632A73-BC93-44C6-A659-BF96487C69EA}"/>
    <cellStyle name="Normal 3 12 9 6 2" xfId="22865" xr:uid="{E6084752-0483-4BBF-9BA7-59924D8BC0F9}"/>
    <cellStyle name="Normal 3 12 9 6 3" xfId="22866" xr:uid="{0F3BAAC9-1588-40EF-870D-84378095F428}"/>
    <cellStyle name="Normal 3 12 9 6 4" xfId="22867" xr:uid="{53CA3B42-F227-45F4-B1E4-A1F1D09A9190}"/>
    <cellStyle name="Normal 3 12 9 6 5" xfId="22868" xr:uid="{0C963DAC-08F7-46A9-976D-4BC3CBBBA81D}"/>
    <cellStyle name="Normal 3 12 9 6 6" xfId="22869" xr:uid="{CC443DE4-3DB7-48C7-A73B-4A5276416C63}"/>
    <cellStyle name="Normal 3 12 9 7" xfId="22870" xr:uid="{F60218B5-C9D1-47E6-AB94-00624B0D5479}"/>
    <cellStyle name="Normal 3 12 9 8" xfId="22871" xr:uid="{30867036-CD21-465A-B14C-A9E183D85C7D}"/>
    <cellStyle name="Normal 3 12 9 9" xfId="22872" xr:uid="{CAF183F5-AE42-490A-AA0D-6ABC44387441}"/>
    <cellStyle name="Normal 3 13" xfId="22873" xr:uid="{836198EF-B273-443B-A40B-BC99E63285A6}"/>
    <cellStyle name="Normal 3 13 2" xfId="22874" xr:uid="{A365292B-BE27-44F9-BF6F-72BE369F9D29}"/>
    <cellStyle name="Normal 3 13 3" xfId="22875" xr:uid="{2141AD3C-BABB-40F6-B5C6-289FB45BA498}"/>
    <cellStyle name="Normal 3 14" xfId="22876" xr:uid="{FB5B4020-D322-4161-B893-A4C9677B5074}"/>
    <cellStyle name="Normal 3 14 2" xfId="22877" xr:uid="{E630F9B6-6243-4554-B438-6530E6CBFE9D}"/>
    <cellStyle name="Normal 3 14 3" xfId="22878" xr:uid="{96F65BD4-6483-4B6B-A4DC-4AD7828134FF}"/>
    <cellStyle name="Normal 3 15" xfId="22879" xr:uid="{DB060F86-2922-4506-BBCC-374984C4B98A}"/>
    <cellStyle name="Normal 3 15 2" xfId="22880" xr:uid="{8F785F37-A057-4F8C-94DA-01AE2D66BCE3}"/>
    <cellStyle name="Normal 3 15 3" xfId="22881" xr:uid="{7B531709-D61F-4C0F-8C81-B9018ADD4460}"/>
    <cellStyle name="Normal 3 16" xfId="22882" xr:uid="{14C7FC65-68B3-4334-B2F8-B353D0A4E60D}"/>
    <cellStyle name="Normal 3 16 2" xfId="22883" xr:uid="{232DA1C0-A732-4E15-A037-98B33F8F68AD}"/>
    <cellStyle name="Normal 3 16 3" xfId="22884" xr:uid="{8EB5F347-80D5-4504-BEB0-49D26D61171B}"/>
    <cellStyle name="Normal 3 17" xfId="22885" xr:uid="{BCF94A1E-14F1-40CD-B842-9C92DE698C17}"/>
    <cellStyle name="Normal 3 17 2" xfId="22886" xr:uid="{F3C0F4FA-91B8-4FF7-84DA-DE9DE9785467}"/>
    <cellStyle name="Normal 3 18" xfId="22887" xr:uid="{BB4F91B7-3612-40F4-9469-5466401072CE}"/>
    <cellStyle name="Normal 3 18 2" xfId="22888" xr:uid="{A33A5A60-A52D-48BF-93AC-4437304932B5}"/>
    <cellStyle name="Normal 3 19" xfId="22889" xr:uid="{0CD7E57A-A190-4825-8E03-5E63E3A0328A}"/>
    <cellStyle name="Normal 3 19 2" xfId="22890" xr:uid="{4ADDAD29-13FD-4635-BEB7-8BEB6D4ABDE4}"/>
    <cellStyle name="Normal 3 2" xfId="22891" xr:uid="{049B630B-505A-4269-99DF-8D7185B2B77C}"/>
    <cellStyle name="Normal 3 2 10" xfId="22892" xr:uid="{A93DD060-63AD-430A-A7E2-6FF5343A79BC}"/>
    <cellStyle name="Normal 3 2 10 10" xfId="22893" xr:uid="{0928109B-DE44-4FD9-AB03-40FE132AA967}"/>
    <cellStyle name="Normal 3 2 10 11" xfId="22894" xr:uid="{380702EC-926A-44C5-8E72-1102B2E092B6}"/>
    <cellStyle name="Normal 3 2 10 12" xfId="22895" xr:uid="{10E1F444-3C3E-4583-8655-DE62715203CB}"/>
    <cellStyle name="Normal 3 2 10 2" xfId="22896" xr:uid="{F653E155-3FEA-423B-B7C7-DF9097B56C04}"/>
    <cellStyle name="Normal 3 2 10 2 2" xfId="22897" xr:uid="{CE4062E5-4266-4C64-BF9B-0C31454E1D62}"/>
    <cellStyle name="Normal 3 2 10 2 3" xfId="22898" xr:uid="{C3E5ED99-FC86-44C0-9AAC-9B4C1BE19248}"/>
    <cellStyle name="Normal 3 2 10 2 4" xfId="22899" xr:uid="{AC37A53B-C12E-4DD1-8BB3-35D585C02777}"/>
    <cellStyle name="Normal 3 2 10 2 5" xfId="22900" xr:uid="{A2B3E4E5-C0D2-44F5-836D-F6A1363D2171}"/>
    <cellStyle name="Normal 3 2 10 2 6" xfId="22901" xr:uid="{29194753-E1B6-4DD1-AC9F-05C06B224113}"/>
    <cellStyle name="Normal 3 2 10 3" xfId="22902" xr:uid="{96B1337F-EF55-4A4A-9A3A-027651AC3A85}"/>
    <cellStyle name="Normal 3 2 10 3 2" xfId="22903" xr:uid="{D13B5BC8-F4F4-4C56-AF78-6B9DFFFE34A0}"/>
    <cellStyle name="Normal 3 2 10 3 3" xfId="22904" xr:uid="{46B1C1FA-E58B-42E5-B583-E392455DAEE4}"/>
    <cellStyle name="Normal 3 2 10 3 4" xfId="22905" xr:uid="{57F46B1B-AAF1-461D-A624-B2245D35DD1A}"/>
    <cellStyle name="Normal 3 2 10 3 5" xfId="22906" xr:uid="{B83064BF-012E-442C-B1C2-C115DA1966D3}"/>
    <cellStyle name="Normal 3 2 10 3 6" xfId="22907" xr:uid="{9045CE1E-D45B-41B5-B2DE-15F94B0EF233}"/>
    <cellStyle name="Normal 3 2 10 4" xfId="22908" xr:uid="{05CB75A7-EE65-41CE-B8C3-0D297679CB91}"/>
    <cellStyle name="Normal 3 2 10 4 2" xfId="22909" xr:uid="{914DCD73-E882-416C-8922-10897669CB22}"/>
    <cellStyle name="Normal 3 2 10 4 3" xfId="22910" xr:uid="{3624A524-7885-4BF3-B115-ACB3A7A56482}"/>
    <cellStyle name="Normal 3 2 10 4 4" xfId="22911" xr:uid="{82D7774A-5D3A-4EEC-81E5-8C13828AD2E6}"/>
    <cellStyle name="Normal 3 2 10 4 5" xfId="22912" xr:uid="{41445DEA-6AE6-446E-BDEE-6515F32100BE}"/>
    <cellStyle name="Normal 3 2 10 4 6" xfId="22913" xr:uid="{138E8705-9FE4-4E65-8505-61ECCC3D9906}"/>
    <cellStyle name="Normal 3 2 10 5" xfId="22914" xr:uid="{A0A7C54D-C387-46EF-A9E3-6C9339CA56A7}"/>
    <cellStyle name="Normal 3 2 10 5 2" xfId="22915" xr:uid="{45AE3CE9-3683-4530-94B5-A76B329817BB}"/>
    <cellStyle name="Normal 3 2 10 5 3" xfId="22916" xr:uid="{F52273CA-97CF-4A8C-948A-A4ECBAC2CBBC}"/>
    <cellStyle name="Normal 3 2 10 5 4" xfId="22917" xr:uid="{4CD9744B-B141-42E2-9427-00AE487C36DC}"/>
    <cellStyle name="Normal 3 2 10 5 5" xfId="22918" xr:uid="{5710183C-96D6-4F23-B13D-FFF3C58C4686}"/>
    <cellStyle name="Normal 3 2 10 5 6" xfId="22919" xr:uid="{3EC21194-0645-4936-96AC-F74432CC9244}"/>
    <cellStyle name="Normal 3 2 10 6" xfId="22920" xr:uid="{58815A74-8A54-411B-A449-E72B6033BE77}"/>
    <cellStyle name="Normal 3 2 10 6 2" xfId="22921" xr:uid="{2162004D-EA02-46EA-9EC6-4760C7599CAE}"/>
    <cellStyle name="Normal 3 2 10 6 3" xfId="22922" xr:uid="{D42EA1C1-23E3-4560-8A49-6999FCE4B3A8}"/>
    <cellStyle name="Normal 3 2 10 6 4" xfId="22923" xr:uid="{6868ED56-B450-4F04-90EB-3C5AC5974B94}"/>
    <cellStyle name="Normal 3 2 10 6 5" xfId="22924" xr:uid="{ACBBD7DC-5947-4DBB-8D38-2577FD86143E}"/>
    <cellStyle name="Normal 3 2 10 6 6" xfId="22925" xr:uid="{A426957D-756D-4BE4-AC0F-A8B9EFC3D1FB}"/>
    <cellStyle name="Normal 3 2 10 7" xfId="22926" xr:uid="{0D645D65-448C-44E1-B798-CF1830E78D58}"/>
    <cellStyle name="Normal 3 2 10 8" xfId="22927" xr:uid="{A52594AC-D30D-4FD6-8F90-9CCE3B8E5404}"/>
    <cellStyle name="Normal 3 2 10 9" xfId="22928" xr:uid="{AC8BD036-0D28-4F2E-8090-FB7B916C0E12}"/>
    <cellStyle name="Normal 3 2 100" xfId="22929" xr:uid="{7CC99D42-872F-4845-9A53-C4FB67C7DF9A}"/>
    <cellStyle name="Normal 3 2 101" xfId="22930" xr:uid="{C5859799-B13B-4231-9025-ABF365B5A0CE}"/>
    <cellStyle name="Normal 3 2 102" xfId="22931" xr:uid="{F811AF76-08C4-4954-A68A-2C1D5F45D0BC}"/>
    <cellStyle name="Normal 3 2 103" xfId="22932" xr:uid="{898EB39D-2B17-468B-877E-A1FC6ABBFA98}"/>
    <cellStyle name="Normal 3 2 104" xfId="22933" xr:uid="{129F7690-D633-45D4-9123-D340637B3E1D}"/>
    <cellStyle name="Normal 3 2 105" xfId="22934" xr:uid="{EFF552A3-05D0-4ECE-BA61-4516918BA2AF}"/>
    <cellStyle name="Normal 3 2 106" xfId="22935" xr:uid="{4025A635-8FC2-4E10-8A05-B689CF515D5E}"/>
    <cellStyle name="Normal 3 2 107" xfId="22936" xr:uid="{07E8192D-96BF-484D-A5A7-559CEBD45FFC}"/>
    <cellStyle name="Normal 3 2 108" xfId="22937" xr:uid="{911DF4DA-2724-45D0-8BAF-173E377B439D}"/>
    <cellStyle name="Normal 3 2 109" xfId="22938" xr:uid="{B3DBBCFD-5145-4DB2-B1A3-1D6E728073F5}"/>
    <cellStyle name="Normal 3 2 11" xfId="22939" xr:uid="{3CD2946C-1AFE-4253-87C0-AEDE6FB2F205}"/>
    <cellStyle name="Normal 3 2 11 10" xfId="22940" xr:uid="{D879A4CB-BB84-4BCD-918A-AB724F36F10C}"/>
    <cellStyle name="Normal 3 2 11 11" xfId="22941" xr:uid="{E1F4439B-6A85-4D12-9593-2836F4DA2B3D}"/>
    <cellStyle name="Normal 3 2 11 2" xfId="22942" xr:uid="{2AB7D7FA-8261-4667-B453-FCD31B4DF8D0}"/>
    <cellStyle name="Normal 3 2 11 2 2" xfId="22943" xr:uid="{2E63E7B5-5FB6-4FF1-89AC-C11938D53065}"/>
    <cellStyle name="Normal 3 2 11 2 3" xfId="22944" xr:uid="{6CE4C7AC-0278-4B91-9D4E-092349CB597F}"/>
    <cellStyle name="Normal 3 2 11 2 4" xfId="22945" xr:uid="{0D9DC8B3-0CEA-4536-899E-95C95B6580E3}"/>
    <cellStyle name="Normal 3 2 11 2 5" xfId="22946" xr:uid="{30C17B8A-5981-4E8D-AA2C-83F43F6C54BD}"/>
    <cellStyle name="Normal 3 2 11 2 6" xfId="22947" xr:uid="{AF92E404-C183-4B39-8BC9-A9BF2B132293}"/>
    <cellStyle name="Normal 3 2 11 3" xfId="22948" xr:uid="{5092FBF3-0EC2-4289-9FB1-BF07C975C24E}"/>
    <cellStyle name="Normal 3 2 11 3 2" xfId="22949" xr:uid="{200A3972-E645-4534-AC2B-7CAFE721D97D}"/>
    <cellStyle name="Normal 3 2 11 3 3" xfId="22950" xr:uid="{FF837CF2-11B4-4933-B621-4CEDABA32FC8}"/>
    <cellStyle name="Normal 3 2 11 3 4" xfId="22951" xr:uid="{2C1E650D-0629-47EE-92C7-7B8649E07D5E}"/>
    <cellStyle name="Normal 3 2 11 3 5" xfId="22952" xr:uid="{0ED05BD7-3676-4F0E-895C-26EA2D579D97}"/>
    <cellStyle name="Normal 3 2 11 3 6" xfId="22953" xr:uid="{710ACC25-530F-4473-8B82-7B2770F9447E}"/>
    <cellStyle name="Normal 3 2 11 4" xfId="22954" xr:uid="{5FD8AF44-67E3-4270-9A7F-76C8A5C26073}"/>
    <cellStyle name="Normal 3 2 11 4 2" xfId="22955" xr:uid="{6F0DBBD5-F46D-4D94-8A51-1F3DE078514C}"/>
    <cellStyle name="Normal 3 2 11 4 3" xfId="22956" xr:uid="{F514713D-1F92-46C1-B083-D193B0E18CE9}"/>
    <cellStyle name="Normal 3 2 11 4 4" xfId="22957" xr:uid="{499701F7-9302-498E-952D-265CEDBB50B7}"/>
    <cellStyle name="Normal 3 2 11 4 5" xfId="22958" xr:uid="{F0287614-2EAD-46A0-AE57-0F1B8773442B}"/>
    <cellStyle name="Normal 3 2 11 4 6" xfId="22959" xr:uid="{E984EAF3-8297-4DB7-9012-1DEA64E7208A}"/>
    <cellStyle name="Normal 3 2 11 5" xfId="22960" xr:uid="{AFF06883-FE0A-41B9-A2B1-4D77EA67D72F}"/>
    <cellStyle name="Normal 3 2 11 5 2" xfId="22961" xr:uid="{1E70AE7D-EC8C-49A3-9AE9-03C0D3277728}"/>
    <cellStyle name="Normal 3 2 11 5 3" xfId="22962" xr:uid="{26D374DA-8546-487C-B4C3-F2B27A5C9F6C}"/>
    <cellStyle name="Normal 3 2 11 5 4" xfId="22963" xr:uid="{9FF851E6-109E-4591-881F-DF31D18697AD}"/>
    <cellStyle name="Normal 3 2 11 5 5" xfId="22964" xr:uid="{1F699E71-8D9F-4892-A656-F4C03B6111D6}"/>
    <cellStyle name="Normal 3 2 11 5 6" xfId="22965" xr:uid="{4F9321B1-2E8A-4141-8033-896D374E5824}"/>
    <cellStyle name="Normal 3 2 11 6" xfId="22966" xr:uid="{8119FC5F-3BA9-4B42-AE1A-DD16B3B0AD2E}"/>
    <cellStyle name="Normal 3 2 11 6 2" xfId="22967" xr:uid="{7CE9C540-7EE5-431E-B7FC-70B4208BE881}"/>
    <cellStyle name="Normal 3 2 11 6 3" xfId="22968" xr:uid="{46822525-10D5-4298-9550-63BDFB01F183}"/>
    <cellStyle name="Normal 3 2 11 6 4" xfId="22969" xr:uid="{FBB1BA55-B6C6-4A41-9AFC-F5CF44DE1016}"/>
    <cellStyle name="Normal 3 2 11 6 5" xfId="22970" xr:uid="{639E3349-05A8-497B-A9AF-E8FC6A9A34DD}"/>
    <cellStyle name="Normal 3 2 11 6 6" xfId="22971" xr:uid="{27693225-2622-4183-968A-6D706B214365}"/>
    <cellStyle name="Normal 3 2 11 7" xfId="22972" xr:uid="{51E43666-4682-441A-A68B-A688B44EF815}"/>
    <cellStyle name="Normal 3 2 11 8" xfId="22973" xr:uid="{5C2422E1-3314-4D5E-B426-638B324BCD01}"/>
    <cellStyle name="Normal 3 2 11 9" xfId="22974" xr:uid="{A8FD3AB8-1FE0-4628-8B52-1530E699F3CA}"/>
    <cellStyle name="Normal 3 2 110" xfId="22975" xr:uid="{3EC96D3A-121A-4158-92CD-5BBE1437C9C2}"/>
    <cellStyle name="Normal 3 2 111" xfId="22976" xr:uid="{66A8DA21-D046-4243-AB21-3F5481C6E273}"/>
    <cellStyle name="Normal 3 2 112" xfId="22977" xr:uid="{72DC4608-BF7C-47D3-8858-A6E1D96CF435}"/>
    <cellStyle name="Normal 3 2 113" xfId="22978" xr:uid="{8AD6C5D9-2A02-447A-883C-C1F577F7F5DC}"/>
    <cellStyle name="Normal 3 2 114" xfId="22979" xr:uid="{A9C975BE-1D78-4152-AB87-781EB72D8F56}"/>
    <cellStyle name="Normal 3 2 115" xfId="22980" xr:uid="{9F60AAF2-1860-4FF7-BE05-358DC85367D8}"/>
    <cellStyle name="Normal 3 2 116" xfId="22981" xr:uid="{FEEB9B1C-90A3-4224-A07E-B8BDF7AC2737}"/>
    <cellStyle name="Normal 3 2 117" xfId="22982" xr:uid="{951A5009-B251-4A17-8157-2E31636CE70C}"/>
    <cellStyle name="Normal 3 2 118" xfId="22983" xr:uid="{AABD34A3-9526-446E-A6DF-86AF36942F97}"/>
    <cellStyle name="Normal 3 2 119" xfId="22984" xr:uid="{B6E0646A-DAF5-46B7-AC16-4E6BDD775308}"/>
    <cellStyle name="Normal 3 2 119 2" xfId="22985" xr:uid="{D1084191-8C0E-43C0-973D-EC74E1C314DD}"/>
    <cellStyle name="Normal 3 2 119 3" xfId="22986" xr:uid="{FD9ED688-61D6-4CE1-B312-229C036F6D64}"/>
    <cellStyle name="Normal 3 2 119 4" xfId="22987" xr:uid="{39B29627-4D21-4426-9C86-B4CBA287FE7F}"/>
    <cellStyle name="Normal 3 2 12" xfId="22988" xr:uid="{EB3C5E6D-636F-49D2-81EA-E9C1EFB54329}"/>
    <cellStyle name="Normal 3 2 12 10" xfId="22989" xr:uid="{B0FF5C5F-6F63-40D4-BFE4-C5421DE852B5}"/>
    <cellStyle name="Normal 3 2 12 10 2" xfId="22990" xr:uid="{6C21B08C-EFDD-4EEA-BECC-CE4BE50EB174}"/>
    <cellStyle name="Normal 3 2 12 10 3" xfId="22991" xr:uid="{EC687990-5ED3-4731-BD9B-2273E5BDC773}"/>
    <cellStyle name="Normal 3 2 12 10 4" xfId="22992" xr:uid="{DD46FD73-FCFA-49CA-B8AE-0A37553DD922}"/>
    <cellStyle name="Normal 3 2 12 10 5" xfId="22993" xr:uid="{3CF911D4-08ED-4F1F-9A01-EB3712258378}"/>
    <cellStyle name="Normal 3 2 12 10 6" xfId="22994" xr:uid="{583262EC-D0F1-48F7-9605-E6F937D82E2A}"/>
    <cellStyle name="Normal 3 2 12 11" xfId="22995" xr:uid="{16A70151-EF67-4E33-8892-F4922C738FD7}"/>
    <cellStyle name="Normal 3 2 12 11 2" xfId="22996" xr:uid="{D40BCA46-EEAB-4CD9-9477-B1D7A9CB82E8}"/>
    <cellStyle name="Normal 3 2 12 11 3" xfId="22997" xr:uid="{DCC98E2D-5FCC-4EEF-9AFD-A8BD4DFCB372}"/>
    <cellStyle name="Normal 3 2 12 11 4" xfId="22998" xr:uid="{8420201E-DFB5-4E7B-AF16-4C191FC31D34}"/>
    <cellStyle name="Normal 3 2 12 11 5" xfId="22999" xr:uid="{8B555490-58AC-4F45-8933-CC23B7658FE6}"/>
    <cellStyle name="Normal 3 2 12 11 6" xfId="23000" xr:uid="{24AB6B4F-6686-42F6-8D1D-C9FEC11F277C}"/>
    <cellStyle name="Normal 3 2 12 12" xfId="23001" xr:uid="{FFACEC17-7F67-48C6-BE46-834AC85B742A}"/>
    <cellStyle name="Normal 3 2 12 12 2" xfId="23002" xr:uid="{960153F8-E52E-4492-9A2E-7D62019C4FF2}"/>
    <cellStyle name="Normal 3 2 12 12 3" xfId="23003" xr:uid="{A67B3A7E-BECA-4BE0-A975-ECD9AC5DBABE}"/>
    <cellStyle name="Normal 3 2 12 12 4" xfId="23004" xr:uid="{E68F2467-B0BB-476B-B546-59081DB977BC}"/>
    <cellStyle name="Normal 3 2 12 12 5" xfId="23005" xr:uid="{BEA681C6-441A-4B7F-AB47-78A5435D4DC8}"/>
    <cellStyle name="Normal 3 2 12 12 6" xfId="23006" xr:uid="{2163E619-A6A2-4422-8FB4-811F3AFD00F3}"/>
    <cellStyle name="Normal 3 2 12 13" xfId="23007" xr:uid="{F9992234-248C-49B1-84F7-2FD0D902693E}"/>
    <cellStyle name="Normal 3 2 12 13 2" xfId="23008" xr:uid="{BB9DF804-236D-4735-8068-AC084CBE2499}"/>
    <cellStyle name="Normal 3 2 12 13 3" xfId="23009" xr:uid="{53B7B685-0FD6-4746-8561-3C13FE6B678D}"/>
    <cellStyle name="Normal 3 2 12 13 4" xfId="23010" xr:uid="{107C4C03-0237-454F-A378-03D14D80F530}"/>
    <cellStyle name="Normal 3 2 12 13 5" xfId="23011" xr:uid="{CAA79491-C327-41D6-B638-16B154885A90}"/>
    <cellStyle name="Normal 3 2 12 13 6" xfId="23012" xr:uid="{82892859-1DF8-4DA9-8326-E7EC8B256BD6}"/>
    <cellStyle name="Normal 3 2 12 14" xfId="23013" xr:uid="{D3949B32-A34F-4FD6-81D0-845D1B5BB353}"/>
    <cellStyle name="Normal 3 2 12 14 2" xfId="23014" xr:uid="{028DF29F-0515-467D-964E-EA7D274973BD}"/>
    <cellStyle name="Normal 3 2 12 14 3" xfId="23015" xr:uid="{D3435532-BBA7-40B4-911A-CCA8455BDF6E}"/>
    <cellStyle name="Normal 3 2 12 14 4" xfId="23016" xr:uid="{164A4DB8-41AE-4A00-8C43-653DDB61B655}"/>
    <cellStyle name="Normal 3 2 12 14 5" xfId="23017" xr:uid="{63EDC185-A105-4B3A-958A-778B4EECD129}"/>
    <cellStyle name="Normal 3 2 12 14 6" xfId="23018" xr:uid="{9EA97417-D2E5-4D67-B64E-09B137C83087}"/>
    <cellStyle name="Normal 3 2 12 15" xfId="23019" xr:uid="{6B3AC251-D27F-4577-8F65-8C2D7F23BF7D}"/>
    <cellStyle name="Normal 3 2 12 16" xfId="23020" xr:uid="{EAC1FE11-1598-46AF-B940-10FA654B131C}"/>
    <cellStyle name="Normal 3 2 12 17" xfId="23021" xr:uid="{77D67185-3342-47B6-A0DF-4A6F75AF8576}"/>
    <cellStyle name="Normal 3 2 12 18" xfId="23022" xr:uid="{E2C4EBCC-369A-4F15-97EB-7F05DE3E5879}"/>
    <cellStyle name="Normal 3 2 12 19" xfId="23023" xr:uid="{F9EA2A57-A458-44AC-A015-57943884EFAC}"/>
    <cellStyle name="Normal 3 2 12 2" xfId="23024" xr:uid="{572759F0-1F56-4E02-B612-1251B4232BFB}"/>
    <cellStyle name="Normal 3 2 12 2 2" xfId="23025" xr:uid="{C02DA71A-6E3D-4137-8EDC-5DB0E35A324E}"/>
    <cellStyle name="Normal 3 2 12 2 2 10" xfId="23026" xr:uid="{8B0D3660-94D1-465A-A708-87346728B674}"/>
    <cellStyle name="Normal 3 2 12 2 2 11" xfId="23027" xr:uid="{6B46C675-93C1-4813-8E72-A9B0D4659D0E}"/>
    <cellStyle name="Normal 3 2 12 2 2 2" xfId="23028" xr:uid="{C1A9A286-92E1-42FB-8B58-80F96DE2D36B}"/>
    <cellStyle name="Normal 3 2 12 2 2 2 2" xfId="23029" xr:uid="{6A04606B-85E8-4B22-98F9-42126B4B9F5C}"/>
    <cellStyle name="Normal 3 2 12 2 2 2 3" xfId="23030" xr:uid="{0B1408B8-A7A1-4F3A-B2DB-3D92E37BC539}"/>
    <cellStyle name="Normal 3 2 12 2 2 2 4" xfId="23031" xr:uid="{98EFBA13-A139-4B27-9308-FEAC05AA8AB8}"/>
    <cellStyle name="Normal 3 2 12 2 2 2 5" xfId="23032" xr:uid="{D705EEC3-30F3-40CC-847D-FB2F2D74CAEB}"/>
    <cellStyle name="Normal 3 2 12 2 2 2 6" xfId="23033" xr:uid="{9FFF4F31-ABBF-41C1-A713-76CB9DB8DBA7}"/>
    <cellStyle name="Normal 3 2 12 2 2 3" xfId="23034" xr:uid="{A4455BB0-8AE2-413A-AD9B-6BAF358B1872}"/>
    <cellStyle name="Normal 3 2 12 2 2 3 2" xfId="23035" xr:uid="{0C222FE1-1359-4FC0-ACA2-722DE227FA5A}"/>
    <cellStyle name="Normal 3 2 12 2 2 3 3" xfId="23036" xr:uid="{3A306D8B-9241-46B3-8236-B72EB0314586}"/>
    <cellStyle name="Normal 3 2 12 2 2 3 4" xfId="23037" xr:uid="{AFFBA6C6-6F4C-4AFB-A61B-E362F22A7B02}"/>
    <cellStyle name="Normal 3 2 12 2 2 3 5" xfId="23038" xr:uid="{766B7538-3304-42C7-854D-64C13023A20C}"/>
    <cellStyle name="Normal 3 2 12 2 2 3 6" xfId="23039" xr:uid="{AD391D17-00E8-42F6-AA8E-E8901287DFB4}"/>
    <cellStyle name="Normal 3 2 12 2 2 4" xfId="23040" xr:uid="{9C23AD10-5ACE-45D5-B0D6-8143A3D11ECC}"/>
    <cellStyle name="Normal 3 2 12 2 2 4 2" xfId="23041" xr:uid="{380D932D-E373-4E4E-8B5E-F215BC4BB0E9}"/>
    <cellStyle name="Normal 3 2 12 2 2 4 3" xfId="23042" xr:uid="{390D55BA-3EB7-4E14-85FB-3533CC9E3577}"/>
    <cellStyle name="Normal 3 2 12 2 2 4 4" xfId="23043" xr:uid="{755C476B-0E96-4CE9-B0FD-29CC739B84FB}"/>
    <cellStyle name="Normal 3 2 12 2 2 4 5" xfId="23044" xr:uid="{2E352719-E0A6-459D-A6EF-9464C5F1F740}"/>
    <cellStyle name="Normal 3 2 12 2 2 4 6" xfId="23045" xr:uid="{B5EDF968-075A-4CA3-B04D-537797DB7A66}"/>
    <cellStyle name="Normal 3 2 12 2 2 5" xfId="23046" xr:uid="{0BC8BCDB-A992-429B-A2C7-F3DEC36B6896}"/>
    <cellStyle name="Normal 3 2 12 2 2 5 2" xfId="23047" xr:uid="{8236CAD0-B7B8-4AD2-959F-5B35873D71C2}"/>
    <cellStyle name="Normal 3 2 12 2 2 5 3" xfId="23048" xr:uid="{0C8BE045-FB89-4427-9768-9221C7C6C42B}"/>
    <cellStyle name="Normal 3 2 12 2 2 5 4" xfId="23049" xr:uid="{D3F71BF9-EC85-4006-8072-81A34B4FE02B}"/>
    <cellStyle name="Normal 3 2 12 2 2 5 5" xfId="23050" xr:uid="{7633F622-8F11-4C03-8B50-5D4DA1F8D50A}"/>
    <cellStyle name="Normal 3 2 12 2 2 5 6" xfId="23051" xr:uid="{08C9789F-C060-45AD-81FD-2041EF70D6FC}"/>
    <cellStyle name="Normal 3 2 12 2 2 6" xfId="23052" xr:uid="{A5B34F3C-6D13-46A2-AFDE-E60CC44BA9C8}"/>
    <cellStyle name="Normal 3 2 12 2 2 6 2" xfId="23053" xr:uid="{C9309994-B54F-421C-B05F-5ED4D1DC22EC}"/>
    <cellStyle name="Normal 3 2 12 2 2 6 3" xfId="23054" xr:uid="{72CBF920-9D22-46C6-82AA-EA38DFFAA096}"/>
    <cellStyle name="Normal 3 2 12 2 2 6 4" xfId="23055" xr:uid="{C9B503C4-8B46-43C6-8A59-BA80EDE3427D}"/>
    <cellStyle name="Normal 3 2 12 2 2 6 5" xfId="23056" xr:uid="{936AD587-A833-4D93-9F59-6003B330B8CA}"/>
    <cellStyle name="Normal 3 2 12 2 2 6 6" xfId="23057" xr:uid="{877D6C60-E8DB-4DB7-BF05-579FD942AEF5}"/>
    <cellStyle name="Normal 3 2 12 2 2 7" xfId="23058" xr:uid="{CEB6D99E-81A3-4F5D-B7AB-A91D00416753}"/>
    <cellStyle name="Normal 3 2 12 2 2 8" xfId="23059" xr:uid="{A19C61BE-8F8F-43F3-A8B0-C57D1760E2C0}"/>
    <cellStyle name="Normal 3 2 12 2 2 9" xfId="23060" xr:uid="{A235EBB7-2245-44C9-93D0-398729A2DBAB}"/>
    <cellStyle name="Normal 3 2 12 2 3" xfId="23061" xr:uid="{9526B98F-C4C0-480B-A496-0891C0B6D39E}"/>
    <cellStyle name="Normal 3 2 12 2 3 10" xfId="23062" xr:uid="{3239B172-1763-4F1A-9D2E-F156A7C102E5}"/>
    <cellStyle name="Normal 3 2 12 2 3 11" xfId="23063" xr:uid="{42D06898-134D-4F43-B62E-9074425C5E63}"/>
    <cellStyle name="Normal 3 2 12 2 3 2" xfId="23064" xr:uid="{7FB7A460-449C-44BC-A990-F89BC1475D18}"/>
    <cellStyle name="Normal 3 2 12 2 3 2 2" xfId="23065" xr:uid="{0D1FFD17-C094-471B-BE72-8586422AA9BF}"/>
    <cellStyle name="Normal 3 2 12 2 3 2 3" xfId="23066" xr:uid="{2D79B1FD-BA46-4B02-AE5D-0C3808D7BD8C}"/>
    <cellStyle name="Normal 3 2 12 2 3 2 4" xfId="23067" xr:uid="{9D259E05-EE78-4337-8630-73EECD769355}"/>
    <cellStyle name="Normal 3 2 12 2 3 2 5" xfId="23068" xr:uid="{4B60EF98-E5C4-42F9-8B6B-EC1B85A3F727}"/>
    <cellStyle name="Normal 3 2 12 2 3 2 6" xfId="23069" xr:uid="{39B1D9D5-A3AA-4B01-9143-4E9B45B64484}"/>
    <cellStyle name="Normal 3 2 12 2 3 3" xfId="23070" xr:uid="{65402D15-95F5-4514-A695-4C5DD6A769BE}"/>
    <cellStyle name="Normal 3 2 12 2 3 3 2" xfId="23071" xr:uid="{1373C16D-A4F6-4A94-BE4C-9BDBF9000D06}"/>
    <cellStyle name="Normal 3 2 12 2 3 3 3" xfId="23072" xr:uid="{9137037F-4EA6-4E6B-A235-B380851C1709}"/>
    <cellStyle name="Normal 3 2 12 2 3 3 4" xfId="23073" xr:uid="{90FCA166-0840-48E2-9937-CF2494A0FAB3}"/>
    <cellStyle name="Normal 3 2 12 2 3 3 5" xfId="23074" xr:uid="{05C2BDB1-48B6-4FA1-95AB-0B712172824C}"/>
    <cellStyle name="Normal 3 2 12 2 3 3 6" xfId="23075" xr:uid="{B1B35534-0D48-4246-AD97-C6A383D1C4BE}"/>
    <cellStyle name="Normal 3 2 12 2 3 4" xfId="23076" xr:uid="{D264E39C-EB39-4E47-992B-9DFED4AEF95B}"/>
    <cellStyle name="Normal 3 2 12 2 3 4 2" xfId="23077" xr:uid="{229A5A06-F73E-47B6-8852-AB5010017461}"/>
    <cellStyle name="Normal 3 2 12 2 3 4 3" xfId="23078" xr:uid="{053D6B67-430E-45D4-9BC9-02FA6497D33A}"/>
    <cellStyle name="Normal 3 2 12 2 3 4 4" xfId="23079" xr:uid="{D792CDF7-EE7B-457C-B440-F7E85BEDED0E}"/>
    <cellStyle name="Normal 3 2 12 2 3 4 5" xfId="23080" xr:uid="{C939D5E9-234E-4BC8-A3B2-9EBC5635ACBE}"/>
    <cellStyle name="Normal 3 2 12 2 3 4 6" xfId="23081" xr:uid="{0842644E-1181-4016-8094-F810CBAA1D23}"/>
    <cellStyle name="Normal 3 2 12 2 3 5" xfId="23082" xr:uid="{0D7DF812-6B43-48EB-9470-38389CDDEC03}"/>
    <cellStyle name="Normal 3 2 12 2 3 5 2" xfId="23083" xr:uid="{F7516F21-241C-41B2-87B3-1389F8828CEE}"/>
    <cellStyle name="Normal 3 2 12 2 3 5 3" xfId="23084" xr:uid="{808CDC4F-C5F2-4B60-AACF-09B529D51B2B}"/>
    <cellStyle name="Normal 3 2 12 2 3 5 4" xfId="23085" xr:uid="{E462EAF7-A7DA-4721-BDAE-E6C8535AD573}"/>
    <cellStyle name="Normal 3 2 12 2 3 5 5" xfId="23086" xr:uid="{498409BD-ACB3-467E-80E7-14C84536D354}"/>
    <cellStyle name="Normal 3 2 12 2 3 5 6" xfId="23087" xr:uid="{066AB08F-CC7D-42D3-951E-1A8352BE747F}"/>
    <cellStyle name="Normal 3 2 12 2 3 6" xfId="23088" xr:uid="{B70C3DAE-6B21-48F3-9F99-ADBD511F8C6D}"/>
    <cellStyle name="Normal 3 2 12 2 3 6 2" xfId="23089" xr:uid="{0984A87F-A9E6-4719-BDB1-D17AB8AE0B5F}"/>
    <cellStyle name="Normal 3 2 12 2 3 6 3" xfId="23090" xr:uid="{FAC952DC-067C-44B1-972B-43840ECC6BF0}"/>
    <cellStyle name="Normal 3 2 12 2 3 6 4" xfId="23091" xr:uid="{59A7E0DF-1F01-412C-9927-8DCD7886801F}"/>
    <cellStyle name="Normal 3 2 12 2 3 6 5" xfId="23092" xr:uid="{2A6E1FD2-1A3C-4C4C-AD74-73C54BC659D4}"/>
    <cellStyle name="Normal 3 2 12 2 3 6 6" xfId="23093" xr:uid="{B78C8368-4F2B-4663-94FE-E66C878D0AFA}"/>
    <cellStyle name="Normal 3 2 12 2 3 7" xfId="23094" xr:uid="{D0F27F63-724E-466C-999E-5B7BCC6C43F9}"/>
    <cellStyle name="Normal 3 2 12 2 3 8" xfId="23095" xr:uid="{BA00CA56-A04D-489A-BA5E-FA4BFEDC3B21}"/>
    <cellStyle name="Normal 3 2 12 2 3 9" xfId="23096" xr:uid="{14D969E2-F9F7-411D-8F46-F0BF231D7FD9}"/>
    <cellStyle name="Normal 3 2 12 2 4" xfId="23097" xr:uid="{D66A9BA4-40CC-44BB-A5C2-C53320A9C042}"/>
    <cellStyle name="Normal 3 2 12 2 4 10" xfId="23098" xr:uid="{EE09EFF8-399B-43BF-9219-9AC7BAFABFF2}"/>
    <cellStyle name="Normal 3 2 12 2 4 11" xfId="23099" xr:uid="{CA73EDEC-6F23-4F0A-B616-0DB50A900F9F}"/>
    <cellStyle name="Normal 3 2 12 2 4 2" xfId="23100" xr:uid="{1F496367-EE54-4BFF-A9A9-CE88DA5E1789}"/>
    <cellStyle name="Normal 3 2 12 2 4 2 2" xfId="23101" xr:uid="{D657ACE4-109B-4129-A63E-B0F144F4CD50}"/>
    <cellStyle name="Normal 3 2 12 2 4 2 3" xfId="23102" xr:uid="{7EBCDD18-5FA5-42DD-AEFB-E991FC741C7E}"/>
    <cellStyle name="Normal 3 2 12 2 4 2 4" xfId="23103" xr:uid="{E3C7CE44-F064-4FE3-8CBE-75D8B1DC87E1}"/>
    <cellStyle name="Normal 3 2 12 2 4 2 5" xfId="23104" xr:uid="{70D7F04C-D56A-4F83-A003-5DD3E46600F4}"/>
    <cellStyle name="Normal 3 2 12 2 4 2 6" xfId="23105" xr:uid="{386B8B8B-CA68-4358-B27D-EC1181D1140F}"/>
    <cellStyle name="Normal 3 2 12 2 4 3" xfId="23106" xr:uid="{43D1D9C9-8499-44BD-B4D0-B0B9560E90EC}"/>
    <cellStyle name="Normal 3 2 12 2 4 3 2" xfId="23107" xr:uid="{04CD81E3-CB9A-470E-B99A-CC65CAD8C3D4}"/>
    <cellStyle name="Normal 3 2 12 2 4 3 3" xfId="23108" xr:uid="{616C1FD5-9F9D-4A0D-820F-C446920DE297}"/>
    <cellStyle name="Normal 3 2 12 2 4 3 4" xfId="23109" xr:uid="{27715287-F5CD-4CAC-919B-6D560812A74A}"/>
    <cellStyle name="Normal 3 2 12 2 4 3 5" xfId="23110" xr:uid="{D42CEECA-EAFC-43B4-A02F-F8DDAC591103}"/>
    <cellStyle name="Normal 3 2 12 2 4 3 6" xfId="23111" xr:uid="{5DE4593C-2B59-462D-921B-25728B953097}"/>
    <cellStyle name="Normal 3 2 12 2 4 4" xfId="23112" xr:uid="{78D39BF5-A2BB-4975-86D6-C8A425E0804E}"/>
    <cellStyle name="Normal 3 2 12 2 4 4 2" xfId="23113" xr:uid="{9E15D41D-FF61-438E-88DC-ACC28F3733B7}"/>
    <cellStyle name="Normal 3 2 12 2 4 4 3" xfId="23114" xr:uid="{B3333F13-CBE3-4DB4-8D41-C245F9ECE34F}"/>
    <cellStyle name="Normal 3 2 12 2 4 4 4" xfId="23115" xr:uid="{3CBB404B-5B67-4995-BC9D-4F7BD7A7D013}"/>
    <cellStyle name="Normal 3 2 12 2 4 4 5" xfId="23116" xr:uid="{B30CD08D-91C6-43BB-87B9-C1050AFB7CEB}"/>
    <cellStyle name="Normal 3 2 12 2 4 4 6" xfId="23117" xr:uid="{A4B1A401-47B8-4FDE-BC8B-0C9834EC7B70}"/>
    <cellStyle name="Normal 3 2 12 2 4 5" xfId="23118" xr:uid="{66265E16-B67C-4BDB-8083-6D9B2650E9F5}"/>
    <cellStyle name="Normal 3 2 12 2 4 5 2" xfId="23119" xr:uid="{E721EC1D-3E6E-445A-B1A4-CBA697E8005F}"/>
    <cellStyle name="Normal 3 2 12 2 4 5 3" xfId="23120" xr:uid="{52491530-8A61-465E-BDDA-97FB41F29381}"/>
    <cellStyle name="Normal 3 2 12 2 4 5 4" xfId="23121" xr:uid="{B537BD28-4D90-4A20-9BE6-C3EF7F55D4DF}"/>
    <cellStyle name="Normal 3 2 12 2 4 5 5" xfId="23122" xr:uid="{A70F0E1F-3267-4D62-A682-0DA97F7B63EB}"/>
    <cellStyle name="Normal 3 2 12 2 4 5 6" xfId="23123" xr:uid="{6D4562D1-4C50-4CAD-82AC-D00895FFD5DC}"/>
    <cellStyle name="Normal 3 2 12 2 4 6" xfId="23124" xr:uid="{3BEFF38E-37B2-45E2-90CC-DF75B1065926}"/>
    <cellStyle name="Normal 3 2 12 2 4 6 2" xfId="23125" xr:uid="{DB3B20F8-3576-43C8-B16E-540B5A83579F}"/>
    <cellStyle name="Normal 3 2 12 2 4 6 3" xfId="23126" xr:uid="{32C5B779-6739-446C-A436-E0B09048AA5A}"/>
    <cellStyle name="Normal 3 2 12 2 4 6 4" xfId="23127" xr:uid="{A8EC3CDF-B940-4B60-BEE0-673B4FA955D5}"/>
    <cellStyle name="Normal 3 2 12 2 4 6 5" xfId="23128" xr:uid="{682E70EE-CC7F-4F3F-8495-4E04008777CA}"/>
    <cellStyle name="Normal 3 2 12 2 4 6 6" xfId="23129" xr:uid="{665149AC-9A6E-4A49-87C6-F6D66EB2F6AD}"/>
    <cellStyle name="Normal 3 2 12 2 4 7" xfId="23130" xr:uid="{87799929-2EB0-4C92-859E-3C0425373A67}"/>
    <cellStyle name="Normal 3 2 12 2 4 8" xfId="23131" xr:uid="{B7E35613-B294-41AF-BC6D-18DCAAFE564D}"/>
    <cellStyle name="Normal 3 2 12 2 4 9" xfId="23132" xr:uid="{D98498BE-6D93-4D3C-91BA-00ACD91ECF79}"/>
    <cellStyle name="Normal 3 2 12 2 5" xfId="23133" xr:uid="{23700FE3-FBF1-47B4-B0CB-2C22B2847105}"/>
    <cellStyle name="Normal 3 2 12 2 5 10" xfId="23134" xr:uid="{90B3C55D-254B-442D-98C2-5E75A510EE7C}"/>
    <cellStyle name="Normal 3 2 12 2 5 11" xfId="23135" xr:uid="{44276CC9-6930-4352-AFD3-D9AB1916C585}"/>
    <cellStyle name="Normal 3 2 12 2 5 2" xfId="23136" xr:uid="{0F1A2CF8-004A-4C82-B20A-755FDCB61DFA}"/>
    <cellStyle name="Normal 3 2 12 2 5 2 2" xfId="23137" xr:uid="{A3692970-CB72-434E-900D-B1E5EC62B548}"/>
    <cellStyle name="Normal 3 2 12 2 5 2 3" xfId="23138" xr:uid="{CC8A9B37-8242-4FFA-927E-2C99A151DA3C}"/>
    <cellStyle name="Normal 3 2 12 2 5 2 4" xfId="23139" xr:uid="{F3342F40-3EAD-4A64-B213-30B8CC9E47C3}"/>
    <cellStyle name="Normal 3 2 12 2 5 2 5" xfId="23140" xr:uid="{2517BC04-AFBE-475C-BC7C-57883F7AFCFC}"/>
    <cellStyle name="Normal 3 2 12 2 5 2 6" xfId="23141" xr:uid="{BDE9B31B-5EA4-45C8-91AA-3FC136117C42}"/>
    <cellStyle name="Normal 3 2 12 2 5 3" xfId="23142" xr:uid="{593A2B4B-A344-4596-82C8-C137CC9E8C7E}"/>
    <cellStyle name="Normal 3 2 12 2 5 3 2" xfId="23143" xr:uid="{1D969AA2-F177-466C-90BC-1E82FCABAD5F}"/>
    <cellStyle name="Normal 3 2 12 2 5 3 3" xfId="23144" xr:uid="{FD2BAEE4-5FE0-419A-A471-B3A9D9F73399}"/>
    <cellStyle name="Normal 3 2 12 2 5 3 4" xfId="23145" xr:uid="{ED7FDF1E-D5DD-4AB1-9B49-9AFA38A813A4}"/>
    <cellStyle name="Normal 3 2 12 2 5 3 5" xfId="23146" xr:uid="{63E0F950-7CC6-46FE-92FF-759D16131CD7}"/>
    <cellStyle name="Normal 3 2 12 2 5 3 6" xfId="23147" xr:uid="{F508097B-7CC6-4BED-8596-EA958DDC591F}"/>
    <cellStyle name="Normal 3 2 12 2 5 4" xfId="23148" xr:uid="{DDCC6882-C75B-464B-8FF4-197BA3D4341F}"/>
    <cellStyle name="Normal 3 2 12 2 5 4 2" xfId="23149" xr:uid="{0387662A-C111-430B-B65D-47AAF9FF8D39}"/>
    <cellStyle name="Normal 3 2 12 2 5 4 3" xfId="23150" xr:uid="{58BD4E13-8BDD-4C0A-85D7-F490915DDCF6}"/>
    <cellStyle name="Normal 3 2 12 2 5 4 4" xfId="23151" xr:uid="{85B112B2-6019-4AF0-A668-4091061EBE3C}"/>
    <cellStyle name="Normal 3 2 12 2 5 4 5" xfId="23152" xr:uid="{9612C193-5DB0-4B6D-8205-4EFBB1FE80DD}"/>
    <cellStyle name="Normal 3 2 12 2 5 4 6" xfId="23153" xr:uid="{F160B606-AB56-4A6D-8FBA-07737771F0BB}"/>
    <cellStyle name="Normal 3 2 12 2 5 5" xfId="23154" xr:uid="{6546079E-234D-4D4A-9CC5-DA2166C5F79C}"/>
    <cellStyle name="Normal 3 2 12 2 5 5 2" xfId="23155" xr:uid="{E2072B67-A7AF-4527-AD1F-64972454E7B4}"/>
    <cellStyle name="Normal 3 2 12 2 5 5 3" xfId="23156" xr:uid="{55CF0A7D-27B2-4F5D-8778-4AE92AF91E09}"/>
    <cellStyle name="Normal 3 2 12 2 5 5 4" xfId="23157" xr:uid="{76618447-1AD1-4020-9BE7-D6A9C908260C}"/>
    <cellStyle name="Normal 3 2 12 2 5 5 5" xfId="23158" xr:uid="{C71B48CC-90A7-42F3-9903-EA546B42DE16}"/>
    <cellStyle name="Normal 3 2 12 2 5 5 6" xfId="23159" xr:uid="{283918F6-4603-4521-9AE7-8AD93BA9FC80}"/>
    <cellStyle name="Normal 3 2 12 2 5 6" xfId="23160" xr:uid="{0363632A-11F6-4B4F-8404-BDCE63CFD916}"/>
    <cellStyle name="Normal 3 2 12 2 5 6 2" xfId="23161" xr:uid="{D7D167E4-07A2-43D9-905F-9FF8AE4B17BA}"/>
    <cellStyle name="Normal 3 2 12 2 5 6 3" xfId="23162" xr:uid="{DCCE86C8-A3A5-4CB1-BE89-CC1B093164A8}"/>
    <cellStyle name="Normal 3 2 12 2 5 6 4" xfId="23163" xr:uid="{8AF95C9A-DD2B-49AB-97BF-0542FF3E9D60}"/>
    <cellStyle name="Normal 3 2 12 2 5 6 5" xfId="23164" xr:uid="{93139521-062B-464A-99A9-236D56451120}"/>
    <cellStyle name="Normal 3 2 12 2 5 6 6" xfId="23165" xr:uid="{94850E47-7FF9-4678-B033-83DBA8E2E5A8}"/>
    <cellStyle name="Normal 3 2 12 2 5 7" xfId="23166" xr:uid="{8FA94452-8638-4BDF-A80C-55F415ECFF4E}"/>
    <cellStyle name="Normal 3 2 12 2 5 8" xfId="23167" xr:uid="{0D019663-CE73-45AF-AA3F-C4990E44A52A}"/>
    <cellStyle name="Normal 3 2 12 2 5 9" xfId="23168" xr:uid="{222B78C0-4E1E-4863-9ED4-944CA6A691D8}"/>
    <cellStyle name="Normal 3 2 12 2 6" xfId="23169" xr:uid="{B8E069D8-7288-4002-9825-228DF0517E7D}"/>
    <cellStyle name="Normal 3 2 12 2 6 10" xfId="23170" xr:uid="{88C9BCCF-8BAE-40FD-A6DD-35CF6A6EAA34}"/>
    <cellStyle name="Normal 3 2 12 2 6 11" xfId="23171" xr:uid="{B65AC0BA-FFF8-4993-ABD2-3626D0F388E6}"/>
    <cellStyle name="Normal 3 2 12 2 6 2" xfId="23172" xr:uid="{FE366072-BF23-440D-AFCB-5FEBBA05AB77}"/>
    <cellStyle name="Normal 3 2 12 2 6 2 2" xfId="23173" xr:uid="{E96A5FC4-FFAA-421C-AECF-9440F52D4987}"/>
    <cellStyle name="Normal 3 2 12 2 6 2 3" xfId="23174" xr:uid="{A7CB7509-B0C0-40AF-BA38-DFA18DAE73C0}"/>
    <cellStyle name="Normal 3 2 12 2 6 2 4" xfId="23175" xr:uid="{C17D8541-6392-4D3C-9B71-7DEDDE2FA3F2}"/>
    <cellStyle name="Normal 3 2 12 2 6 2 5" xfId="23176" xr:uid="{76515816-7329-4D6F-BC02-233F20B927FA}"/>
    <cellStyle name="Normal 3 2 12 2 6 2 6" xfId="23177" xr:uid="{86CC1BF5-C7D9-4779-8494-48C5967A3ECF}"/>
    <cellStyle name="Normal 3 2 12 2 6 3" xfId="23178" xr:uid="{D2DCC3BB-E267-4BCA-A62A-870A91DF2804}"/>
    <cellStyle name="Normal 3 2 12 2 6 3 2" xfId="23179" xr:uid="{8E221354-FB32-4BCF-B5BB-15BCBDD8B70B}"/>
    <cellStyle name="Normal 3 2 12 2 6 3 3" xfId="23180" xr:uid="{08B44AE7-51D1-45C6-8788-D52113B354E2}"/>
    <cellStyle name="Normal 3 2 12 2 6 3 4" xfId="23181" xr:uid="{8C8C90BA-6BB2-4502-826F-5F910A761183}"/>
    <cellStyle name="Normal 3 2 12 2 6 3 5" xfId="23182" xr:uid="{22220D93-7C83-4A01-B016-0499D8FA24B5}"/>
    <cellStyle name="Normal 3 2 12 2 6 3 6" xfId="23183" xr:uid="{4B76FEFF-6A80-40B8-AF42-B04733EF59F7}"/>
    <cellStyle name="Normal 3 2 12 2 6 4" xfId="23184" xr:uid="{1BFF048F-F0FD-4178-8FB3-F4F8E9BB9169}"/>
    <cellStyle name="Normal 3 2 12 2 6 4 2" xfId="23185" xr:uid="{BC0A3C48-6972-42F4-8212-A9FF9F2441EB}"/>
    <cellStyle name="Normal 3 2 12 2 6 4 3" xfId="23186" xr:uid="{C80B0B0C-C4F1-4207-A3DA-28887042DEB6}"/>
    <cellStyle name="Normal 3 2 12 2 6 4 4" xfId="23187" xr:uid="{AE3ABD48-5E74-434D-8BBF-B83DA0B840AB}"/>
    <cellStyle name="Normal 3 2 12 2 6 4 5" xfId="23188" xr:uid="{54B510BE-8F08-4FB2-841E-3F3E61608099}"/>
    <cellStyle name="Normal 3 2 12 2 6 4 6" xfId="23189" xr:uid="{57C7D717-CB8A-4CF3-A522-80E396D0DBE4}"/>
    <cellStyle name="Normal 3 2 12 2 6 5" xfId="23190" xr:uid="{EBDFA024-6C34-4D0D-A5F3-66869DCF7BE4}"/>
    <cellStyle name="Normal 3 2 12 2 6 5 2" xfId="23191" xr:uid="{26491EC6-BBA9-468A-9370-4F564C602716}"/>
    <cellStyle name="Normal 3 2 12 2 6 5 3" xfId="23192" xr:uid="{9207CCA2-0057-441D-B443-DC76203E650F}"/>
    <cellStyle name="Normal 3 2 12 2 6 5 4" xfId="23193" xr:uid="{361ECB34-6AD9-49C4-AF1E-56FA116691D0}"/>
    <cellStyle name="Normal 3 2 12 2 6 5 5" xfId="23194" xr:uid="{37E8B5A0-CB5B-4EF8-B589-B79AE2DD76CC}"/>
    <cellStyle name="Normal 3 2 12 2 6 5 6" xfId="23195" xr:uid="{314EC7B7-CF98-4E15-89C2-A4C604DC7B5F}"/>
    <cellStyle name="Normal 3 2 12 2 6 6" xfId="23196" xr:uid="{0A61E47A-8115-4840-A8F3-EDC1158CDAC3}"/>
    <cellStyle name="Normal 3 2 12 2 6 6 2" xfId="23197" xr:uid="{5A02D719-9E6F-45D2-9B7C-CE9E26252855}"/>
    <cellStyle name="Normal 3 2 12 2 6 6 3" xfId="23198" xr:uid="{259D0B2E-DF78-4E27-B655-CA1D9E46CF81}"/>
    <cellStyle name="Normal 3 2 12 2 6 6 4" xfId="23199" xr:uid="{1027E044-5D53-4178-9785-20FAF5E674B5}"/>
    <cellStyle name="Normal 3 2 12 2 6 6 5" xfId="23200" xr:uid="{CB575A4D-9DF3-4A52-B664-7C7F7920B244}"/>
    <cellStyle name="Normal 3 2 12 2 6 6 6" xfId="23201" xr:uid="{0D7BA8D1-4785-469B-9706-38A6B8392A74}"/>
    <cellStyle name="Normal 3 2 12 2 6 7" xfId="23202" xr:uid="{D460594A-D223-4C1E-B0C9-B5E2AF2BCEB8}"/>
    <cellStyle name="Normal 3 2 12 2 6 8" xfId="23203" xr:uid="{B7B9932E-315E-46F6-856D-239BD81F51BE}"/>
    <cellStyle name="Normal 3 2 12 2 6 9" xfId="23204" xr:uid="{0C16CBD9-F12A-4895-9A5E-CF816A8BA01E}"/>
    <cellStyle name="Normal 3 2 12 2 7" xfId="23205" xr:uid="{A4F357E8-A8E6-4A34-88FE-E704541ED8DD}"/>
    <cellStyle name="Normal 3 2 12 2 7 10" xfId="23206" xr:uid="{1AD04C2A-24F0-4E1E-883D-71CBECEF4CA6}"/>
    <cellStyle name="Normal 3 2 12 2 7 11" xfId="23207" xr:uid="{E82A2C27-D1DB-48AB-9EC2-5DA004EDEA8F}"/>
    <cellStyle name="Normal 3 2 12 2 7 2" xfId="23208" xr:uid="{6294A315-7CF2-44B6-8142-34B91114A6D8}"/>
    <cellStyle name="Normal 3 2 12 2 7 2 2" xfId="23209" xr:uid="{53108A99-00FD-403C-B223-F2C5EF4FFC57}"/>
    <cellStyle name="Normal 3 2 12 2 7 2 3" xfId="23210" xr:uid="{C8C20AE9-A837-4429-A2C2-0C14B2E59104}"/>
    <cellStyle name="Normal 3 2 12 2 7 2 4" xfId="23211" xr:uid="{306FC780-54A4-4873-B1EF-0F743AD2B1DD}"/>
    <cellStyle name="Normal 3 2 12 2 7 2 5" xfId="23212" xr:uid="{43F22F25-1203-4ED3-BEBC-E11999DBEBE9}"/>
    <cellStyle name="Normal 3 2 12 2 7 2 6" xfId="23213" xr:uid="{B3C9D080-A10B-48C8-B060-DD6867BB97F9}"/>
    <cellStyle name="Normal 3 2 12 2 7 3" xfId="23214" xr:uid="{D87792FD-70B9-4B93-B4A4-9DD2EFAD8C32}"/>
    <cellStyle name="Normal 3 2 12 2 7 3 2" xfId="23215" xr:uid="{AB1586D7-88B8-49DB-8F85-BA784BE47EC7}"/>
    <cellStyle name="Normal 3 2 12 2 7 3 3" xfId="23216" xr:uid="{4A3C4DEA-BE92-4D47-AE37-A2AFFABC510F}"/>
    <cellStyle name="Normal 3 2 12 2 7 3 4" xfId="23217" xr:uid="{6250F32C-D7CA-4426-B6B6-96E5FA4604A8}"/>
    <cellStyle name="Normal 3 2 12 2 7 3 5" xfId="23218" xr:uid="{2C87C689-DA72-4C56-8192-E295AE02FA28}"/>
    <cellStyle name="Normal 3 2 12 2 7 3 6" xfId="23219" xr:uid="{2DA8E0F5-A20D-4009-99D1-31F0EC90A067}"/>
    <cellStyle name="Normal 3 2 12 2 7 4" xfId="23220" xr:uid="{944D757E-89A2-4A49-99AB-20E0567C0D18}"/>
    <cellStyle name="Normal 3 2 12 2 7 4 2" xfId="23221" xr:uid="{2FCC9CED-1519-4A86-96BF-590D85192FA1}"/>
    <cellStyle name="Normal 3 2 12 2 7 4 3" xfId="23222" xr:uid="{FF7271F3-4640-46C3-A166-EF31961315B9}"/>
    <cellStyle name="Normal 3 2 12 2 7 4 4" xfId="23223" xr:uid="{2A9846A8-A821-44DB-B5CE-2BBA4B7F226C}"/>
    <cellStyle name="Normal 3 2 12 2 7 4 5" xfId="23224" xr:uid="{809EEEF4-9A9C-4351-9505-0CE48E497DAB}"/>
    <cellStyle name="Normal 3 2 12 2 7 4 6" xfId="23225" xr:uid="{3F516E71-BAE0-4007-81BC-B0CFF22B2F6C}"/>
    <cellStyle name="Normal 3 2 12 2 7 5" xfId="23226" xr:uid="{39B79480-DFCB-4536-9290-1F70C7F1F85F}"/>
    <cellStyle name="Normal 3 2 12 2 7 5 2" xfId="23227" xr:uid="{44E5E116-DD74-4065-9745-920FBD62FAE2}"/>
    <cellStyle name="Normal 3 2 12 2 7 5 3" xfId="23228" xr:uid="{2FB45B11-5BC2-4678-BBCE-C13C90CE0C88}"/>
    <cellStyle name="Normal 3 2 12 2 7 5 4" xfId="23229" xr:uid="{9EBFDF04-BDB1-4F11-A39C-C149F0B40EAF}"/>
    <cellStyle name="Normal 3 2 12 2 7 5 5" xfId="23230" xr:uid="{E25A8488-107E-465F-A489-1FD12D8ECF15}"/>
    <cellStyle name="Normal 3 2 12 2 7 5 6" xfId="23231" xr:uid="{C3CB4C0E-9DE3-479E-BDB9-8F90106675DA}"/>
    <cellStyle name="Normal 3 2 12 2 7 6" xfId="23232" xr:uid="{B8A4F5F6-783B-43AE-920F-72BB5DAEEC54}"/>
    <cellStyle name="Normal 3 2 12 2 7 6 2" xfId="23233" xr:uid="{07C91735-7C5F-4555-9541-83FDA07A5363}"/>
    <cellStyle name="Normal 3 2 12 2 7 6 3" xfId="23234" xr:uid="{637463FA-7E49-4DC3-9931-424A421845BC}"/>
    <cellStyle name="Normal 3 2 12 2 7 6 4" xfId="23235" xr:uid="{03704E56-2913-4D82-A3B8-9A404CB0C3D5}"/>
    <cellStyle name="Normal 3 2 12 2 7 6 5" xfId="23236" xr:uid="{D5D26A5C-E9CC-4C78-A747-5C1E2C5953AD}"/>
    <cellStyle name="Normal 3 2 12 2 7 6 6" xfId="23237" xr:uid="{C2DFCE75-81A0-424B-B245-9BF32F201667}"/>
    <cellStyle name="Normal 3 2 12 2 7 7" xfId="23238" xr:uid="{726F8840-9F39-41B2-B2D2-28473F134F99}"/>
    <cellStyle name="Normal 3 2 12 2 7 8" xfId="23239" xr:uid="{EFE2ECF2-1B18-42F8-AB1F-69637CDC44E3}"/>
    <cellStyle name="Normal 3 2 12 2 7 9" xfId="23240" xr:uid="{46B76347-2B84-40EE-9552-AFFB2682D5FF}"/>
    <cellStyle name="Normal 3 2 12 2 8" xfId="23241" xr:uid="{9C0B8B23-61F2-405C-AF0C-094E4FCB2A87}"/>
    <cellStyle name="Normal 3 2 12 2 8 10" xfId="23242" xr:uid="{2E8109BD-EA68-4AE5-90E1-D98858E0ADB9}"/>
    <cellStyle name="Normal 3 2 12 2 8 11" xfId="23243" xr:uid="{6030C9A7-0A5B-4218-A930-42FB36477150}"/>
    <cellStyle name="Normal 3 2 12 2 8 2" xfId="23244" xr:uid="{9054675E-F67F-451A-AFC2-1C4049C37EB6}"/>
    <cellStyle name="Normal 3 2 12 2 8 2 2" xfId="23245" xr:uid="{D64ED9A1-03B6-4F1E-B062-268E1719A1FF}"/>
    <cellStyle name="Normal 3 2 12 2 8 2 3" xfId="23246" xr:uid="{0DCA5C56-EC30-4E1E-B50D-21BA1FD732C4}"/>
    <cellStyle name="Normal 3 2 12 2 8 2 4" xfId="23247" xr:uid="{733B601C-10D5-475C-8299-CD9E5962F460}"/>
    <cellStyle name="Normal 3 2 12 2 8 2 5" xfId="23248" xr:uid="{FAB554EF-0D05-400D-9450-4BFF582B8B35}"/>
    <cellStyle name="Normal 3 2 12 2 8 2 6" xfId="23249" xr:uid="{EBAB3870-7BB7-4430-BFB5-A0402F8554D8}"/>
    <cellStyle name="Normal 3 2 12 2 8 3" xfId="23250" xr:uid="{B88A2CC3-6076-4B4C-89DD-75A729935314}"/>
    <cellStyle name="Normal 3 2 12 2 8 3 2" xfId="23251" xr:uid="{146C1B74-F3A6-4175-8283-347135D600AD}"/>
    <cellStyle name="Normal 3 2 12 2 8 3 3" xfId="23252" xr:uid="{7D45D590-6B4C-40B1-BE57-EF1630EA7409}"/>
    <cellStyle name="Normal 3 2 12 2 8 3 4" xfId="23253" xr:uid="{72DA0263-B621-471B-9F8A-DF4268680527}"/>
    <cellStyle name="Normal 3 2 12 2 8 3 5" xfId="23254" xr:uid="{9A7520AC-284B-4D32-9761-C528691CCD9A}"/>
    <cellStyle name="Normal 3 2 12 2 8 3 6" xfId="23255" xr:uid="{02EDC3CE-D1CE-4282-85B2-16814B2BAA1D}"/>
    <cellStyle name="Normal 3 2 12 2 8 4" xfId="23256" xr:uid="{647E58C3-3289-451F-A31C-A860EBD98019}"/>
    <cellStyle name="Normal 3 2 12 2 8 4 2" xfId="23257" xr:uid="{B0777578-A330-4D41-A658-B9E8BD194838}"/>
    <cellStyle name="Normal 3 2 12 2 8 4 3" xfId="23258" xr:uid="{6F1B1F83-59BC-477E-90F7-F6DA7D80F465}"/>
    <cellStyle name="Normal 3 2 12 2 8 4 4" xfId="23259" xr:uid="{EAC639F7-EF79-4ABD-9094-F8B6E10ECAA4}"/>
    <cellStyle name="Normal 3 2 12 2 8 4 5" xfId="23260" xr:uid="{6DFE9A22-2803-417D-BE59-84451CD6A3EF}"/>
    <cellStyle name="Normal 3 2 12 2 8 4 6" xfId="23261" xr:uid="{14BDC34E-84BE-4E42-8313-39E405B8B6AD}"/>
    <cellStyle name="Normal 3 2 12 2 8 5" xfId="23262" xr:uid="{C887891C-D7FA-4488-84EA-E3DEF7801625}"/>
    <cellStyle name="Normal 3 2 12 2 8 5 2" xfId="23263" xr:uid="{17AA01AB-C6F5-468C-9940-D95979BDE56C}"/>
    <cellStyle name="Normal 3 2 12 2 8 5 3" xfId="23264" xr:uid="{000567B4-84E8-4B29-A399-D2824897475C}"/>
    <cellStyle name="Normal 3 2 12 2 8 5 4" xfId="23265" xr:uid="{7890A5D1-6C11-4866-885C-FF055B60E583}"/>
    <cellStyle name="Normal 3 2 12 2 8 5 5" xfId="23266" xr:uid="{A70089EA-DBDD-491A-A1DB-D7183483D728}"/>
    <cellStyle name="Normal 3 2 12 2 8 5 6" xfId="23267" xr:uid="{300A9F3B-2FB5-4904-B5D3-9FEA299DD97F}"/>
    <cellStyle name="Normal 3 2 12 2 8 6" xfId="23268" xr:uid="{ECABEE2D-4DA1-46C8-B313-AB0F90957F0D}"/>
    <cellStyle name="Normal 3 2 12 2 8 6 2" xfId="23269" xr:uid="{F030D87D-307C-4DBE-B3DA-D389FF17C774}"/>
    <cellStyle name="Normal 3 2 12 2 8 6 3" xfId="23270" xr:uid="{CBE29E4E-0E12-4573-833C-24638A138A82}"/>
    <cellStyle name="Normal 3 2 12 2 8 6 4" xfId="23271" xr:uid="{53BD4774-D963-499C-A449-D364BB47F3A8}"/>
    <cellStyle name="Normal 3 2 12 2 8 6 5" xfId="23272" xr:uid="{D358F547-B9DD-4426-82C4-288830DACEF8}"/>
    <cellStyle name="Normal 3 2 12 2 8 6 6" xfId="23273" xr:uid="{4A854C30-FF56-4E3D-8BF2-37034D96056D}"/>
    <cellStyle name="Normal 3 2 12 2 8 7" xfId="23274" xr:uid="{7FA14CAF-9E03-487C-BD34-4D37F1BEA71A}"/>
    <cellStyle name="Normal 3 2 12 2 8 8" xfId="23275" xr:uid="{851209ED-B2E6-414D-BB08-397E44B075E6}"/>
    <cellStyle name="Normal 3 2 12 2 8 9" xfId="23276" xr:uid="{1FA23DEC-443B-4232-935F-F78B8E8EA854}"/>
    <cellStyle name="Normal 3 2 12 2 9" xfId="23277" xr:uid="{3D19C4F5-F5B3-4E6B-9BFA-6DE3AD16F511}"/>
    <cellStyle name="Normal 3 2 12 2 9 10" xfId="23278" xr:uid="{7A7A59D6-2FAC-4BB2-927B-25FC818F37BF}"/>
    <cellStyle name="Normal 3 2 12 2 9 11" xfId="23279" xr:uid="{1B27F56A-8B30-4A0D-ACC7-5506F5E8DFB0}"/>
    <cellStyle name="Normal 3 2 12 2 9 2" xfId="23280" xr:uid="{FB4047C3-257E-415F-8561-8D3A7CDB97A2}"/>
    <cellStyle name="Normal 3 2 12 2 9 2 2" xfId="23281" xr:uid="{0F23508E-89BE-4384-968F-245A43D14815}"/>
    <cellStyle name="Normal 3 2 12 2 9 2 3" xfId="23282" xr:uid="{6DD9DEAC-7ABE-421B-9ED0-CD1CF0D1C0A8}"/>
    <cellStyle name="Normal 3 2 12 2 9 2 4" xfId="23283" xr:uid="{125F38F4-E485-4F0B-8F9F-3969B7419007}"/>
    <cellStyle name="Normal 3 2 12 2 9 2 5" xfId="23284" xr:uid="{EDFE7CD1-26C8-4F8D-8C7E-DBCD4BB9AF87}"/>
    <cellStyle name="Normal 3 2 12 2 9 2 6" xfId="23285" xr:uid="{BF153632-DA01-4A79-84C7-302EC213F1F2}"/>
    <cellStyle name="Normal 3 2 12 2 9 3" xfId="23286" xr:uid="{7C6A7934-4F73-4D34-937B-3BC8C8AFADE1}"/>
    <cellStyle name="Normal 3 2 12 2 9 3 2" xfId="23287" xr:uid="{C3687BCD-39AF-41E8-9F69-9528CDBC8642}"/>
    <cellStyle name="Normal 3 2 12 2 9 3 3" xfId="23288" xr:uid="{DFA20F29-3F78-481E-B0C2-320797467706}"/>
    <cellStyle name="Normal 3 2 12 2 9 3 4" xfId="23289" xr:uid="{15E255DB-B37A-4646-BF2C-0A4624D146AB}"/>
    <cellStyle name="Normal 3 2 12 2 9 3 5" xfId="23290" xr:uid="{D23D3EFA-09C9-41DE-985E-B507122351F8}"/>
    <cellStyle name="Normal 3 2 12 2 9 3 6" xfId="23291" xr:uid="{20D05819-CA00-4DEC-9E15-BC9F7C22E4EF}"/>
    <cellStyle name="Normal 3 2 12 2 9 4" xfId="23292" xr:uid="{61F31B7E-4358-45AD-8558-2423DF79169C}"/>
    <cellStyle name="Normal 3 2 12 2 9 4 2" xfId="23293" xr:uid="{FC37F311-5875-4ECB-93EE-98D69B5F4B23}"/>
    <cellStyle name="Normal 3 2 12 2 9 4 3" xfId="23294" xr:uid="{015C7FA4-6187-46D8-9E3E-2ACFE05F54BF}"/>
    <cellStyle name="Normal 3 2 12 2 9 4 4" xfId="23295" xr:uid="{6E34A532-374F-4E4D-B057-76F8032ACB95}"/>
    <cellStyle name="Normal 3 2 12 2 9 4 5" xfId="23296" xr:uid="{9F92DBC0-CE6A-4260-A410-23B7B0AFC826}"/>
    <cellStyle name="Normal 3 2 12 2 9 4 6" xfId="23297" xr:uid="{EDB624F0-5D48-4AB1-BDDA-D62DFB98DE48}"/>
    <cellStyle name="Normal 3 2 12 2 9 5" xfId="23298" xr:uid="{5D154A00-F598-45F3-A199-3D39197E810B}"/>
    <cellStyle name="Normal 3 2 12 2 9 5 2" xfId="23299" xr:uid="{7DF070FF-6C27-4B3E-BF9A-C42E460D5C64}"/>
    <cellStyle name="Normal 3 2 12 2 9 5 3" xfId="23300" xr:uid="{1ACA0330-E5CA-4896-A79E-240ED49DAEE8}"/>
    <cellStyle name="Normal 3 2 12 2 9 5 4" xfId="23301" xr:uid="{35FDDEE0-5685-49FF-899E-BE45A09FCB1B}"/>
    <cellStyle name="Normal 3 2 12 2 9 5 5" xfId="23302" xr:uid="{259EF4C5-E88D-4028-80EE-79ADB7B385FF}"/>
    <cellStyle name="Normal 3 2 12 2 9 5 6" xfId="23303" xr:uid="{0D15E758-C9BE-4C62-8EEA-2AC04B6DE2D2}"/>
    <cellStyle name="Normal 3 2 12 2 9 6" xfId="23304" xr:uid="{475795A4-314C-4C5B-84CB-717B7DE0BE10}"/>
    <cellStyle name="Normal 3 2 12 2 9 6 2" xfId="23305" xr:uid="{CF387F04-E219-4B87-B75D-9DD7A7EB483B}"/>
    <cellStyle name="Normal 3 2 12 2 9 6 3" xfId="23306" xr:uid="{5F7AB6A9-FFF0-48A2-907F-C4FFD8F1B3F2}"/>
    <cellStyle name="Normal 3 2 12 2 9 6 4" xfId="23307" xr:uid="{68BF152A-C23A-44F4-90EE-2E0882AACBFA}"/>
    <cellStyle name="Normal 3 2 12 2 9 6 5" xfId="23308" xr:uid="{CBF084B5-B1EE-4769-98F1-40EAC3A87E19}"/>
    <cellStyle name="Normal 3 2 12 2 9 6 6" xfId="23309" xr:uid="{1617BEFE-3490-4B19-B081-52786187DEE0}"/>
    <cellStyle name="Normal 3 2 12 2 9 7" xfId="23310" xr:uid="{FC4BA5E3-65C9-4D38-86C2-93AF5D49D92A}"/>
    <cellStyle name="Normal 3 2 12 2 9 8" xfId="23311" xr:uid="{81509DF6-5DD1-4249-BE9C-E26DD0BBBB63}"/>
    <cellStyle name="Normal 3 2 12 2 9 9" xfId="23312" xr:uid="{4C035AC0-E1E7-4A66-91D2-C931F1246057}"/>
    <cellStyle name="Normal 3 2 12 3" xfId="23313" xr:uid="{17C2616F-4DDE-40E7-A5A4-A0045A2138FF}"/>
    <cellStyle name="Normal 3 2 12 4" xfId="23314" xr:uid="{E1AAF58A-B822-4EA8-8C91-84B6DA4483EB}"/>
    <cellStyle name="Normal 3 2 12 5" xfId="23315" xr:uid="{71FE8572-CE6C-46F0-A011-5D60AF8C97BA}"/>
    <cellStyle name="Normal 3 2 12 6" xfId="23316" xr:uid="{3B52E345-1844-45A8-81E4-DF8D523340A4}"/>
    <cellStyle name="Normal 3 2 12 7" xfId="23317" xr:uid="{40664A90-55CB-44D9-AF94-F028A806ABCC}"/>
    <cellStyle name="Normal 3 2 12 8" xfId="23318" xr:uid="{4DC9A4FF-50F7-4FCD-BD5D-9E521E8DD0CC}"/>
    <cellStyle name="Normal 3 2 12 9" xfId="23319" xr:uid="{689E3916-E844-41CB-95B5-5AA5BCBCFC33}"/>
    <cellStyle name="Normal 3 2 120" xfId="23320" xr:uid="{B79FBE0A-4E14-4256-9009-CDC1CB1D658B}"/>
    <cellStyle name="Normal 3 2 121" xfId="23321" xr:uid="{B29A3301-F45D-4888-A83F-DFF964C37238}"/>
    <cellStyle name="Normal 3 2 122" xfId="23322" xr:uid="{DF670701-DBD7-452F-A060-A74EC8ACCFB9}"/>
    <cellStyle name="Normal 3 2 123" xfId="23323" xr:uid="{F1CA4ED1-4236-4D7C-909F-CB6FDA9930A2}"/>
    <cellStyle name="Normal 3 2 13" xfId="23324" xr:uid="{D9F2789A-4A52-42B1-BDF2-05EF36B6C8F1}"/>
    <cellStyle name="Normal 3 2 13 10" xfId="23325" xr:uid="{13FB6E8A-CFB9-4439-BB65-ADAEC318053D}"/>
    <cellStyle name="Normal 3 2 13 11" xfId="23326" xr:uid="{2E091ACD-F8C2-4AC6-A420-99385349C756}"/>
    <cellStyle name="Normal 3 2 13 2" xfId="23327" xr:uid="{8BE2AA82-22AB-4014-895F-031FDBBEAF38}"/>
    <cellStyle name="Normal 3 2 13 2 2" xfId="23328" xr:uid="{67738BD5-B054-4457-B2E2-145A891A0710}"/>
    <cellStyle name="Normal 3 2 13 2 3" xfId="23329" xr:uid="{5F66ABD2-6311-435E-987B-77C1397FAC3E}"/>
    <cellStyle name="Normal 3 2 13 2 4" xfId="23330" xr:uid="{F4E909A7-86B6-466A-86ED-E38A9A969A71}"/>
    <cellStyle name="Normal 3 2 13 2 5" xfId="23331" xr:uid="{32290485-FB7C-43F6-8517-354E01BF5AEA}"/>
    <cellStyle name="Normal 3 2 13 2 6" xfId="23332" xr:uid="{4CBA8B93-C0AC-4758-B1C1-8C422CABB2F2}"/>
    <cellStyle name="Normal 3 2 13 3" xfId="23333" xr:uid="{700B98FE-9923-4A32-B217-9E6FD19EF50A}"/>
    <cellStyle name="Normal 3 2 13 3 2" xfId="23334" xr:uid="{AA2400E1-D9CE-432A-B681-C9834AF92DD3}"/>
    <cellStyle name="Normal 3 2 13 3 3" xfId="23335" xr:uid="{88717485-E376-4F66-9401-19AC3B38B366}"/>
    <cellStyle name="Normal 3 2 13 3 4" xfId="23336" xr:uid="{6F920B72-3813-4ED2-BDEB-0284961A1903}"/>
    <cellStyle name="Normal 3 2 13 3 5" xfId="23337" xr:uid="{1A5E39C9-ADCD-4E86-9B45-56B07E0316FC}"/>
    <cellStyle name="Normal 3 2 13 3 6" xfId="23338" xr:uid="{5A61EBB5-B671-4073-92DD-6B782B661893}"/>
    <cellStyle name="Normal 3 2 13 4" xfId="23339" xr:uid="{C1955A74-0299-48F2-8D4B-15BE30CCB20D}"/>
    <cellStyle name="Normal 3 2 13 4 2" xfId="23340" xr:uid="{C4F9FBD0-55A5-4378-9ED3-596D875ECD96}"/>
    <cellStyle name="Normal 3 2 13 4 3" xfId="23341" xr:uid="{5C1B9AA0-2B3E-4F9A-966C-C74A9743519F}"/>
    <cellStyle name="Normal 3 2 13 4 4" xfId="23342" xr:uid="{6487F117-E086-4391-B745-E4507079D462}"/>
    <cellStyle name="Normal 3 2 13 4 5" xfId="23343" xr:uid="{74C9ADD6-A224-4954-9F8A-28685A5A8D26}"/>
    <cellStyle name="Normal 3 2 13 4 6" xfId="23344" xr:uid="{3D0EB13D-A0C5-49C9-8E58-046B6EA5E1D1}"/>
    <cellStyle name="Normal 3 2 13 5" xfId="23345" xr:uid="{80E87A7C-D2CD-4D32-8BA9-3B6DFD088735}"/>
    <cellStyle name="Normal 3 2 13 5 2" xfId="23346" xr:uid="{531886F7-7DE5-4C12-A241-B773CB7B65D0}"/>
    <cellStyle name="Normal 3 2 13 5 3" xfId="23347" xr:uid="{37D41570-CF6F-4CA1-9356-FED79C4D16C5}"/>
    <cellStyle name="Normal 3 2 13 5 4" xfId="23348" xr:uid="{10834307-FA73-4316-8F9B-4389ED8B7DA4}"/>
    <cellStyle name="Normal 3 2 13 5 5" xfId="23349" xr:uid="{7B8B9713-B03D-48AD-A967-A7B24E381AA8}"/>
    <cellStyle name="Normal 3 2 13 5 6" xfId="23350" xr:uid="{36B19F14-9182-4045-A3E9-C3BAF79C691A}"/>
    <cellStyle name="Normal 3 2 13 6" xfId="23351" xr:uid="{C6B8A1CE-2DBF-4642-8AB3-6CC46759F4A0}"/>
    <cellStyle name="Normal 3 2 13 6 2" xfId="23352" xr:uid="{6816FA11-6257-4E5F-AF87-E97541AFBC58}"/>
    <cellStyle name="Normal 3 2 13 6 3" xfId="23353" xr:uid="{A537C5F6-F782-4550-8EF4-D97E6647A5FB}"/>
    <cellStyle name="Normal 3 2 13 6 4" xfId="23354" xr:uid="{F6C0A4D2-EAA8-4C31-A2B9-1F380276ED93}"/>
    <cellStyle name="Normal 3 2 13 6 5" xfId="23355" xr:uid="{5E0BDF34-8D49-4078-8B98-8E9F5333B9C0}"/>
    <cellStyle name="Normal 3 2 13 6 6" xfId="23356" xr:uid="{44B15966-F5AB-40D1-A125-B8E3A34F12B9}"/>
    <cellStyle name="Normal 3 2 13 7" xfId="23357" xr:uid="{66A7AB10-5D05-41A1-B3B1-6958A115D24A}"/>
    <cellStyle name="Normal 3 2 13 8" xfId="23358" xr:uid="{C29EAE27-E0BF-437E-9CAC-008F85BABCFF}"/>
    <cellStyle name="Normal 3 2 13 9" xfId="23359" xr:uid="{5851DC4B-CD78-4E3E-A45E-31D4EB24D3D7}"/>
    <cellStyle name="Normal 3 2 14" xfId="23360" xr:uid="{719F1471-A64E-4D6E-9869-DDA104100F65}"/>
    <cellStyle name="Normal 3 2 14 10" xfId="23361" xr:uid="{B69D7E87-2A99-48F9-8965-9F62D98E3055}"/>
    <cellStyle name="Normal 3 2 14 11" xfId="23362" xr:uid="{50725B1A-C296-4C24-9310-502E36FB27F8}"/>
    <cellStyle name="Normal 3 2 14 2" xfId="23363" xr:uid="{0C2224E7-C63B-446C-AF87-6AF13AE991AD}"/>
    <cellStyle name="Normal 3 2 14 2 2" xfId="23364" xr:uid="{628100A8-1D66-44BC-B705-54968BFBA818}"/>
    <cellStyle name="Normal 3 2 14 2 3" xfId="23365" xr:uid="{4E4E721B-4DA4-419D-87C2-3BC032B659FE}"/>
    <cellStyle name="Normal 3 2 14 2 4" xfId="23366" xr:uid="{5DD283F9-DB75-47E5-A8B8-7562915EB24D}"/>
    <cellStyle name="Normal 3 2 14 2 5" xfId="23367" xr:uid="{68E30451-B0C4-482F-8925-27AEE2483EC4}"/>
    <cellStyle name="Normal 3 2 14 2 6" xfId="23368" xr:uid="{471B2597-1CE5-44F5-82F4-9F2322B11C6C}"/>
    <cellStyle name="Normal 3 2 14 3" xfId="23369" xr:uid="{88541582-C5ED-423E-A13D-50CC61038C92}"/>
    <cellStyle name="Normal 3 2 14 3 2" xfId="23370" xr:uid="{2CDD032F-1E7E-4D96-8CD6-1B4E793F79E1}"/>
    <cellStyle name="Normal 3 2 14 3 3" xfId="23371" xr:uid="{12FACB55-175D-4486-9CA2-57BD5C9E3813}"/>
    <cellStyle name="Normal 3 2 14 3 4" xfId="23372" xr:uid="{C49C0BD0-CDD9-4E41-954E-D4FEEAF4C708}"/>
    <cellStyle name="Normal 3 2 14 3 5" xfId="23373" xr:uid="{E65D0F9E-076E-42C7-B20A-3B1E89FDA66D}"/>
    <cellStyle name="Normal 3 2 14 3 6" xfId="23374" xr:uid="{DAAB1AE1-D81B-4B52-9984-30E612892DC8}"/>
    <cellStyle name="Normal 3 2 14 4" xfId="23375" xr:uid="{B7112FF0-B701-4B9C-BE7E-95A5B93E1856}"/>
    <cellStyle name="Normal 3 2 14 4 2" xfId="23376" xr:uid="{CE179F2B-4D4A-4185-AA91-2A88497EB244}"/>
    <cellStyle name="Normal 3 2 14 4 3" xfId="23377" xr:uid="{2A3FF095-7BC6-4ACE-85CE-0E37B6D2A489}"/>
    <cellStyle name="Normal 3 2 14 4 4" xfId="23378" xr:uid="{A3F87F20-6938-41FA-938A-FA8B6CA92997}"/>
    <cellStyle name="Normal 3 2 14 4 5" xfId="23379" xr:uid="{5E25F94B-331B-471C-9EC5-03B90C2F3E38}"/>
    <cellStyle name="Normal 3 2 14 4 6" xfId="23380" xr:uid="{8F9358ED-8AA4-4379-812B-87F83217287D}"/>
    <cellStyle name="Normal 3 2 14 5" xfId="23381" xr:uid="{58DEEACF-642F-4B4A-B617-D3C1A50EED0D}"/>
    <cellStyle name="Normal 3 2 14 5 2" xfId="23382" xr:uid="{0644D3FB-AD73-4B30-B623-4876590ACB8A}"/>
    <cellStyle name="Normal 3 2 14 5 3" xfId="23383" xr:uid="{46C41BE1-204E-43C5-961F-B7F96C6A76AB}"/>
    <cellStyle name="Normal 3 2 14 5 4" xfId="23384" xr:uid="{844B5265-049F-40BC-98E7-6CE37956DBED}"/>
    <cellStyle name="Normal 3 2 14 5 5" xfId="23385" xr:uid="{80A9781C-4F14-447A-99B7-063E562546F4}"/>
    <cellStyle name="Normal 3 2 14 5 6" xfId="23386" xr:uid="{6798DE20-DEA1-4E37-8659-866C6A75742C}"/>
    <cellStyle name="Normal 3 2 14 6" xfId="23387" xr:uid="{920A11A1-71A3-46A3-8858-6B1FB5D4880A}"/>
    <cellStyle name="Normal 3 2 14 6 2" xfId="23388" xr:uid="{74F2F90B-4BC5-473A-86DC-7EBA142694E6}"/>
    <cellStyle name="Normal 3 2 14 6 3" xfId="23389" xr:uid="{9501420C-FA9E-489D-BDDA-EC53EFAF52DD}"/>
    <cellStyle name="Normal 3 2 14 6 4" xfId="23390" xr:uid="{4713101A-6C0A-46D4-A4A0-C56D9974EBBB}"/>
    <cellStyle name="Normal 3 2 14 6 5" xfId="23391" xr:uid="{FDAFB2D3-E939-4602-B5B5-A41002E6231F}"/>
    <cellStyle name="Normal 3 2 14 6 6" xfId="23392" xr:uid="{BD679719-F445-4FFE-8453-060C7F298649}"/>
    <cellStyle name="Normal 3 2 14 7" xfId="23393" xr:uid="{D00C0298-3A3E-4E09-8F62-3CFBF8A6B578}"/>
    <cellStyle name="Normal 3 2 14 8" xfId="23394" xr:uid="{5A493341-7F9E-46DE-8485-045824B196FE}"/>
    <cellStyle name="Normal 3 2 14 9" xfId="23395" xr:uid="{1E1DF83C-A045-431A-82BD-8B717A42C695}"/>
    <cellStyle name="Normal 3 2 15" xfId="23396" xr:uid="{DD65B044-2B49-4289-A99D-BDDB8EA90A2F}"/>
    <cellStyle name="Normal 3 2 15 10" xfId="23397" xr:uid="{2E020F65-D34D-4D4D-85C5-03C62B8566F3}"/>
    <cellStyle name="Normal 3 2 15 11" xfId="23398" xr:uid="{5D9962FB-19B8-4732-B8A3-C02819D40119}"/>
    <cellStyle name="Normal 3 2 15 2" xfId="23399" xr:uid="{E725A6D5-6506-4EA4-BFA6-DBFB2FF3885C}"/>
    <cellStyle name="Normal 3 2 15 2 2" xfId="23400" xr:uid="{FD509392-FD56-43AE-B3A3-1C06092F7811}"/>
    <cellStyle name="Normal 3 2 15 2 3" xfId="23401" xr:uid="{B13D27B7-A026-49E2-BEA3-D3FAC6D2A955}"/>
    <cellStyle name="Normal 3 2 15 2 4" xfId="23402" xr:uid="{2FE69777-AE45-48D9-9B1F-E180C5ABBAD1}"/>
    <cellStyle name="Normal 3 2 15 2 5" xfId="23403" xr:uid="{0AD335D1-66CB-4C15-8C9D-367C18916885}"/>
    <cellStyle name="Normal 3 2 15 2 6" xfId="23404" xr:uid="{8AFE7113-3F76-4ADF-8F72-4FFE77458991}"/>
    <cellStyle name="Normal 3 2 15 3" xfId="23405" xr:uid="{05913214-CCA8-4AAC-A688-C02BCA0888A4}"/>
    <cellStyle name="Normal 3 2 15 3 2" xfId="23406" xr:uid="{989D2564-E5BF-4C1E-B5CE-EF8EDAE2C43F}"/>
    <cellStyle name="Normal 3 2 15 3 3" xfId="23407" xr:uid="{C3F2DDDE-C9A9-4A48-9CAB-DB4D8AADF85D}"/>
    <cellStyle name="Normal 3 2 15 3 4" xfId="23408" xr:uid="{1A93A990-69B6-47D3-BD1D-2DDD878AB340}"/>
    <cellStyle name="Normal 3 2 15 3 5" xfId="23409" xr:uid="{EFF6E662-7828-4F88-8440-DE5B503AF4DF}"/>
    <cellStyle name="Normal 3 2 15 3 6" xfId="23410" xr:uid="{5770A0AE-0C89-4382-A937-928949E5B441}"/>
    <cellStyle name="Normal 3 2 15 4" xfId="23411" xr:uid="{FBBC5B48-4C7C-40E6-AF0F-C0E4B2C1590D}"/>
    <cellStyle name="Normal 3 2 15 4 2" xfId="23412" xr:uid="{6D44D002-2911-4449-909E-DFB36B23F85E}"/>
    <cellStyle name="Normal 3 2 15 4 3" xfId="23413" xr:uid="{5A690F47-AEA5-415E-ADCE-797ABEDB459D}"/>
    <cellStyle name="Normal 3 2 15 4 4" xfId="23414" xr:uid="{2A9DC16E-D774-4198-BAA9-33F3D1A632E2}"/>
    <cellStyle name="Normal 3 2 15 4 5" xfId="23415" xr:uid="{1B0B8F62-7F3F-41F9-8ADA-F5CCA6957411}"/>
    <cellStyle name="Normal 3 2 15 4 6" xfId="23416" xr:uid="{8AA0BE1B-5ADC-46B7-9918-B361DA72D829}"/>
    <cellStyle name="Normal 3 2 15 5" xfId="23417" xr:uid="{D6AC2854-368B-4D13-920E-F691CDB7593B}"/>
    <cellStyle name="Normal 3 2 15 5 2" xfId="23418" xr:uid="{6717800C-A7CC-46C5-9B2F-AD30A5B5D830}"/>
    <cellStyle name="Normal 3 2 15 5 3" xfId="23419" xr:uid="{578A6F7E-0F70-4940-B8D4-01F8F3F71302}"/>
    <cellStyle name="Normal 3 2 15 5 4" xfId="23420" xr:uid="{BD3DF34F-48AB-400F-9168-648D309C228F}"/>
    <cellStyle name="Normal 3 2 15 5 5" xfId="23421" xr:uid="{DB00063B-495A-45FB-BE16-563AA702CABA}"/>
    <cellStyle name="Normal 3 2 15 5 6" xfId="23422" xr:uid="{6412697B-C3FB-43BA-8926-57228CAEC6CF}"/>
    <cellStyle name="Normal 3 2 15 6" xfId="23423" xr:uid="{5140EEC7-D67A-4CCD-B4EE-F5BD3FBBFE31}"/>
    <cellStyle name="Normal 3 2 15 6 2" xfId="23424" xr:uid="{EF311A75-B2DD-41AB-A432-25AFAF2CFC09}"/>
    <cellStyle name="Normal 3 2 15 6 3" xfId="23425" xr:uid="{9E9248FC-36A9-4835-AB67-D21CF5B69730}"/>
    <cellStyle name="Normal 3 2 15 6 4" xfId="23426" xr:uid="{9E2BE412-6629-41B9-9AA2-CB899E5B18A3}"/>
    <cellStyle name="Normal 3 2 15 6 5" xfId="23427" xr:uid="{B604A23C-A54D-46BE-98F5-3EE511D2ECE2}"/>
    <cellStyle name="Normal 3 2 15 6 6" xfId="23428" xr:uid="{B784C6D7-F877-48F9-9EAA-29A9631278D0}"/>
    <cellStyle name="Normal 3 2 15 7" xfId="23429" xr:uid="{926E3B8B-2CCE-4898-A54B-C0889C4FF390}"/>
    <cellStyle name="Normal 3 2 15 8" xfId="23430" xr:uid="{D4A58BB2-8DD5-4708-AB91-1C607DA8ECDC}"/>
    <cellStyle name="Normal 3 2 15 9" xfId="23431" xr:uid="{8CB8B87E-9068-44E2-8C43-6DB40D5210DC}"/>
    <cellStyle name="Normal 3 2 16" xfId="23432" xr:uid="{AA5C5E52-AEA8-4158-936E-2EF926D3A699}"/>
    <cellStyle name="Normal 3 2 16 10" xfId="23433" xr:uid="{0D2EA647-B8D8-4A68-BE6E-B58FEE96273B}"/>
    <cellStyle name="Normal 3 2 16 11" xfId="23434" xr:uid="{274B694A-D23D-4008-B497-ACA46F6EEC6B}"/>
    <cellStyle name="Normal 3 2 16 2" xfId="23435" xr:uid="{1C9380FA-8D42-406F-897E-B3B2357AF824}"/>
    <cellStyle name="Normal 3 2 16 2 2" xfId="23436" xr:uid="{5D947748-567F-4D8B-BAE2-FAED80C2C865}"/>
    <cellStyle name="Normal 3 2 16 2 3" xfId="23437" xr:uid="{CC3588A3-DD13-4FFA-AC69-672C303D096B}"/>
    <cellStyle name="Normal 3 2 16 2 4" xfId="23438" xr:uid="{501C36E1-3655-408C-A262-028827D4B684}"/>
    <cellStyle name="Normal 3 2 16 2 5" xfId="23439" xr:uid="{B8058E81-8A20-46AD-80C2-7822CA611655}"/>
    <cellStyle name="Normal 3 2 16 2 6" xfId="23440" xr:uid="{9EEA11A3-3409-4AF5-A5DE-0A8EC5D36D24}"/>
    <cellStyle name="Normal 3 2 16 3" xfId="23441" xr:uid="{E8DC7C22-81B0-4B02-88DE-1AE50C3556BA}"/>
    <cellStyle name="Normal 3 2 16 3 2" xfId="23442" xr:uid="{1C84E10A-6C03-44DE-B15D-5765B68CBDAC}"/>
    <cellStyle name="Normal 3 2 16 3 3" xfId="23443" xr:uid="{ED9BA5E8-6039-4CEB-9433-E5EC935DF159}"/>
    <cellStyle name="Normal 3 2 16 3 4" xfId="23444" xr:uid="{E70EE664-7406-491F-8E97-A792748205C6}"/>
    <cellStyle name="Normal 3 2 16 3 5" xfId="23445" xr:uid="{7851E5A2-EEE5-466C-91CA-1F19ADD29D49}"/>
    <cellStyle name="Normal 3 2 16 3 6" xfId="23446" xr:uid="{87193939-D0BC-4441-B08C-F012A2AD168D}"/>
    <cellStyle name="Normal 3 2 16 4" xfId="23447" xr:uid="{7EA2D4AE-3BFD-44AC-B5D3-489E474DC1CF}"/>
    <cellStyle name="Normal 3 2 16 4 2" xfId="23448" xr:uid="{F3AF51F8-5BDC-4880-A9BF-EA3807EDA6AB}"/>
    <cellStyle name="Normal 3 2 16 4 3" xfId="23449" xr:uid="{B980019E-521F-484D-93E4-CE3352A594F0}"/>
    <cellStyle name="Normal 3 2 16 4 4" xfId="23450" xr:uid="{5034142F-29B3-4CF5-95A5-942724BBB51D}"/>
    <cellStyle name="Normal 3 2 16 4 5" xfId="23451" xr:uid="{C07752EA-A96A-42A1-9504-B9E460CF42B9}"/>
    <cellStyle name="Normal 3 2 16 4 6" xfId="23452" xr:uid="{7009BC25-5242-4037-BBCE-672043D515A9}"/>
    <cellStyle name="Normal 3 2 16 5" xfId="23453" xr:uid="{AE70411D-52D7-48CC-8538-781E243B706F}"/>
    <cellStyle name="Normal 3 2 16 5 2" xfId="23454" xr:uid="{2CA98358-E528-487C-BCA0-7B5E99134C89}"/>
    <cellStyle name="Normal 3 2 16 5 3" xfId="23455" xr:uid="{FA547EDD-C121-4F6F-AEFD-BE971B30457C}"/>
    <cellStyle name="Normal 3 2 16 5 4" xfId="23456" xr:uid="{A00B5766-8A2D-40E3-83DB-73C673E11F4F}"/>
    <cellStyle name="Normal 3 2 16 5 5" xfId="23457" xr:uid="{18888505-C855-49CA-9B48-9F5E4565AE46}"/>
    <cellStyle name="Normal 3 2 16 5 6" xfId="23458" xr:uid="{18793012-BDE2-456D-AFAD-DA5D4FB3066B}"/>
    <cellStyle name="Normal 3 2 16 6" xfId="23459" xr:uid="{5F201116-2DE1-4077-8A49-F3F8AE989DFE}"/>
    <cellStyle name="Normal 3 2 16 6 2" xfId="23460" xr:uid="{4A201A1E-97A8-4D2B-8BBE-EC408F147368}"/>
    <cellStyle name="Normal 3 2 16 6 3" xfId="23461" xr:uid="{16E93523-6375-43EE-B309-F57B96B1B25D}"/>
    <cellStyle name="Normal 3 2 16 6 4" xfId="23462" xr:uid="{CA897194-F183-4D01-A05A-5FE5B7F8CC65}"/>
    <cellStyle name="Normal 3 2 16 6 5" xfId="23463" xr:uid="{80D67DED-7E4C-461A-972F-45449B8ABF9D}"/>
    <cellStyle name="Normal 3 2 16 6 6" xfId="23464" xr:uid="{406F0403-EFD0-450B-9B9A-0B466869FF13}"/>
    <cellStyle name="Normal 3 2 16 7" xfId="23465" xr:uid="{3A17A580-6F38-4B79-8F8D-562CE48F6805}"/>
    <cellStyle name="Normal 3 2 16 8" xfId="23466" xr:uid="{BB0FD650-7232-48EA-9EB7-FAD5C7662E2A}"/>
    <cellStyle name="Normal 3 2 16 9" xfId="23467" xr:uid="{BC67002D-F333-4D80-A173-0CAD5C6126B8}"/>
    <cellStyle name="Normal 3 2 17" xfId="23468" xr:uid="{F7DD3C1A-CB11-4F39-9C3D-7786B680094D}"/>
    <cellStyle name="Normal 3 2 17 10" xfId="23469" xr:uid="{1A70F3E8-6057-4182-B988-02EF282D2AE0}"/>
    <cellStyle name="Normal 3 2 17 11" xfId="23470" xr:uid="{0CB723A2-1619-4670-841D-40DC43130FC1}"/>
    <cellStyle name="Normal 3 2 17 2" xfId="23471" xr:uid="{54CAB12E-DD52-4381-8ECD-C5F24480F4F1}"/>
    <cellStyle name="Normal 3 2 17 2 2" xfId="23472" xr:uid="{2C3A9EEA-CE84-4DFD-A5C7-46BDCAD631EA}"/>
    <cellStyle name="Normal 3 2 17 2 3" xfId="23473" xr:uid="{DAD37045-4339-4CA3-822F-FC4044251929}"/>
    <cellStyle name="Normal 3 2 17 2 4" xfId="23474" xr:uid="{F5B2EC13-1650-4EA9-A1DF-BA75B6DE3451}"/>
    <cellStyle name="Normal 3 2 17 2 5" xfId="23475" xr:uid="{1B9ECFBA-2F72-4DEB-A6E5-1EDBEC2DE3C8}"/>
    <cellStyle name="Normal 3 2 17 2 6" xfId="23476" xr:uid="{F2B22B3F-0CA1-4725-BB67-92C3A5845944}"/>
    <cellStyle name="Normal 3 2 17 3" xfId="23477" xr:uid="{ED4474FD-B289-49C4-ADF6-B878FB8D4EE1}"/>
    <cellStyle name="Normal 3 2 17 3 2" xfId="23478" xr:uid="{A933872B-EAB9-45E4-837C-1F2EC3E32115}"/>
    <cellStyle name="Normal 3 2 17 3 3" xfId="23479" xr:uid="{D3F3EFD0-A256-46E0-9FDC-E81185C51A76}"/>
    <cellStyle name="Normal 3 2 17 3 4" xfId="23480" xr:uid="{2BECA610-6E0F-4434-8A1C-06BEDDF23CB3}"/>
    <cellStyle name="Normal 3 2 17 3 5" xfId="23481" xr:uid="{A71C9A73-B963-4641-9082-7BF866B73CA7}"/>
    <cellStyle name="Normal 3 2 17 3 6" xfId="23482" xr:uid="{742C3EE8-7E41-4568-B6CD-624C20111213}"/>
    <cellStyle name="Normal 3 2 17 4" xfId="23483" xr:uid="{7294F187-F926-4D9B-896F-0A5E0831ED4D}"/>
    <cellStyle name="Normal 3 2 17 4 2" xfId="23484" xr:uid="{1FEEEC72-BAA4-48C8-A5B6-2B2390468AD9}"/>
    <cellStyle name="Normal 3 2 17 4 3" xfId="23485" xr:uid="{FE37141C-7519-4626-A624-425987E3B7CA}"/>
    <cellStyle name="Normal 3 2 17 4 4" xfId="23486" xr:uid="{CF8CC1DD-1EDA-410E-BCCF-913E26D8448D}"/>
    <cellStyle name="Normal 3 2 17 4 5" xfId="23487" xr:uid="{50FED6ED-7BD0-49E1-9CF4-68646346BE51}"/>
    <cellStyle name="Normal 3 2 17 4 6" xfId="23488" xr:uid="{CD9638C8-9999-411D-AA71-F91430E457DA}"/>
    <cellStyle name="Normal 3 2 17 5" xfId="23489" xr:uid="{B49436C6-C79F-437B-A668-A58ED0EF5D51}"/>
    <cellStyle name="Normal 3 2 17 5 2" xfId="23490" xr:uid="{2FA89EC6-EFB8-4300-9A15-3C0E49A5A42C}"/>
    <cellStyle name="Normal 3 2 17 5 3" xfId="23491" xr:uid="{7D56EBC6-610D-4C87-8EA2-39704B5375ED}"/>
    <cellStyle name="Normal 3 2 17 5 4" xfId="23492" xr:uid="{95B03685-A3E4-49D4-82B5-85FC851EDA79}"/>
    <cellStyle name="Normal 3 2 17 5 5" xfId="23493" xr:uid="{0BE8F058-2278-437E-B1DD-B03F67DE575B}"/>
    <cellStyle name="Normal 3 2 17 5 6" xfId="23494" xr:uid="{7E6306C1-0A22-434E-9632-7821632C7EDD}"/>
    <cellStyle name="Normal 3 2 17 6" xfId="23495" xr:uid="{A2B3BEEE-F57B-4955-8268-5BBBB81C50C1}"/>
    <cellStyle name="Normal 3 2 17 6 2" xfId="23496" xr:uid="{516530B1-3464-4BFB-951D-4F81E8651032}"/>
    <cellStyle name="Normal 3 2 17 6 3" xfId="23497" xr:uid="{941E207D-5BAB-4880-911C-9564AFB10FCF}"/>
    <cellStyle name="Normal 3 2 17 6 4" xfId="23498" xr:uid="{75A4F36E-EAA5-42C9-89C2-E351F9DCF610}"/>
    <cellStyle name="Normal 3 2 17 6 5" xfId="23499" xr:uid="{59FC37AE-7F86-4B4D-8F54-60870194DE37}"/>
    <cellStyle name="Normal 3 2 17 6 6" xfId="23500" xr:uid="{6FD357DF-3C31-42FF-9C68-50D4409FD470}"/>
    <cellStyle name="Normal 3 2 17 7" xfId="23501" xr:uid="{51D6DFC9-F2FD-4ACB-AF48-67F4D71C192B}"/>
    <cellStyle name="Normal 3 2 17 8" xfId="23502" xr:uid="{B396E240-A4CE-45A5-B116-E6DFF51B4C2C}"/>
    <cellStyle name="Normal 3 2 17 9" xfId="23503" xr:uid="{71972C7D-7AB8-4C04-98B9-BFAFB05D5DB5}"/>
    <cellStyle name="Normal 3 2 18" xfId="23504" xr:uid="{623532EB-EF69-4283-8DEB-9A0A9DA3C4B8}"/>
    <cellStyle name="Normal 3 2 18 10" xfId="23505" xr:uid="{AF3699C5-A56C-4B97-9CAB-9818E03518F9}"/>
    <cellStyle name="Normal 3 2 18 11" xfId="23506" xr:uid="{15A66546-C467-4829-A794-35979E7482B7}"/>
    <cellStyle name="Normal 3 2 18 2" xfId="23507" xr:uid="{CB1F8D95-7EAE-4517-B699-F0952C613F93}"/>
    <cellStyle name="Normal 3 2 18 2 2" xfId="23508" xr:uid="{4564C13C-3E9B-46FD-8CF4-242E08EAB026}"/>
    <cellStyle name="Normal 3 2 18 2 3" xfId="23509" xr:uid="{DD1753D5-CA0E-4C5B-9243-447A73EE2B54}"/>
    <cellStyle name="Normal 3 2 18 2 4" xfId="23510" xr:uid="{BA1410AE-F499-480C-A430-6AEC3914CB1D}"/>
    <cellStyle name="Normal 3 2 18 2 5" xfId="23511" xr:uid="{16468408-3322-4FC8-B3A4-065B63BE65D3}"/>
    <cellStyle name="Normal 3 2 18 2 6" xfId="23512" xr:uid="{E16B3B68-7365-4553-A094-5B42A7ACE680}"/>
    <cellStyle name="Normal 3 2 18 3" xfId="23513" xr:uid="{F61DD10A-CC07-43F4-9060-7115D1B6D4F0}"/>
    <cellStyle name="Normal 3 2 18 3 2" xfId="23514" xr:uid="{BE4E6732-C6EE-4685-B8CB-B748C2985B92}"/>
    <cellStyle name="Normal 3 2 18 3 3" xfId="23515" xr:uid="{16729490-A635-4328-8C0A-009C85E5FBB4}"/>
    <cellStyle name="Normal 3 2 18 3 4" xfId="23516" xr:uid="{5A01BDFB-A47D-4FB1-BAD8-3C4EC1EFE33F}"/>
    <cellStyle name="Normal 3 2 18 3 5" xfId="23517" xr:uid="{F18E1264-54D0-45CC-B9CF-A45551E9A015}"/>
    <cellStyle name="Normal 3 2 18 3 6" xfId="23518" xr:uid="{E19EEDBC-2AAE-45EC-B57F-0D8CBD791592}"/>
    <cellStyle name="Normal 3 2 18 4" xfId="23519" xr:uid="{34E1597C-BB99-4101-A838-1FA85C5885D1}"/>
    <cellStyle name="Normal 3 2 18 4 2" xfId="23520" xr:uid="{EAC833BC-9ECE-40B8-BBF7-E48A9B61E120}"/>
    <cellStyle name="Normal 3 2 18 4 3" xfId="23521" xr:uid="{6889FA26-D937-4B71-AA08-1EF394A01B84}"/>
    <cellStyle name="Normal 3 2 18 4 4" xfId="23522" xr:uid="{D0DAA477-314D-43BA-9E71-B7B8B402220B}"/>
    <cellStyle name="Normal 3 2 18 4 5" xfId="23523" xr:uid="{DDD67465-B480-4EA4-9F4C-04BDF68C31C6}"/>
    <cellStyle name="Normal 3 2 18 4 6" xfId="23524" xr:uid="{3E3C68E3-41BB-400F-B25E-B4186181240F}"/>
    <cellStyle name="Normal 3 2 18 5" xfId="23525" xr:uid="{1FA0E04E-64FE-4EF2-AC63-49F9BB1DC147}"/>
    <cellStyle name="Normal 3 2 18 5 2" xfId="23526" xr:uid="{B72059D7-377F-4F44-B050-B7764856AAB8}"/>
    <cellStyle name="Normal 3 2 18 5 3" xfId="23527" xr:uid="{3C8F03B7-A308-43B6-9562-99DA0ACF7A4A}"/>
    <cellStyle name="Normal 3 2 18 5 4" xfId="23528" xr:uid="{1AD6061E-BA8D-48A1-B4A1-C65A34BA3039}"/>
    <cellStyle name="Normal 3 2 18 5 5" xfId="23529" xr:uid="{8DBC7AF5-ABEE-4A73-8D0A-974754D74E46}"/>
    <cellStyle name="Normal 3 2 18 5 6" xfId="23530" xr:uid="{6E8C2B90-F8F3-4FF9-969F-46F8E6C2209E}"/>
    <cellStyle name="Normal 3 2 18 6" xfId="23531" xr:uid="{651F558A-A1F2-4E64-8B1B-CD113CB57469}"/>
    <cellStyle name="Normal 3 2 18 6 2" xfId="23532" xr:uid="{0F353EFF-5B15-4FDA-A84B-C14F479E4333}"/>
    <cellStyle name="Normal 3 2 18 6 3" xfId="23533" xr:uid="{9F883B43-835B-4113-A70F-6F7ACD11EA80}"/>
    <cellStyle name="Normal 3 2 18 6 4" xfId="23534" xr:uid="{99A955B7-13DD-4C83-89EC-01D8DD8A7D65}"/>
    <cellStyle name="Normal 3 2 18 6 5" xfId="23535" xr:uid="{12B4612E-1063-4CF0-BD70-803C0A8218AA}"/>
    <cellStyle name="Normal 3 2 18 6 6" xfId="23536" xr:uid="{8AF5367B-55C1-4E34-8432-A2AE0573CE7D}"/>
    <cellStyle name="Normal 3 2 18 7" xfId="23537" xr:uid="{8200BC89-4590-4430-ADEF-22B421D2DAA0}"/>
    <cellStyle name="Normal 3 2 18 8" xfId="23538" xr:uid="{6601A1DF-99CC-43ED-B883-E300BEC9EB70}"/>
    <cellStyle name="Normal 3 2 18 9" xfId="23539" xr:uid="{1BAF0EC4-4D25-4B4B-B23A-3DF4801CE71C}"/>
    <cellStyle name="Normal 3 2 19" xfId="23540" xr:uid="{5BE7EDD4-C206-4DB6-BFFF-41054AFD6C3F}"/>
    <cellStyle name="Normal 3 2 19 10" xfId="23541" xr:uid="{52BB1645-6A7F-4579-B4C0-D9814B24D7DB}"/>
    <cellStyle name="Normal 3 2 19 11" xfId="23542" xr:uid="{9806BD59-123F-4476-B5C5-803BADFFA6FB}"/>
    <cellStyle name="Normal 3 2 19 2" xfId="23543" xr:uid="{1BF33900-9A56-45AE-AFCC-F26E13478DFB}"/>
    <cellStyle name="Normal 3 2 19 2 2" xfId="23544" xr:uid="{CE7F1912-D452-48EC-A6EB-D5C179274D08}"/>
    <cellStyle name="Normal 3 2 19 2 3" xfId="23545" xr:uid="{522E2B05-C1FE-472D-B71A-5132A664AED6}"/>
    <cellStyle name="Normal 3 2 19 2 4" xfId="23546" xr:uid="{311CFCE5-AA76-4B92-972E-D8E7D32EECA2}"/>
    <cellStyle name="Normal 3 2 19 2 5" xfId="23547" xr:uid="{5C29F590-FC8E-4855-BBD1-09971900A5BF}"/>
    <cellStyle name="Normal 3 2 19 2 6" xfId="23548" xr:uid="{0FCBE97B-9EE2-4E7A-A4E1-95252975FDBC}"/>
    <cellStyle name="Normal 3 2 19 3" xfId="23549" xr:uid="{E0FE090D-3F76-4A8A-A083-053E4685D14B}"/>
    <cellStyle name="Normal 3 2 19 3 2" xfId="23550" xr:uid="{BD25AC4D-9AA8-467D-A766-29E606E9A070}"/>
    <cellStyle name="Normal 3 2 19 3 3" xfId="23551" xr:uid="{6E924AB4-87A7-4A5E-A4A9-DAD87B8DE8A1}"/>
    <cellStyle name="Normal 3 2 19 3 4" xfId="23552" xr:uid="{06C59AE5-E15D-43BD-8123-005BFBF17B3F}"/>
    <cellStyle name="Normal 3 2 19 3 5" xfId="23553" xr:uid="{93625DA7-84C6-4A80-BA74-A9D05A37219C}"/>
    <cellStyle name="Normal 3 2 19 3 6" xfId="23554" xr:uid="{0B8BADE7-2870-4766-900F-D779936F6338}"/>
    <cellStyle name="Normal 3 2 19 4" xfId="23555" xr:uid="{EEC497C5-BABC-4E2D-96B1-53ED9984432C}"/>
    <cellStyle name="Normal 3 2 19 4 2" xfId="23556" xr:uid="{B110C242-1F9B-46EB-962D-26A21D7A053F}"/>
    <cellStyle name="Normal 3 2 19 4 3" xfId="23557" xr:uid="{AA8183F8-B96B-4212-921A-A0F81543A328}"/>
    <cellStyle name="Normal 3 2 19 4 4" xfId="23558" xr:uid="{B43D981E-417E-4BC6-91E4-3FCFB3637E37}"/>
    <cellStyle name="Normal 3 2 19 4 5" xfId="23559" xr:uid="{83C73DF0-4653-4E72-A9D2-2F3A682C2421}"/>
    <cellStyle name="Normal 3 2 19 4 6" xfId="23560" xr:uid="{1847BA85-5D88-4625-B96F-13F440C49FBB}"/>
    <cellStyle name="Normal 3 2 19 5" xfId="23561" xr:uid="{4F4CA53A-D495-4647-B9BB-9443726E2E50}"/>
    <cellStyle name="Normal 3 2 19 5 2" xfId="23562" xr:uid="{9E9A28E2-ECFA-442B-B789-A79F74F99108}"/>
    <cellStyle name="Normal 3 2 19 5 3" xfId="23563" xr:uid="{87DEB30B-17D0-4593-81CC-C8652442FAC9}"/>
    <cellStyle name="Normal 3 2 19 5 4" xfId="23564" xr:uid="{021FEE80-6F1A-42E1-8703-EF7DC29CA31A}"/>
    <cellStyle name="Normal 3 2 19 5 5" xfId="23565" xr:uid="{3B86B3F8-5947-428C-A734-E58390C5905D}"/>
    <cellStyle name="Normal 3 2 19 5 6" xfId="23566" xr:uid="{08502CD8-9654-4D57-A4E6-FE81CA104A84}"/>
    <cellStyle name="Normal 3 2 19 6" xfId="23567" xr:uid="{3F96D3A0-A108-494C-905C-40DB2EDC1B5D}"/>
    <cellStyle name="Normal 3 2 19 6 2" xfId="23568" xr:uid="{0AAE1748-45FC-45BE-A3E9-0A946E238E8D}"/>
    <cellStyle name="Normal 3 2 19 6 3" xfId="23569" xr:uid="{B6D8BB0F-A6AF-4B94-A1F7-9E9A3A1EAD2A}"/>
    <cellStyle name="Normal 3 2 19 6 4" xfId="23570" xr:uid="{F8B71E42-2EDC-47B9-A2DC-2A73CE037720}"/>
    <cellStyle name="Normal 3 2 19 6 5" xfId="23571" xr:uid="{853CFAE2-9BFF-4E69-9C79-0BD7E692C332}"/>
    <cellStyle name="Normal 3 2 19 6 6" xfId="23572" xr:uid="{EFA71A48-606E-4E89-9A7B-F76106CCE67F}"/>
    <cellStyle name="Normal 3 2 19 7" xfId="23573" xr:uid="{A5A6C960-79C1-48EA-B22B-046F589F1273}"/>
    <cellStyle name="Normal 3 2 19 8" xfId="23574" xr:uid="{EA1C962B-431C-4AB1-8699-1C1816ECC162}"/>
    <cellStyle name="Normal 3 2 19 9" xfId="23575" xr:uid="{2CDA8ED5-B0EC-48A1-99EE-854A63858B9C}"/>
    <cellStyle name="Normal 3 2 2" xfId="23576" xr:uid="{E8D5E0C9-348E-48D3-B2D7-145F00D6A435}"/>
    <cellStyle name="Normal 3 2 2 10" xfId="23577" xr:uid="{C1DF9EA8-F775-4F10-B004-14C3371D82CD}"/>
    <cellStyle name="Normal 3 2 2 11" xfId="23578" xr:uid="{CA96FE6E-D36D-4108-AB3C-A97722439AF0}"/>
    <cellStyle name="Normal 3 2 2 12" xfId="23579" xr:uid="{CE14F7EE-108C-4738-88F9-192062B61738}"/>
    <cellStyle name="Normal 3 2 2 13" xfId="23580" xr:uid="{82A13C17-D190-456A-B175-999EA5238022}"/>
    <cellStyle name="Normal 3 2 2 14" xfId="23581" xr:uid="{066AC454-8CAF-4925-9BC1-9E6CDFD05904}"/>
    <cellStyle name="Normal 3 2 2 15" xfId="23582" xr:uid="{2BEB5AF5-8F07-4B67-B123-8CC5F51BE9F8}"/>
    <cellStyle name="Normal 3 2 2 16" xfId="23583" xr:uid="{FB9CF715-A02F-4D70-BDDB-2BA2486F7083}"/>
    <cellStyle name="Normal 3 2 2 17" xfId="23584" xr:uid="{91A33B91-89B2-4CE9-9076-A0143BD9BC8F}"/>
    <cellStyle name="Normal 3 2 2 18" xfId="23585" xr:uid="{856EC978-96A3-41D7-9DAA-9FD3D3F9DDBB}"/>
    <cellStyle name="Normal 3 2 2 18 2" xfId="23586" xr:uid="{A7F81515-198F-48A8-8E36-A4879E1D42D1}"/>
    <cellStyle name="Normal 3 2 2 18 2 2" xfId="23587" xr:uid="{8355E795-E13E-49B1-B331-90204755155D}"/>
    <cellStyle name="Normal 3 2 2 18 2 2 2" xfId="23588" xr:uid="{44286D20-F69C-4780-8E6C-5DB1E18FB68E}"/>
    <cellStyle name="Normal 3 2 2 18 2 2 2 2" xfId="23589" xr:uid="{E91467C4-AECF-4106-B52D-3F30D5C7F555}"/>
    <cellStyle name="Normal 3 2 2 18 2 2 2 3" xfId="23590" xr:uid="{5347B0A3-06FD-457A-8DAB-B2CCA155ACEE}"/>
    <cellStyle name="Normal 3 2 2 18 2 2 2 4" xfId="23591" xr:uid="{B4B55FEE-A6B2-4D88-ABCA-9549D3CC37E1}"/>
    <cellStyle name="Normal 3 2 2 18 2 2 2 5" xfId="23592" xr:uid="{9AD821F8-CAF4-4550-9CCD-7AA29C9E8274}"/>
    <cellStyle name="Normal 3 2 2 18 2 2 2 6" xfId="23593" xr:uid="{A9FA870A-5E6C-4E2D-8AB9-84F12B896AC5}"/>
    <cellStyle name="Normal 3 2 2 18 2 3" xfId="23594" xr:uid="{87DC3D30-0DBC-4DE2-9061-486CF0410BFD}"/>
    <cellStyle name="Normal 3 2 2 18 2 4" xfId="23595" xr:uid="{C6EEC684-86C2-4072-97B0-6C5C10CB262E}"/>
    <cellStyle name="Normal 3 2 2 18 2 5" xfId="23596" xr:uid="{1727C90B-D923-4550-B611-E14C8693F1AB}"/>
    <cellStyle name="Normal 3 2 2 18 2 6" xfId="23597" xr:uid="{5B21EB14-EDBC-4FC5-B25E-406773429F89}"/>
    <cellStyle name="Normal 3 2 2 18 2 7" xfId="23598" xr:uid="{1900A29F-59B5-4378-9EF2-7502DE62C509}"/>
    <cellStyle name="Normal 3 2 2 18 3" xfId="23599" xr:uid="{E639A58A-B0D3-4950-8040-9C880A1E403C}"/>
    <cellStyle name="Normal 3 2 2 18 3 2" xfId="23600" xr:uid="{0531B556-7AB4-4BD9-B0BE-6CB93BFCB26B}"/>
    <cellStyle name="Normal 3 2 2 18 3 3" xfId="23601" xr:uid="{3A7BD23C-5E8A-42F5-ADD8-74282F78CA22}"/>
    <cellStyle name="Normal 3 2 2 18 3 4" xfId="23602" xr:uid="{B12013E5-E55E-40C5-8764-06779B30EFF0}"/>
    <cellStyle name="Normal 3 2 2 18 3 5" xfId="23603" xr:uid="{0E9C21A7-0ADB-47E2-A945-7C71658F88DF}"/>
    <cellStyle name="Normal 3 2 2 18 3 6" xfId="23604" xr:uid="{FAD013EE-4B6A-47FE-B80C-F1BECE7DA57A}"/>
    <cellStyle name="Normal 3 2 2 18 4" xfId="23605" xr:uid="{21DDFD7F-EACB-4B2C-A246-A44D7AF2C62E}"/>
    <cellStyle name="Normal 3 2 2 18 4 2" xfId="23606" xr:uid="{0CCFCAB9-7F6F-4F43-8C83-C2569AF8801F}"/>
    <cellStyle name="Normal 3 2 2 18 4 3" xfId="23607" xr:uid="{0F080544-75EE-45EF-A929-344D9AA8A98A}"/>
    <cellStyle name="Normal 3 2 2 18 4 4" xfId="23608" xr:uid="{C6EFA754-6E81-40AF-9E4B-17FA6EDF9752}"/>
    <cellStyle name="Normal 3 2 2 18 4 5" xfId="23609" xr:uid="{92557456-7CA6-43E0-80F0-D86464255491}"/>
    <cellStyle name="Normal 3 2 2 18 4 6" xfId="23610" xr:uid="{31B47823-DBE8-4F5C-8D44-E8D2ADE0E3F9}"/>
    <cellStyle name="Normal 3 2 2 18 5" xfId="23611" xr:uid="{7C6CD9CC-0F83-4E46-A12C-987125F07E36}"/>
    <cellStyle name="Normal 3 2 2 18 5 2" xfId="23612" xr:uid="{59E2D57C-AB42-4625-9C49-68E781A0FA9C}"/>
    <cellStyle name="Normal 3 2 2 18 5 3" xfId="23613" xr:uid="{1D5DE95B-EFA7-4032-8C9F-4703C8D01253}"/>
    <cellStyle name="Normal 3 2 2 18 5 4" xfId="23614" xr:uid="{3E99DD82-0453-400C-B193-54EC5EB8342A}"/>
    <cellStyle name="Normal 3 2 2 18 5 5" xfId="23615" xr:uid="{D424C574-B582-4167-8BC1-BB1E1BA25085}"/>
    <cellStyle name="Normal 3 2 2 18 5 6" xfId="23616" xr:uid="{4FECB1CF-7BBB-4342-A331-B333C3CC745D}"/>
    <cellStyle name="Normal 3 2 2 18 6" xfId="23617" xr:uid="{BD39EC15-7BC8-4CD0-A042-BDA039800D28}"/>
    <cellStyle name="Normal 3 2 2 18 6 2" xfId="23618" xr:uid="{9E34ACB3-0129-456C-8F00-F088503D1E0C}"/>
    <cellStyle name="Normal 3 2 2 18 6 3" xfId="23619" xr:uid="{AAB50A1C-0609-48D8-8282-93A79240AA82}"/>
    <cellStyle name="Normal 3 2 2 18 6 4" xfId="23620" xr:uid="{CDF0ABBD-1028-40E9-81A6-36F9A0E618C6}"/>
    <cellStyle name="Normal 3 2 2 18 6 5" xfId="23621" xr:uid="{F10EA657-98E4-4B16-97DB-22303CB8864C}"/>
    <cellStyle name="Normal 3 2 2 18 6 6" xfId="23622" xr:uid="{64659627-7694-416D-B2CB-95B9DE63B8DB}"/>
    <cellStyle name="Normal 3 2 2 19" xfId="23623" xr:uid="{8F47B206-1D1F-49FD-8F00-9AF2F8E2F296}"/>
    <cellStyle name="Normal 3 2 2 19 2" xfId="23624" xr:uid="{F4B81CBC-0079-4903-9ACC-C8696C297C4A}"/>
    <cellStyle name="Normal 3 2 2 19 2 2" xfId="23625" xr:uid="{B013ECBC-5A6B-49E7-82BF-27657398B7F4}"/>
    <cellStyle name="Normal 3 2 2 19 2 3" xfId="23626" xr:uid="{78EFCE0E-B6F3-4F31-8DDC-B8DCBEB7D416}"/>
    <cellStyle name="Normal 3 2 2 19 2 4" xfId="23627" xr:uid="{F26E1424-71DC-4AAB-9132-68858ED00137}"/>
    <cellStyle name="Normal 3 2 2 19 2 5" xfId="23628" xr:uid="{90447685-2599-4288-9369-573BBA500FAA}"/>
    <cellStyle name="Normal 3 2 2 19 2 6" xfId="23629" xr:uid="{CCE9D78D-0263-48D2-86E4-CBB1C7EF6F66}"/>
    <cellStyle name="Normal 3 2 2 19 2 7" xfId="23630" xr:uid="{8E32717A-DE87-4C3C-BE47-F0BAA2348878}"/>
    <cellStyle name="Normal 3 2 2 2" xfId="23631" xr:uid="{7FCC9192-02EF-4A51-AE8B-28FCCD1B8D75}"/>
    <cellStyle name="Normal 3 2 2 2 10" xfId="23632" xr:uid="{6C3C7921-0969-4CA6-9F3B-D102D2145067}"/>
    <cellStyle name="Normal 3 2 2 2 10 10" xfId="23633" xr:uid="{8805AD24-E5CB-411F-B6AC-D247CF82C36D}"/>
    <cellStyle name="Normal 3 2 2 2 10 11" xfId="23634" xr:uid="{FA9BDAB6-902C-4A83-8F64-151AEB557500}"/>
    <cellStyle name="Normal 3 2 2 2 10 2" xfId="23635" xr:uid="{2D97A40B-7C30-4FA9-8BD1-0AFB42D523C7}"/>
    <cellStyle name="Normal 3 2 2 2 10 2 2" xfId="23636" xr:uid="{57D3D504-1792-44E8-91EA-CD0098310A61}"/>
    <cellStyle name="Normal 3 2 2 2 10 2 3" xfId="23637" xr:uid="{E04CB50D-0CAF-47CF-A24F-83838EF2D52C}"/>
    <cellStyle name="Normal 3 2 2 2 10 2 4" xfId="23638" xr:uid="{347964D0-BEDD-4F5A-826E-FFB980F9A98F}"/>
    <cellStyle name="Normal 3 2 2 2 10 2 5" xfId="23639" xr:uid="{F0998566-35FC-4C64-B662-778182CB2EA7}"/>
    <cellStyle name="Normal 3 2 2 2 10 2 6" xfId="23640" xr:uid="{E275F251-520D-4ACE-8A23-E76671B911AF}"/>
    <cellStyle name="Normal 3 2 2 2 10 3" xfId="23641" xr:uid="{B182230A-3414-430C-ACA4-B2C6C9581841}"/>
    <cellStyle name="Normal 3 2 2 2 10 3 2" xfId="23642" xr:uid="{A3CB148C-FFB0-4569-85BA-A930E30701F4}"/>
    <cellStyle name="Normal 3 2 2 2 10 3 3" xfId="23643" xr:uid="{B4EC5F79-0E1E-45BD-9A29-C842C6525763}"/>
    <cellStyle name="Normal 3 2 2 2 10 3 4" xfId="23644" xr:uid="{6983410A-CCB5-45C1-9F4C-2BAE3BDA3B62}"/>
    <cellStyle name="Normal 3 2 2 2 10 3 5" xfId="23645" xr:uid="{323F462F-5DC6-45A8-B47E-30026870FC7B}"/>
    <cellStyle name="Normal 3 2 2 2 10 3 6" xfId="23646" xr:uid="{F608AD40-CB6E-444B-9DD4-C38EB3619C35}"/>
    <cellStyle name="Normal 3 2 2 2 10 4" xfId="23647" xr:uid="{DF224391-DE20-42D1-A3B3-B35CFA14CC26}"/>
    <cellStyle name="Normal 3 2 2 2 10 4 2" xfId="23648" xr:uid="{51137C2A-6D38-4DFE-8110-C0E034F15F18}"/>
    <cellStyle name="Normal 3 2 2 2 10 4 3" xfId="23649" xr:uid="{2AFD0EC4-1404-46BA-BCB5-98B863DD4499}"/>
    <cellStyle name="Normal 3 2 2 2 10 4 4" xfId="23650" xr:uid="{0DD8DC1A-1316-49A0-9067-517E91828B04}"/>
    <cellStyle name="Normal 3 2 2 2 10 4 5" xfId="23651" xr:uid="{7542E669-2A36-44C0-9FC6-D0F62BB89F91}"/>
    <cellStyle name="Normal 3 2 2 2 10 4 6" xfId="23652" xr:uid="{FCE5592F-4D97-416B-9CBE-34DB94B4EFC9}"/>
    <cellStyle name="Normal 3 2 2 2 10 5" xfId="23653" xr:uid="{B437DB43-71AA-43F0-9668-D70C7E426431}"/>
    <cellStyle name="Normal 3 2 2 2 10 5 2" xfId="23654" xr:uid="{3E7F7B56-09C0-446D-81FE-92A0B8A0895D}"/>
    <cellStyle name="Normal 3 2 2 2 10 5 3" xfId="23655" xr:uid="{FF142E23-E345-42FA-B0F8-068B5DABD27F}"/>
    <cellStyle name="Normal 3 2 2 2 10 5 4" xfId="23656" xr:uid="{B137D896-9296-4849-AAF5-C1444A8AD5BA}"/>
    <cellStyle name="Normal 3 2 2 2 10 5 5" xfId="23657" xr:uid="{E18C8F87-BCEE-4A6C-B874-8BEB8751C811}"/>
    <cellStyle name="Normal 3 2 2 2 10 5 6" xfId="23658" xr:uid="{7AE8ED20-532C-4B80-9426-3F493FC4F54B}"/>
    <cellStyle name="Normal 3 2 2 2 10 6" xfId="23659" xr:uid="{15B74E30-52AF-4F0C-ABA3-2827D5FC352D}"/>
    <cellStyle name="Normal 3 2 2 2 10 6 2" xfId="23660" xr:uid="{C9560A08-443B-4A4E-9DB1-CABFA17757D4}"/>
    <cellStyle name="Normal 3 2 2 2 10 6 3" xfId="23661" xr:uid="{2E4EB6CF-AF5D-43D6-859A-A0A1A4910762}"/>
    <cellStyle name="Normal 3 2 2 2 10 6 4" xfId="23662" xr:uid="{8CD12236-9912-416D-A075-C9EB952B2D88}"/>
    <cellStyle name="Normal 3 2 2 2 10 6 5" xfId="23663" xr:uid="{409F19FA-E71F-411D-BD90-E6345B82C8A8}"/>
    <cellStyle name="Normal 3 2 2 2 10 6 6" xfId="23664" xr:uid="{D1B7BC22-D670-41DA-AD2D-840D814D9E73}"/>
    <cellStyle name="Normal 3 2 2 2 10 7" xfId="23665" xr:uid="{6C9E62E4-6A9F-404C-8152-A3FA32C218E5}"/>
    <cellStyle name="Normal 3 2 2 2 10 8" xfId="23666" xr:uid="{CE03ECA2-F4D2-4B0A-A212-97C752A41564}"/>
    <cellStyle name="Normal 3 2 2 2 10 9" xfId="23667" xr:uid="{D892073C-DA0B-4DED-A91F-587DEC8A1833}"/>
    <cellStyle name="Normal 3 2 2 2 11" xfId="23668" xr:uid="{0B7BFD14-48A3-475D-B8C5-9A0603ACD5FB}"/>
    <cellStyle name="Normal 3 2 2 2 11 10" xfId="23669" xr:uid="{6EAA3EBF-1F7F-4D39-970A-D51C9566666F}"/>
    <cellStyle name="Normal 3 2 2 2 11 11" xfId="23670" xr:uid="{03A34CE5-8126-4090-8C3A-ABBFB305249A}"/>
    <cellStyle name="Normal 3 2 2 2 11 2" xfId="23671" xr:uid="{0376D7A4-FCA7-47E6-BA78-A653CCB5143E}"/>
    <cellStyle name="Normal 3 2 2 2 11 2 2" xfId="23672" xr:uid="{D0053F2A-8796-4C94-A08C-C2D2749AF77C}"/>
    <cellStyle name="Normal 3 2 2 2 11 2 3" xfId="23673" xr:uid="{72229B6F-AC6C-48A8-81E1-B2A52E294760}"/>
    <cellStyle name="Normal 3 2 2 2 11 2 4" xfId="23674" xr:uid="{943359AF-294C-4DC2-9A8A-B61581B5A58B}"/>
    <cellStyle name="Normal 3 2 2 2 11 2 5" xfId="23675" xr:uid="{B4CEA267-716F-4D9C-9ED9-F4F5232FBD10}"/>
    <cellStyle name="Normal 3 2 2 2 11 2 6" xfId="23676" xr:uid="{0EAFE37E-1CE4-444A-ADED-3CEC8FD6C3D8}"/>
    <cellStyle name="Normal 3 2 2 2 11 3" xfId="23677" xr:uid="{A385C17D-9AEF-463D-B208-F3C6232C00BE}"/>
    <cellStyle name="Normal 3 2 2 2 11 3 2" xfId="23678" xr:uid="{64A260E2-74AE-4277-9B1E-CEF5B37C228F}"/>
    <cellStyle name="Normal 3 2 2 2 11 3 3" xfId="23679" xr:uid="{F0616C16-BE32-4B36-B3FC-86BA1CE5CB66}"/>
    <cellStyle name="Normal 3 2 2 2 11 3 4" xfId="23680" xr:uid="{B9A26163-A5C9-49DD-99E0-86CDC6DF8D37}"/>
    <cellStyle name="Normal 3 2 2 2 11 3 5" xfId="23681" xr:uid="{1489EC63-A772-4FC6-B51B-DE92E3C830C5}"/>
    <cellStyle name="Normal 3 2 2 2 11 3 6" xfId="23682" xr:uid="{A9B4500D-E4CA-495F-9BB9-0932DC23D4FB}"/>
    <cellStyle name="Normal 3 2 2 2 11 4" xfId="23683" xr:uid="{31C8B227-676B-4349-9406-B64760210541}"/>
    <cellStyle name="Normal 3 2 2 2 11 4 2" xfId="23684" xr:uid="{87370156-0880-4ADC-A6DC-63C2879942D3}"/>
    <cellStyle name="Normal 3 2 2 2 11 4 3" xfId="23685" xr:uid="{491AD365-6195-4380-822E-22AE9F43DFDE}"/>
    <cellStyle name="Normal 3 2 2 2 11 4 4" xfId="23686" xr:uid="{3F4F5541-A4FA-4B13-8BB6-FE5D2F4D73E5}"/>
    <cellStyle name="Normal 3 2 2 2 11 4 5" xfId="23687" xr:uid="{3A959612-6A29-42D4-9AD3-3F84FD23DCE8}"/>
    <cellStyle name="Normal 3 2 2 2 11 4 6" xfId="23688" xr:uid="{BE5AFAEE-C68D-473B-A53F-D64F151234F0}"/>
    <cellStyle name="Normal 3 2 2 2 11 5" xfId="23689" xr:uid="{0C511974-2E0F-4CD8-8E62-AE4D064C579C}"/>
    <cellStyle name="Normal 3 2 2 2 11 5 2" xfId="23690" xr:uid="{AE7FD95D-D6C2-45F6-8D27-9378BD5BE5D4}"/>
    <cellStyle name="Normal 3 2 2 2 11 5 3" xfId="23691" xr:uid="{D3754012-8BC5-458F-BF30-E547F41DB4F5}"/>
    <cellStyle name="Normal 3 2 2 2 11 5 4" xfId="23692" xr:uid="{FCF6A2C9-456C-4AC6-AAFB-37786A258AF9}"/>
    <cellStyle name="Normal 3 2 2 2 11 5 5" xfId="23693" xr:uid="{2FFFB0CD-A053-4D0A-B689-8AE285FBD631}"/>
    <cellStyle name="Normal 3 2 2 2 11 5 6" xfId="23694" xr:uid="{30577B6D-8C27-4DF3-ADFF-924CABDDACD5}"/>
    <cellStyle name="Normal 3 2 2 2 11 6" xfId="23695" xr:uid="{F5840A2F-9B37-47DC-9AB5-73C5D219810E}"/>
    <cellStyle name="Normal 3 2 2 2 11 6 2" xfId="23696" xr:uid="{2A8882C7-ECB3-471D-A757-4679B6CB4C37}"/>
    <cellStyle name="Normal 3 2 2 2 11 6 3" xfId="23697" xr:uid="{D64579A3-227E-4F3B-AABC-3160C5649F94}"/>
    <cellStyle name="Normal 3 2 2 2 11 6 4" xfId="23698" xr:uid="{92041DC1-6875-4C3E-99A0-BA86BCC5145C}"/>
    <cellStyle name="Normal 3 2 2 2 11 6 5" xfId="23699" xr:uid="{CFF428A4-9CB9-4B2F-A84C-0AC2D4ECC893}"/>
    <cellStyle name="Normal 3 2 2 2 11 6 6" xfId="23700" xr:uid="{9EB5F27D-1E18-444E-A42E-6CAEF98734E7}"/>
    <cellStyle name="Normal 3 2 2 2 11 7" xfId="23701" xr:uid="{74918319-DC49-420E-856D-ACD7C2D8E287}"/>
    <cellStyle name="Normal 3 2 2 2 11 8" xfId="23702" xr:uid="{6BEED61D-892E-4F11-898D-F9F10BC9FD3B}"/>
    <cellStyle name="Normal 3 2 2 2 11 9" xfId="23703" xr:uid="{401010ED-5C53-48B7-9B4F-FA8E8CB70351}"/>
    <cellStyle name="Normal 3 2 2 2 12" xfId="23704" xr:uid="{6CDEA8EF-2DED-4427-9407-469F05591940}"/>
    <cellStyle name="Normal 3 2 2 2 12 10" xfId="23705" xr:uid="{9B646456-9616-4575-ACF8-729B1D1AEE3B}"/>
    <cellStyle name="Normal 3 2 2 2 12 11" xfId="23706" xr:uid="{2B02D808-0084-4070-80A6-916B5C254761}"/>
    <cellStyle name="Normal 3 2 2 2 12 2" xfId="23707" xr:uid="{8DD9242D-D2A8-4414-8044-7F4874506BEC}"/>
    <cellStyle name="Normal 3 2 2 2 12 2 2" xfId="23708" xr:uid="{FA541D49-123F-4A90-9297-1480615D001B}"/>
    <cellStyle name="Normal 3 2 2 2 12 2 3" xfId="23709" xr:uid="{12716A3D-29AC-4CD8-9AD7-A81B22D5CFD7}"/>
    <cellStyle name="Normal 3 2 2 2 12 2 4" xfId="23710" xr:uid="{514CA24A-DCC8-452F-92EF-378D727A6458}"/>
    <cellStyle name="Normal 3 2 2 2 12 2 5" xfId="23711" xr:uid="{0787BB5C-79F8-4D4E-BE1B-23B0807EB039}"/>
    <cellStyle name="Normal 3 2 2 2 12 2 6" xfId="23712" xr:uid="{1ED2AAB6-0784-4B9C-80FF-52FCFBC64624}"/>
    <cellStyle name="Normal 3 2 2 2 12 3" xfId="23713" xr:uid="{087C683D-66BB-4988-BC04-27F7CB27A2BA}"/>
    <cellStyle name="Normal 3 2 2 2 12 3 2" xfId="23714" xr:uid="{C5D490DC-224B-48AA-A497-F9D887C43DF8}"/>
    <cellStyle name="Normal 3 2 2 2 12 3 3" xfId="23715" xr:uid="{317E5AED-9DE1-4A97-B56C-451C588996B8}"/>
    <cellStyle name="Normal 3 2 2 2 12 3 4" xfId="23716" xr:uid="{B5F86FF4-9D73-4830-8C93-21B83FAE0E93}"/>
    <cellStyle name="Normal 3 2 2 2 12 3 5" xfId="23717" xr:uid="{C0D74A9D-676C-40B7-92D3-1660EFEDF9A6}"/>
    <cellStyle name="Normal 3 2 2 2 12 3 6" xfId="23718" xr:uid="{A5F7D839-2F49-443B-B8B3-1BEC7CAAC750}"/>
    <cellStyle name="Normal 3 2 2 2 12 4" xfId="23719" xr:uid="{288D790F-1165-414A-A800-0C3580F56031}"/>
    <cellStyle name="Normal 3 2 2 2 12 4 2" xfId="23720" xr:uid="{4DC67969-4FD2-4469-9114-122C798AA0CB}"/>
    <cellStyle name="Normal 3 2 2 2 12 4 3" xfId="23721" xr:uid="{F9D2EC18-A4BD-41C6-A54A-CF5FF2749A5D}"/>
    <cellStyle name="Normal 3 2 2 2 12 4 4" xfId="23722" xr:uid="{FFC7C508-A36A-434A-A6C5-3750691539F6}"/>
    <cellStyle name="Normal 3 2 2 2 12 4 5" xfId="23723" xr:uid="{4A116EAF-2D6E-44DB-A888-E39C60BB2D49}"/>
    <cellStyle name="Normal 3 2 2 2 12 4 6" xfId="23724" xr:uid="{4C3A6428-76D4-4B69-A6A8-4CCCA40CB439}"/>
    <cellStyle name="Normal 3 2 2 2 12 5" xfId="23725" xr:uid="{B9D562FB-AEFB-449F-A859-D27E5DF66E22}"/>
    <cellStyle name="Normal 3 2 2 2 12 5 2" xfId="23726" xr:uid="{BFCCACCA-0B62-4019-BA17-271A4B5D8948}"/>
    <cellStyle name="Normal 3 2 2 2 12 5 3" xfId="23727" xr:uid="{5C7E8DDD-D0A8-4E1B-ABC6-7C246446A806}"/>
    <cellStyle name="Normal 3 2 2 2 12 5 4" xfId="23728" xr:uid="{F1AB9C45-143D-4226-BA7B-E1D18FE6199D}"/>
    <cellStyle name="Normal 3 2 2 2 12 5 5" xfId="23729" xr:uid="{F6DF2521-1A91-4136-BD8E-47D9719A5688}"/>
    <cellStyle name="Normal 3 2 2 2 12 5 6" xfId="23730" xr:uid="{DE33EA3F-7ED4-4490-84C4-B22876C8D829}"/>
    <cellStyle name="Normal 3 2 2 2 12 6" xfId="23731" xr:uid="{881EF5A8-43FE-482A-8E04-8F571F5A06EC}"/>
    <cellStyle name="Normal 3 2 2 2 12 6 2" xfId="23732" xr:uid="{5C521498-AF75-47C3-B4C2-3AEDFBCFD77D}"/>
    <cellStyle name="Normal 3 2 2 2 12 6 3" xfId="23733" xr:uid="{19F0C6FA-6720-42FB-8053-0680F4BDCEBA}"/>
    <cellStyle name="Normal 3 2 2 2 12 6 4" xfId="23734" xr:uid="{BE175EE2-2893-4518-B625-67FDFB590BA1}"/>
    <cellStyle name="Normal 3 2 2 2 12 6 5" xfId="23735" xr:uid="{386B441A-7D24-48DF-9AD1-8C0E6756DE2D}"/>
    <cellStyle name="Normal 3 2 2 2 12 6 6" xfId="23736" xr:uid="{32A8F315-573C-4CC8-A3EA-1899161DE212}"/>
    <cellStyle name="Normal 3 2 2 2 12 7" xfId="23737" xr:uid="{97ABD8BB-5C89-4BD9-BDFA-A5C55B27C2B9}"/>
    <cellStyle name="Normal 3 2 2 2 12 8" xfId="23738" xr:uid="{A9C2B1F1-8454-4F57-A373-B684DC9F5842}"/>
    <cellStyle name="Normal 3 2 2 2 12 9" xfId="23739" xr:uid="{A46675A5-E04F-4DC7-8C24-4303B42D8615}"/>
    <cellStyle name="Normal 3 2 2 2 13" xfId="23740" xr:uid="{6A27B2E2-2649-428A-9A62-4064399CD79E}"/>
    <cellStyle name="Normal 3 2 2 2 13 10" xfId="23741" xr:uid="{86E240AE-8DC2-4290-9715-6423AEBBFAA5}"/>
    <cellStyle name="Normal 3 2 2 2 13 11" xfId="23742" xr:uid="{336A22CE-8892-4C9F-91C2-38CAE71A0486}"/>
    <cellStyle name="Normal 3 2 2 2 13 2" xfId="23743" xr:uid="{52FBED85-1433-4646-97DD-0B98A451B15E}"/>
    <cellStyle name="Normal 3 2 2 2 13 2 2" xfId="23744" xr:uid="{1B77F112-0E4D-4339-A9E6-45BB40FACCD3}"/>
    <cellStyle name="Normal 3 2 2 2 13 2 3" xfId="23745" xr:uid="{3A32FC56-FF73-40BC-B6A0-844F34F88353}"/>
    <cellStyle name="Normal 3 2 2 2 13 2 4" xfId="23746" xr:uid="{D64693C7-1B8D-4CC5-91CD-F767D8985550}"/>
    <cellStyle name="Normal 3 2 2 2 13 2 5" xfId="23747" xr:uid="{16D04DBA-F946-4A57-BD82-8131A69AF58A}"/>
    <cellStyle name="Normal 3 2 2 2 13 2 6" xfId="23748" xr:uid="{7D090FD6-B636-429E-AA6E-294FE3040620}"/>
    <cellStyle name="Normal 3 2 2 2 13 3" xfId="23749" xr:uid="{485E36CC-DB0C-45C7-A278-B1D99C0471F3}"/>
    <cellStyle name="Normal 3 2 2 2 13 3 2" xfId="23750" xr:uid="{8CB41679-04A9-427D-88FD-723C2DC06B6E}"/>
    <cellStyle name="Normal 3 2 2 2 13 3 3" xfId="23751" xr:uid="{13985140-BB88-4A40-B7C6-4B1BE9143EA7}"/>
    <cellStyle name="Normal 3 2 2 2 13 3 4" xfId="23752" xr:uid="{4951E0FC-64E5-46E8-9FAB-7735B4446D22}"/>
    <cellStyle name="Normal 3 2 2 2 13 3 5" xfId="23753" xr:uid="{DED12D2D-5E4F-4BBD-BF39-B6691AA68482}"/>
    <cellStyle name="Normal 3 2 2 2 13 3 6" xfId="23754" xr:uid="{25E480C1-7575-4B71-8B66-5526E83801E5}"/>
    <cellStyle name="Normal 3 2 2 2 13 4" xfId="23755" xr:uid="{42029C0A-30E0-449B-8D5E-067C804E5794}"/>
    <cellStyle name="Normal 3 2 2 2 13 4 2" xfId="23756" xr:uid="{7FA90C31-1B36-4BA5-80D7-E6D6F718EDC5}"/>
    <cellStyle name="Normal 3 2 2 2 13 4 3" xfId="23757" xr:uid="{2D1BD330-B658-4B2A-B2E1-6337449E41E6}"/>
    <cellStyle name="Normal 3 2 2 2 13 4 4" xfId="23758" xr:uid="{B38D9D0B-9094-42B0-975F-94B65B76D467}"/>
    <cellStyle name="Normal 3 2 2 2 13 4 5" xfId="23759" xr:uid="{A36B715C-3EBF-4592-87D8-37BC6F16380B}"/>
    <cellStyle name="Normal 3 2 2 2 13 4 6" xfId="23760" xr:uid="{A31947E8-625D-465E-868C-DE97B5CC139D}"/>
    <cellStyle name="Normal 3 2 2 2 13 5" xfId="23761" xr:uid="{0D2FDD54-5C08-4F58-8297-DD9B045341C7}"/>
    <cellStyle name="Normal 3 2 2 2 13 5 2" xfId="23762" xr:uid="{5BFFC022-5C5A-42C3-9F68-B713FE42B593}"/>
    <cellStyle name="Normal 3 2 2 2 13 5 3" xfId="23763" xr:uid="{94E6A22C-7726-474A-9993-F9E701CB447F}"/>
    <cellStyle name="Normal 3 2 2 2 13 5 4" xfId="23764" xr:uid="{2FA55E18-65EE-44FE-B44D-D58A25A6572F}"/>
    <cellStyle name="Normal 3 2 2 2 13 5 5" xfId="23765" xr:uid="{3C6F04E8-9812-4CE8-A29A-198D5F609466}"/>
    <cellStyle name="Normal 3 2 2 2 13 5 6" xfId="23766" xr:uid="{5E37D1B9-4BF3-4CED-8A05-D6F2B230D980}"/>
    <cellStyle name="Normal 3 2 2 2 13 6" xfId="23767" xr:uid="{B9B8358E-B21C-43D9-A80A-054CEEF25898}"/>
    <cellStyle name="Normal 3 2 2 2 13 6 2" xfId="23768" xr:uid="{7E38A004-D3AD-4D43-A21E-A15144D0FF83}"/>
    <cellStyle name="Normal 3 2 2 2 13 6 3" xfId="23769" xr:uid="{E10BDCD1-E8B6-42F3-BA02-F2D04645F6C2}"/>
    <cellStyle name="Normal 3 2 2 2 13 6 4" xfId="23770" xr:uid="{CCBC752C-5AA1-4014-85FA-4405EDD92A25}"/>
    <cellStyle name="Normal 3 2 2 2 13 6 5" xfId="23771" xr:uid="{2AF9AE44-D390-4ADA-AB88-9A1328C1EFBF}"/>
    <cellStyle name="Normal 3 2 2 2 13 6 6" xfId="23772" xr:uid="{AE6E2A29-C985-4652-B3BF-AB01BC894060}"/>
    <cellStyle name="Normal 3 2 2 2 13 7" xfId="23773" xr:uid="{20F6FE43-0A4D-436B-9E21-27400625D505}"/>
    <cellStyle name="Normal 3 2 2 2 13 8" xfId="23774" xr:uid="{AF07F8A2-B0F2-47F2-BCFB-6BC0060D6BBA}"/>
    <cellStyle name="Normal 3 2 2 2 13 9" xfId="23775" xr:uid="{9DE6D7FB-7049-4D62-8A6A-78D5EFE810C5}"/>
    <cellStyle name="Normal 3 2 2 2 14" xfId="23776" xr:uid="{2BF02D4A-0F9C-4992-8551-3539888C5B52}"/>
    <cellStyle name="Normal 3 2 2 2 14 10" xfId="23777" xr:uid="{55DA70BC-C842-471C-B2A2-90E2C5C61CCF}"/>
    <cellStyle name="Normal 3 2 2 2 14 11" xfId="23778" xr:uid="{1AA0559E-3EFA-4F5D-8EE5-AC2229991411}"/>
    <cellStyle name="Normal 3 2 2 2 14 2" xfId="23779" xr:uid="{51F9E287-4D3E-4198-B648-8C2A7E2BF1F5}"/>
    <cellStyle name="Normal 3 2 2 2 14 2 2" xfId="23780" xr:uid="{C731A54F-679E-4E04-A250-CFC65895819F}"/>
    <cellStyle name="Normal 3 2 2 2 14 2 3" xfId="23781" xr:uid="{09E7E027-BF4A-4969-85D3-D4777B930D11}"/>
    <cellStyle name="Normal 3 2 2 2 14 2 4" xfId="23782" xr:uid="{D11FF27F-E764-490E-B93F-3FE01691602B}"/>
    <cellStyle name="Normal 3 2 2 2 14 2 5" xfId="23783" xr:uid="{B21115D2-F365-4E7D-A2AD-ECF11C25E18E}"/>
    <cellStyle name="Normal 3 2 2 2 14 2 6" xfId="23784" xr:uid="{826E1B74-387A-49E5-85DA-1B6BAAC9965F}"/>
    <cellStyle name="Normal 3 2 2 2 14 3" xfId="23785" xr:uid="{6831F6AA-DBC5-423A-9491-6DA95CE275BC}"/>
    <cellStyle name="Normal 3 2 2 2 14 3 2" xfId="23786" xr:uid="{242274E2-1E4B-4256-B84D-72188ABCBED1}"/>
    <cellStyle name="Normal 3 2 2 2 14 3 3" xfId="23787" xr:uid="{05C6B330-E26F-454C-8D19-958E4286CFF8}"/>
    <cellStyle name="Normal 3 2 2 2 14 3 4" xfId="23788" xr:uid="{F1DBAA6D-6F89-4FF0-971D-EC1E5035B1E6}"/>
    <cellStyle name="Normal 3 2 2 2 14 3 5" xfId="23789" xr:uid="{B481D527-9633-40A1-B2A8-BCA7BBA063DA}"/>
    <cellStyle name="Normal 3 2 2 2 14 3 6" xfId="23790" xr:uid="{5AE8A52F-C9D0-477D-A72A-6B81A3210B23}"/>
    <cellStyle name="Normal 3 2 2 2 14 4" xfId="23791" xr:uid="{456E5083-DAFC-41D8-8BE8-30BD0339FA4A}"/>
    <cellStyle name="Normal 3 2 2 2 14 4 2" xfId="23792" xr:uid="{035B7904-277F-440B-8A7D-970FA2E9003A}"/>
    <cellStyle name="Normal 3 2 2 2 14 4 3" xfId="23793" xr:uid="{75E7631E-145C-4F2B-9D7A-185555F6723F}"/>
    <cellStyle name="Normal 3 2 2 2 14 4 4" xfId="23794" xr:uid="{9B4D0A84-FE5D-4E72-B90A-7A2A818BCA2E}"/>
    <cellStyle name="Normal 3 2 2 2 14 4 5" xfId="23795" xr:uid="{721C2FDB-D1A8-4C54-B315-F15CEFD414F5}"/>
    <cellStyle name="Normal 3 2 2 2 14 4 6" xfId="23796" xr:uid="{1CF61B5C-E67E-47AA-BC34-4397CB606A1A}"/>
    <cellStyle name="Normal 3 2 2 2 14 5" xfId="23797" xr:uid="{5F6D07E0-B324-42CD-AACE-ABD87C65E9EB}"/>
    <cellStyle name="Normal 3 2 2 2 14 5 2" xfId="23798" xr:uid="{071CDDB7-717D-426A-ACFC-9ABF2E7D11A7}"/>
    <cellStyle name="Normal 3 2 2 2 14 5 3" xfId="23799" xr:uid="{9B2B458B-C87A-454B-88CC-322FED435C62}"/>
    <cellStyle name="Normal 3 2 2 2 14 5 4" xfId="23800" xr:uid="{D1F35FBB-FC17-4BDC-AAAB-11F8D4E0D247}"/>
    <cellStyle name="Normal 3 2 2 2 14 5 5" xfId="23801" xr:uid="{69090D27-76FF-4824-8F13-6FE8299CE8C4}"/>
    <cellStyle name="Normal 3 2 2 2 14 5 6" xfId="23802" xr:uid="{692CABD7-9574-4807-B236-D28046A5ACD5}"/>
    <cellStyle name="Normal 3 2 2 2 14 6" xfId="23803" xr:uid="{3833166B-C15C-40B1-957E-91EBECFA419B}"/>
    <cellStyle name="Normal 3 2 2 2 14 6 2" xfId="23804" xr:uid="{95CD9BE2-9559-47D4-BF6C-EF4B6FA62D5D}"/>
    <cellStyle name="Normal 3 2 2 2 14 6 3" xfId="23805" xr:uid="{68F6501F-BE2E-446D-B8F1-90468A92F265}"/>
    <cellStyle name="Normal 3 2 2 2 14 6 4" xfId="23806" xr:uid="{ED3F9308-D605-42DF-935B-C75AEF5883B4}"/>
    <cellStyle name="Normal 3 2 2 2 14 6 5" xfId="23807" xr:uid="{3601B119-F983-4112-92EB-07A49FD90189}"/>
    <cellStyle name="Normal 3 2 2 2 14 6 6" xfId="23808" xr:uid="{6EEEC5FA-83E9-41A3-9C36-762B7F9F34BE}"/>
    <cellStyle name="Normal 3 2 2 2 14 7" xfId="23809" xr:uid="{938004C8-8177-4C37-A68F-7D5661A8647A}"/>
    <cellStyle name="Normal 3 2 2 2 14 8" xfId="23810" xr:uid="{0ADBB287-212A-4C7C-8418-79B708DB63F1}"/>
    <cellStyle name="Normal 3 2 2 2 14 9" xfId="23811" xr:uid="{E6BB5A30-6D4C-4DD3-9D86-E5230DFA7E94}"/>
    <cellStyle name="Normal 3 2 2 2 15" xfId="23812" xr:uid="{ED1884C6-686D-4A63-83C4-5257C8B8290A}"/>
    <cellStyle name="Normal 3 2 2 2 15 10" xfId="23813" xr:uid="{08C246F5-45BC-4283-9ABD-AFA031B6EFC1}"/>
    <cellStyle name="Normal 3 2 2 2 15 11" xfId="23814" xr:uid="{113370A3-B543-4F04-8B84-F0A5C00E31E7}"/>
    <cellStyle name="Normal 3 2 2 2 15 2" xfId="23815" xr:uid="{2865E00A-A9C8-41C0-ABC8-9FC3F0381486}"/>
    <cellStyle name="Normal 3 2 2 2 15 2 2" xfId="23816" xr:uid="{54E3E2A6-3D2E-4F9B-AAFA-ECF28A947615}"/>
    <cellStyle name="Normal 3 2 2 2 15 2 3" xfId="23817" xr:uid="{5F17911C-B0C2-4043-B511-97F4202F5A7E}"/>
    <cellStyle name="Normal 3 2 2 2 15 2 4" xfId="23818" xr:uid="{7CC2BD3C-C3A7-447F-9814-AFFEA3CD3A82}"/>
    <cellStyle name="Normal 3 2 2 2 15 2 5" xfId="23819" xr:uid="{AC9D5895-55E5-4942-8C4F-9F4E3D914841}"/>
    <cellStyle name="Normal 3 2 2 2 15 2 6" xfId="23820" xr:uid="{49E0C223-F8D4-4655-A258-E8C4D10AB020}"/>
    <cellStyle name="Normal 3 2 2 2 15 3" xfId="23821" xr:uid="{05F5FC00-1BE0-466A-AAAE-CB5017AC2CCA}"/>
    <cellStyle name="Normal 3 2 2 2 15 3 2" xfId="23822" xr:uid="{F7975B7A-C8FB-4444-8A3D-8654038511DC}"/>
    <cellStyle name="Normal 3 2 2 2 15 3 3" xfId="23823" xr:uid="{493DBC8F-E0C4-4B8C-85BC-80EECC8ED852}"/>
    <cellStyle name="Normal 3 2 2 2 15 3 4" xfId="23824" xr:uid="{BD53B6CF-3F50-4F5D-81BC-696F448FD6F6}"/>
    <cellStyle name="Normal 3 2 2 2 15 3 5" xfId="23825" xr:uid="{7F5D8E70-1BFD-426D-8DCD-DC2986EC9ADB}"/>
    <cellStyle name="Normal 3 2 2 2 15 3 6" xfId="23826" xr:uid="{7C07AE05-34A9-4403-B8DC-0BF68858D3DE}"/>
    <cellStyle name="Normal 3 2 2 2 15 4" xfId="23827" xr:uid="{686826A9-1C51-4C8F-92F8-0742CA22EF34}"/>
    <cellStyle name="Normal 3 2 2 2 15 4 2" xfId="23828" xr:uid="{7368B339-0B7D-4237-9FF8-3BC94137018D}"/>
    <cellStyle name="Normal 3 2 2 2 15 4 3" xfId="23829" xr:uid="{8E379CC8-3B30-40C3-9A1B-A2D312425976}"/>
    <cellStyle name="Normal 3 2 2 2 15 4 4" xfId="23830" xr:uid="{3A733DFA-02E6-470B-9F13-7C5D44A1F4DF}"/>
    <cellStyle name="Normal 3 2 2 2 15 4 5" xfId="23831" xr:uid="{8D5BB551-FCE0-454B-A42E-2B091760EB62}"/>
    <cellStyle name="Normal 3 2 2 2 15 4 6" xfId="23832" xr:uid="{C3479CB4-FF4D-486F-881A-281DC83CB288}"/>
    <cellStyle name="Normal 3 2 2 2 15 5" xfId="23833" xr:uid="{AD231A79-7936-4CBD-9CF2-091680AD4D74}"/>
    <cellStyle name="Normal 3 2 2 2 15 5 2" xfId="23834" xr:uid="{951CBE1A-C9A5-489A-8749-9A84705AB9BB}"/>
    <cellStyle name="Normal 3 2 2 2 15 5 3" xfId="23835" xr:uid="{0A677F34-957B-4A47-9731-21A77430D92F}"/>
    <cellStyle name="Normal 3 2 2 2 15 5 4" xfId="23836" xr:uid="{D95944AF-C682-4176-A14D-57A3F6EE968C}"/>
    <cellStyle name="Normal 3 2 2 2 15 5 5" xfId="23837" xr:uid="{570BEFBA-7AD0-4A17-918B-DD13B5C466A3}"/>
    <cellStyle name="Normal 3 2 2 2 15 5 6" xfId="23838" xr:uid="{6FAD652C-21F2-4E3A-966C-259F2A8F261B}"/>
    <cellStyle name="Normal 3 2 2 2 15 6" xfId="23839" xr:uid="{9292C3F8-11E3-4AC3-9072-D9A0A31C5D9F}"/>
    <cellStyle name="Normal 3 2 2 2 15 6 2" xfId="23840" xr:uid="{6B97FAFA-7281-45CE-A40B-DD59E4EEB798}"/>
    <cellStyle name="Normal 3 2 2 2 15 6 3" xfId="23841" xr:uid="{24EA717F-ED3E-45EE-8519-9C81DC00CAC8}"/>
    <cellStyle name="Normal 3 2 2 2 15 6 4" xfId="23842" xr:uid="{D8E118B2-5570-45D7-A35D-3E93D03DA057}"/>
    <cellStyle name="Normal 3 2 2 2 15 6 5" xfId="23843" xr:uid="{C514D8FE-FF00-4BAA-865E-EE6830DB5590}"/>
    <cellStyle name="Normal 3 2 2 2 15 6 6" xfId="23844" xr:uid="{508B8647-D80B-4294-9AF9-B9DF10D76606}"/>
    <cellStyle name="Normal 3 2 2 2 15 7" xfId="23845" xr:uid="{6651F171-C560-40E2-B30C-35AB7E75F729}"/>
    <cellStyle name="Normal 3 2 2 2 15 8" xfId="23846" xr:uid="{19EBB10D-4C10-49DF-B1B3-CD4B93514432}"/>
    <cellStyle name="Normal 3 2 2 2 15 9" xfId="23847" xr:uid="{C417C3B2-4479-4557-B21F-C176C4898D0B}"/>
    <cellStyle name="Normal 3 2 2 2 16" xfId="23848" xr:uid="{1285C44B-8F22-406F-9446-3C57BEF7BBDE}"/>
    <cellStyle name="Normal 3 2 2 2 16 10" xfId="23849" xr:uid="{24AF9EE8-46EB-4219-9392-C85C46D65E04}"/>
    <cellStyle name="Normal 3 2 2 2 16 11" xfId="23850" xr:uid="{197552A1-4FFE-47C3-AE22-EF9DC3AF8864}"/>
    <cellStyle name="Normal 3 2 2 2 16 2" xfId="23851" xr:uid="{2AFA9D89-CEDE-4F3A-9306-7B4889603D1E}"/>
    <cellStyle name="Normal 3 2 2 2 16 2 2" xfId="23852" xr:uid="{C978DA53-8C65-44DF-A9D2-FFA2998DB632}"/>
    <cellStyle name="Normal 3 2 2 2 16 2 3" xfId="23853" xr:uid="{82CA9563-FA0B-4646-90F3-7D8882221EA3}"/>
    <cellStyle name="Normal 3 2 2 2 16 2 4" xfId="23854" xr:uid="{E7D0272D-BDA6-457D-92C3-06D3A11942D3}"/>
    <cellStyle name="Normal 3 2 2 2 16 2 5" xfId="23855" xr:uid="{46BFA441-8ECF-4BF7-8372-9B24532A525D}"/>
    <cellStyle name="Normal 3 2 2 2 16 2 6" xfId="23856" xr:uid="{DC613B46-247A-48DB-A9EC-3ABDD6A7C33A}"/>
    <cellStyle name="Normal 3 2 2 2 16 3" xfId="23857" xr:uid="{09A0C57F-4D12-4E31-83BD-40523E605CF1}"/>
    <cellStyle name="Normal 3 2 2 2 16 3 2" xfId="23858" xr:uid="{3D46CE6A-A883-4613-B8D2-47FA863D7AE9}"/>
    <cellStyle name="Normal 3 2 2 2 16 3 3" xfId="23859" xr:uid="{1AA37FB8-5DC7-4EBB-99DA-10CD782CC8FD}"/>
    <cellStyle name="Normal 3 2 2 2 16 3 4" xfId="23860" xr:uid="{44CC2C85-7472-4A95-9ED2-6783335EB546}"/>
    <cellStyle name="Normal 3 2 2 2 16 3 5" xfId="23861" xr:uid="{F8E20B34-7464-4530-914D-3397438F88CF}"/>
    <cellStyle name="Normal 3 2 2 2 16 3 6" xfId="23862" xr:uid="{F88EE01B-741E-4B38-BFFA-6AA2E9928B84}"/>
    <cellStyle name="Normal 3 2 2 2 16 4" xfId="23863" xr:uid="{64460A5E-54F3-47CA-B9A5-67EB4CA55593}"/>
    <cellStyle name="Normal 3 2 2 2 16 4 2" xfId="23864" xr:uid="{9838ADA6-5AE2-47A0-9106-B463F1C2B1B7}"/>
    <cellStyle name="Normal 3 2 2 2 16 4 3" xfId="23865" xr:uid="{017CBC8C-91D1-4C31-8ECB-4233C5531DB8}"/>
    <cellStyle name="Normal 3 2 2 2 16 4 4" xfId="23866" xr:uid="{60A1C792-A9B9-4FB6-BFE3-97B7E08FE798}"/>
    <cellStyle name="Normal 3 2 2 2 16 4 5" xfId="23867" xr:uid="{A5B441F3-7BD1-4E28-8D81-DF400B8C0B81}"/>
    <cellStyle name="Normal 3 2 2 2 16 4 6" xfId="23868" xr:uid="{EF7D71DF-86CC-45D8-B49D-E517076AA08C}"/>
    <cellStyle name="Normal 3 2 2 2 16 5" xfId="23869" xr:uid="{09BA5441-C460-4E97-9B6D-27AD05A33655}"/>
    <cellStyle name="Normal 3 2 2 2 16 5 2" xfId="23870" xr:uid="{AA6037F7-232F-4BB8-8928-7B6C3F29E6C1}"/>
    <cellStyle name="Normal 3 2 2 2 16 5 3" xfId="23871" xr:uid="{CA710C50-C56C-401B-8B69-73388CCE0C0C}"/>
    <cellStyle name="Normal 3 2 2 2 16 5 4" xfId="23872" xr:uid="{01279A55-BD70-41BA-A0DD-3D44CB0033EB}"/>
    <cellStyle name="Normal 3 2 2 2 16 5 5" xfId="23873" xr:uid="{BD70A286-A3A3-4BCB-AAD5-2463937D0695}"/>
    <cellStyle name="Normal 3 2 2 2 16 5 6" xfId="23874" xr:uid="{2EB8C62B-592C-4558-9D5C-E147F349403B}"/>
    <cellStyle name="Normal 3 2 2 2 16 6" xfId="23875" xr:uid="{0986FB20-4E3D-40D0-AD5E-F7AB9311F61F}"/>
    <cellStyle name="Normal 3 2 2 2 16 6 2" xfId="23876" xr:uid="{2E0503BF-3777-4D4B-AD63-1D1B304A66EC}"/>
    <cellStyle name="Normal 3 2 2 2 16 6 3" xfId="23877" xr:uid="{88B3862E-6FF4-4B3B-B302-E20806E78D39}"/>
    <cellStyle name="Normal 3 2 2 2 16 6 4" xfId="23878" xr:uid="{6B331E7B-B1E9-4906-B0C9-BD0D9064F4AE}"/>
    <cellStyle name="Normal 3 2 2 2 16 6 5" xfId="23879" xr:uid="{B86DA697-1165-40E1-9D36-0CD539205CB6}"/>
    <cellStyle name="Normal 3 2 2 2 16 6 6" xfId="23880" xr:uid="{57898787-F153-46A7-89B3-ABC8CD496A44}"/>
    <cellStyle name="Normal 3 2 2 2 16 7" xfId="23881" xr:uid="{1E0F6E18-D599-49B8-9344-399A964EAF68}"/>
    <cellStyle name="Normal 3 2 2 2 16 8" xfId="23882" xr:uid="{ED051EF2-8194-4606-B12C-3902DFC441D6}"/>
    <cellStyle name="Normal 3 2 2 2 16 9" xfId="23883" xr:uid="{BE689AC8-4B23-40EF-8128-511623240AC1}"/>
    <cellStyle name="Normal 3 2 2 2 17" xfId="23884" xr:uid="{144B2C1B-67AB-4275-AABC-6E9C39641AFB}"/>
    <cellStyle name="Normal 3 2 2 2 17 10" xfId="23885" xr:uid="{DB27338D-A31C-4A8C-A5E7-0F8C97462CC4}"/>
    <cellStyle name="Normal 3 2 2 2 17 11" xfId="23886" xr:uid="{B53280E4-D899-45D7-A335-0AFB5933664D}"/>
    <cellStyle name="Normal 3 2 2 2 17 2" xfId="23887" xr:uid="{32FBACAF-44F5-4BE2-A5BE-B9B31CF246D8}"/>
    <cellStyle name="Normal 3 2 2 2 17 2 2" xfId="23888" xr:uid="{66AA7A25-8797-4C49-84CB-FD5E90FB142A}"/>
    <cellStyle name="Normal 3 2 2 2 17 2 3" xfId="23889" xr:uid="{F96B7792-4C5E-4916-A4D5-C9EC6A70B289}"/>
    <cellStyle name="Normal 3 2 2 2 17 2 4" xfId="23890" xr:uid="{9616E61B-7529-4A78-BD5A-2FD0123D6270}"/>
    <cellStyle name="Normal 3 2 2 2 17 2 5" xfId="23891" xr:uid="{65B70072-6F7E-40AF-9364-5A2BA27D9295}"/>
    <cellStyle name="Normal 3 2 2 2 17 2 6" xfId="23892" xr:uid="{F6F2E894-0835-45E0-880F-C539106E0F73}"/>
    <cellStyle name="Normal 3 2 2 2 17 3" xfId="23893" xr:uid="{6D8F518F-E0A5-401B-842F-C40A8B40E79D}"/>
    <cellStyle name="Normal 3 2 2 2 17 3 2" xfId="23894" xr:uid="{9DDB803C-9E20-4AD2-8033-289F81212F72}"/>
    <cellStyle name="Normal 3 2 2 2 17 3 3" xfId="23895" xr:uid="{7D557911-5AD3-4932-A10A-B469D7616189}"/>
    <cellStyle name="Normal 3 2 2 2 17 3 4" xfId="23896" xr:uid="{A7F67A4F-E3C5-4BFD-B12A-A6CE72D32540}"/>
    <cellStyle name="Normal 3 2 2 2 17 3 5" xfId="23897" xr:uid="{8FEAC9D5-ACC6-47F8-A38C-47474BC7173D}"/>
    <cellStyle name="Normal 3 2 2 2 17 3 6" xfId="23898" xr:uid="{889846F2-4BB8-43B9-A451-2CF4949E3896}"/>
    <cellStyle name="Normal 3 2 2 2 17 4" xfId="23899" xr:uid="{0262610E-BD24-4E8C-BD64-DDF35BA06845}"/>
    <cellStyle name="Normal 3 2 2 2 17 4 2" xfId="23900" xr:uid="{C42989C4-2AAA-41AA-A793-991D64AF2AEC}"/>
    <cellStyle name="Normal 3 2 2 2 17 4 3" xfId="23901" xr:uid="{AEDDAE07-4713-4BB4-80A0-BF2BE8D06EE8}"/>
    <cellStyle name="Normal 3 2 2 2 17 4 4" xfId="23902" xr:uid="{83655361-2F95-4600-BD96-F7C826B4F017}"/>
    <cellStyle name="Normal 3 2 2 2 17 4 5" xfId="23903" xr:uid="{AE0FA707-1462-4C32-8079-E1C2E768F074}"/>
    <cellStyle name="Normal 3 2 2 2 17 4 6" xfId="23904" xr:uid="{1C473B8C-BB69-4A4A-ACC3-13191357AB97}"/>
    <cellStyle name="Normal 3 2 2 2 17 5" xfId="23905" xr:uid="{79F0B813-192B-4C27-A2A9-0D0F0392E185}"/>
    <cellStyle name="Normal 3 2 2 2 17 5 2" xfId="23906" xr:uid="{C4DBC92A-0092-43B0-98E6-32CC279F657E}"/>
    <cellStyle name="Normal 3 2 2 2 17 5 3" xfId="23907" xr:uid="{5A6EE278-835F-4D81-88D9-441298FAF033}"/>
    <cellStyle name="Normal 3 2 2 2 17 5 4" xfId="23908" xr:uid="{1DA26DB7-DA47-47BC-82A3-ED7FB11327C3}"/>
    <cellStyle name="Normal 3 2 2 2 17 5 5" xfId="23909" xr:uid="{D79A3570-B7E5-4FEC-A797-06885A3E6509}"/>
    <cellStyle name="Normal 3 2 2 2 17 5 6" xfId="23910" xr:uid="{DBC8A650-8E81-4CA3-8C4F-E9AA1305C681}"/>
    <cellStyle name="Normal 3 2 2 2 17 6" xfId="23911" xr:uid="{279B318E-708A-4EB5-9980-F1376C7816B2}"/>
    <cellStyle name="Normal 3 2 2 2 17 6 2" xfId="23912" xr:uid="{0B3609BF-FD92-4102-A9BA-D715ADF1882C}"/>
    <cellStyle name="Normal 3 2 2 2 17 6 3" xfId="23913" xr:uid="{C39DAB3F-422A-41B0-8D9C-314353449DCE}"/>
    <cellStyle name="Normal 3 2 2 2 17 6 4" xfId="23914" xr:uid="{D877E62A-3498-4FCA-8BE2-01CD3CFFF2C7}"/>
    <cellStyle name="Normal 3 2 2 2 17 6 5" xfId="23915" xr:uid="{6AED5C5B-3C9C-4F55-ADBC-FB76DE12684D}"/>
    <cellStyle name="Normal 3 2 2 2 17 6 6" xfId="23916" xr:uid="{CF32175D-8EB0-4FD1-9774-5C459353E727}"/>
    <cellStyle name="Normal 3 2 2 2 17 7" xfId="23917" xr:uid="{FAAA4384-EB52-421F-8BEF-914C7F606C34}"/>
    <cellStyle name="Normal 3 2 2 2 17 8" xfId="23918" xr:uid="{D961EE65-563E-4CDE-B566-9AD38296412B}"/>
    <cellStyle name="Normal 3 2 2 2 17 9" xfId="23919" xr:uid="{1F2D283A-5739-49D1-9269-51EE84B43087}"/>
    <cellStyle name="Normal 3 2 2 2 18" xfId="23920" xr:uid="{2FB947F0-6327-40EA-855A-104017280627}"/>
    <cellStyle name="Normal 3 2 2 2 18 10" xfId="23921" xr:uid="{4E810076-F58B-442F-90DD-6FAEC0ABF0DE}"/>
    <cellStyle name="Normal 3 2 2 2 18 11" xfId="23922" xr:uid="{FCA9BEA8-70E4-4B63-B8C7-25E3A2875000}"/>
    <cellStyle name="Normal 3 2 2 2 18 2" xfId="23923" xr:uid="{301C027C-9C44-4079-92DF-D501098A1967}"/>
    <cellStyle name="Normal 3 2 2 2 18 2 2" xfId="23924" xr:uid="{D55B7908-65EF-499C-93A1-A9FB5D330D0E}"/>
    <cellStyle name="Normal 3 2 2 2 18 2 2 2" xfId="23925" xr:uid="{9CD0094D-FC08-45D2-9702-E542B32B779A}"/>
    <cellStyle name="Normal 3 2 2 2 18 2 2 3" xfId="23926" xr:uid="{BA706076-6458-48D1-8B98-00899E7B4ACB}"/>
    <cellStyle name="Normal 3 2 2 2 18 2 2 4" xfId="23927" xr:uid="{D3AC2C10-F06F-4509-9A18-0E3FE163EFAB}"/>
    <cellStyle name="Normal 3 2 2 2 18 2 2 5" xfId="23928" xr:uid="{0F455953-E7D8-4213-9DA3-1C6E7533C443}"/>
    <cellStyle name="Normal 3 2 2 2 18 2 2 6" xfId="23929" xr:uid="{76CDD4FA-E468-44A9-8E18-94FC0817D9E7}"/>
    <cellStyle name="Normal 3 2 2 2 18 2 2 7" xfId="23930" xr:uid="{A1C7AB04-654B-4399-A58A-DD538F9650DA}"/>
    <cellStyle name="Normal 3 2 2 2 18 3" xfId="23931" xr:uid="{7D47EA94-D65A-43E5-B1B1-9FD86CB81F15}"/>
    <cellStyle name="Normal 3 2 2 2 18 4" xfId="23932" xr:uid="{F67BF85E-DC1D-4767-A98D-9BC20C45BE07}"/>
    <cellStyle name="Normal 3 2 2 2 18 5" xfId="23933" xr:uid="{8C76D780-262C-47C1-B4CE-3FB65C00F7CC}"/>
    <cellStyle name="Normal 3 2 2 2 18 6" xfId="23934" xr:uid="{0952C863-969C-46B7-A0AD-6522EF711D25}"/>
    <cellStyle name="Normal 3 2 2 2 18 7" xfId="23935" xr:uid="{74DE1081-BB1A-45EB-8328-D449A1FF3296}"/>
    <cellStyle name="Normal 3 2 2 2 18 8" xfId="23936" xr:uid="{C29AF328-4AFF-4362-BBED-2D5439A876E5}"/>
    <cellStyle name="Normal 3 2 2 2 18 9" xfId="23937" xr:uid="{476CF384-2FE7-487D-9A4B-15BD33D606C7}"/>
    <cellStyle name="Normal 3 2 2 2 19" xfId="23938" xr:uid="{F1AA16B5-03F9-487C-9C5D-5FBFF6264317}"/>
    <cellStyle name="Normal 3 2 2 2 19 2" xfId="23939" xr:uid="{0E87BD46-16F7-42E0-A3EC-B12289070D91}"/>
    <cellStyle name="Normal 3 2 2 2 19 2 2" xfId="23940" xr:uid="{C3DB6CC3-4DF0-4EAF-9E20-91B314038C67}"/>
    <cellStyle name="Normal 3 2 2 2 19 2 2 2" xfId="23941" xr:uid="{AE28D50B-61F9-46ED-B616-D9F773225E2E}"/>
    <cellStyle name="Normal 3 2 2 2 19 2 2 3" xfId="23942" xr:uid="{A6476AFC-E4F1-4864-9719-FAE96349C2CF}"/>
    <cellStyle name="Normal 3 2 2 2 19 2 2 4" xfId="23943" xr:uid="{6A886111-7F22-4F31-BDA9-5B01320A9635}"/>
    <cellStyle name="Normal 3 2 2 2 19 2 2 5" xfId="23944" xr:uid="{09D85F21-E0AE-4E14-88FE-59D13A127E63}"/>
    <cellStyle name="Normal 3 2 2 2 19 2 2 6" xfId="23945" xr:uid="{2C9D8002-3A85-49C6-A84B-72793AD86F15}"/>
    <cellStyle name="Normal 3 2 2 2 19 3" xfId="23946" xr:uid="{176F2DDB-4291-49C9-A5DA-E599703B29A1}"/>
    <cellStyle name="Normal 3 2 2 2 19 4" xfId="23947" xr:uid="{025A0D15-D1D4-4678-A970-67D1D7CFA11E}"/>
    <cellStyle name="Normal 3 2 2 2 19 5" xfId="23948" xr:uid="{EAE75729-B94C-4AFE-BCFB-7CD1AEB84F19}"/>
    <cellStyle name="Normal 3 2 2 2 19 6" xfId="23949" xr:uid="{3D45E289-0E9F-4E0E-8EE2-7C4115E0A6F4}"/>
    <cellStyle name="Normal 3 2 2 2 19 7" xfId="23950" xr:uid="{6DBF08AE-961B-4DD9-8195-7E7AE3410333}"/>
    <cellStyle name="Normal 3 2 2 2 2" xfId="23951" xr:uid="{1D9CED2D-9743-44B7-9463-6C29F5DC7B31}"/>
    <cellStyle name="Normal 3 2 2 2 2 10" xfId="23952" xr:uid="{758A311E-3E7D-46E4-B78F-80E702E65610}"/>
    <cellStyle name="Normal 3 2 2 2 2 10 2" xfId="23953" xr:uid="{DAE395C1-070B-4554-AEAB-8CEB67E6764A}"/>
    <cellStyle name="Normal 3 2 2 2 2 10 2 2" xfId="23954" xr:uid="{021953AD-F8D3-4003-82C2-84D34FCB6ABC}"/>
    <cellStyle name="Normal 3 2 2 2 2 10 2 2 2" xfId="23955" xr:uid="{F3427455-73D1-4AAC-9954-78CDA0EF9DD2}"/>
    <cellStyle name="Normal 3 2 2 2 2 10 2 2 2 2" xfId="23956" xr:uid="{8DC6B86C-A87A-4746-ACE7-F6B1BF05A6FC}"/>
    <cellStyle name="Normal 3 2 2 2 2 10 2 2 2 3" xfId="23957" xr:uid="{FEB02763-39D7-41A6-99A0-DB19568F4A5E}"/>
    <cellStyle name="Normal 3 2 2 2 2 10 2 2 2 4" xfId="23958" xr:uid="{59C1B9A5-10B9-4259-83A2-825ECEEDBE05}"/>
    <cellStyle name="Normal 3 2 2 2 2 10 2 2 2 5" xfId="23959" xr:uid="{2F6F6762-3AD6-4254-B4F3-8E441D26054E}"/>
    <cellStyle name="Normal 3 2 2 2 2 10 2 2 2 6" xfId="23960" xr:uid="{39B0687B-F498-46A3-B638-1CFE87F88815}"/>
    <cellStyle name="Normal 3 2 2 2 2 10 2 3" xfId="23961" xr:uid="{BB943AA7-B300-4F7A-99E7-D5F3B544D4AB}"/>
    <cellStyle name="Normal 3 2 2 2 2 10 2 4" xfId="23962" xr:uid="{0AC823DC-88BF-43CA-8F27-7D329C7295B4}"/>
    <cellStyle name="Normal 3 2 2 2 2 10 2 5" xfId="23963" xr:uid="{154C677F-757F-4337-A5B9-7DA955FA462D}"/>
    <cellStyle name="Normal 3 2 2 2 2 10 2 6" xfId="23964" xr:uid="{A9C67E9A-136C-4345-A3FD-0A683FB289A5}"/>
    <cellStyle name="Normal 3 2 2 2 2 10 2 7" xfId="23965" xr:uid="{93234027-CC09-4AE0-95E1-C44DFE5D95FA}"/>
    <cellStyle name="Normal 3 2 2 2 2 10 3" xfId="23966" xr:uid="{9EB052EA-55EE-4D59-8033-765B84C13175}"/>
    <cellStyle name="Normal 3 2 2 2 2 10 3 2" xfId="23967" xr:uid="{4C80E869-89D1-4425-B540-81A9041C23CD}"/>
    <cellStyle name="Normal 3 2 2 2 2 10 3 3" xfId="23968" xr:uid="{FE59054D-122E-4598-8604-BA911223ADEA}"/>
    <cellStyle name="Normal 3 2 2 2 2 10 3 4" xfId="23969" xr:uid="{258EFED7-5A94-43FE-A090-3B08A5A9011C}"/>
    <cellStyle name="Normal 3 2 2 2 2 10 3 5" xfId="23970" xr:uid="{2CC0B44E-D9F5-4E97-A6B0-B1C272C7C02D}"/>
    <cellStyle name="Normal 3 2 2 2 2 10 3 6" xfId="23971" xr:uid="{7A3E9AAE-6564-422D-A31E-4307A012882E}"/>
    <cellStyle name="Normal 3 2 2 2 2 10 4" xfId="23972" xr:uid="{EFA2C01B-F3AB-4428-84FE-FE22DF295245}"/>
    <cellStyle name="Normal 3 2 2 2 2 10 4 2" xfId="23973" xr:uid="{02FAE1BE-194B-47D4-9F57-3B6FE1A312FB}"/>
    <cellStyle name="Normal 3 2 2 2 2 10 4 3" xfId="23974" xr:uid="{6F60FD48-799C-4FE6-8D07-58063A4D34F9}"/>
    <cellStyle name="Normal 3 2 2 2 2 10 4 4" xfId="23975" xr:uid="{434AF7DC-2B2B-469A-9222-B18F91A54641}"/>
    <cellStyle name="Normal 3 2 2 2 2 10 4 5" xfId="23976" xr:uid="{1F8E24D0-4885-4F66-B0A2-542987F0E894}"/>
    <cellStyle name="Normal 3 2 2 2 2 10 4 6" xfId="23977" xr:uid="{453F631B-D89F-453A-BBB5-462C9A7ACA90}"/>
    <cellStyle name="Normal 3 2 2 2 2 10 5" xfId="23978" xr:uid="{435309BB-C01D-45F6-881F-1C634FF743B3}"/>
    <cellStyle name="Normal 3 2 2 2 2 10 5 2" xfId="23979" xr:uid="{0927F56C-C2D5-4841-94E0-61AFD60BA348}"/>
    <cellStyle name="Normal 3 2 2 2 2 10 5 3" xfId="23980" xr:uid="{2F5D4EEB-2E8D-43C7-B115-323F7669990F}"/>
    <cellStyle name="Normal 3 2 2 2 2 10 5 4" xfId="23981" xr:uid="{770A02DE-CFDA-4F77-8C9A-7A8EFC8756A3}"/>
    <cellStyle name="Normal 3 2 2 2 2 10 5 5" xfId="23982" xr:uid="{28AD5484-BCB2-436A-9548-55A2205574BF}"/>
    <cellStyle name="Normal 3 2 2 2 2 10 5 6" xfId="23983" xr:uid="{4446441C-0915-4DEC-AD46-AE856D7F8509}"/>
    <cellStyle name="Normal 3 2 2 2 2 10 6" xfId="23984" xr:uid="{B4241643-41CD-4448-86DC-DAABADBD319F}"/>
    <cellStyle name="Normal 3 2 2 2 2 10 6 2" xfId="23985" xr:uid="{A997B90F-38BD-43ED-9E3E-C731883DF87C}"/>
    <cellStyle name="Normal 3 2 2 2 2 10 6 3" xfId="23986" xr:uid="{441414D6-4621-4900-9ECA-18C2F72D0E86}"/>
    <cellStyle name="Normal 3 2 2 2 2 10 6 4" xfId="23987" xr:uid="{D6C2324F-EEF6-4383-ACF9-AD2E56B72FA8}"/>
    <cellStyle name="Normal 3 2 2 2 2 10 6 5" xfId="23988" xr:uid="{26EA4DCD-6E7E-4A1C-A063-B8ED6773C9DD}"/>
    <cellStyle name="Normal 3 2 2 2 2 10 6 6" xfId="23989" xr:uid="{CB334E44-16FF-4837-BD52-4CC3BA499154}"/>
    <cellStyle name="Normal 3 2 2 2 2 11" xfId="23990" xr:uid="{ED297BFC-B2CC-442C-A0E8-5BE426378067}"/>
    <cellStyle name="Normal 3 2 2 2 2 11 2" xfId="23991" xr:uid="{7E7D5429-04FD-4168-BD27-5CA1C3C090B7}"/>
    <cellStyle name="Normal 3 2 2 2 2 11 2 2" xfId="23992" xr:uid="{F4EA7163-97A0-40FF-9463-ECD24CBFB461}"/>
    <cellStyle name="Normal 3 2 2 2 2 11 2 3" xfId="23993" xr:uid="{9CE9A849-4138-4318-92CC-A3B9F4F867B2}"/>
    <cellStyle name="Normal 3 2 2 2 2 11 2 4" xfId="23994" xr:uid="{D853BE77-04B1-40D6-9181-9AC38E899563}"/>
    <cellStyle name="Normal 3 2 2 2 2 11 2 5" xfId="23995" xr:uid="{4D7B11A1-D527-4BB5-B96B-0C5550D5329A}"/>
    <cellStyle name="Normal 3 2 2 2 2 11 2 6" xfId="23996" xr:uid="{FB301FE8-3F68-4AEB-ADB6-E827464BD061}"/>
    <cellStyle name="Normal 3 2 2 2 2 11 2 7" xfId="23997" xr:uid="{23E45E87-952C-4150-85C3-2295DC624A55}"/>
    <cellStyle name="Normal 3 2 2 2 2 12" xfId="23998" xr:uid="{2AA0AC52-8893-48D5-8150-567EB7E5DFC6}"/>
    <cellStyle name="Normal 3 2 2 2 2 13" xfId="23999" xr:uid="{FEECB54B-84CA-4C96-B64C-7BF1CFDABC1E}"/>
    <cellStyle name="Normal 3 2 2 2 2 14" xfId="24000" xr:uid="{439422F3-D310-4577-AD8E-05A2CB921C35}"/>
    <cellStyle name="Normal 3 2 2 2 2 15" xfId="24001" xr:uid="{134203B5-9F7A-41A1-A165-BE2AE6E596ED}"/>
    <cellStyle name="Normal 3 2 2 2 2 16" xfId="24002" xr:uid="{9F89E315-9D33-47EE-9BEF-1D267EDCE608}"/>
    <cellStyle name="Normal 3 2 2 2 2 17" xfId="24003" xr:uid="{6615395C-D99C-4D2B-8329-89EC30B20F5E}"/>
    <cellStyle name="Normal 3 2 2 2 2 18" xfId="24004" xr:uid="{4E26C629-0811-425F-B520-98094C11449E}"/>
    <cellStyle name="Normal 3 2 2 2 2 19" xfId="24005" xr:uid="{8405DF2A-44B9-41CA-8EF9-D970B470B7EC}"/>
    <cellStyle name="Normal 3 2 2 2 2 2" xfId="24006" xr:uid="{9DBD3CB9-0523-4A4B-A47C-F8B7DF6D0AF9}"/>
    <cellStyle name="Normal 3 2 2 2 2 2 10" xfId="24007" xr:uid="{B91E856E-F871-4BE9-AC18-6CB9514B97B4}"/>
    <cellStyle name="Normal 3 2 2 2 2 2 10 10" xfId="24008" xr:uid="{077313B8-79DD-4A81-A3C1-61B9972BE49F}"/>
    <cellStyle name="Normal 3 2 2 2 2 2 10 11" xfId="24009" xr:uid="{47947BF5-1CF6-4DBD-80BE-6CA18A95A529}"/>
    <cellStyle name="Normal 3 2 2 2 2 2 10 2" xfId="24010" xr:uid="{7961E3A2-01EC-41C6-A558-3B146A90BEBC}"/>
    <cellStyle name="Normal 3 2 2 2 2 2 10 2 2" xfId="24011" xr:uid="{17039F72-295A-48BF-9B8E-09F425C29E44}"/>
    <cellStyle name="Normal 3 2 2 2 2 2 10 2 2 2" xfId="24012" xr:uid="{8EE464F7-2C65-48B7-B36C-EA1C62D2983C}"/>
    <cellStyle name="Normal 3 2 2 2 2 2 10 2 2 3" xfId="24013" xr:uid="{411F9999-BBD0-43C3-8A34-2102519BA998}"/>
    <cellStyle name="Normal 3 2 2 2 2 2 10 2 2 4" xfId="24014" xr:uid="{3804B6C9-C81E-4289-A65C-A8AD220061D8}"/>
    <cellStyle name="Normal 3 2 2 2 2 2 10 2 2 5" xfId="24015" xr:uid="{8B2A78B3-0617-407D-B195-340A81765094}"/>
    <cellStyle name="Normal 3 2 2 2 2 2 10 2 2 6" xfId="24016" xr:uid="{37C439A0-1A32-4204-88E7-82DCE5F53B28}"/>
    <cellStyle name="Normal 3 2 2 2 2 2 10 2 2 7" xfId="24017" xr:uid="{42E86EAB-1B18-48B2-93D0-E8066204AD65}"/>
    <cellStyle name="Normal 3 2 2 2 2 2 10 3" xfId="24018" xr:uid="{8ECF2788-F40A-46B4-A20E-BF6259C37B77}"/>
    <cellStyle name="Normal 3 2 2 2 2 2 10 4" xfId="24019" xr:uid="{7E38BC23-F7B1-44CE-B628-EB6C7BCB2DD4}"/>
    <cellStyle name="Normal 3 2 2 2 2 2 10 5" xfId="24020" xr:uid="{6E0178D1-DA6C-4D57-9704-8E3E30025472}"/>
    <cellStyle name="Normal 3 2 2 2 2 2 10 6" xfId="24021" xr:uid="{95FB2B5F-62BE-4992-8F41-B39B97A47743}"/>
    <cellStyle name="Normal 3 2 2 2 2 2 10 7" xfId="24022" xr:uid="{886C0347-0105-41D3-8DF1-6E5A99F12D10}"/>
    <cellStyle name="Normal 3 2 2 2 2 2 10 8" xfId="24023" xr:uid="{008AF4ED-B74A-4112-8987-E66513F34E9F}"/>
    <cellStyle name="Normal 3 2 2 2 2 2 10 9" xfId="24024" xr:uid="{D5325F66-7F7E-41ED-AAD3-AD023CA18FA5}"/>
    <cellStyle name="Normal 3 2 2 2 2 2 11" xfId="24025" xr:uid="{F4CB43AB-EE3F-47B0-AB4B-490CEEC0B93B}"/>
    <cellStyle name="Normal 3 2 2 2 2 2 11 2" xfId="24026" xr:uid="{554B0751-2BAF-4D64-B97A-DB2DC7ACAE50}"/>
    <cellStyle name="Normal 3 2 2 2 2 2 11 2 2" xfId="24027" xr:uid="{FFBC07EF-75C4-4CB8-AAB8-773A967DA6E7}"/>
    <cellStyle name="Normal 3 2 2 2 2 2 11 2 2 2" xfId="24028" xr:uid="{D1B60A10-4662-4F24-BAAD-745FE80237D0}"/>
    <cellStyle name="Normal 3 2 2 2 2 2 11 2 2 3" xfId="24029" xr:uid="{3ED8D8A1-E804-468B-A767-D66A98B6A61A}"/>
    <cellStyle name="Normal 3 2 2 2 2 2 11 2 2 4" xfId="24030" xr:uid="{02609D45-EDFD-499F-81E6-AB452FD53175}"/>
    <cellStyle name="Normal 3 2 2 2 2 2 11 2 2 5" xfId="24031" xr:uid="{7E7FE494-A0EB-413D-9B26-C72555145549}"/>
    <cellStyle name="Normal 3 2 2 2 2 2 11 2 2 6" xfId="24032" xr:uid="{6715D339-C1D3-44BB-8B72-72646A2D57C8}"/>
    <cellStyle name="Normal 3 2 2 2 2 2 11 3" xfId="24033" xr:uid="{7C11FF94-EBE8-452F-B0A4-60177DBB15EA}"/>
    <cellStyle name="Normal 3 2 2 2 2 2 11 4" xfId="24034" xr:uid="{368F42CF-52AA-4B72-9F27-80CA4E866DCA}"/>
    <cellStyle name="Normal 3 2 2 2 2 2 11 5" xfId="24035" xr:uid="{9C4FE009-8A07-48CC-BA33-E353BA5F81C9}"/>
    <cellStyle name="Normal 3 2 2 2 2 2 11 6" xfId="24036" xr:uid="{8718644C-266A-4246-B320-7BE2025DA57E}"/>
    <cellStyle name="Normal 3 2 2 2 2 2 11 7" xfId="24037" xr:uid="{43EB6914-DA3B-4531-83C4-A9A71745D174}"/>
    <cellStyle name="Normal 3 2 2 2 2 2 12" xfId="24038" xr:uid="{A4729087-5F86-4042-8725-15D6AF2B9749}"/>
    <cellStyle name="Normal 3 2 2 2 2 2 12 2" xfId="24039" xr:uid="{6289FBDB-5E34-4190-BA56-65486C20D422}"/>
    <cellStyle name="Normal 3 2 2 2 2 2 12 3" xfId="24040" xr:uid="{96EF1A5D-A4DC-434F-847B-D0C704822E27}"/>
    <cellStyle name="Normal 3 2 2 2 2 2 12 4" xfId="24041" xr:uid="{116715B5-7CCB-4DAB-8E15-DA92E90458B6}"/>
    <cellStyle name="Normal 3 2 2 2 2 2 12 5" xfId="24042" xr:uid="{735B11CC-8385-4D38-B65F-20824C2F7601}"/>
    <cellStyle name="Normal 3 2 2 2 2 2 12 6" xfId="24043" xr:uid="{9F7A4007-8F73-4094-AFAF-55C58D7D93F5}"/>
    <cellStyle name="Normal 3 2 2 2 2 2 13" xfId="24044" xr:uid="{FD23ED04-AC2D-4EDF-BB82-99217B45304B}"/>
    <cellStyle name="Normal 3 2 2 2 2 2 13 2" xfId="24045" xr:uid="{9CE564E6-71E3-4125-AAC1-E2DF716E749A}"/>
    <cellStyle name="Normal 3 2 2 2 2 2 13 3" xfId="24046" xr:uid="{7A146D46-95A4-43E4-A04D-4E415C43A423}"/>
    <cellStyle name="Normal 3 2 2 2 2 2 13 4" xfId="24047" xr:uid="{0AF20A66-C9E0-4FB3-AB39-C567E9C86D42}"/>
    <cellStyle name="Normal 3 2 2 2 2 2 13 5" xfId="24048" xr:uid="{97AD6F9F-EA48-4B4B-A91C-74970B49F470}"/>
    <cellStyle name="Normal 3 2 2 2 2 2 13 6" xfId="24049" xr:uid="{FDD29CD3-96D0-44E2-A85F-D17383D203F0}"/>
    <cellStyle name="Normal 3 2 2 2 2 2 14" xfId="24050" xr:uid="{310D5DDB-910A-4387-A0F1-2D0D11225BC6}"/>
    <cellStyle name="Normal 3 2 2 2 2 2 14 2" xfId="24051" xr:uid="{FE0AF6BA-33CC-4132-9A5C-4B4EC1AF551B}"/>
    <cellStyle name="Normal 3 2 2 2 2 2 14 3" xfId="24052" xr:uid="{AFF90CC3-4157-43D2-93DF-522A91A8D169}"/>
    <cellStyle name="Normal 3 2 2 2 2 2 14 4" xfId="24053" xr:uid="{5FCCDF9D-6D5C-4C6E-B9E8-876B8589F1E9}"/>
    <cellStyle name="Normal 3 2 2 2 2 2 14 5" xfId="24054" xr:uid="{BEC05FB7-B22B-4937-AB75-263DCA518A3D}"/>
    <cellStyle name="Normal 3 2 2 2 2 2 14 6" xfId="24055" xr:uid="{BCC63C81-E6C7-4386-B69D-D5A339899C28}"/>
    <cellStyle name="Normal 3 2 2 2 2 2 15" xfId="24056" xr:uid="{D6E32EEA-7550-48D8-8F99-F98E42012BEF}"/>
    <cellStyle name="Normal 3 2 2 2 2 2 16" xfId="24057" xr:uid="{B61E422F-8B9A-44F6-9351-D342C963CF33}"/>
    <cellStyle name="Normal 3 2 2 2 2 2 17" xfId="24058" xr:uid="{49D87794-2569-4AB9-BFC2-64D6B59F405F}"/>
    <cellStyle name="Normal 3 2 2 2 2 2 18" xfId="24059" xr:uid="{D5CA8E79-4BEF-401A-8F96-FF00BE039C5B}"/>
    <cellStyle name="Normal 3 2 2 2 2 2 19" xfId="24060" xr:uid="{2903CF34-7F93-47B3-8773-7ED337D65529}"/>
    <cellStyle name="Normal 3 2 2 2 2 2 2" xfId="24061" xr:uid="{B9090149-5D83-4B70-B01F-C83FD06680A1}"/>
    <cellStyle name="Normal 3 2 2 2 2 2 2 10" xfId="24062" xr:uid="{79B15430-5A88-4402-A4E6-8967E66E7421}"/>
    <cellStyle name="Normal 3 2 2 2 2 2 2 11" xfId="24063" xr:uid="{D088447C-5B56-4075-B839-A4FA4E8A6B01}"/>
    <cellStyle name="Normal 3 2 2 2 2 2 2 12" xfId="24064" xr:uid="{C4B31D29-9139-4E22-A50C-867A0D91E4C4}"/>
    <cellStyle name="Normal 3 2 2 2 2 2 2 13" xfId="24065" xr:uid="{8F45F042-B005-438E-9C2D-8E12FC4B01C2}"/>
    <cellStyle name="Normal 3 2 2 2 2 2 2 13 10" xfId="24066" xr:uid="{007EB8DF-08C1-4CAE-BEFE-C1C9B1FA5FB8}"/>
    <cellStyle name="Normal 3 2 2 2 2 2 2 13 11" xfId="24067" xr:uid="{44D8CBE2-208F-4592-8F22-4467C3F5F883}"/>
    <cellStyle name="Normal 3 2 2 2 2 2 2 13 11 10" xfId="24068" xr:uid="{B5361D6B-F48F-47DE-BF79-F593F82A4B6B}"/>
    <cellStyle name="Normal 3 2 2 2 2 2 2 13 11 11" xfId="24069" xr:uid="{9FC91819-2872-474C-AA0A-CAFAEF70984E}"/>
    <cellStyle name="Normal 3 2 2 2 2 2 2 13 11 11 2" xfId="24070" xr:uid="{6E367117-DBCE-4A76-BDEB-EF7F0902FFBA}"/>
    <cellStyle name="Normal 3 2 2 2 2 2 2 13 11 11 3" xfId="24071" xr:uid="{81826A9D-9809-4446-8FEB-12982F1BFEE6}"/>
    <cellStyle name="Normal 3 2 2 2 2 2 2 13 11 11 4" xfId="24072" xr:uid="{F67FF8B4-AED3-4BAA-B237-D12C52AFC9B1}"/>
    <cellStyle name="Normal 3 2 2 2 2 2 2 13 11 12" xfId="24073" xr:uid="{05C5B96A-23A0-4AF8-8671-CD70BBD214B8}"/>
    <cellStyle name="Normal 3 2 2 2 2 2 2 13 11 13" xfId="24074" xr:uid="{6050EC48-C516-4941-803A-0F095C070D41}"/>
    <cellStyle name="Normal 3 2 2 2 2 2 2 13 11 14" xfId="24075" xr:uid="{68D9D135-054F-4244-84CC-46A89596355D}"/>
    <cellStyle name="Normal 3 2 2 2 2 2 2 13 11 2" xfId="24076" xr:uid="{C4D03764-3978-4FAD-9528-F99A0C76FCEA}"/>
    <cellStyle name="Normal 3 2 2 2 2 2 2 13 11 2 10" xfId="24077" xr:uid="{315834CD-451D-4EFF-A480-6CFB0308A516}"/>
    <cellStyle name="Normal 3 2 2 2 2 2 2 13 11 2 11" xfId="24078" xr:uid="{34951F99-D2D3-4D66-93DE-15CB95048305}"/>
    <cellStyle name="Normal 3 2 2 2 2 2 2 13 11 2 2" xfId="24079" xr:uid="{BC73E60B-56DF-4C8A-ABDD-805DF823F905}"/>
    <cellStyle name="Normal 3 2 2 2 2 2 2 13 11 2 2 10" xfId="24080" xr:uid="{05200D3F-B73D-45EA-B935-67DAC899E79C}"/>
    <cellStyle name="Normal 3 2 2 2 2 2 2 13 11 2 2 11" xfId="24081" xr:uid="{10BA9967-945D-4BE0-8048-C05CEC00165D}"/>
    <cellStyle name="Normal 3 2 2 2 2 2 2 13 11 2 2 2" xfId="24082" xr:uid="{C28E4767-B113-4EEE-84D8-794F4C014682}"/>
    <cellStyle name="Normal 3 2 2 2 2 2 2 13 11 2 2 2 2" xfId="24083" xr:uid="{9810DA0D-FB1E-4096-8705-99D02B6AA28E}"/>
    <cellStyle name="Normal 3 2 2 2 2 2 2 13 11 2 2 2 2 2" xfId="24084" xr:uid="{C23D5AE0-FC6F-456C-ABA5-F79960D1B2CE}"/>
    <cellStyle name="Normal 3 2 2 2 2 2 2 13 11 2 2 2 2 3" xfId="24085" xr:uid="{C57591F8-D7DF-4C8C-9502-6C0592CF46B2}"/>
    <cellStyle name="Normal 3 2 2 2 2 2 2 13 11 2 2 2 2 4" xfId="24086" xr:uid="{07EBEB2C-1863-4B2A-8AEF-7CD7B3E1F457}"/>
    <cellStyle name="Normal 3 2 2 2 2 2 2 13 11 2 2 2 3" xfId="24087" xr:uid="{4E8BCFAD-C2BF-4EDE-9197-E60D2F8581CB}"/>
    <cellStyle name="Normal 3 2 2 2 2 2 2 13 11 2 2 2 4" xfId="24088" xr:uid="{1D3DE836-5E4C-4ABA-8583-2582376650AF}"/>
    <cellStyle name="Normal 3 2 2 2 2 2 2 13 11 2 2 2 5" xfId="24089" xr:uid="{6434A983-5A14-43B8-A13A-21078F9C6561}"/>
    <cellStyle name="Normal 3 2 2 2 2 2 2 13 11 2 2 2 6" xfId="24090" xr:uid="{16EB4B98-BD25-4371-96F2-62CF0975B79B}"/>
    <cellStyle name="Normal 3 2 2 2 2 2 2 13 11 2 2 3" xfId="24091" xr:uid="{BF626B5F-C013-4B56-8D03-241EFDF2293C}"/>
    <cellStyle name="Normal 3 2 2 2 2 2 2 13 11 2 2 4" xfId="24092" xr:uid="{5905B55F-0A11-43F5-9C61-67B9683B955A}"/>
    <cellStyle name="Normal 3 2 2 2 2 2 2 13 11 2 2 5" xfId="24093" xr:uid="{105BD1F5-8734-4E0B-B5EF-962870F05000}"/>
    <cellStyle name="Normal 3 2 2 2 2 2 2 13 11 2 2 6" xfId="24094" xr:uid="{1D5F4BB3-1016-4259-A229-46D5E04D6A3A}"/>
    <cellStyle name="Normal 3 2 2 2 2 2 2 13 11 2 2 7" xfId="24095" xr:uid="{302847FD-C04C-4EFE-9BCE-BBC46B90F161}"/>
    <cellStyle name="Normal 3 2 2 2 2 2 2 13 11 2 2 8" xfId="24096" xr:uid="{B70D9AD3-DDFB-422F-B51D-57C7017A46D0}"/>
    <cellStyle name="Normal 3 2 2 2 2 2 2 13 11 2 2 8 2" xfId="24097" xr:uid="{C837EFED-A1CC-4929-BBAD-EF40C2A76ABD}"/>
    <cellStyle name="Normal 3 2 2 2 2 2 2 13 11 2 2 8 3" xfId="24098" xr:uid="{A472B20F-1729-413F-BEFF-6B53F9E6624A}"/>
    <cellStyle name="Normal 3 2 2 2 2 2 2 13 11 2 2 8 4" xfId="24099" xr:uid="{1B67786C-ED70-4013-814B-ABF842F90763}"/>
    <cellStyle name="Normal 3 2 2 2 2 2 2 13 11 2 2 9" xfId="24100" xr:uid="{7A2F747E-C43A-4D4F-8D57-696A7A889CA4}"/>
    <cellStyle name="Normal 3 2 2 2 2 2 2 13 11 2 3" xfId="24101" xr:uid="{6577FB5B-7F1E-4AFE-97CD-0B9C86EB94A1}"/>
    <cellStyle name="Normal 3 2 2 2 2 2 2 13 11 2 3 2" xfId="24102" xr:uid="{1621017A-6DD7-4C19-8263-B4FA7811E022}"/>
    <cellStyle name="Normal 3 2 2 2 2 2 2 13 11 2 3 2 2" xfId="24103" xr:uid="{8A2661E2-6220-4EC6-A490-92D4A8F437D2}"/>
    <cellStyle name="Normal 3 2 2 2 2 2 2 13 11 2 3 2 3" xfId="24104" xr:uid="{D458C0AD-19C4-43F1-ACCF-1237651F05A0}"/>
    <cellStyle name="Normal 3 2 2 2 2 2 2 13 11 2 3 2 4" xfId="24105" xr:uid="{F048FC32-E8D2-4E81-B205-99D07322688A}"/>
    <cellStyle name="Normal 3 2 2 2 2 2 2 13 11 2 3 3" xfId="24106" xr:uid="{296F1E58-2818-4940-8E95-BEDF71B3B4C9}"/>
    <cellStyle name="Normal 3 2 2 2 2 2 2 13 11 2 3 4" xfId="24107" xr:uid="{01AC0F19-858E-4128-A796-63AD43BA0E88}"/>
    <cellStyle name="Normal 3 2 2 2 2 2 2 13 11 2 3 5" xfId="24108" xr:uid="{A22EADE0-B053-4E01-BBEB-C5191F107752}"/>
    <cellStyle name="Normal 3 2 2 2 2 2 2 13 11 2 3 6" xfId="24109" xr:uid="{6835719B-E7D0-45CC-9465-D85B2329D1ED}"/>
    <cellStyle name="Normal 3 2 2 2 2 2 2 13 11 2 4" xfId="24110" xr:uid="{3D537211-1FFE-446D-AA83-ECAFA05B0600}"/>
    <cellStyle name="Normal 3 2 2 2 2 2 2 13 11 2 5" xfId="24111" xr:uid="{9AD760AC-E5E8-4231-A984-DC7F05A7CB96}"/>
    <cellStyle name="Normal 3 2 2 2 2 2 2 13 11 2 6" xfId="24112" xr:uid="{C4E9093A-B598-4A76-A010-D2251E238C5D}"/>
    <cellStyle name="Normal 3 2 2 2 2 2 2 13 11 2 7" xfId="24113" xr:uid="{819A865B-C286-4EA1-ACD3-F33B2B610830}"/>
    <cellStyle name="Normal 3 2 2 2 2 2 2 13 11 2 8" xfId="24114" xr:uid="{BC2C867E-2756-4536-A514-142287E47ED0}"/>
    <cellStyle name="Normal 3 2 2 2 2 2 2 13 11 2 8 2" xfId="24115" xr:uid="{DE6E8DEB-78FF-4F67-95F9-B21108F128E9}"/>
    <cellStyle name="Normal 3 2 2 2 2 2 2 13 11 2 8 3" xfId="24116" xr:uid="{15430E80-F94D-4BDB-8160-929ABF812306}"/>
    <cellStyle name="Normal 3 2 2 2 2 2 2 13 11 2 8 4" xfId="24117" xr:uid="{E8B7F4D4-E872-4E87-AA46-292DE4A1C00E}"/>
    <cellStyle name="Normal 3 2 2 2 2 2 2 13 11 2 9" xfId="24118" xr:uid="{D8305706-002F-475B-8E34-065404108E27}"/>
    <cellStyle name="Normal 3 2 2 2 2 2 2 13 11 3" xfId="24119" xr:uid="{2BA8B388-ED7E-4534-8D80-399737B34669}"/>
    <cellStyle name="Normal 3 2 2 2 2 2 2 13 11 4" xfId="24120" xr:uid="{DA879012-8104-489A-9764-63D2FEA43128}"/>
    <cellStyle name="Normal 3 2 2 2 2 2 2 13 11 5" xfId="24121" xr:uid="{74A12B7C-6A8E-415F-AA95-137234419BD4}"/>
    <cellStyle name="Normal 3 2 2 2 2 2 2 13 11 5 2" xfId="24122" xr:uid="{6E322891-EDB1-4A81-AE01-4DB4A8DCA92E}"/>
    <cellStyle name="Normal 3 2 2 2 2 2 2 13 11 5 2 2" xfId="24123" xr:uid="{892FFB35-FDD2-477B-B061-67943A5E5873}"/>
    <cellStyle name="Normal 3 2 2 2 2 2 2 13 11 5 2 3" xfId="24124" xr:uid="{05F8CF77-7A93-4760-9EC1-35755819794B}"/>
    <cellStyle name="Normal 3 2 2 2 2 2 2 13 11 5 2 4" xfId="24125" xr:uid="{CF5DD132-63E0-4C7C-AD3A-DE505F42E9A3}"/>
    <cellStyle name="Normal 3 2 2 2 2 2 2 13 11 5 3" xfId="24126" xr:uid="{14FFB7D0-4ED0-49A7-8E46-6E9CA731D7FE}"/>
    <cellStyle name="Normal 3 2 2 2 2 2 2 13 11 5 4" xfId="24127" xr:uid="{6EF9513A-AA38-4D80-AC99-43A3785AA1E1}"/>
    <cellStyle name="Normal 3 2 2 2 2 2 2 13 11 5 5" xfId="24128" xr:uid="{DAA9B518-C0EA-4ADF-8092-770AAB9B7500}"/>
    <cellStyle name="Normal 3 2 2 2 2 2 2 13 11 5 6" xfId="24129" xr:uid="{BA7B7005-D712-48AA-B0F6-2ED61A99509F}"/>
    <cellStyle name="Normal 3 2 2 2 2 2 2 13 11 6" xfId="24130" xr:uid="{12E5C874-A2ED-40FF-BB64-7E460EECC733}"/>
    <cellStyle name="Normal 3 2 2 2 2 2 2 13 11 7" xfId="24131" xr:uid="{491FF058-7240-4015-B9DE-721E117BEC38}"/>
    <cellStyle name="Normal 3 2 2 2 2 2 2 13 11 8" xfId="24132" xr:uid="{223457EF-885D-4113-BAF8-E3267B3D0E4B}"/>
    <cellStyle name="Normal 3 2 2 2 2 2 2 13 11 9" xfId="24133" xr:uid="{86A83112-1EB8-4729-942E-CE5E45D37B26}"/>
    <cellStyle name="Normal 3 2 2 2 2 2 2 13 12" xfId="24134" xr:uid="{D10407CD-FBB9-4050-91D2-DA157D08957A}"/>
    <cellStyle name="Normal 3 2 2 2 2 2 2 13 13" xfId="24135" xr:uid="{72C17D84-AA08-4787-8E4E-49045FB947D6}"/>
    <cellStyle name="Normal 3 2 2 2 2 2 2 13 13 10" xfId="24136" xr:uid="{B2C19048-8DBF-4B73-8558-2F437758E8A8}"/>
    <cellStyle name="Normal 3 2 2 2 2 2 2 13 13 11" xfId="24137" xr:uid="{DE2E6119-2E7C-4431-98DF-CDBBE6ACEB23}"/>
    <cellStyle name="Normal 3 2 2 2 2 2 2 13 13 2" xfId="24138" xr:uid="{451B4A19-5514-4692-8220-B4C830079C79}"/>
    <cellStyle name="Normal 3 2 2 2 2 2 2 13 13 2 10" xfId="24139" xr:uid="{4A2E52BC-C303-4BDE-A4DE-94E3EEBB5EED}"/>
    <cellStyle name="Normal 3 2 2 2 2 2 2 13 13 2 11" xfId="24140" xr:uid="{06CE1DC5-7F47-4D18-898A-85A4E1D54501}"/>
    <cellStyle name="Normal 3 2 2 2 2 2 2 13 13 2 2" xfId="24141" xr:uid="{F8AFD41D-0BE0-42B5-B1EE-7F55B7E54220}"/>
    <cellStyle name="Normal 3 2 2 2 2 2 2 13 13 2 2 2" xfId="24142" xr:uid="{A15D79A5-2B56-45E9-B169-84CE15891408}"/>
    <cellStyle name="Normal 3 2 2 2 2 2 2 13 13 2 2 2 2" xfId="24143" xr:uid="{233F9574-ED53-4057-9D5E-C37C1F3431DB}"/>
    <cellStyle name="Normal 3 2 2 2 2 2 2 13 13 2 2 2 3" xfId="24144" xr:uid="{2CEDB628-B696-4D68-A004-946B3D5FF284}"/>
    <cellStyle name="Normal 3 2 2 2 2 2 2 13 13 2 2 2 4" xfId="24145" xr:uid="{930811A7-8CD2-4AD7-A9C9-193C9DE4F6C8}"/>
    <cellStyle name="Normal 3 2 2 2 2 2 2 13 13 2 2 3" xfId="24146" xr:uid="{3066A17A-088F-4ED6-901A-017524699EBE}"/>
    <cellStyle name="Normal 3 2 2 2 2 2 2 13 13 2 2 4" xfId="24147" xr:uid="{FAF33748-436F-4E5D-A9E8-A7A29E865732}"/>
    <cellStyle name="Normal 3 2 2 2 2 2 2 13 13 2 2 5" xfId="24148" xr:uid="{E7E11077-54D8-4944-888C-F4E31FB763F4}"/>
    <cellStyle name="Normal 3 2 2 2 2 2 2 13 13 2 2 6" xfId="24149" xr:uid="{25886D01-890B-4573-A25E-FF44729F2ACB}"/>
    <cellStyle name="Normal 3 2 2 2 2 2 2 13 13 2 3" xfId="24150" xr:uid="{16B700D5-B803-488C-8068-8D00B5323FD5}"/>
    <cellStyle name="Normal 3 2 2 2 2 2 2 13 13 2 4" xfId="24151" xr:uid="{07DF9947-CEA9-406D-9268-A084395FC36E}"/>
    <cellStyle name="Normal 3 2 2 2 2 2 2 13 13 2 5" xfId="24152" xr:uid="{D8BA6D8B-396F-4B25-BB2D-A6B86BB26CCC}"/>
    <cellStyle name="Normal 3 2 2 2 2 2 2 13 13 2 6" xfId="24153" xr:uid="{9B988994-DAB5-418D-8641-31D88107B596}"/>
    <cellStyle name="Normal 3 2 2 2 2 2 2 13 13 2 7" xfId="24154" xr:uid="{192871C4-23F0-4D19-BD32-CE58449D8B56}"/>
    <cellStyle name="Normal 3 2 2 2 2 2 2 13 13 2 8" xfId="24155" xr:uid="{27255CCA-DA42-470A-8CEC-8D416FDC738C}"/>
    <cellStyle name="Normal 3 2 2 2 2 2 2 13 13 2 8 2" xfId="24156" xr:uid="{9C22C431-88C3-4FEB-923C-0A918D81EE63}"/>
    <cellStyle name="Normal 3 2 2 2 2 2 2 13 13 2 8 3" xfId="24157" xr:uid="{B7F89889-36A6-452E-B1D9-26637A416621}"/>
    <cellStyle name="Normal 3 2 2 2 2 2 2 13 13 2 8 4" xfId="24158" xr:uid="{4B728D3E-4BC8-420C-B55B-D1CC289F54B8}"/>
    <cellStyle name="Normal 3 2 2 2 2 2 2 13 13 2 9" xfId="24159" xr:uid="{07051C3F-668D-4493-8BCF-B8E1545484AE}"/>
    <cellStyle name="Normal 3 2 2 2 2 2 2 13 13 3" xfId="24160" xr:uid="{62F90770-1776-413F-8AE3-EC3191706E2A}"/>
    <cellStyle name="Normal 3 2 2 2 2 2 2 13 13 3 2" xfId="24161" xr:uid="{FAC5F8A8-B028-4626-8B0F-C2D20CCC2D50}"/>
    <cellStyle name="Normal 3 2 2 2 2 2 2 13 13 3 2 2" xfId="24162" xr:uid="{84FBB5D9-E9F7-428F-86BF-66EB23AFA4AE}"/>
    <cellStyle name="Normal 3 2 2 2 2 2 2 13 13 3 2 3" xfId="24163" xr:uid="{ED7ECEEC-6B19-4EF0-A005-2C438152255B}"/>
    <cellStyle name="Normal 3 2 2 2 2 2 2 13 13 3 2 4" xfId="24164" xr:uid="{25846C73-66E7-41E5-BBD1-087CB573AE9D}"/>
    <cellStyle name="Normal 3 2 2 2 2 2 2 13 13 3 3" xfId="24165" xr:uid="{7EAFFBB9-1137-4506-A7AB-4358E0F24AB2}"/>
    <cellStyle name="Normal 3 2 2 2 2 2 2 13 13 3 4" xfId="24166" xr:uid="{03A30E5A-153B-4C1D-87CC-4FE7A8AFFF8F}"/>
    <cellStyle name="Normal 3 2 2 2 2 2 2 13 13 3 5" xfId="24167" xr:uid="{72649FC6-7E7F-4C63-BC7E-D52ED19BCAE1}"/>
    <cellStyle name="Normal 3 2 2 2 2 2 2 13 13 3 6" xfId="24168" xr:uid="{69542639-B732-4376-8EBA-A1F25DA41DB4}"/>
    <cellStyle name="Normal 3 2 2 2 2 2 2 13 13 4" xfId="24169" xr:uid="{05BCC192-C6CC-467F-B3DE-C152DE8BA5A8}"/>
    <cellStyle name="Normal 3 2 2 2 2 2 2 13 13 5" xfId="24170" xr:uid="{ED670821-371E-4A29-8D8E-F607692925F0}"/>
    <cellStyle name="Normal 3 2 2 2 2 2 2 13 13 6" xfId="24171" xr:uid="{42E5BCA7-7118-4A2C-B79E-074E189AD34A}"/>
    <cellStyle name="Normal 3 2 2 2 2 2 2 13 13 7" xfId="24172" xr:uid="{07CDFF94-6C25-4D3A-97FC-18B60F5A0985}"/>
    <cellStyle name="Normal 3 2 2 2 2 2 2 13 13 8" xfId="24173" xr:uid="{EED807AA-7EEB-474A-8273-2949A778F127}"/>
    <cellStyle name="Normal 3 2 2 2 2 2 2 13 13 8 2" xfId="24174" xr:uid="{764B95E6-6CA4-49D6-AC06-48E0D6F7DDCB}"/>
    <cellStyle name="Normal 3 2 2 2 2 2 2 13 13 8 3" xfId="24175" xr:uid="{03B9380C-56FB-4DE6-90F0-27A8CAD8A95D}"/>
    <cellStyle name="Normal 3 2 2 2 2 2 2 13 13 8 4" xfId="24176" xr:uid="{AD51DA06-B156-4824-B263-A5DF4C056442}"/>
    <cellStyle name="Normal 3 2 2 2 2 2 2 13 13 9" xfId="24177" xr:uid="{D3A35A37-44AC-4ECC-9836-99BB663EBC07}"/>
    <cellStyle name="Normal 3 2 2 2 2 2 2 13 14" xfId="24178" xr:uid="{BA2AD47C-7920-4B1D-AA9E-0F9CFE5A00E4}"/>
    <cellStyle name="Normal 3 2 2 2 2 2 2 13 15" xfId="24179" xr:uid="{55739DAC-B8B9-4B7B-9BB5-5E386A86DF78}"/>
    <cellStyle name="Normal 3 2 2 2 2 2 2 13 15 2" xfId="24180" xr:uid="{44DAAB46-9D32-4412-9900-3AFDE841BB8A}"/>
    <cellStyle name="Normal 3 2 2 2 2 2 2 13 15 2 2" xfId="24181" xr:uid="{5F23843A-BFE6-46FA-95B4-F42A62B5EDD1}"/>
    <cellStyle name="Normal 3 2 2 2 2 2 2 13 15 2 3" xfId="24182" xr:uid="{AC894DF7-5BB6-412B-BAF9-6413DC11960D}"/>
    <cellStyle name="Normal 3 2 2 2 2 2 2 13 15 2 4" xfId="24183" xr:uid="{99698007-608A-4602-B979-286152806472}"/>
    <cellStyle name="Normal 3 2 2 2 2 2 2 13 15 3" xfId="24184" xr:uid="{105A58E6-9DB9-427E-A8B0-50F3138EB09B}"/>
    <cellStyle name="Normal 3 2 2 2 2 2 2 13 15 4" xfId="24185" xr:uid="{AB5538F4-B63F-44C9-A300-1B47565032FC}"/>
    <cellStyle name="Normal 3 2 2 2 2 2 2 13 15 5" xfId="24186" xr:uid="{EC37A6F6-D548-4BDD-8F96-841B34F49501}"/>
    <cellStyle name="Normal 3 2 2 2 2 2 2 13 15 6" xfId="24187" xr:uid="{5F3C38F7-5143-4DE2-9A5A-F2DB7375996C}"/>
    <cellStyle name="Normal 3 2 2 2 2 2 2 13 16" xfId="24188" xr:uid="{F1D8A7BC-F1C9-4327-95BE-D4A791498B83}"/>
    <cellStyle name="Normal 3 2 2 2 2 2 2 13 17" xfId="24189" xr:uid="{44B96344-4AFB-46B4-BCCB-E9EF1E8381F7}"/>
    <cellStyle name="Normal 3 2 2 2 2 2 2 13 18" xfId="24190" xr:uid="{051125F3-45E4-49D5-B2A5-FACAFB472D7C}"/>
    <cellStyle name="Normal 3 2 2 2 2 2 2 13 19" xfId="24191" xr:uid="{47E37406-3870-4829-90DA-50B646D7D9FB}"/>
    <cellStyle name="Normal 3 2 2 2 2 2 2 13 2" xfId="24192" xr:uid="{A7500995-2655-4733-AD4B-531C9F07A7FE}"/>
    <cellStyle name="Normal 3 2 2 2 2 2 2 13 2 10" xfId="24193" xr:uid="{FF93013D-A6DA-4A53-A530-6F9EF9B8A63F}"/>
    <cellStyle name="Normal 3 2 2 2 2 2 2 13 2 11" xfId="24194" xr:uid="{39957617-48A9-4CA5-BA1C-EA94DF19A029}"/>
    <cellStyle name="Normal 3 2 2 2 2 2 2 13 2 12" xfId="24195" xr:uid="{7609F48E-139F-4B84-9748-515A7BB633C0}"/>
    <cellStyle name="Normal 3 2 2 2 2 2 2 13 2 13" xfId="24196" xr:uid="{BEB8DD41-026A-442E-BFA6-0C4EB76B63FE}"/>
    <cellStyle name="Normal 3 2 2 2 2 2 2 13 2 13 2" xfId="24197" xr:uid="{2411E407-1634-40F2-A3AB-884B9CCAB7A0}"/>
    <cellStyle name="Normal 3 2 2 2 2 2 2 13 2 13 3" xfId="24198" xr:uid="{DA8A2903-1051-4C0F-81D4-0F5111C38B6F}"/>
    <cellStyle name="Normal 3 2 2 2 2 2 2 13 2 13 4" xfId="24199" xr:uid="{995E5BD9-6A6E-44A4-8F5B-3B5363BA8823}"/>
    <cellStyle name="Normal 3 2 2 2 2 2 2 13 2 14" xfId="24200" xr:uid="{7D69C6C0-1141-4F1B-91BE-016849499621}"/>
    <cellStyle name="Normal 3 2 2 2 2 2 2 13 2 15" xfId="24201" xr:uid="{842724BA-B893-4B41-9C47-894FFA3FCA0D}"/>
    <cellStyle name="Normal 3 2 2 2 2 2 2 13 2 16" xfId="24202" xr:uid="{D6039184-28DC-44DF-B9D5-D0BC63A9F6F0}"/>
    <cellStyle name="Normal 3 2 2 2 2 2 2 13 2 2" xfId="24203" xr:uid="{C39D6A49-79EB-4ECD-A098-2B6C26964273}"/>
    <cellStyle name="Normal 3 2 2 2 2 2 2 13 2 2 10" xfId="24204" xr:uid="{6EAD065D-082A-413C-8CF6-C6170265E73D}"/>
    <cellStyle name="Normal 3 2 2 2 2 2 2 13 2 2 11" xfId="24205" xr:uid="{CFDED148-40B1-4D8A-804F-6304D9A53916}"/>
    <cellStyle name="Normal 3 2 2 2 2 2 2 13 2 2 11 2" xfId="24206" xr:uid="{580B7016-8EAB-481F-8F55-80813CFA85E6}"/>
    <cellStyle name="Normal 3 2 2 2 2 2 2 13 2 2 11 3" xfId="24207" xr:uid="{2A374E21-1E92-472C-BECF-E5C85E32FCC6}"/>
    <cellStyle name="Normal 3 2 2 2 2 2 2 13 2 2 11 4" xfId="24208" xr:uid="{647A71D7-8445-4416-AC3B-C6295AFD0801}"/>
    <cellStyle name="Normal 3 2 2 2 2 2 2 13 2 2 12" xfId="24209" xr:uid="{1DD5B448-7B18-42A8-800A-B18EDB4E679B}"/>
    <cellStyle name="Normal 3 2 2 2 2 2 2 13 2 2 13" xfId="24210" xr:uid="{5CE1D571-B872-41C1-A3F5-F3688A9FDE9E}"/>
    <cellStyle name="Normal 3 2 2 2 2 2 2 13 2 2 14" xfId="24211" xr:uid="{1309849F-FBE0-4F2F-B31C-992BD063848F}"/>
    <cellStyle name="Normal 3 2 2 2 2 2 2 13 2 2 2" xfId="24212" xr:uid="{590137B5-9FD8-4BA6-BC0F-07342F187760}"/>
    <cellStyle name="Normal 3 2 2 2 2 2 2 13 2 2 2 10" xfId="24213" xr:uid="{0D388A90-FCD0-4307-BDFC-9B7B6F9CD802}"/>
    <cellStyle name="Normal 3 2 2 2 2 2 2 13 2 2 2 11" xfId="24214" xr:uid="{4334A337-3240-4C36-85B5-8264D9439C99}"/>
    <cellStyle name="Normal 3 2 2 2 2 2 2 13 2 2 2 2" xfId="24215" xr:uid="{F9EDCEA0-3E64-426C-B08A-B063C2ED8813}"/>
    <cellStyle name="Normal 3 2 2 2 2 2 2 13 2 2 2 2 10" xfId="24216" xr:uid="{BFF3455C-35C5-41B3-95A7-9EFD1ED055F1}"/>
    <cellStyle name="Normal 3 2 2 2 2 2 2 13 2 2 2 2 11" xfId="24217" xr:uid="{8A4F6D20-28B9-41DE-8EB5-44649DEF6339}"/>
    <cellStyle name="Normal 3 2 2 2 2 2 2 13 2 2 2 2 2" xfId="24218" xr:uid="{02147A87-24F0-42F4-83DE-A011946399F4}"/>
    <cellStyle name="Normal 3 2 2 2 2 2 2 13 2 2 2 2 2 2" xfId="24219" xr:uid="{A283C875-FABF-45C8-B91D-0FD5865D965C}"/>
    <cellStyle name="Normal 3 2 2 2 2 2 2 13 2 2 2 2 2 2 2" xfId="24220" xr:uid="{3E8B792D-D2D1-4241-95D2-EBEA64D95DB9}"/>
    <cellStyle name="Normal 3 2 2 2 2 2 2 13 2 2 2 2 2 2 3" xfId="24221" xr:uid="{0E5B92C8-D83E-4BC3-9BC4-7AFF32B3DA5A}"/>
    <cellStyle name="Normal 3 2 2 2 2 2 2 13 2 2 2 2 2 2 4" xfId="24222" xr:uid="{C1378F31-7407-451A-9817-996D50708D81}"/>
    <cellStyle name="Normal 3 2 2 2 2 2 2 13 2 2 2 2 2 3" xfId="24223" xr:uid="{82DA75BB-4A9A-48F3-9BE4-D4C43AD0C728}"/>
    <cellStyle name="Normal 3 2 2 2 2 2 2 13 2 2 2 2 2 4" xfId="24224" xr:uid="{830940EF-52F2-432D-9DEB-34BE213C376C}"/>
    <cellStyle name="Normal 3 2 2 2 2 2 2 13 2 2 2 2 2 5" xfId="24225" xr:uid="{B4509DCA-1EDF-4773-9879-BFA3A55C7596}"/>
    <cellStyle name="Normal 3 2 2 2 2 2 2 13 2 2 2 2 2 6" xfId="24226" xr:uid="{3D0D56D0-17EC-4904-A956-0DF6E7DAFF9B}"/>
    <cellStyle name="Normal 3 2 2 2 2 2 2 13 2 2 2 2 3" xfId="24227" xr:uid="{E755C694-1BBC-406F-8E69-335E159FDD21}"/>
    <cellStyle name="Normal 3 2 2 2 2 2 2 13 2 2 2 2 4" xfId="24228" xr:uid="{05141B30-BFF2-4C66-AECE-3C81AD8A00A3}"/>
    <cellStyle name="Normal 3 2 2 2 2 2 2 13 2 2 2 2 5" xfId="24229" xr:uid="{8256FC62-A12C-4BC1-BF24-98D10CE3E917}"/>
    <cellStyle name="Normal 3 2 2 2 2 2 2 13 2 2 2 2 6" xfId="24230" xr:uid="{4521A626-160B-438A-8ABA-36EC7E0EB6DE}"/>
    <cellStyle name="Normal 3 2 2 2 2 2 2 13 2 2 2 2 7" xfId="24231" xr:uid="{8902E620-79C4-4C35-BABA-7392C259F877}"/>
    <cellStyle name="Normal 3 2 2 2 2 2 2 13 2 2 2 2 8" xfId="24232" xr:uid="{212B29EA-DE26-4836-99FF-A86F7A08E57B}"/>
    <cellStyle name="Normal 3 2 2 2 2 2 2 13 2 2 2 2 8 2" xfId="24233" xr:uid="{E3F44DE4-51F6-4DCF-827F-42FAD81E7823}"/>
    <cellStyle name="Normal 3 2 2 2 2 2 2 13 2 2 2 2 8 3" xfId="24234" xr:uid="{90433893-22C4-4678-9538-CC542A74EC8B}"/>
    <cellStyle name="Normal 3 2 2 2 2 2 2 13 2 2 2 2 8 4" xfId="24235" xr:uid="{4098A6C5-D504-4399-9CC7-801F55CF51FF}"/>
    <cellStyle name="Normal 3 2 2 2 2 2 2 13 2 2 2 2 9" xfId="24236" xr:uid="{5BDAA083-92E6-4D36-BDF2-8315F6FADF2F}"/>
    <cellStyle name="Normal 3 2 2 2 2 2 2 13 2 2 2 3" xfId="24237" xr:uid="{44AEE0E1-2B84-4A44-BEC5-FEF82C692201}"/>
    <cellStyle name="Normal 3 2 2 2 2 2 2 13 2 2 2 3 2" xfId="24238" xr:uid="{BBE07CDA-6FD1-4BDB-93DB-261AD3C41B1D}"/>
    <cellStyle name="Normal 3 2 2 2 2 2 2 13 2 2 2 3 2 2" xfId="24239" xr:uid="{AED54854-97D6-41AD-AE61-38B2B046A70A}"/>
    <cellStyle name="Normal 3 2 2 2 2 2 2 13 2 2 2 3 2 3" xfId="24240" xr:uid="{40A5E692-5D76-4103-9733-77E8C9D65DFF}"/>
    <cellStyle name="Normal 3 2 2 2 2 2 2 13 2 2 2 3 2 4" xfId="24241" xr:uid="{BDCC49CA-84C1-4D99-B989-CA458688295F}"/>
    <cellStyle name="Normal 3 2 2 2 2 2 2 13 2 2 2 3 3" xfId="24242" xr:uid="{2282C5FD-EF5F-4B22-8C38-BE4DA2BD2718}"/>
    <cellStyle name="Normal 3 2 2 2 2 2 2 13 2 2 2 3 4" xfId="24243" xr:uid="{A333DE7B-9B18-4772-AC04-9ADF53C5464A}"/>
    <cellStyle name="Normal 3 2 2 2 2 2 2 13 2 2 2 3 5" xfId="24244" xr:uid="{8EB3FB7D-4031-4D4E-BECA-A72EE39FE6F3}"/>
    <cellStyle name="Normal 3 2 2 2 2 2 2 13 2 2 2 3 6" xfId="24245" xr:uid="{EACE9140-ED1B-4594-A32E-E3DD3C9FFE6C}"/>
    <cellStyle name="Normal 3 2 2 2 2 2 2 13 2 2 2 4" xfId="24246" xr:uid="{91C3BF74-587E-4151-A5F1-13EE677C428D}"/>
    <cellStyle name="Normal 3 2 2 2 2 2 2 13 2 2 2 5" xfId="24247" xr:uid="{AD7122EF-486D-44D1-896D-F65F61A9AACC}"/>
    <cellStyle name="Normal 3 2 2 2 2 2 2 13 2 2 2 6" xfId="24248" xr:uid="{D2F204A9-5B12-43B4-BF79-5E025159C3A0}"/>
    <cellStyle name="Normal 3 2 2 2 2 2 2 13 2 2 2 7" xfId="24249" xr:uid="{F1DCAE2B-69C6-43A6-9871-EE4556D87A30}"/>
    <cellStyle name="Normal 3 2 2 2 2 2 2 13 2 2 2 8" xfId="24250" xr:uid="{DC15B231-67C8-4CBE-93CB-FEDA5CE7C227}"/>
    <cellStyle name="Normal 3 2 2 2 2 2 2 13 2 2 2 8 2" xfId="24251" xr:uid="{17881702-DEA1-4861-BF2E-F8F26E935E51}"/>
    <cellStyle name="Normal 3 2 2 2 2 2 2 13 2 2 2 8 3" xfId="24252" xr:uid="{245A258C-1241-40B3-A4F1-64466732F252}"/>
    <cellStyle name="Normal 3 2 2 2 2 2 2 13 2 2 2 8 4" xfId="24253" xr:uid="{67F2A1FA-35AF-403A-B658-2BF364FFA78F}"/>
    <cellStyle name="Normal 3 2 2 2 2 2 2 13 2 2 2 9" xfId="24254" xr:uid="{3FAACD65-5747-4294-AA15-C613A1FB6683}"/>
    <cellStyle name="Normal 3 2 2 2 2 2 2 13 2 2 3" xfId="24255" xr:uid="{DBA9FAB0-CE93-4331-83EF-C43CB19C2547}"/>
    <cellStyle name="Normal 3 2 2 2 2 2 2 13 2 2 4" xfId="24256" xr:uid="{5CC98FFB-9107-4C13-8B14-A5866F2D25BE}"/>
    <cellStyle name="Normal 3 2 2 2 2 2 2 13 2 2 5" xfId="24257" xr:uid="{77F87B00-C898-40AE-B1A1-BC6DC9A6669E}"/>
    <cellStyle name="Normal 3 2 2 2 2 2 2 13 2 2 5 2" xfId="24258" xr:uid="{BCD01F44-7E8C-4DA4-88C8-39419B061747}"/>
    <cellStyle name="Normal 3 2 2 2 2 2 2 13 2 2 5 2 2" xfId="24259" xr:uid="{521D2AA8-3C01-4F70-BB56-9513C22AD4AD}"/>
    <cellStyle name="Normal 3 2 2 2 2 2 2 13 2 2 5 2 3" xfId="24260" xr:uid="{B286FB72-2636-4037-BC39-80626ABF5C2E}"/>
    <cellStyle name="Normal 3 2 2 2 2 2 2 13 2 2 5 2 4" xfId="24261" xr:uid="{3617062F-EE96-4E3C-883F-B87100CF1742}"/>
    <cellStyle name="Normal 3 2 2 2 2 2 2 13 2 2 5 3" xfId="24262" xr:uid="{FCA8AC0D-BE13-4FE9-8B63-AB25DA8C2937}"/>
    <cellStyle name="Normal 3 2 2 2 2 2 2 13 2 2 5 4" xfId="24263" xr:uid="{8B3F87CD-4AD3-46A9-94A1-7478B3667DFA}"/>
    <cellStyle name="Normal 3 2 2 2 2 2 2 13 2 2 5 5" xfId="24264" xr:uid="{A103DE39-B1BB-4128-8E86-6CE23DEB2003}"/>
    <cellStyle name="Normal 3 2 2 2 2 2 2 13 2 2 5 6" xfId="24265" xr:uid="{825FCD41-A00C-48BC-A589-147C7C8FFD1A}"/>
    <cellStyle name="Normal 3 2 2 2 2 2 2 13 2 2 6" xfId="24266" xr:uid="{85A1A8C8-9383-40E2-A780-34653F0724EA}"/>
    <cellStyle name="Normal 3 2 2 2 2 2 2 13 2 2 7" xfId="24267" xr:uid="{4DAED7A8-0E89-45E7-8573-02C4ABCE6CD5}"/>
    <cellStyle name="Normal 3 2 2 2 2 2 2 13 2 2 8" xfId="24268" xr:uid="{C2DEEEDB-FFEB-433A-A682-7299D12D1D90}"/>
    <cellStyle name="Normal 3 2 2 2 2 2 2 13 2 2 9" xfId="24269" xr:uid="{8EF4D654-C37A-493E-B2FD-5E0C8AFDC9E9}"/>
    <cellStyle name="Normal 3 2 2 2 2 2 2 13 2 3" xfId="24270" xr:uid="{2C41FCA4-0CFA-4C7A-B0E7-2E45C1C547C8}"/>
    <cellStyle name="Normal 3 2 2 2 2 2 2 13 2 4" xfId="24271" xr:uid="{A87CECC0-D960-4959-85FB-7480B8F562B7}"/>
    <cellStyle name="Normal 3 2 2 2 2 2 2 13 2 5" xfId="24272" xr:uid="{BCE09D4B-958A-4945-8386-57AF7A289D93}"/>
    <cellStyle name="Normal 3 2 2 2 2 2 2 13 2 5 10" xfId="24273" xr:uid="{8A5B188D-6501-494E-B898-AD3FD1CE1F7D}"/>
    <cellStyle name="Normal 3 2 2 2 2 2 2 13 2 5 11" xfId="24274" xr:uid="{C92F3B62-537F-4DE1-AD17-47794BB69FA4}"/>
    <cellStyle name="Normal 3 2 2 2 2 2 2 13 2 5 2" xfId="24275" xr:uid="{56E137D7-DBF5-413B-A91A-745245DEFEBE}"/>
    <cellStyle name="Normal 3 2 2 2 2 2 2 13 2 5 2 10" xfId="24276" xr:uid="{92C48BC6-A533-42FA-86F2-A809AF91EFB4}"/>
    <cellStyle name="Normal 3 2 2 2 2 2 2 13 2 5 2 11" xfId="24277" xr:uid="{D3CE4580-C638-4B53-9B2D-E46B84ECA85D}"/>
    <cellStyle name="Normal 3 2 2 2 2 2 2 13 2 5 2 2" xfId="24278" xr:uid="{8306E7AF-7057-4D20-9FBE-084ADF738F15}"/>
    <cellStyle name="Normal 3 2 2 2 2 2 2 13 2 5 2 2 2" xfId="24279" xr:uid="{4FF4C118-EA83-41AE-B107-B34EA8095134}"/>
    <cellStyle name="Normal 3 2 2 2 2 2 2 13 2 5 2 2 2 2" xfId="24280" xr:uid="{2E205FB4-2C37-4F50-B643-7492AAA0246C}"/>
    <cellStyle name="Normal 3 2 2 2 2 2 2 13 2 5 2 2 2 3" xfId="24281" xr:uid="{66EFB502-18BE-4DA5-B0D0-CA907F54D813}"/>
    <cellStyle name="Normal 3 2 2 2 2 2 2 13 2 5 2 2 2 4" xfId="24282" xr:uid="{0541F813-531B-4155-ABA7-92FDD6652183}"/>
    <cellStyle name="Normal 3 2 2 2 2 2 2 13 2 5 2 2 3" xfId="24283" xr:uid="{D5115B89-763A-48B4-8D0B-62777E89B2E3}"/>
    <cellStyle name="Normal 3 2 2 2 2 2 2 13 2 5 2 2 4" xfId="24284" xr:uid="{F184958E-2E60-4F8D-A00C-09E9F3334668}"/>
    <cellStyle name="Normal 3 2 2 2 2 2 2 13 2 5 2 2 5" xfId="24285" xr:uid="{EB0AAABF-A25F-4F22-8F84-D9D6BC9F85B0}"/>
    <cellStyle name="Normal 3 2 2 2 2 2 2 13 2 5 2 2 6" xfId="24286" xr:uid="{A7D13137-9E92-4AAB-8BAA-4E1B99972373}"/>
    <cellStyle name="Normal 3 2 2 2 2 2 2 13 2 5 2 3" xfId="24287" xr:uid="{C5A5F4BC-5C62-4D6D-AD58-E3B2023A52F3}"/>
    <cellStyle name="Normal 3 2 2 2 2 2 2 13 2 5 2 4" xfId="24288" xr:uid="{678FC20D-A750-47AE-B394-ECB7B1F42CAE}"/>
    <cellStyle name="Normal 3 2 2 2 2 2 2 13 2 5 2 5" xfId="24289" xr:uid="{A038D36D-2E5F-4AB5-88E2-33C64C1718F3}"/>
    <cellStyle name="Normal 3 2 2 2 2 2 2 13 2 5 2 6" xfId="24290" xr:uid="{950C04D8-72B4-478F-8778-9562F44DE334}"/>
    <cellStyle name="Normal 3 2 2 2 2 2 2 13 2 5 2 7" xfId="24291" xr:uid="{3B5DD5C2-53DB-4597-9BFD-C34CCBBD37F0}"/>
    <cellStyle name="Normal 3 2 2 2 2 2 2 13 2 5 2 8" xfId="24292" xr:uid="{ADB9CFDD-213B-45FC-9469-391AD7AB78FC}"/>
    <cellStyle name="Normal 3 2 2 2 2 2 2 13 2 5 2 8 2" xfId="24293" xr:uid="{EB07E16C-F3BC-46D9-BD68-F1A2771606F8}"/>
    <cellStyle name="Normal 3 2 2 2 2 2 2 13 2 5 2 8 3" xfId="24294" xr:uid="{89E24188-3063-4A64-BB95-633BEF6E19B1}"/>
    <cellStyle name="Normal 3 2 2 2 2 2 2 13 2 5 2 8 4" xfId="24295" xr:uid="{5F3A9353-E11E-40AB-A01C-CACEEB2E9529}"/>
    <cellStyle name="Normal 3 2 2 2 2 2 2 13 2 5 2 9" xfId="24296" xr:uid="{E3B25042-468D-424B-845F-EE7AF2FA4F28}"/>
    <cellStyle name="Normal 3 2 2 2 2 2 2 13 2 5 3" xfId="24297" xr:uid="{34058E19-94A8-4926-BE99-079718A6708E}"/>
    <cellStyle name="Normal 3 2 2 2 2 2 2 13 2 5 3 2" xfId="24298" xr:uid="{845431B6-35BA-4AC8-BAAE-519D0C40AABE}"/>
    <cellStyle name="Normal 3 2 2 2 2 2 2 13 2 5 3 2 2" xfId="24299" xr:uid="{8C6205A0-CB0D-4912-B46B-79F49BEEE4D1}"/>
    <cellStyle name="Normal 3 2 2 2 2 2 2 13 2 5 3 2 3" xfId="24300" xr:uid="{8FBD3BB7-8FFB-41CE-A57A-B422ECE82DA9}"/>
    <cellStyle name="Normal 3 2 2 2 2 2 2 13 2 5 3 2 4" xfId="24301" xr:uid="{C508F235-CC80-4906-8237-7EFCBEE49E9B}"/>
    <cellStyle name="Normal 3 2 2 2 2 2 2 13 2 5 3 3" xfId="24302" xr:uid="{0F70E978-C54E-4FDA-834B-64DC8F6E8607}"/>
    <cellStyle name="Normal 3 2 2 2 2 2 2 13 2 5 3 4" xfId="24303" xr:uid="{94B75C6C-FC0A-4E5F-BD50-B0C02FE97923}"/>
    <cellStyle name="Normal 3 2 2 2 2 2 2 13 2 5 3 5" xfId="24304" xr:uid="{E3A4E379-0A4F-48CC-9BCB-AA5B20215272}"/>
    <cellStyle name="Normal 3 2 2 2 2 2 2 13 2 5 3 6" xfId="24305" xr:uid="{27FAC975-80CF-45C6-AAA9-9C1B00770D18}"/>
    <cellStyle name="Normal 3 2 2 2 2 2 2 13 2 5 4" xfId="24306" xr:uid="{8C23540B-810C-46A2-8730-659D6205BD85}"/>
    <cellStyle name="Normal 3 2 2 2 2 2 2 13 2 5 5" xfId="24307" xr:uid="{A48553D7-E5BB-475C-92B3-DFCD7DF68581}"/>
    <cellStyle name="Normal 3 2 2 2 2 2 2 13 2 5 6" xfId="24308" xr:uid="{E10A74B3-8F93-4DFF-85CB-8DE95BC11733}"/>
    <cellStyle name="Normal 3 2 2 2 2 2 2 13 2 5 7" xfId="24309" xr:uid="{93BA524E-2547-4863-A954-A1D6A5225A48}"/>
    <cellStyle name="Normal 3 2 2 2 2 2 2 13 2 5 8" xfId="24310" xr:uid="{1F5ED7CD-DF51-42D9-9D78-4677E82D80CF}"/>
    <cellStyle name="Normal 3 2 2 2 2 2 2 13 2 5 8 2" xfId="24311" xr:uid="{27177F2E-3950-4E1A-B5B8-E0797A2961BC}"/>
    <cellStyle name="Normal 3 2 2 2 2 2 2 13 2 5 8 3" xfId="24312" xr:uid="{66AFCFEE-39A6-4E2E-8752-C2D41FCB0878}"/>
    <cellStyle name="Normal 3 2 2 2 2 2 2 13 2 5 8 4" xfId="24313" xr:uid="{2E02D435-6493-41AE-AB1E-46687C5222A5}"/>
    <cellStyle name="Normal 3 2 2 2 2 2 2 13 2 5 9" xfId="24314" xr:uid="{C7267EDA-195A-4EBA-BD12-2C603BE0493C}"/>
    <cellStyle name="Normal 3 2 2 2 2 2 2 13 2 6" xfId="24315" xr:uid="{DA7CDA16-B5B3-428A-877F-86DA2B979754}"/>
    <cellStyle name="Normal 3 2 2 2 2 2 2 13 2 7" xfId="24316" xr:uid="{C0580540-4F8D-44B0-B795-05E8CFCAF1C7}"/>
    <cellStyle name="Normal 3 2 2 2 2 2 2 13 2 7 2" xfId="24317" xr:uid="{321F8688-0EDD-4C6A-9EE9-584534BF9335}"/>
    <cellStyle name="Normal 3 2 2 2 2 2 2 13 2 7 2 2" xfId="24318" xr:uid="{C25326BB-1495-41E3-8698-30D090D49499}"/>
    <cellStyle name="Normal 3 2 2 2 2 2 2 13 2 7 2 3" xfId="24319" xr:uid="{8F28755F-AC91-4CEC-A374-E23C1D7BDA91}"/>
    <cellStyle name="Normal 3 2 2 2 2 2 2 13 2 7 2 4" xfId="24320" xr:uid="{D6FD3F9B-72B1-4042-BE88-A150976A5EF2}"/>
    <cellStyle name="Normal 3 2 2 2 2 2 2 13 2 7 3" xfId="24321" xr:uid="{F383FE2C-3F9C-4E88-973D-961467BCF7E8}"/>
    <cellStyle name="Normal 3 2 2 2 2 2 2 13 2 7 4" xfId="24322" xr:uid="{F8790614-830F-484B-AFFD-9A9CE946398F}"/>
    <cellStyle name="Normal 3 2 2 2 2 2 2 13 2 7 5" xfId="24323" xr:uid="{95D78385-AEED-4CFD-9709-13EB069F9752}"/>
    <cellStyle name="Normal 3 2 2 2 2 2 2 13 2 7 6" xfId="24324" xr:uid="{67CB8048-9AB9-4318-AA1E-498DC1029870}"/>
    <cellStyle name="Normal 3 2 2 2 2 2 2 13 2 8" xfId="24325" xr:uid="{84E3324E-8FF5-4A37-B664-631816DFB445}"/>
    <cellStyle name="Normal 3 2 2 2 2 2 2 13 2 9" xfId="24326" xr:uid="{E8A7B8E3-A843-4FF5-AEA4-1E69BC197979}"/>
    <cellStyle name="Normal 3 2 2 2 2 2 2 13 20" xfId="24327" xr:uid="{3BA9A657-A750-442E-ACB4-823405D4A583}"/>
    <cellStyle name="Normal 3 2 2 2 2 2 2 13 21" xfId="24328" xr:uid="{CF132EB9-0A17-49C1-A968-404B6A1D223C}"/>
    <cellStyle name="Normal 3 2 2 2 2 2 2 13 21 2" xfId="24329" xr:uid="{87B3CC6A-7037-4B12-ADA8-159EEAEC098E}"/>
    <cellStyle name="Normal 3 2 2 2 2 2 2 13 21 3" xfId="24330" xr:uid="{2246BC4B-086F-47D6-AC9A-9EC7F68BB52D}"/>
    <cellStyle name="Normal 3 2 2 2 2 2 2 13 21 4" xfId="24331" xr:uid="{E3DD139F-0E55-46B6-AF55-969E556BA5B6}"/>
    <cellStyle name="Normal 3 2 2 2 2 2 2 13 22" xfId="24332" xr:uid="{9549F140-163F-4B74-970C-90DFFB25637D}"/>
    <cellStyle name="Normal 3 2 2 2 2 2 2 13 23" xfId="24333" xr:uid="{DDD53522-82DD-4A8C-BB39-73C860A8E365}"/>
    <cellStyle name="Normal 3 2 2 2 2 2 2 13 24" xfId="24334" xr:uid="{D3FE9D2D-37F2-40EF-94C0-E6DFDAA82778}"/>
    <cellStyle name="Normal 3 2 2 2 2 2 2 13 3" xfId="24335" xr:uid="{2C6CDE01-C696-4BA3-BE4C-48064FC5091B}"/>
    <cellStyle name="Normal 3 2 2 2 2 2 2 13 4" xfId="24336" xr:uid="{F2493B3A-AD4C-4315-8B69-C905366D46EF}"/>
    <cellStyle name="Normal 3 2 2 2 2 2 2 13 5" xfId="24337" xr:uid="{EAB54CC3-6B32-40FE-AA27-032A08EE0DBF}"/>
    <cellStyle name="Normal 3 2 2 2 2 2 2 13 6" xfId="24338" xr:uid="{729964D6-8F66-4ABB-99B9-591B1E492581}"/>
    <cellStyle name="Normal 3 2 2 2 2 2 2 13 7" xfId="24339" xr:uid="{4FF3FC70-DB25-4047-8F3E-7F8BDBC2B443}"/>
    <cellStyle name="Normal 3 2 2 2 2 2 2 13 8" xfId="24340" xr:uid="{1FE0B48F-DD3D-4DB5-BF7C-5E9D50DDDD58}"/>
    <cellStyle name="Normal 3 2 2 2 2 2 2 13 9" xfId="24341" xr:uid="{86D580FE-15A8-4C2E-916F-B39E6298B07E}"/>
    <cellStyle name="Normal 3 2 2 2 2 2 2 14" xfId="24342" xr:uid="{90B45B84-2EBB-4FB8-A019-A02B582DA9A7}"/>
    <cellStyle name="Normal 3 2 2 2 2 2 2 14 10" xfId="24343" xr:uid="{23E42264-D684-49CE-85C4-9346BC6FABA5}"/>
    <cellStyle name="Normal 3 2 2 2 2 2 2 14 11" xfId="24344" xr:uid="{E82171EE-E314-4D41-B0CB-B1BAC2B9ACB1}"/>
    <cellStyle name="Normal 3 2 2 2 2 2 2 14 12" xfId="24345" xr:uid="{EED887AD-88AA-485F-9B26-90F14D52C130}"/>
    <cellStyle name="Normal 3 2 2 2 2 2 2 14 13" xfId="24346" xr:uid="{76BC6AA9-C85E-40D6-92D5-66A91E381DDB}"/>
    <cellStyle name="Normal 3 2 2 2 2 2 2 14 13 2" xfId="24347" xr:uid="{B3DC273C-5D2E-4383-8B2A-2E7DAD12CD90}"/>
    <cellStyle name="Normal 3 2 2 2 2 2 2 14 13 3" xfId="24348" xr:uid="{0FA4F524-980A-4BE7-8AC5-D057773E9B65}"/>
    <cellStyle name="Normal 3 2 2 2 2 2 2 14 13 4" xfId="24349" xr:uid="{56CAAEE7-7D47-402E-ACCD-D831494D5671}"/>
    <cellStyle name="Normal 3 2 2 2 2 2 2 14 14" xfId="24350" xr:uid="{316017B4-7AB0-41FB-8F52-46CC66916CF4}"/>
    <cellStyle name="Normal 3 2 2 2 2 2 2 14 15" xfId="24351" xr:uid="{D6D4D8AA-3443-4512-A4C7-AFB15F9ED9FB}"/>
    <cellStyle name="Normal 3 2 2 2 2 2 2 14 16" xfId="24352" xr:uid="{4B1D2708-1161-4A62-AC2C-F405980280B8}"/>
    <cellStyle name="Normal 3 2 2 2 2 2 2 14 2" xfId="24353" xr:uid="{085E5F2E-6291-4C89-9F17-9ADF59ED3580}"/>
    <cellStyle name="Normal 3 2 2 2 2 2 2 14 2 10" xfId="24354" xr:uid="{AFA2A1B5-2C8B-4D93-B4F8-6BFA46A219E3}"/>
    <cellStyle name="Normal 3 2 2 2 2 2 2 14 2 11" xfId="24355" xr:uid="{E1D26F19-7434-45D7-AF0A-C14AE0997762}"/>
    <cellStyle name="Normal 3 2 2 2 2 2 2 14 2 11 2" xfId="24356" xr:uid="{9DA735B9-FC89-4F81-AE3C-C38CD24AAB52}"/>
    <cellStyle name="Normal 3 2 2 2 2 2 2 14 2 11 3" xfId="24357" xr:uid="{D9AA2D09-55CD-42E7-B339-4FA23F4A156A}"/>
    <cellStyle name="Normal 3 2 2 2 2 2 2 14 2 11 4" xfId="24358" xr:uid="{61C28899-81E3-4A18-AAFB-2F085DD333EF}"/>
    <cellStyle name="Normal 3 2 2 2 2 2 2 14 2 12" xfId="24359" xr:uid="{EFE93764-F5FD-4158-9E06-30C02A9DF372}"/>
    <cellStyle name="Normal 3 2 2 2 2 2 2 14 2 13" xfId="24360" xr:uid="{E09242F6-7CDA-44B0-BC87-C64C99282E9B}"/>
    <cellStyle name="Normal 3 2 2 2 2 2 2 14 2 14" xfId="24361" xr:uid="{372C8D59-8702-460C-9BE4-9907E6309F2E}"/>
    <cellStyle name="Normal 3 2 2 2 2 2 2 14 2 2" xfId="24362" xr:uid="{A76B5B14-880B-4E8D-B9FE-319F840DFD72}"/>
    <cellStyle name="Normal 3 2 2 2 2 2 2 14 2 2 10" xfId="24363" xr:uid="{A84C0BCF-4D70-44EF-8CB3-6C13C2D9A3A8}"/>
    <cellStyle name="Normal 3 2 2 2 2 2 2 14 2 2 11" xfId="24364" xr:uid="{7072DB01-FF13-4D7C-99D0-453A23593825}"/>
    <cellStyle name="Normal 3 2 2 2 2 2 2 14 2 2 2" xfId="24365" xr:uid="{3604C31F-120E-4F96-A8AD-89A4439B5E23}"/>
    <cellStyle name="Normal 3 2 2 2 2 2 2 14 2 2 2 10" xfId="24366" xr:uid="{D616300A-3785-4BE7-ADD4-617DD462E6CD}"/>
    <cellStyle name="Normal 3 2 2 2 2 2 2 14 2 2 2 11" xfId="24367" xr:uid="{7F695DD7-272B-4D14-BFC0-D3DA4EECC4B9}"/>
    <cellStyle name="Normal 3 2 2 2 2 2 2 14 2 2 2 2" xfId="24368" xr:uid="{52D615BF-176D-4889-A29D-345B56EC5B10}"/>
    <cellStyle name="Normal 3 2 2 2 2 2 2 14 2 2 2 2 2" xfId="24369" xr:uid="{99742E8A-5B34-4C21-AC4C-9C0D58589F17}"/>
    <cellStyle name="Normal 3 2 2 2 2 2 2 14 2 2 2 2 2 2" xfId="24370" xr:uid="{1E953033-79E3-4FC1-9FDA-4C12504BF509}"/>
    <cellStyle name="Normal 3 2 2 2 2 2 2 14 2 2 2 2 2 3" xfId="24371" xr:uid="{5442011B-F2B7-4091-B971-13BB47D42418}"/>
    <cellStyle name="Normal 3 2 2 2 2 2 2 14 2 2 2 2 2 4" xfId="24372" xr:uid="{89780764-D939-4C6D-AF10-E2F346854DFD}"/>
    <cellStyle name="Normal 3 2 2 2 2 2 2 14 2 2 2 2 3" xfId="24373" xr:uid="{2FCFC607-3B8F-4A7B-8DA8-A5ECC64F2474}"/>
    <cellStyle name="Normal 3 2 2 2 2 2 2 14 2 2 2 2 4" xfId="24374" xr:uid="{7EDAC267-BD1C-48F2-827C-1996417AA652}"/>
    <cellStyle name="Normal 3 2 2 2 2 2 2 14 2 2 2 2 5" xfId="24375" xr:uid="{9305B971-D0D2-4439-93E1-6C090B0E0577}"/>
    <cellStyle name="Normal 3 2 2 2 2 2 2 14 2 2 2 2 6" xfId="24376" xr:uid="{183058FB-944A-4D83-B5A3-B667B6899B6F}"/>
    <cellStyle name="Normal 3 2 2 2 2 2 2 14 2 2 2 3" xfId="24377" xr:uid="{FA5FADBF-7B55-4566-A334-8BE8AB54E538}"/>
    <cellStyle name="Normal 3 2 2 2 2 2 2 14 2 2 2 4" xfId="24378" xr:uid="{DB6A70A5-D0F9-4822-9C67-125F12494ABF}"/>
    <cellStyle name="Normal 3 2 2 2 2 2 2 14 2 2 2 5" xfId="24379" xr:uid="{12FBF379-6E3B-4D90-9BEC-E934B5195B5B}"/>
    <cellStyle name="Normal 3 2 2 2 2 2 2 14 2 2 2 6" xfId="24380" xr:uid="{D09F68BD-A1B8-49AA-B96C-99781BD812AC}"/>
    <cellStyle name="Normal 3 2 2 2 2 2 2 14 2 2 2 7" xfId="24381" xr:uid="{4CA477D0-69D7-40A9-98C4-BAC8A6BF988D}"/>
    <cellStyle name="Normal 3 2 2 2 2 2 2 14 2 2 2 8" xfId="24382" xr:uid="{5BB47F84-2F3A-44C5-B74C-447A270BB131}"/>
    <cellStyle name="Normal 3 2 2 2 2 2 2 14 2 2 2 8 2" xfId="24383" xr:uid="{18D18AE6-4936-4E21-AB8E-533682DD2AA9}"/>
    <cellStyle name="Normal 3 2 2 2 2 2 2 14 2 2 2 8 3" xfId="24384" xr:uid="{87A5CDDE-4C23-4F08-93A3-5C07FC66522F}"/>
    <cellStyle name="Normal 3 2 2 2 2 2 2 14 2 2 2 8 4" xfId="24385" xr:uid="{CBE42F63-BFAE-4B25-8867-8DCE44E3C7A3}"/>
    <cellStyle name="Normal 3 2 2 2 2 2 2 14 2 2 2 9" xfId="24386" xr:uid="{4ADC95E3-EC9C-4A76-A3C3-95D0D4395780}"/>
    <cellStyle name="Normal 3 2 2 2 2 2 2 14 2 2 3" xfId="24387" xr:uid="{A1AEB42E-B51F-42FF-91C2-CB0692AEDD40}"/>
    <cellStyle name="Normal 3 2 2 2 2 2 2 14 2 2 3 2" xfId="24388" xr:uid="{B1938EA7-2937-4430-9361-1F6F3C9F3CBD}"/>
    <cellStyle name="Normal 3 2 2 2 2 2 2 14 2 2 3 2 2" xfId="24389" xr:uid="{9E1BD804-8532-4889-91F9-893D24A55EF1}"/>
    <cellStyle name="Normal 3 2 2 2 2 2 2 14 2 2 3 2 3" xfId="24390" xr:uid="{B6A33A3B-2F22-4ACF-8547-F84141F4A069}"/>
    <cellStyle name="Normal 3 2 2 2 2 2 2 14 2 2 3 2 4" xfId="24391" xr:uid="{47E21930-04C0-44D2-BFA7-9C382FE7D267}"/>
    <cellStyle name="Normal 3 2 2 2 2 2 2 14 2 2 3 3" xfId="24392" xr:uid="{A2EEB8D4-C5D5-4B1F-8ACC-787876503BD1}"/>
    <cellStyle name="Normal 3 2 2 2 2 2 2 14 2 2 3 4" xfId="24393" xr:uid="{675D445A-3D65-43AE-9965-DBDAEC0C164F}"/>
    <cellStyle name="Normal 3 2 2 2 2 2 2 14 2 2 3 5" xfId="24394" xr:uid="{857B8F1F-F476-43BE-B3B3-0F9438092CE9}"/>
    <cellStyle name="Normal 3 2 2 2 2 2 2 14 2 2 3 6" xfId="24395" xr:uid="{FC9A3774-279E-4878-972B-F8BDDF8C92F1}"/>
    <cellStyle name="Normal 3 2 2 2 2 2 2 14 2 2 4" xfId="24396" xr:uid="{2C715D91-9C77-414C-A41E-4ED18D2AB9C8}"/>
    <cellStyle name="Normal 3 2 2 2 2 2 2 14 2 2 5" xfId="24397" xr:uid="{03419CD5-A0B4-4D72-A6C7-55BA617449BC}"/>
    <cellStyle name="Normal 3 2 2 2 2 2 2 14 2 2 6" xfId="24398" xr:uid="{8691437D-1BC5-4E02-9E0F-2434C4A76888}"/>
    <cellStyle name="Normal 3 2 2 2 2 2 2 14 2 2 7" xfId="24399" xr:uid="{F679C10B-35B9-484E-83F4-4186174AC512}"/>
    <cellStyle name="Normal 3 2 2 2 2 2 2 14 2 2 8" xfId="24400" xr:uid="{6EBC924C-789D-45B3-B400-E026235ACE62}"/>
    <cellStyle name="Normal 3 2 2 2 2 2 2 14 2 2 8 2" xfId="24401" xr:uid="{C1EFF632-8B0B-4F31-BD98-881CBEBB11EE}"/>
    <cellStyle name="Normal 3 2 2 2 2 2 2 14 2 2 8 3" xfId="24402" xr:uid="{33FC96CC-884D-4324-9C87-2C8071BFF7B4}"/>
    <cellStyle name="Normal 3 2 2 2 2 2 2 14 2 2 8 4" xfId="24403" xr:uid="{668E95ED-26A6-49C5-8EB8-0C06C7C0579E}"/>
    <cellStyle name="Normal 3 2 2 2 2 2 2 14 2 2 9" xfId="24404" xr:uid="{A7F5480E-07E1-4670-A90A-0958E682E389}"/>
    <cellStyle name="Normal 3 2 2 2 2 2 2 14 2 3" xfId="24405" xr:uid="{1B4CE7DD-BF76-4318-B9AD-3529EBE3F5B3}"/>
    <cellStyle name="Normal 3 2 2 2 2 2 2 14 2 4" xfId="24406" xr:uid="{81DE4FBA-D6EA-4F00-85EC-574DFCB67517}"/>
    <cellStyle name="Normal 3 2 2 2 2 2 2 14 2 5" xfId="24407" xr:uid="{00ACAD4C-5472-4C5D-9101-19E4CB1BD7B0}"/>
    <cellStyle name="Normal 3 2 2 2 2 2 2 14 2 5 2" xfId="24408" xr:uid="{F508B552-3F71-4D92-90E2-CDB00A366719}"/>
    <cellStyle name="Normal 3 2 2 2 2 2 2 14 2 5 2 2" xfId="24409" xr:uid="{517E266A-FA36-445C-BA96-70051A53FD94}"/>
    <cellStyle name="Normal 3 2 2 2 2 2 2 14 2 5 2 3" xfId="24410" xr:uid="{7E75C36F-645D-4D1A-BAA4-3371DC66D3FF}"/>
    <cellStyle name="Normal 3 2 2 2 2 2 2 14 2 5 2 4" xfId="24411" xr:uid="{17384F6E-2C57-445D-8A02-8E5D4DC1DBAF}"/>
    <cellStyle name="Normal 3 2 2 2 2 2 2 14 2 5 3" xfId="24412" xr:uid="{3B4CA44A-C24F-4EA9-843E-0A7CB490E82B}"/>
    <cellStyle name="Normal 3 2 2 2 2 2 2 14 2 5 4" xfId="24413" xr:uid="{AF92DB71-A72B-42BC-B8FC-D3726FB4C763}"/>
    <cellStyle name="Normal 3 2 2 2 2 2 2 14 2 5 5" xfId="24414" xr:uid="{D47EA228-6465-44E7-8472-6DA258365D99}"/>
    <cellStyle name="Normal 3 2 2 2 2 2 2 14 2 5 6" xfId="24415" xr:uid="{326723AC-4D75-43B0-A8DC-1963667388AC}"/>
    <cellStyle name="Normal 3 2 2 2 2 2 2 14 2 6" xfId="24416" xr:uid="{6C033E2E-7EB8-4B41-97FC-49ACBC22348C}"/>
    <cellStyle name="Normal 3 2 2 2 2 2 2 14 2 7" xfId="24417" xr:uid="{2E7679A8-1409-4C33-8795-A07DBB2BB604}"/>
    <cellStyle name="Normal 3 2 2 2 2 2 2 14 2 8" xfId="24418" xr:uid="{B27966F3-AD0F-4801-942F-B643F080515A}"/>
    <cellStyle name="Normal 3 2 2 2 2 2 2 14 2 9" xfId="24419" xr:uid="{AC957A45-166C-450D-85A5-513632149E5D}"/>
    <cellStyle name="Normal 3 2 2 2 2 2 2 14 3" xfId="24420" xr:uid="{28920661-5B5F-4C39-A4D2-D71D6A9FD8CF}"/>
    <cellStyle name="Normal 3 2 2 2 2 2 2 14 4" xfId="24421" xr:uid="{C7AC4048-179B-4E92-A610-65AE1CA37BEF}"/>
    <cellStyle name="Normal 3 2 2 2 2 2 2 14 5" xfId="24422" xr:uid="{94C72570-6384-48DE-B916-BCF4DA6CD60D}"/>
    <cellStyle name="Normal 3 2 2 2 2 2 2 14 5 10" xfId="24423" xr:uid="{029DB511-F294-4F4E-A791-4E645708B039}"/>
    <cellStyle name="Normal 3 2 2 2 2 2 2 14 5 11" xfId="24424" xr:uid="{8AABBDB8-575B-4FB3-BE98-609C81724639}"/>
    <cellStyle name="Normal 3 2 2 2 2 2 2 14 5 2" xfId="24425" xr:uid="{BC739442-EEC3-4DD7-8CD5-EFB11219F3C0}"/>
    <cellStyle name="Normal 3 2 2 2 2 2 2 14 5 2 10" xfId="24426" xr:uid="{68B684E1-8D74-4AD7-9C32-438FB131F4BA}"/>
    <cellStyle name="Normal 3 2 2 2 2 2 2 14 5 2 11" xfId="24427" xr:uid="{4B0B0ACB-681D-4336-9C77-DB1302AF1960}"/>
    <cellStyle name="Normal 3 2 2 2 2 2 2 14 5 2 2" xfId="24428" xr:uid="{0B5D8A71-D6CB-4199-90E8-25397D43C416}"/>
    <cellStyle name="Normal 3 2 2 2 2 2 2 14 5 2 2 2" xfId="24429" xr:uid="{5107F019-A157-4903-AD0E-DBABA78D3FAE}"/>
    <cellStyle name="Normal 3 2 2 2 2 2 2 14 5 2 2 2 2" xfId="24430" xr:uid="{523C57DB-DD09-47F6-9314-FB744CB541F9}"/>
    <cellStyle name="Normal 3 2 2 2 2 2 2 14 5 2 2 2 3" xfId="24431" xr:uid="{5304F86A-44D6-45DB-A73A-3754EAB971DC}"/>
    <cellStyle name="Normal 3 2 2 2 2 2 2 14 5 2 2 2 4" xfId="24432" xr:uid="{AC1FDEE5-F8E0-4BB0-A3CE-A1E06BA79864}"/>
    <cellStyle name="Normal 3 2 2 2 2 2 2 14 5 2 2 3" xfId="24433" xr:uid="{E69D3499-B077-446A-8C38-5200E8010C5F}"/>
    <cellStyle name="Normal 3 2 2 2 2 2 2 14 5 2 2 4" xfId="24434" xr:uid="{17DF1A7C-97E8-45A0-9CDB-C7862C19CFFE}"/>
    <cellStyle name="Normal 3 2 2 2 2 2 2 14 5 2 2 5" xfId="24435" xr:uid="{724B85A4-E0D1-4DEF-AC9C-B2C671B48454}"/>
    <cellStyle name="Normal 3 2 2 2 2 2 2 14 5 2 2 6" xfId="24436" xr:uid="{CD77DED6-EA80-4429-85FC-73FAC20D0054}"/>
    <cellStyle name="Normal 3 2 2 2 2 2 2 14 5 2 3" xfId="24437" xr:uid="{8008464F-DD2D-4BBA-9132-26DB7A982AC6}"/>
    <cellStyle name="Normal 3 2 2 2 2 2 2 14 5 2 4" xfId="24438" xr:uid="{DE3AD85C-CF91-43D3-814D-335D9CD4BF26}"/>
    <cellStyle name="Normal 3 2 2 2 2 2 2 14 5 2 5" xfId="24439" xr:uid="{B3927A04-8737-4FBC-B955-82A28156BD7D}"/>
    <cellStyle name="Normal 3 2 2 2 2 2 2 14 5 2 6" xfId="24440" xr:uid="{ED10A79D-A791-44F9-AD7B-5CCED61230ED}"/>
    <cellStyle name="Normal 3 2 2 2 2 2 2 14 5 2 7" xfId="24441" xr:uid="{9A96997B-ACA9-489E-AFC5-26A024267ABA}"/>
    <cellStyle name="Normal 3 2 2 2 2 2 2 14 5 2 8" xfId="24442" xr:uid="{633D3C4B-55FD-4295-993C-A0943E830B8F}"/>
    <cellStyle name="Normal 3 2 2 2 2 2 2 14 5 2 8 2" xfId="24443" xr:uid="{51336E84-7551-4F52-8953-409C7D875703}"/>
    <cellStyle name="Normal 3 2 2 2 2 2 2 14 5 2 8 3" xfId="24444" xr:uid="{0E2E220C-10A8-4D47-A13A-4731130DA131}"/>
    <cellStyle name="Normal 3 2 2 2 2 2 2 14 5 2 8 4" xfId="24445" xr:uid="{DF5B35DB-9055-4E81-BB60-6731C2E37B92}"/>
    <cellStyle name="Normal 3 2 2 2 2 2 2 14 5 2 9" xfId="24446" xr:uid="{4136787C-6B2D-4977-9290-7E38A5F97656}"/>
    <cellStyle name="Normal 3 2 2 2 2 2 2 14 5 3" xfId="24447" xr:uid="{4CF9B4BA-7966-436C-BA4A-332DA7286AE0}"/>
    <cellStyle name="Normal 3 2 2 2 2 2 2 14 5 3 2" xfId="24448" xr:uid="{AC6E6B6A-03B3-460E-B0A5-32C51E6056C7}"/>
    <cellStyle name="Normal 3 2 2 2 2 2 2 14 5 3 2 2" xfId="24449" xr:uid="{B0859E12-1CF9-4AB4-A48B-FB54CEA17934}"/>
    <cellStyle name="Normal 3 2 2 2 2 2 2 14 5 3 2 3" xfId="24450" xr:uid="{A2A14094-ED04-44A6-B5F9-BBBFA5FD77E2}"/>
    <cellStyle name="Normal 3 2 2 2 2 2 2 14 5 3 2 4" xfId="24451" xr:uid="{4DF97E69-2D79-4B7B-970A-07D26A00E75A}"/>
    <cellStyle name="Normal 3 2 2 2 2 2 2 14 5 3 3" xfId="24452" xr:uid="{EEBA9620-AC0B-4897-85BA-8D6FA3C33A0F}"/>
    <cellStyle name="Normal 3 2 2 2 2 2 2 14 5 3 4" xfId="24453" xr:uid="{AEE3AEE1-E801-42AD-BE0E-B163C196958F}"/>
    <cellStyle name="Normal 3 2 2 2 2 2 2 14 5 3 5" xfId="24454" xr:uid="{3FBDC5CE-D5FC-46AB-9A29-D30C569556BD}"/>
    <cellStyle name="Normal 3 2 2 2 2 2 2 14 5 3 6" xfId="24455" xr:uid="{6AF8C5E1-931F-46CD-B11A-868DD3AAF625}"/>
    <cellStyle name="Normal 3 2 2 2 2 2 2 14 5 4" xfId="24456" xr:uid="{2F098432-23D8-4AC0-A93C-5F33DB845032}"/>
    <cellStyle name="Normal 3 2 2 2 2 2 2 14 5 5" xfId="24457" xr:uid="{47332D5C-FD66-42EF-9FCC-D8DC086C2DF4}"/>
    <cellStyle name="Normal 3 2 2 2 2 2 2 14 5 6" xfId="24458" xr:uid="{5C5D52E4-6060-470F-87AA-3229DFAE8099}"/>
    <cellStyle name="Normal 3 2 2 2 2 2 2 14 5 7" xfId="24459" xr:uid="{C71D142D-381C-4077-92EB-35C441DF0F6C}"/>
    <cellStyle name="Normal 3 2 2 2 2 2 2 14 5 8" xfId="24460" xr:uid="{C8E5DD32-8588-4BD5-B346-0C9D9DA98E4D}"/>
    <cellStyle name="Normal 3 2 2 2 2 2 2 14 5 8 2" xfId="24461" xr:uid="{A6AC6DB1-69C1-4BA8-9D9D-72DA83EEF101}"/>
    <cellStyle name="Normal 3 2 2 2 2 2 2 14 5 8 3" xfId="24462" xr:uid="{F52317FE-5406-4C86-9C3E-3EDDD04DABB1}"/>
    <cellStyle name="Normal 3 2 2 2 2 2 2 14 5 8 4" xfId="24463" xr:uid="{07933386-B1FA-42AB-8734-CE04998A03E1}"/>
    <cellStyle name="Normal 3 2 2 2 2 2 2 14 5 9" xfId="24464" xr:uid="{6D17417C-CA93-4C48-A595-17D8508FFC60}"/>
    <cellStyle name="Normal 3 2 2 2 2 2 2 14 6" xfId="24465" xr:uid="{0BD4F2F4-3CE2-4070-BE94-80671F5F7DE8}"/>
    <cellStyle name="Normal 3 2 2 2 2 2 2 14 7" xfId="24466" xr:uid="{49974B67-943C-49D8-9496-41FAA1FE4A57}"/>
    <cellStyle name="Normal 3 2 2 2 2 2 2 14 7 2" xfId="24467" xr:uid="{7A93EC1A-E98B-40A5-87A7-811C55349110}"/>
    <cellStyle name="Normal 3 2 2 2 2 2 2 14 7 2 2" xfId="24468" xr:uid="{6F86DA43-5E6B-4C9B-815A-A5C28363E813}"/>
    <cellStyle name="Normal 3 2 2 2 2 2 2 14 7 2 3" xfId="24469" xr:uid="{09C453C9-06F4-44B3-ACD7-45703B761B43}"/>
    <cellStyle name="Normal 3 2 2 2 2 2 2 14 7 2 4" xfId="24470" xr:uid="{7D07E580-A026-4924-9D8A-98F500541FBC}"/>
    <cellStyle name="Normal 3 2 2 2 2 2 2 14 7 3" xfId="24471" xr:uid="{55E4FBE5-28B9-4C5D-993E-3123FF49E5E0}"/>
    <cellStyle name="Normal 3 2 2 2 2 2 2 14 7 4" xfId="24472" xr:uid="{577ED3CA-D3D5-459F-9264-F505AD2D4104}"/>
    <cellStyle name="Normal 3 2 2 2 2 2 2 14 7 5" xfId="24473" xr:uid="{A70B7B66-D8A7-4215-930A-DB46733B1903}"/>
    <cellStyle name="Normal 3 2 2 2 2 2 2 14 7 6" xfId="24474" xr:uid="{6441E642-FF81-43B2-8971-ABD5A3B4FD4D}"/>
    <cellStyle name="Normal 3 2 2 2 2 2 2 14 8" xfId="24475" xr:uid="{560F73FA-0155-46B9-B81B-94492E263D0C}"/>
    <cellStyle name="Normal 3 2 2 2 2 2 2 14 9" xfId="24476" xr:uid="{F53BC61E-97E6-424E-8A3C-37848B459D0A}"/>
    <cellStyle name="Normal 3 2 2 2 2 2 2 15" xfId="24477" xr:uid="{B14AB645-8EEC-461D-A036-957CF6988FE1}"/>
    <cellStyle name="Normal 3 2 2 2 2 2 2 16" xfId="24478" xr:uid="{CF57851E-B24C-4596-8B51-ADDBD579A237}"/>
    <cellStyle name="Normal 3 2 2 2 2 2 2 17" xfId="24479" xr:uid="{14EB6098-7781-4A2B-822C-DBE27DAA89A1}"/>
    <cellStyle name="Normal 3 2 2 2 2 2 2 18" xfId="24480" xr:uid="{B2D43053-6C57-4B58-87B2-A373C40D509D}"/>
    <cellStyle name="Normal 3 2 2 2 2 2 2 19" xfId="24481" xr:uid="{33574758-C0E0-4957-9DF4-1779C857B59F}"/>
    <cellStyle name="Normal 3 2 2 2 2 2 2 2" xfId="24482" xr:uid="{80E48719-6AF0-4C39-86FB-60892224FA24}"/>
    <cellStyle name="Normal 3 2 2 2 2 2 2 2 10" xfId="24483" xr:uid="{A1FC3FF1-6606-42D0-BA1D-D1A3DBC21E13}"/>
    <cellStyle name="Normal 3 2 2 2 2 2 2 2 11" xfId="24484" xr:uid="{55A56C70-98B0-4E2A-A829-179411CE7735}"/>
    <cellStyle name="Normal 3 2 2 2 2 2 2 2 12" xfId="24485" xr:uid="{FF178146-C360-4166-951E-AE9882EF84AA}"/>
    <cellStyle name="Normal 3 2 2 2 2 2 2 2 12 10" xfId="24486" xr:uid="{D13B5B19-47B6-4692-A2EC-77C4861A6111}"/>
    <cellStyle name="Normal 3 2 2 2 2 2 2 2 12 11" xfId="24487" xr:uid="{A15BC9CF-709F-4E05-A00C-EE40EAC118CF}"/>
    <cellStyle name="Normal 3 2 2 2 2 2 2 2 12 11 10" xfId="24488" xr:uid="{2E18ED2E-540A-4E17-A1D8-A04FA980EC4C}"/>
    <cellStyle name="Normal 3 2 2 2 2 2 2 2 12 11 11" xfId="24489" xr:uid="{20F81487-A5D0-4E3A-920C-D2569CC53D43}"/>
    <cellStyle name="Normal 3 2 2 2 2 2 2 2 12 11 11 2" xfId="24490" xr:uid="{B26E7A79-BB7F-496D-82FD-D3F66AB6BCDE}"/>
    <cellStyle name="Normal 3 2 2 2 2 2 2 2 12 11 11 3" xfId="24491" xr:uid="{CB58852D-AFD7-4A5A-B52B-63F3018F8B36}"/>
    <cellStyle name="Normal 3 2 2 2 2 2 2 2 12 11 11 4" xfId="24492" xr:uid="{12CB3C59-D332-482C-B0B0-C34A58A91E1F}"/>
    <cellStyle name="Normal 3 2 2 2 2 2 2 2 12 11 12" xfId="24493" xr:uid="{7317DE8E-91EC-4580-A9DB-21B48A5120B8}"/>
    <cellStyle name="Normal 3 2 2 2 2 2 2 2 12 11 13" xfId="24494" xr:uid="{E67F6896-CB9C-4817-A973-CC13E216CD66}"/>
    <cellStyle name="Normal 3 2 2 2 2 2 2 2 12 11 14" xfId="24495" xr:uid="{F8DE0AE5-83FF-4702-81D7-778E760B3466}"/>
    <cellStyle name="Normal 3 2 2 2 2 2 2 2 12 11 2" xfId="24496" xr:uid="{ACD09A0E-C696-4618-B0CA-B899D23069CD}"/>
    <cellStyle name="Normal 3 2 2 2 2 2 2 2 12 11 2 10" xfId="24497" xr:uid="{C1AB4018-ED40-4A66-812B-8EAABFA59736}"/>
    <cellStyle name="Normal 3 2 2 2 2 2 2 2 12 11 2 11" xfId="24498" xr:uid="{EC94D1D9-E305-4331-946F-D98282CBF721}"/>
    <cellStyle name="Normal 3 2 2 2 2 2 2 2 12 11 2 2" xfId="24499" xr:uid="{A44AC983-D0C7-44CF-80C8-D12514DFE06A}"/>
    <cellStyle name="Normal 3 2 2 2 2 2 2 2 12 11 2 2 10" xfId="24500" xr:uid="{8C04649C-6700-48A5-9223-A2B107D3FD89}"/>
    <cellStyle name="Normal 3 2 2 2 2 2 2 2 12 11 2 2 11" xfId="24501" xr:uid="{790A73BE-7F9B-4895-8783-79C3207856C8}"/>
    <cellStyle name="Normal 3 2 2 2 2 2 2 2 12 11 2 2 2" xfId="24502" xr:uid="{D4FCA582-1C63-4E8B-8D35-C069D72DA83D}"/>
    <cellStyle name="Normal 3 2 2 2 2 2 2 2 12 11 2 2 2 2" xfId="24503" xr:uid="{1245C8D7-839E-4A76-94FD-B5A12ABFBF36}"/>
    <cellStyle name="Normal 3 2 2 2 2 2 2 2 12 11 2 2 2 2 2" xfId="24504" xr:uid="{B923A93C-8D33-4CBA-BCC1-71D1FD926125}"/>
    <cellStyle name="Normal 3 2 2 2 2 2 2 2 12 11 2 2 2 2 3" xfId="24505" xr:uid="{0C79ADAA-CDE7-45A8-8F11-8805239271E2}"/>
    <cellStyle name="Normal 3 2 2 2 2 2 2 2 12 11 2 2 2 2 4" xfId="24506" xr:uid="{CAADF4F4-033A-46D3-997E-64800720ABE6}"/>
    <cellStyle name="Normal 3 2 2 2 2 2 2 2 12 11 2 2 2 3" xfId="24507" xr:uid="{D3ABCE57-D3D7-4B04-858F-DFF2D0A82F8E}"/>
    <cellStyle name="Normal 3 2 2 2 2 2 2 2 12 11 2 2 2 4" xfId="24508" xr:uid="{BE6349F8-B78B-465B-ACF5-55EFA0751DB8}"/>
    <cellStyle name="Normal 3 2 2 2 2 2 2 2 12 11 2 2 2 5" xfId="24509" xr:uid="{512954FA-32BD-4836-91F9-C286CFDA49EF}"/>
    <cellStyle name="Normal 3 2 2 2 2 2 2 2 12 11 2 2 2 6" xfId="24510" xr:uid="{B5BF592D-68E0-415D-8264-CDB9E1D681BF}"/>
    <cellStyle name="Normal 3 2 2 2 2 2 2 2 12 11 2 2 3" xfId="24511" xr:uid="{42F168D7-32C9-4079-8AA0-FAC5A039F3C7}"/>
    <cellStyle name="Normal 3 2 2 2 2 2 2 2 12 11 2 2 4" xfId="24512" xr:uid="{FA35944A-DCF8-4DD6-B0B2-0CB08FFDD323}"/>
    <cellStyle name="Normal 3 2 2 2 2 2 2 2 12 11 2 2 5" xfId="24513" xr:uid="{74410BF7-5D85-4876-82D2-A9621A3FF9AA}"/>
    <cellStyle name="Normal 3 2 2 2 2 2 2 2 12 11 2 2 6" xfId="24514" xr:uid="{06649345-A640-4FF0-A5F6-BFE9108BB7F8}"/>
    <cellStyle name="Normal 3 2 2 2 2 2 2 2 12 11 2 2 7" xfId="24515" xr:uid="{52FA55B8-28B9-47A8-A255-6A69272672CB}"/>
    <cellStyle name="Normal 3 2 2 2 2 2 2 2 12 11 2 2 8" xfId="24516" xr:uid="{EEA8CBE2-A7FF-4AFA-8274-AC4F526C586A}"/>
    <cellStyle name="Normal 3 2 2 2 2 2 2 2 12 11 2 2 8 2" xfId="24517" xr:uid="{2BF7AD09-0A16-41C5-AB0C-1CD533828D6C}"/>
    <cellStyle name="Normal 3 2 2 2 2 2 2 2 12 11 2 2 8 3" xfId="24518" xr:uid="{5EDA3B9A-6A06-4D31-AF94-C07A7E4B0C7A}"/>
    <cellStyle name="Normal 3 2 2 2 2 2 2 2 12 11 2 2 8 4" xfId="24519" xr:uid="{25046E3B-B304-4916-AD73-2A3C961D6802}"/>
    <cellStyle name="Normal 3 2 2 2 2 2 2 2 12 11 2 2 9" xfId="24520" xr:uid="{C65AD0F2-1DCB-499C-842F-75C090827ACE}"/>
    <cellStyle name="Normal 3 2 2 2 2 2 2 2 12 11 2 3" xfId="24521" xr:uid="{D9AF7D0A-D74C-4AFF-A8B4-6561EEA94755}"/>
    <cellStyle name="Normal 3 2 2 2 2 2 2 2 12 11 2 3 2" xfId="24522" xr:uid="{D34201B0-A1A0-4731-B6EA-2EFD35E965FD}"/>
    <cellStyle name="Normal 3 2 2 2 2 2 2 2 12 11 2 3 2 2" xfId="24523" xr:uid="{6BB503D3-7A7B-4508-971F-7B3F6674B0D6}"/>
    <cellStyle name="Normal 3 2 2 2 2 2 2 2 12 11 2 3 2 3" xfId="24524" xr:uid="{4625B824-7054-457F-BE19-B16FB20F667E}"/>
    <cellStyle name="Normal 3 2 2 2 2 2 2 2 12 11 2 3 2 4" xfId="24525" xr:uid="{2945F4DD-5741-48CD-B673-8ABD2B693E69}"/>
    <cellStyle name="Normal 3 2 2 2 2 2 2 2 12 11 2 3 3" xfId="24526" xr:uid="{17D3B466-096D-4701-A481-83C8A8E8296C}"/>
    <cellStyle name="Normal 3 2 2 2 2 2 2 2 12 11 2 3 4" xfId="24527" xr:uid="{1A6C8264-6447-4610-9ADB-ABB256FDD292}"/>
    <cellStyle name="Normal 3 2 2 2 2 2 2 2 12 11 2 3 5" xfId="24528" xr:uid="{5432CBF4-8C00-4652-8C53-42033A2CC2E9}"/>
    <cellStyle name="Normal 3 2 2 2 2 2 2 2 12 11 2 3 6" xfId="24529" xr:uid="{6E7AE348-97FB-4DE1-A8EC-D1C88695F5BD}"/>
    <cellStyle name="Normal 3 2 2 2 2 2 2 2 12 11 2 4" xfId="24530" xr:uid="{AD845922-B627-4AF9-905C-1B35C395D828}"/>
    <cellStyle name="Normal 3 2 2 2 2 2 2 2 12 11 2 5" xfId="24531" xr:uid="{3C8C1806-67CF-429A-B64B-B663A1696C83}"/>
    <cellStyle name="Normal 3 2 2 2 2 2 2 2 12 11 2 6" xfId="24532" xr:uid="{6185FCF1-EB5D-499E-9113-F6B0E7991E55}"/>
    <cellStyle name="Normal 3 2 2 2 2 2 2 2 12 11 2 7" xfId="24533" xr:uid="{1DB74804-92EE-4AF3-899F-CECAB929230E}"/>
    <cellStyle name="Normal 3 2 2 2 2 2 2 2 12 11 2 8" xfId="24534" xr:uid="{E0E15F9C-BA14-4C05-AF83-D6C1FF8B68B4}"/>
    <cellStyle name="Normal 3 2 2 2 2 2 2 2 12 11 2 8 2" xfId="24535" xr:uid="{529E7079-5327-4F24-B4C1-F31E888087FC}"/>
    <cellStyle name="Normal 3 2 2 2 2 2 2 2 12 11 2 8 3" xfId="24536" xr:uid="{871A146D-F964-420B-9AD5-876FBF65815F}"/>
    <cellStyle name="Normal 3 2 2 2 2 2 2 2 12 11 2 8 4" xfId="24537" xr:uid="{9572D51A-4EC0-49D4-A367-0E89AB41DAEF}"/>
    <cellStyle name="Normal 3 2 2 2 2 2 2 2 12 11 2 9" xfId="24538" xr:uid="{B419ED1A-9235-4B12-9506-0BED1540D291}"/>
    <cellStyle name="Normal 3 2 2 2 2 2 2 2 12 11 3" xfId="24539" xr:uid="{EDB0BEE3-0A90-480A-988A-F2B57979CF91}"/>
    <cellStyle name="Normal 3 2 2 2 2 2 2 2 12 11 4" xfId="24540" xr:uid="{2C25DC81-4894-4D30-B502-2FE1150672E1}"/>
    <cellStyle name="Normal 3 2 2 2 2 2 2 2 12 11 5" xfId="24541" xr:uid="{67FCFDB9-307F-4E96-96F7-4AB747AA0290}"/>
    <cellStyle name="Normal 3 2 2 2 2 2 2 2 12 11 5 2" xfId="24542" xr:uid="{F6E8485F-81B1-42F6-920E-1E79ED381EAA}"/>
    <cellStyle name="Normal 3 2 2 2 2 2 2 2 12 11 5 2 2" xfId="24543" xr:uid="{D0893ECA-A464-4123-B3AE-C4711F666408}"/>
    <cellStyle name="Normal 3 2 2 2 2 2 2 2 12 11 5 2 3" xfId="24544" xr:uid="{B52C40C6-A6C8-45AD-A100-B5D02C6DBBBF}"/>
    <cellStyle name="Normal 3 2 2 2 2 2 2 2 12 11 5 2 4" xfId="24545" xr:uid="{2A5C6284-867D-4DA0-86DA-AC2A28C61518}"/>
    <cellStyle name="Normal 3 2 2 2 2 2 2 2 12 11 5 3" xfId="24546" xr:uid="{B710557C-0C51-4CFD-B65A-5AEF180EB4D4}"/>
    <cellStyle name="Normal 3 2 2 2 2 2 2 2 12 11 5 4" xfId="24547" xr:uid="{B0FDDE85-B41F-42D9-BD23-66A49FC6FAA0}"/>
    <cellStyle name="Normal 3 2 2 2 2 2 2 2 12 11 5 5" xfId="24548" xr:uid="{0C7935FA-6C16-4780-B889-4BB5C36531BE}"/>
    <cellStyle name="Normal 3 2 2 2 2 2 2 2 12 11 5 6" xfId="24549" xr:uid="{FBC1E517-7712-46A9-AF63-A083007E44C0}"/>
    <cellStyle name="Normal 3 2 2 2 2 2 2 2 12 11 6" xfId="24550" xr:uid="{98BA5C86-79AA-4059-866D-15E6A4528FB8}"/>
    <cellStyle name="Normal 3 2 2 2 2 2 2 2 12 11 7" xfId="24551" xr:uid="{E7976DD7-1FA5-457D-B9A9-4F0A1132D054}"/>
    <cellStyle name="Normal 3 2 2 2 2 2 2 2 12 11 8" xfId="24552" xr:uid="{255C9996-1EDA-4B7D-B5F2-4913DC0AA0F7}"/>
    <cellStyle name="Normal 3 2 2 2 2 2 2 2 12 11 9" xfId="24553" xr:uid="{1FA81A5C-69DC-43AB-8856-946EF024DA7F}"/>
    <cellStyle name="Normal 3 2 2 2 2 2 2 2 12 12" xfId="24554" xr:uid="{808ED0D3-E5BE-4A10-B9EB-611326BB32C3}"/>
    <cellStyle name="Normal 3 2 2 2 2 2 2 2 12 13" xfId="24555" xr:uid="{45DF0A43-4802-4FA3-9A1E-1F803847E0D8}"/>
    <cellStyle name="Normal 3 2 2 2 2 2 2 2 12 13 10" xfId="24556" xr:uid="{5060C0BB-E1BA-477B-92FC-AB8D42B8EB0E}"/>
    <cellStyle name="Normal 3 2 2 2 2 2 2 2 12 13 11" xfId="24557" xr:uid="{B63ECA0F-29BD-4637-AC26-66EE44CFEBA8}"/>
    <cellStyle name="Normal 3 2 2 2 2 2 2 2 12 13 2" xfId="24558" xr:uid="{2E4088EB-D7FC-42E1-B33D-CCFD9F9C804E}"/>
    <cellStyle name="Normal 3 2 2 2 2 2 2 2 12 13 2 10" xfId="24559" xr:uid="{FA4396EC-4974-4F3B-B1DF-9366D3FC5135}"/>
    <cellStyle name="Normal 3 2 2 2 2 2 2 2 12 13 2 11" xfId="24560" xr:uid="{478B27EB-EA12-4B7B-B46D-C436486F3BBF}"/>
    <cellStyle name="Normal 3 2 2 2 2 2 2 2 12 13 2 2" xfId="24561" xr:uid="{7E99E63B-9C0A-4B57-9EA0-46BDADA2785A}"/>
    <cellStyle name="Normal 3 2 2 2 2 2 2 2 12 13 2 2 2" xfId="24562" xr:uid="{B50BA606-4180-4581-9059-267992AED5AB}"/>
    <cellStyle name="Normal 3 2 2 2 2 2 2 2 12 13 2 2 2 2" xfId="24563" xr:uid="{558C494E-2C01-4BB7-B5DA-C1470EEC6C55}"/>
    <cellStyle name="Normal 3 2 2 2 2 2 2 2 12 13 2 2 2 3" xfId="24564" xr:uid="{83727C0A-B134-43D5-8A4A-81A32FB0BB73}"/>
    <cellStyle name="Normal 3 2 2 2 2 2 2 2 12 13 2 2 2 4" xfId="24565" xr:uid="{20B985FA-D4DE-483B-84FD-DDC9F00337A4}"/>
    <cellStyle name="Normal 3 2 2 2 2 2 2 2 12 13 2 2 3" xfId="24566" xr:uid="{2ED8DD0D-CAEA-4568-B8DC-0693E5EB7E20}"/>
    <cellStyle name="Normal 3 2 2 2 2 2 2 2 12 13 2 2 4" xfId="24567" xr:uid="{D3F6581B-3F2B-4801-80CF-7E12E9892CD7}"/>
    <cellStyle name="Normal 3 2 2 2 2 2 2 2 12 13 2 2 5" xfId="24568" xr:uid="{5F19733D-C4F9-4979-97C9-4933B9B309C3}"/>
    <cellStyle name="Normal 3 2 2 2 2 2 2 2 12 13 2 2 6" xfId="24569" xr:uid="{C9428B2A-D274-4047-9300-9D8643662F91}"/>
    <cellStyle name="Normal 3 2 2 2 2 2 2 2 12 13 2 3" xfId="24570" xr:uid="{DFC4495B-AC04-4AAC-A3F0-939003ECB8D6}"/>
    <cellStyle name="Normal 3 2 2 2 2 2 2 2 12 13 2 4" xfId="24571" xr:uid="{D312DB1F-ACCE-436D-BB36-5B61025D6A8B}"/>
    <cellStyle name="Normal 3 2 2 2 2 2 2 2 12 13 2 5" xfId="24572" xr:uid="{CA7033B6-7D90-455D-A907-525EB045F497}"/>
    <cellStyle name="Normal 3 2 2 2 2 2 2 2 12 13 2 6" xfId="24573" xr:uid="{A72EF959-6B7E-495A-B2D4-8C24478B2AFF}"/>
    <cellStyle name="Normal 3 2 2 2 2 2 2 2 12 13 2 7" xfId="24574" xr:uid="{C331D6AF-44AD-4306-82A7-764EFBC31C94}"/>
    <cellStyle name="Normal 3 2 2 2 2 2 2 2 12 13 2 8" xfId="24575" xr:uid="{0079D81E-5AA1-49FE-8ADF-A2745DF1EA5F}"/>
    <cellStyle name="Normal 3 2 2 2 2 2 2 2 12 13 2 8 2" xfId="24576" xr:uid="{29A75B6F-1444-4DE9-A5EA-AA5FBE21CBDF}"/>
    <cellStyle name="Normal 3 2 2 2 2 2 2 2 12 13 2 8 3" xfId="24577" xr:uid="{DA5716B5-4089-4EC6-84F8-F22D2BC00091}"/>
    <cellStyle name="Normal 3 2 2 2 2 2 2 2 12 13 2 8 4" xfId="24578" xr:uid="{C7AE3EEE-9BCA-4847-A799-019C42D275F6}"/>
    <cellStyle name="Normal 3 2 2 2 2 2 2 2 12 13 2 9" xfId="24579" xr:uid="{3BE3AFA8-8F00-48D3-94B0-424843451331}"/>
    <cellStyle name="Normal 3 2 2 2 2 2 2 2 12 13 3" xfId="24580" xr:uid="{9BA11AA4-40B7-4A68-AC72-1B4C0FAAB5B3}"/>
    <cellStyle name="Normal 3 2 2 2 2 2 2 2 12 13 3 2" xfId="24581" xr:uid="{9D34F949-240A-4897-82A2-5ACBC15B8004}"/>
    <cellStyle name="Normal 3 2 2 2 2 2 2 2 12 13 3 2 2" xfId="24582" xr:uid="{F7D04649-3814-4DE3-9716-CEA2C13BB3B0}"/>
    <cellStyle name="Normal 3 2 2 2 2 2 2 2 12 13 3 2 3" xfId="24583" xr:uid="{85C9DBA2-DED4-4B14-98E5-CE4C47864B44}"/>
    <cellStyle name="Normal 3 2 2 2 2 2 2 2 12 13 3 2 4" xfId="24584" xr:uid="{D48C1BC4-3880-48BA-9526-03A05CEBDC6A}"/>
    <cellStyle name="Normal 3 2 2 2 2 2 2 2 12 13 3 3" xfId="24585" xr:uid="{210B582B-8176-41C7-9480-E966A7B66A64}"/>
    <cellStyle name="Normal 3 2 2 2 2 2 2 2 12 13 3 4" xfId="24586" xr:uid="{053BA1AF-15D3-4101-AD72-2BE5E51CB9FC}"/>
    <cellStyle name="Normal 3 2 2 2 2 2 2 2 12 13 3 5" xfId="24587" xr:uid="{78DD24C4-C424-4FBA-ACA8-2DB7450622CE}"/>
    <cellStyle name="Normal 3 2 2 2 2 2 2 2 12 13 3 6" xfId="24588" xr:uid="{3BA60996-BE2F-4DB8-8C1A-6E8F1C31F301}"/>
    <cellStyle name="Normal 3 2 2 2 2 2 2 2 12 13 4" xfId="24589" xr:uid="{8F9D2A56-1D16-4F87-91CD-F3AC5BB85309}"/>
    <cellStyle name="Normal 3 2 2 2 2 2 2 2 12 13 5" xfId="24590" xr:uid="{C399063A-3836-4F2F-86ED-FD0ADBF1A04B}"/>
    <cellStyle name="Normal 3 2 2 2 2 2 2 2 12 13 6" xfId="24591" xr:uid="{145965DD-5B37-41F3-9892-7F5D45DFEFDC}"/>
    <cellStyle name="Normal 3 2 2 2 2 2 2 2 12 13 7" xfId="24592" xr:uid="{C4F29B59-3A3A-4BA6-8404-97AABA803D9A}"/>
    <cellStyle name="Normal 3 2 2 2 2 2 2 2 12 13 8" xfId="24593" xr:uid="{5748393E-CE91-403E-ABDA-811BF544E479}"/>
    <cellStyle name="Normal 3 2 2 2 2 2 2 2 12 13 8 2" xfId="24594" xr:uid="{92B57834-1739-44FD-8BE4-2B3A1308E454}"/>
    <cellStyle name="Normal 3 2 2 2 2 2 2 2 12 13 8 3" xfId="24595" xr:uid="{CD155D45-EEC2-419D-96A2-AC6AE4AC19AD}"/>
    <cellStyle name="Normal 3 2 2 2 2 2 2 2 12 13 8 4" xfId="24596" xr:uid="{2CC237E9-5CFE-4AA8-B90A-1F6DD1704B33}"/>
    <cellStyle name="Normal 3 2 2 2 2 2 2 2 12 13 9" xfId="24597" xr:uid="{43FB7C4B-4F6C-4CF5-8D5C-0BF35C404F4E}"/>
    <cellStyle name="Normal 3 2 2 2 2 2 2 2 12 14" xfId="24598" xr:uid="{54B959C6-55B8-43EC-9B28-E61E1B2BD41A}"/>
    <cellStyle name="Normal 3 2 2 2 2 2 2 2 12 15" xfId="24599" xr:uid="{DF4828B8-E17E-41D2-8B38-501FC9AF3910}"/>
    <cellStyle name="Normal 3 2 2 2 2 2 2 2 12 15 2" xfId="24600" xr:uid="{621B415E-2EB4-4D49-9CB9-6498B85743BF}"/>
    <cellStyle name="Normal 3 2 2 2 2 2 2 2 12 15 2 2" xfId="24601" xr:uid="{85759CE2-FA95-4340-B3AF-7571EC22ADA0}"/>
    <cellStyle name="Normal 3 2 2 2 2 2 2 2 12 15 2 3" xfId="24602" xr:uid="{C71E893A-30B9-4929-A2B7-AABB96E1E480}"/>
    <cellStyle name="Normal 3 2 2 2 2 2 2 2 12 15 2 4" xfId="24603" xr:uid="{8CE7DA9E-14BE-46EC-A3A3-B0F62F89420B}"/>
    <cellStyle name="Normal 3 2 2 2 2 2 2 2 12 15 3" xfId="24604" xr:uid="{57C863E5-6AEB-488D-90AB-75689980B71A}"/>
    <cellStyle name="Normal 3 2 2 2 2 2 2 2 12 15 4" xfId="24605" xr:uid="{BDA5C561-18DF-4410-8D93-EC39367E84A2}"/>
    <cellStyle name="Normal 3 2 2 2 2 2 2 2 12 15 5" xfId="24606" xr:uid="{569A741A-1BF4-49E1-9BAB-4AFDD0189034}"/>
    <cellStyle name="Normal 3 2 2 2 2 2 2 2 12 15 6" xfId="24607" xr:uid="{0036FEC1-8494-4615-B2C7-C1E0EE40D062}"/>
    <cellStyle name="Normal 3 2 2 2 2 2 2 2 12 16" xfId="24608" xr:uid="{22EB1E9B-75A4-400E-8FFD-1344AC633FE6}"/>
    <cellStyle name="Normal 3 2 2 2 2 2 2 2 12 17" xfId="24609" xr:uid="{637D69C2-1D06-47D7-95AE-7418BC10FAB1}"/>
    <cellStyle name="Normal 3 2 2 2 2 2 2 2 12 18" xfId="24610" xr:uid="{5222BACB-FC0F-4C46-A9B3-95668D92CA6D}"/>
    <cellStyle name="Normal 3 2 2 2 2 2 2 2 12 19" xfId="24611" xr:uid="{02710D2E-C6E0-48F8-A4F5-77D048A1E86E}"/>
    <cellStyle name="Normal 3 2 2 2 2 2 2 2 12 2" xfId="24612" xr:uid="{40197A77-058C-4110-A646-A00726B3E6F5}"/>
    <cellStyle name="Normal 3 2 2 2 2 2 2 2 12 2 10" xfId="24613" xr:uid="{AECEB7A9-8ED3-4796-8A82-D27971A86BF7}"/>
    <cellStyle name="Normal 3 2 2 2 2 2 2 2 12 2 11" xfId="24614" xr:uid="{C733432D-19A5-4295-B4D1-3607686A631B}"/>
    <cellStyle name="Normal 3 2 2 2 2 2 2 2 12 2 12" xfId="24615" xr:uid="{B7139CA4-D0DA-402E-881C-6D4B4B5E188A}"/>
    <cellStyle name="Normal 3 2 2 2 2 2 2 2 12 2 13" xfId="24616" xr:uid="{B4C292D4-F506-4D15-9CB8-1AE6F6058298}"/>
    <cellStyle name="Normal 3 2 2 2 2 2 2 2 12 2 13 2" xfId="24617" xr:uid="{854C0488-426F-49E2-BE94-D55710F3202E}"/>
    <cellStyle name="Normal 3 2 2 2 2 2 2 2 12 2 13 3" xfId="24618" xr:uid="{017A5F12-08C5-4572-80DB-769216EB19DC}"/>
    <cellStyle name="Normal 3 2 2 2 2 2 2 2 12 2 13 4" xfId="24619" xr:uid="{A875140B-F3C9-47A2-AE22-8E877E69B1C5}"/>
    <cellStyle name="Normal 3 2 2 2 2 2 2 2 12 2 14" xfId="24620" xr:uid="{C95525A7-B4B3-44BF-B59D-109C73F87C5B}"/>
    <cellStyle name="Normal 3 2 2 2 2 2 2 2 12 2 15" xfId="24621" xr:uid="{81B1D2B7-780A-4011-B22D-E28036E65117}"/>
    <cellStyle name="Normal 3 2 2 2 2 2 2 2 12 2 16" xfId="24622" xr:uid="{BBEA69C8-7E19-4B7D-A86F-D1C760340046}"/>
    <cellStyle name="Normal 3 2 2 2 2 2 2 2 12 2 2" xfId="24623" xr:uid="{0FA0CA4D-DA83-4885-91C7-9F71D49DCAD4}"/>
    <cellStyle name="Normal 3 2 2 2 2 2 2 2 12 2 2 10" xfId="24624" xr:uid="{212FDE68-1F57-42E2-920C-55CC3077FCBB}"/>
    <cellStyle name="Normal 3 2 2 2 2 2 2 2 12 2 2 11" xfId="24625" xr:uid="{EAFB089B-BCB9-444A-9B12-F74618812876}"/>
    <cellStyle name="Normal 3 2 2 2 2 2 2 2 12 2 2 11 2" xfId="24626" xr:uid="{6A4C8C25-75DF-495E-BA5F-89B7C4168BAB}"/>
    <cellStyle name="Normal 3 2 2 2 2 2 2 2 12 2 2 11 3" xfId="24627" xr:uid="{CFCDA4E1-B02C-4919-BF21-7F21D9A42523}"/>
    <cellStyle name="Normal 3 2 2 2 2 2 2 2 12 2 2 11 4" xfId="24628" xr:uid="{A1CFF504-6047-4995-B9FC-3EAF8DA84B34}"/>
    <cellStyle name="Normal 3 2 2 2 2 2 2 2 12 2 2 12" xfId="24629" xr:uid="{2DB2CAD9-7490-4B66-849D-E944A6B165AC}"/>
    <cellStyle name="Normal 3 2 2 2 2 2 2 2 12 2 2 13" xfId="24630" xr:uid="{45416F2C-E17D-4CF5-9BC9-2D6A01E84732}"/>
    <cellStyle name="Normal 3 2 2 2 2 2 2 2 12 2 2 14" xfId="24631" xr:uid="{BA9C109C-ED0F-4BE1-B79C-8A91A8184F37}"/>
    <cellStyle name="Normal 3 2 2 2 2 2 2 2 12 2 2 2" xfId="24632" xr:uid="{72946A92-4445-4E99-83A1-6BE10BDE5307}"/>
    <cellStyle name="Normal 3 2 2 2 2 2 2 2 12 2 2 2 10" xfId="24633" xr:uid="{20C9750E-EFB3-4BE8-82A1-E4F7A0E6EFF3}"/>
    <cellStyle name="Normal 3 2 2 2 2 2 2 2 12 2 2 2 11" xfId="24634" xr:uid="{D2ABB056-9DBA-4002-AFB5-80D01B146A2D}"/>
    <cellStyle name="Normal 3 2 2 2 2 2 2 2 12 2 2 2 2" xfId="24635" xr:uid="{FEC4EDFF-6793-4005-9EBB-548F0E5AFF17}"/>
    <cellStyle name="Normal 3 2 2 2 2 2 2 2 12 2 2 2 2 10" xfId="24636" xr:uid="{5CEA3653-A423-4706-944E-5CD1C8493D54}"/>
    <cellStyle name="Normal 3 2 2 2 2 2 2 2 12 2 2 2 2 11" xfId="24637" xr:uid="{0465A8EE-249E-4922-8037-195908DC7316}"/>
    <cellStyle name="Normal 3 2 2 2 2 2 2 2 12 2 2 2 2 2" xfId="24638" xr:uid="{252C21A1-0788-4057-A6FF-E16603D93BA7}"/>
    <cellStyle name="Normal 3 2 2 2 2 2 2 2 12 2 2 2 2 2 2" xfId="24639" xr:uid="{E5E27770-E8B2-400A-8905-ECAF51300FC6}"/>
    <cellStyle name="Normal 3 2 2 2 2 2 2 2 12 2 2 2 2 2 2 2" xfId="24640" xr:uid="{7DCCEEAE-A3A2-442C-B051-4841151A173E}"/>
    <cellStyle name="Normal 3 2 2 2 2 2 2 2 12 2 2 2 2 2 2 3" xfId="24641" xr:uid="{9504E081-4504-47CD-A66C-08801FB30BA1}"/>
    <cellStyle name="Normal 3 2 2 2 2 2 2 2 12 2 2 2 2 2 2 4" xfId="24642" xr:uid="{E2392092-1C9E-47F4-9D32-4637EC4AB86E}"/>
    <cellStyle name="Normal 3 2 2 2 2 2 2 2 12 2 2 2 2 2 3" xfId="24643" xr:uid="{5EE12493-A09C-4404-8C64-9ADF59E251FC}"/>
    <cellStyle name="Normal 3 2 2 2 2 2 2 2 12 2 2 2 2 2 4" xfId="24644" xr:uid="{2B5F7F49-FAC2-4205-9666-5F1FE0F18F54}"/>
    <cellStyle name="Normal 3 2 2 2 2 2 2 2 12 2 2 2 2 2 5" xfId="24645" xr:uid="{08888C46-C038-4E8B-8711-DA8BC5D3423B}"/>
    <cellStyle name="Normal 3 2 2 2 2 2 2 2 12 2 2 2 2 2 6" xfId="24646" xr:uid="{A9344696-381F-4E55-95B8-3645E3C3D942}"/>
    <cellStyle name="Normal 3 2 2 2 2 2 2 2 12 2 2 2 2 3" xfId="24647" xr:uid="{831291C0-3B6C-4DD2-9A65-EA9A8D3043B2}"/>
    <cellStyle name="Normal 3 2 2 2 2 2 2 2 12 2 2 2 2 4" xfId="24648" xr:uid="{D84839B8-2DA7-4724-92D2-E9659D191CAA}"/>
    <cellStyle name="Normal 3 2 2 2 2 2 2 2 12 2 2 2 2 5" xfId="24649" xr:uid="{62CE3C7D-AF33-454B-A90A-CEFD1D3A44B7}"/>
    <cellStyle name="Normal 3 2 2 2 2 2 2 2 12 2 2 2 2 6" xfId="24650" xr:uid="{3EAD39F8-C4E7-4E46-AE22-FFDF0C72FFEF}"/>
    <cellStyle name="Normal 3 2 2 2 2 2 2 2 12 2 2 2 2 7" xfId="24651" xr:uid="{C70BDDD1-D0C2-42D2-BF5B-07EA6A8F37F6}"/>
    <cellStyle name="Normal 3 2 2 2 2 2 2 2 12 2 2 2 2 8" xfId="24652" xr:uid="{B0D394CA-0CE6-4380-B343-5F1D12EFB4A9}"/>
    <cellStyle name="Normal 3 2 2 2 2 2 2 2 12 2 2 2 2 8 2" xfId="24653" xr:uid="{9FCDE01C-8A1E-4360-BBB0-6BC33BCE4F13}"/>
    <cellStyle name="Normal 3 2 2 2 2 2 2 2 12 2 2 2 2 8 3" xfId="24654" xr:uid="{BD29D90B-135F-4A12-B50C-F0B7EE4AC274}"/>
    <cellStyle name="Normal 3 2 2 2 2 2 2 2 12 2 2 2 2 8 4" xfId="24655" xr:uid="{2129F19D-9649-430A-931C-4D93CBBD47D0}"/>
    <cellStyle name="Normal 3 2 2 2 2 2 2 2 12 2 2 2 2 9" xfId="24656" xr:uid="{9033B4AA-1F4B-42EB-9AB9-DEC55FD39F83}"/>
    <cellStyle name="Normal 3 2 2 2 2 2 2 2 12 2 2 2 3" xfId="24657" xr:uid="{B47763E6-5E9F-4EE6-BDDB-D195951BFC01}"/>
    <cellStyle name="Normal 3 2 2 2 2 2 2 2 12 2 2 2 3 2" xfId="24658" xr:uid="{20F100EE-7333-48A9-8F6D-40C7288B8EF5}"/>
    <cellStyle name="Normal 3 2 2 2 2 2 2 2 12 2 2 2 3 2 2" xfId="24659" xr:uid="{D9D6DA34-5BDF-4631-A16C-F4E2C0DEBAA5}"/>
    <cellStyle name="Normal 3 2 2 2 2 2 2 2 12 2 2 2 3 2 3" xfId="24660" xr:uid="{5661DE1D-68F3-413A-9323-ED299D8CDB0B}"/>
    <cellStyle name="Normal 3 2 2 2 2 2 2 2 12 2 2 2 3 2 4" xfId="24661" xr:uid="{00300790-B70D-44BC-B793-0D36321B80E6}"/>
    <cellStyle name="Normal 3 2 2 2 2 2 2 2 12 2 2 2 3 3" xfId="24662" xr:uid="{6B1187CD-4208-4E2A-A52F-907678258701}"/>
    <cellStyle name="Normal 3 2 2 2 2 2 2 2 12 2 2 2 3 4" xfId="24663" xr:uid="{B3B86C3C-9F9A-427D-B90C-BC0DF89CF66C}"/>
    <cellStyle name="Normal 3 2 2 2 2 2 2 2 12 2 2 2 3 5" xfId="24664" xr:uid="{4B7BD1CE-A336-4C7C-B11A-0303FDDA0BDC}"/>
    <cellStyle name="Normal 3 2 2 2 2 2 2 2 12 2 2 2 3 6" xfId="24665" xr:uid="{577DD89F-6827-4146-A41A-548D927EE98E}"/>
    <cellStyle name="Normal 3 2 2 2 2 2 2 2 12 2 2 2 4" xfId="24666" xr:uid="{C4C79186-6364-4009-BFBC-332FE522D101}"/>
    <cellStyle name="Normal 3 2 2 2 2 2 2 2 12 2 2 2 5" xfId="24667" xr:uid="{313DDF68-AFE1-4CE7-B2F0-3D13C9ABB432}"/>
    <cellStyle name="Normal 3 2 2 2 2 2 2 2 12 2 2 2 6" xfId="24668" xr:uid="{AB506DF0-A8C4-451C-BB27-20B538D254F3}"/>
    <cellStyle name="Normal 3 2 2 2 2 2 2 2 12 2 2 2 7" xfId="24669" xr:uid="{1FC46984-1027-4213-80FB-49B2F7C7FE77}"/>
    <cellStyle name="Normal 3 2 2 2 2 2 2 2 12 2 2 2 8" xfId="24670" xr:uid="{9057E612-AD3E-46B7-8506-989D07314853}"/>
    <cellStyle name="Normal 3 2 2 2 2 2 2 2 12 2 2 2 8 2" xfId="24671" xr:uid="{04DF55AE-807C-4B2E-A05A-25C1265ED2D0}"/>
    <cellStyle name="Normal 3 2 2 2 2 2 2 2 12 2 2 2 8 3" xfId="24672" xr:uid="{B2F91DF3-752F-4E8C-9F4F-06975E3E78DE}"/>
    <cellStyle name="Normal 3 2 2 2 2 2 2 2 12 2 2 2 8 4" xfId="24673" xr:uid="{52065400-FEE1-429D-BB4A-DB3DE82B25E9}"/>
    <cellStyle name="Normal 3 2 2 2 2 2 2 2 12 2 2 2 9" xfId="24674" xr:uid="{069D3A9E-087F-4EDB-887B-454EAA63FC0D}"/>
    <cellStyle name="Normal 3 2 2 2 2 2 2 2 12 2 2 3" xfId="24675" xr:uid="{E2BD4A95-6453-4433-80D1-029A14C06AF5}"/>
    <cellStyle name="Normal 3 2 2 2 2 2 2 2 12 2 2 4" xfId="24676" xr:uid="{F617F0EA-5FC1-4A7E-AF57-F3F91937326B}"/>
    <cellStyle name="Normal 3 2 2 2 2 2 2 2 12 2 2 5" xfId="24677" xr:uid="{B9D72FF3-8182-451B-A260-666885042564}"/>
    <cellStyle name="Normal 3 2 2 2 2 2 2 2 12 2 2 5 2" xfId="24678" xr:uid="{01DADDBC-F814-46E1-AB37-7BB6942284AE}"/>
    <cellStyle name="Normal 3 2 2 2 2 2 2 2 12 2 2 5 2 2" xfId="24679" xr:uid="{F71630DE-C8C8-429B-94A3-A1D6F5D8533B}"/>
    <cellStyle name="Normal 3 2 2 2 2 2 2 2 12 2 2 5 2 3" xfId="24680" xr:uid="{075C34C3-6FEB-4B94-9181-2A8EC1696F0A}"/>
    <cellStyle name="Normal 3 2 2 2 2 2 2 2 12 2 2 5 2 4" xfId="24681" xr:uid="{56256DAD-A62E-47BA-88E5-DB5BD668D012}"/>
    <cellStyle name="Normal 3 2 2 2 2 2 2 2 12 2 2 5 3" xfId="24682" xr:uid="{73572A68-6FE2-4D57-B506-889225642CB9}"/>
    <cellStyle name="Normal 3 2 2 2 2 2 2 2 12 2 2 5 4" xfId="24683" xr:uid="{71F32BF6-BDDB-4ACF-9388-D80126CF1899}"/>
    <cellStyle name="Normal 3 2 2 2 2 2 2 2 12 2 2 5 5" xfId="24684" xr:uid="{5AC60104-8C42-4760-B2C3-397D5FE9C8FD}"/>
    <cellStyle name="Normal 3 2 2 2 2 2 2 2 12 2 2 5 6" xfId="24685" xr:uid="{B27DC5F8-7642-41C8-B537-750A60F2F184}"/>
    <cellStyle name="Normal 3 2 2 2 2 2 2 2 12 2 2 6" xfId="24686" xr:uid="{CD79223C-1E23-4D46-BBF3-E107E6F735B1}"/>
    <cellStyle name="Normal 3 2 2 2 2 2 2 2 12 2 2 7" xfId="24687" xr:uid="{74E39506-35EF-4891-A8B9-0A5D73143708}"/>
    <cellStyle name="Normal 3 2 2 2 2 2 2 2 12 2 2 8" xfId="24688" xr:uid="{7CE3EF0A-DC6F-42FE-B762-94CFD59113D0}"/>
    <cellStyle name="Normal 3 2 2 2 2 2 2 2 12 2 2 9" xfId="24689" xr:uid="{B7D9A6A1-F900-432D-8108-8ABD7963B74F}"/>
    <cellStyle name="Normal 3 2 2 2 2 2 2 2 12 2 3" xfId="24690" xr:uid="{47374DB3-58FE-4716-B90B-357F416429B5}"/>
    <cellStyle name="Normal 3 2 2 2 2 2 2 2 12 2 4" xfId="24691" xr:uid="{3A1AA3B4-6532-4E44-9BDF-37A72A4F1FB1}"/>
    <cellStyle name="Normal 3 2 2 2 2 2 2 2 12 2 5" xfId="24692" xr:uid="{C7462864-8DA0-46FB-AB3C-A1301A856BB9}"/>
    <cellStyle name="Normal 3 2 2 2 2 2 2 2 12 2 5 10" xfId="24693" xr:uid="{2E2F6D20-A09A-4C1D-B01A-4D6C37FDCA90}"/>
    <cellStyle name="Normal 3 2 2 2 2 2 2 2 12 2 5 11" xfId="24694" xr:uid="{F4381CDC-DFB6-41E1-B885-CBF553D6DA32}"/>
    <cellStyle name="Normal 3 2 2 2 2 2 2 2 12 2 5 2" xfId="24695" xr:uid="{7C5D8AAF-6F8A-442F-AF7F-CD7726BE47CE}"/>
    <cellStyle name="Normal 3 2 2 2 2 2 2 2 12 2 5 2 10" xfId="24696" xr:uid="{5840EBDF-C47D-41EF-A3CB-0D67593F98DC}"/>
    <cellStyle name="Normal 3 2 2 2 2 2 2 2 12 2 5 2 11" xfId="24697" xr:uid="{DF592485-1997-4579-9156-011E84863D9A}"/>
    <cellStyle name="Normal 3 2 2 2 2 2 2 2 12 2 5 2 2" xfId="24698" xr:uid="{EB30835E-6EF0-4A55-A2C7-974F0FD3D344}"/>
    <cellStyle name="Normal 3 2 2 2 2 2 2 2 12 2 5 2 2 2" xfId="24699" xr:uid="{0F1C771C-B9A7-4E77-9D07-730641038547}"/>
    <cellStyle name="Normal 3 2 2 2 2 2 2 2 12 2 5 2 2 2 2" xfId="24700" xr:uid="{40C6919B-76B1-4123-9224-01E960CD7A70}"/>
    <cellStyle name="Normal 3 2 2 2 2 2 2 2 12 2 5 2 2 2 3" xfId="24701" xr:uid="{BA0CCD83-A7B9-44CD-ABF6-17CCF22D0EF1}"/>
    <cellStyle name="Normal 3 2 2 2 2 2 2 2 12 2 5 2 2 2 4" xfId="24702" xr:uid="{247AEB4E-A8F3-42B4-8654-87F9F2C6D74A}"/>
    <cellStyle name="Normal 3 2 2 2 2 2 2 2 12 2 5 2 2 3" xfId="24703" xr:uid="{A964751E-44B1-496E-B89C-FC40E85510CC}"/>
    <cellStyle name="Normal 3 2 2 2 2 2 2 2 12 2 5 2 2 4" xfId="24704" xr:uid="{85FAA7AD-EA53-41F4-AEE8-92EA4E3839E9}"/>
    <cellStyle name="Normal 3 2 2 2 2 2 2 2 12 2 5 2 2 5" xfId="24705" xr:uid="{4E99580B-5A26-420A-A822-06A8BB535F73}"/>
    <cellStyle name="Normal 3 2 2 2 2 2 2 2 12 2 5 2 2 6" xfId="24706" xr:uid="{4745E2B1-6ED1-48DF-A492-BF525F420506}"/>
    <cellStyle name="Normal 3 2 2 2 2 2 2 2 12 2 5 2 3" xfId="24707" xr:uid="{BAB60178-DD48-44F2-9E0F-0793995D6BC8}"/>
    <cellStyle name="Normal 3 2 2 2 2 2 2 2 12 2 5 2 4" xfId="24708" xr:uid="{2A1C3F90-F589-42E3-ACA1-FA7635587374}"/>
    <cellStyle name="Normal 3 2 2 2 2 2 2 2 12 2 5 2 5" xfId="24709" xr:uid="{0A549D8D-08EF-42FF-927A-28F273633300}"/>
    <cellStyle name="Normal 3 2 2 2 2 2 2 2 12 2 5 2 6" xfId="24710" xr:uid="{279C8140-6670-45EB-9E29-A3DB06E00F7A}"/>
    <cellStyle name="Normal 3 2 2 2 2 2 2 2 12 2 5 2 7" xfId="24711" xr:uid="{F306B70F-E6BE-432A-90A1-95D359035FD1}"/>
    <cellStyle name="Normal 3 2 2 2 2 2 2 2 12 2 5 2 8" xfId="24712" xr:uid="{315C12FD-4B1F-492C-9999-C0C39D901FBE}"/>
    <cellStyle name="Normal 3 2 2 2 2 2 2 2 12 2 5 2 8 2" xfId="24713" xr:uid="{84EB968B-2A85-487B-93E9-35F94550C991}"/>
    <cellStyle name="Normal 3 2 2 2 2 2 2 2 12 2 5 2 8 3" xfId="24714" xr:uid="{DC65A660-08E0-4D00-A7E1-3FD292B6E0E3}"/>
    <cellStyle name="Normal 3 2 2 2 2 2 2 2 12 2 5 2 8 4" xfId="24715" xr:uid="{26D3E425-6E4F-41BA-BDFF-345BD0CA590A}"/>
    <cellStyle name="Normal 3 2 2 2 2 2 2 2 12 2 5 2 9" xfId="24716" xr:uid="{C1526012-19E8-4FBB-9456-E4814A717F56}"/>
    <cellStyle name="Normal 3 2 2 2 2 2 2 2 12 2 5 3" xfId="24717" xr:uid="{229BCAD0-255C-44FE-84B3-8CA3CE18ED60}"/>
    <cellStyle name="Normal 3 2 2 2 2 2 2 2 12 2 5 3 2" xfId="24718" xr:uid="{77C32081-925B-4324-9D66-B648E1A58BCE}"/>
    <cellStyle name="Normal 3 2 2 2 2 2 2 2 12 2 5 3 2 2" xfId="24719" xr:uid="{227EBC3E-A7E7-4254-B01C-CC8A075CBEC2}"/>
    <cellStyle name="Normal 3 2 2 2 2 2 2 2 12 2 5 3 2 3" xfId="24720" xr:uid="{85A4A16F-0AD9-46B7-B980-AE2047779B75}"/>
    <cellStyle name="Normal 3 2 2 2 2 2 2 2 12 2 5 3 2 4" xfId="24721" xr:uid="{DF08724C-54C3-4DAA-9268-C8B135A45A9C}"/>
    <cellStyle name="Normal 3 2 2 2 2 2 2 2 12 2 5 3 3" xfId="24722" xr:uid="{8C850551-EF96-4C2A-8CC2-632FE2ACFC86}"/>
    <cellStyle name="Normal 3 2 2 2 2 2 2 2 12 2 5 3 4" xfId="24723" xr:uid="{D8AAF993-5CC9-4656-8C72-042558DD750D}"/>
    <cellStyle name="Normal 3 2 2 2 2 2 2 2 12 2 5 3 5" xfId="24724" xr:uid="{01DA5AD4-1ADA-47B1-8CE4-9690D3CBE1F8}"/>
    <cellStyle name="Normal 3 2 2 2 2 2 2 2 12 2 5 3 6" xfId="24725" xr:uid="{57DE6612-D1CB-421B-9986-A360DC555A3B}"/>
    <cellStyle name="Normal 3 2 2 2 2 2 2 2 12 2 5 4" xfId="24726" xr:uid="{DCF9BC5B-AD88-4427-88D4-8BA29E59B6DE}"/>
    <cellStyle name="Normal 3 2 2 2 2 2 2 2 12 2 5 5" xfId="24727" xr:uid="{F5FD108D-37C3-4E9B-9A72-34B8F04825B7}"/>
    <cellStyle name="Normal 3 2 2 2 2 2 2 2 12 2 5 6" xfId="24728" xr:uid="{D3166B79-8D27-4FE2-9128-402DA13F4BC2}"/>
    <cellStyle name="Normal 3 2 2 2 2 2 2 2 12 2 5 7" xfId="24729" xr:uid="{C4E58BFA-037E-4A53-8795-621FADEBAE6A}"/>
    <cellStyle name="Normal 3 2 2 2 2 2 2 2 12 2 5 8" xfId="24730" xr:uid="{F67C7C9C-89CE-44E8-BB8E-B1C2B86E26A0}"/>
    <cellStyle name="Normal 3 2 2 2 2 2 2 2 12 2 5 8 2" xfId="24731" xr:uid="{3D95F6AE-A4E9-41E7-BD04-8ED27CD0B898}"/>
    <cellStyle name="Normal 3 2 2 2 2 2 2 2 12 2 5 8 3" xfId="24732" xr:uid="{12B0FAD6-C464-42C6-96BF-6222CF447168}"/>
    <cellStyle name="Normal 3 2 2 2 2 2 2 2 12 2 5 8 4" xfId="24733" xr:uid="{AC598ED5-1472-4FB0-8D8D-3CDCA064A1A7}"/>
    <cellStyle name="Normal 3 2 2 2 2 2 2 2 12 2 5 9" xfId="24734" xr:uid="{D27F45C0-C33F-4756-86E6-E77E6F86154C}"/>
    <cellStyle name="Normal 3 2 2 2 2 2 2 2 12 2 6" xfId="24735" xr:uid="{D4C0CEAB-0517-4F54-B91C-84A960FF5D61}"/>
    <cellStyle name="Normal 3 2 2 2 2 2 2 2 12 2 7" xfId="24736" xr:uid="{43E0F19D-3ECD-4121-B8CD-887C9E6F9C2B}"/>
    <cellStyle name="Normal 3 2 2 2 2 2 2 2 12 2 7 2" xfId="24737" xr:uid="{4A91672E-DD97-40DF-B4A0-6276993E8038}"/>
    <cellStyle name="Normal 3 2 2 2 2 2 2 2 12 2 7 2 2" xfId="24738" xr:uid="{EA515C1A-447A-4EC3-8DE5-C0F8F2E57036}"/>
    <cellStyle name="Normal 3 2 2 2 2 2 2 2 12 2 7 2 3" xfId="24739" xr:uid="{DC8F26AE-68B5-46E5-858A-B0B5720B8802}"/>
    <cellStyle name="Normal 3 2 2 2 2 2 2 2 12 2 7 2 4" xfId="24740" xr:uid="{8287A05E-66CF-4F68-9026-7963EDC3D723}"/>
    <cellStyle name="Normal 3 2 2 2 2 2 2 2 12 2 7 3" xfId="24741" xr:uid="{30588782-0B38-4D5A-B516-030C7A74669D}"/>
    <cellStyle name="Normal 3 2 2 2 2 2 2 2 12 2 7 4" xfId="24742" xr:uid="{80AF6697-7E96-4A96-9703-EDA6EF8B6C66}"/>
    <cellStyle name="Normal 3 2 2 2 2 2 2 2 12 2 7 5" xfId="24743" xr:uid="{121C5801-FA2C-42A8-873A-E60DBF7C2D8D}"/>
    <cellStyle name="Normal 3 2 2 2 2 2 2 2 12 2 7 6" xfId="24744" xr:uid="{E718D615-507E-42BC-9A14-FD18698623C7}"/>
    <cellStyle name="Normal 3 2 2 2 2 2 2 2 12 2 8" xfId="24745" xr:uid="{38E2ECA5-7C37-40F7-B571-5305E89BA8DC}"/>
    <cellStyle name="Normal 3 2 2 2 2 2 2 2 12 2 9" xfId="24746" xr:uid="{2333BC0D-6DF6-4795-94C4-331735CB1953}"/>
    <cellStyle name="Normal 3 2 2 2 2 2 2 2 12 20" xfId="24747" xr:uid="{5D65B74B-840E-4DC2-A4A6-4AE58BA9E825}"/>
    <cellStyle name="Normal 3 2 2 2 2 2 2 2 12 21" xfId="24748" xr:uid="{0E931B54-27F4-454A-B3B1-96DABAB7366A}"/>
    <cellStyle name="Normal 3 2 2 2 2 2 2 2 12 21 2" xfId="24749" xr:uid="{22BDFB8C-EB33-4A89-B2A1-73EC781C1890}"/>
    <cellStyle name="Normal 3 2 2 2 2 2 2 2 12 21 3" xfId="24750" xr:uid="{AD7EC635-A76E-4A12-BF2A-5903358CA2CA}"/>
    <cellStyle name="Normal 3 2 2 2 2 2 2 2 12 21 4" xfId="24751" xr:uid="{0355E7F4-9DED-4FCA-8490-18FCD07022F0}"/>
    <cellStyle name="Normal 3 2 2 2 2 2 2 2 12 22" xfId="24752" xr:uid="{8B45DA45-7F36-4451-BC08-9BBD382A13B7}"/>
    <cellStyle name="Normal 3 2 2 2 2 2 2 2 12 23" xfId="24753" xr:uid="{FFA4E994-D663-4836-87F8-8F4EF427F577}"/>
    <cellStyle name="Normal 3 2 2 2 2 2 2 2 12 24" xfId="24754" xr:uid="{CE97B1C9-C597-46D4-94ED-DADA375974AC}"/>
    <cellStyle name="Normal 3 2 2 2 2 2 2 2 12 3" xfId="24755" xr:uid="{BAD38100-ECA3-4F2B-BD9F-9DB756B180B9}"/>
    <cellStyle name="Normal 3 2 2 2 2 2 2 2 12 4" xfId="24756" xr:uid="{652D8335-5CD4-4C7A-8FF5-49E0BFB8D0EA}"/>
    <cellStyle name="Normal 3 2 2 2 2 2 2 2 12 5" xfId="24757" xr:uid="{9B62F548-BB99-4FD1-A79E-B999548F6E9A}"/>
    <cellStyle name="Normal 3 2 2 2 2 2 2 2 12 6" xfId="24758" xr:uid="{B335B6FF-9A43-4AE4-9D58-BC8A23B4C14D}"/>
    <cellStyle name="Normal 3 2 2 2 2 2 2 2 12 7" xfId="24759" xr:uid="{84C291E9-BA10-4158-9077-48D55CB74E4D}"/>
    <cellStyle name="Normal 3 2 2 2 2 2 2 2 12 8" xfId="24760" xr:uid="{4552969B-1866-4207-87FC-6EB8595C64F3}"/>
    <cellStyle name="Normal 3 2 2 2 2 2 2 2 12 9" xfId="24761" xr:uid="{10740BB1-625A-46AA-B9A9-33975248DEB4}"/>
    <cellStyle name="Normal 3 2 2 2 2 2 2 2 13" xfId="24762" xr:uid="{4DB250C7-0B69-4AC0-A349-A6E421F0FE4F}"/>
    <cellStyle name="Normal 3 2 2 2 2 2 2 2 13 10" xfId="24763" xr:uid="{9A4DA9D7-53AE-4F1E-A8ED-365BBA98526E}"/>
    <cellStyle name="Normal 3 2 2 2 2 2 2 2 13 11" xfId="24764" xr:uid="{48C0715A-A170-464A-96EB-ED466115A762}"/>
    <cellStyle name="Normal 3 2 2 2 2 2 2 2 13 12" xfId="24765" xr:uid="{93AB42C2-23B8-4574-B655-075D03BBE1D2}"/>
    <cellStyle name="Normal 3 2 2 2 2 2 2 2 13 13" xfId="24766" xr:uid="{3F8C0A39-992E-44D9-99CD-F34BD1C88854}"/>
    <cellStyle name="Normal 3 2 2 2 2 2 2 2 13 13 2" xfId="24767" xr:uid="{29637481-0920-4C31-BC02-9E644E52BC32}"/>
    <cellStyle name="Normal 3 2 2 2 2 2 2 2 13 13 3" xfId="24768" xr:uid="{1220B864-A393-46E1-AF96-626A7E7513D4}"/>
    <cellStyle name="Normal 3 2 2 2 2 2 2 2 13 13 4" xfId="24769" xr:uid="{026496A7-209F-47CC-AE8C-C104B0F15C0F}"/>
    <cellStyle name="Normal 3 2 2 2 2 2 2 2 13 14" xfId="24770" xr:uid="{1692F9C0-59D4-4CEF-BF43-0D3137415FF7}"/>
    <cellStyle name="Normal 3 2 2 2 2 2 2 2 13 15" xfId="24771" xr:uid="{25290522-28E1-4AC7-88E9-6DF4B31F8BC1}"/>
    <cellStyle name="Normal 3 2 2 2 2 2 2 2 13 16" xfId="24772" xr:uid="{6D44EF08-0400-4F2D-8561-0847470092BE}"/>
    <cellStyle name="Normal 3 2 2 2 2 2 2 2 13 2" xfId="24773" xr:uid="{8C966654-51E0-4B93-BA27-0C0DBF8F81B6}"/>
    <cellStyle name="Normal 3 2 2 2 2 2 2 2 13 2 10" xfId="24774" xr:uid="{77CFF0BC-6E31-4E57-A544-93B9745F1398}"/>
    <cellStyle name="Normal 3 2 2 2 2 2 2 2 13 2 11" xfId="24775" xr:uid="{55E6ADAB-6E3D-4B6F-93A7-1D7EFCBD9C8A}"/>
    <cellStyle name="Normal 3 2 2 2 2 2 2 2 13 2 11 2" xfId="24776" xr:uid="{1AD8A3B1-FBCC-421B-B309-ECF3C7EEDF1D}"/>
    <cellStyle name="Normal 3 2 2 2 2 2 2 2 13 2 11 3" xfId="24777" xr:uid="{5D5E00A1-B6BB-4A9F-B4BB-1720885F5913}"/>
    <cellStyle name="Normal 3 2 2 2 2 2 2 2 13 2 11 4" xfId="24778" xr:uid="{7D69A990-91D8-4A15-B8F8-C4886C8C938B}"/>
    <cellStyle name="Normal 3 2 2 2 2 2 2 2 13 2 12" xfId="24779" xr:uid="{05AE23D0-607C-4A7F-8FCC-B3CA44287FC6}"/>
    <cellStyle name="Normal 3 2 2 2 2 2 2 2 13 2 13" xfId="24780" xr:uid="{22C6A24F-D812-4F26-B631-6F3FCECC2241}"/>
    <cellStyle name="Normal 3 2 2 2 2 2 2 2 13 2 14" xfId="24781" xr:uid="{2B37D3B2-9677-43E5-99E7-88C361064F93}"/>
    <cellStyle name="Normal 3 2 2 2 2 2 2 2 13 2 2" xfId="24782" xr:uid="{DA0C7993-1153-4050-9D38-278E5A5A65FC}"/>
    <cellStyle name="Normal 3 2 2 2 2 2 2 2 13 2 2 10" xfId="24783" xr:uid="{B44EDD92-519D-4A9D-859D-C87FF0F3E14D}"/>
    <cellStyle name="Normal 3 2 2 2 2 2 2 2 13 2 2 11" xfId="24784" xr:uid="{85E37117-46BE-4F6C-AD64-66A763A67A23}"/>
    <cellStyle name="Normal 3 2 2 2 2 2 2 2 13 2 2 2" xfId="24785" xr:uid="{CA24961F-8342-41C5-B2AE-9B561E3A3D3A}"/>
    <cellStyle name="Normal 3 2 2 2 2 2 2 2 13 2 2 2 10" xfId="24786" xr:uid="{B45B52F1-5889-4922-918F-D1D70C21CF0C}"/>
    <cellStyle name="Normal 3 2 2 2 2 2 2 2 13 2 2 2 11" xfId="24787" xr:uid="{6EB95ADB-F17A-4A4A-A56D-00D764BD0B58}"/>
    <cellStyle name="Normal 3 2 2 2 2 2 2 2 13 2 2 2 2" xfId="24788" xr:uid="{2540E743-F602-48E8-81A0-B3F3527785F4}"/>
    <cellStyle name="Normal 3 2 2 2 2 2 2 2 13 2 2 2 2 2" xfId="24789" xr:uid="{FD269B27-F9DC-457E-8FE5-D825CDE9A04B}"/>
    <cellStyle name="Normal 3 2 2 2 2 2 2 2 13 2 2 2 2 2 2" xfId="24790" xr:uid="{D036916E-7679-478E-8539-942E3C54C785}"/>
    <cellStyle name="Normal 3 2 2 2 2 2 2 2 13 2 2 2 2 2 3" xfId="24791" xr:uid="{B08F8000-7858-4D2C-AB58-FF77EE9FE38A}"/>
    <cellStyle name="Normal 3 2 2 2 2 2 2 2 13 2 2 2 2 2 4" xfId="24792" xr:uid="{B2456787-DAD3-44AB-A378-986065502319}"/>
    <cellStyle name="Normal 3 2 2 2 2 2 2 2 13 2 2 2 2 3" xfId="24793" xr:uid="{29C835C0-BE3F-4B7E-AD26-735A2BD05A56}"/>
    <cellStyle name="Normal 3 2 2 2 2 2 2 2 13 2 2 2 2 4" xfId="24794" xr:uid="{411FCD60-B98C-4A54-B176-8F816E93E4F0}"/>
    <cellStyle name="Normal 3 2 2 2 2 2 2 2 13 2 2 2 2 5" xfId="24795" xr:uid="{B090E46E-9C3F-4891-A477-98C5B8177C8C}"/>
    <cellStyle name="Normal 3 2 2 2 2 2 2 2 13 2 2 2 2 6" xfId="24796" xr:uid="{F9660578-7D99-404F-A8E7-34F895146D62}"/>
    <cellStyle name="Normal 3 2 2 2 2 2 2 2 13 2 2 2 3" xfId="24797" xr:uid="{27493C0B-7394-43F1-826B-1C2303E2D27F}"/>
    <cellStyle name="Normal 3 2 2 2 2 2 2 2 13 2 2 2 4" xfId="24798" xr:uid="{8B195DEC-84E7-48FF-80E0-1D4BD89501FD}"/>
    <cellStyle name="Normal 3 2 2 2 2 2 2 2 13 2 2 2 5" xfId="24799" xr:uid="{49FECDC8-0D8C-4BB3-9D23-45FAE3D1CA44}"/>
    <cellStyle name="Normal 3 2 2 2 2 2 2 2 13 2 2 2 6" xfId="24800" xr:uid="{889DA97A-2465-4500-806C-D60E60FEC12A}"/>
    <cellStyle name="Normal 3 2 2 2 2 2 2 2 13 2 2 2 7" xfId="24801" xr:uid="{B1BC1132-DA2E-4188-8F27-F42B921DD143}"/>
    <cellStyle name="Normal 3 2 2 2 2 2 2 2 13 2 2 2 8" xfId="24802" xr:uid="{D5B68DB5-81E1-4698-8C8A-C399896C68C2}"/>
    <cellStyle name="Normal 3 2 2 2 2 2 2 2 13 2 2 2 8 2" xfId="24803" xr:uid="{90145971-41C5-4CE2-8F81-51B05EAAA8C4}"/>
    <cellStyle name="Normal 3 2 2 2 2 2 2 2 13 2 2 2 8 3" xfId="24804" xr:uid="{6EA1772C-02A8-4FF7-BD48-30CAF245ACC3}"/>
    <cellStyle name="Normal 3 2 2 2 2 2 2 2 13 2 2 2 8 4" xfId="24805" xr:uid="{38855D10-9757-4C95-9070-3402218647C4}"/>
    <cellStyle name="Normal 3 2 2 2 2 2 2 2 13 2 2 2 9" xfId="24806" xr:uid="{EC534D28-E4CE-44CC-ACB3-D02E703E3F0C}"/>
    <cellStyle name="Normal 3 2 2 2 2 2 2 2 13 2 2 3" xfId="24807" xr:uid="{75FCF210-2888-4A18-9132-33C52D4845BD}"/>
    <cellStyle name="Normal 3 2 2 2 2 2 2 2 13 2 2 3 2" xfId="24808" xr:uid="{1DD51B16-83E7-4B19-BA8F-16BE7351CAA1}"/>
    <cellStyle name="Normal 3 2 2 2 2 2 2 2 13 2 2 3 2 2" xfId="24809" xr:uid="{9850CAD3-CB99-4C5B-A219-D8128DA6C567}"/>
    <cellStyle name="Normal 3 2 2 2 2 2 2 2 13 2 2 3 2 3" xfId="24810" xr:uid="{6D6CE340-4896-438A-8B07-343FCC1E247E}"/>
    <cellStyle name="Normal 3 2 2 2 2 2 2 2 13 2 2 3 2 4" xfId="24811" xr:uid="{6E057276-64F9-40B2-B0E1-50A5CED5F299}"/>
    <cellStyle name="Normal 3 2 2 2 2 2 2 2 13 2 2 3 3" xfId="24812" xr:uid="{9BFB452C-AEC2-44FA-B9DA-804040C4017E}"/>
    <cellStyle name="Normal 3 2 2 2 2 2 2 2 13 2 2 3 4" xfId="24813" xr:uid="{F2FDE0E2-5C92-4B14-8697-588C9DFE78F1}"/>
    <cellStyle name="Normal 3 2 2 2 2 2 2 2 13 2 2 3 5" xfId="24814" xr:uid="{AF82F61C-5991-48DC-9315-C3BB16500E54}"/>
    <cellStyle name="Normal 3 2 2 2 2 2 2 2 13 2 2 3 6" xfId="24815" xr:uid="{E97C9BBF-F450-412C-9B1C-4DFDA16B08B2}"/>
    <cellStyle name="Normal 3 2 2 2 2 2 2 2 13 2 2 4" xfId="24816" xr:uid="{FA892134-545D-4142-A810-CA5FBC00B6C1}"/>
    <cellStyle name="Normal 3 2 2 2 2 2 2 2 13 2 2 5" xfId="24817" xr:uid="{846C6208-5F28-4672-B3E0-EAFC266D9621}"/>
    <cellStyle name="Normal 3 2 2 2 2 2 2 2 13 2 2 6" xfId="24818" xr:uid="{265BC8FD-6FC1-4E3C-9A49-66764C90E6D5}"/>
    <cellStyle name="Normal 3 2 2 2 2 2 2 2 13 2 2 7" xfId="24819" xr:uid="{5AE0A487-7969-4EF0-8261-DBBFF5CDE75A}"/>
    <cellStyle name="Normal 3 2 2 2 2 2 2 2 13 2 2 8" xfId="24820" xr:uid="{5C6796F7-3783-403B-8A84-5B2DD46BF338}"/>
    <cellStyle name="Normal 3 2 2 2 2 2 2 2 13 2 2 8 2" xfId="24821" xr:uid="{E71B2701-AD3B-4FB3-B1E4-09D885B96ED0}"/>
    <cellStyle name="Normal 3 2 2 2 2 2 2 2 13 2 2 8 3" xfId="24822" xr:uid="{E2F3D804-B831-4603-BDDB-DD0FDB98060B}"/>
    <cellStyle name="Normal 3 2 2 2 2 2 2 2 13 2 2 8 4" xfId="24823" xr:uid="{A69908C7-C1DE-4CCC-8333-211914B7A5B1}"/>
    <cellStyle name="Normal 3 2 2 2 2 2 2 2 13 2 2 9" xfId="24824" xr:uid="{AE281047-18E2-4B02-BA5A-55FB8CA7066D}"/>
    <cellStyle name="Normal 3 2 2 2 2 2 2 2 13 2 3" xfId="24825" xr:uid="{FEB316B4-0EB0-4D2C-AB13-36E8A63D3A13}"/>
    <cellStyle name="Normal 3 2 2 2 2 2 2 2 13 2 4" xfId="24826" xr:uid="{E6E70142-0177-44CB-B198-3CA470E321E6}"/>
    <cellStyle name="Normal 3 2 2 2 2 2 2 2 13 2 5" xfId="24827" xr:uid="{7A30581A-3A06-4D26-A00E-600D505DE636}"/>
    <cellStyle name="Normal 3 2 2 2 2 2 2 2 13 2 5 2" xfId="24828" xr:uid="{1526637A-AEA3-4B7C-A2A1-01F8A31B88A1}"/>
    <cellStyle name="Normal 3 2 2 2 2 2 2 2 13 2 5 2 2" xfId="24829" xr:uid="{55B937DF-5912-435D-A743-341C11F1E57A}"/>
    <cellStyle name="Normal 3 2 2 2 2 2 2 2 13 2 5 2 3" xfId="24830" xr:uid="{D4CD98EF-C1E7-473E-A724-1DA3FC684BEA}"/>
    <cellStyle name="Normal 3 2 2 2 2 2 2 2 13 2 5 2 4" xfId="24831" xr:uid="{85A3E2F9-CF35-437D-ABB5-8F84C8FE7ECE}"/>
    <cellStyle name="Normal 3 2 2 2 2 2 2 2 13 2 5 3" xfId="24832" xr:uid="{71439325-0BC8-4D89-BC4F-42D7397DEBFE}"/>
    <cellStyle name="Normal 3 2 2 2 2 2 2 2 13 2 5 4" xfId="24833" xr:uid="{2BED2773-0F8C-4722-B6D0-7D9484023171}"/>
    <cellStyle name="Normal 3 2 2 2 2 2 2 2 13 2 5 5" xfId="24834" xr:uid="{2BAD7C59-B34A-4C6D-B9E0-2B85B43C6D68}"/>
    <cellStyle name="Normal 3 2 2 2 2 2 2 2 13 2 5 6" xfId="24835" xr:uid="{54424964-1762-4A88-BC19-CE9E211DF803}"/>
    <cellStyle name="Normal 3 2 2 2 2 2 2 2 13 2 6" xfId="24836" xr:uid="{5D9AD0E5-0082-44D2-AE2E-5C5D72205BA4}"/>
    <cellStyle name="Normal 3 2 2 2 2 2 2 2 13 2 7" xfId="24837" xr:uid="{95EED52D-89F1-40BA-9B22-D53750F9BC7A}"/>
    <cellStyle name="Normal 3 2 2 2 2 2 2 2 13 2 8" xfId="24838" xr:uid="{491AEEAE-093E-4866-B116-34B151337193}"/>
    <cellStyle name="Normal 3 2 2 2 2 2 2 2 13 2 9" xfId="24839" xr:uid="{BC3E4BD4-95E1-4066-84F9-38539946944B}"/>
    <cellStyle name="Normal 3 2 2 2 2 2 2 2 13 3" xfId="24840" xr:uid="{CF554463-191E-493D-9E01-3AD40B51A4DB}"/>
    <cellStyle name="Normal 3 2 2 2 2 2 2 2 13 4" xfId="24841" xr:uid="{D2BE65C8-3644-4745-9D0A-3E11BAF7D997}"/>
    <cellStyle name="Normal 3 2 2 2 2 2 2 2 13 5" xfId="24842" xr:uid="{E5BBBB1B-904F-4539-8280-44EB74AD7F68}"/>
    <cellStyle name="Normal 3 2 2 2 2 2 2 2 13 5 10" xfId="24843" xr:uid="{E4CB5679-ABF3-446C-9DF3-D23E74FFFF92}"/>
    <cellStyle name="Normal 3 2 2 2 2 2 2 2 13 5 11" xfId="24844" xr:uid="{E36B7633-DCA1-4FD5-8B8A-5F234AF72EF6}"/>
    <cellStyle name="Normal 3 2 2 2 2 2 2 2 13 5 2" xfId="24845" xr:uid="{95255E35-DC90-42A5-B6F5-8741F989806E}"/>
    <cellStyle name="Normal 3 2 2 2 2 2 2 2 13 5 2 10" xfId="24846" xr:uid="{A31049F5-D74D-4A7B-94BC-F42BB367E768}"/>
    <cellStyle name="Normal 3 2 2 2 2 2 2 2 13 5 2 11" xfId="24847" xr:uid="{695C7C12-D496-41C8-9943-DBF77B06FDC9}"/>
    <cellStyle name="Normal 3 2 2 2 2 2 2 2 13 5 2 2" xfId="24848" xr:uid="{B23B06AA-C0BA-4C40-BFA1-1C9E725AF01F}"/>
    <cellStyle name="Normal 3 2 2 2 2 2 2 2 13 5 2 2 2" xfId="24849" xr:uid="{C1AFEDE2-461C-4CC6-A05B-31E529BFECB8}"/>
    <cellStyle name="Normal 3 2 2 2 2 2 2 2 13 5 2 2 2 2" xfId="24850" xr:uid="{56318D27-18CB-4F55-829E-060DE9C785B7}"/>
    <cellStyle name="Normal 3 2 2 2 2 2 2 2 13 5 2 2 2 3" xfId="24851" xr:uid="{357E8D8A-BACE-4E62-AE01-BD7B15413234}"/>
    <cellStyle name="Normal 3 2 2 2 2 2 2 2 13 5 2 2 2 4" xfId="24852" xr:uid="{1B3ADC7B-F61E-4A07-A2A0-28B4EB3AF669}"/>
    <cellStyle name="Normal 3 2 2 2 2 2 2 2 13 5 2 2 3" xfId="24853" xr:uid="{292FE0EF-280F-4EC8-97B5-ADDD72B9FCB6}"/>
    <cellStyle name="Normal 3 2 2 2 2 2 2 2 13 5 2 2 4" xfId="24854" xr:uid="{3BEBDA88-CDE1-41CE-9CED-351F4107A689}"/>
    <cellStyle name="Normal 3 2 2 2 2 2 2 2 13 5 2 2 5" xfId="24855" xr:uid="{A1BAB379-6AF6-4673-B2C9-02FFB5792163}"/>
    <cellStyle name="Normal 3 2 2 2 2 2 2 2 13 5 2 2 6" xfId="24856" xr:uid="{B6CC5430-B109-4C9E-81BC-7C5157FCC8C9}"/>
    <cellStyle name="Normal 3 2 2 2 2 2 2 2 13 5 2 3" xfId="24857" xr:uid="{6BA410DB-A039-4CEE-B2BC-4746F1E610BA}"/>
    <cellStyle name="Normal 3 2 2 2 2 2 2 2 13 5 2 4" xfId="24858" xr:uid="{D7C2B233-2065-43A5-8EBE-1E4798463BA3}"/>
    <cellStyle name="Normal 3 2 2 2 2 2 2 2 13 5 2 5" xfId="24859" xr:uid="{87FFB1DB-E3B1-4DBD-B0CF-577F90A9EA15}"/>
    <cellStyle name="Normal 3 2 2 2 2 2 2 2 13 5 2 6" xfId="24860" xr:uid="{A5E1D80D-267F-4111-94B0-0432B570E640}"/>
    <cellStyle name="Normal 3 2 2 2 2 2 2 2 13 5 2 7" xfId="24861" xr:uid="{6B7A1560-50B7-43E9-B450-B7A86B0BAE67}"/>
    <cellStyle name="Normal 3 2 2 2 2 2 2 2 13 5 2 8" xfId="24862" xr:uid="{A8F6CD16-E0DF-4FDD-94DA-228C7EE98A4A}"/>
    <cellStyle name="Normal 3 2 2 2 2 2 2 2 13 5 2 8 2" xfId="24863" xr:uid="{C7DD9C1A-DBE9-4FE9-9F8B-45238499E061}"/>
    <cellStyle name="Normal 3 2 2 2 2 2 2 2 13 5 2 8 3" xfId="24864" xr:uid="{72B751CA-8299-4399-963A-9F30DF2D5429}"/>
    <cellStyle name="Normal 3 2 2 2 2 2 2 2 13 5 2 8 4" xfId="24865" xr:uid="{5E223130-DD44-47F1-A017-41205F55EC74}"/>
    <cellStyle name="Normal 3 2 2 2 2 2 2 2 13 5 2 9" xfId="24866" xr:uid="{6DE1F8C9-9454-4B86-9C5B-0256803C8874}"/>
    <cellStyle name="Normal 3 2 2 2 2 2 2 2 13 5 3" xfId="24867" xr:uid="{256837A8-FFEC-4FDA-8AEF-0E071A0D86D3}"/>
    <cellStyle name="Normal 3 2 2 2 2 2 2 2 13 5 3 2" xfId="24868" xr:uid="{153588E0-9FC0-4F3E-8286-1EAEE84B20EC}"/>
    <cellStyle name="Normal 3 2 2 2 2 2 2 2 13 5 3 2 2" xfId="24869" xr:uid="{D57D4791-73D9-4C7A-9722-1395E36FA879}"/>
    <cellStyle name="Normal 3 2 2 2 2 2 2 2 13 5 3 2 3" xfId="24870" xr:uid="{DB98C6E5-E7C0-4F2F-A74C-A8E838FECD8E}"/>
    <cellStyle name="Normal 3 2 2 2 2 2 2 2 13 5 3 2 4" xfId="24871" xr:uid="{DF1BF4F7-50A9-4EF7-8F1C-967D62352A4E}"/>
    <cellStyle name="Normal 3 2 2 2 2 2 2 2 13 5 3 3" xfId="24872" xr:uid="{6D5354D5-0D96-4F51-80E7-AD7326B7A169}"/>
    <cellStyle name="Normal 3 2 2 2 2 2 2 2 13 5 3 4" xfId="24873" xr:uid="{41CB730E-DBE4-438F-B327-0D8010E24B9B}"/>
    <cellStyle name="Normal 3 2 2 2 2 2 2 2 13 5 3 5" xfId="24874" xr:uid="{38FFCD94-8FC6-4DE1-A0A6-98F3FB314AE4}"/>
    <cellStyle name="Normal 3 2 2 2 2 2 2 2 13 5 3 6" xfId="24875" xr:uid="{AFE1994D-BCF6-48DA-B9A7-B98DA530C408}"/>
    <cellStyle name="Normal 3 2 2 2 2 2 2 2 13 5 4" xfId="24876" xr:uid="{C8D21F6D-0BF3-4B34-A4DD-3921824B1DBA}"/>
    <cellStyle name="Normal 3 2 2 2 2 2 2 2 13 5 5" xfId="24877" xr:uid="{2376DD8D-243A-4E1D-914C-5EDA0645644E}"/>
    <cellStyle name="Normal 3 2 2 2 2 2 2 2 13 5 6" xfId="24878" xr:uid="{E4590CC0-382E-4F69-9ADB-C1F638396343}"/>
    <cellStyle name="Normal 3 2 2 2 2 2 2 2 13 5 7" xfId="24879" xr:uid="{B9AEBE27-A119-44F4-B956-ED2DC19A50BF}"/>
    <cellStyle name="Normal 3 2 2 2 2 2 2 2 13 5 8" xfId="24880" xr:uid="{6EE2BB15-501F-495C-A1CF-41C3A03F1415}"/>
    <cellStyle name="Normal 3 2 2 2 2 2 2 2 13 5 8 2" xfId="24881" xr:uid="{768B3B32-155E-41F3-A94D-8E559D2FAF07}"/>
    <cellStyle name="Normal 3 2 2 2 2 2 2 2 13 5 8 3" xfId="24882" xr:uid="{E7E01B51-2233-440B-AD7A-34122B7AB1A0}"/>
    <cellStyle name="Normal 3 2 2 2 2 2 2 2 13 5 8 4" xfId="24883" xr:uid="{0CAED947-549F-4FE3-A835-EAC98D83F6D0}"/>
    <cellStyle name="Normal 3 2 2 2 2 2 2 2 13 5 9" xfId="24884" xr:uid="{F637F346-4C23-441F-A00D-F05353C27010}"/>
    <cellStyle name="Normal 3 2 2 2 2 2 2 2 13 6" xfId="24885" xr:uid="{FCE0D510-4655-4F46-8B58-EB4D9859F1F1}"/>
    <cellStyle name="Normal 3 2 2 2 2 2 2 2 13 7" xfId="24886" xr:uid="{38828D0D-F88D-4553-92B7-BD2A3479E314}"/>
    <cellStyle name="Normal 3 2 2 2 2 2 2 2 13 7 2" xfId="24887" xr:uid="{AC666B2B-1700-4928-8053-50A298C3E05D}"/>
    <cellStyle name="Normal 3 2 2 2 2 2 2 2 13 7 2 2" xfId="24888" xr:uid="{CE15E17A-317D-4B7A-BEFF-24E09B098458}"/>
    <cellStyle name="Normal 3 2 2 2 2 2 2 2 13 7 2 3" xfId="24889" xr:uid="{BBB6A3FB-8CA6-4A0A-A543-7F32F2557D89}"/>
    <cellStyle name="Normal 3 2 2 2 2 2 2 2 13 7 2 4" xfId="24890" xr:uid="{602F9641-2BAE-4B4C-B14A-68D0D438AD8B}"/>
    <cellStyle name="Normal 3 2 2 2 2 2 2 2 13 7 3" xfId="24891" xr:uid="{B36C6A7F-9299-4530-B5D5-D04E9ACA0067}"/>
    <cellStyle name="Normal 3 2 2 2 2 2 2 2 13 7 4" xfId="24892" xr:uid="{C9726AB0-3B77-43AC-A367-5964D9084ABE}"/>
    <cellStyle name="Normal 3 2 2 2 2 2 2 2 13 7 5" xfId="24893" xr:uid="{EF43055D-680E-4A4D-996B-CC139BC410C0}"/>
    <cellStyle name="Normal 3 2 2 2 2 2 2 2 13 7 6" xfId="24894" xr:uid="{149A0F60-4DB9-4997-971D-3786E26335E9}"/>
    <cellStyle name="Normal 3 2 2 2 2 2 2 2 13 8" xfId="24895" xr:uid="{D8BF8748-8B95-472D-9306-5B1394DD7353}"/>
    <cellStyle name="Normal 3 2 2 2 2 2 2 2 13 9" xfId="24896" xr:uid="{CDE6207E-8A98-418D-9169-22BC49156F2B}"/>
    <cellStyle name="Normal 3 2 2 2 2 2 2 2 14" xfId="24897" xr:uid="{752F27A4-053C-4BD2-A181-A936088361B7}"/>
    <cellStyle name="Normal 3 2 2 2 2 2 2 2 15" xfId="24898" xr:uid="{1CE345B7-0038-4D2A-A455-76292A0EAD2C}"/>
    <cellStyle name="Normal 3 2 2 2 2 2 2 2 16" xfId="24899" xr:uid="{8975F4AA-532A-4317-B2D1-C51F553A2E11}"/>
    <cellStyle name="Normal 3 2 2 2 2 2 2 2 17" xfId="24900" xr:uid="{64961E60-282C-43FC-98C2-615A6EB16DC5}"/>
    <cellStyle name="Normal 3 2 2 2 2 2 2 2 18" xfId="24901" xr:uid="{61BBF8EF-932A-4257-B82C-2567EA34779A}"/>
    <cellStyle name="Normal 3 2 2 2 2 2 2 2 19" xfId="24902" xr:uid="{08D796CC-EB07-4D70-A63A-DF776D2D7FF2}"/>
    <cellStyle name="Normal 3 2 2 2 2 2 2 2 2" xfId="24903" xr:uid="{4AD3339F-2532-4999-B4EC-73066D1B2AF6}"/>
    <cellStyle name="Normal 3 2 2 2 2 2 2 2 2 10" xfId="24904" xr:uid="{7149E1B0-7CDD-41A6-AF19-F8BC3D641C8A}"/>
    <cellStyle name="Normal 3 2 2 2 2 2 2 2 2 11" xfId="24905" xr:uid="{A9053E73-DBA6-431C-AF1A-42FAA6875C7A}"/>
    <cellStyle name="Normal 3 2 2 2 2 2 2 2 2 12" xfId="24906" xr:uid="{9F8283CF-0256-4A25-91C5-6E8871C357AA}"/>
    <cellStyle name="Normal 3 2 2 2 2 2 2 2 2 13" xfId="24907" xr:uid="{C365652E-4C2A-4DA9-8E1C-E98FF8C307D3}"/>
    <cellStyle name="Normal 3 2 2 2 2 2 2 2 2 14" xfId="24908" xr:uid="{191523B0-48F9-4180-A07D-FAEBCCE63BA6}"/>
    <cellStyle name="Normal 3 2 2 2 2 2 2 2 2 15" xfId="24909" xr:uid="{9DC86751-0C2F-4EE1-9286-AE936D3E44F4}"/>
    <cellStyle name="Normal 3 2 2 2 2 2 2 2 2 16" xfId="24910" xr:uid="{C5FDD590-79CC-4D27-9E05-C7AC5FB9E170}"/>
    <cellStyle name="Normal 3 2 2 2 2 2 2 2 2 17" xfId="24911" xr:uid="{333F5244-130F-4FF7-97AA-B2D991F7C622}"/>
    <cellStyle name="Normal 3 2 2 2 2 2 2 2 2 17 10" xfId="24912" xr:uid="{6107A420-2990-463E-9EEB-28BBF7BDBA3A}"/>
    <cellStyle name="Normal 3 2 2 2 2 2 2 2 2 17 11" xfId="24913" xr:uid="{87AB7B06-E8FA-4C15-903E-BD5CC23F1F17}"/>
    <cellStyle name="Normal 3 2 2 2 2 2 2 2 2 17 11 2" xfId="24914" xr:uid="{D732FC31-89BE-4C6A-BD2F-ACA26D80FAB9}"/>
    <cellStyle name="Normal 3 2 2 2 2 2 2 2 2 17 11 3" xfId="24915" xr:uid="{6ECFD36D-DCC2-4E4C-A80E-AACF937C2931}"/>
    <cellStyle name="Normal 3 2 2 2 2 2 2 2 2 17 11 4" xfId="24916" xr:uid="{CD87F873-18BA-47AD-9AC6-FE72BD952F8A}"/>
    <cellStyle name="Normal 3 2 2 2 2 2 2 2 2 17 12" xfId="24917" xr:uid="{5BB3F11D-CE79-4C9A-ABB1-14846390A8BD}"/>
    <cellStyle name="Normal 3 2 2 2 2 2 2 2 2 17 13" xfId="24918" xr:uid="{2FE9E40E-B465-435B-8E37-C477D13DAD4A}"/>
    <cellStyle name="Normal 3 2 2 2 2 2 2 2 2 17 14" xfId="24919" xr:uid="{3E7C9110-E9AD-4A4F-A092-5C7FB51F94A3}"/>
    <cellStyle name="Normal 3 2 2 2 2 2 2 2 2 17 2" xfId="24920" xr:uid="{DCB8AED4-7B67-4110-97C4-BF2076FF6A6E}"/>
    <cellStyle name="Normal 3 2 2 2 2 2 2 2 2 17 2 10" xfId="24921" xr:uid="{DEC09175-1518-462F-9725-216FECB31F53}"/>
    <cellStyle name="Normal 3 2 2 2 2 2 2 2 2 17 2 11" xfId="24922" xr:uid="{482A91FC-2CC1-4B14-BA94-00869A275E86}"/>
    <cellStyle name="Normal 3 2 2 2 2 2 2 2 2 17 2 2" xfId="24923" xr:uid="{4989B182-05E3-4EFF-B876-01CBEE8AF819}"/>
    <cellStyle name="Normal 3 2 2 2 2 2 2 2 2 17 2 2 10" xfId="24924" xr:uid="{C3B29A49-6095-4699-9BE0-BF5DE2BFA59F}"/>
    <cellStyle name="Normal 3 2 2 2 2 2 2 2 2 17 2 2 11" xfId="24925" xr:uid="{BB9A0551-9DC2-4BB4-A2DB-5924002FDA09}"/>
    <cellStyle name="Normal 3 2 2 2 2 2 2 2 2 17 2 2 2" xfId="24926" xr:uid="{E7362D9D-C922-426D-93EA-3A6C283866C4}"/>
    <cellStyle name="Normal 3 2 2 2 2 2 2 2 2 17 2 2 2 2" xfId="24927" xr:uid="{0F661A62-DE15-4CA0-9093-F1061DF2E757}"/>
    <cellStyle name="Normal 3 2 2 2 2 2 2 2 2 17 2 2 2 2 2" xfId="24928" xr:uid="{ECD04414-51C8-41A9-8255-BC149CE98EB6}"/>
    <cellStyle name="Normal 3 2 2 2 2 2 2 2 2 17 2 2 2 2 3" xfId="24929" xr:uid="{1A81DB6A-60E1-4E6B-A605-0091DB81F5D6}"/>
    <cellStyle name="Normal 3 2 2 2 2 2 2 2 2 17 2 2 2 2 4" xfId="24930" xr:uid="{D46EC345-D412-4E17-BA4E-4C75B4CAFAB8}"/>
    <cellStyle name="Normal 3 2 2 2 2 2 2 2 2 17 2 2 2 3" xfId="24931" xr:uid="{D83EBFF1-2F16-4C8C-ACDB-DF9D418AAA93}"/>
    <cellStyle name="Normal 3 2 2 2 2 2 2 2 2 17 2 2 2 4" xfId="24932" xr:uid="{9CA6D37E-40FB-495F-9510-336A69F9C25E}"/>
    <cellStyle name="Normal 3 2 2 2 2 2 2 2 2 17 2 2 2 5" xfId="24933" xr:uid="{A420C5A9-8F5A-4EE3-990A-453E919988CA}"/>
    <cellStyle name="Normal 3 2 2 2 2 2 2 2 2 17 2 2 2 6" xfId="24934" xr:uid="{1C6FA83A-01CB-46C5-8B80-24DA254B7290}"/>
    <cellStyle name="Normal 3 2 2 2 2 2 2 2 2 17 2 2 3" xfId="24935" xr:uid="{7E22CCEA-6090-4030-8AE5-F97825859413}"/>
    <cellStyle name="Normal 3 2 2 2 2 2 2 2 2 17 2 2 4" xfId="24936" xr:uid="{CC286D2E-C7E7-4A18-80AE-92E9EE8D2780}"/>
    <cellStyle name="Normal 3 2 2 2 2 2 2 2 2 17 2 2 5" xfId="24937" xr:uid="{C986F99F-7400-41BF-833E-5CB2FDA96086}"/>
    <cellStyle name="Normal 3 2 2 2 2 2 2 2 2 17 2 2 6" xfId="24938" xr:uid="{E5302E79-59AE-44ED-87F0-EFC990247537}"/>
    <cellStyle name="Normal 3 2 2 2 2 2 2 2 2 17 2 2 7" xfId="24939" xr:uid="{6DAC9BE7-0DF5-41AC-B796-8FAC6680E29B}"/>
    <cellStyle name="Normal 3 2 2 2 2 2 2 2 2 17 2 2 8" xfId="24940" xr:uid="{1FBCB7CD-913C-4979-ABBE-A83938A72DD8}"/>
    <cellStyle name="Normal 3 2 2 2 2 2 2 2 2 17 2 2 8 2" xfId="24941" xr:uid="{8FD0EE4F-BD3B-4508-92A3-A245D2B8B8B2}"/>
    <cellStyle name="Normal 3 2 2 2 2 2 2 2 2 17 2 2 8 3" xfId="24942" xr:uid="{381D0379-3460-4E2C-B7B6-94E09CD0C225}"/>
    <cellStyle name="Normal 3 2 2 2 2 2 2 2 2 17 2 2 8 4" xfId="24943" xr:uid="{9120A9E3-5B83-4B75-9EA4-C4BCF417797D}"/>
    <cellStyle name="Normal 3 2 2 2 2 2 2 2 2 17 2 2 9" xfId="24944" xr:uid="{5683BBDB-4E54-4C3B-BBBE-C4C435A2713A}"/>
    <cellStyle name="Normal 3 2 2 2 2 2 2 2 2 17 2 3" xfId="24945" xr:uid="{E593525A-7F41-41D5-A7B9-D0020E15ABAC}"/>
    <cellStyle name="Normal 3 2 2 2 2 2 2 2 2 17 2 3 2" xfId="24946" xr:uid="{F0F31BC8-43AC-4F70-87A0-9E41B9B551A5}"/>
    <cellStyle name="Normal 3 2 2 2 2 2 2 2 2 17 2 3 2 2" xfId="24947" xr:uid="{C5187077-FD8F-41DF-8D1C-DB65B018A310}"/>
    <cellStyle name="Normal 3 2 2 2 2 2 2 2 2 17 2 3 2 3" xfId="24948" xr:uid="{5C215498-2206-4B9C-B58F-E0640132C604}"/>
    <cellStyle name="Normal 3 2 2 2 2 2 2 2 2 17 2 3 2 4" xfId="24949" xr:uid="{7E58AD14-4566-48F6-A69D-37C6122F31DB}"/>
    <cellStyle name="Normal 3 2 2 2 2 2 2 2 2 17 2 3 3" xfId="24950" xr:uid="{AA3FE415-E076-4C65-8BFD-A2AB3C96A5DD}"/>
    <cellStyle name="Normal 3 2 2 2 2 2 2 2 2 17 2 3 4" xfId="24951" xr:uid="{3DBCF4AE-D54F-43EB-BEBA-64F61E7A23EF}"/>
    <cellStyle name="Normal 3 2 2 2 2 2 2 2 2 17 2 3 5" xfId="24952" xr:uid="{2AA0A3DD-8B66-48FF-90E9-38D70B5F1D3E}"/>
    <cellStyle name="Normal 3 2 2 2 2 2 2 2 2 17 2 3 6" xfId="24953" xr:uid="{391AC279-0FE1-4960-B7AD-EB8756CBBF17}"/>
    <cellStyle name="Normal 3 2 2 2 2 2 2 2 2 17 2 4" xfId="24954" xr:uid="{57AE4FDE-782C-4EBB-81DE-9796A04DF9A3}"/>
    <cellStyle name="Normal 3 2 2 2 2 2 2 2 2 17 2 5" xfId="24955" xr:uid="{B904BE0E-C08C-42FD-956D-1CD20869BFB6}"/>
    <cellStyle name="Normal 3 2 2 2 2 2 2 2 2 17 2 6" xfId="24956" xr:uid="{5DC1EEDD-C3C3-4589-B89F-9E412CEFC3E8}"/>
    <cellStyle name="Normal 3 2 2 2 2 2 2 2 2 17 2 7" xfId="24957" xr:uid="{6F96E8EB-EDB8-44D0-B341-F75684467006}"/>
    <cellStyle name="Normal 3 2 2 2 2 2 2 2 2 17 2 8" xfId="24958" xr:uid="{BC0D1EFA-92EF-42D6-8F54-20848C65F429}"/>
    <cellStyle name="Normal 3 2 2 2 2 2 2 2 2 17 2 8 2" xfId="24959" xr:uid="{899253BB-214B-449C-861E-91AF4BFC382F}"/>
    <cellStyle name="Normal 3 2 2 2 2 2 2 2 2 17 2 8 3" xfId="24960" xr:uid="{6D48584E-91BC-4176-A91B-9724039E0E8C}"/>
    <cellStyle name="Normal 3 2 2 2 2 2 2 2 2 17 2 8 4" xfId="24961" xr:uid="{63ECAAF1-6F8C-4580-9CC0-14894259D7E9}"/>
    <cellStyle name="Normal 3 2 2 2 2 2 2 2 2 17 2 9" xfId="24962" xr:uid="{01B06FDD-073B-44F7-B37D-3673FD807101}"/>
    <cellStyle name="Normal 3 2 2 2 2 2 2 2 2 17 3" xfId="24963" xr:uid="{6BB6B792-F7BA-4C4D-A65C-A060A251228E}"/>
    <cellStyle name="Normal 3 2 2 2 2 2 2 2 2 17 4" xfId="24964" xr:uid="{43228383-0C6F-4B22-AE8B-285B84609F3E}"/>
    <cellStyle name="Normal 3 2 2 2 2 2 2 2 2 17 5" xfId="24965" xr:uid="{4CFA0AC7-59DD-4247-BD8A-87EF368CC4BE}"/>
    <cellStyle name="Normal 3 2 2 2 2 2 2 2 2 17 5 2" xfId="24966" xr:uid="{7C1A0AE0-0BF6-4189-A54E-A0F5B3E19152}"/>
    <cellStyle name="Normal 3 2 2 2 2 2 2 2 2 17 5 2 2" xfId="24967" xr:uid="{F93B884D-F7D0-4612-BF30-2D6C0440E34E}"/>
    <cellStyle name="Normal 3 2 2 2 2 2 2 2 2 17 5 2 3" xfId="24968" xr:uid="{901A5C94-215A-47F8-84B2-E41683D00A8B}"/>
    <cellStyle name="Normal 3 2 2 2 2 2 2 2 2 17 5 2 4" xfId="24969" xr:uid="{37E82846-9C4D-4647-A6A2-67776573C6E5}"/>
    <cellStyle name="Normal 3 2 2 2 2 2 2 2 2 17 5 3" xfId="24970" xr:uid="{3CD2B04F-FAFF-417E-B445-0334447900AB}"/>
    <cellStyle name="Normal 3 2 2 2 2 2 2 2 2 17 5 4" xfId="24971" xr:uid="{63FE4F78-089B-4C49-9ECC-E01B2F3DF511}"/>
    <cellStyle name="Normal 3 2 2 2 2 2 2 2 2 17 5 5" xfId="24972" xr:uid="{594EFA14-A97F-4F75-ADE6-6AA9F5A27722}"/>
    <cellStyle name="Normal 3 2 2 2 2 2 2 2 2 17 5 6" xfId="24973" xr:uid="{55D30A6C-8CB6-4D1D-801A-F6ECD857508C}"/>
    <cellStyle name="Normal 3 2 2 2 2 2 2 2 2 17 6" xfId="24974" xr:uid="{EB726A6F-1696-449E-AD58-5E1E87D913BC}"/>
    <cellStyle name="Normal 3 2 2 2 2 2 2 2 2 17 7" xfId="24975" xr:uid="{F5152CEF-6ABE-42B6-8487-8B881D4C9501}"/>
    <cellStyle name="Normal 3 2 2 2 2 2 2 2 2 17 8" xfId="24976" xr:uid="{7CA70F9C-FEFE-4662-B043-2A29F3366237}"/>
    <cellStyle name="Normal 3 2 2 2 2 2 2 2 2 17 9" xfId="24977" xr:uid="{8BEE09EF-03B9-4DDF-94F6-19B8E8F990FD}"/>
    <cellStyle name="Normal 3 2 2 2 2 2 2 2 2 18" xfId="24978" xr:uid="{76D8DD0E-3AED-4BB0-AB15-394DC516CFA7}"/>
    <cellStyle name="Normal 3 2 2 2 2 2 2 2 2 19" xfId="24979" xr:uid="{A241BD19-8B5C-498E-AD5C-E4681AC6DB28}"/>
    <cellStyle name="Normal 3 2 2 2 2 2 2 2 2 19 10" xfId="24980" xr:uid="{2A3E7ACE-BF54-43C7-8F2C-F129F6B43925}"/>
    <cellStyle name="Normal 3 2 2 2 2 2 2 2 2 19 11" xfId="24981" xr:uid="{F219895A-01FD-4DD1-AB63-397D0E0F89DD}"/>
    <cellStyle name="Normal 3 2 2 2 2 2 2 2 2 19 2" xfId="24982" xr:uid="{57E2125A-FE03-4A03-951D-7A82EC6B4044}"/>
    <cellStyle name="Normal 3 2 2 2 2 2 2 2 2 19 2 10" xfId="24983" xr:uid="{FAE2CC28-753D-4559-9592-962D5C9D6BF2}"/>
    <cellStyle name="Normal 3 2 2 2 2 2 2 2 2 19 2 11" xfId="24984" xr:uid="{B2ED06A5-C72C-45EF-BCDC-7B6ABD04E7E0}"/>
    <cellStyle name="Normal 3 2 2 2 2 2 2 2 2 19 2 2" xfId="24985" xr:uid="{5C7B7706-C763-4907-B607-F73F031C020F}"/>
    <cellStyle name="Normal 3 2 2 2 2 2 2 2 2 19 2 2 2" xfId="24986" xr:uid="{69F1B9A6-DC6D-4925-969E-B870AF66AB99}"/>
    <cellStyle name="Normal 3 2 2 2 2 2 2 2 2 19 2 2 2 2" xfId="24987" xr:uid="{8427CD59-AF3C-46FA-A469-6EF7251FF17A}"/>
    <cellStyle name="Normal 3 2 2 2 2 2 2 2 2 19 2 2 2 3" xfId="24988" xr:uid="{2112ABB4-1EB0-46C0-AF5B-0685FBA8DD92}"/>
    <cellStyle name="Normal 3 2 2 2 2 2 2 2 2 19 2 2 2 4" xfId="24989" xr:uid="{C42A5259-58FA-4ED1-90CF-3CFEE5299819}"/>
    <cellStyle name="Normal 3 2 2 2 2 2 2 2 2 19 2 2 3" xfId="24990" xr:uid="{C986DFF7-C299-42EE-9F7B-1A07978A0092}"/>
    <cellStyle name="Normal 3 2 2 2 2 2 2 2 2 19 2 2 4" xfId="24991" xr:uid="{B76D45FB-84C1-4761-B7E5-B58F89B0B448}"/>
    <cellStyle name="Normal 3 2 2 2 2 2 2 2 2 19 2 2 5" xfId="24992" xr:uid="{E3F646EA-7807-4CE8-BE82-0AAE902B8166}"/>
    <cellStyle name="Normal 3 2 2 2 2 2 2 2 2 19 2 2 6" xfId="24993" xr:uid="{21DA0A47-3A7C-4375-804E-DA3A9A7A4A1B}"/>
    <cellStyle name="Normal 3 2 2 2 2 2 2 2 2 19 2 3" xfId="24994" xr:uid="{8D1FB769-CF34-4EB3-8156-1C8A38E57470}"/>
    <cellStyle name="Normal 3 2 2 2 2 2 2 2 2 19 2 4" xfId="24995" xr:uid="{3E9184B7-FB3F-4383-AB45-EC99ECE76146}"/>
    <cellStyle name="Normal 3 2 2 2 2 2 2 2 2 19 2 5" xfId="24996" xr:uid="{DA123569-C615-44E2-9B66-4C3259A596D2}"/>
    <cellStyle name="Normal 3 2 2 2 2 2 2 2 2 19 2 6" xfId="24997" xr:uid="{B940472F-B05D-4408-9F45-F0D3EE4EDFC7}"/>
    <cellStyle name="Normal 3 2 2 2 2 2 2 2 2 19 2 7" xfId="24998" xr:uid="{1ED05D98-878C-4E21-B2D0-7596E867A97A}"/>
    <cellStyle name="Normal 3 2 2 2 2 2 2 2 2 19 2 8" xfId="24999" xr:uid="{07CA8788-240E-419A-993B-DB25E85C65CC}"/>
    <cellStyle name="Normal 3 2 2 2 2 2 2 2 2 19 2 8 2" xfId="25000" xr:uid="{A02A985B-B331-4CCC-9E78-27C4846889AF}"/>
    <cellStyle name="Normal 3 2 2 2 2 2 2 2 2 19 2 8 3" xfId="25001" xr:uid="{9C1FDF82-1AD4-4B94-9AD2-95646DE518BC}"/>
    <cellStyle name="Normal 3 2 2 2 2 2 2 2 2 19 2 8 4" xfId="25002" xr:uid="{2C837C43-A922-45B0-B6D4-7128DBB88B37}"/>
    <cellStyle name="Normal 3 2 2 2 2 2 2 2 2 19 2 9" xfId="25003" xr:uid="{FB3D8C37-B180-419D-8114-C5D933DFF325}"/>
    <cellStyle name="Normal 3 2 2 2 2 2 2 2 2 19 3" xfId="25004" xr:uid="{1A412D4F-968F-43A0-A182-B7E368838505}"/>
    <cellStyle name="Normal 3 2 2 2 2 2 2 2 2 19 3 2" xfId="25005" xr:uid="{89416A6B-A163-4E05-967D-78A0AFFC0824}"/>
    <cellStyle name="Normal 3 2 2 2 2 2 2 2 2 19 3 2 2" xfId="25006" xr:uid="{29FB5F79-509B-4047-96C3-FE9CA4D3F7B1}"/>
    <cellStyle name="Normal 3 2 2 2 2 2 2 2 2 19 3 2 3" xfId="25007" xr:uid="{B63CC11D-15A0-4DC1-B985-A00F0CA36700}"/>
    <cellStyle name="Normal 3 2 2 2 2 2 2 2 2 19 3 2 4" xfId="25008" xr:uid="{52EF0AAB-31A0-42F1-9CA6-999FD6A007BA}"/>
    <cellStyle name="Normal 3 2 2 2 2 2 2 2 2 19 3 3" xfId="25009" xr:uid="{8C0AE4B4-A213-48EB-A933-6013EB4E87E0}"/>
    <cellStyle name="Normal 3 2 2 2 2 2 2 2 2 19 3 4" xfId="25010" xr:uid="{E8404297-B5B0-484B-BA81-9183177751E7}"/>
    <cellStyle name="Normal 3 2 2 2 2 2 2 2 2 19 3 5" xfId="25011" xr:uid="{B8910AA7-8FDB-46B2-B0AA-3DDAEB0ED6C8}"/>
    <cellStyle name="Normal 3 2 2 2 2 2 2 2 2 19 3 6" xfId="25012" xr:uid="{F3D92C96-14CB-4E5E-B734-C0EA52A5A7FF}"/>
    <cellStyle name="Normal 3 2 2 2 2 2 2 2 2 19 4" xfId="25013" xr:uid="{D4AD6130-E35C-42CE-89F7-F88A5287A914}"/>
    <cellStyle name="Normal 3 2 2 2 2 2 2 2 2 19 5" xfId="25014" xr:uid="{83DA0BFC-4F62-4F00-AD14-DF3C0E2B2550}"/>
    <cellStyle name="Normal 3 2 2 2 2 2 2 2 2 19 6" xfId="25015" xr:uid="{D9BA2964-3267-492B-A08A-E3A401453150}"/>
    <cellStyle name="Normal 3 2 2 2 2 2 2 2 2 19 7" xfId="25016" xr:uid="{A7DE7837-5092-49AE-B267-61B295776AAA}"/>
    <cellStyle name="Normal 3 2 2 2 2 2 2 2 2 19 8" xfId="25017" xr:uid="{E9B7DD88-C348-40FE-A2A7-6EE1DFA0FEA6}"/>
    <cellStyle name="Normal 3 2 2 2 2 2 2 2 2 19 8 2" xfId="25018" xr:uid="{4A295C47-F5BE-4F5D-A014-B0466AB8247D}"/>
    <cellStyle name="Normal 3 2 2 2 2 2 2 2 2 19 8 3" xfId="25019" xr:uid="{6661917D-E0C1-4BD8-87EA-832C5C23CB3D}"/>
    <cellStyle name="Normal 3 2 2 2 2 2 2 2 2 19 8 4" xfId="25020" xr:uid="{9F6DB53F-9AD2-410F-81B4-9CCABCF2F596}"/>
    <cellStyle name="Normal 3 2 2 2 2 2 2 2 2 19 9" xfId="25021" xr:uid="{187B6349-7B1F-43D3-A448-36A7775E4710}"/>
    <cellStyle name="Normal 3 2 2 2 2 2 2 2 2 2" xfId="25022" xr:uid="{B8D44EAF-48C3-4515-AA5F-9C1AB03B59C9}"/>
    <cellStyle name="Normal 3 2 2 2 2 2 2 2 2 2 10" xfId="25023" xr:uid="{ADE27E98-9CCD-48ED-B6C8-5F7B7365E9D0}"/>
    <cellStyle name="Normal 3 2 2 2 2 2 2 2 2 2 11" xfId="25024" xr:uid="{57EE78C3-C41F-4864-AD47-DFCDAED7C1DF}"/>
    <cellStyle name="Normal 3 2 2 2 2 2 2 2 2 2 12" xfId="25025" xr:uid="{E8918FB6-4D03-40E9-A394-55D5A80E56C2}"/>
    <cellStyle name="Normal 3 2 2 2 2 2 2 2 2 2 13" xfId="25026" xr:uid="{689A788D-15FE-404D-BBE5-884417B4CDC4}"/>
    <cellStyle name="Normal 3 2 2 2 2 2 2 2 2 2 14" xfId="25027" xr:uid="{8ACDC572-E3E6-4559-85A3-E36689F6551F}"/>
    <cellStyle name="Normal 3 2 2 2 2 2 2 2 2 2 15" xfId="25028" xr:uid="{27D4EBE0-E30D-4AC3-A6EE-EA5A8D69154D}"/>
    <cellStyle name="Normal 3 2 2 2 2 2 2 2 2 2 16" xfId="25029" xr:uid="{5E26A40C-7D32-4ACC-A2FE-65484B5CD6F0}"/>
    <cellStyle name="Normal 3 2 2 2 2 2 2 2 2 2 17" xfId="25030" xr:uid="{BE59D360-5C36-4154-89C7-58794EC70E2D}"/>
    <cellStyle name="Normal 3 2 2 2 2 2 2 2 2 2 17 10" xfId="25031" xr:uid="{0E4F5E83-9792-457E-87BF-3A4FBE66572A}"/>
    <cellStyle name="Normal 3 2 2 2 2 2 2 2 2 2 17 11" xfId="25032" xr:uid="{C30795E2-3802-4A41-8773-AC633E72852A}"/>
    <cellStyle name="Normal 3 2 2 2 2 2 2 2 2 2 17 11 2" xfId="25033" xr:uid="{4F455625-E46D-4D4B-9BA0-8ADA7B20BF85}"/>
    <cellStyle name="Normal 3 2 2 2 2 2 2 2 2 2 17 11 3" xfId="25034" xr:uid="{FCF0E7C3-1406-4FC6-80A0-2B8C4AAD022B}"/>
    <cellStyle name="Normal 3 2 2 2 2 2 2 2 2 2 17 11 4" xfId="25035" xr:uid="{D541201C-1891-4E63-9BB2-3FE92775D176}"/>
    <cellStyle name="Normal 3 2 2 2 2 2 2 2 2 2 17 12" xfId="25036" xr:uid="{87C02713-D2AA-4218-B184-089F2E979A8D}"/>
    <cellStyle name="Normal 3 2 2 2 2 2 2 2 2 2 17 13" xfId="25037" xr:uid="{A9FA819B-330A-416C-8C96-61ACD43B3145}"/>
    <cellStyle name="Normal 3 2 2 2 2 2 2 2 2 2 17 14" xfId="25038" xr:uid="{132E35BF-C2CC-46EC-9748-2755A99C26D1}"/>
    <cellStyle name="Normal 3 2 2 2 2 2 2 2 2 2 17 2" xfId="25039" xr:uid="{1284D7CE-00AE-47DE-8790-DD436B66AC87}"/>
    <cellStyle name="Normal 3 2 2 2 2 2 2 2 2 2 17 2 10" xfId="25040" xr:uid="{7BCF9070-186C-417D-AFA3-4057D49D653B}"/>
    <cellStyle name="Normal 3 2 2 2 2 2 2 2 2 2 17 2 11" xfId="25041" xr:uid="{17D464C8-3EB7-469A-A8D9-8A9919B3389A}"/>
    <cellStyle name="Normal 3 2 2 2 2 2 2 2 2 2 17 2 2" xfId="25042" xr:uid="{FBD552B1-C768-4D18-8F92-5F1BEA68E85D}"/>
    <cellStyle name="Normal 3 2 2 2 2 2 2 2 2 2 17 2 2 10" xfId="25043" xr:uid="{BB7E6B01-FE7B-41C7-943C-06E6A85AC8DC}"/>
    <cellStyle name="Normal 3 2 2 2 2 2 2 2 2 2 17 2 2 11" xfId="25044" xr:uid="{F36F7801-760C-48F5-9D74-EFD8218721B7}"/>
    <cellStyle name="Normal 3 2 2 2 2 2 2 2 2 2 17 2 2 2" xfId="25045" xr:uid="{092C5C10-2142-4BE1-A93D-53DC8296CFBA}"/>
    <cellStyle name="Normal 3 2 2 2 2 2 2 2 2 2 17 2 2 2 2" xfId="25046" xr:uid="{C65C355C-3CF6-475B-B214-A00CEA9F1782}"/>
    <cellStyle name="Normal 3 2 2 2 2 2 2 2 2 2 17 2 2 2 2 2" xfId="25047" xr:uid="{E127ABF9-927C-4A63-9EBE-054CE8C9684F}"/>
    <cellStyle name="Normal 3 2 2 2 2 2 2 2 2 2 17 2 2 2 2 3" xfId="25048" xr:uid="{506D7B2E-D283-45E3-B245-3BFC9ABEE174}"/>
    <cellStyle name="Normal 3 2 2 2 2 2 2 2 2 2 17 2 2 2 2 4" xfId="25049" xr:uid="{230A0A41-2ABD-4CA9-9577-51C86F3C8C0B}"/>
    <cellStyle name="Normal 3 2 2 2 2 2 2 2 2 2 17 2 2 2 3" xfId="25050" xr:uid="{B314CD42-873C-411B-9C3F-7D4953FB91E9}"/>
    <cellStyle name="Normal 3 2 2 2 2 2 2 2 2 2 17 2 2 2 4" xfId="25051" xr:uid="{048F808C-7EDE-4ED3-8412-AD5E61BDF04A}"/>
    <cellStyle name="Normal 3 2 2 2 2 2 2 2 2 2 17 2 2 2 5" xfId="25052" xr:uid="{B1CC377A-1CFE-4A3D-BE8B-05B13A733CE9}"/>
    <cellStyle name="Normal 3 2 2 2 2 2 2 2 2 2 17 2 2 2 6" xfId="25053" xr:uid="{9CCFFA5E-C16D-42AE-9AAD-20E98235ECC8}"/>
    <cellStyle name="Normal 3 2 2 2 2 2 2 2 2 2 17 2 2 3" xfId="25054" xr:uid="{787ADB00-6CE5-45F1-9DE0-BB929995ED62}"/>
    <cellStyle name="Normal 3 2 2 2 2 2 2 2 2 2 17 2 2 4" xfId="25055" xr:uid="{6E821647-B28C-4504-95A8-40F1B2CBD5E7}"/>
    <cellStyle name="Normal 3 2 2 2 2 2 2 2 2 2 17 2 2 5" xfId="25056" xr:uid="{10BA5057-526C-4325-B7EB-0CE3067C81D3}"/>
    <cellStyle name="Normal 3 2 2 2 2 2 2 2 2 2 17 2 2 6" xfId="25057" xr:uid="{9A37CA2E-3453-4F52-B153-715948D0D845}"/>
    <cellStyle name="Normal 3 2 2 2 2 2 2 2 2 2 17 2 2 7" xfId="25058" xr:uid="{2AA62373-A7DB-4D53-8585-9ED8BB478BD8}"/>
    <cellStyle name="Normal 3 2 2 2 2 2 2 2 2 2 17 2 2 8" xfId="25059" xr:uid="{B55046A1-FE19-4527-B844-849457572A00}"/>
    <cellStyle name="Normal 3 2 2 2 2 2 2 2 2 2 17 2 2 8 2" xfId="25060" xr:uid="{C2D19BD1-D591-4ECB-A41E-43C075A81CA9}"/>
    <cellStyle name="Normal 3 2 2 2 2 2 2 2 2 2 17 2 2 8 3" xfId="25061" xr:uid="{92360096-0344-4098-8D39-0DF148E96DD4}"/>
    <cellStyle name="Normal 3 2 2 2 2 2 2 2 2 2 17 2 2 8 4" xfId="25062" xr:uid="{3ACA93BA-FC23-404E-B02B-8608FDC59C6A}"/>
    <cellStyle name="Normal 3 2 2 2 2 2 2 2 2 2 17 2 2 9" xfId="25063" xr:uid="{815F9438-C260-4A00-9DE8-A58479C12B4A}"/>
    <cellStyle name="Normal 3 2 2 2 2 2 2 2 2 2 17 2 3" xfId="25064" xr:uid="{4836A40E-885F-4EC1-9189-B5D3691E4F70}"/>
    <cellStyle name="Normal 3 2 2 2 2 2 2 2 2 2 17 2 3 2" xfId="25065" xr:uid="{EB041B24-4A5A-4346-B3BB-6BFB17888C9D}"/>
    <cellStyle name="Normal 3 2 2 2 2 2 2 2 2 2 17 2 3 2 2" xfId="25066" xr:uid="{B374774D-95DB-47F0-A259-648342C2010C}"/>
    <cellStyle name="Normal 3 2 2 2 2 2 2 2 2 2 17 2 3 2 3" xfId="25067" xr:uid="{E448BEC5-A59F-486C-81D7-6C713C313C2D}"/>
    <cellStyle name="Normal 3 2 2 2 2 2 2 2 2 2 17 2 3 2 4" xfId="25068" xr:uid="{88B9665F-75BB-4AD0-A779-E26D3D4B9084}"/>
    <cellStyle name="Normal 3 2 2 2 2 2 2 2 2 2 17 2 3 3" xfId="25069" xr:uid="{163C1770-3772-4980-826D-88FC80083D0A}"/>
    <cellStyle name="Normal 3 2 2 2 2 2 2 2 2 2 17 2 3 4" xfId="25070" xr:uid="{22BEFBDC-C920-46C3-81C6-E4B86BD6B7D8}"/>
    <cellStyle name="Normal 3 2 2 2 2 2 2 2 2 2 17 2 3 5" xfId="25071" xr:uid="{BEBE1647-3EBF-4286-B9D5-B1CEDB11F8D6}"/>
    <cellStyle name="Normal 3 2 2 2 2 2 2 2 2 2 17 2 3 6" xfId="25072" xr:uid="{121BAC0E-65F3-4385-8E48-A1F20221E2D1}"/>
    <cellStyle name="Normal 3 2 2 2 2 2 2 2 2 2 17 2 4" xfId="25073" xr:uid="{05936E55-2018-41BC-BEBB-82E89017ADA5}"/>
    <cellStyle name="Normal 3 2 2 2 2 2 2 2 2 2 17 2 5" xfId="25074" xr:uid="{5AD70FF8-3F36-4519-A9FA-5B83D762CFCE}"/>
    <cellStyle name="Normal 3 2 2 2 2 2 2 2 2 2 17 2 6" xfId="25075" xr:uid="{B0CF134E-0B89-4A95-9DF4-D9F8D32F02AB}"/>
    <cellStyle name="Normal 3 2 2 2 2 2 2 2 2 2 17 2 7" xfId="25076" xr:uid="{3D4E4E99-B2BB-44C6-98FF-3AC19B7B7A48}"/>
    <cellStyle name="Normal 3 2 2 2 2 2 2 2 2 2 17 2 8" xfId="25077" xr:uid="{A6AD5A29-53AE-4DB3-BA39-67481DD00D26}"/>
    <cellStyle name="Normal 3 2 2 2 2 2 2 2 2 2 17 2 8 2" xfId="25078" xr:uid="{ACC876D2-D270-4E85-AC00-A5F12B9B5CB4}"/>
    <cellStyle name="Normal 3 2 2 2 2 2 2 2 2 2 17 2 8 3" xfId="25079" xr:uid="{6473D761-FF3F-47D1-834E-2D6BA6A3692F}"/>
    <cellStyle name="Normal 3 2 2 2 2 2 2 2 2 2 17 2 8 4" xfId="25080" xr:uid="{F197563E-39B5-4C52-AD68-44996C40BED2}"/>
    <cellStyle name="Normal 3 2 2 2 2 2 2 2 2 2 17 2 9" xfId="25081" xr:uid="{3F6825D3-E37E-49D2-9B3E-42FC2D44162D}"/>
    <cellStyle name="Normal 3 2 2 2 2 2 2 2 2 2 17 3" xfId="25082" xr:uid="{5F3C243F-D63D-4F9C-A23B-559F32BA6B63}"/>
    <cellStyle name="Normal 3 2 2 2 2 2 2 2 2 2 17 4" xfId="25083" xr:uid="{5B3FA19E-6D59-4502-80CB-D75F2C407245}"/>
    <cellStyle name="Normal 3 2 2 2 2 2 2 2 2 2 17 5" xfId="25084" xr:uid="{F016875F-C14F-40FE-B77F-22F6A9B57DDC}"/>
    <cellStyle name="Normal 3 2 2 2 2 2 2 2 2 2 17 5 2" xfId="25085" xr:uid="{89F2C5B5-1029-40E8-B172-E2A8A6642BC7}"/>
    <cellStyle name="Normal 3 2 2 2 2 2 2 2 2 2 17 5 2 2" xfId="25086" xr:uid="{892F992A-741D-4AC7-BABF-C5E254FB061D}"/>
    <cellStyle name="Normal 3 2 2 2 2 2 2 2 2 2 17 5 2 3" xfId="25087" xr:uid="{4B8E81BE-6257-4EA1-B70F-B2D51125B423}"/>
    <cellStyle name="Normal 3 2 2 2 2 2 2 2 2 2 17 5 2 4" xfId="25088" xr:uid="{C59383B9-2A6F-4152-A77F-D68CCF8F8C3C}"/>
    <cellStyle name="Normal 3 2 2 2 2 2 2 2 2 2 17 5 3" xfId="25089" xr:uid="{7C91213A-B3F9-473E-B040-38A74F3FA438}"/>
    <cellStyle name="Normal 3 2 2 2 2 2 2 2 2 2 17 5 4" xfId="25090" xr:uid="{FAF7485A-B56E-4068-9168-6B0EA3E7334D}"/>
    <cellStyle name="Normal 3 2 2 2 2 2 2 2 2 2 17 5 5" xfId="25091" xr:uid="{3DCACE0E-B91D-48E9-A717-E8EB51899B46}"/>
    <cellStyle name="Normal 3 2 2 2 2 2 2 2 2 2 17 5 6" xfId="25092" xr:uid="{EE9A7742-522F-4493-90EA-76700B8480B2}"/>
    <cellStyle name="Normal 3 2 2 2 2 2 2 2 2 2 17 6" xfId="25093" xr:uid="{6BCCD59F-5854-4077-AA9F-BD3A0F0D7E8A}"/>
    <cellStyle name="Normal 3 2 2 2 2 2 2 2 2 2 17 7" xfId="25094" xr:uid="{29761B52-FE49-44DD-979B-B1487DD9685B}"/>
    <cellStyle name="Normal 3 2 2 2 2 2 2 2 2 2 17 8" xfId="25095" xr:uid="{9A8ECC1B-CA6B-47FD-96FB-657A5FEDD8A0}"/>
    <cellStyle name="Normal 3 2 2 2 2 2 2 2 2 2 17 9" xfId="25096" xr:uid="{4C467EA1-312D-4CE8-BA85-C913C3BEC0A6}"/>
    <cellStyle name="Normal 3 2 2 2 2 2 2 2 2 2 18" xfId="25097" xr:uid="{24A8375B-BF5A-4A52-8272-4DE7EC622483}"/>
    <cellStyle name="Normal 3 2 2 2 2 2 2 2 2 2 19" xfId="25098" xr:uid="{F68F90D3-B97B-4535-9B3A-DBCFFCA6C917}"/>
    <cellStyle name="Normal 3 2 2 2 2 2 2 2 2 2 19 10" xfId="25099" xr:uid="{95A66E1C-9711-424B-8E22-C48F02F2FA4E}"/>
    <cellStyle name="Normal 3 2 2 2 2 2 2 2 2 2 19 11" xfId="25100" xr:uid="{B121E438-618D-4B2E-AD96-7B620E62E588}"/>
    <cellStyle name="Normal 3 2 2 2 2 2 2 2 2 2 19 2" xfId="25101" xr:uid="{EB99E86A-A91F-42D4-83C2-D21BED241885}"/>
    <cellStyle name="Normal 3 2 2 2 2 2 2 2 2 2 19 2 10" xfId="25102" xr:uid="{E59FA09B-7F97-4F08-A6B2-29C1441E3FFB}"/>
    <cellStyle name="Normal 3 2 2 2 2 2 2 2 2 2 19 2 11" xfId="25103" xr:uid="{B14974CE-F319-4C0E-93D4-380AA605F7CA}"/>
    <cellStyle name="Normal 3 2 2 2 2 2 2 2 2 2 19 2 2" xfId="25104" xr:uid="{A6578332-AF3B-410E-998E-3716B7C61417}"/>
    <cellStyle name="Normal 3 2 2 2 2 2 2 2 2 2 19 2 2 2" xfId="25105" xr:uid="{9F82BD47-0DC0-4782-A85E-7BA7C4FDE888}"/>
    <cellStyle name="Normal 3 2 2 2 2 2 2 2 2 2 19 2 2 2 2" xfId="25106" xr:uid="{902C0FBE-284D-4066-9EA2-A7812C335AE4}"/>
    <cellStyle name="Normal 3 2 2 2 2 2 2 2 2 2 19 2 2 2 3" xfId="25107" xr:uid="{771B5FF6-7EC3-4B6A-8B86-6F83CA5D42DC}"/>
    <cellStyle name="Normal 3 2 2 2 2 2 2 2 2 2 19 2 2 2 4" xfId="25108" xr:uid="{8D8A3C28-E0D1-4B35-8E77-81892800293D}"/>
    <cellStyle name="Normal 3 2 2 2 2 2 2 2 2 2 19 2 2 3" xfId="25109" xr:uid="{3925D883-2C3F-4E3F-BDAE-744DF8C362A6}"/>
    <cellStyle name="Normal 3 2 2 2 2 2 2 2 2 2 19 2 2 4" xfId="25110" xr:uid="{17126DDF-9372-4DA3-A149-FFDEAD29C649}"/>
    <cellStyle name="Normal 3 2 2 2 2 2 2 2 2 2 19 2 2 5" xfId="25111" xr:uid="{B62FE85A-17A2-49D9-A53F-AB05E9943620}"/>
    <cellStyle name="Normal 3 2 2 2 2 2 2 2 2 2 19 2 2 6" xfId="25112" xr:uid="{6DA6BCAD-3013-44D4-BCBE-8D7B281E2A30}"/>
    <cellStyle name="Normal 3 2 2 2 2 2 2 2 2 2 19 2 3" xfId="25113" xr:uid="{A2E925F9-4F0D-489E-9263-689E6DA219F0}"/>
    <cellStyle name="Normal 3 2 2 2 2 2 2 2 2 2 19 2 4" xfId="25114" xr:uid="{A46AD57F-836F-4927-A806-7AC73C024813}"/>
    <cellStyle name="Normal 3 2 2 2 2 2 2 2 2 2 19 2 5" xfId="25115" xr:uid="{5C59B076-25D7-4D73-9B48-04F970505832}"/>
    <cellStyle name="Normal 3 2 2 2 2 2 2 2 2 2 19 2 6" xfId="25116" xr:uid="{B27C0F9B-F7A3-43AF-B7CF-DE6B5D0597D3}"/>
    <cellStyle name="Normal 3 2 2 2 2 2 2 2 2 2 19 2 7" xfId="25117" xr:uid="{9D3CBAB0-40B9-4869-B870-AC90381E61A5}"/>
    <cellStyle name="Normal 3 2 2 2 2 2 2 2 2 2 19 2 8" xfId="25118" xr:uid="{F6133791-8982-426A-8FA9-0F78219F1514}"/>
    <cellStyle name="Normal 3 2 2 2 2 2 2 2 2 2 19 2 8 2" xfId="25119" xr:uid="{CECFC490-918E-47DE-9386-45BBF89717BA}"/>
    <cellStyle name="Normal 3 2 2 2 2 2 2 2 2 2 19 2 8 3" xfId="25120" xr:uid="{22ECF42C-24A2-4DFF-8475-ABB344C51C47}"/>
    <cellStyle name="Normal 3 2 2 2 2 2 2 2 2 2 19 2 8 4" xfId="25121" xr:uid="{FD3EAC38-2288-4814-8D01-C241E0BDF992}"/>
    <cellStyle name="Normal 3 2 2 2 2 2 2 2 2 2 19 2 9" xfId="25122" xr:uid="{2179C20B-6DBB-4EF6-AA94-F8CA666EEF5B}"/>
    <cellStyle name="Normal 3 2 2 2 2 2 2 2 2 2 19 3" xfId="25123" xr:uid="{B6A5F119-3F2B-40CA-A18D-8277D21B42BE}"/>
    <cellStyle name="Normal 3 2 2 2 2 2 2 2 2 2 19 3 2" xfId="25124" xr:uid="{BBFEAA57-3869-46C1-94E8-536A74FE0845}"/>
    <cellStyle name="Normal 3 2 2 2 2 2 2 2 2 2 19 3 2 2" xfId="25125" xr:uid="{F81BC253-149C-4D87-B478-A4FA53068620}"/>
    <cellStyle name="Normal 3 2 2 2 2 2 2 2 2 2 19 3 2 3" xfId="25126" xr:uid="{ABDB339D-5FAA-43E0-A18D-A1A76772AA5D}"/>
    <cellStyle name="Normal 3 2 2 2 2 2 2 2 2 2 19 3 2 4" xfId="25127" xr:uid="{C01079CA-E94C-43A9-9CD3-A21298CB2AFE}"/>
    <cellStyle name="Normal 3 2 2 2 2 2 2 2 2 2 19 3 3" xfId="25128" xr:uid="{9DBAB15C-44C3-48CE-8716-3BF48C8EEA7B}"/>
    <cellStyle name="Normal 3 2 2 2 2 2 2 2 2 2 19 3 4" xfId="25129" xr:uid="{0FD4ED0F-E2C7-4D50-92A4-3323B0D0C256}"/>
    <cellStyle name="Normal 3 2 2 2 2 2 2 2 2 2 19 3 5" xfId="25130" xr:uid="{B341AE7A-99B3-42F6-B4D4-D7770F06B340}"/>
    <cellStyle name="Normal 3 2 2 2 2 2 2 2 2 2 19 3 6" xfId="25131" xr:uid="{B49DCD87-E048-4F03-A928-DE23A042B555}"/>
    <cellStyle name="Normal 3 2 2 2 2 2 2 2 2 2 19 4" xfId="25132" xr:uid="{527A18B9-BEBF-41A3-BEE8-BFE858D7DCFC}"/>
    <cellStyle name="Normal 3 2 2 2 2 2 2 2 2 2 19 5" xfId="25133" xr:uid="{D3177EDE-F355-49F0-833D-9A33DE48B748}"/>
    <cellStyle name="Normal 3 2 2 2 2 2 2 2 2 2 19 6" xfId="25134" xr:uid="{68376C65-CD03-4C1C-92B8-12474044780D}"/>
    <cellStyle name="Normal 3 2 2 2 2 2 2 2 2 2 19 7" xfId="25135" xr:uid="{33C73F69-FA18-406D-BE76-272015D270DC}"/>
    <cellStyle name="Normal 3 2 2 2 2 2 2 2 2 2 19 8" xfId="25136" xr:uid="{E591F30E-A4AE-4AAD-B6FC-260C7BCB133D}"/>
    <cellStyle name="Normal 3 2 2 2 2 2 2 2 2 2 19 8 2" xfId="25137" xr:uid="{FF6D6FA6-0C61-482A-ABDC-933675DEC5B8}"/>
    <cellStyle name="Normal 3 2 2 2 2 2 2 2 2 2 19 8 3" xfId="25138" xr:uid="{3277D356-9026-44CD-BD38-7AEF577965EE}"/>
    <cellStyle name="Normal 3 2 2 2 2 2 2 2 2 2 19 8 4" xfId="25139" xr:uid="{8F40113D-1468-4988-AF3D-8D14E4D02F78}"/>
    <cellStyle name="Normal 3 2 2 2 2 2 2 2 2 2 19 9" xfId="25140" xr:uid="{64E06E8E-5D77-4773-BF5E-89E64999CD03}"/>
    <cellStyle name="Normal 3 2 2 2 2 2 2 2 2 2 2" xfId="25141" xr:uid="{86781238-384F-4707-A246-B32544B9513F}"/>
    <cellStyle name="Normal 3 2 2 2 2 2 2 2 2 2 2 10" xfId="25142" xr:uid="{F6869FF2-57C9-4FFC-8530-46D8C7DF280C}"/>
    <cellStyle name="Normal 3 2 2 2 2 2 2 2 2 2 2 11" xfId="25143" xr:uid="{1DE52901-C1DB-437D-8077-46D740AAB6FC}"/>
    <cellStyle name="Normal 3 2 2 2 2 2 2 2 2 2 2 12" xfId="25144" xr:uid="{85612177-4E13-4FF7-AA59-0C72B988ACD5}"/>
    <cellStyle name="Normal 3 2 2 2 2 2 2 2 2 2 2 13" xfId="25145" xr:uid="{085A8B53-BD0A-44E0-B940-54647C8684A6}"/>
    <cellStyle name="Normal 3 2 2 2 2 2 2 2 2 2 2 14" xfId="25146" xr:uid="{C2429430-8BB3-4271-BB45-14516A3D3298}"/>
    <cellStyle name="Normal 3 2 2 2 2 2 2 2 2 2 2 15" xfId="25147" xr:uid="{C4E1AB33-0D62-41D9-8197-1A022831F973}"/>
    <cellStyle name="Normal 3 2 2 2 2 2 2 2 2 2 2 16" xfId="25148" xr:uid="{030BFB8E-B700-4002-9116-BA9E2453487D}"/>
    <cellStyle name="Normal 3 2 2 2 2 2 2 2 2 2 2 16 10" xfId="25149" xr:uid="{9C895825-354C-49FC-812D-46519DC7C815}"/>
    <cellStyle name="Normal 3 2 2 2 2 2 2 2 2 2 2 16 11" xfId="25150" xr:uid="{195ACCA3-5860-464C-ADBE-24973138715F}"/>
    <cellStyle name="Normal 3 2 2 2 2 2 2 2 2 2 2 16 11 2" xfId="25151" xr:uid="{6971F139-B537-47F0-BD57-4A52DDAD0091}"/>
    <cellStyle name="Normal 3 2 2 2 2 2 2 2 2 2 2 16 11 3" xfId="25152" xr:uid="{04A139CF-53D9-4838-9966-964DF8BFAA13}"/>
    <cellStyle name="Normal 3 2 2 2 2 2 2 2 2 2 2 16 11 4" xfId="25153" xr:uid="{DB85A9E0-C581-4BD6-B7AE-ABC6BC95AF24}"/>
    <cellStyle name="Normal 3 2 2 2 2 2 2 2 2 2 2 16 12" xfId="25154" xr:uid="{376557C0-A2F0-4683-A089-9CB6C90233D7}"/>
    <cellStyle name="Normal 3 2 2 2 2 2 2 2 2 2 2 16 13" xfId="25155" xr:uid="{12C6F1D2-866B-464B-B98A-A23EB754EC8F}"/>
    <cellStyle name="Normal 3 2 2 2 2 2 2 2 2 2 2 16 14" xfId="25156" xr:uid="{9DD28FDD-4225-4C2E-9550-8EA0B767F28E}"/>
    <cellStyle name="Normal 3 2 2 2 2 2 2 2 2 2 2 16 2" xfId="25157" xr:uid="{81B62395-08A1-429C-ABB2-EBAF40F3BFC1}"/>
    <cellStyle name="Normal 3 2 2 2 2 2 2 2 2 2 2 16 2 10" xfId="25158" xr:uid="{91B8A1BF-F13C-4F99-8FFA-802922C1AA51}"/>
    <cellStyle name="Normal 3 2 2 2 2 2 2 2 2 2 2 16 2 11" xfId="25159" xr:uid="{6FF9327D-1A70-4823-ADB6-7A5EB76D44C6}"/>
    <cellStyle name="Normal 3 2 2 2 2 2 2 2 2 2 2 16 2 2" xfId="25160" xr:uid="{1B10FEEB-A97B-4EB6-98B6-6A644ED53E96}"/>
    <cellStyle name="Normal 3 2 2 2 2 2 2 2 2 2 2 16 2 2 10" xfId="25161" xr:uid="{881FAB62-E2C2-4501-BC31-03B24A1E3353}"/>
    <cellStyle name="Normal 3 2 2 2 2 2 2 2 2 2 2 16 2 2 11" xfId="25162" xr:uid="{952D5187-6833-452D-B368-9B453FC4697C}"/>
    <cellStyle name="Normal 3 2 2 2 2 2 2 2 2 2 2 16 2 2 2" xfId="25163" xr:uid="{2C32BCCF-FFE6-4EA1-8AD3-A6B8DCB338BB}"/>
    <cellStyle name="Normal 3 2 2 2 2 2 2 2 2 2 2 16 2 2 2 2" xfId="25164" xr:uid="{34EF4A3E-FE13-4ADB-B1C9-D0EF3CA9B733}"/>
    <cellStyle name="Normal 3 2 2 2 2 2 2 2 2 2 2 16 2 2 2 2 2" xfId="25165" xr:uid="{201E76BB-EBAC-4395-859E-023F2A0D43C1}"/>
    <cellStyle name="Normal 3 2 2 2 2 2 2 2 2 2 2 16 2 2 2 2 3" xfId="25166" xr:uid="{67CEEC96-133B-4EF6-B90C-5F81F903B6BE}"/>
    <cellStyle name="Normal 3 2 2 2 2 2 2 2 2 2 2 16 2 2 2 2 4" xfId="25167" xr:uid="{82E28867-83F1-4228-B150-59E3C3B985B4}"/>
    <cellStyle name="Normal 3 2 2 2 2 2 2 2 2 2 2 16 2 2 2 3" xfId="25168" xr:uid="{8B2D5519-6D0F-43C1-8B99-03B6572D14D6}"/>
    <cellStyle name="Normal 3 2 2 2 2 2 2 2 2 2 2 16 2 2 2 4" xfId="25169" xr:uid="{7699AACB-AE64-48F7-A181-EF10453F0D47}"/>
    <cellStyle name="Normal 3 2 2 2 2 2 2 2 2 2 2 16 2 2 2 5" xfId="25170" xr:uid="{AFF99962-2B24-4905-9569-59EF5E5BB171}"/>
    <cellStyle name="Normal 3 2 2 2 2 2 2 2 2 2 2 16 2 2 2 6" xfId="25171" xr:uid="{57D2900B-3942-49CD-ACAB-59DCA16364D3}"/>
    <cellStyle name="Normal 3 2 2 2 2 2 2 2 2 2 2 16 2 2 3" xfId="25172" xr:uid="{41797A79-30AA-4748-B5BF-8A74EB8989C9}"/>
    <cellStyle name="Normal 3 2 2 2 2 2 2 2 2 2 2 16 2 2 4" xfId="25173" xr:uid="{A0B175EE-8592-4118-B966-FFB0C63F1796}"/>
    <cellStyle name="Normal 3 2 2 2 2 2 2 2 2 2 2 16 2 2 5" xfId="25174" xr:uid="{DB7E570D-C76D-445A-B6D9-E8AAAF84ED61}"/>
    <cellStyle name="Normal 3 2 2 2 2 2 2 2 2 2 2 16 2 2 6" xfId="25175" xr:uid="{1FC2BE80-FB36-4F1F-A6E2-84173EE538C6}"/>
    <cellStyle name="Normal 3 2 2 2 2 2 2 2 2 2 2 16 2 2 7" xfId="25176" xr:uid="{EFFCCCF5-99E5-4785-9A87-B06087A1F8E6}"/>
    <cellStyle name="Normal 3 2 2 2 2 2 2 2 2 2 2 16 2 2 8" xfId="25177" xr:uid="{AE19BEC9-EF0F-40E8-8F2C-2F67511FF262}"/>
    <cellStyle name="Normal 3 2 2 2 2 2 2 2 2 2 2 16 2 2 8 2" xfId="25178" xr:uid="{A98CC1C0-47CB-48CE-902D-48E346E13287}"/>
    <cellStyle name="Normal 3 2 2 2 2 2 2 2 2 2 2 16 2 2 8 3" xfId="25179" xr:uid="{47155F7A-8CEF-4533-B185-58028945EDBE}"/>
    <cellStyle name="Normal 3 2 2 2 2 2 2 2 2 2 2 16 2 2 8 4" xfId="25180" xr:uid="{CE13514D-E0B4-4716-BD17-15D9F416D71B}"/>
    <cellStyle name="Normal 3 2 2 2 2 2 2 2 2 2 2 16 2 2 9" xfId="25181" xr:uid="{8BA2447A-FBB8-4D7B-8E6D-9FE470ED3C8E}"/>
    <cellStyle name="Normal 3 2 2 2 2 2 2 2 2 2 2 16 2 3" xfId="25182" xr:uid="{D7BD74D9-0987-4BF6-AF44-8D521B1F41FE}"/>
    <cellStyle name="Normal 3 2 2 2 2 2 2 2 2 2 2 16 2 3 2" xfId="25183" xr:uid="{62E184EA-953A-4BD3-A3D7-7A05FAA7823E}"/>
    <cellStyle name="Normal 3 2 2 2 2 2 2 2 2 2 2 16 2 3 2 2" xfId="25184" xr:uid="{2BE28695-B9F1-4F3E-9ED8-787684399927}"/>
    <cellStyle name="Normal 3 2 2 2 2 2 2 2 2 2 2 16 2 3 2 3" xfId="25185" xr:uid="{B81671DB-EA0A-4B3B-A224-78822D706B40}"/>
    <cellStyle name="Normal 3 2 2 2 2 2 2 2 2 2 2 16 2 3 2 4" xfId="25186" xr:uid="{AED526B7-D421-4A32-9939-94232A60603D}"/>
    <cellStyle name="Normal 3 2 2 2 2 2 2 2 2 2 2 16 2 3 3" xfId="25187" xr:uid="{7C103EF7-78BA-4BAA-B334-8529882CE7FB}"/>
    <cellStyle name="Normal 3 2 2 2 2 2 2 2 2 2 2 16 2 3 4" xfId="25188" xr:uid="{54476F61-4304-44E1-8019-C5D21E1F0716}"/>
    <cellStyle name="Normal 3 2 2 2 2 2 2 2 2 2 2 16 2 3 5" xfId="25189" xr:uid="{EBFEEA46-30CB-4C24-BEF0-F0FEB499D3A0}"/>
    <cellStyle name="Normal 3 2 2 2 2 2 2 2 2 2 2 16 2 3 6" xfId="25190" xr:uid="{7095CFB6-4739-447D-9F38-C21A69A6AD9D}"/>
    <cellStyle name="Normal 3 2 2 2 2 2 2 2 2 2 2 16 2 4" xfId="25191" xr:uid="{604A0899-3B5E-4967-8BEC-0CB0C0965DB8}"/>
    <cellStyle name="Normal 3 2 2 2 2 2 2 2 2 2 2 16 2 5" xfId="25192" xr:uid="{7E4B41BD-207A-4294-A836-AB176AE35371}"/>
    <cellStyle name="Normal 3 2 2 2 2 2 2 2 2 2 2 16 2 6" xfId="25193" xr:uid="{421AE4D2-94D9-415E-961B-C398B0223EE4}"/>
    <cellStyle name="Normal 3 2 2 2 2 2 2 2 2 2 2 16 2 7" xfId="25194" xr:uid="{15480F47-0285-49F1-ADB4-0945839E202C}"/>
    <cellStyle name="Normal 3 2 2 2 2 2 2 2 2 2 2 16 2 8" xfId="25195" xr:uid="{94F1A687-8E2A-4339-A1F6-312E712DE150}"/>
    <cellStyle name="Normal 3 2 2 2 2 2 2 2 2 2 2 16 2 8 2" xfId="25196" xr:uid="{B4E36695-9E75-4818-ADD0-AE9F9CA4F464}"/>
    <cellStyle name="Normal 3 2 2 2 2 2 2 2 2 2 2 16 2 8 3" xfId="25197" xr:uid="{9CE3ACB4-42FC-4188-AB58-1103EA0DCD45}"/>
    <cellStyle name="Normal 3 2 2 2 2 2 2 2 2 2 2 16 2 8 4" xfId="25198" xr:uid="{A9DA7902-6FDF-4852-9B1F-C9DA2429D04E}"/>
    <cellStyle name="Normal 3 2 2 2 2 2 2 2 2 2 2 16 2 9" xfId="25199" xr:uid="{4F8CA104-21AB-44C6-97DD-910915B9E44E}"/>
    <cellStyle name="Normal 3 2 2 2 2 2 2 2 2 2 2 16 3" xfId="25200" xr:uid="{8C42DEDA-4A2A-4BCC-BF6F-01C7958F3EA8}"/>
    <cellStyle name="Normal 3 2 2 2 2 2 2 2 2 2 2 16 4" xfId="25201" xr:uid="{DEB92860-785A-42A1-9DE0-C8D002333C14}"/>
    <cellStyle name="Normal 3 2 2 2 2 2 2 2 2 2 2 16 5" xfId="25202" xr:uid="{EE728AC3-D944-4D57-976D-6A4487C133C5}"/>
    <cellStyle name="Normal 3 2 2 2 2 2 2 2 2 2 2 16 5 2" xfId="25203" xr:uid="{C5F73B25-1EB4-43FA-8E50-52FE4D5A5D13}"/>
    <cellStyle name="Normal 3 2 2 2 2 2 2 2 2 2 2 16 5 2 2" xfId="25204" xr:uid="{F9CA33DF-683E-47CC-AD53-0EFCC2F5C3DE}"/>
    <cellStyle name="Normal 3 2 2 2 2 2 2 2 2 2 2 16 5 2 3" xfId="25205" xr:uid="{D3502692-2070-43A9-BB32-E5A196D5D216}"/>
    <cellStyle name="Normal 3 2 2 2 2 2 2 2 2 2 2 16 5 2 4" xfId="25206" xr:uid="{43D8DC81-57AA-4AB5-9648-8B3549030DC9}"/>
    <cellStyle name="Normal 3 2 2 2 2 2 2 2 2 2 2 16 5 3" xfId="25207" xr:uid="{D519335E-78E9-4C05-BC48-31E5B541D8E4}"/>
    <cellStyle name="Normal 3 2 2 2 2 2 2 2 2 2 2 16 5 4" xfId="25208" xr:uid="{5074A67A-FCFF-4752-BD40-96F0FB4C2EEF}"/>
    <cellStyle name="Normal 3 2 2 2 2 2 2 2 2 2 2 16 5 5" xfId="25209" xr:uid="{C093613E-793F-4E13-B939-1CD982F05289}"/>
    <cellStyle name="Normal 3 2 2 2 2 2 2 2 2 2 2 16 5 6" xfId="25210" xr:uid="{4EEA7BAB-B348-4F36-B4FA-7502BA279A5C}"/>
    <cellStyle name="Normal 3 2 2 2 2 2 2 2 2 2 2 16 6" xfId="25211" xr:uid="{B64DCF7F-F2AF-4CB3-B33F-46E1ECD5FCF8}"/>
    <cellStyle name="Normal 3 2 2 2 2 2 2 2 2 2 2 16 7" xfId="25212" xr:uid="{753028CB-2B35-4445-97F0-49B6AB13074E}"/>
    <cellStyle name="Normal 3 2 2 2 2 2 2 2 2 2 2 16 8" xfId="25213" xr:uid="{BC215A2E-237E-40DB-BE53-A01094F11DD9}"/>
    <cellStyle name="Normal 3 2 2 2 2 2 2 2 2 2 2 16 9" xfId="25214" xr:uid="{6643E857-FA31-49A9-A4D1-4C01A014D314}"/>
    <cellStyle name="Normal 3 2 2 2 2 2 2 2 2 2 2 17" xfId="25215" xr:uid="{C93E373E-5C25-412B-9F3F-3962C6CE7083}"/>
    <cellStyle name="Normal 3 2 2 2 2 2 2 2 2 2 2 18" xfId="25216" xr:uid="{647A0AF1-EAD7-4ED8-B48C-1FC8CFE63FF2}"/>
    <cellStyle name="Normal 3 2 2 2 2 2 2 2 2 2 2 18 10" xfId="25217" xr:uid="{5652E124-B1D3-4B39-8415-FAF760E601E3}"/>
    <cellStyle name="Normal 3 2 2 2 2 2 2 2 2 2 2 18 11" xfId="25218" xr:uid="{4F458FCB-D8F1-4631-9FA0-E083DF21EE94}"/>
    <cellStyle name="Normal 3 2 2 2 2 2 2 2 2 2 2 18 2" xfId="25219" xr:uid="{69F1FD7E-6949-43CD-8A39-BA03FA021ED5}"/>
    <cellStyle name="Normal 3 2 2 2 2 2 2 2 2 2 2 18 2 10" xfId="25220" xr:uid="{CA4BE2B9-8061-4580-A139-07AAC4607482}"/>
    <cellStyle name="Normal 3 2 2 2 2 2 2 2 2 2 2 18 2 11" xfId="25221" xr:uid="{974BAD65-C099-4751-9D0E-1525FF2C0D78}"/>
    <cellStyle name="Normal 3 2 2 2 2 2 2 2 2 2 2 18 2 2" xfId="25222" xr:uid="{3258E921-4898-44D0-A4CB-44E7E951F275}"/>
    <cellStyle name="Normal 3 2 2 2 2 2 2 2 2 2 2 18 2 2 2" xfId="25223" xr:uid="{83178F86-7CE6-49E1-B787-C1AE542CFEA0}"/>
    <cellStyle name="Normal 3 2 2 2 2 2 2 2 2 2 2 18 2 2 2 2" xfId="25224" xr:uid="{7DD1B0D0-F2FB-4ECA-87F1-9575030EF809}"/>
    <cellStyle name="Normal 3 2 2 2 2 2 2 2 2 2 2 18 2 2 2 3" xfId="25225" xr:uid="{80AFF66F-5359-4A65-9B91-433779EA1098}"/>
    <cellStyle name="Normal 3 2 2 2 2 2 2 2 2 2 2 18 2 2 2 4" xfId="25226" xr:uid="{1DC649F6-CC4E-48C6-97CF-DE415272876D}"/>
    <cellStyle name="Normal 3 2 2 2 2 2 2 2 2 2 2 18 2 2 3" xfId="25227" xr:uid="{2110608B-6437-41D3-923E-EB730493CF1A}"/>
    <cellStyle name="Normal 3 2 2 2 2 2 2 2 2 2 2 18 2 2 4" xfId="25228" xr:uid="{008D01AF-C7A7-4CB9-A065-5FFFF8F924D8}"/>
    <cellStyle name="Normal 3 2 2 2 2 2 2 2 2 2 2 18 2 2 5" xfId="25229" xr:uid="{609E68B7-C1B1-4BBC-9B03-20C9C91524CF}"/>
    <cellStyle name="Normal 3 2 2 2 2 2 2 2 2 2 2 18 2 2 6" xfId="25230" xr:uid="{380652FB-4CF8-4D2A-9BB7-18571654F756}"/>
    <cellStyle name="Normal 3 2 2 2 2 2 2 2 2 2 2 18 2 3" xfId="25231" xr:uid="{CE625B3C-211D-4223-AE73-3D55DCC33E22}"/>
    <cellStyle name="Normal 3 2 2 2 2 2 2 2 2 2 2 18 2 4" xfId="25232" xr:uid="{31284A43-47E9-47E0-9918-B63ACC6BEDD5}"/>
    <cellStyle name="Normal 3 2 2 2 2 2 2 2 2 2 2 18 2 5" xfId="25233" xr:uid="{1D938F6D-053D-49BB-9D42-B5589415530A}"/>
    <cellStyle name="Normal 3 2 2 2 2 2 2 2 2 2 2 18 2 6" xfId="25234" xr:uid="{6980D30F-CFA4-45FE-8134-503E985384D4}"/>
    <cellStyle name="Normal 3 2 2 2 2 2 2 2 2 2 2 18 2 7" xfId="25235" xr:uid="{464AB9C5-32FA-4C40-9146-7EAB67372F10}"/>
    <cellStyle name="Normal 3 2 2 2 2 2 2 2 2 2 2 18 2 8" xfId="25236" xr:uid="{3A2DB6B2-408D-4E24-AC3D-01158C5105EC}"/>
    <cellStyle name="Normal 3 2 2 2 2 2 2 2 2 2 2 18 2 8 2" xfId="25237" xr:uid="{B06A3547-CD16-4D90-A057-57221F5F377C}"/>
    <cellStyle name="Normal 3 2 2 2 2 2 2 2 2 2 2 18 2 8 3" xfId="25238" xr:uid="{C850BB24-81D1-494E-917A-DC935B71B90E}"/>
    <cellStyle name="Normal 3 2 2 2 2 2 2 2 2 2 2 18 2 8 4" xfId="25239" xr:uid="{42180C14-1453-461A-A0CA-385099A49550}"/>
    <cellStyle name="Normal 3 2 2 2 2 2 2 2 2 2 2 18 2 9" xfId="25240" xr:uid="{2D96E98E-91E2-44ED-A9D5-B10CBDC32D08}"/>
    <cellStyle name="Normal 3 2 2 2 2 2 2 2 2 2 2 18 3" xfId="25241" xr:uid="{294A3A1E-530A-4A1F-BD6C-303831E60CF0}"/>
    <cellStyle name="Normal 3 2 2 2 2 2 2 2 2 2 2 18 3 2" xfId="25242" xr:uid="{B8FABB23-4A54-4A79-B621-ED82488E3687}"/>
    <cellStyle name="Normal 3 2 2 2 2 2 2 2 2 2 2 18 3 2 2" xfId="25243" xr:uid="{06D42844-4CA9-420A-9D17-F4A13889383A}"/>
    <cellStyle name="Normal 3 2 2 2 2 2 2 2 2 2 2 18 3 2 3" xfId="25244" xr:uid="{E6A27D1A-7038-4E3D-8950-787E9686C695}"/>
    <cellStyle name="Normal 3 2 2 2 2 2 2 2 2 2 2 18 3 2 4" xfId="25245" xr:uid="{27E32F25-A46D-49F0-8189-E75703359172}"/>
    <cellStyle name="Normal 3 2 2 2 2 2 2 2 2 2 2 18 3 3" xfId="25246" xr:uid="{43ECBC1A-A6E1-48F8-B318-CB77FB0026F1}"/>
    <cellStyle name="Normal 3 2 2 2 2 2 2 2 2 2 2 18 3 4" xfId="25247" xr:uid="{923745F0-E2DB-4070-BE68-186D02E6CFC0}"/>
    <cellStyle name="Normal 3 2 2 2 2 2 2 2 2 2 2 18 3 5" xfId="25248" xr:uid="{13FFF60E-6359-4D81-97A3-5AA9EDF30E33}"/>
    <cellStyle name="Normal 3 2 2 2 2 2 2 2 2 2 2 18 3 6" xfId="25249" xr:uid="{AD0802B7-EE9B-4E98-8805-E3B52C1AD4A8}"/>
    <cellStyle name="Normal 3 2 2 2 2 2 2 2 2 2 2 18 4" xfId="25250" xr:uid="{7A918373-AA01-462F-84C6-10F26FAC9287}"/>
    <cellStyle name="Normal 3 2 2 2 2 2 2 2 2 2 2 18 5" xfId="25251" xr:uid="{65BBA32E-F10C-42BF-9378-11ADFF033E4F}"/>
    <cellStyle name="Normal 3 2 2 2 2 2 2 2 2 2 2 18 6" xfId="25252" xr:uid="{CC843C8B-18BF-4D6C-894A-F797505161BA}"/>
    <cellStyle name="Normal 3 2 2 2 2 2 2 2 2 2 2 18 7" xfId="25253" xr:uid="{3172D3DF-B632-4F67-B5E2-ECDDF26E8B58}"/>
    <cellStyle name="Normal 3 2 2 2 2 2 2 2 2 2 2 18 8" xfId="25254" xr:uid="{D3A5EF89-7A49-44B6-8F09-A72E7BEC4607}"/>
    <cellStyle name="Normal 3 2 2 2 2 2 2 2 2 2 2 18 8 2" xfId="25255" xr:uid="{1124BDB0-BC21-497F-99E4-F52C83492B00}"/>
    <cellStyle name="Normal 3 2 2 2 2 2 2 2 2 2 2 18 8 3" xfId="25256" xr:uid="{C73B0117-445F-461A-B7B4-8A69EC54DD6E}"/>
    <cellStyle name="Normal 3 2 2 2 2 2 2 2 2 2 2 18 8 4" xfId="25257" xr:uid="{12A500D1-45BE-4EA8-B4CE-8FEB99880F89}"/>
    <cellStyle name="Normal 3 2 2 2 2 2 2 2 2 2 2 18 9" xfId="25258" xr:uid="{3FAF97CD-F76C-48B4-9151-3FA5DDF33850}"/>
    <cellStyle name="Normal 3 2 2 2 2 2 2 2 2 2 2 19" xfId="25259" xr:uid="{B500ABDB-7E45-4728-B206-39B804814D4A}"/>
    <cellStyle name="Normal 3 2 2 2 2 2 2 2 2 2 2 2" xfId="25260" xr:uid="{D8F9A170-6E65-4922-92B1-01B774DEC2C7}"/>
    <cellStyle name="Normal 3 2 2 2 2 2 2 2 2 2 2 2 10" xfId="25261" xr:uid="{327E4096-162C-486D-8EE3-019C40558B7F}"/>
    <cellStyle name="Normal 3 2 2 2 2 2 2 2 2 2 2 2 11" xfId="25262" xr:uid="{0479F75F-56DD-4EB4-983B-701154705693}"/>
    <cellStyle name="Normal 3 2 2 2 2 2 2 2 2 2 2 2 12" xfId="25263" xr:uid="{BC85EBF4-C6C7-4981-8B8C-F9DB8334928A}"/>
    <cellStyle name="Normal 3 2 2 2 2 2 2 2 2 2 2 2 13" xfId="25264" xr:uid="{EB09B2D8-2A74-4E88-87E1-EB95E098A28D}"/>
    <cellStyle name="Normal 3 2 2 2 2 2 2 2 2 2 2 2 14" xfId="25265" xr:uid="{D2F86723-559E-4738-973F-FDCEBCD638DC}"/>
    <cellStyle name="Normal 3 2 2 2 2 2 2 2 2 2 2 2 15" xfId="25266" xr:uid="{DFDDCA48-5EE6-40CE-B0F5-5FD3B5131C38}"/>
    <cellStyle name="Normal 3 2 2 2 2 2 2 2 2 2 2 2 16" xfId="25267" xr:uid="{A784AC35-030F-428F-B26E-E565DE4D7E87}"/>
    <cellStyle name="Normal 3 2 2 2 2 2 2 2 2 2 2 2 16 10" xfId="25268" xr:uid="{F9A7AB32-8CC3-4CEA-A002-A755CC0C3A2E}"/>
    <cellStyle name="Normal 3 2 2 2 2 2 2 2 2 2 2 2 16 11" xfId="25269" xr:uid="{FC217B05-56FB-49D9-923A-71F18C3CD58F}"/>
    <cellStyle name="Normal 3 2 2 2 2 2 2 2 2 2 2 2 16 11 2" xfId="25270" xr:uid="{989F9BD6-5611-47B6-B9CB-EC71853676F7}"/>
    <cellStyle name="Normal 3 2 2 2 2 2 2 2 2 2 2 2 16 11 3" xfId="25271" xr:uid="{C00AAE96-EBCC-4743-BCEF-F92D053E809E}"/>
    <cellStyle name="Normal 3 2 2 2 2 2 2 2 2 2 2 2 16 11 4" xfId="25272" xr:uid="{10EB81DB-FF8F-4556-A5C7-684B3BA9165F}"/>
    <cellStyle name="Normal 3 2 2 2 2 2 2 2 2 2 2 2 16 12" xfId="25273" xr:uid="{1FAE76C5-31D3-43ED-AA4F-8771E806ECF9}"/>
    <cellStyle name="Normal 3 2 2 2 2 2 2 2 2 2 2 2 16 13" xfId="25274" xr:uid="{2579873D-8224-4D2E-B368-FDC52204E00C}"/>
    <cellStyle name="Normal 3 2 2 2 2 2 2 2 2 2 2 2 16 14" xfId="25275" xr:uid="{018B24A7-A85D-42C2-87CE-91FBFB910822}"/>
    <cellStyle name="Normal 3 2 2 2 2 2 2 2 2 2 2 2 16 2" xfId="25276" xr:uid="{2FCFF518-1494-4644-8881-D45AB777FD24}"/>
    <cellStyle name="Normal 3 2 2 2 2 2 2 2 2 2 2 2 16 2 10" xfId="25277" xr:uid="{BBAA4FEF-1275-458D-A221-AC624620413D}"/>
    <cellStyle name="Normal 3 2 2 2 2 2 2 2 2 2 2 2 16 2 11" xfId="25278" xr:uid="{256F3002-DFED-4656-80DE-8B8733144882}"/>
    <cellStyle name="Normal 3 2 2 2 2 2 2 2 2 2 2 2 16 2 2" xfId="25279" xr:uid="{7D5072C6-94E7-45AD-A1D1-A8425C7CDF6D}"/>
    <cellStyle name="Normal 3 2 2 2 2 2 2 2 2 2 2 2 16 2 2 10" xfId="25280" xr:uid="{A3CB0830-72FF-4ACF-81B7-75729D426E46}"/>
    <cellStyle name="Normal 3 2 2 2 2 2 2 2 2 2 2 2 16 2 2 11" xfId="25281" xr:uid="{89BC7870-DEF8-4C8B-93B0-7221B242A16C}"/>
    <cellStyle name="Normal 3 2 2 2 2 2 2 2 2 2 2 2 16 2 2 2" xfId="25282" xr:uid="{F3108F47-A275-456B-AFCF-26787774D51D}"/>
    <cellStyle name="Normal 3 2 2 2 2 2 2 2 2 2 2 2 16 2 2 2 2" xfId="25283" xr:uid="{1A35A4C9-15D2-44DD-9459-E83ADD766C6B}"/>
    <cellStyle name="Normal 3 2 2 2 2 2 2 2 2 2 2 2 16 2 2 2 2 2" xfId="25284" xr:uid="{9DEE12F3-A7DF-435B-B236-282A003C2F7F}"/>
    <cellStyle name="Normal 3 2 2 2 2 2 2 2 2 2 2 2 16 2 2 2 2 3" xfId="25285" xr:uid="{AED8FEBE-F813-489F-8546-5F00408F8484}"/>
    <cellStyle name="Normal 3 2 2 2 2 2 2 2 2 2 2 2 16 2 2 2 2 4" xfId="25286" xr:uid="{A69DC2C7-CDA6-40E4-8279-0C72CBD322A7}"/>
    <cellStyle name="Normal 3 2 2 2 2 2 2 2 2 2 2 2 16 2 2 2 3" xfId="25287" xr:uid="{D4ED8D78-A08B-4317-8DD0-3EF31B5837C3}"/>
    <cellStyle name="Normal 3 2 2 2 2 2 2 2 2 2 2 2 16 2 2 2 4" xfId="25288" xr:uid="{EC8B8DEC-4422-4E94-B586-A2BFF22F2829}"/>
    <cellStyle name="Normal 3 2 2 2 2 2 2 2 2 2 2 2 16 2 2 2 5" xfId="25289" xr:uid="{B718E901-DDAE-4480-A71F-EACCC7BA4EBA}"/>
    <cellStyle name="Normal 3 2 2 2 2 2 2 2 2 2 2 2 16 2 2 2 6" xfId="25290" xr:uid="{432D642F-8111-4FB9-A23C-34F60531D734}"/>
    <cellStyle name="Normal 3 2 2 2 2 2 2 2 2 2 2 2 16 2 2 3" xfId="25291" xr:uid="{4C623ECC-B7FB-4E16-8EED-C3B221575759}"/>
    <cellStyle name="Normal 3 2 2 2 2 2 2 2 2 2 2 2 16 2 2 4" xfId="25292" xr:uid="{4D5E104D-AB04-40C4-8592-9F3753D69890}"/>
    <cellStyle name="Normal 3 2 2 2 2 2 2 2 2 2 2 2 16 2 2 5" xfId="25293" xr:uid="{6A785ADD-F28A-407F-B15C-9951DD89365D}"/>
    <cellStyle name="Normal 3 2 2 2 2 2 2 2 2 2 2 2 16 2 2 6" xfId="25294" xr:uid="{A8928105-B64E-47DA-B369-81FC7C4F3764}"/>
    <cellStyle name="Normal 3 2 2 2 2 2 2 2 2 2 2 2 16 2 2 7" xfId="25295" xr:uid="{9D0FAEB5-C6CD-45F2-ADAD-4E531CDD4D9C}"/>
    <cellStyle name="Normal 3 2 2 2 2 2 2 2 2 2 2 2 16 2 2 8" xfId="25296" xr:uid="{44815124-0AA8-4996-AB28-7B33720EB133}"/>
    <cellStyle name="Normal 3 2 2 2 2 2 2 2 2 2 2 2 16 2 2 8 2" xfId="25297" xr:uid="{4551B0AA-E38E-46D9-987B-3BA6541E45DD}"/>
    <cellStyle name="Normal 3 2 2 2 2 2 2 2 2 2 2 2 16 2 2 8 3" xfId="25298" xr:uid="{2359FE50-7397-449C-B2DB-41A2E9E1A091}"/>
    <cellStyle name="Normal 3 2 2 2 2 2 2 2 2 2 2 2 16 2 2 8 4" xfId="25299" xr:uid="{5F32EFE2-D829-42D4-B68E-EB94BCE5FA36}"/>
    <cellStyle name="Normal 3 2 2 2 2 2 2 2 2 2 2 2 16 2 2 9" xfId="25300" xr:uid="{2FD1ED5B-FACC-49D5-BEF1-2116DD9B0B77}"/>
    <cellStyle name="Normal 3 2 2 2 2 2 2 2 2 2 2 2 16 2 3" xfId="25301" xr:uid="{9FBC358F-2E1B-4961-8D95-0FF2CAA8EB23}"/>
    <cellStyle name="Normal 3 2 2 2 2 2 2 2 2 2 2 2 16 2 3 2" xfId="25302" xr:uid="{97078F70-D70C-46A9-9564-14149BD3CA92}"/>
    <cellStyle name="Normal 3 2 2 2 2 2 2 2 2 2 2 2 16 2 3 2 2" xfId="25303" xr:uid="{3CFB21BA-E77C-43B5-8211-9D62DD64CAB6}"/>
    <cellStyle name="Normal 3 2 2 2 2 2 2 2 2 2 2 2 16 2 3 2 3" xfId="25304" xr:uid="{D994380E-A9A9-4DA7-9F3E-5E585601126B}"/>
    <cellStyle name="Normal 3 2 2 2 2 2 2 2 2 2 2 2 16 2 3 2 4" xfId="25305" xr:uid="{834F2F1A-0237-46B7-8B48-33C286DCC54A}"/>
    <cellStyle name="Normal 3 2 2 2 2 2 2 2 2 2 2 2 16 2 3 3" xfId="25306" xr:uid="{9CD9FC75-E82D-44CB-8755-67F042F96160}"/>
    <cellStyle name="Normal 3 2 2 2 2 2 2 2 2 2 2 2 16 2 3 4" xfId="25307" xr:uid="{D4D702A2-2EFF-4815-B4BB-FCE8244B22D3}"/>
    <cellStyle name="Normal 3 2 2 2 2 2 2 2 2 2 2 2 16 2 3 5" xfId="25308" xr:uid="{BB3AE509-9A36-4B57-ADD2-E0C1139E50FF}"/>
    <cellStyle name="Normal 3 2 2 2 2 2 2 2 2 2 2 2 16 2 3 6" xfId="25309" xr:uid="{89F674F3-07B2-46F5-B545-3CDCF461A0A4}"/>
    <cellStyle name="Normal 3 2 2 2 2 2 2 2 2 2 2 2 16 2 4" xfId="25310" xr:uid="{E53F5CC5-7155-4C2D-8335-BE79C5EA1927}"/>
    <cellStyle name="Normal 3 2 2 2 2 2 2 2 2 2 2 2 16 2 5" xfId="25311" xr:uid="{6D113082-F7DC-4DDA-BB87-DABAA2DDDAF6}"/>
    <cellStyle name="Normal 3 2 2 2 2 2 2 2 2 2 2 2 16 2 6" xfId="25312" xr:uid="{BA52CE94-BD98-4358-BD86-A4FF3EFCF24D}"/>
    <cellStyle name="Normal 3 2 2 2 2 2 2 2 2 2 2 2 16 2 7" xfId="25313" xr:uid="{6E795F0A-3F4D-47DA-A36D-D6455802CB25}"/>
    <cellStyle name="Normal 3 2 2 2 2 2 2 2 2 2 2 2 16 2 8" xfId="25314" xr:uid="{9EB9277D-EDFD-41BF-91DB-D0FCABE0C605}"/>
    <cellStyle name="Normal 3 2 2 2 2 2 2 2 2 2 2 2 16 2 8 2" xfId="25315" xr:uid="{578117BB-BFFC-47CA-9650-3651A8D612C9}"/>
    <cellStyle name="Normal 3 2 2 2 2 2 2 2 2 2 2 2 16 2 8 3" xfId="25316" xr:uid="{2F0A4B02-2D09-40B2-B3AF-75B7F606C843}"/>
    <cellStyle name="Normal 3 2 2 2 2 2 2 2 2 2 2 2 16 2 8 4" xfId="25317" xr:uid="{68B1FF3F-732D-4FC3-A13C-91C697060391}"/>
    <cellStyle name="Normal 3 2 2 2 2 2 2 2 2 2 2 2 16 2 9" xfId="25318" xr:uid="{95BB1BEB-AB3B-486F-BFDB-355DAA47B386}"/>
    <cellStyle name="Normal 3 2 2 2 2 2 2 2 2 2 2 2 16 3" xfId="25319" xr:uid="{1FE519B5-FF89-4B7B-9B3C-4C1BBAFC5F9F}"/>
    <cellStyle name="Normal 3 2 2 2 2 2 2 2 2 2 2 2 16 4" xfId="25320" xr:uid="{9CD98604-95A0-4BAF-8827-753F45B9DFB3}"/>
    <cellStyle name="Normal 3 2 2 2 2 2 2 2 2 2 2 2 16 5" xfId="25321" xr:uid="{0220C7B2-58F4-4482-ABE3-6D5731CAD8E2}"/>
    <cellStyle name="Normal 3 2 2 2 2 2 2 2 2 2 2 2 16 5 2" xfId="25322" xr:uid="{31239E4D-56BD-41D4-8BF3-3F9B4AFC11B8}"/>
    <cellStyle name="Normal 3 2 2 2 2 2 2 2 2 2 2 2 16 5 2 2" xfId="25323" xr:uid="{417247E1-9561-4596-B163-9FB90AAFF30E}"/>
    <cellStyle name="Normal 3 2 2 2 2 2 2 2 2 2 2 2 16 5 2 3" xfId="25324" xr:uid="{95485D27-F134-458B-8CE5-A3B6B66FF1C5}"/>
    <cellStyle name="Normal 3 2 2 2 2 2 2 2 2 2 2 2 16 5 2 4" xfId="25325" xr:uid="{542CF06D-3D9B-4E19-93F4-FA84D2A17FF1}"/>
    <cellStyle name="Normal 3 2 2 2 2 2 2 2 2 2 2 2 16 5 3" xfId="25326" xr:uid="{137887EE-BD74-4C24-9282-3B9514F5B091}"/>
    <cellStyle name="Normal 3 2 2 2 2 2 2 2 2 2 2 2 16 5 4" xfId="25327" xr:uid="{68EF661C-EB29-4127-B9AC-2348919E4A5B}"/>
    <cellStyle name="Normal 3 2 2 2 2 2 2 2 2 2 2 2 16 5 5" xfId="25328" xr:uid="{1FBB6574-3991-417E-B6A8-B9FF66D648C8}"/>
    <cellStyle name="Normal 3 2 2 2 2 2 2 2 2 2 2 2 16 5 6" xfId="25329" xr:uid="{F35A6096-804D-4470-9BD1-69A567D4502B}"/>
    <cellStyle name="Normal 3 2 2 2 2 2 2 2 2 2 2 2 16 6" xfId="25330" xr:uid="{59A66726-1764-4422-B64A-353AAFFF5057}"/>
    <cellStyle name="Normal 3 2 2 2 2 2 2 2 2 2 2 2 16 7" xfId="25331" xr:uid="{ED7C2329-0577-4ED2-AB83-1266E44FD650}"/>
    <cellStyle name="Normal 3 2 2 2 2 2 2 2 2 2 2 2 16 8" xfId="25332" xr:uid="{CB707B1E-381B-4BB7-9F83-45E1608FC870}"/>
    <cellStyle name="Normal 3 2 2 2 2 2 2 2 2 2 2 2 16 9" xfId="25333" xr:uid="{B315BE08-99B5-4755-8E8B-B9DA68107E13}"/>
    <cellStyle name="Normal 3 2 2 2 2 2 2 2 2 2 2 2 17" xfId="25334" xr:uid="{4E941BA6-BEBF-44E4-878E-A2F7CEEFCFA6}"/>
    <cellStyle name="Normal 3 2 2 2 2 2 2 2 2 2 2 2 18" xfId="25335" xr:uid="{3B053453-75C5-48A4-AEFE-A4D2422D4045}"/>
    <cellStyle name="Normal 3 2 2 2 2 2 2 2 2 2 2 2 18 10" xfId="25336" xr:uid="{75C795FC-0B26-42CD-86D6-6A72B31E463E}"/>
    <cellStyle name="Normal 3 2 2 2 2 2 2 2 2 2 2 2 18 11" xfId="25337" xr:uid="{0C619A4C-B8DD-45BA-9F2D-8E1BCD69B778}"/>
    <cellStyle name="Normal 3 2 2 2 2 2 2 2 2 2 2 2 18 2" xfId="25338" xr:uid="{31C3C6E5-762E-4D8E-B719-1905CFA21A1C}"/>
    <cellStyle name="Normal 3 2 2 2 2 2 2 2 2 2 2 2 18 2 10" xfId="25339" xr:uid="{2F0E0C6F-BA83-4F2B-9BB7-D823BA4BBD79}"/>
    <cellStyle name="Normal 3 2 2 2 2 2 2 2 2 2 2 2 18 2 11" xfId="25340" xr:uid="{D9585B04-F79C-4800-9C87-23918370CD04}"/>
    <cellStyle name="Normal 3 2 2 2 2 2 2 2 2 2 2 2 18 2 2" xfId="25341" xr:uid="{BA2C82A4-4D51-477B-9E36-ABE65EA63B3E}"/>
    <cellStyle name="Normal 3 2 2 2 2 2 2 2 2 2 2 2 18 2 2 2" xfId="25342" xr:uid="{A0903470-B1CE-4DD5-8DD6-BCEA703A1943}"/>
    <cellStyle name="Normal 3 2 2 2 2 2 2 2 2 2 2 2 18 2 2 2 2" xfId="25343" xr:uid="{302DB3DA-4369-4739-9F59-531E4ECF7312}"/>
    <cellStyle name="Normal 3 2 2 2 2 2 2 2 2 2 2 2 18 2 2 2 3" xfId="25344" xr:uid="{80D4C4E4-3C78-463D-B1E3-FC28072F1403}"/>
    <cellStyle name="Normal 3 2 2 2 2 2 2 2 2 2 2 2 18 2 2 2 4" xfId="25345" xr:uid="{CAC1C46E-A049-4C76-9DE4-344AAA902036}"/>
    <cellStyle name="Normal 3 2 2 2 2 2 2 2 2 2 2 2 18 2 2 3" xfId="25346" xr:uid="{98FBFEDB-ACDB-41C7-AFA4-CDB48E11A6EA}"/>
    <cellStyle name="Normal 3 2 2 2 2 2 2 2 2 2 2 2 18 2 2 4" xfId="25347" xr:uid="{B9B78BFC-AD25-4CCA-9AB5-EBEEFE9A870A}"/>
    <cellStyle name="Normal 3 2 2 2 2 2 2 2 2 2 2 2 18 2 2 5" xfId="25348" xr:uid="{C85B9FC3-4B38-47FC-9A4D-F75BC5C356DB}"/>
    <cellStyle name="Normal 3 2 2 2 2 2 2 2 2 2 2 2 18 2 2 6" xfId="25349" xr:uid="{8122657D-7AD5-4974-8EB6-CFE1AAA876A5}"/>
    <cellStyle name="Normal 3 2 2 2 2 2 2 2 2 2 2 2 18 2 3" xfId="25350" xr:uid="{4A20D12B-A833-47CF-9515-A2378F342098}"/>
    <cellStyle name="Normal 3 2 2 2 2 2 2 2 2 2 2 2 18 2 4" xfId="25351" xr:uid="{DFE807B4-C85B-4198-BAB7-FEC4930230FF}"/>
    <cellStyle name="Normal 3 2 2 2 2 2 2 2 2 2 2 2 18 2 5" xfId="25352" xr:uid="{BD14265A-27E5-4BF7-A219-5B4BBA94DF44}"/>
    <cellStyle name="Normal 3 2 2 2 2 2 2 2 2 2 2 2 18 2 6" xfId="25353" xr:uid="{A239CA6B-23D5-4F9C-B5C1-3050115E77D7}"/>
    <cellStyle name="Normal 3 2 2 2 2 2 2 2 2 2 2 2 18 2 7" xfId="25354" xr:uid="{8EA75A6A-B94B-4BB7-BA38-8ED2AABB3CCC}"/>
    <cellStyle name="Normal 3 2 2 2 2 2 2 2 2 2 2 2 18 2 8" xfId="25355" xr:uid="{2EE70651-C9CF-457E-949A-97A0875E1756}"/>
    <cellStyle name="Normal 3 2 2 2 2 2 2 2 2 2 2 2 18 2 8 2" xfId="25356" xr:uid="{272CF572-4DA3-470C-AFB1-07A1A623CEE7}"/>
    <cellStyle name="Normal 3 2 2 2 2 2 2 2 2 2 2 2 18 2 8 3" xfId="25357" xr:uid="{407DF83C-1173-4967-B345-7D1A4144C8DF}"/>
    <cellStyle name="Normal 3 2 2 2 2 2 2 2 2 2 2 2 18 2 8 4" xfId="25358" xr:uid="{F7F3DEFF-1132-4AC9-B95B-86FA17F644C6}"/>
    <cellStyle name="Normal 3 2 2 2 2 2 2 2 2 2 2 2 18 2 9" xfId="25359" xr:uid="{579ED5FF-8817-4186-B503-144EC4AD65B2}"/>
    <cellStyle name="Normal 3 2 2 2 2 2 2 2 2 2 2 2 18 3" xfId="25360" xr:uid="{C7391634-02D4-47F5-856A-3FB8E7170383}"/>
    <cellStyle name="Normal 3 2 2 2 2 2 2 2 2 2 2 2 18 3 2" xfId="25361" xr:uid="{20D52B34-175D-48E1-A111-26E53086992B}"/>
    <cellStyle name="Normal 3 2 2 2 2 2 2 2 2 2 2 2 18 3 2 2" xfId="25362" xr:uid="{D011C507-D1DA-4B37-9E3A-F71ACB5C1606}"/>
    <cellStyle name="Normal 3 2 2 2 2 2 2 2 2 2 2 2 18 3 2 3" xfId="25363" xr:uid="{8ADF5F65-EAD0-4AB6-9B7D-37225B74A571}"/>
    <cellStyle name="Normal 3 2 2 2 2 2 2 2 2 2 2 2 18 3 2 4" xfId="25364" xr:uid="{4B474657-45D4-4AD4-A955-EF5B861BDD1D}"/>
    <cellStyle name="Normal 3 2 2 2 2 2 2 2 2 2 2 2 18 3 3" xfId="25365" xr:uid="{1267DD93-941E-4EBE-8EBC-7C1556435C8F}"/>
    <cellStyle name="Normal 3 2 2 2 2 2 2 2 2 2 2 2 18 3 4" xfId="25366" xr:uid="{EFF39FF2-E160-46EF-BCA8-1CB10A227A2E}"/>
    <cellStyle name="Normal 3 2 2 2 2 2 2 2 2 2 2 2 18 3 5" xfId="25367" xr:uid="{A92500D8-9C0F-481C-8ED3-CDC9E9AB098E}"/>
    <cellStyle name="Normal 3 2 2 2 2 2 2 2 2 2 2 2 18 3 6" xfId="25368" xr:uid="{D4A8FE36-390D-45D6-81A8-62D15E09FA0C}"/>
    <cellStyle name="Normal 3 2 2 2 2 2 2 2 2 2 2 2 18 4" xfId="25369" xr:uid="{A9DCD07D-DC50-4B5E-8798-2F82694D6FBD}"/>
    <cellStyle name="Normal 3 2 2 2 2 2 2 2 2 2 2 2 18 5" xfId="25370" xr:uid="{30B3E57B-73A5-4AA7-9DDF-C3160E8F35ED}"/>
    <cellStyle name="Normal 3 2 2 2 2 2 2 2 2 2 2 2 18 6" xfId="25371" xr:uid="{7A7BBFAA-B834-4A50-AF01-09E65796BFC4}"/>
    <cellStyle name="Normal 3 2 2 2 2 2 2 2 2 2 2 2 18 7" xfId="25372" xr:uid="{6FF02F95-70E7-4D73-974D-510ADA8CC050}"/>
    <cellStyle name="Normal 3 2 2 2 2 2 2 2 2 2 2 2 18 8" xfId="25373" xr:uid="{197926C3-2BD2-4717-8E59-DDFA4F277D06}"/>
    <cellStyle name="Normal 3 2 2 2 2 2 2 2 2 2 2 2 18 8 2" xfId="25374" xr:uid="{9369F313-9EA4-42C2-B187-996930C0EF3C}"/>
    <cellStyle name="Normal 3 2 2 2 2 2 2 2 2 2 2 2 18 8 3" xfId="25375" xr:uid="{06FC5009-E0A6-4A12-9F13-032FD5C8A46F}"/>
    <cellStyle name="Normal 3 2 2 2 2 2 2 2 2 2 2 2 18 8 4" xfId="25376" xr:uid="{86D78B30-9899-41D7-9487-C0A3EAADC441}"/>
    <cellStyle name="Normal 3 2 2 2 2 2 2 2 2 2 2 2 18 9" xfId="25377" xr:uid="{FAB97E26-877C-42F1-B63E-C3C83A20D933}"/>
    <cellStyle name="Normal 3 2 2 2 2 2 2 2 2 2 2 2 19" xfId="25378" xr:uid="{59667DE4-5565-433E-89EC-2A2E43F9F186}"/>
    <cellStyle name="Normal 3 2 2 2 2 2 2 2 2 2 2 2 2" xfId="25379" xr:uid="{B4735DBE-A3EA-4595-9701-7DA5D9E5557C}"/>
    <cellStyle name="Normal 3 2 2 2 2 2 2 2 2 2 2 2 2 10" xfId="25380" xr:uid="{9D18A016-673C-4357-8C89-F245EBA4B7A4}"/>
    <cellStyle name="Normal 3 2 2 2 2 2 2 2 2 2 2 2 2 11" xfId="25381" xr:uid="{ED31E691-3A9A-45F7-A18C-CBC3002EE95B}"/>
    <cellStyle name="Normal 3 2 2 2 2 2 2 2 2 2 2 2 2 12" xfId="25382" xr:uid="{50D2204C-707D-4239-9ADA-8376DCC4B7A5}"/>
    <cellStyle name="Normal 3 2 2 2 2 2 2 2 2 2 2 2 2 12 10" xfId="25383" xr:uid="{7B08EF7C-B1E6-4746-8378-A9331C22DB35}"/>
    <cellStyle name="Normal 3 2 2 2 2 2 2 2 2 2 2 2 2 12 11" xfId="25384" xr:uid="{919E57AF-7F0E-44CB-88D8-EF6CD1FBE908}"/>
    <cellStyle name="Normal 3 2 2 2 2 2 2 2 2 2 2 2 2 12 11 2" xfId="25385" xr:uid="{10E269AE-53D4-46B7-A696-9681F8F66165}"/>
    <cellStyle name="Normal 3 2 2 2 2 2 2 2 2 2 2 2 2 12 11 3" xfId="25386" xr:uid="{B05648B9-B645-45A6-8CEB-8E7C3B516CF5}"/>
    <cellStyle name="Normal 3 2 2 2 2 2 2 2 2 2 2 2 2 12 11 4" xfId="25387" xr:uid="{8DBA7B72-737E-4D35-9B3D-F1FBE1D333A4}"/>
    <cellStyle name="Normal 3 2 2 2 2 2 2 2 2 2 2 2 2 12 12" xfId="25388" xr:uid="{9DBA8372-EB35-4573-A728-852CE9EF6638}"/>
    <cellStyle name="Normal 3 2 2 2 2 2 2 2 2 2 2 2 2 12 13" xfId="25389" xr:uid="{46944F18-0FB2-4B18-A5E8-099623D75FED}"/>
    <cellStyle name="Normal 3 2 2 2 2 2 2 2 2 2 2 2 2 12 14" xfId="25390" xr:uid="{67F049EF-4DCC-4184-B519-1543D503C1BD}"/>
    <cellStyle name="Normal 3 2 2 2 2 2 2 2 2 2 2 2 2 12 2" xfId="25391" xr:uid="{0045004A-A76E-4665-B87C-BEBF7CB27ED0}"/>
    <cellStyle name="Normal 3 2 2 2 2 2 2 2 2 2 2 2 2 12 2 10" xfId="25392" xr:uid="{D71B110E-0C79-4872-848C-1D7EBCAC5933}"/>
    <cellStyle name="Normal 3 2 2 2 2 2 2 2 2 2 2 2 2 12 2 11" xfId="25393" xr:uid="{E49EE199-4206-4D8B-A706-7C95D6A4514C}"/>
    <cellStyle name="Normal 3 2 2 2 2 2 2 2 2 2 2 2 2 12 2 2" xfId="25394" xr:uid="{20E8C4BC-0D37-4E46-9AEC-08EF55FAFE68}"/>
    <cellStyle name="Normal 3 2 2 2 2 2 2 2 2 2 2 2 2 12 2 2 10" xfId="25395" xr:uid="{0FC43732-D4E6-479A-A337-9C68C281B710}"/>
    <cellStyle name="Normal 3 2 2 2 2 2 2 2 2 2 2 2 2 12 2 2 11" xfId="25396" xr:uid="{DAC5A239-9F5F-4D41-AAFA-18FB71FA1C47}"/>
    <cellStyle name="Normal 3 2 2 2 2 2 2 2 2 2 2 2 2 12 2 2 2" xfId="25397" xr:uid="{BCEF75E3-E36A-47C5-B985-ABFBE99BAF58}"/>
    <cellStyle name="Normal 3 2 2 2 2 2 2 2 2 2 2 2 2 12 2 2 2 2" xfId="25398" xr:uid="{E9F6CC11-A595-4BAE-BF33-C45A53C1DA5E}"/>
    <cellStyle name="Normal 3 2 2 2 2 2 2 2 2 2 2 2 2 12 2 2 2 2 2" xfId="25399" xr:uid="{23045365-78A8-44F1-B749-D9FD58C40617}"/>
    <cellStyle name="Normal 3 2 2 2 2 2 2 2 2 2 2 2 2 12 2 2 2 2 3" xfId="25400" xr:uid="{259F6194-A653-4E82-8066-F549032DB271}"/>
    <cellStyle name="Normal 3 2 2 2 2 2 2 2 2 2 2 2 2 12 2 2 2 2 4" xfId="25401" xr:uid="{E7A652A5-9143-416D-9EDE-BEF93E6BFC85}"/>
    <cellStyle name="Normal 3 2 2 2 2 2 2 2 2 2 2 2 2 12 2 2 2 3" xfId="25402" xr:uid="{FD341AF9-9EE1-47A9-8EBF-A855B05C8F3C}"/>
    <cellStyle name="Normal 3 2 2 2 2 2 2 2 2 2 2 2 2 12 2 2 2 4" xfId="25403" xr:uid="{2FFBD15B-7C54-4C74-AEAE-8A556C8D78B7}"/>
    <cellStyle name="Normal 3 2 2 2 2 2 2 2 2 2 2 2 2 12 2 2 2 5" xfId="25404" xr:uid="{A825F029-8A8E-4CA0-9F90-2CC9FE8466DD}"/>
    <cellStyle name="Normal 3 2 2 2 2 2 2 2 2 2 2 2 2 12 2 2 2 6" xfId="25405" xr:uid="{90DF0C50-2E26-4DB7-B56D-DDED9FA23235}"/>
    <cellStyle name="Normal 3 2 2 2 2 2 2 2 2 2 2 2 2 12 2 2 3" xfId="25406" xr:uid="{609B318F-A140-431A-85DE-B4FC8AA326B3}"/>
    <cellStyle name="Normal 3 2 2 2 2 2 2 2 2 2 2 2 2 12 2 2 4" xfId="25407" xr:uid="{0110ECD9-FBFB-444B-9BFD-31A6D368796F}"/>
    <cellStyle name="Normal 3 2 2 2 2 2 2 2 2 2 2 2 2 12 2 2 5" xfId="25408" xr:uid="{0D2A80D3-8C36-47E0-A71C-1EDBC1A1E3C0}"/>
    <cellStyle name="Normal 3 2 2 2 2 2 2 2 2 2 2 2 2 12 2 2 6" xfId="25409" xr:uid="{BA9570AF-98E2-4987-A2F4-791AD35938F7}"/>
    <cellStyle name="Normal 3 2 2 2 2 2 2 2 2 2 2 2 2 12 2 2 7" xfId="25410" xr:uid="{875DA918-9F9A-4E28-BA74-4D73D709F96C}"/>
    <cellStyle name="Normal 3 2 2 2 2 2 2 2 2 2 2 2 2 12 2 2 8" xfId="25411" xr:uid="{637D6D80-FD42-4B13-BAAD-2FEF6AEF0656}"/>
    <cellStyle name="Normal 3 2 2 2 2 2 2 2 2 2 2 2 2 12 2 2 8 2" xfId="25412" xr:uid="{33E90EA8-D2F9-45C1-95F7-DEBEA9444384}"/>
    <cellStyle name="Normal 3 2 2 2 2 2 2 2 2 2 2 2 2 12 2 2 8 3" xfId="25413" xr:uid="{53FDEA97-B91E-4015-AE6C-05C23B0E2516}"/>
    <cellStyle name="Normal 3 2 2 2 2 2 2 2 2 2 2 2 2 12 2 2 8 4" xfId="25414" xr:uid="{289148D1-8C34-4C35-BBFD-CC2E65CCD8C2}"/>
    <cellStyle name="Normal 3 2 2 2 2 2 2 2 2 2 2 2 2 12 2 2 9" xfId="25415" xr:uid="{244550FF-999B-4F25-867A-3D629924808E}"/>
    <cellStyle name="Normal 3 2 2 2 2 2 2 2 2 2 2 2 2 12 2 3" xfId="25416" xr:uid="{92D72488-22E2-4882-89EE-918BE691B71D}"/>
    <cellStyle name="Normal 3 2 2 2 2 2 2 2 2 2 2 2 2 12 2 3 2" xfId="25417" xr:uid="{4BDCED0B-AD15-43B2-BB0C-904274F84427}"/>
    <cellStyle name="Normal 3 2 2 2 2 2 2 2 2 2 2 2 2 12 2 3 2 2" xfId="25418" xr:uid="{893C2A5F-6ED4-4928-B161-3A69794478AF}"/>
    <cellStyle name="Normal 3 2 2 2 2 2 2 2 2 2 2 2 2 12 2 3 2 3" xfId="25419" xr:uid="{1A6DC2E7-64DB-4441-B631-BAD3165FF2EE}"/>
    <cellStyle name="Normal 3 2 2 2 2 2 2 2 2 2 2 2 2 12 2 3 2 4" xfId="25420" xr:uid="{0BD287C9-9948-4A23-A10C-13E0FE291193}"/>
    <cellStyle name="Normal 3 2 2 2 2 2 2 2 2 2 2 2 2 12 2 3 3" xfId="25421" xr:uid="{710424A5-7721-40DB-9E3B-F085966FFCDA}"/>
    <cellStyle name="Normal 3 2 2 2 2 2 2 2 2 2 2 2 2 12 2 3 4" xfId="25422" xr:uid="{A67F0DD7-2B33-40A5-B2A5-FADDF75AB260}"/>
    <cellStyle name="Normal 3 2 2 2 2 2 2 2 2 2 2 2 2 12 2 3 5" xfId="25423" xr:uid="{ACA2A2E3-DFE7-4801-945E-7AF1BB333814}"/>
    <cellStyle name="Normal 3 2 2 2 2 2 2 2 2 2 2 2 2 12 2 3 6" xfId="25424" xr:uid="{D86242D9-A3F6-45A5-B2E5-E14C4C8FD9E5}"/>
    <cellStyle name="Normal 3 2 2 2 2 2 2 2 2 2 2 2 2 12 2 4" xfId="25425" xr:uid="{63755A3F-0499-4D1F-907B-F88447531E64}"/>
    <cellStyle name="Normal 3 2 2 2 2 2 2 2 2 2 2 2 2 12 2 5" xfId="25426" xr:uid="{B3428E6F-FFF6-4D7A-8CFB-0C85149A3912}"/>
    <cellStyle name="Normal 3 2 2 2 2 2 2 2 2 2 2 2 2 12 2 6" xfId="25427" xr:uid="{D7B00E09-7DB6-4687-9A5B-A0B77FB10077}"/>
    <cellStyle name="Normal 3 2 2 2 2 2 2 2 2 2 2 2 2 12 2 7" xfId="25428" xr:uid="{1DD6E4C4-D900-4D22-8DF2-16C9C045041F}"/>
    <cellStyle name="Normal 3 2 2 2 2 2 2 2 2 2 2 2 2 12 2 8" xfId="25429" xr:uid="{FB4FB72A-8EC7-4B35-B383-D2D9EB75BB06}"/>
    <cellStyle name="Normal 3 2 2 2 2 2 2 2 2 2 2 2 2 12 2 8 2" xfId="25430" xr:uid="{EC6BE753-5BF2-4FCB-8107-2D25059B4BF2}"/>
    <cellStyle name="Normal 3 2 2 2 2 2 2 2 2 2 2 2 2 12 2 8 3" xfId="25431" xr:uid="{6FA5D31E-AF11-4322-9EF0-738D949E16E1}"/>
    <cellStyle name="Normal 3 2 2 2 2 2 2 2 2 2 2 2 2 12 2 8 4" xfId="25432" xr:uid="{5949752B-F4D4-459D-9280-467F486A8E93}"/>
    <cellStyle name="Normal 3 2 2 2 2 2 2 2 2 2 2 2 2 12 2 9" xfId="25433" xr:uid="{3D1B3DC6-8323-43E6-9AD4-BB7E7C71DE27}"/>
    <cellStyle name="Normal 3 2 2 2 2 2 2 2 2 2 2 2 2 12 3" xfId="25434" xr:uid="{194384BB-AFA8-4E3F-920E-BE37F1FE0201}"/>
    <cellStyle name="Normal 3 2 2 2 2 2 2 2 2 2 2 2 2 12 4" xfId="25435" xr:uid="{0FAD930C-4407-47BF-B70F-FBEFD5E5524B}"/>
    <cellStyle name="Normal 3 2 2 2 2 2 2 2 2 2 2 2 2 12 5" xfId="25436" xr:uid="{1B14247D-6B34-4637-A0EB-DC315DF649B5}"/>
    <cellStyle name="Normal 3 2 2 2 2 2 2 2 2 2 2 2 2 12 5 2" xfId="25437" xr:uid="{F785362E-DF14-45AC-9F91-57662F4C5F9F}"/>
    <cellStyle name="Normal 3 2 2 2 2 2 2 2 2 2 2 2 2 12 5 2 2" xfId="25438" xr:uid="{6820087C-F2EA-4E2C-944F-FDACCAC72912}"/>
    <cellStyle name="Normal 3 2 2 2 2 2 2 2 2 2 2 2 2 12 5 2 3" xfId="25439" xr:uid="{6AE80000-2A4C-4848-855D-D4B78D16C4F1}"/>
    <cellStyle name="Normal 3 2 2 2 2 2 2 2 2 2 2 2 2 12 5 2 4" xfId="25440" xr:uid="{588B57AD-D6AC-4708-A926-9394E8285357}"/>
    <cellStyle name="Normal 3 2 2 2 2 2 2 2 2 2 2 2 2 12 5 3" xfId="25441" xr:uid="{7E46FB71-E98B-433A-80E7-00981715D3D6}"/>
    <cellStyle name="Normal 3 2 2 2 2 2 2 2 2 2 2 2 2 12 5 4" xfId="25442" xr:uid="{9D92BB80-3E56-4BBD-BF36-CE59FB33FFE6}"/>
    <cellStyle name="Normal 3 2 2 2 2 2 2 2 2 2 2 2 2 12 5 5" xfId="25443" xr:uid="{2AA6C8B4-DF98-41B4-9A74-DD6E63A802DD}"/>
    <cellStyle name="Normal 3 2 2 2 2 2 2 2 2 2 2 2 2 12 5 6" xfId="25444" xr:uid="{9A2FB719-BCC4-4883-931C-870C89713963}"/>
    <cellStyle name="Normal 3 2 2 2 2 2 2 2 2 2 2 2 2 12 6" xfId="25445" xr:uid="{6F67EB68-3AE6-49EA-86FF-242E054A1B8C}"/>
    <cellStyle name="Normal 3 2 2 2 2 2 2 2 2 2 2 2 2 12 7" xfId="25446" xr:uid="{0D344DD4-D426-4739-A46C-1241F59A19CF}"/>
    <cellStyle name="Normal 3 2 2 2 2 2 2 2 2 2 2 2 2 12 8" xfId="25447" xr:uid="{A20A3C4D-79A8-47D5-A85C-44C095912BD3}"/>
    <cellStyle name="Normal 3 2 2 2 2 2 2 2 2 2 2 2 2 12 9" xfId="25448" xr:uid="{67F1FEC8-EF39-4294-B5D4-78655387C767}"/>
    <cellStyle name="Normal 3 2 2 2 2 2 2 2 2 2 2 2 2 13" xfId="25449" xr:uid="{1989A1C6-0950-4BAE-A83E-76ECA27D4837}"/>
    <cellStyle name="Normal 3 2 2 2 2 2 2 2 2 2 2 2 2 14" xfId="25450" xr:uid="{BD77A595-72F9-4025-A1E8-AEFB0B5CEED7}"/>
    <cellStyle name="Normal 3 2 2 2 2 2 2 2 2 2 2 2 2 14 10" xfId="25451" xr:uid="{D44DE679-7ABA-44D1-A0BC-CF4ABA91302B}"/>
    <cellStyle name="Normal 3 2 2 2 2 2 2 2 2 2 2 2 2 14 11" xfId="25452" xr:uid="{2B194B1A-54E2-4560-95CF-54DFA5E1FBE7}"/>
    <cellStyle name="Normal 3 2 2 2 2 2 2 2 2 2 2 2 2 14 2" xfId="25453" xr:uid="{59FE8CA9-2880-4D4A-A826-552FE8F60CFE}"/>
    <cellStyle name="Normal 3 2 2 2 2 2 2 2 2 2 2 2 2 14 2 10" xfId="25454" xr:uid="{8C08C1B1-7A8F-4E03-9D60-664EF8470E12}"/>
    <cellStyle name="Normal 3 2 2 2 2 2 2 2 2 2 2 2 2 14 2 11" xfId="25455" xr:uid="{6FCA57B3-F2AF-4FE5-AF82-48DB323BE7C2}"/>
    <cellStyle name="Normal 3 2 2 2 2 2 2 2 2 2 2 2 2 14 2 2" xfId="25456" xr:uid="{62BE581D-CD2F-4813-B878-39C89898A1D9}"/>
    <cellStyle name="Normal 3 2 2 2 2 2 2 2 2 2 2 2 2 14 2 2 2" xfId="25457" xr:uid="{5B40271B-0475-4B02-A3DF-F56064CD981B}"/>
    <cellStyle name="Normal 3 2 2 2 2 2 2 2 2 2 2 2 2 14 2 2 2 2" xfId="25458" xr:uid="{30F30BBE-0189-455B-9D74-F58E6C476E15}"/>
    <cellStyle name="Normal 3 2 2 2 2 2 2 2 2 2 2 2 2 14 2 2 2 3" xfId="25459" xr:uid="{98ADBC0C-1AA2-4591-991D-D65055247DB5}"/>
    <cellStyle name="Normal 3 2 2 2 2 2 2 2 2 2 2 2 2 14 2 2 2 4" xfId="25460" xr:uid="{81734503-38DA-4A95-9BBA-09D678A6033F}"/>
    <cellStyle name="Normal 3 2 2 2 2 2 2 2 2 2 2 2 2 14 2 2 3" xfId="25461" xr:uid="{8F18DF52-15FC-4E50-A39D-1D47517FDC68}"/>
    <cellStyle name="Normal 3 2 2 2 2 2 2 2 2 2 2 2 2 14 2 2 4" xfId="25462" xr:uid="{EB22E1EE-63EC-415D-A293-E7B12507991F}"/>
    <cellStyle name="Normal 3 2 2 2 2 2 2 2 2 2 2 2 2 14 2 2 5" xfId="25463" xr:uid="{3EEB9155-A5C9-403A-A867-37431A2098CB}"/>
    <cellStyle name="Normal 3 2 2 2 2 2 2 2 2 2 2 2 2 14 2 2 6" xfId="25464" xr:uid="{4632CCF1-236C-4BEE-AC96-E795B295A92B}"/>
    <cellStyle name="Normal 3 2 2 2 2 2 2 2 2 2 2 2 2 14 2 3" xfId="25465" xr:uid="{77604467-73B7-44FC-874F-43E8202BBC93}"/>
    <cellStyle name="Normal 3 2 2 2 2 2 2 2 2 2 2 2 2 14 2 4" xfId="25466" xr:uid="{540FCFD4-D198-4970-8404-0A259C3E17B9}"/>
    <cellStyle name="Normal 3 2 2 2 2 2 2 2 2 2 2 2 2 14 2 5" xfId="25467" xr:uid="{C059FC0D-C36C-4304-8DDD-A686B50F1338}"/>
    <cellStyle name="Normal 3 2 2 2 2 2 2 2 2 2 2 2 2 14 2 6" xfId="25468" xr:uid="{C05474F9-C2EA-4713-800B-D513AAAD4DCF}"/>
    <cellStyle name="Normal 3 2 2 2 2 2 2 2 2 2 2 2 2 14 2 7" xfId="25469" xr:uid="{4425C1E3-E7C1-470A-AB84-B2C4D049C29C}"/>
    <cellStyle name="Normal 3 2 2 2 2 2 2 2 2 2 2 2 2 14 2 8" xfId="25470" xr:uid="{40FBECAE-4098-45D4-88AF-D971C9E353F6}"/>
    <cellStyle name="Normal 3 2 2 2 2 2 2 2 2 2 2 2 2 14 2 8 2" xfId="25471" xr:uid="{59073510-811B-441D-B58E-200B994FB570}"/>
    <cellStyle name="Normal 3 2 2 2 2 2 2 2 2 2 2 2 2 14 2 8 3" xfId="25472" xr:uid="{0ECCC037-F4B1-4449-A53F-0AEC0C20420A}"/>
    <cellStyle name="Normal 3 2 2 2 2 2 2 2 2 2 2 2 2 14 2 8 4" xfId="25473" xr:uid="{B62A7D57-1F4C-4D22-8988-AD0A782140A5}"/>
    <cellStyle name="Normal 3 2 2 2 2 2 2 2 2 2 2 2 2 14 2 9" xfId="25474" xr:uid="{2F24E562-7C5D-4BFE-8681-61142C35E1AB}"/>
    <cellStyle name="Normal 3 2 2 2 2 2 2 2 2 2 2 2 2 14 3" xfId="25475" xr:uid="{ECBC5097-F0CD-486E-AEE5-C9C0C9136F27}"/>
    <cellStyle name="Normal 3 2 2 2 2 2 2 2 2 2 2 2 2 14 3 2" xfId="25476" xr:uid="{F66AB059-1431-4494-8BC9-8A6D99F23CD7}"/>
    <cellStyle name="Normal 3 2 2 2 2 2 2 2 2 2 2 2 2 14 3 2 2" xfId="25477" xr:uid="{A72D1869-5D3D-460C-B1B8-AD49601671CD}"/>
    <cellStyle name="Normal 3 2 2 2 2 2 2 2 2 2 2 2 2 14 3 2 3" xfId="25478" xr:uid="{347A773B-3B71-4B54-9FB2-1210950ED69D}"/>
    <cellStyle name="Normal 3 2 2 2 2 2 2 2 2 2 2 2 2 14 3 2 4" xfId="25479" xr:uid="{18357D20-EA21-4873-8CDC-D0BED01D4C1A}"/>
    <cellStyle name="Normal 3 2 2 2 2 2 2 2 2 2 2 2 2 14 3 3" xfId="25480" xr:uid="{F0D277BC-9B05-4800-9467-0C4702D3946F}"/>
    <cellStyle name="Normal 3 2 2 2 2 2 2 2 2 2 2 2 2 14 3 4" xfId="25481" xr:uid="{2106F090-5B3E-4227-A945-24FC915557A7}"/>
    <cellStyle name="Normal 3 2 2 2 2 2 2 2 2 2 2 2 2 14 3 5" xfId="25482" xr:uid="{77909027-20A0-4ECD-856B-11DA9EBDFD16}"/>
    <cellStyle name="Normal 3 2 2 2 2 2 2 2 2 2 2 2 2 14 3 6" xfId="25483" xr:uid="{81746439-4094-41C4-B876-271C9F923A29}"/>
    <cellStyle name="Normal 3 2 2 2 2 2 2 2 2 2 2 2 2 14 4" xfId="25484" xr:uid="{0EBAD99D-7C6B-4078-A845-CFDC47FA7847}"/>
    <cellStyle name="Normal 3 2 2 2 2 2 2 2 2 2 2 2 2 14 5" xfId="25485" xr:uid="{BF2B6A1C-4DBB-4358-B4A6-209BB5100228}"/>
    <cellStyle name="Normal 3 2 2 2 2 2 2 2 2 2 2 2 2 14 6" xfId="25486" xr:uid="{F37916A5-4AFD-466C-A41F-C5ECF5A6BFCB}"/>
    <cellStyle name="Normal 3 2 2 2 2 2 2 2 2 2 2 2 2 14 7" xfId="25487" xr:uid="{3D73AEDB-DC96-40D1-BA8C-34D5BA43562F}"/>
    <cellStyle name="Normal 3 2 2 2 2 2 2 2 2 2 2 2 2 14 8" xfId="25488" xr:uid="{CD5A0809-EBF3-49B9-BC6F-09A7871A80D3}"/>
    <cellStyle name="Normal 3 2 2 2 2 2 2 2 2 2 2 2 2 14 8 2" xfId="25489" xr:uid="{9F4614CA-3C03-4BD8-BDBB-D4B7290BBC6C}"/>
    <cellStyle name="Normal 3 2 2 2 2 2 2 2 2 2 2 2 2 14 8 3" xfId="25490" xr:uid="{78C3A87C-4454-401C-88CD-251A96DF0713}"/>
    <cellStyle name="Normal 3 2 2 2 2 2 2 2 2 2 2 2 2 14 8 4" xfId="25491" xr:uid="{C4042074-D8D7-4EC2-BEA5-574CAEA2425B}"/>
    <cellStyle name="Normal 3 2 2 2 2 2 2 2 2 2 2 2 2 14 9" xfId="25492" xr:uid="{0EDFADBE-48C8-43D3-8D16-81D2DE7851BE}"/>
    <cellStyle name="Normal 3 2 2 2 2 2 2 2 2 2 2 2 2 15" xfId="25493" xr:uid="{377F1338-8B86-43EB-95F7-B767FDC5C210}"/>
    <cellStyle name="Normal 3 2 2 2 2 2 2 2 2 2 2 2 2 16" xfId="25494" xr:uid="{C924BD42-D06F-483B-8B59-C693F1E4E433}"/>
    <cellStyle name="Normal 3 2 2 2 2 2 2 2 2 2 2 2 2 16 2" xfId="25495" xr:uid="{592C8270-98A5-43FB-A218-19F1EFF97B02}"/>
    <cellStyle name="Normal 3 2 2 2 2 2 2 2 2 2 2 2 2 16 2 2" xfId="25496" xr:uid="{3C3AAD56-CF04-4BE9-8B4E-EEFB8B6403E6}"/>
    <cellStyle name="Normal 3 2 2 2 2 2 2 2 2 2 2 2 2 16 2 3" xfId="25497" xr:uid="{77D65FEF-D7A1-4734-A724-BD9E431B47FA}"/>
    <cellStyle name="Normal 3 2 2 2 2 2 2 2 2 2 2 2 2 16 2 4" xfId="25498" xr:uid="{6C137F04-D65A-4F01-A39C-F54A089A6346}"/>
    <cellStyle name="Normal 3 2 2 2 2 2 2 2 2 2 2 2 2 16 3" xfId="25499" xr:uid="{AE1C6590-3F94-423C-85D1-C5827F78E863}"/>
    <cellStyle name="Normal 3 2 2 2 2 2 2 2 2 2 2 2 2 16 4" xfId="25500" xr:uid="{98EAA268-345B-4127-916F-56959E29B324}"/>
    <cellStyle name="Normal 3 2 2 2 2 2 2 2 2 2 2 2 2 16 5" xfId="25501" xr:uid="{1375BFCE-11B9-44D0-AC1D-AAB5D24A0C49}"/>
    <cellStyle name="Normal 3 2 2 2 2 2 2 2 2 2 2 2 2 16 6" xfId="25502" xr:uid="{8CEA3C63-B59D-4988-B709-916DFDF22631}"/>
    <cellStyle name="Normal 3 2 2 2 2 2 2 2 2 2 2 2 2 17" xfId="25503" xr:uid="{EDF345D1-F6C3-4ED3-97EB-CA15722F93DA}"/>
    <cellStyle name="Normal 3 2 2 2 2 2 2 2 2 2 2 2 2 18" xfId="25504" xr:uid="{3671163F-8E5D-4D5B-BE8D-000F4F08F4B7}"/>
    <cellStyle name="Normal 3 2 2 2 2 2 2 2 2 2 2 2 2 19" xfId="25505" xr:uid="{B0BB3CCF-5C9E-42D0-AA37-DC0622867CD4}"/>
    <cellStyle name="Normal 3 2 2 2 2 2 2 2 2 2 2 2 2 2" xfId="25506" xr:uid="{F1BABC15-70BC-4774-9D1B-83068E21B1C2}"/>
    <cellStyle name="Normal 3 2 2 2 2 2 2 2 2 2 2 2 2 2 10" xfId="25507" xr:uid="{6C3D00F4-8677-4A71-8A9F-944A9CB75E68}"/>
    <cellStyle name="Normal 3 2 2 2 2 2 2 2 2 2 2 2 2 2 11" xfId="25508" xr:uid="{18D14780-583B-49B2-A36C-DAC4D10FBD61}"/>
    <cellStyle name="Normal 3 2 2 2 2 2 2 2 2 2 2 2 2 2 11 10" xfId="25509" xr:uid="{36F102B7-C585-43B0-B250-B50A96BA0F1B}"/>
    <cellStyle name="Normal 3 2 2 2 2 2 2 2 2 2 2 2 2 2 11 11" xfId="25510" xr:uid="{2D9B7A02-7E52-4F83-A85E-5B2189231A9A}"/>
    <cellStyle name="Normal 3 2 2 2 2 2 2 2 2 2 2 2 2 2 11 11 2" xfId="25511" xr:uid="{480E3405-0993-4F4C-8F41-79B1BECB5DF9}"/>
    <cellStyle name="Normal 3 2 2 2 2 2 2 2 2 2 2 2 2 2 11 11 3" xfId="25512" xr:uid="{90B9BCB7-9C8C-402D-8D7F-2E3B08480E4B}"/>
    <cellStyle name="Normal 3 2 2 2 2 2 2 2 2 2 2 2 2 2 11 11 4" xfId="25513" xr:uid="{B5CE774B-3287-4BF0-A6CC-0E3D6B4A7D3A}"/>
    <cellStyle name="Normal 3 2 2 2 2 2 2 2 2 2 2 2 2 2 11 12" xfId="25514" xr:uid="{9B8E5B27-FAB8-4FB9-AE62-DAB585E46F46}"/>
    <cellStyle name="Normal 3 2 2 2 2 2 2 2 2 2 2 2 2 2 11 13" xfId="25515" xr:uid="{A80BBD4A-D5AF-4924-970C-3A0C6B2A0CF1}"/>
    <cellStyle name="Normal 3 2 2 2 2 2 2 2 2 2 2 2 2 2 11 14" xfId="25516" xr:uid="{F52DFAF9-239A-441B-970C-0154C01DCD13}"/>
    <cellStyle name="Normal 3 2 2 2 2 2 2 2 2 2 2 2 2 2 11 2" xfId="25517" xr:uid="{3492E852-D9E4-4F33-8E95-16091B761117}"/>
    <cellStyle name="Normal 3 2 2 2 2 2 2 2 2 2 2 2 2 2 11 2 10" xfId="25518" xr:uid="{4383DA70-9E33-4928-9AA2-7DAFCC6B51CB}"/>
    <cellStyle name="Normal 3 2 2 2 2 2 2 2 2 2 2 2 2 2 11 2 11" xfId="25519" xr:uid="{2C323F8F-AE93-4E4B-A6A5-6B3A34D76411}"/>
    <cellStyle name="Normal 3 2 2 2 2 2 2 2 2 2 2 2 2 2 11 2 2" xfId="25520" xr:uid="{8479013A-A8B8-4BFE-9FEF-CC1F577F586A}"/>
    <cellStyle name="Normal 3 2 2 2 2 2 2 2 2 2 2 2 2 2 11 2 2 10" xfId="25521" xr:uid="{A058FD02-E124-43FE-8130-CE4F316139E3}"/>
    <cellStyle name="Normal 3 2 2 2 2 2 2 2 2 2 2 2 2 2 11 2 2 11" xfId="25522" xr:uid="{2A0F3A94-63A7-43EC-A01A-86224C03135C}"/>
    <cellStyle name="Normal 3 2 2 2 2 2 2 2 2 2 2 2 2 2 11 2 2 2" xfId="25523" xr:uid="{C3514A3C-D32F-4A61-BF27-2CB6AB3D6EC3}"/>
    <cellStyle name="Normal 3 2 2 2 2 2 2 2 2 2 2 2 2 2 11 2 2 2 2" xfId="25524" xr:uid="{CBA0BC2C-2397-403E-A6CD-18EB4F4319A7}"/>
    <cellStyle name="Normal 3 2 2 2 2 2 2 2 2 2 2 2 2 2 11 2 2 2 2 2" xfId="25525" xr:uid="{B6E85516-FDBB-4CAE-978D-44AC3A4772B9}"/>
    <cellStyle name="Normal 3 2 2 2 2 2 2 2 2 2 2 2 2 2 11 2 2 2 2 3" xfId="25526" xr:uid="{8F5C7BB3-0136-482E-89B3-D40B96A5D975}"/>
    <cellStyle name="Normal 3 2 2 2 2 2 2 2 2 2 2 2 2 2 11 2 2 2 2 4" xfId="25527" xr:uid="{C7D1E6A7-ED33-4583-92F0-AF52EEDC8B0E}"/>
    <cellStyle name="Normal 3 2 2 2 2 2 2 2 2 2 2 2 2 2 11 2 2 2 3" xfId="25528" xr:uid="{D790C9B1-944B-4263-B8A2-EEB8FA01B011}"/>
    <cellStyle name="Normal 3 2 2 2 2 2 2 2 2 2 2 2 2 2 11 2 2 2 4" xfId="25529" xr:uid="{9C39DD10-1A1F-48B8-984C-1132792A2E2C}"/>
    <cellStyle name="Normal 3 2 2 2 2 2 2 2 2 2 2 2 2 2 11 2 2 2 5" xfId="25530" xr:uid="{E67CBB8A-2743-4E84-9836-10D970C54A5F}"/>
    <cellStyle name="Normal 3 2 2 2 2 2 2 2 2 2 2 2 2 2 11 2 2 2 6" xfId="25531" xr:uid="{FEEB6343-F321-4395-B54F-5C7CDA252FD1}"/>
    <cellStyle name="Normal 3 2 2 2 2 2 2 2 2 2 2 2 2 2 11 2 2 3" xfId="25532" xr:uid="{63F18BBF-1798-4AB9-8832-10D65DFA4623}"/>
    <cellStyle name="Normal 3 2 2 2 2 2 2 2 2 2 2 2 2 2 11 2 2 4" xfId="25533" xr:uid="{041E3C05-3824-499D-AFFD-1B637A7654A0}"/>
    <cellStyle name="Normal 3 2 2 2 2 2 2 2 2 2 2 2 2 2 11 2 2 5" xfId="25534" xr:uid="{9983F834-62E7-4691-9743-B81DD1635BFC}"/>
    <cellStyle name="Normal 3 2 2 2 2 2 2 2 2 2 2 2 2 2 11 2 2 6" xfId="25535" xr:uid="{E5330757-BDA5-4D2B-8635-86932BB3EC27}"/>
    <cellStyle name="Normal 3 2 2 2 2 2 2 2 2 2 2 2 2 2 11 2 2 7" xfId="25536" xr:uid="{8860E701-F32E-4C4D-8C1E-B5A0F4E8B438}"/>
    <cellStyle name="Normal 3 2 2 2 2 2 2 2 2 2 2 2 2 2 11 2 2 8" xfId="25537" xr:uid="{EF1553EC-CBA7-49C3-A616-89810C557E62}"/>
    <cellStyle name="Normal 3 2 2 2 2 2 2 2 2 2 2 2 2 2 11 2 2 8 2" xfId="25538" xr:uid="{61A00F22-D5D3-42C8-8E4B-F37F5152EF04}"/>
    <cellStyle name="Normal 3 2 2 2 2 2 2 2 2 2 2 2 2 2 11 2 2 8 3" xfId="25539" xr:uid="{2B5B7377-DEF1-4083-9809-DB27829E55BA}"/>
    <cellStyle name="Normal 3 2 2 2 2 2 2 2 2 2 2 2 2 2 11 2 2 8 4" xfId="25540" xr:uid="{41E1D440-AE31-495B-A69C-DAA688588F5D}"/>
    <cellStyle name="Normal 3 2 2 2 2 2 2 2 2 2 2 2 2 2 11 2 2 9" xfId="25541" xr:uid="{147D31C3-CBA7-41A4-B75E-D9A6BF4EA7A7}"/>
    <cellStyle name="Normal 3 2 2 2 2 2 2 2 2 2 2 2 2 2 11 2 3" xfId="25542" xr:uid="{750C5454-F811-4CDE-A209-7E78CE94B8DD}"/>
    <cellStyle name="Normal 3 2 2 2 2 2 2 2 2 2 2 2 2 2 11 2 3 2" xfId="25543" xr:uid="{0C97815F-8640-4D88-A494-91A646B29936}"/>
    <cellStyle name="Normal 3 2 2 2 2 2 2 2 2 2 2 2 2 2 11 2 3 2 2" xfId="25544" xr:uid="{86D452A3-D4AB-4577-B866-7749A64F8694}"/>
    <cellStyle name="Normal 3 2 2 2 2 2 2 2 2 2 2 2 2 2 11 2 3 2 3" xfId="25545" xr:uid="{3B1A9742-96A7-46E3-A3E8-FC1015361A13}"/>
    <cellStyle name="Normal 3 2 2 2 2 2 2 2 2 2 2 2 2 2 11 2 3 2 4" xfId="25546" xr:uid="{EA6DD6A1-D085-464E-8B9D-4C1E65CF6C1F}"/>
    <cellStyle name="Normal 3 2 2 2 2 2 2 2 2 2 2 2 2 2 11 2 3 3" xfId="25547" xr:uid="{75F8A3AD-89A3-4BAA-882F-78651429C188}"/>
    <cellStyle name="Normal 3 2 2 2 2 2 2 2 2 2 2 2 2 2 11 2 3 4" xfId="25548" xr:uid="{35486CF0-7D26-4DF4-8B8F-7F6C274D6B0D}"/>
    <cellStyle name="Normal 3 2 2 2 2 2 2 2 2 2 2 2 2 2 11 2 3 5" xfId="25549" xr:uid="{3048FFAE-C52C-4D6F-92CF-EC8E2A942389}"/>
    <cellStyle name="Normal 3 2 2 2 2 2 2 2 2 2 2 2 2 2 11 2 3 6" xfId="25550" xr:uid="{0D4A2484-903D-406B-A499-9E4B501CE1FB}"/>
    <cellStyle name="Normal 3 2 2 2 2 2 2 2 2 2 2 2 2 2 11 2 4" xfId="25551" xr:uid="{D9263B60-B570-40E6-A90F-878864ED1285}"/>
    <cellStyle name="Normal 3 2 2 2 2 2 2 2 2 2 2 2 2 2 11 2 5" xfId="25552" xr:uid="{1715F6B2-1E70-4201-BC28-FFCA75347BD3}"/>
    <cellStyle name="Normal 3 2 2 2 2 2 2 2 2 2 2 2 2 2 11 2 6" xfId="25553" xr:uid="{C3E52CE7-A6C0-4EBE-9080-B623B455EF67}"/>
    <cellStyle name="Normal 3 2 2 2 2 2 2 2 2 2 2 2 2 2 11 2 7" xfId="25554" xr:uid="{A08B08E9-644F-408D-BCAC-F07AC0001D3B}"/>
    <cellStyle name="Normal 3 2 2 2 2 2 2 2 2 2 2 2 2 2 11 2 8" xfId="25555" xr:uid="{62C808EA-A3C9-4428-9D0D-A58B5CD00F03}"/>
    <cellStyle name="Normal 3 2 2 2 2 2 2 2 2 2 2 2 2 2 11 2 8 2" xfId="25556" xr:uid="{9E5F7379-4895-4E84-BF5E-FB728E478436}"/>
    <cellStyle name="Normal 3 2 2 2 2 2 2 2 2 2 2 2 2 2 11 2 8 3" xfId="25557" xr:uid="{02546186-2AF2-42D4-873F-87FDBD42F5C5}"/>
    <cellStyle name="Normal 3 2 2 2 2 2 2 2 2 2 2 2 2 2 11 2 8 4" xfId="25558" xr:uid="{77DBFB37-F77B-4696-B25D-FE86F27B7472}"/>
    <cellStyle name="Normal 3 2 2 2 2 2 2 2 2 2 2 2 2 2 11 2 9" xfId="25559" xr:uid="{1696A401-ED84-4C69-AE6D-6CB025623F18}"/>
    <cellStyle name="Normal 3 2 2 2 2 2 2 2 2 2 2 2 2 2 11 3" xfId="25560" xr:uid="{22B2A824-8639-4A6A-B899-F94068D139A1}"/>
    <cellStyle name="Normal 3 2 2 2 2 2 2 2 2 2 2 2 2 2 11 4" xfId="25561" xr:uid="{DD621E82-6348-490A-B645-0D909B799D00}"/>
    <cellStyle name="Normal 3 2 2 2 2 2 2 2 2 2 2 2 2 2 11 5" xfId="25562" xr:uid="{0E510366-9ADB-4D2E-81FE-AB44F3676508}"/>
    <cellStyle name="Normal 3 2 2 2 2 2 2 2 2 2 2 2 2 2 11 5 2" xfId="25563" xr:uid="{7CBA8EB4-EDFF-41B9-8BE1-D748BF00D6C7}"/>
    <cellStyle name="Normal 3 2 2 2 2 2 2 2 2 2 2 2 2 2 11 5 2 2" xfId="25564" xr:uid="{DB8E5075-319C-44DD-AC47-7B43C2D6F6B6}"/>
    <cellStyle name="Normal 3 2 2 2 2 2 2 2 2 2 2 2 2 2 11 5 2 3" xfId="25565" xr:uid="{704CC958-86CC-44BF-8E6A-34515855F9BA}"/>
    <cellStyle name="Normal 3 2 2 2 2 2 2 2 2 2 2 2 2 2 11 5 2 4" xfId="25566" xr:uid="{98C94FD1-2CC3-48E9-9E6D-AFB469AC40DE}"/>
    <cellStyle name="Normal 3 2 2 2 2 2 2 2 2 2 2 2 2 2 11 5 3" xfId="25567" xr:uid="{6290B028-0E92-4F2E-AB22-E048CFF2330E}"/>
    <cellStyle name="Normal 3 2 2 2 2 2 2 2 2 2 2 2 2 2 11 5 4" xfId="25568" xr:uid="{925D4034-DE42-4458-A77D-24E4CF1B2442}"/>
    <cellStyle name="Normal 3 2 2 2 2 2 2 2 2 2 2 2 2 2 11 5 5" xfId="25569" xr:uid="{3000E427-EFDD-41F5-AAC7-A55C1B12D527}"/>
    <cellStyle name="Normal 3 2 2 2 2 2 2 2 2 2 2 2 2 2 11 5 6" xfId="25570" xr:uid="{D894FADC-0A9F-47ED-B91A-E4EF8174E658}"/>
    <cellStyle name="Normal 3 2 2 2 2 2 2 2 2 2 2 2 2 2 11 6" xfId="25571" xr:uid="{1A09D163-6486-4141-A173-CFAC56BC2789}"/>
    <cellStyle name="Normal 3 2 2 2 2 2 2 2 2 2 2 2 2 2 11 7" xfId="25572" xr:uid="{E3B0BD3C-EA3E-46E4-B951-DB94596E1DB2}"/>
    <cellStyle name="Normal 3 2 2 2 2 2 2 2 2 2 2 2 2 2 11 8" xfId="25573" xr:uid="{78B2C45A-2F24-4995-9A17-8C10953F3A21}"/>
    <cellStyle name="Normal 3 2 2 2 2 2 2 2 2 2 2 2 2 2 11 9" xfId="25574" xr:uid="{B3FD4139-8303-417A-90C4-A2D7EB64E9B0}"/>
    <cellStyle name="Normal 3 2 2 2 2 2 2 2 2 2 2 2 2 2 12" xfId="25575" xr:uid="{618B1F2D-6165-40A2-AF24-74F3628CF2A7}"/>
    <cellStyle name="Normal 3 2 2 2 2 2 2 2 2 2 2 2 2 2 13" xfId="25576" xr:uid="{1C7BDDA7-EA68-48D8-914A-4EF6CCD943A7}"/>
    <cellStyle name="Normal 3 2 2 2 2 2 2 2 2 2 2 2 2 2 13 10" xfId="25577" xr:uid="{67BB707C-F713-4F40-AFD6-BFFDEB5FF4D5}"/>
    <cellStyle name="Normal 3 2 2 2 2 2 2 2 2 2 2 2 2 2 13 11" xfId="25578" xr:uid="{415165CB-9B12-4836-BAE0-4446BA8C052C}"/>
    <cellStyle name="Normal 3 2 2 2 2 2 2 2 2 2 2 2 2 2 13 2" xfId="25579" xr:uid="{E88015A0-3C29-4149-A568-4A738A172DC3}"/>
    <cellStyle name="Normal 3 2 2 2 2 2 2 2 2 2 2 2 2 2 13 2 10" xfId="25580" xr:uid="{67FA01F0-1E12-4CFE-80EB-D4864DDEFB3C}"/>
    <cellStyle name="Normal 3 2 2 2 2 2 2 2 2 2 2 2 2 2 13 2 11" xfId="25581" xr:uid="{008F83E7-1F84-4883-8024-04ABDEC61995}"/>
    <cellStyle name="Normal 3 2 2 2 2 2 2 2 2 2 2 2 2 2 13 2 2" xfId="25582" xr:uid="{C7E648E1-E4A1-45D4-AC55-F2F9FC840F58}"/>
    <cellStyle name="Normal 3 2 2 2 2 2 2 2 2 2 2 2 2 2 13 2 2 2" xfId="25583" xr:uid="{236C48AA-CC97-4534-8B8B-AC07D8CA957D}"/>
    <cellStyle name="Normal 3 2 2 2 2 2 2 2 2 2 2 2 2 2 13 2 2 2 2" xfId="25584" xr:uid="{4E9BA598-C622-4B7A-87DE-D63685781CD0}"/>
    <cellStyle name="Normal 3 2 2 2 2 2 2 2 2 2 2 2 2 2 13 2 2 2 3" xfId="25585" xr:uid="{0E859E8E-8266-4CD0-8F0D-7FC57D4EC63E}"/>
    <cellStyle name="Normal 3 2 2 2 2 2 2 2 2 2 2 2 2 2 13 2 2 2 4" xfId="25586" xr:uid="{A3536FCD-B978-407D-B68C-12A71BCEF19F}"/>
    <cellStyle name="Normal 3 2 2 2 2 2 2 2 2 2 2 2 2 2 13 2 2 3" xfId="25587" xr:uid="{45FBAD4E-0EF7-4814-854D-28AB909FA8E3}"/>
    <cellStyle name="Normal 3 2 2 2 2 2 2 2 2 2 2 2 2 2 13 2 2 4" xfId="25588" xr:uid="{38916967-F606-482A-BAE6-06FB180C1EE1}"/>
    <cellStyle name="Normal 3 2 2 2 2 2 2 2 2 2 2 2 2 2 13 2 2 5" xfId="25589" xr:uid="{921B9A30-8AE3-4DC8-B564-98CD8A48A8A2}"/>
    <cellStyle name="Normal 3 2 2 2 2 2 2 2 2 2 2 2 2 2 13 2 2 6" xfId="25590" xr:uid="{8DE31F44-11DC-48BD-9F27-1F35BCB9A6EF}"/>
    <cellStyle name="Normal 3 2 2 2 2 2 2 2 2 2 2 2 2 2 13 2 3" xfId="25591" xr:uid="{6675E989-C5F2-4B56-BD18-A0556821246A}"/>
    <cellStyle name="Normal 3 2 2 2 2 2 2 2 2 2 2 2 2 2 13 2 4" xfId="25592" xr:uid="{0020F48B-5347-49B7-ACCF-0C8D82983F06}"/>
    <cellStyle name="Normal 3 2 2 2 2 2 2 2 2 2 2 2 2 2 13 2 5" xfId="25593" xr:uid="{0712CF3F-4D41-4351-A312-F4AAAD9C1849}"/>
    <cellStyle name="Normal 3 2 2 2 2 2 2 2 2 2 2 2 2 2 13 2 6" xfId="25594" xr:uid="{56B85F43-30B0-46A4-AF67-399221990D09}"/>
    <cellStyle name="Normal 3 2 2 2 2 2 2 2 2 2 2 2 2 2 13 2 7" xfId="25595" xr:uid="{762B5E18-2028-4552-8AA5-B413016CA592}"/>
    <cellStyle name="Normal 3 2 2 2 2 2 2 2 2 2 2 2 2 2 13 2 8" xfId="25596" xr:uid="{7A133096-10F4-4E89-96C1-37CED413B3D9}"/>
    <cellStyle name="Normal 3 2 2 2 2 2 2 2 2 2 2 2 2 2 13 2 8 2" xfId="25597" xr:uid="{BE3EBF1B-AE6C-4452-82FA-6BA47FB8F33B}"/>
    <cellStyle name="Normal 3 2 2 2 2 2 2 2 2 2 2 2 2 2 13 2 8 3" xfId="25598" xr:uid="{138D8D8E-0190-45F1-AFD5-F7725F94F579}"/>
    <cellStyle name="Normal 3 2 2 2 2 2 2 2 2 2 2 2 2 2 13 2 8 4" xfId="25599" xr:uid="{008585D7-F6EA-4B9D-9C70-17D58AD4DBB8}"/>
    <cellStyle name="Normal 3 2 2 2 2 2 2 2 2 2 2 2 2 2 13 2 9" xfId="25600" xr:uid="{0374474A-0A91-42AD-A5D1-3AA15A581952}"/>
    <cellStyle name="Normal 3 2 2 2 2 2 2 2 2 2 2 2 2 2 13 3" xfId="25601" xr:uid="{A0E29D99-A730-4DF7-9A87-37B81F8C3F2A}"/>
    <cellStyle name="Normal 3 2 2 2 2 2 2 2 2 2 2 2 2 2 13 3 2" xfId="25602" xr:uid="{B76D2512-9171-4049-8DF2-5E09E7BFD77D}"/>
    <cellStyle name="Normal 3 2 2 2 2 2 2 2 2 2 2 2 2 2 13 3 2 2" xfId="25603" xr:uid="{2BF90AC8-1C4C-41E7-9ABD-25F4AD740D70}"/>
    <cellStyle name="Normal 3 2 2 2 2 2 2 2 2 2 2 2 2 2 13 3 2 3" xfId="25604" xr:uid="{486EE4A9-0E01-4954-81E5-35335AFABD4F}"/>
    <cellStyle name="Normal 3 2 2 2 2 2 2 2 2 2 2 2 2 2 13 3 2 4" xfId="25605" xr:uid="{6C83FE7F-31F9-4D38-ABBA-D391261E88F3}"/>
    <cellStyle name="Normal 3 2 2 2 2 2 2 2 2 2 2 2 2 2 13 3 3" xfId="25606" xr:uid="{CD10FA8F-0D8E-47CA-BEA6-73CD4EC5AE11}"/>
    <cellStyle name="Normal 3 2 2 2 2 2 2 2 2 2 2 2 2 2 13 3 4" xfId="25607" xr:uid="{295DC3BE-CAE3-4C02-BD9B-6DDD417BD1D2}"/>
    <cellStyle name="Normal 3 2 2 2 2 2 2 2 2 2 2 2 2 2 13 3 5" xfId="25608" xr:uid="{1F6105C1-3E20-4E5B-9DF1-FDF843C85CE3}"/>
    <cellStyle name="Normal 3 2 2 2 2 2 2 2 2 2 2 2 2 2 13 3 6" xfId="25609" xr:uid="{08F3A1AA-0EC7-4245-83C4-59B25A25328D}"/>
    <cellStyle name="Normal 3 2 2 2 2 2 2 2 2 2 2 2 2 2 13 4" xfId="25610" xr:uid="{24D6E3E3-4373-4A65-8775-B2086067F534}"/>
    <cellStyle name="Normal 3 2 2 2 2 2 2 2 2 2 2 2 2 2 13 5" xfId="25611" xr:uid="{1B727234-C57F-4843-A70E-1A3E1F08978A}"/>
    <cellStyle name="Normal 3 2 2 2 2 2 2 2 2 2 2 2 2 2 13 6" xfId="25612" xr:uid="{AC932DB6-7036-41E0-82D0-3B7EF7AB18B8}"/>
    <cellStyle name="Normal 3 2 2 2 2 2 2 2 2 2 2 2 2 2 13 7" xfId="25613" xr:uid="{505CDC27-EA74-4723-85E0-DB389F5ECD96}"/>
    <cellStyle name="Normal 3 2 2 2 2 2 2 2 2 2 2 2 2 2 13 8" xfId="25614" xr:uid="{FBA88D38-B8DC-4E25-9986-4888C7B72BFE}"/>
    <cellStyle name="Normal 3 2 2 2 2 2 2 2 2 2 2 2 2 2 13 8 2" xfId="25615" xr:uid="{AAD6DB53-681D-4010-8ECA-96A26984E10D}"/>
    <cellStyle name="Normal 3 2 2 2 2 2 2 2 2 2 2 2 2 2 13 8 3" xfId="25616" xr:uid="{AE399EF1-2C08-415D-8B67-DDD16E511B90}"/>
    <cellStyle name="Normal 3 2 2 2 2 2 2 2 2 2 2 2 2 2 13 8 4" xfId="25617" xr:uid="{AD7B46ED-04C3-42FC-8166-6DD9D1DCE5F9}"/>
    <cellStyle name="Normal 3 2 2 2 2 2 2 2 2 2 2 2 2 2 13 9" xfId="25618" xr:uid="{F3163017-60BE-4476-AFFD-67A0BB5955D0}"/>
    <cellStyle name="Normal 3 2 2 2 2 2 2 2 2 2 2 2 2 2 14" xfId="25619" xr:uid="{E9489CC8-D1D0-41C9-83A2-31867A44AA5C}"/>
    <cellStyle name="Normal 3 2 2 2 2 2 2 2 2 2 2 2 2 2 15" xfId="25620" xr:uid="{D7D45973-44F3-40E3-8BD6-A670A2D27C70}"/>
    <cellStyle name="Normal 3 2 2 2 2 2 2 2 2 2 2 2 2 2 15 2" xfId="25621" xr:uid="{115FAED0-1BB3-46FB-BABF-79D5ECCC9BAD}"/>
    <cellStyle name="Normal 3 2 2 2 2 2 2 2 2 2 2 2 2 2 15 2 2" xfId="25622" xr:uid="{9122E7D6-E6D5-413D-9661-12915EFEE7DF}"/>
    <cellStyle name="Normal 3 2 2 2 2 2 2 2 2 2 2 2 2 2 15 2 3" xfId="25623" xr:uid="{D3EED027-1721-4CF3-BC29-C0D7562B9A27}"/>
    <cellStyle name="Normal 3 2 2 2 2 2 2 2 2 2 2 2 2 2 15 2 4" xfId="25624" xr:uid="{F3EFE18E-F957-4192-B416-10132C00D7B4}"/>
    <cellStyle name="Normal 3 2 2 2 2 2 2 2 2 2 2 2 2 2 15 3" xfId="25625" xr:uid="{897A5D28-98ED-45BD-9AE6-F44CB9FED0FD}"/>
    <cellStyle name="Normal 3 2 2 2 2 2 2 2 2 2 2 2 2 2 15 4" xfId="25626" xr:uid="{78B5B187-5BD9-450A-A5CB-D24D1C3D6A28}"/>
    <cellStyle name="Normal 3 2 2 2 2 2 2 2 2 2 2 2 2 2 15 5" xfId="25627" xr:uid="{B62B5B28-8968-4512-BE08-1C9DC03D1896}"/>
    <cellStyle name="Normal 3 2 2 2 2 2 2 2 2 2 2 2 2 2 15 6" xfId="25628" xr:uid="{60751786-F503-458B-91E1-C84C4484AF3E}"/>
    <cellStyle name="Normal 3 2 2 2 2 2 2 2 2 2 2 2 2 2 16" xfId="25629" xr:uid="{8D5399C1-90EE-4B17-91E5-857A1F1BB746}"/>
    <cellStyle name="Normal 3 2 2 2 2 2 2 2 2 2 2 2 2 2 17" xfId="25630" xr:uid="{EBFD9652-E5E5-4415-8B1E-44C6E7BD777B}"/>
    <cellStyle name="Normal 3 2 2 2 2 2 2 2 2 2 2 2 2 2 18" xfId="25631" xr:uid="{416DCEA7-A147-40D1-93B0-90ABA2857D44}"/>
    <cellStyle name="Normal 3 2 2 2 2 2 2 2 2 2 2 2 2 2 19" xfId="25632" xr:uid="{32DC8E75-87E8-47D2-858D-CF5AB65E5CCD}"/>
    <cellStyle name="Normal 3 2 2 2 2 2 2 2 2 2 2 2 2 2 2" xfId="25633" xr:uid="{CDF9A8C6-25FE-4BF4-A2BF-F79F497C6DA6}"/>
    <cellStyle name="Normal 3 2 2 2 2 2 2 2 2 2 2 2 2 2 2 10" xfId="25634" xr:uid="{719251E6-1917-4EC7-85E6-3AE740E27DDD}"/>
    <cellStyle name="Normal 3 2 2 2 2 2 2 2 2 2 2 2 2 2 2 11" xfId="25635" xr:uid="{1EEB3AE6-DCEB-4C41-A935-CDF84893C564}"/>
    <cellStyle name="Normal 3 2 2 2 2 2 2 2 2 2 2 2 2 2 2 12" xfId="25636" xr:uid="{236E9ECA-95A6-4B23-B72D-DB7475202E7E}"/>
    <cellStyle name="Normal 3 2 2 2 2 2 2 2 2 2 2 2 2 2 2 13" xfId="25637" xr:uid="{E2FE20AE-115F-45FD-A4DF-8711FD7FA195}"/>
    <cellStyle name="Normal 3 2 2 2 2 2 2 2 2 2 2 2 2 2 2 13 2" xfId="25638" xr:uid="{D96C89AA-C33F-4DFC-AC0F-DAAC20B0015A}"/>
    <cellStyle name="Normal 3 2 2 2 2 2 2 2 2 2 2 2 2 2 2 13 3" xfId="25639" xr:uid="{ACF6C646-FB72-41B1-A263-8FC8143CCBC0}"/>
    <cellStyle name="Normal 3 2 2 2 2 2 2 2 2 2 2 2 2 2 2 13 4" xfId="25640" xr:uid="{65EBD9A9-D8DC-428C-845D-DBB859E911DA}"/>
    <cellStyle name="Normal 3 2 2 2 2 2 2 2 2 2 2 2 2 2 2 14" xfId="25641" xr:uid="{56E7DDC4-0A68-4BB3-8FBE-86A1891301DA}"/>
    <cellStyle name="Normal 3 2 2 2 2 2 2 2 2 2 2 2 2 2 2 15" xfId="25642" xr:uid="{270B5C48-EDCE-4E85-AB58-E01213CBE50A}"/>
    <cellStyle name="Normal 3 2 2 2 2 2 2 2 2 2 2 2 2 2 2 16" xfId="25643" xr:uid="{69910FED-425B-4CAE-9E02-99CB2B392B50}"/>
    <cellStyle name="Normal 3 2 2 2 2 2 2 2 2 2 2 2 2 2 2 17" xfId="25644" xr:uid="{5271A3D7-CCAC-4C8B-A9F5-823A1A9CD96A}"/>
    <cellStyle name="Normal 3 2 2 2 2 2 2 2 2 2 2 2 2 2 2 18" xfId="25645" xr:uid="{C1FE2027-F01C-42C3-A9CB-603F0883C557}"/>
    <cellStyle name="Normal 3 2 2 2 2 2 2 2 2 2 2 2 2 2 2 19" xfId="25646" xr:uid="{F46204A6-BBC9-4EBD-9E23-61506EC54C6E}"/>
    <cellStyle name="Normal 3 2 2 2 2 2 2 2 2 2 2 2 2 2 2 2" xfId="25647" xr:uid="{06713292-DB54-47D9-B3B8-B5ADF2A7AAB2}"/>
    <cellStyle name="Normal 3 2 2 2 2 2 2 2 2 2 2 2 2 2 2 2 10" xfId="25648" xr:uid="{5AEA1282-01BE-4CF2-A19F-2E14C94A22FE}"/>
    <cellStyle name="Normal 3 2 2 2 2 2 2 2 2 2 2 2 2 2 2 2 11" xfId="25649" xr:uid="{6FB7F5CE-0645-4461-ACA2-FD9134F547C1}"/>
    <cellStyle name="Normal 3 2 2 2 2 2 2 2 2 2 2 2 2 2 2 2 11 2" xfId="25650" xr:uid="{15C80A3B-E557-4303-9829-BBA3A605AEB1}"/>
    <cellStyle name="Normal 3 2 2 2 2 2 2 2 2 2 2 2 2 2 2 2 11 3" xfId="25651" xr:uid="{70691F1B-95C5-419D-B956-28CDBC322C1E}"/>
    <cellStyle name="Normal 3 2 2 2 2 2 2 2 2 2 2 2 2 2 2 2 11 4" xfId="25652" xr:uid="{54D5FF2C-5473-4F41-912E-9E4745E85506}"/>
    <cellStyle name="Normal 3 2 2 2 2 2 2 2 2 2 2 2 2 2 2 2 12" xfId="25653" xr:uid="{5A0B2765-9461-4764-B574-B619B636391F}"/>
    <cellStyle name="Normal 3 2 2 2 2 2 2 2 2 2 2 2 2 2 2 2 13" xfId="25654" xr:uid="{A6F11D9D-F30F-41A8-8711-AC1D489A4F16}"/>
    <cellStyle name="Normal 3 2 2 2 2 2 2 2 2 2 2 2 2 2 2 2 14" xfId="25655" xr:uid="{BFE81586-5CB4-4CDE-9089-5836D78A87FA}"/>
    <cellStyle name="Normal 3 2 2 2 2 2 2 2 2 2 2 2 2 2 2 2 15" xfId="25656" xr:uid="{9D522829-105F-4C3D-914E-A8D4A4A4F9DE}"/>
    <cellStyle name="Normal 3 2 2 2 2 2 2 2 2 2 2 2 2 2 2 2 16" xfId="25657" xr:uid="{08ABF9E3-1A92-4B30-8914-0FB63CFF9140}"/>
    <cellStyle name="Normal 3 2 2 2 2 2 2 2 2 2 2 2 2 2 2 2 17" xfId="25658" xr:uid="{4CD663BE-00D7-4960-A91D-1B65D6D3532B}"/>
    <cellStyle name="Normal 3 2 2 2 2 2 2 2 2 2 2 2 2 2 2 2 18" xfId="25659" xr:uid="{EBA9CE9D-D60F-45CA-B416-E4329FD5DDA2}"/>
    <cellStyle name="Normal 3 2 2 2 2 2 2 2 2 2 2 2 2 2 2 2 19" xfId="25660" xr:uid="{A823FF32-7C79-4AB4-ACAB-AD02245DC20C}"/>
    <cellStyle name="Normal 3 2 2 2 2 2 2 2 2 2 2 2 2 2 2 2 2" xfId="25661" xr:uid="{5237E117-4CBE-4177-831E-8987C0EB2075}"/>
    <cellStyle name="Normal 3 2 2 2 2 2 2 2 2 2 2 2 2 2 2 2 2 10" xfId="25662" xr:uid="{107D19E6-972A-4931-B382-678E6D016C5C}"/>
    <cellStyle name="Normal 3 2 2 2 2 2 2 2 2 2 2 2 2 2 2 2 2 11" xfId="25663" xr:uid="{C4F33EE8-C4D3-4059-AA69-BD4CF241C082}"/>
    <cellStyle name="Normal 3 2 2 2 2 2 2 2 2 2 2 2 2 2 2 2 2 12" xfId="25664" xr:uid="{53598C35-484E-4C00-AFE0-54827679519A}"/>
    <cellStyle name="Normal 3 2 2 2 2 2 2 2 2 2 2 2 2 2 2 2 2 13" xfId="25665" xr:uid="{2F097E4D-260A-4AA6-BB55-0C37C50E3FD9}"/>
    <cellStyle name="Normal 3 2 2 2 2 2 2 2 2 2 2 2 2 2 2 2 2 14" xfId="25666" xr:uid="{46B5814F-29A9-410E-8D28-D3745CEEFCDD}"/>
    <cellStyle name="Normal 3 2 2 2 2 2 2 2 2 2 2 2 2 2 2 2 2 15" xfId="25667" xr:uid="{9B47E7B3-5AF4-4615-9BAB-B880D21690C0}"/>
    <cellStyle name="Normal 3 2 2 2 2 2 2 2 2 2 2 2 2 2 2 2 2 16" xfId="25668" xr:uid="{82F97C2D-28B4-4150-B490-981CF13622F7}"/>
    <cellStyle name="Normal 3 2 2 2 2 2 2 2 2 2 2 2 2 2 2 2 2 17" xfId="25669" xr:uid="{F009ACF4-2343-475F-BB56-7539226C2B70}"/>
    <cellStyle name="Normal 3 2 2 2 2 2 2 2 2 2 2 2 2 2 2 2 2 18" xfId="25670" xr:uid="{0A6C3B26-0B70-4C22-BFB7-260009C69EC3}"/>
    <cellStyle name="Normal 3 2 2 2 2 2 2 2 2 2 2 2 2 2 2 2 2 19" xfId="25671" xr:uid="{CE4D4BF4-2F14-44D2-A1C0-586AF6BCA5FA}"/>
    <cellStyle name="Normal 3 2 2 2 2 2 2 2 2 2 2 2 2 2 2 2 2 2" xfId="25672" xr:uid="{BF7C5CFF-D920-45AE-9291-B231021D1ADE}"/>
    <cellStyle name="Normal 3 2 2 2 2 2 2 2 2 2 2 2 2 2 2 2 2 2 10" xfId="25673" xr:uid="{49AA636C-F005-4D24-A94A-957990434E0C}"/>
    <cellStyle name="Normal 3 2 2 2 2 2 2 2 2 2 2 2 2 2 2 2 2 2 11" xfId="25674" xr:uid="{84A65E73-4F6A-47B1-ABB2-E33F3294298A}"/>
    <cellStyle name="Normal 3 2 2 2 2 2 2 2 2 2 2 2 2 2 2 2 2 2 12" xfId="25675" xr:uid="{108F2E7D-F21B-4EF4-8A88-5EEEDE8CA2A6}"/>
    <cellStyle name="Normal 3 2 2 2 2 2 2 2 2 2 2 2 2 2 2 2 2 2 13" xfId="25676" xr:uid="{3CB2187C-961B-4AAA-B5E0-BDA092F7B579}"/>
    <cellStyle name="Normal 3 2 2 2 2 2 2 2 2 2 2 2 2 2 2 2 2 2 14" xfId="25677" xr:uid="{1449849E-1BF6-49E0-9B20-30A183DDA694}"/>
    <cellStyle name="Normal 3 2 2 2 2 2 2 2 2 2 2 2 2 2 2 2 2 2 15" xfId="25678" xr:uid="{3D8CDDD3-47D8-4501-802F-2F4CEA87B362}"/>
    <cellStyle name="Normal 3 2 2 2 2 2 2 2 2 2 2 2 2 2 2 2 2 2 16" xfId="25679" xr:uid="{E668FF81-1FB3-4F39-B661-6A6AB3466883}"/>
    <cellStyle name="Normal 3 2 2 2 2 2 2 2 2 2 2 2 2 2 2 2 2 2 17" xfId="25680" xr:uid="{80D18A59-A7D1-40D9-AFE7-414F5C36D4AA}"/>
    <cellStyle name="Normal 3 2 2 2 2 2 2 2 2 2 2 2 2 2 2 2 2 2 18" xfId="25681" xr:uid="{1282BFFD-72D9-45FF-841D-69063144C703}"/>
    <cellStyle name="Normal 3 2 2 2 2 2 2 2 2 2 2 2 2 2 2 2 2 2 19" xfId="25682" xr:uid="{2AC03E2B-DFC8-42DD-9704-7170A4D27065}"/>
    <cellStyle name="Normal 3 2 2 2 2 2 2 2 2 2 2 2 2 2 2 2 2 2 2" xfId="25683" xr:uid="{6D093DAD-AE32-4F9A-A2D4-741392BBCD13}"/>
    <cellStyle name="Normal 3 2 2 2 2 2 2 2 2 2 2 2 2 2 2 2 2 2 2 10" xfId="25684" xr:uid="{56E8C4B2-A603-4716-A09D-E543008BBCD2}"/>
    <cellStyle name="Normal 3 2 2 2 2 2 2 2 2 2 2 2 2 2 2 2 2 2 2 11" xfId="25685" xr:uid="{1276E428-89DD-432F-91F7-570C10CD126C}"/>
    <cellStyle name="Normal 3 2 2 2 2 2 2 2 2 2 2 2 2 2 2 2 2 2 2 12" xfId="25686" xr:uid="{5983363E-72AF-4C91-A881-9A800331E232}"/>
    <cellStyle name="Normal 3 2 2 2 2 2 2 2 2 2 2 2 2 2 2 2 2 2 2 13" xfId="25687" xr:uid="{5F99D0ED-548E-40D5-A062-80FC6787ED64}"/>
    <cellStyle name="Normal 3 2 2 2 2 2 2 2 2 2 2 2 2 2 2 2 2 2 2 14" xfId="25688" xr:uid="{5FC27515-907E-41E3-8E1C-180C7BB61788}"/>
    <cellStyle name="Normal 3 2 2 2 2 2 2 2 2 2 2 2 2 2 2 2 2 2 2 15" xfId="25689" xr:uid="{E45B165F-1B84-446F-A2A9-125CF3A3A036}"/>
    <cellStyle name="Normal 3 2 2 2 2 2 2 2 2 2 2 2 2 2 2 2 2 2 2 16" xfId="25690" xr:uid="{706649BC-5223-45FA-9F0D-F587DC05A587}"/>
    <cellStyle name="Normal 3 2 2 2 2 2 2 2 2 2 2 2 2 2 2 2 2 2 2 17" xfId="25691" xr:uid="{DF9E2E7F-FBAB-4DD8-AB46-59261D0736B4}"/>
    <cellStyle name="Normal 3 2 2 2 2 2 2 2 2 2 2 2 2 2 2 2 2 2 2 18" xfId="25692" xr:uid="{2848F992-0334-4C01-A566-B8C668DC8881}"/>
    <cellStyle name="Normal 3 2 2 2 2 2 2 2 2 2 2 2 2 2 2 2 2 2 2 18 2" xfId="25693" xr:uid="{03825395-4B38-4170-88B0-FDBEF91C7728}"/>
    <cellStyle name="Normal 3 2 2 2 2 2 2 2 2 2 2 2 2 2 2 2 2 2 2 18 3" xfId="25694" xr:uid="{E8B79194-4FC8-45AE-924E-A8042B59D46F}"/>
    <cellStyle name="Normal 3 2 2 2 2 2 2 2 2 2 2 2 2 2 2 2 2 2 2 18 4" xfId="25695" xr:uid="{606A2607-E6D0-40DA-98F5-C7C520E84724}"/>
    <cellStyle name="Normal 3 2 2 2 2 2 2 2 2 2 2 2 2 2 2 2 2 2 2 18 5" xfId="25696" xr:uid="{F5AEBAE9-8EE2-4D54-847B-6CAE07DE5E06}"/>
    <cellStyle name="Normal 3 2 2 2 2 2 2 2 2 2 2 2 2 2 2 2 2 2 2 18 6" xfId="25697" xr:uid="{C6AAA6F1-C01F-415C-A224-C49EA716DE01}"/>
    <cellStyle name="Normal 3 2 2 2 2 2 2 2 2 2 2 2 2 2 2 2 2 2 2 18 7" xfId="25698" xr:uid="{F1EB8CD7-B055-4602-A256-18086277D0FE}"/>
    <cellStyle name="Normal 3 2 2 2 2 2 2 2 2 2 2 2 2 2 2 2 2 2 2 19" xfId="25699" xr:uid="{B0E868F4-DA67-42A6-A8E1-8A9DD6B3481F}"/>
    <cellStyle name="Normal 3 2 2 2 2 2 2 2 2 2 2 2 2 2 2 2 2 2 2 2" xfId="25700" xr:uid="{78D6B6AE-3BED-4133-99B4-71BC9022E4A1}"/>
    <cellStyle name="Normal 3 2 2 2 2 2 2 2 2 2 2 2 2 2 2 2 2 2 2 2 10" xfId="25701" xr:uid="{D9D6DFE4-CB21-45ED-83EF-B1C9E3B77231}"/>
    <cellStyle name="Normal 3 2 2 2 2 2 2 2 2 2 2 2 2 2 2 2 2 2 2 2 11" xfId="25702" xr:uid="{C565D126-9571-4EF5-8F7E-2713EDA82618}"/>
    <cellStyle name="Normal 3 2 2 2 2 2 2 2 2 2 2 2 2 2 2 2 2 2 2 2 12" xfId="25703" xr:uid="{B95B156A-A71D-46F5-AEBA-A8012A162534}"/>
    <cellStyle name="Normal 3 2 2 2 2 2 2 2 2 2 2 2 2 2 2 2 2 2 2 2 13" xfId="25704" xr:uid="{2D2DC614-821B-465E-A1BB-0F792851D871}"/>
    <cellStyle name="Normal 3 2 2 2 2 2 2 2 2 2 2 2 2 2 2 2 2 2 2 2 14" xfId="25705" xr:uid="{D257A56C-14FC-48B3-993B-2833A9873A00}"/>
    <cellStyle name="Normal 3 2 2 2 2 2 2 2 2 2 2 2 2 2 2 2 2 2 2 2 15" xfId="25706" xr:uid="{946CA6D6-00E7-464F-BF1E-9FAD59299343}"/>
    <cellStyle name="Normal 3 2 2 2 2 2 2 2 2 2 2 2 2 2 2 2 2 2 2 2 16" xfId="25707" xr:uid="{FFB5F557-BA01-4464-A127-89FA324B4089}"/>
    <cellStyle name="Normal 3 2 2 2 2 2 2 2 2 2 2 2 2 2 2 2 2 2 2 2 16 2" xfId="25708" xr:uid="{9C0C4629-A183-404C-BD4A-B8B8C055B234}"/>
    <cellStyle name="Normal 3 2 2 2 2 2 2 2 2 2 2 2 2 2 2 2 2 2 2 2 16 3" xfId="25709" xr:uid="{754EF90D-6756-4CF4-B7EC-D6A30422145F}"/>
    <cellStyle name="Normal 3 2 2 2 2 2 2 2 2 2 2 2 2 2 2 2 2 2 2 2 16 4" xfId="25710" xr:uid="{56CAAE01-0E9F-4A9F-AA47-0A8A51D541EF}"/>
    <cellStyle name="Normal 3 2 2 2 2 2 2 2 2 2 2 2 2 2 2 2 2 2 2 2 16 5" xfId="25711" xr:uid="{98E65A7F-5131-4B3B-BE58-D18FFC48ECA8}"/>
    <cellStyle name="Normal 3 2 2 2 2 2 2 2 2 2 2 2 2 2 2 2 2 2 2 2 16 6" xfId="25712" xr:uid="{96520BA7-47F8-4920-B38B-DE5A3CE60B7B}"/>
    <cellStyle name="Normal 3 2 2 2 2 2 2 2 2 2 2 2 2 2 2 2 2 2 2 2 16 7" xfId="25713" xr:uid="{9CE0EAF6-68B9-47E3-AB80-C64945DC942E}"/>
    <cellStyle name="Normal 3 2 2 2 2 2 2 2 2 2 2 2 2 2 2 2 2 2 2 2 17" xfId="25714" xr:uid="{F88DE3EB-6DF4-4D16-9C42-2A75BA9F7793}"/>
    <cellStyle name="Normal 3 2 2 2 2 2 2 2 2 2 2 2 2 2 2 2 2 2 2 2 18" xfId="25715" xr:uid="{B51AF810-6F69-4257-A747-4229DFB3F4A5}"/>
    <cellStyle name="Normal 3 2 2 2 2 2 2 2 2 2 2 2 2 2 2 2 2 2 2 2 19" xfId="25716" xr:uid="{7F495BEE-2AFD-49E5-82DC-3AF5D08DD614}"/>
    <cellStyle name="Normal 3 2 2 2 2 2 2 2 2 2 2 2 2 2 2 2 2 2 2 2 2" xfId="25717" xr:uid="{C9D44A68-2B56-49E2-8E48-62CB7BFCB298}"/>
    <cellStyle name="Normal 3 2 2 2 2 2 2 2 2 2 2 2 2 2 2 2 2 2 2 2 2 10" xfId="25718" xr:uid="{A2874EDC-7724-4928-9B62-2B1B6FC9BB6A}"/>
    <cellStyle name="Normal 3 2 2 2 2 2 2 2 2 2 2 2 2 2 2 2 2 2 2 2 2 11" xfId="25719" xr:uid="{C1B10796-EE72-41B6-B103-4DC5CDFBDB85}"/>
    <cellStyle name="Normal 3 2 2 2 2 2 2 2 2 2 2 2 2 2 2 2 2 2 2 2 2 12" xfId="25720" xr:uid="{6919DD1D-ECB3-4953-BD17-7179164DFD93}"/>
    <cellStyle name="Normal 3 2 2 2 2 2 2 2 2 2 2 2 2 2 2 2 2 2 2 2 2 13" xfId="25721" xr:uid="{E43DA7B5-53A5-40B0-87E6-9D5902F110F0}"/>
    <cellStyle name="Normal 3 2 2 2 2 2 2 2 2 2 2 2 2 2 2 2 2 2 2 2 2 13 2" xfId="25722" xr:uid="{7A01AA2A-955A-4B3F-B3B5-E15EC3D688A9}"/>
    <cellStyle name="Normal 3 2 2 2 2 2 2 2 2 2 2 2 2 2 2 2 2 2 2 2 2 13 3" xfId="25723" xr:uid="{91F60EFD-72C5-41B4-9BDA-9EF901DC7916}"/>
    <cellStyle name="Normal 3 2 2 2 2 2 2 2 2 2 2 2 2 2 2 2 2 2 2 2 2 13 4" xfId="25724" xr:uid="{81C654A1-A7B7-496B-A7A4-8E665AA2E89F}"/>
    <cellStyle name="Normal 3 2 2 2 2 2 2 2 2 2 2 2 2 2 2 2 2 2 2 2 2 13 5" xfId="25725" xr:uid="{EDCB7EA6-F544-43C9-A4D4-BA04772A1481}"/>
    <cellStyle name="Normal 3 2 2 2 2 2 2 2 2 2 2 2 2 2 2 2 2 2 2 2 2 13 6" xfId="25726" xr:uid="{A4E087EA-8BDF-4180-B2F7-07470B4C3BB8}"/>
    <cellStyle name="Normal 3 2 2 2 2 2 2 2 2 2 2 2 2 2 2 2 2 2 2 2 2 13 7" xfId="25727" xr:uid="{3344A70F-F43D-40BA-B5E2-BCB7B750A8D0}"/>
    <cellStyle name="Normal 3 2 2 2 2 2 2 2 2 2 2 2 2 2 2 2 2 2 2 2 2 14" xfId="25728" xr:uid="{DAC90489-75C8-498E-880A-4BA6C0CCD910}"/>
    <cellStyle name="Normal 3 2 2 2 2 2 2 2 2 2 2 2 2 2 2 2 2 2 2 2 2 15" xfId="25729" xr:uid="{1B183D55-63C1-4C5B-8E0C-7C985F79EB2A}"/>
    <cellStyle name="Normal 3 2 2 2 2 2 2 2 2 2 2 2 2 2 2 2 2 2 2 2 2 16" xfId="25730" xr:uid="{9CD89FBC-DE69-4B25-B3E8-96B7D511D881}"/>
    <cellStyle name="Normal 3 2 2 2 2 2 2 2 2 2 2 2 2 2 2 2 2 2 2 2 2 17" xfId="25731" xr:uid="{CC70099A-A438-4CAE-826E-F17D0968F8F8}"/>
    <cellStyle name="Normal 3 2 2 2 2 2 2 2 2 2 2 2 2 2 2 2 2 2 2 2 2 18" xfId="25732" xr:uid="{3C90E67B-3404-4E04-B673-7B2A4356FF9E}"/>
    <cellStyle name="Normal 3 2 2 2 2 2 2 2 2 2 2 2 2 2 2 2 2 2 2 2 2 19" xfId="25733" xr:uid="{644523E4-16F0-46B4-B309-C3624E56E634}"/>
    <cellStyle name="Normal 3 2 2 2 2 2 2 2 2 2 2 2 2 2 2 2 2 2 2 2 2 2" xfId="25734" xr:uid="{E379B1BA-05FE-454F-BBD7-FCC8A41E1DB6}"/>
    <cellStyle name="Normal 3 2 2 2 2 2 2 2 2 2 2 2 2 2 2 2 2 2 2 2 2 2 10" xfId="25735" xr:uid="{2C92B440-0979-4702-8B4D-D06F5C632D5C}"/>
    <cellStyle name="Normal 3 2 2 2 2 2 2 2 2 2 2 2 2 2 2 2 2 2 2 2 2 2 11" xfId="25736" xr:uid="{387E08E3-AA26-45E1-A459-D8503623D789}"/>
    <cellStyle name="Normal 3 2 2 2 2 2 2 2 2 2 2 2 2 2 2 2 2 2 2 2 2 2 12" xfId="25737" xr:uid="{6634FE91-1EB1-4C58-9902-26046A421061}"/>
    <cellStyle name="Normal 3 2 2 2 2 2 2 2 2 2 2 2 2 2 2 2 2 2 2 2 2 2 13" xfId="25738" xr:uid="{BF53C140-4E98-43E6-9CAD-3AD421FB8C9D}"/>
    <cellStyle name="Normal 3 2 2 2 2 2 2 2 2 2 2 2 2 2 2 2 2 2 2 2 2 2 13 2" xfId="25739" xr:uid="{BA3489BB-4EF7-4103-A3D1-0EA8423ECDAF}"/>
    <cellStyle name="Normal 3 2 2 2 2 2 2 2 2 2 2 2 2 2 2 2 2 2 2 2 2 2 13 3" xfId="25740" xr:uid="{E358B88F-2959-4B7D-950F-E97D053142C8}"/>
    <cellStyle name="Normal 3 2 2 2 2 2 2 2 2 2 2 2 2 2 2 2 2 2 2 2 2 2 13 4" xfId="25741" xr:uid="{DC7B177D-FC58-481F-AF31-1B9A3DF03111}"/>
    <cellStyle name="Normal 3 2 2 2 2 2 2 2 2 2 2 2 2 2 2 2 2 2 2 2 2 2 13 5" xfId="25742" xr:uid="{16660DC7-4B69-40F3-96DB-BB591D1F3E7D}"/>
    <cellStyle name="Normal 3 2 2 2 2 2 2 2 2 2 2 2 2 2 2 2 2 2 2 2 2 2 13 6" xfId="25743" xr:uid="{FA614191-96E1-4CA6-BA66-283DDF72DA9C}"/>
    <cellStyle name="Normal 3 2 2 2 2 2 2 2 2 2 2 2 2 2 2 2 2 2 2 2 2 2 13 7" xfId="25744" xr:uid="{73DCF0FC-E2A7-47FA-9524-1D8E4AF7921F}"/>
    <cellStyle name="Normal 3 2 2 2 2 2 2 2 2 2 2 2 2 2 2 2 2 2 2 2 2 2 14" xfId="25745" xr:uid="{670FA934-4B20-49DF-BE5D-E6FA35A8CE2F}"/>
    <cellStyle name="Normal 3 2 2 2 2 2 2 2 2 2 2 2 2 2 2 2 2 2 2 2 2 2 15" xfId="25746" xr:uid="{453995F1-1AD7-47E9-B7AC-DA3990C0AFE2}"/>
    <cellStyle name="Normal 3 2 2 2 2 2 2 2 2 2 2 2 2 2 2 2 2 2 2 2 2 2 16" xfId="25747" xr:uid="{87CF7A44-BD47-426A-8D5F-6B5B24BA97FB}"/>
    <cellStyle name="Normal 3 2 2 2 2 2 2 2 2 2 2 2 2 2 2 2 2 2 2 2 2 2 17" xfId="25748" xr:uid="{85041B99-0C82-4683-BB5D-A08E3AD495B2}"/>
    <cellStyle name="Normal 3 2 2 2 2 2 2 2 2 2 2 2 2 2 2 2 2 2 2 2 2 2 18" xfId="25749" xr:uid="{BF7E2B24-D70B-4140-AE28-992D2E580236}"/>
    <cellStyle name="Normal 3 2 2 2 2 2 2 2 2 2 2 2 2 2 2 2 2 2 2 2 2 2 19" xfId="25750" xr:uid="{922614AC-5A74-4996-8755-37BC8F8D4DEC}"/>
    <cellStyle name="Normal 3 2 2 2 2 2 2 2 2 2 2 2 2 2 2 2 2 2 2 2 2 2 2" xfId="25751" xr:uid="{B8B89241-F831-463F-B438-482A6FDD6B53}"/>
    <cellStyle name="Normal 3 2 2 2 2 2 2 2 2 2 2 2 2 2 2 2 2 2 2 2 2 2 2 10" xfId="25752" xr:uid="{E0014C17-F0F1-455A-9588-11836E9A09A3}"/>
    <cellStyle name="Normal 3 2 2 2 2 2 2 2 2 2 2 2 2 2 2 2 2 2 2 2 2 2 2 11" xfId="25753" xr:uid="{B5E126F7-A96A-4ACB-88D1-903BB71A6ED3}"/>
    <cellStyle name="Normal 3 2 2 2 2 2 2 2 2 2 2 2 2 2 2 2 2 2 2 2 2 2 2 12" xfId="25754" xr:uid="{E0B050ED-7598-473F-8971-E3EDBA94E07E}"/>
    <cellStyle name="Normal 3 2 2 2 2 2 2 2 2 2 2 2 2 2 2 2 2 2 2 2 2 2 2 13" xfId="25755" xr:uid="{3ECB1E76-F705-4EA8-AABA-499E06B4B07C}"/>
    <cellStyle name="Normal 3 2 2 2 2 2 2 2 2 2 2 2 2 2 2 2 2 2 2 2 2 2 2 14" xfId="25756" xr:uid="{B5107E9F-51B4-47D5-AF9E-723961D6AC1C}"/>
    <cellStyle name="Normal 3 2 2 2 2 2 2 2 2 2 2 2 2 2 2 2 2 2 2 2 2 2 2 15" xfId="25757" xr:uid="{C8F5C811-1F84-4454-93C3-EFA386D49E0B}"/>
    <cellStyle name="Normal 3 2 2 2 2 2 2 2 2 2 2 2 2 2 2 2 2 2 2 2 2 2 2 16" xfId="25758" xr:uid="{877D7182-12A9-4D42-96F4-7964CE944A04}"/>
    <cellStyle name="Normal 3 2 2 2 2 2 2 2 2 2 2 2 2 2 2 2 2 2 2 2 2 2 2 17" xfId="25759" xr:uid="{7344CE28-4397-4451-B970-6F288C007820}"/>
    <cellStyle name="Normal 3 2 2 2 2 2 2 2 2 2 2 2 2 2 2 2 2 2 2 2 2 2 2 18" xfId="25760" xr:uid="{DB18D5A8-7F03-4624-B834-F0B1C9713E46}"/>
    <cellStyle name="Normal 3 2 2 2 2 2 2 2 2 2 2 2 2 2 2 2 2 2 2 2 2 2 2 19" xfId="25761" xr:uid="{FCAEC610-CE8D-48FB-96C6-1E78FF0748DC}"/>
    <cellStyle name="Normal 3 2 2 2 2 2 2 2 2 2 2 2 2 2 2 2 2 2 2 2 2 2 2 2" xfId="25762" xr:uid="{1F495A31-A0A4-4094-B762-837CFD4AD336}"/>
    <cellStyle name="Normal 3 2 2 2 2 2 2 2 2 2 2 2 2 2 2 2 2 2 2 2 2 2 2 2 10" xfId="25763" xr:uid="{DADBF49A-8E59-4F7B-A6C4-9AEFE2E9A0A6}"/>
    <cellStyle name="Normal 3 2 2 2 2 2 2 2 2 2 2 2 2 2 2 2 2 2 2 2 2 2 2 2 11" xfId="25764" xr:uid="{949F7598-F5A5-46AB-8373-8743D9679C9F}"/>
    <cellStyle name="Normal 3 2 2 2 2 2 2 2 2 2 2 2 2 2 2 2 2 2 2 2 2 2 2 2 12" xfId="25765" xr:uid="{5E5E94F1-24A2-4D77-881B-143CC8D692F7}"/>
    <cellStyle name="Normal 3 2 2 2 2 2 2 2 2 2 2 2 2 2 2 2 2 2 2 2 2 2 2 2 13" xfId="25766" xr:uid="{FE53E61A-9F19-4223-8350-6A9B121A76A7}"/>
    <cellStyle name="Normal 3 2 2 2 2 2 2 2 2 2 2 2 2 2 2 2 2 2 2 2 2 2 2 2 14" xfId="25767" xr:uid="{FE6E135B-E9ED-4291-9EA4-75E05284852F}"/>
    <cellStyle name="Normal 3 2 2 2 2 2 2 2 2 2 2 2 2 2 2 2 2 2 2 2 2 2 2 2 15" xfId="25768" xr:uid="{A9C05860-C2D8-49F0-9F87-2ACEFDCD3C7E}"/>
    <cellStyle name="Normal 3 2 2 2 2 2 2 2 2 2 2 2 2 2 2 2 2 2 2 2 2 2 2 2 16" xfId="25769" xr:uid="{8F8FFCFF-1A40-4A8B-AFB0-23AC79FD56DF}"/>
    <cellStyle name="Normal 3 2 2 2 2 2 2 2 2 2 2 2 2 2 2 2 2 2 2 2 2 2 2 2 17" xfId="25770" xr:uid="{00090C19-531D-4A6B-A335-C1BC1C54A8BB}"/>
    <cellStyle name="Normal 3 2 2 2 2 2 2 2 2 2 2 2 2 2 2 2 2 2 2 2 2 2 2 2 18" xfId="25771" xr:uid="{2FE7A24A-6A48-4896-9EA6-B99550C5E9F7}"/>
    <cellStyle name="Normal 3 2 2 2 2 2 2 2 2 2 2 2 2 2 2 2 2 2 2 2 2 2 2 2 19" xfId="25772" xr:uid="{B68D6264-D91A-4D24-B5D9-37D8ADB091FC}"/>
    <cellStyle name="Normal 3 2 2 2 2 2 2 2 2 2 2 2 2 2 2 2 2 2 2 2 2 2 2 2 2" xfId="25773" xr:uid="{37C751FD-1A1A-4F4E-A64E-7B29599ACC7E}"/>
    <cellStyle name="Normal 3 2 2 2 2 2 2 2 2 2 2 2 2 2 2 2 2 2 2 2 2 2 2 2 2 10" xfId="25774" xr:uid="{436DB73E-F356-40AE-911D-93D935775E1D}"/>
    <cellStyle name="Normal 3 2 2 2 2 2 2 2 2 2 2 2 2 2 2 2 2 2 2 2 2 2 2 2 2 11" xfId="25775" xr:uid="{665AE88E-88A9-41E0-A0C6-052D7D22E133}"/>
    <cellStyle name="Normal 3 2 2 2 2 2 2 2 2 2 2 2 2 2 2 2 2 2 2 2 2 2 2 2 2 12" xfId="25776" xr:uid="{1A8A7A36-07F3-4B43-8BFC-B3B44035DBFF}"/>
    <cellStyle name="Normal 3 2 2 2 2 2 2 2 2 2 2 2 2 2 2 2 2 2 2 2 2 2 2 2 2 13" xfId="25777" xr:uid="{EA86144B-C159-4813-8697-6970E4104EA3}"/>
    <cellStyle name="Normal 3 2 2 2 2 2 2 2 2 2 2 2 2 2 2 2 2 2 2 2 2 2 2 2 2 14" xfId="25778" xr:uid="{79064925-0030-4621-83E9-BA5DB5E5864F}"/>
    <cellStyle name="Normal 3 2 2 2 2 2 2 2 2 2 2 2 2 2 2 2 2 2 2 2 2 2 2 2 2 15" xfId="25779" xr:uid="{62D6077B-C797-46C7-800E-73CEC46D93CA}"/>
    <cellStyle name="Normal 3 2 2 2 2 2 2 2 2 2 2 2 2 2 2 2 2 2 2 2 2 2 2 2 2 16" xfId="25780" xr:uid="{2BE209AC-F711-44D6-9DF9-F11E445FFC97}"/>
    <cellStyle name="Normal 3 2 2 2 2 2 2 2 2 2 2 2 2 2 2 2 2 2 2 2 2 2 2 2 2 17" xfId="25781" xr:uid="{14545DFB-0AF2-46BF-BC70-C2C0BFDB23CB}"/>
    <cellStyle name="Normal 3 2 2 2 2 2 2 2 2 2 2 2 2 2 2 2 2 2 2 2 2 2 2 2 2 18" xfId="25782" xr:uid="{F93B80C0-D794-4416-BF1A-1AC425BBBD5D}"/>
    <cellStyle name="Normal 3 2 2 2 2 2 2 2 2 2 2 2 2 2 2 2 2 2 2 2 2 2 2 2 2 19" xfId="25783" xr:uid="{A79C3FA3-240D-4498-AF19-2837DD2298D5}"/>
    <cellStyle name="Normal 3 2 2 2 2 2 2 2 2 2 2 2 2 2 2 2 2 2 2 2 2 2 2 2 2 2" xfId="25784" xr:uid="{716D9159-6A1E-4D08-AD45-B748483233B2}"/>
    <cellStyle name="Normal 3 2 2 2 2 2 2 2 2 2 2 2 2 2 2 2 2 2 2 2 2 2 2 2 2 2 10" xfId="25785" xr:uid="{6F82F501-D67F-4A98-BEBC-FBE356A6F0EA}"/>
    <cellStyle name="Normal 3 2 2 2 2 2 2 2 2 2 2 2 2 2 2 2 2 2 2 2 2 2 2 2 2 2 11" xfId="25786" xr:uid="{807CAC92-1BD1-428A-ACCB-7EEC6A4518F1}"/>
    <cellStyle name="Normal 3 2 2 2 2 2 2 2 2 2 2 2 2 2 2 2 2 2 2 2 2 2 2 2 2 2 12" xfId="25787" xr:uid="{7B31E420-B4DC-4A01-B0A6-2131DCEFA009}"/>
    <cellStyle name="Normal 3 2 2 2 2 2 2 2 2 2 2 2 2 2 2 2 2 2 2 2 2 2 2 2 2 2 13" xfId="25788" xr:uid="{90642B3F-F99A-46AC-AD19-427E5A6C6DA1}"/>
    <cellStyle name="Normal 3 2 2 2 2 2 2 2 2 2 2 2 2 2 2 2 2 2 2 2 2 2 2 2 2 2 14" xfId="25789" xr:uid="{87054B5D-F6CC-4F9C-B1B1-0FED8DE58586}"/>
    <cellStyle name="Normal 3 2 2 2 2 2 2 2 2 2 2 2 2 2 2 2 2 2 2 2 2 2 2 2 2 2 15" xfId="25790" xr:uid="{C49272A1-8688-4388-A6BB-32AA01285229}"/>
    <cellStyle name="Normal 3 2 2 2 2 2 2 2 2 2 2 2 2 2 2 2 2 2 2 2 2 2 2 2 2 2 16" xfId="25791" xr:uid="{2FA88174-ED46-4B6E-9C81-5EEC8D0E7FDE}"/>
    <cellStyle name="Normal 3 2 2 2 2 2 2 2 2 2 2 2 2 2 2 2 2 2 2 2 2 2 2 2 2 2 17" xfId="25792" xr:uid="{4DC7C58A-31FA-4CCA-9793-7375BEDBF10D}"/>
    <cellStyle name="Normal 3 2 2 2 2 2 2 2 2 2 2 2 2 2 2 2 2 2 2 2 2 2 2 2 2 2 18" xfId="25793" xr:uid="{E450A556-03B8-4333-BCB3-8FABCDCCD295}"/>
    <cellStyle name="Normal 3 2 2 2 2 2 2 2 2 2 2 2 2 2 2 2 2 2 2 2 2 2 2 2 2 2 19" xfId="25794" xr:uid="{6883DBFB-8524-4083-B7F9-7E4A7C8800B1}"/>
    <cellStyle name="Normal 3 2 2 2 2 2 2 2 2 2 2 2 2 2 2 2 2 2 2 2 2 2 2 2 2 2 2" xfId="25795" xr:uid="{4BA91A57-5DF1-4495-A033-A9877D6B456F}"/>
    <cellStyle name="Normal 3 2 2 2 2 2 2 2 2 2 2 2 2 2 2 2 2 2 2 2 2 2 2 2 2 2 2 10" xfId="25796" xr:uid="{E2854988-518D-4DA7-B512-8AEC5F0C1A29}"/>
    <cellStyle name="Normal 3 2 2 2 2 2 2 2 2 2 2 2 2 2 2 2 2 2 2 2 2 2 2 2 2 2 2 11" xfId="25797" xr:uid="{C8327EFE-9409-42F6-BE9C-684AE7F28E28}"/>
    <cellStyle name="Normal 3 2 2 2 2 2 2 2 2 2 2 2 2 2 2 2 2 2 2 2 2 2 2 2 2 2 2 12" xfId="25798" xr:uid="{D7B38C0B-917F-4443-9C1C-9BF8539091FA}"/>
    <cellStyle name="Normal 3 2 2 2 2 2 2 2 2 2 2 2 2 2 2 2 2 2 2 2 2 2 2 2 2 2 2 13" xfId="25799" xr:uid="{208D1A68-65A2-405A-AA11-17F7BA946F1C}"/>
    <cellStyle name="Normal 3 2 2 2 2 2 2 2 2 2 2 2 2 2 2 2 2 2 2 2 2 2 2 2 2 2 2 14" xfId="25800" xr:uid="{638543EF-189B-4FB4-B545-108597FD6288}"/>
    <cellStyle name="Normal 3 2 2 2 2 2 2 2 2 2 2 2 2 2 2 2 2 2 2 2 2 2 2 2 2 2 2 15" xfId="25801" xr:uid="{9F36C849-B189-4E80-8AAD-2BF991542916}"/>
    <cellStyle name="Normal 3 2 2 2 2 2 2 2 2 2 2 2 2 2 2 2 2 2 2 2 2 2 2 2 2 2 2 16" xfId="25802" xr:uid="{5F845D39-065F-4474-8318-C6CB156D316F}"/>
    <cellStyle name="Normal 3 2 2 2 2 2 2 2 2 2 2 2 2 2 2 2 2 2 2 2 2 2 2 2 2 2 2 17" xfId="25803" xr:uid="{804C1604-AC59-41E8-9379-8F238B74466C}"/>
    <cellStyle name="Normal 3 2 2 2 2 2 2 2 2 2 2 2 2 2 2 2 2 2 2 2 2 2 2 2 2 2 2 18" xfId="25804" xr:uid="{2219F74A-46E9-435A-AA89-DD02044A113B}"/>
    <cellStyle name="Normal 3 2 2 2 2 2 2 2 2 2 2 2 2 2 2 2 2 2 2 2 2 2 2 2 2 2 2 19" xfId="25805" xr:uid="{2E70886F-750C-4FB3-BCE5-157093E43A87}"/>
    <cellStyle name="Normal 3 2 2 2 2 2 2 2 2 2 2 2 2 2 2 2 2 2 2 2 2 2 2 2 2 2 2 2" xfId="25806" xr:uid="{71C74069-74B6-4297-B6D9-41E3DB8E7F44}"/>
    <cellStyle name="Normal 3 2 2 2 2 2 2 2 2 2 2 2 2 2 2 2 2 2 2 2 2 2 2 2 2 2 2 2 10" xfId="25807" xr:uid="{E0E1BD10-8A72-4762-B07A-51B00612790F}"/>
    <cellStyle name="Normal 3 2 2 2 2 2 2 2 2 2 2 2 2 2 2 2 2 2 2 2 2 2 2 2 2 2 2 2 11" xfId="25808" xr:uid="{F972BF7D-2A61-44FE-8265-6D635505AD85}"/>
    <cellStyle name="Normal 3 2 2 2 2 2 2 2 2 2 2 2 2 2 2 2 2 2 2 2 2 2 2 2 2 2 2 2 12" xfId="25809" xr:uid="{F69EBA80-6FFC-4A7E-AC56-D0CB182F783A}"/>
    <cellStyle name="Normal 3 2 2 2 2 2 2 2 2 2 2 2 2 2 2 2 2 2 2 2 2 2 2 2 2 2 2 2 13" xfId="25810" xr:uid="{EBC872CD-2869-4D81-A483-0CAFBB0D9707}"/>
    <cellStyle name="Normal 3 2 2 2 2 2 2 2 2 2 2 2 2 2 2 2 2 2 2 2 2 2 2 2 2 2 2 2 14" xfId="25811" xr:uid="{482585C4-2452-475B-893D-3621AC331FE4}"/>
    <cellStyle name="Normal 3 2 2 2 2 2 2 2 2 2 2 2 2 2 2 2 2 2 2 2 2 2 2 2 2 2 2 2 15" xfId="25812" xr:uid="{E5860A02-8E1F-4D15-9D72-0E0DABA4D9FB}"/>
    <cellStyle name="Normal 3 2 2 2 2 2 2 2 2 2 2 2 2 2 2 2 2 2 2 2 2 2 2 2 2 2 2 2 16" xfId="25813" xr:uid="{969F5315-8668-408A-87EC-1E03E6B3044B}"/>
    <cellStyle name="Normal 3 2 2 2 2 2 2 2 2 2 2 2 2 2 2 2 2 2 2 2 2 2 2 2 2 2 2 2 17" xfId="25814" xr:uid="{FD46518C-6A08-430B-8B33-FCEBA4D606FF}"/>
    <cellStyle name="Normal 3 2 2 2 2 2 2 2 2 2 2 2 2 2 2 2 2 2 2 2 2 2 2 2 2 2 2 2 18" xfId="25815" xr:uid="{53D42513-2804-4069-A7A1-FF5A7C894915}"/>
    <cellStyle name="Normal 3 2 2 2 2 2 2 2 2 2 2 2 2 2 2 2 2 2 2 2 2 2 2 2 2 2 2 2 19" xfId="25816" xr:uid="{314258A2-6181-428D-B070-8B83946D0F31}"/>
    <cellStyle name="Normal 3 2 2 2 2 2 2 2 2 2 2 2 2 2 2 2 2 2 2 2 2 2 2 2 2 2 2 2 2" xfId="25817" xr:uid="{25B0F4EC-78F3-4A02-86B1-4B983EE2D977}"/>
    <cellStyle name="Normal 3 2 2 2 2 2 2 2 2 2 2 2 2 2 2 2 2 2 2 2 2 2 2 2 2 2 2 2 2 10" xfId="25818" xr:uid="{DC58E922-E6C3-412E-935B-5A1868CD1CCE}"/>
    <cellStyle name="Normal 3 2 2 2 2 2 2 2 2 2 2 2 2 2 2 2 2 2 2 2 2 2 2 2 2 2 2 2 2 11" xfId="25819" xr:uid="{3FF750D8-620F-4E37-8A19-2BCBC6AB86BA}"/>
    <cellStyle name="Normal 3 2 2 2 2 2 2 2 2 2 2 2 2 2 2 2 2 2 2 2 2 2 2 2 2 2 2 2 2 12" xfId="25820" xr:uid="{EB9C5B12-9A5F-4B9D-AEB5-61110A5308E5}"/>
    <cellStyle name="Normal 3 2 2 2 2 2 2 2 2 2 2 2 2 2 2 2 2 2 2 2 2 2 2 2 2 2 2 2 2 13" xfId="25821" xr:uid="{2BEA4005-F1B7-4381-9A3B-A053F0489FBB}"/>
    <cellStyle name="Normal 3 2 2 2 2 2 2 2 2 2 2 2 2 2 2 2 2 2 2 2 2 2 2 2 2 2 2 2 2 14" xfId="25822" xr:uid="{12061A1E-31BC-4B6C-929C-6EAE79E66623}"/>
    <cellStyle name="Normal 3 2 2 2 2 2 2 2 2 2 2 2 2 2 2 2 2 2 2 2 2 2 2 2 2 2 2 2 2 15" xfId="25823" xr:uid="{AC42D063-4D5B-4D7C-9964-8D3B40475C59}"/>
    <cellStyle name="Normal 3 2 2 2 2 2 2 2 2 2 2 2 2 2 2 2 2 2 2 2 2 2 2 2 2 2 2 2 2 16" xfId="25824" xr:uid="{E0C39962-7EC2-4738-AD91-01F7CF643F0A}"/>
    <cellStyle name="Normal 3 2 2 2 2 2 2 2 2 2 2 2 2 2 2 2 2 2 2 2 2 2 2 2 2 2 2 2 2 17" xfId="25825" xr:uid="{0092885E-50DD-4EF0-950D-EBC8C68B3F51}"/>
    <cellStyle name="Normal 3 2 2 2 2 2 2 2 2 2 2 2 2 2 2 2 2 2 2 2 2 2 2 2 2 2 2 2 2 18" xfId="25826" xr:uid="{473810AE-3626-44C2-BD5E-6A23379D5CE7}"/>
    <cellStyle name="Normal 3 2 2 2 2 2 2 2 2 2 2 2 2 2 2 2 2 2 2 2 2 2 2 2 2 2 2 2 2 19" xfId="25827" xr:uid="{3A6590E6-F4D6-4D0A-9587-C9C8245F7B7A}"/>
    <cellStyle name="Normal 3 2 2 2 2 2 2 2 2 2 2 2 2 2 2 2 2 2 2 2 2 2 2 2 2 2 2 2 2 2" xfId="25828" xr:uid="{926A98FF-8B89-4B55-87D5-E5CA2408A5BB}"/>
    <cellStyle name="Normal 3 2 2 2 2 2 2 2 2 2 2 2 2 2 2 2 2 2 2 2 2 2 2 2 2 2 2 2 2 2 10" xfId="25829" xr:uid="{CE5CDBE0-14FF-4F26-90B1-3220D94FC635}"/>
    <cellStyle name="Normal 3 2 2 2 2 2 2 2 2 2 2 2 2 2 2 2 2 2 2 2 2 2 2 2 2 2 2 2 2 2 11" xfId="25830" xr:uid="{4D1466B2-2921-41DD-8952-695F6EC90992}"/>
    <cellStyle name="Normal 3 2 2 2 2 2 2 2 2 2 2 2 2 2 2 2 2 2 2 2 2 2 2 2 2 2 2 2 2 2 12" xfId="25831" xr:uid="{1D01A7F0-86CD-4FC1-A5E2-0D41586F0904}"/>
    <cellStyle name="Normal 3 2 2 2 2 2 2 2 2 2 2 2 2 2 2 2 2 2 2 2 2 2 2 2 2 2 2 2 2 2 13" xfId="25832" xr:uid="{8ED62CB5-1E81-4832-8BA2-FBE1183AAF2C}"/>
    <cellStyle name="Normal 3 2 2 2 2 2 2 2 2 2 2 2 2 2 2 2 2 2 2 2 2 2 2 2 2 2 2 2 2 2 14" xfId="25833" xr:uid="{7E5816A2-2BA1-48F2-9DD4-55098CB6A88E}"/>
    <cellStyle name="Normal 3 2 2 2 2 2 2 2 2 2 2 2 2 2 2 2 2 2 2 2 2 2 2 2 2 2 2 2 2 2 15" xfId="25834" xr:uid="{AFC5671F-37B1-4E04-A723-A6950E0434FF}"/>
    <cellStyle name="Normal 3 2 2 2 2 2 2 2 2 2 2 2 2 2 2 2 2 2 2 2 2 2 2 2 2 2 2 2 2 2 16" xfId="25835" xr:uid="{E89D68B1-D0D8-41D9-8F19-F17E27AD1590}"/>
    <cellStyle name="Normal 3 2 2 2 2 2 2 2 2 2 2 2 2 2 2 2 2 2 2 2 2 2 2 2 2 2 2 2 2 2 17" xfId="25836" xr:uid="{8451E2C1-5AA5-4F7F-97ED-7ACBE4BE0F07}"/>
    <cellStyle name="Normal 3 2 2 2 2 2 2 2 2 2 2 2 2 2 2 2 2 2 2 2 2 2 2 2 2 2 2 2 2 2 18" xfId="25837" xr:uid="{3F951B57-FE9E-4304-BDEB-A5C1FE3F55B1}"/>
    <cellStyle name="Normal 3 2 2 2 2 2 2 2 2 2 2 2 2 2 2 2 2 2 2 2 2 2 2 2 2 2 2 2 2 2 19" xfId="25838" xr:uid="{21A941FC-5EF4-45EF-B08B-303A4AEDAC19}"/>
    <cellStyle name="Normal 3 2 2 2 2 2 2 2 2 2 2 2 2 2 2 2 2 2 2 2 2 2 2 2 2 2 2 2 2 2 2" xfId="25839" xr:uid="{AA38F963-B709-483C-881A-52231CFF567F}"/>
    <cellStyle name="Normal 3 2 2 2 2 2 2 2 2 2 2 2 2 2 2 2 2 2 2 2 2 2 2 2 2 2 2 2 2 2 2 2" xfId="25840" xr:uid="{F0FB9D88-0865-4761-B48B-57D51D25A3F1}"/>
    <cellStyle name="Normal 3 2 2 2 2 2 2 2 2 2 2 2 2 2 2 2 2 2 2 2 2 2 2 2 2 2 2 2 2 2 2 2 2" xfId="25841" xr:uid="{C73AB668-2554-49BB-8FE6-2A56F0232927}"/>
    <cellStyle name="Normal 3 2 2 2 2 2 2 2 2 2 2 2 2 2 2 2 2 2 2 2 2 2 2 2 2 2 2 2 2 2 2 2 2 2" xfId="25842" xr:uid="{7BCAA4D8-4129-4866-87D3-F1926BFFE59E}"/>
    <cellStyle name="Normal 3 2 2 2 2 2 2 2 2 2 2 2 2 2 2 2 2 2 2 2 2 2 2 2 2 2 2 2 2 2 2 2 2 2 2" xfId="25843" xr:uid="{6242D932-3FDA-438D-BB5C-BD1D9A494C6C}"/>
    <cellStyle name="Normal 3 2 2 2 2 2 2 2 2 2 2 2 2 2 2 2 2 2 2 2 2 2 2 2 2 2 2 2 2 2 2 2 2 2 2 2" xfId="25844" xr:uid="{ABAB70DE-46E7-49B3-A983-AC7047D40DF2}"/>
    <cellStyle name="Normal 3 2 2 2 2 2 2 2 2 2 2 2 2 2 2 2 2 2 2 2 2 2 2 2 2 2 2 2 2 2 2 2 2 2 3" xfId="25845" xr:uid="{EE2713E6-201F-461A-B895-CA5B6282AE23}"/>
    <cellStyle name="Normal 3 2 2 2 2 2 2 2 2 2 2 2 2 2 2 2 2 2 2 2 2 2 2 2 2 2 2 2 2 2 2 2 2 2 4" xfId="25846" xr:uid="{EB3A027C-72B3-4B3D-ADD5-3FEB4EF43F37}"/>
    <cellStyle name="Normal 3 2 2 2 2 2 2 2 2 2 2 2 2 2 2 2 2 2 2 2 2 2 2 2 2 2 2 2 2 2 2 2 2 3" xfId="25847" xr:uid="{24A45819-DF1C-4BDE-96AC-01F1394BC8F9}"/>
    <cellStyle name="Normal 3 2 2 2 2 2 2 2 2 2 2 2 2 2 2 2 2 2 2 2 2 2 2 2 2 2 2 2 2 2 2 2 2 4" xfId="25848" xr:uid="{4FDB2460-EE3D-4174-A5E4-658B2C867223}"/>
    <cellStyle name="Normal 3 2 2 2 2 2 2 2 2 2 2 2 2 2 2 2 2 2 2 2 2 2 2 2 2 2 2 2 2 2 2 2 2 5" xfId="25849" xr:uid="{9C2D0862-2AD6-496A-A535-24A134D9823A}"/>
    <cellStyle name="Normal 3 2 2 2 2 2 2 2 2 2 2 2 2 2 2 2 2 2 2 2 2 2 2 2 2 2 2 2 2 2 2 2 3" xfId="25850" xr:uid="{1C89EF20-F6B2-4D37-AF2E-7573A7B34B25}"/>
    <cellStyle name="Normal 3 2 2 2 2 2 2 2 2 2 2 2 2 2 2 2 2 2 2 2 2 2 2 2 2 2 2 2 2 2 2 2 4" xfId="25851" xr:uid="{1C965EEF-566D-4435-9169-FB8A0296EFD5}"/>
    <cellStyle name="Normal 3 2 2 2 2 2 2 2 2 2 2 2 2 2 2 2 2 2 2 2 2 2 2 2 2 2 2 2 2 2 2 2 5" xfId="25852" xr:uid="{D2A8194C-D828-4EE8-B1D3-0D304AEA3905}"/>
    <cellStyle name="Normal 3 2 2 2 2 2 2 2 2 2 2 2 2 2 2 2 2 2 2 2 2 2 2 2 2 2 2 2 2 2 2 2 6" xfId="25853" xr:uid="{95F4F505-999F-4B4C-B6D5-AA32CF40E50A}"/>
    <cellStyle name="Normal 3 2 2 2 2 2 2 2 2 2 2 2 2 2 2 2 2 2 2 2 2 2 2 2 2 2 2 2 2 2 2 2 6 2" xfId="25854" xr:uid="{91D3B3DD-7065-4039-860F-75334A9BBD86}"/>
    <cellStyle name="Normal 3 2 2 2 2 2 2 2 2 2 2 2 2 2 2 2 2 2 2 2 2 2 2 2 2 2 2 2 2 2 2 2 6 3" xfId="25855" xr:uid="{6D6457EE-6262-43D2-B47B-28229D228E8B}"/>
    <cellStyle name="Normal 3 2 2 2 2 2 2 2 2 2 2 2 2 2 2 2 2 2 2 2 2 2 2 2 2 2 2 2 2 2 2 2 6 4" xfId="25856" xr:uid="{26F26B89-9303-446A-BCD5-4981C830B971}"/>
    <cellStyle name="Normal 3 2 2 2 2 2 2 2 2 2 2 2 2 2 2 2 2 2 2 2 2 2 2 2 2 2 2 2 2 2 2 2 7" xfId="25857" xr:uid="{C545CC77-E415-47D6-916B-D4FF5655B6B6}"/>
    <cellStyle name="Normal 3 2 2 2 2 2 2 2 2 2 2 2 2 2 2 2 2 2 2 2 2 2 2 2 2 2 2 2 2 2 2 2 8" xfId="25858" xr:uid="{D3F58669-7235-4C93-87C1-F7E1379D1F44}"/>
    <cellStyle name="Normal 3 2 2 2 2 2 2 2 2 2 2 2 2 2 2 2 2 2 2 2 2 2 2 2 2 2 2 2 2 2 2 3" xfId="25859" xr:uid="{9AF52C08-1613-43DD-8497-C2C4C0A7C522}"/>
    <cellStyle name="Normal 3 2 2 2 2 2 2 2 2 2 2 2 2 2 2 2 2 2 2 2 2 2 2 2 2 2 2 2 2 2 2 4" xfId="25860" xr:uid="{42BDFCD5-0E08-4378-A760-9C3F35DA0424}"/>
    <cellStyle name="Normal 3 2 2 2 2 2 2 2 2 2 2 2 2 2 2 2 2 2 2 2 2 2 2 2 2 2 2 2 2 2 2 5" xfId="25861" xr:uid="{04255022-D637-4328-AF30-A3711B8F45D7}"/>
    <cellStyle name="Normal 3 2 2 2 2 2 2 2 2 2 2 2 2 2 2 2 2 2 2 2 2 2 2 2 2 2 2 2 2 2 2 6" xfId="25862" xr:uid="{0F22D996-D2D8-4F0B-92DC-FBF04619EE97}"/>
    <cellStyle name="Normal 3 2 2 2 2 2 2 2 2 2 2 2 2 2 2 2 2 2 2 2 2 2 2 2 2 2 2 2 2 2 2 6 2" xfId="25863" xr:uid="{F1C44A81-95B1-49D3-B519-17D9DF79B3D2}"/>
    <cellStyle name="Normal 3 2 2 2 2 2 2 2 2 2 2 2 2 2 2 2 2 2 2 2 2 2 2 2 2 2 2 2 2 2 2 6 3" xfId="25864" xr:uid="{71223A66-F92A-4639-A31B-A131118ECEA2}"/>
    <cellStyle name="Normal 3 2 2 2 2 2 2 2 2 2 2 2 2 2 2 2 2 2 2 2 2 2 2 2 2 2 2 2 2 2 2 6 4" xfId="25865" xr:uid="{25A3E6E2-A104-4E5E-9649-A91998E02704}"/>
    <cellStyle name="Normal 3 2 2 2 2 2 2 2 2 2 2 2 2 2 2 2 2 2 2 2 2 2 2 2 2 2 2 2 2 2 2 7" xfId="25866" xr:uid="{53BA1F24-778C-48B4-9A2B-0D4E58B3EC82}"/>
    <cellStyle name="Normal 3 2 2 2 2 2 2 2 2 2 2 2 2 2 2 2 2 2 2 2 2 2 2 2 2 2 2 2 2 2 2 8" xfId="25867" xr:uid="{C5D1F3E9-D036-469A-B103-86E6FF988BB4}"/>
    <cellStyle name="Normal 3 2 2 2 2 2 2 2 2 2 2 2 2 2 2 2 2 2 2 2 2 2 2 2 2 2 2 2 2 2 20" xfId="25868" xr:uid="{E9B80B9F-66B6-4A4A-A941-5F20546E1BF1}"/>
    <cellStyle name="Normal 3 2 2 2 2 2 2 2 2 2 2 2 2 2 2 2 2 2 2 2 2 2 2 2 2 2 2 2 2 2 21" xfId="25869" xr:uid="{7B48B4E8-F030-4710-85A8-07C656BC6177}"/>
    <cellStyle name="Normal 3 2 2 2 2 2 2 2 2 2 2 2 2 2 2 2 2 2 2 2 2 2 2 2 2 2 2 2 2 2 22" xfId="25870" xr:uid="{7089E61D-F3A2-4A2A-99C3-94F61CE52FB6}"/>
    <cellStyle name="Normal 3 2 2 2 2 2 2 2 2 2 2 2 2 2 2 2 2 2 2 2 2 2 2 2 2 2 2 2 2 2 23" xfId="25871" xr:uid="{7616131C-906D-4576-9097-002FCB3976F7}"/>
    <cellStyle name="Normal 3 2 2 2 2 2 2 2 2 2 2 2 2 2 2 2 2 2 2 2 2 2 2 2 2 2 2 2 2 2 24" xfId="25872" xr:uid="{06D9546F-0CBD-42A8-B2F5-4CDA5F00934A}"/>
    <cellStyle name="Normal 3 2 2 2 2 2 2 2 2 2 2 2 2 2 2 2 2 2 2 2 2 2 2 2 2 2 2 2 2 2 25" xfId="25873" xr:uid="{3AA2D16A-29CE-4D21-A00D-5F712D7C3DAA}"/>
    <cellStyle name="Normal 3 2 2 2 2 2 2 2 2 2 2 2 2 2 2 2 2 2 2 2 2 2 2 2 2 2 2 2 2 2 25 2" xfId="25874" xr:uid="{06B3B456-4935-466C-9A71-AA614B1A208D}"/>
    <cellStyle name="Normal 3 2 2 2 2 2 2 2 2 2 2 2 2 2 2 2 2 2 2 2 2 2 2 2 2 2 2 2 2 2 25 3" xfId="25875" xr:uid="{CB66DA13-3386-4CF2-86FB-0C3B33243B12}"/>
    <cellStyle name="Normal 3 2 2 2 2 2 2 2 2 2 2 2 2 2 2 2 2 2 2 2 2 2 2 2 2 2 2 2 2 2 25 4" xfId="25876" xr:uid="{47D1EA07-70BD-448A-8EDD-E5457834E226}"/>
    <cellStyle name="Normal 3 2 2 2 2 2 2 2 2 2 2 2 2 2 2 2 2 2 2 2 2 2 2 2 2 2 2 2 2 2 26" xfId="25877" xr:uid="{E236A7E0-7058-4AC1-A041-910493ECC733}"/>
    <cellStyle name="Normal 3 2 2 2 2 2 2 2 2 2 2 2 2 2 2 2 2 2 2 2 2 2 2 2 2 2 2 2 2 2 27" xfId="25878" xr:uid="{DB285F67-EB73-4A30-A299-983B6A699729}"/>
    <cellStyle name="Normal 3 2 2 2 2 2 2 2 2 2 2 2 2 2 2 2 2 2 2 2 2 2 2 2 2 2 2 2 2 2 3" xfId="25879" xr:uid="{8981CAA8-E0FA-4194-B40B-BDDB42E04D7F}"/>
    <cellStyle name="Normal 3 2 2 2 2 2 2 2 2 2 2 2 2 2 2 2 2 2 2 2 2 2 2 2 2 2 2 2 2 2 4" xfId="25880" xr:uid="{64623AED-6039-4A10-8E60-3B9393CE3931}"/>
    <cellStyle name="Normal 3 2 2 2 2 2 2 2 2 2 2 2 2 2 2 2 2 2 2 2 2 2 2 2 2 2 2 2 2 2 5" xfId="25881" xr:uid="{4321683E-DB6B-4B75-911B-72E5239279AC}"/>
    <cellStyle name="Normal 3 2 2 2 2 2 2 2 2 2 2 2 2 2 2 2 2 2 2 2 2 2 2 2 2 2 2 2 2 2 6" xfId="25882" xr:uid="{107F69E8-E4D1-4AD9-968C-8446E0596829}"/>
    <cellStyle name="Normal 3 2 2 2 2 2 2 2 2 2 2 2 2 2 2 2 2 2 2 2 2 2 2 2 2 2 2 2 2 2 7" xfId="25883" xr:uid="{3320CBC3-9E5E-40AE-A6FD-025F8D1FAC1C}"/>
    <cellStyle name="Normal 3 2 2 2 2 2 2 2 2 2 2 2 2 2 2 2 2 2 2 2 2 2 2 2 2 2 2 2 2 2 8" xfId="25884" xr:uid="{D2D248C8-6AFD-4D4B-A129-190BF4DFB6DD}"/>
    <cellStyle name="Normal 3 2 2 2 2 2 2 2 2 2 2 2 2 2 2 2 2 2 2 2 2 2 2 2 2 2 2 2 2 2 9" xfId="25885" xr:uid="{D7E2D6CF-43D6-4FCE-993D-821FF93C6560}"/>
    <cellStyle name="Normal 3 2 2 2 2 2 2 2 2 2 2 2 2 2 2 2 2 2 2 2 2 2 2 2 2 2 2 2 2 20" xfId="25886" xr:uid="{4A0F84A6-E568-4EAC-A354-2B52ED8F79FA}"/>
    <cellStyle name="Normal 3 2 2 2 2 2 2 2 2 2 2 2 2 2 2 2 2 2 2 2 2 2 2 2 2 2 2 2 2 21" xfId="25887" xr:uid="{D1F7E5CD-DB5B-4A42-89ED-BFE201B5FAE5}"/>
    <cellStyle name="Normal 3 2 2 2 2 2 2 2 2 2 2 2 2 2 2 2 2 2 2 2 2 2 2 2 2 2 2 2 2 22" xfId="25888" xr:uid="{2E4FC4BC-E696-4D37-BCA7-86F6D565D398}"/>
    <cellStyle name="Normal 3 2 2 2 2 2 2 2 2 2 2 2 2 2 2 2 2 2 2 2 2 2 2 2 2 2 2 2 2 23" xfId="25889" xr:uid="{513A0894-A881-4E8B-BFAD-6C90156BE791}"/>
    <cellStyle name="Normal 3 2 2 2 2 2 2 2 2 2 2 2 2 2 2 2 2 2 2 2 2 2 2 2 2 2 2 2 2 24" xfId="25890" xr:uid="{7D5B8F1C-5BF1-4A39-9B58-66F2EFCB62EB}"/>
    <cellStyle name="Normal 3 2 2 2 2 2 2 2 2 2 2 2 2 2 2 2 2 2 2 2 2 2 2 2 2 2 2 2 2 25" xfId="25891" xr:uid="{D0EAB092-785E-4DCB-BE16-BD4A85F1EAF3}"/>
    <cellStyle name="Normal 3 2 2 2 2 2 2 2 2 2 2 2 2 2 2 2 2 2 2 2 2 2 2 2 2 2 2 2 2 25 2" xfId="25892" xr:uid="{6AFCEF2E-9234-4EA6-83B8-E4C6634D17EE}"/>
    <cellStyle name="Normal 3 2 2 2 2 2 2 2 2 2 2 2 2 2 2 2 2 2 2 2 2 2 2 2 2 2 2 2 2 25 3" xfId="25893" xr:uid="{F875DE4F-06B6-4254-A932-22331C425618}"/>
    <cellStyle name="Normal 3 2 2 2 2 2 2 2 2 2 2 2 2 2 2 2 2 2 2 2 2 2 2 2 2 2 2 2 2 25 4" xfId="25894" xr:uid="{6C77864D-8056-4025-B9BD-918DB35CB169}"/>
    <cellStyle name="Normal 3 2 2 2 2 2 2 2 2 2 2 2 2 2 2 2 2 2 2 2 2 2 2 2 2 2 2 2 2 26" xfId="25895" xr:uid="{E6D17DA3-4210-408F-8CE1-3184DB42085C}"/>
    <cellStyle name="Normal 3 2 2 2 2 2 2 2 2 2 2 2 2 2 2 2 2 2 2 2 2 2 2 2 2 2 2 2 2 27" xfId="25896" xr:uid="{765961BA-4E43-4FA4-9797-63BF3A1FAD7E}"/>
    <cellStyle name="Normal 3 2 2 2 2 2 2 2 2 2 2 2 2 2 2 2 2 2 2 2 2 2 2 2 2 2 2 2 2 3" xfId="25897" xr:uid="{4FBF3A0B-2289-4D87-A245-FCDF3F1AB77D}"/>
    <cellStyle name="Normal 3 2 2 2 2 2 2 2 2 2 2 2 2 2 2 2 2 2 2 2 2 2 2 2 2 2 2 2 2 4" xfId="25898" xr:uid="{7A9C8D60-16C8-43E8-A04B-73D537A17201}"/>
    <cellStyle name="Normal 3 2 2 2 2 2 2 2 2 2 2 2 2 2 2 2 2 2 2 2 2 2 2 2 2 2 2 2 2 5" xfId="25899" xr:uid="{4291BEDE-BCAF-4679-A6BF-02DD2ED59DA9}"/>
    <cellStyle name="Normal 3 2 2 2 2 2 2 2 2 2 2 2 2 2 2 2 2 2 2 2 2 2 2 2 2 2 2 2 2 6" xfId="25900" xr:uid="{606E9550-6CDE-4243-B269-F51B2E4EFA72}"/>
    <cellStyle name="Normal 3 2 2 2 2 2 2 2 2 2 2 2 2 2 2 2 2 2 2 2 2 2 2 2 2 2 2 2 2 7" xfId="25901" xr:uid="{FB1A2E28-EA10-464C-834D-A00A236CEF89}"/>
    <cellStyle name="Normal 3 2 2 2 2 2 2 2 2 2 2 2 2 2 2 2 2 2 2 2 2 2 2 2 2 2 2 2 2 8" xfId="25902" xr:uid="{4E6D743A-97FE-4F81-AF41-D3CCA06605EA}"/>
    <cellStyle name="Normal 3 2 2 2 2 2 2 2 2 2 2 2 2 2 2 2 2 2 2 2 2 2 2 2 2 2 2 2 2 9" xfId="25903" xr:uid="{9333B86B-26B2-49AD-96BB-056403833CA9}"/>
    <cellStyle name="Normal 3 2 2 2 2 2 2 2 2 2 2 2 2 2 2 2 2 2 2 2 2 2 2 2 2 2 2 2 20" xfId="25904" xr:uid="{5609ECE2-2A4D-410A-8D19-E4E680DD881F}"/>
    <cellStyle name="Normal 3 2 2 2 2 2 2 2 2 2 2 2 2 2 2 2 2 2 2 2 2 2 2 2 2 2 2 2 21" xfId="25905" xr:uid="{273A7144-D63E-4481-BDF0-A98229BCBFFF}"/>
    <cellStyle name="Normal 3 2 2 2 2 2 2 2 2 2 2 2 2 2 2 2 2 2 2 2 2 2 2 2 2 2 2 2 22" xfId="25906" xr:uid="{3BF8E305-07E3-45C2-8A34-FC18A2FD0A79}"/>
    <cellStyle name="Normal 3 2 2 2 2 2 2 2 2 2 2 2 2 2 2 2 2 2 2 2 2 2 2 2 2 2 2 2 23" xfId="25907" xr:uid="{2524559A-25F1-4EE2-B028-57CADA5C6B3A}"/>
    <cellStyle name="Normal 3 2 2 2 2 2 2 2 2 2 2 2 2 2 2 2 2 2 2 2 2 2 2 2 2 2 2 2 24" xfId="25908" xr:uid="{D331F618-7615-41A9-9151-05F994F30A55}"/>
    <cellStyle name="Normal 3 2 2 2 2 2 2 2 2 2 2 2 2 2 2 2 2 2 2 2 2 2 2 2 2 2 2 2 25" xfId="25909" xr:uid="{EDEE2183-4535-4164-B304-DF717914D2F0}"/>
    <cellStyle name="Normal 3 2 2 2 2 2 2 2 2 2 2 2 2 2 2 2 2 2 2 2 2 2 2 2 2 2 2 2 26" xfId="25910" xr:uid="{06D45277-A175-4282-BEA2-18E006A32E38}"/>
    <cellStyle name="Normal 3 2 2 2 2 2 2 2 2 2 2 2 2 2 2 2 2 2 2 2 2 2 2 2 2 2 2 2 26 2" xfId="25911" xr:uid="{349E9FE6-DF03-41E0-B30F-12FEE9264D94}"/>
    <cellStyle name="Normal 3 2 2 2 2 2 2 2 2 2 2 2 2 2 2 2 2 2 2 2 2 2 2 2 2 2 2 2 26 3" xfId="25912" xr:uid="{1184FCF7-1D25-4117-9BEF-93113FECB954}"/>
    <cellStyle name="Normal 3 2 2 2 2 2 2 2 2 2 2 2 2 2 2 2 2 2 2 2 2 2 2 2 2 2 2 2 26 4" xfId="25913" xr:uid="{4EB0E76C-91C2-4BB7-95EC-F20D69D0A4FD}"/>
    <cellStyle name="Normal 3 2 2 2 2 2 2 2 2 2 2 2 2 2 2 2 2 2 2 2 2 2 2 2 2 2 2 2 27" xfId="25914" xr:uid="{5261B4D1-8FA9-400B-A6E4-1F521EA25C68}"/>
    <cellStyle name="Normal 3 2 2 2 2 2 2 2 2 2 2 2 2 2 2 2 2 2 2 2 2 2 2 2 2 2 2 2 28" xfId="25915" xr:uid="{239FB88E-5428-4B92-B1EB-6DF6D8078818}"/>
    <cellStyle name="Normal 3 2 2 2 2 2 2 2 2 2 2 2 2 2 2 2 2 2 2 2 2 2 2 2 2 2 2 2 3" xfId="25916" xr:uid="{E931328B-23D5-4C49-B75B-034DC1DDC65E}"/>
    <cellStyle name="Normal 3 2 2 2 2 2 2 2 2 2 2 2 2 2 2 2 2 2 2 2 2 2 2 2 2 2 2 2 4" xfId="25917" xr:uid="{7CD2E6C1-578E-4F63-B0A3-A06A228FC09E}"/>
    <cellStyle name="Normal 3 2 2 2 2 2 2 2 2 2 2 2 2 2 2 2 2 2 2 2 2 2 2 2 2 2 2 2 5" xfId="25918" xr:uid="{C00E93D8-75BF-4760-A0C7-34A3FA4C1F5C}"/>
    <cellStyle name="Normal 3 2 2 2 2 2 2 2 2 2 2 2 2 2 2 2 2 2 2 2 2 2 2 2 2 2 2 2 6" xfId="25919" xr:uid="{EACF3428-CADB-4A4A-A8A1-45052A5992DE}"/>
    <cellStyle name="Normal 3 2 2 2 2 2 2 2 2 2 2 2 2 2 2 2 2 2 2 2 2 2 2 2 2 2 2 2 7" xfId="25920" xr:uid="{A043978E-D824-4965-94F9-40C8E30EF237}"/>
    <cellStyle name="Normal 3 2 2 2 2 2 2 2 2 2 2 2 2 2 2 2 2 2 2 2 2 2 2 2 2 2 2 2 8" xfId="25921" xr:uid="{B1AAF4E0-A23A-467A-AEFA-F0C6A49C993C}"/>
    <cellStyle name="Normal 3 2 2 2 2 2 2 2 2 2 2 2 2 2 2 2 2 2 2 2 2 2 2 2 2 2 2 2 9" xfId="25922" xr:uid="{65F3782A-7140-4763-873F-0219824F870A}"/>
    <cellStyle name="Normal 3 2 2 2 2 2 2 2 2 2 2 2 2 2 2 2 2 2 2 2 2 2 2 2 2 2 2 20" xfId="25923" xr:uid="{0AEECDE5-ED22-4ADE-B637-97F6A78B4D83}"/>
    <cellStyle name="Normal 3 2 2 2 2 2 2 2 2 2 2 2 2 2 2 2 2 2 2 2 2 2 2 2 2 2 2 21" xfId="25924" xr:uid="{AC58591F-485E-4FD9-8EEA-DB59D6C34B06}"/>
    <cellStyle name="Normal 3 2 2 2 2 2 2 2 2 2 2 2 2 2 2 2 2 2 2 2 2 2 2 2 2 2 2 22" xfId="25925" xr:uid="{AFBFD77B-017A-419B-8791-95D0926087A8}"/>
    <cellStyle name="Normal 3 2 2 2 2 2 2 2 2 2 2 2 2 2 2 2 2 2 2 2 2 2 2 2 2 2 2 23" xfId="25926" xr:uid="{739F6CC9-7151-4106-B84E-525741EDBFD7}"/>
    <cellStyle name="Normal 3 2 2 2 2 2 2 2 2 2 2 2 2 2 2 2 2 2 2 2 2 2 2 2 2 2 2 24" xfId="25927" xr:uid="{1CAD9659-6863-428B-8270-B37B1CB142BE}"/>
    <cellStyle name="Normal 3 2 2 2 2 2 2 2 2 2 2 2 2 2 2 2 2 2 2 2 2 2 2 2 2 2 2 25" xfId="25928" xr:uid="{877E97AA-5BF5-4119-B813-72A200C1886C}"/>
    <cellStyle name="Normal 3 2 2 2 2 2 2 2 2 2 2 2 2 2 2 2 2 2 2 2 2 2 2 2 2 2 2 26" xfId="25929" xr:uid="{ECB2D4D5-22A3-4A89-A81A-5AD3B4F824ED}"/>
    <cellStyle name="Normal 3 2 2 2 2 2 2 2 2 2 2 2 2 2 2 2 2 2 2 2 2 2 2 2 2 2 2 26 2" xfId="25930" xr:uid="{157683FF-6324-46C0-99D6-4BBFF5A72A72}"/>
    <cellStyle name="Normal 3 2 2 2 2 2 2 2 2 2 2 2 2 2 2 2 2 2 2 2 2 2 2 2 2 2 2 26 3" xfId="25931" xr:uid="{8EB61CA9-E345-49DE-824D-5863AB79ECC9}"/>
    <cellStyle name="Normal 3 2 2 2 2 2 2 2 2 2 2 2 2 2 2 2 2 2 2 2 2 2 2 2 2 2 2 26 4" xfId="25932" xr:uid="{C3839CB9-3C21-48AD-923A-0A6921A9BAFB}"/>
    <cellStyle name="Normal 3 2 2 2 2 2 2 2 2 2 2 2 2 2 2 2 2 2 2 2 2 2 2 2 2 2 2 27" xfId="25933" xr:uid="{0E6EC198-A9D0-461C-B5B2-BF75B291856A}"/>
    <cellStyle name="Normal 3 2 2 2 2 2 2 2 2 2 2 2 2 2 2 2 2 2 2 2 2 2 2 2 2 2 2 28" xfId="25934" xr:uid="{2FA0411D-1C29-4C07-80C4-2E1A5BE563CE}"/>
    <cellStyle name="Normal 3 2 2 2 2 2 2 2 2 2 2 2 2 2 2 2 2 2 2 2 2 2 2 2 2 2 2 3" xfId="25935" xr:uid="{B01094A9-F6D6-4CD2-99D5-1A68CB1EE23A}"/>
    <cellStyle name="Normal 3 2 2 2 2 2 2 2 2 2 2 2 2 2 2 2 2 2 2 2 2 2 2 2 2 2 2 4" xfId="25936" xr:uid="{B8FE7485-3B29-4A1D-A994-960018E503A4}"/>
    <cellStyle name="Normal 3 2 2 2 2 2 2 2 2 2 2 2 2 2 2 2 2 2 2 2 2 2 2 2 2 2 2 5" xfId="25937" xr:uid="{4F8BC4A4-E3B8-4DCA-8A0A-65E3F74C088A}"/>
    <cellStyle name="Normal 3 2 2 2 2 2 2 2 2 2 2 2 2 2 2 2 2 2 2 2 2 2 2 2 2 2 2 6" xfId="25938" xr:uid="{40BB9B03-133B-4130-BFFC-B0072EEA37BF}"/>
    <cellStyle name="Normal 3 2 2 2 2 2 2 2 2 2 2 2 2 2 2 2 2 2 2 2 2 2 2 2 2 2 2 7" xfId="25939" xr:uid="{BB73C8DC-3A20-4146-9BD5-460634ACC3A3}"/>
    <cellStyle name="Normal 3 2 2 2 2 2 2 2 2 2 2 2 2 2 2 2 2 2 2 2 2 2 2 2 2 2 2 8" xfId="25940" xr:uid="{63778D37-673C-4350-8278-CDBA270DF5E2}"/>
    <cellStyle name="Normal 3 2 2 2 2 2 2 2 2 2 2 2 2 2 2 2 2 2 2 2 2 2 2 2 2 2 2 9" xfId="25941" xr:uid="{04CB7EE6-81B9-4455-AB7D-BE058539A01B}"/>
    <cellStyle name="Normal 3 2 2 2 2 2 2 2 2 2 2 2 2 2 2 2 2 2 2 2 2 2 2 2 2 2 20" xfId="25942" xr:uid="{0339B62B-7DC7-45AE-BB97-D34833BEF896}"/>
    <cellStyle name="Normal 3 2 2 2 2 2 2 2 2 2 2 2 2 2 2 2 2 2 2 2 2 2 2 2 2 2 21" xfId="25943" xr:uid="{96C5E56D-D8BB-4706-90AA-AA0D1F1069F5}"/>
    <cellStyle name="Normal 3 2 2 2 2 2 2 2 2 2 2 2 2 2 2 2 2 2 2 2 2 2 2 2 2 2 22" xfId="25944" xr:uid="{03D099D6-F9F6-473D-A609-BBA43C5EAD70}"/>
    <cellStyle name="Normal 3 2 2 2 2 2 2 2 2 2 2 2 2 2 2 2 2 2 2 2 2 2 2 2 2 2 23" xfId="25945" xr:uid="{BAECC966-7D5A-49DB-8DC0-7B1C203F4601}"/>
    <cellStyle name="Normal 3 2 2 2 2 2 2 2 2 2 2 2 2 2 2 2 2 2 2 2 2 2 2 2 2 2 24" xfId="25946" xr:uid="{7A41AB13-3E78-4CED-B1D9-D7F6A44898B4}"/>
    <cellStyle name="Normal 3 2 2 2 2 2 2 2 2 2 2 2 2 2 2 2 2 2 2 2 2 2 2 2 2 2 25" xfId="25947" xr:uid="{7920E555-0933-49C8-83B5-C96E56B7BBB6}"/>
    <cellStyle name="Normal 3 2 2 2 2 2 2 2 2 2 2 2 2 2 2 2 2 2 2 2 2 2 2 2 2 2 26" xfId="25948" xr:uid="{125269E9-BA61-43D5-B713-9725B41190D2}"/>
    <cellStyle name="Normal 3 2 2 2 2 2 2 2 2 2 2 2 2 2 2 2 2 2 2 2 2 2 2 2 2 2 27" xfId="25949" xr:uid="{A9BFD29C-B7EE-46CD-A335-E3F3ABE960E9}"/>
    <cellStyle name="Normal 3 2 2 2 2 2 2 2 2 2 2 2 2 2 2 2 2 2 2 2 2 2 2 2 2 2 28" xfId="25950" xr:uid="{7F8F2DD2-36BC-47E4-836E-A243FAB736AA}"/>
    <cellStyle name="Normal 3 2 2 2 2 2 2 2 2 2 2 2 2 2 2 2 2 2 2 2 2 2 2 2 2 2 28 2" xfId="25951" xr:uid="{E80C7E0A-9918-4EC9-9E1B-BCF8B2C78306}"/>
    <cellStyle name="Normal 3 2 2 2 2 2 2 2 2 2 2 2 2 2 2 2 2 2 2 2 2 2 2 2 2 2 28 3" xfId="25952" xr:uid="{497070BF-17A7-4A7C-A6AE-8D6E90CD021D}"/>
    <cellStyle name="Normal 3 2 2 2 2 2 2 2 2 2 2 2 2 2 2 2 2 2 2 2 2 2 2 2 2 2 28 4" xfId="25953" xr:uid="{14B7AD0B-B8A0-45E5-8926-4EBD68B5642E}"/>
    <cellStyle name="Normal 3 2 2 2 2 2 2 2 2 2 2 2 2 2 2 2 2 2 2 2 2 2 2 2 2 2 29" xfId="25954" xr:uid="{D1BB4209-AA22-4259-A486-AABE39DB1B15}"/>
    <cellStyle name="Normal 3 2 2 2 2 2 2 2 2 2 2 2 2 2 2 2 2 2 2 2 2 2 2 2 2 2 3" xfId="25955" xr:uid="{A1BB7913-8B81-45F5-8F24-33A9DE83E747}"/>
    <cellStyle name="Normal 3 2 2 2 2 2 2 2 2 2 2 2 2 2 2 2 2 2 2 2 2 2 2 2 2 2 30" xfId="25956" xr:uid="{EAA76148-266C-4F4D-9897-81D1BE9C1AAA}"/>
    <cellStyle name="Normal 3 2 2 2 2 2 2 2 2 2 2 2 2 2 2 2 2 2 2 2 2 2 2 2 2 2 4" xfId="25957" xr:uid="{7D3708A0-103B-46B6-B301-A5C5BC709C26}"/>
    <cellStyle name="Normal 3 2 2 2 2 2 2 2 2 2 2 2 2 2 2 2 2 2 2 2 2 2 2 2 2 2 5" xfId="25958" xr:uid="{3F98C6E8-C648-4BAC-97E2-6B20D15E4B98}"/>
    <cellStyle name="Normal 3 2 2 2 2 2 2 2 2 2 2 2 2 2 2 2 2 2 2 2 2 2 2 2 2 2 6" xfId="25959" xr:uid="{673AC1D3-F55D-40B5-BD64-1E87947616B7}"/>
    <cellStyle name="Normal 3 2 2 2 2 2 2 2 2 2 2 2 2 2 2 2 2 2 2 2 2 2 2 2 2 2 7" xfId="25960" xr:uid="{42C87F2A-A4F2-4BDB-8B12-968ACE15860B}"/>
    <cellStyle name="Normal 3 2 2 2 2 2 2 2 2 2 2 2 2 2 2 2 2 2 2 2 2 2 2 2 2 2 8" xfId="25961" xr:uid="{9724F7D3-E32D-4E4E-903B-7E472827480B}"/>
    <cellStyle name="Normal 3 2 2 2 2 2 2 2 2 2 2 2 2 2 2 2 2 2 2 2 2 2 2 2 2 2 9" xfId="25962" xr:uid="{5A541C50-33FE-4FFD-99A5-00346FF0D882}"/>
    <cellStyle name="Normal 3 2 2 2 2 2 2 2 2 2 2 2 2 2 2 2 2 2 2 2 2 2 2 2 2 20" xfId="25963" xr:uid="{8F633A52-3984-49C1-A662-83CB5B32C4AB}"/>
    <cellStyle name="Normal 3 2 2 2 2 2 2 2 2 2 2 2 2 2 2 2 2 2 2 2 2 2 2 2 2 21" xfId="25964" xr:uid="{5408D68B-6539-4AFE-94FB-6E421B7DF505}"/>
    <cellStyle name="Normal 3 2 2 2 2 2 2 2 2 2 2 2 2 2 2 2 2 2 2 2 2 2 2 2 2 22" xfId="25965" xr:uid="{44FC27A6-B5DE-4969-85BB-0BDBE3B1D5E1}"/>
    <cellStyle name="Normal 3 2 2 2 2 2 2 2 2 2 2 2 2 2 2 2 2 2 2 2 2 2 2 2 2 23" xfId="25966" xr:uid="{1536150C-0454-49AC-A819-BDB18FAA6E86}"/>
    <cellStyle name="Normal 3 2 2 2 2 2 2 2 2 2 2 2 2 2 2 2 2 2 2 2 2 2 2 2 2 24" xfId="25967" xr:uid="{52A8A28D-A19C-4A2E-AADD-C723FAD9DFC0}"/>
    <cellStyle name="Normal 3 2 2 2 2 2 2 2 2 2 2 2 2 2 2 2 2 2 2 2 2 2 2 2 2 25" xfId="25968" xr:uid="{7E371E7D-F1D9-4514-90DE-4E5C2A7C05F1}"/>
    <cellStyle name="Normal 3 2 2 2 2 2 2 2 2 2 2 2 2 2 2 2 2 2 2 2 2 2 2 2 2 26" xfId="25969" xr:uid="{8FE4FB1E-0D4A-4EA5-9664-A58602772A7A}"/>
    <cellStyle name="Normal 3 2 2 2 2 2 2 2 2 2 2 2 2 2 2 2 2 2 2 2 2 2 2 2 2 27" xfId="25970" xr:uid="{275A5BD1-5658-4911-9922-E6E21DD03C30}"/>
    <cellStyle name="Normal 3 2 2 2 2 2 2 2 2 2 2 2 2 2 2 2 2 2 2 2 2 2 2 2 2 28" xfId="25971" xr:uid="{9559BA03-808D-4FF7-A927-E4B95CB2A31E}"/>
    <cellStyle name="Normal 3 2 2 2 2 2 2 2 2 2 2 2 2 2 2 2 2 2 2 2 2 2 2 2 2 28 2" xfId="25972" xr:uid="{13D10442-3710-4C42-8583-9F1E26A0831F}"/>
    <cellStyle name="Normal 3 2 2 2 2 2 2 2 2 2 2 2 2 2 2 2 2 2 2 2 2 2 2 2 2 28 3" xfId="25973" xr:uid="{9EE26819-DF4E-44F8-B521-14914C2BEC9D}"/>
    <cellStyle name="Normal 3 2 2 2 2 2 2 2 2 2 2 2 2 2 2 2 2 2 2 2 2 2 2 2 2 28 4" xfId="25974" xr:uid="{F6CE60D8-599A-4553-921C-B7D8C8898B5B}"/>
    <cellStyle name="Normal 3 2 2 2 2 2 2 2 2 2 2 2 2 2 2 2 2 2 2 2 2 2 2 2 2 29" xfId="25975" xr:uid="{02CD6627-A88F-4940-9111-83BF82899F41}"/>
    <cellStyle name="Normal 3 2 2 2 2 2 2 2 2 2 2 2 2 2 2 2 2 2 2 2 2 2 2 2 2 3" xfId="25976" xr:uid="{0C6C6414-31B1-46A7-BCED-FD03163C65AA}"/>
    <cellStyle name="Normal 3 2 2 2 2 2 2 2 2 2 2 2 2 2 2 2 2 2 2 2 2 2 2 2 2 30" xfId="25977" xr:uid="{0B156C46-B3EF-4E11-ACD1-A5E22E1413E0}"/>
    <cellStyle name="Normal 3 2 2 2 2 2 2 2 2 2 2 2 2 2 2 2 2 2 2 2 2 2 2 2 2 4" xfId="25978" xr:uid="{23EB636D-8B51-42DA-B2BA-52C7A5A37BF9}"/>
    <cellStyle name="Normal 3 2 2 2 2 2 2 2 2 2 2 2 2 2 2 2 2 2 2 2 2 2 2 2 2 5" xfId="25979" xr:uid="{946657AB-96B4-41A3-A38D-12593A7986DA}"/>
    <cellStyle name="Normal 3 2 2 2 2 2 2 2 2 2 2 2 2 2 2 2 2 2 2 2 2 2 2 2 2 6" xfId="25980" xr:uid="{CC876A01-48EF-432A-B1A3-03BB250F5E98}"/>
    <cellStyle name="Normal 3 2 2 2 2 2 2 2 2 2 2 2 2 2 2 2 2 2 2 2 2 2 2 2 2 7" xfId="25981" xr:uid="{31B2AD63-4A9B-44EB-BBCF-3955A7D2DC7D}"/>
    <cellStyle name="Normal 3 2 2 2 2 2 2 2 2 2 2 2 2 2 2 2 2 2 2 2 2 2 2 2 2 8" xfId="25982" xr:uid="{6AC18B21-1597-4A5C-B425-5193C5BE12F4}"/>
    <cellStyle name="Normal 3 2 2 2 2 2 2 2 2 2 2 2 2 2 2 2 2 2 2 2 2 2 2 2 2 9" xfId="25983" xr:uid="{EB8D1704-0BEE-4920-B86E-238957B03C77}"/>
    <cellStyle name="Normal 3 2 2 2 2 2 2 2 2 2 2 2 2 2 2 2 2 2 2 2 2 2 2 2 20" xfId="25984" xr:uid="{384D7051-29E2-4577-9670-DD9C7368BC99}"/>
    <cellStyle name="Normal 3 2 2 2 2 2 2 2 2 2 2 2 2 2 2 2 2 2 2 2 2 2 2 2 21" xfId="25985" xr:uid="{C2EC309E-C457-4F5D-AB0D-62DDF575164A}"/>
    <cellStyle name="Normal 3 2 2 2 2 2 2 2 2 2 2 2 2 2 2 2 2 2 2 2 2 2 2 2 22" xfId="25986" xr:uid="{77DF9B7C-9DB5-48B0-B0FF-2B0E85013AA0}"/>
    <cellStyle name="Normal 3 2 2 2 2 2 2 2 2 2 2 2 2 2 2 2 2 2 2 2 2 2 2 2 23" xfId="25987" xr:uid="{97D1BDFB-2EEB-47A1-9CA9-476C9194C3A6}"/>
    <cellStyle name="Normal 3 2 2 2 2 2 2 2 2 2 2 2 2 2 2 2 2 2 2 2 2 2 2 2 24" xfId="25988" xr:uid="{CE49A373-1507-42D2-94E3-BE633EDE477D}"/>
    <cellStyle name="Normal 3 2 2 2 2 2 2 2 2 2 2 2 2 2 2 2 2 2 2 2 2 2 2 2 25" xfId="25989" xr:uid="{8F849254-1350-458D-B9C3-05D19D3FFA68}"/>
    <cellStyle name="Normal 3 2 2 2 2 2 2 2 2 2 2 2 2 2 2 2 2 2 2 2 2 2 2 2 26" xfId="25990" xr:uid="{802BC301-1CE0-4972-AAC1-37E758D0E29E}"/>
    <cellStyle name="Normal 3 2 2 2 2 2 2 2 2 2 2 2 2 2 2 2 2 2 2 2 2 2 2 2 27" xfId="25991" xr:uid="{E3DABCBE-F613-4DB5-94F0-19C5CC28C4FF}"/>
    <cellStyle name="Normal 3 2 2 2 2 2 2 2 2 2 2 2 2 2 2 2 2 2 2 2 2 2 2 2 28" xfId="25992" xr:uid="{5BE35DF4-6D87-4B39-867D-8AACA9410F5E}"/>
    <cellStyle name="Normal 3 2 2 2 2 2 2 2 2 2 2 2 2 2 2 2 2 2 2 2 2 2 2 2 29" xfId="25993" xr:uid="{19A0E143-EEC4-4B40-AF1B-64ECFFA95926}"/>
    <cellStyle name="Normal 3 2 2 2 2 2 2 2 2 2 2 2 2 2 2 2 2 2 2 2 2 2 2 2 3" xfId="25994" xr:uid="{FA1235A6-D520-4D0C-A4BD-5E9EB8D2460A}"/>
    <cellStyle name="Normal 3 2 2 2 2 2 2 2 2 2 2 2 2 2 2 2 2 2 2 2 2 2 2 2 30" xfId="25995" xr:uid="{8A2C6649-9AAD-4C4F-AD31-F696A87D2668}"/>
    <cellStyle name="Normal 3 2 2 2 2 2 2 2 2 2 2 2 2 2 2 2 2 2 2 2 2 2 2 2 31" xfId="25996" xr:uid="{1F1FB749-EAF0-4B81-8A2A-F92B5263DB1C}"/>
    <cellStyle name="Normal 3 2 2 2 2 2 2 2 2 2 2 2 2 2 2 2 2 2 2 2 2 2 2 2 32" xfId="25997" xr:uid="{2D9E9824-74D2-49EB-BE8F-6A8457D2A485}"/>
    <cellStyle name="Normal 3 2 2 2 2 2 2 2 2 2 2 2 2 2 2 2 2 2 2 2 2 2 2 2 33" xfId="25998" xr:uid="{7A209832-2D93-4629-8292-DC36EFFF807C}"/>
    <cellStyle name="Normal 3 2 2 2 2 2 2 2 2 2 2 2 2 2 2 2 2 2 2 2 2 2 2 2 34" xfId="25999" xr:uid="{A2D69359-7D22-46B5-A61D-56E987C389BF}"/>
    <cellStyle name="Normal 3 2 2 2 2 2 2 2 2 2 2 2 2 2 2 2 2 2 2 2 2 2 2 2 34 2" xfId="26000" xr:uid="{63307EA5-54B1-44BE-AB94-08070134A559}"/>
    <cellStyle name="Normal 3 2 2 2 2 2 2 2 2 2 2 2 2 2 2 2 2 2 2 2 2 2 2 2 34 3" xfId="26001" xr:uid="{DB8F293E-31D9-4A59-95FD-437E3B72A78A}"/>
    <cellStyle name="Normal 3 2 2 2 2 2 2 2 2 2 2 2 2 2 2 2 2 2 2 2 2 2 2 2 34 4" xfId="26002" xr:uid="{ADAA0917-4399-4535-84DC-E3B87598BA2E}"/>
    <cellStyle name="Normal 3 2 2 2 2 2 2 2 2 2 2 2 2 2 2 2 2 2 2 2 2 2 2 2 35" xfId="26003" xr:uid="{C00C204A-87BB-489A-A148-2A7AF86AA2EE}"/>
    <cellStyle name="Normal 3 2 2 2 2 2 2 2 2 2 2 2 2 2 2 2 2 2 2 2 2 2 2 2 36" xfId="26004" xr:uid="{E743F997-5B13-4FAA-8A85-DDDD33F4CB1F}"/>
    <cellStyle name="Normal 3 2 2 2 2 2 2 2 2 2 2 2 2 2 2 2 2 2 2 2 2 2 2 2 4" xfId="26005" xr:uid="{990EC3DE-AF7E-45BD-999B-B3AB770DBF99}"/>
    <cellStyle name="Normal 3 2 2 2 2 2 2 2 2 2 2 2 2 2 2 2 2 2 2 2 2 2 2 2 5" xfId="26006" xr:uid="{6B667C7B-E263-4EA4-B3E4-99575F9A353D}"/>
    <cellStyle name="Normal 3 2 2 2 2 2 2 2 2 2 2 2 2 2 2 2 2 2 2 2 2 2 2 2 6" xfId="26007" xr:uid="{8558113B-F63E-416E-BFFB-4888A8D8D6F1}"/>
    <cellStyle name="Normal 3 2 2 2 2 2 2 2 2 2 2 2 2 2 2 2 2 2 2 2 2 2 2 2 7" xfId="26008" xr:uid="{5097EBEB-21B0-4237-BC94-A6F2A739D1FD}"/>
    <cellStyle name="Normal 3 2 2 2 2 2 2 2 2 2 2 2 2 2 2 2 2 2 2 2 2 2 2 2 8" xfId="26009" xr:uid="{D7F8D4E0-2859-4098-9C48-ECA8CE5A1B68}"/>
    <cellStyle name="Normal 3 2 2 2 2 2 2 2 2 2 2 2 2 2 2 2 2 2 2 2 2 2 2 2 9" xfId="26010" xr:uid="{6C74DD7B-3E58-44C8-9C90-4590CE6813B8}"/>
    <cellStyle name="Normal 3 2 2 2 2 2 2 2 2 2 2 2 2 2 2 2 2 2 2 2 2 2 2 20" xfId="26011" xr:uid="{67FBA7F6-1D58-418A-A950-AEBCEA20F349}"/>
    <cellStyle name="Normal 3 2 2 2 2 2 2 2 2 2 2 2 2 2 2 2 2 2 2 2 2 2 2 21" xfId="26012" xr:uid="{0108B832-2358-47D0-9743-2C214EA0069D}"/>
    <cellStyle name="Normal 3 2 2 2 2 2 2 2 2 2 2 2 2 2 2 2 2 2 2 2 2 2 2 22" xfId="26013" xr:uid="{09091C4A-24E5-4F9F-839D-89BA1BD52D7A}"/>
    <cellStyle name="Normal 3 2 2 2 2 2 2 2 2 2 2 2 2 2 2 2 2 2 2 2 2 2 2 23" xfId="26014" xr:uid="{D53F319F-5329-46AF-8CB0-68B97D2B5F17}"/>
    <cellStyle name="Normal 3 2 2 2 2 2 2 2 2 2 2 2 2 2 2 2 2 2 2 2 2 2 2 24" xfId="26015" xr:uid="{231BBD30-6563-4446-A638-E80857EB157A}"/>
    <cellStyle name="Normal 3 2 2 2 2 2 2 2 2 2 2 2 2 2 2 2 2 2 2 2 2 2 2 25" xfId="26016" xr:uid="{3AB24DE8-2641-4AA9-BA8E-9373A0865137}"/>
    <cellStyle name="Normal 3 2 2 2 2 2 2 2 2 2 2 2 2 2 2 2 2 2 2 2 2 2 2 26" xfId="26017" xr:uid="{5C207C23-7D26-4455-BD0B-2A257922E829}"/>
    <cellStyle name="Normal 3 2 2 2 2 2 2 2 2 2 2 2 2 2 2 2 2 2 2 2 2 2 2 27" xfId="26018" xr:uid="{AA0D874F-E96B-4B29-88DA-8568AF247C61}"/>
    <cellStyle name="Normal 3 2 2 2 2 2 2 2 2 2 2 2 2 2 2 2 2 2 2 2 2 2 2 28" xfId="26019" xr:uid="{965601CD-6183-4906-A54E-44119AF9F8B0}"/>
    <cellStyle name="Normal 3 2 2 2 2 2 2 2 2 2 2 2 2 2 2 2 2 2 2 2 2 2 2 29" xfId="26020" xr:uid="{8245BB63-BCD0-440F-BD0D-94CE1B7D0A13}"/>
    <cellStyle name="Normal 3 2 2 2 2 2 2 2 2 2 2 2 2 2 2 2 2 2 2 2 2 2 2 3" xfId="26021" xr:uid="{3CC33472-18A8-43C9-8996-F33BFDDBF4E4}"/>
    <cellStyle name="Normal 3 2 2 2 2 2 2 2 2 2 2 2 2 2 2 2 2 2 2 2 2 2 2 30" xfId="26022" xr:uid="{E9045E06-5D7E-450F-9C1D-BEF3445F3B3F}"/>
    <cellStyle name="Normal 3 2 2 2 2 2 2 2 2 2 2 2 2 2 2 2 2 2 2 2 2 2 2 31" xfId="26023" xr:uid="{2EF330A4-C912-4BA8-914E-71D19F044218}"/>
    <cellStyle name="Normal 3 2 2 2 2 2 2 2 2 2 2 2 2 2 2 2 2 2 2 2 2 2 2 32" xfId="26024" xr:uid="{2923ECF0-DBB7-4278-A26D-62408B7DD646}"/>
    <cellStyle name="Normal 3 2 2 2 2 2 2 2 2 2 2 2 2 2 2 2 2 2 2 2 2 2 2 33" xfId="26025" xr:uid="{6026CF33-0908-4CCE-939D-E729F16CA75C}"/>
    <cellStyle name="Normal 3 2 2 2 2 2 2 2 2 2 2 2 2 2 2 2 2 2 2 2 2 2 2 34" xfId="26026" xr:uid="{00F350B3-21A5-49A1-8D87-03B46388CF6A}"/>
    <cellStyle name="Normal 3 2 2 2 2 2 2 2 2 2 2 2 2 2 2 2 2 2 2 2 2 2 2 35" xfId="26027" xr:uid="{6D9B9213-3617-4845-A13F-C058650554A2}"/>
    <cellStyle name="Normal 3 2 2 2 2 2 2 2 2 2 2 2 2 2 2 2 2 2 2 2 2 2 2 35 2" xfId="26028" xr:uid="{713FF9AC-AAA3-4586-BFBC-E561F2573883}"/>
    <cellStyle name="Normal 3 2 2 2 2 2 2 2 2 2 2 2 2 2 2 2 2 2 2 2 2 2 2 35 3" xfId="26029" xr:uid="{FF82634A-FDCE-417E-ADE2-03D47D9B1E0A}"/>
    <cellStyle name="Normal 3 2 2 2 2 2 2 2 2 2 2 2 2 2 2 2 2 2 2 2 2 2 2 35 4" xfId="26030" xr:uid="{573FEE66-8057-4CF6-90D9-070FFB3D4C3E}"/>
    <cellStyle name="Normal 3 2 2 2 2 2 2 2 2 2 2 2 2 2 2 2 2 2 2 2 2 2 2 36" xfId="26031" xr:uid="{5BB73584-5DEF-43EF-99CB-94792240FAD2}"/>
    <cellStyle name="Normal 3 2 2 2 2 2 2 2 2 2 2 2 2 2 2 2 2 2 2 2 2 2 2 37" xfId="26032" xr:uid="{AD933499-AEB6-4A7A-8640-A04C94CDB104}"/>
    <cellStyle name="Normal 3 2 2 2 2 2 2 2 2 2 2 2 2 2 2 2 2 2 2 2 2 2 2 4" xfId="26033" xr:uid="{39D1D22C-B75E-4757-A7E6-66A21A058747}"/>
    <cellStyle name="Normal 3 2 2 2 2 2 2 2 2 2 2 2 2 2 2 2 2 2 2 2 2 2 2 5" xfId="26034" xr:uid="{7B12AB44-11A6-4E50-8E75-2AE99A4D861F}"/>
    <cellStyle name="Normal 3 2 2 2 2 2 2 2 2 2 2 2 2 2 2 2 2 2 2 2 2 2 2 6" xfId="26035" xr:uid="{AEA18D26-EF1A-4A72-93FE-AAFAD45F7AB8}"/>
    <cellStyle name="Normal 3 2 2 2 2 2 2 2 2 2 2 2 2 2 2 2 2 2 2 2 2 2 2 7" xfId="26036" xr:uid="{9AF36263-F28D-4718-8D34-5046C38FD76C}"/>
    <cellStyle name="Normal 3 2 2 2 2 2 2 2 2 2 2 2 2 2 2 2 2 2 2 2 2 2 2 8" xfId="26037" xr:uid="{16483CD2-637D-4B98-93B7-7C21070EDAB9}"/>
    <cellStyle name="Normal 3 2 2 2 2 2 2 2 2 2 2 2 2 2 2 2 2 2 2 2 2 2 2 9" xfId="26038" xr:uid="{4CF652B8-0D4D-42B1-AA69-0B4BD63EC4A3}"/>
    <cellStyle name="Normal 3 2 2 2 2 2 2 2 2 2 2 2 2 2 2 2 2 2 2 2 2 2 20" xfId="26039" xr:uid="{1AD61550-CFBA-4104-93C6-4281A06E7A8E}"/>
    <cellStyle name="Normal 3 2 2 2 2 2 2 2 2 2 2 2 2 2 2 2 2 2 2 2 2 2 21" xfId="26040" xr:uid="{BCE3A9C0-4C6B-4ED8-B4C5-E7055B5A23B8}"/>
    <cellStyle name="Normal 3 2 2 2 2 2 2 2 2 2 2 2 2 2 2 2 2 2 2 2 2 2 22" xfId="26041" xr:uid="{3F857F0E-1109-4792-B761-FF4728B818FF}"/>
    <cellStyle name="Normal 3 2 2 2 2 2 2 2 2 2 2 2 2 2 2 2 2 2 2 2 2 2 23" xfId="26042" xr:uid="{0A9AE861-625F-4124-B73C-5E57287BE99B}"/>
    <cellStyle name="Normal 3 2 2 2 2 2 2 2 2 2 2 2 2 2 2 2 2 2 2 2 2 2 24" xfId="26043" xr:uid="{AA360867-EB65-4541-893A-6E85A7028C4F}"/>
    <cellStyle name="Normal 3 2 2 2 2 2 2 2 2 2 2 2 2 2 2 2 2 2 2 2 2 2 25" xfId="26044" xr:uid="{3583697E-B063-4C4D-8CC8-C157EDD6C02C}"/>
    <cellStyle name="Normal 3 2 2 2 2 2 2 2 2 2 2 2 2 2 2 2 2 2 2 2 2 2 26" xfId="26045" xr:uid="{A10AF31C-1587-4D26-A43C-0BD64E722CB0}"/>
    <cellStyle name="Normal 3 2 2 2 2 2 2 2 2 2 2 2 2 2 2 2 2 2 2 2 2 2 27" xfId="26046" xr:uid="{DEFA2F3C-3D43-4956-9AF8-9E3DA2A47276}"/>
    <cellStyle name="Normal 3 2 2 2 2 2 2 2 2 2 2 2 2 2 2 2 2 2 2 2 2 2 28" xfId="26047" xr:uid="{B45D34B2-7380-4248-865E-5C1352124CD0}"/>
    <cellStyle name="Normal 3 2 2 2 2 2 2 2 2 2 2 2 2 2 2 2 2 2 2 2 2 2 29" xfId="26048" xr:uid="{28B1609D-FEA4-4A62-B94B-AFBC29FA7954}"/>
    <cellStyle name="Normal 3 2 2 2 2 2 2 2 2 2 2 2 2 2 2 2 2 2 2 2 2 2 3" xfId="26049" xr:uid="{DD78032C-4C67-4983-A629-4DFA62DB0DBD}"/>
    <cellStyle name="Normal 3 2 2 2 2 2 2 2 2 2 2 2 2 2 2 2 2 2 2 2 2 2 30" xfId="26050" xr:uid="{AC493D09-BFDE-4240-BEA5-49C61514CA05}"/>
    <cellStyle name="Normal 3 2 2 2 2 2 2 2 2 2 2 2 2 2 2 2 2 2 2 2 2 2 31" xfId="26051" xr:uid="{560732CC-4908-4FA8-BA70-75DD235AEA25}"/>
    <cellStyle name="Normal 3 2 2 2 2 2 2 2 2 2 2 2 2 2 2 2 2 2 2 2 2 2 32" xfId="26052" xr:uid="{8ACFC29B-1035-4CE3-BDAE-96CD14B5E396}"/>
    <cellStyle name="Normal 3 2 2 2 2 2 2 2 2 2 2 2 2 2 2 2 2 2 2 2 2 2 33" xfId="26053" xr:uid="{048A3DF6-931A-4116-BA7A-0B2CA5C21D1C}"/>
    <cellStyle name="Normal 3 2 2 2 2 2 2 2 2 2 2 2 2 2 2 2 2 2 2 2 2 2 34" xfId="26054" xr:uid="{7C6D883A-5A29-4952-8854-B6E0218F7773}"/>
    <cellStyle name="Normal 3 2 2 2 2 2 2 2 2 2 2 2 2 2 2 2 2 2 2 2 2 2 35" xfId="26055" xr:uid="{4A4B90F3-91EA-445B-8E6D-0BEAE16AC164}"/>
    <cellStyle name="Normal 3 2 2 2 2 2 2 2 2 2 2 2 2 2 2 2 2 2 2 2 2 2 36" xfId="26056" xr:uid="{7A08DE00-E7DB-4A59-B1DA-4361B7986CE3}"/>
    <cellStyle name="Normal 3 2 2 2 2 2 2 2 2 2 2 2 2 2 2 2 2 2 2 2 2 2 37" xfId="26057" xr:uid="{8F386E56-1C2C-4A64-8BFB-8B497F1BCA28}"/>
    <cellStyle name="Normal 3 2 2 2 2 2 2 2 2 2 2 2 2 2 2 2 2 2 2 2 2 2 38" xfId="26058" xr:uid="{8D1C532F-8D23-426A-8906-5F31AAA48E58}"/>
    <cellStyle name="Normal 3 2 2 2 2 2 2 2 2 2 2 2 2 2 2 2 2 2 2 2 2 2 39" xfId="26059" xr:uid="{BD7B4E0F-7177-47DF-93BC-EDDCFA3D3CF4}"/>
    <cellStyle name="Normal 3 2 2 2 2 2 2 2 2 2 2 2 2 2 2 2 2 2 2 2 2 2 4" xfId="26060" xr:uid="{8ABB3D56-650A-4445-B691-410B541566C8}"/>
    <cellStyle name="Normal 3 2 2 2 2 2 2 2 2 2 2 2 2 2 2 2 2 2 2 2 2 2 40" xfId="26061" xr:uid="{F63FB081-CFCD-495B-AE0D-B1CA04206E69}"/>
    <cellStyle name="Normal 3 2 2 2 2 2 2 2 2 2 2 2 2 2 2 2 2 2 2 2 2 2 41" xfId="26062" xr:uid="{4BF40271-0495-4727-9EC5-BDC09838B8AF}"/>
    <cellStyle name="Normal 3 2 2 2 2 2 2 2 2 2 2 2 2 2 2 2 2 2 2 2 2 2 42" xfId="26063" xr:uid="{F21DBB96-679E-474E-B143-4CD4B803EB1A}"/>
    <cellStyle name="Normal 3 2 2 2 2 2 2 2 2 2 2 2 2 2 2 2 2 2 2 2 2 2 43" xfId="26064" xr:uid="{DBA1E773-63FB-43BD-9A24-F1A26F48934F}"/>
    <cellStyle name="Normal 3 2 2 2 2 2 2 2 2 2 2 2 2 2 2 2 2 2 2 2 2 2 44" xfId="26065" xr:uid="{6CB72A35-AA7F-484A-A8DE-CBD1E00DED99}"/>
    <cellStyle name="Normal 3 2 2 2 2 2 2 2 2 2 2 2 2 2 2 2 2 2 2 2 2 2 45" xfId="26066" xr:uid="{5DCF4057-069C-4751-9D92-C1A750C56EA0}"/>
    <cellStyle name="Normal 3 2 2 2 2 2 2 2 2 2 2 2 2 2 2 2 2 2 2 2 2 2 45 2" xfId="26067" xr:uid="{713F49F8-AF1F-4CBE-B6A6-1CF54B6089F5}"/>
    <cellStyle name="Normal 3 2 2 2 2 2 2 2 2 2 2 2 2 2 2 2 2 2 2 2 2 2 45 3" xfId="26068" xr:uid="{4BC7AF9B-7B26-4714-A603-A7C01FAC7A31}"/>
    <cellStyle name="Normal 3 2 2 2 2 2 2 2 2 2 2 2 2 2 2 2 2 2 2 2 2 2 45 4" xfId="26069" xr:uid="{FCDA6D47-66C9-4083-B4CF-58A86337312D}"/>
    <cellStyle name="Normal 3 2 2 2 2 2 2 2 2 2 2 2 2 2 2 2 2 2 2 2 2 2 46" xfId="26070" xr:uid="{0916B515-AF73-423A-B49E-D3A18B81DB3E}"/>
    <cellStyle name="Normal 3 2 2 2 2 2 2 2 2 2 2 2 2 2 2 2 2 2 2 2 2 2 47" xfId="26071" xr:uid="{A9EA4BF3-B0DC-431E-B3D4-458340063403}"/>
    <cellStyle name="Normal 3 2 2 2 2 2 2 2 2 2 2 2 2 2 2 2 2 2 2 2 2 2 5" xfId="26072" xr:uid="{BBE83351-E2EB-4FDD-B685-F54027B5EF9F}"/>
    <cellStyle name="Normal 3 2 2 2 2 2 2 2 2 2 2 2 2 2 2 2 2 2 2 2 2 2 6" xfId="26073" xr:uid="{8CA92A13-4AD0-4761-A931-F563000F0D4A}"/>
    <cellStyle name="Normal 3 2 2 2 2 2 2 2 2 2 2 2 2 2 2 2 2 2 2 2 2 2 7" xfId="26074" xr:uid="{853AE8D1-E6C4-4596-B911-8D0A0F277A66}"/>
    <cellStyle name="Normal 3 2 2 2 2 2 2 2 2 2 2 2 2 2 2 2 2 2 2 2 2 2 8" xfId="26075" xr:uid="{7A597E73-CC37-4F88-BC38-90B8AB46AE82}"/>
    <cellStyle name="Normal 3 2 2 2 2 2 2 2 2 2 2 2 2 2 2 2 2 2 2 2 2 2 9" xfId="26076" xr:uid="{6C59FA67-A76D-4240-905B-B5102DDE2EF5}"/>
    <cellStyle name="Normal 3 2 2 2 2 2 2 2 2 2 2 2 2 2 2 2 2 2 2 2 2 20" xfId="26077" xr:uid="{27BB6D37-2CE8-4BE7-98C2-FD345663E7DC}"/>
    <cellStyle name="Normal 3 2 2 2 2 2 2 2 2 2 2 2 2 2 2 2 2 2 2 2 2 21" xfId="26078" xr:uid="{EE7BDD18-AB62-46AB-A415-41001D9D68A6}"/>
    <cellStyle name="Normal 3 2 2 2 2 2 2 2 2 2 2 2 2 2 2 2 2 2 2 2 2 22" xfId="26079" xr:uid="{8E5D227A-9973-4D2F-B632-C790EF6AF95C}"/>
    <cellStyle name="Normal 3 2 2 2 2 2 2 2 2 2 2 2 2 2 2 2 2 2 2 2 2 23" xfId="26080" xr:uid="{528704A8-E8AB-495B-AF3B-77BD91103FA9}"/>
    <cellStyle name="Normal 3 2 2 2 2 2 2 2 2 2 2 2 2 2 2 2 2 2 2 2 2 24" xfId="26081" xr:uid="{7230CBD0-3D1D-46BD-B854-60A6099A620D}"/>
    <cellStyle name="Normal 3 2 2 2 2 2 2 2 2 2 2 2 2 2 2 2 2 2 2 2 2 25" xfId="26082" xr:uid="{9148C1BF-ED2F-4890-9817-C631BB2531A9}"/>
    <cellStyle name="Normal 3 2 2 2 2 2 2 2 2 2 2 2 2 2 2 2 2 2 2 2 2 26" xfId="26083" xr:uid="{115DEF4A-0C80-41B2-B3FA-4E5755E067A1}"/>
    <cellStyle name="Normal 3 2 2 2 2 2 2 2 2 2 2 2 2 2 2 2 2 2 2 2 2 27" xfId="26084" xr:uid="{979E861B-1711-478C-AF53-F54392D6C2E1}"/>
    <cellStyle name="Normal 3 2 2 2 2 2 2 2 2 2 2 2 2 2 2 2 2 2 2 2 2 28" xfId="26085" xr:uid="{60FEAE80-695C-4AD9-80B9-A6B4980939E9}"/>
    <cellStyle name="Normal 3 2 2 2 2 2 2 2 2 2 2 2 2 2 2 2 2 2 2 2 2 29" xfId="26086" xr:uid="{FE7DB2A1-8889-4170-9156-CE90D7EA20D1}"/>
    <cellStyle name="Normal 3 2 2 2 2 2 2 2 2 2 2 2 2 2 2 2 2 2 2 2 2 3" xfId="26087" xr:uid="{744694C8-30E4-4D3A-96AC-DFBA6979D2E3}"/>
    <cellStyle name="Normal 3 2 2 2 2 2 2 2 2 2 2 2 2 2 2 2 2 2 2 2 2 30" xfId="26088" xr:uid="{BA579AAC-DEF6-4D08-B01D-F522C0E175F0}"/>
    <cellStyle name="Normal 3 2 2 2 2 2 2 2 2 2 2 2 2 2 2 2 2 2 2 2 2 31" xfId="26089" xr:uid="{A91E00E9-164E-4D5D-AC11-D97463AE7621}"/>
    <cellStyle name="Normal 3 2 2 2 2 2 2 2 2 2 2 2 2 2 2 2 2 2 2 2 2 32" xfId="26090" xr:uid="{8CFC455F-A2A9-45D7-8056-53D5E4FB3C0D}"/>
    <cellStyle name="Normal 3 2 2 2 2 2 2 2 2 2 2 2 2 2 2 2 2 2 2 2 2 33" xfId="26091" xr:uid="{A3A4F43A-8BB7-4E4F-8925-88F4DF16A429}"/>
    <cellStyle name="Normal 3 2 2 2 2 2 2 2 2 2 2 2 2 2 2 2 2 2 2 2 2 34" xfId="26092" xr:uid="{B8BFAFA3-4DEA-4CF1-BF57-8D8FEB338486}"/>
    <cellStyle name="Normal 3 2 2 2 2 2 2 2 2 2 2 2 2 2 2 2 2 2 2 2 2 35" xfId="26093" xr:uid="{67438B53-D7F2-46E9-BF7E-28421FC8B4F7}"/>
    <cellStyle name="Normal 3 2 2 2 2 2 2 2 2 2 2 2 2 2 2 2 2 2 2 2 2 36" xfId="26094" xr:uid="{E4A7171D-0B57-4091-8CD5-E1D9B3930C1E}"/>
    <cellStyle name="Normal 3 2 2 2 2 2 2 2 2 2 2 2 2 2 2 2 2 2 2 2 2 37" xfId="26095" xr:uid="{AE5DC7EF-DC83-46AC-A89D-725940DF32AF}"/>
    <cellStyle name="Normal 3 2 2 2 2 2 2 2 2 2 2 2 2 2 2 2 2 2 2 2 2 38" xfId="26096" xr:uid="{C09581F2-5CF9-4870-98A6-DA66D514C23B}"/>
    <cellStyle name="Normal 3 2 2 2 2 2 2 2 2 2 2 2 2 2 2 2 2 2 2 2 2 39" xfId="26097" xr:uid="{066197F0-38F4-447D-B021-15895E91D123}"/>
    <cellStyle name="Normal 3 2 2 2 2 2 2 2 2 2 2 2 2 2 2 2 2 2 2 2 2 4" xfId="26098" xr:uid="{10C477D6-0D88-4128-86D5-388E773D1C11}"/>
    <cellStyle name="Normal 3 2 2 2 2 2 2 2 2 2 2 2 2 2 2 2 2 2 2 2 2 40" xfId="26099" xr:uid="{516F8775-1D6B-4707-926A-8215AE92F857}"/>
    <cellStyle name="Normal 3 2 2 2 2 2 2 2 2 2 2 2 2 2 2 2 2 2 2 2 2 41" xfId="26100" xr:uid="{18B38EBC-D38B-482A-9693-4AD8B7FB4B42}"/>
    <cellStyle name="Normal 3 2 2 2 2 2 2 2 2 2 2 2 2 2 2 2 2 2 2 2 2 42" xfId="26101" xr:uid="{96BAB3C1-3843-41D2-857F-A1D027D1EF61}"/>
    <cellStyle name="Normal 3 2 2 2 2 2 2 2 2 2 2 2 2 2 2 2 2 2 2 2 2 43" xfId="26102" xr:uid="{4745B5B5-3450-4949-90E2-D34C51C67B67}"/>
    <cellStyle name="Normal 3 2 2 2 2 2 2 2 2 2 2 2 2 2 2 2 2 2 2 2 2 44" xfId="26103" xr:uid="{07529A7D-1D31-4DB7-B9C2-C74CEE46ECDB}"/>
    <cellStyle name="Normal 3 2 2 2 2 2 2 2 2 2 2 2 2 2 2 2 2 2 2 2 2 45" xfId="26104" xr:uid="{864D075E-6B61-453E-B0FC-E5380122E000}"/>
    <cellStyle name="Normal 3 2 2 2 2 2 2 2 2 2 2 2 2 2 2 2 2 2 2 2 2 45 2" xfId="26105" xr:uid="{4EAC040F-6179-4E40-8A0F-EA93D594C1E2}"/>
    <cellStyle name="Normal 3 2 2 2 2 2 2 2 2 2 2 2 2 2 2 2 2 2 2 2 2 45 3" xfId="26106" xr:uid="{B46CA79D-8935-464B-87E4-863FE2D82724}"/>
    <cellStyle name="Normal 3 2 2 2 2 2 2 2 2 2 2 2 2 2 2 2 2 2 2 2 2 45 4" xfId="26107" xr:uid="{F65180CB-E44E-45E4-A375-5FE5EFCCD658}"/>
    <cellStyle name="Normal 3 2 2 2 2 2 2 2 2 2 2 2 2 2 2 2 2 2 2 2 2 46" xfId="26108" xr:uid="{5AFC41C7-497C-44A9-A410-58116DABA717}"/>
    <cellStyle name="Normal 3 2 2 2 2 2 2 2 2 2 2 2 2 2 2 2 2 2 2 2 2 47" xfId="26109" xr:uid="{080AB5F1-3B1A-4FF0-B4DC-0F7A83706719}"/>
    <cellStyle name="Normal 3 2 2 2 2 2 2 2 2 2 2 2 2 2 2 2 2 2 2 2 2 5" xfId="26110" xr:uid="{630ACA5A-ACF1-4884-82BA-935FFC543CB9}"/>
    <cellStyle name="Normal 3 2 2 2 2 2 2 2 2 2 2 2 2 2 2 2 2 2 2 2 2 6" xfId="26111" xr:uid="{6A6A10D4-25B1-4735-B366-AA7BFEB16292}"/>
    <cellStyle name="Normal 3 2 2 2 2 2 2 2 2 2 2 2 2 2 2 2 2 2 2 2 2 7" xfId="26112" xr:uid="{D5B0475C-1CD8-4ADB-A300-6F2BBECE101C}"/>
    <cellStyle name="Normal 3 2 2 2 2 2 2 2 2 2 2 2 2 2 2 2 2 2 2 2 2 8" xfId="26113" xr:uid="{5DCE5C00-05D9-4B57-8033-7DD6A948BEF8}"/>
    <cellStyle name="Normal 3 2 2 2 2 2 2 2 2 2 2 2 2 2 2 2 2 2 2 2 2 9" xfId="26114" xr:uid="{4F9E7528-C2D3-464F-BC41-5ACD145BECEA}"/>
    <cellStyle name="Normal 3 2 2 2 2 2 2 2 2 2 2 2 2 2 2 2 2 2 2 2 20" xfId="26115" xr:uid="{03F22801-3467-4071-94CD-049C527B87E4}"/>
    <cellStyle name="Normal 3 2 2 2 2 2 2 2 2 2 2 2 2 2 2 2 2 2 2 2 21" xfId="26116" xr:uid="{9B5BAFC0-B342-4B83-A54B-01E39282FE39}"/>
    <cellStyle name="Normal 3 2 2 2 2 2 2 2 2 2 2 2 2 2 2 2 2 2 2 2 22" xfId="26117" xr:uid="{61359BD0-9CB6-4F3C-9DC9-DEA3546400A3}"/>
    <cellStyle name="Normal 3 2 2 2 2 2 2 2 2 2 2 2 2 2 2 2 2 2 2 2 23" xfId="26118" xr:uid="{F1B6E6B0-D323-4FAD-98DC-C0C855F41DE9}"/>
    <cellStyle name="Normal 3 2 2 2 2 2 2 2 2 2 2 2 2 2 2 2 2 2 2 2 24" xfId="26119" xr:uid="{0B970AC3-5D99-49D5-972F-DDF017DD7F2A}"/>
    <cellStyle name="Normal 3 2 2 2 2 2 2 2 2 2 2 2 2 2 2 2 2 2 2 2 25" xfId="26120" xr:uid="{5FF14AB4-783C-4854-8061-00AF6FB89407}"/>
    <cellStyle name="Normal 3 2 2 2 2 2 2 2 2 2 2 2 2 2 2 2 2 2 2 2 26" xfId="26121" xr:uid="{2D9E7D2B-F740-4631-9F7E-7CE69EA26C20}"/>
    <cellStyle name="Normal 3 2 2 2 2 2 2 2 2 2 2 2 2 2 2 2 2 2 2 2 27" xfId="26122" xr:uid="{04F1EE27-8AD7-4ACC-B241-2887BC3A5603}"/>
    <cellStyle name="Normal 3 2 2 2 2 2 2 2 2 2 2 2 2 2 2 2 2 2 2 2 28" xfId="26123" xr:uid="{3B646CCF-48A6-418B-BF9A-8B5A2569CCC1}"/>
    <cellStyle name="Normal 3 2 2 2 2 2 2 2 2 2 2 2 2 2 2 2 2 2 2 2 29" xfId="26124" xr:uid="{30A61929-9912-4EF7-9E9F-973C62BA654D}"/>
    <cellStyle name="Normal 3 2 2 2 2 2 2 2 2 2 2 2 2 2 2 2 2 2 2 2 3" xfId="26125" xr:uid="{75970970-BE68-4B0A-AE80-CC09FC558BF0}"/>
    <cellStyle name="Normal 3 2 2 2 2 2 2 2 2 2 2 2 2 2 2 2 2 2 2 2 30" xfId="26126" xr:uid="{A3DF5698-971B-41E6-BF96-1A4F2363DB23}"/>
    <cellStyle name="Normal 3 2 2 2 2 2 2 2 2 2 2 2 2 2 2 2 2 2 2 2 31" xfId="26127" xr:uid="{D9851280-4FCC-4754-BAFC-3F6D6DA38435}"/>
    <cellStyle name="Normal 3 2 2 2 2 2 2 2 2 2 2 2 2 2 2 2 2 2 2 2 32" xfId="26128" xr:uid="{63A4939D-9E6E-483D-8153-A1CACEA89820}"/>
    <cellStyle name="Normal 3 2 2 2 2 2 2 2 2 2 2 2 2 2 2 2 2 2 2 2 33" xfId="26129" xr:uid="{DD7196E7-59C9-4B43-98E0-91C6948260FC}"/>
    <cellStyle name="Normal 3 2 2 2 2 2 2 2 2 2 2 2 2 2 2 2 2 2 2 2 34" xfId="26130" xr:uid="{D7EA6F83-88C4-4FEB-96E1-1B5FE870DF4C}"/>
    <cellStyle name="Normal 3 2 2 2 2 2 2 2 2 2 2 2 2 2 2 2 2 2 2 2 35" xfId="26131" xr:uid="{5C8991AD-6283-4A5D-AD5F-93FA989EB967}"/>
    <cellStyle name="Normal 3 2 2 2 2 2 2 2 2 2 2 2 2 2 2 2 2 2 2 2 36" xfId="26132" xr:uid="{BE3CDCBA-A4B2-455F-AFD2-A53343850212}"/>
    <cellStyle name="Normal 3 2 2 2 2 2 2 2 2 2 2 2 2 2 2 2 2 2 2 2 37" xfId="26133" xr:uid="{094F60AE-2C8C-4416-9E89-674CE0AEDBAC}"/>
    <cellStyle name="Normal 3 2 2 2 2 2 2 2 2 2 2 2 2 2 2 2 2 2 2 2 38" xfId="26134" xr:uid="{CE3A4CDF-9CA1-4E7C-8782-AE5808123689}"/>
    <cellStyle name="Normal 3 2 2 2 2 2 2 2 2 2 2 2 2 2 2 2 2 2 2 2 39" xfId="26135" xr:uid="{6C757EDC-729F-401F-86F5-7C50D71261BF}"/>
    <cellStyle name="Normal 3 2 2 2 2 2 2 2 2 2 2 2 2 2 2 2 2 2 2 2 4" xfId="26136" xr:uid="{9F5BDAEE-98D6-4FCF-BC6E-45BC392BC766}"/>
    <cellStyle name="Normal 3 2 2 2 2 2 2 2 2 2 2 2 2 2 2 2 2 2 2 2 40" xfId="26137" xr:uid="{80B7513A-E33A-4941-B968-B33292257643}"/>
    <cellStyle name="Normal 3 2 2 2 2 2 2 2 2 2 2 2 2 2 2 2 2 2 2 2 41" xfId="26138" xr:uid="{6A7C4F2F-DB8E-4544-A69B-B075EBC908D8}"/>
    <cellStyle name="Normal 3 2 2 2 2 2 2 2 2 2 2 2 2 2 2 2 2 2 2 2 42" xfId="26139" xr:uid="{FE5CE908-DAED-4D99-BDE1-2E6A31A3477C}"/>
    <cellStyle name="Normal 3 2 2 2 2 2 2 2 2 2 2 2 2 2 2 2 2 2 2 2 43" xfId="26140" xr:uid="{1054B0FB-9F1B-4453-BC5F-D87EF08BC74D}"/>
    <cellStyle name="Normal 3 2 2 2 2 2 2 2 2 2 2 2 2 2 2 2 2 2 2 2 44" xfId="26141" xr:uid="{865D893E-826C-4F09-8B90-F262A683293E}"/>
    <cellStyle name="Normal 3 2 2 2 2 2 2 2 2 2 2 2 2 2 2 2 2 2 2 2 45" xfId="26142" xr:uid="{8229160F-BCDA-4D96-88C1-D5D1025BAAF5}"/>
    <cellStyle name="Normal 3 2 2 2 2 2 2 2 2 2 2 2 2 2 2 2 2 2 2 2 46" xfId="26143" xr:uid="{A9451BEC-C998-493D-9E11-992B4B1C047B}"/>
    <cellStyle name="Normal 3 2 2 2 2 2 2 2 2 2 2 2 2 2 2 2 2 2 2 2 47" xfId="26144" xr:uid="{6335253C-94BF-41DA-AB8D-DDB94A6B7A30}"/>
    <cellStyle name="Normal 3 2 2 2 2 2 2 2 2 2 2 2 2 2 2 2 2 2 2 2 48" xfId="26145" xr:uid="{CCBC8221-39E7-4A6D-9950-4516F527038B}"/>
    <cellStyle name="Normal 3 2 2 2 2 2 2 2 2 2 2 2 2 2 2 2 2 2 2 2 48 2" xfId="26146" xr:uid="{F579F90D-FA27-4A13-8A21-757805B9B38A}"/>
    <cellStyle name="Normal 3 2 2 2 2 2 2 2 2 2 2 2 2 2 2 2 2 2 2 2 48 3" xfId="26147" xr:uid="{4614CE47-208B-4ADF-A9AC-266209DFAFCE}"/>
    <cellStyle name="Normal 3 2 2 2 2 2 2 2 2 2 2 2 2 2 2 2 2 2 2 2 48 4" xfId="26148" xr:uid="{16E3FF60-1A51-44FD-8EA8-22318C9C06CF}"/>
    <cellStyle name="Normal 3 2 2 2 2 2 2 2 2 2 2 2 2 2 2 2 2 2 2 2 49" xfId="26149" xr:uid="{18D9006C-3DA3-47CF-B329-CD221338551D}"/>
    <cellStyle name="Normal 3 2 2 2 2 2 2 2 2 2 2 2 2 2 2 2 2 2 2 2 5" xfId="26150" xr:uid="{092AE9D9-F859-4B87-A721-3A7978EDDCEF}"/>
    <cellStyle name="Normal 3 2 2 2 2 2 2 2 2 2 2 2 2 2 2 2 2 2 2 2 50" xfId="26151" xr:uid="{23E9584A-BDCA-4032-815A-74836EAB5F37}"/>
    <cellStyle name="Normal 3 2 2 2 2 2 2 2 2 2 2 2 2 2 2 2 2 2 2 2 6" xfId="26152" xr:uid="{CA6160F9-5FFE-410B-8F7D-32F82097FE40}"/>
    <cellStyle name="Normal 3 2 2 2 2 2 2 2 2 2 2 2 2 2 2 2 2 2 2 2 7" xfId="26153" xr:uid="{6C665AD0-3A35-4BDE-A58A-F70766584797}"/>
    <cellStyle name="Normal 3 2 2 2 2 2 2 2 2 2 2 2 2 2 2 2 2 2 2 2 8" xfId="26154" xr:uid="{05DAC85B-E9B5-46CD-B1F8-83B7B134DC35}"/>
    <cellStyle name="Normal 3 2 2 2 2 2 2 2 2 2 2 2 2 2 2 2 2 2 2 2 9" xfId="26155" xr:uid="{41B7BF8A-E95B-4010-A582-1573A75F9F10}"/>
    <cellStyle name="Normal 3 2 2 2 2 2 2 2 2 2 2 2 2 2 2 2 2 2 2 20" xfId="26156" xr:uid="{2EA74FB6-1BC2-4F38-A2FB-3E3774205FF7}"/>
    <cellStyle name="Normal 3 2 2 2 2 2 2 2 2 2 2 2 2 2 2 2 2 2 2 21" xfId="26157" xr:uid="{80E48339-C9B9-4C4B-8460-F83000D96F97}"/>
    <cellStyle name="Normal 3 2 2 2 2 2 2 2 2 2 2 2 2 2 2 2 2 2 2 22" xfId="26158" xr:uid="{93A80509-5EDA-49AB-A602-13FB89957999}"/>
    <cellStyle name="Normal 3 2 2 2 2 2 2 2 2 2 2 2 2 2 2 2 2 2 2 23" xfId="26159" xr:uid="{8E800C13-C511-4A6B-B4E5-7DC1EAB074C5}"/>
    <cellStyle name="Normal 3 2 2 2 2 2 2 2 2 2 2 2 2 2 2 2 2 2 2 24" xfId="26160" xr:uid="{1FE6AF1E-AD92-433A-81C4-FAE7B9162A78}"/>
    <cellStyle name="Normal 3 2 2 2 2 2 2 2 2 2 2 2 2 2 2 2 2 2 2 25" xfId="26161" xr:uid="{49A5DD0E-237E-464D-95C3-6EC4EDBFD5D5}"/>
    <cellStyle name="Normal 3 2 2 2 2 2 2 2 2 2 2 2 2 2 2 2 2 2 2 26" xfId="26162" xr:uid="{770AF531-1A92-4E87-9483-105B8B28B5E7}"/>
    <cellStyle name="Normal 3 2 2 2 2 2 2 2 2 2 2 2 2 2 2 2 2 2 2 27" xfId="26163" xr:uid="{DE77A213-7A11-4843-9C49-6006DA4103E3}"/>
    <cellStyle name="Normal 3 2 2 2 2 2 2 2 2 2 2 2 2 2 2 2 2 2 2 28" xfId="26164" xr:uid="{457D75A2-205D-4D8C-8D5A-DE342284D902}"/>
    <cellStyle name="Normal 3 2 2 2 2 2 2 2 2 2 2 2 2 2 2 2 2 2 2 29" xfId="26165" xr:uid="{7E4014D9-0168-493C-B2A7-7DDB9C1E96F7}"/>
    <cellStyle name="Normal 3 2 2 2 2 2 2 2 2 2 2 2 2 2 2 2 2 2 2 3" xfId="26166" xr:uid="{2D788A40-3A4E-49A9-B56F-2CF47516BB9D}"/>
    <cellStyle name="Normal 3 2 2 2 2 2 2 2 2 2 2 2 2 2 2 2 2 2 2 30" xfId="26167" xr:uid="{B208A607-84AA-4E7C-AFA1-3642BD5CA3B1}"/>
    <cellStyle name="Normal 3 2 2 2 2 2 2 2 2 2 2 2 2 2 2 2 2 2 2 31" xfId="26168" xr:uid="{D9080612-3B39-4F0F-9D60-C1EADE99856B}"/>
    <cellStyle name="Normal 3 2 2 2 2 2 2 2 2 2 2 2 2 2 2 2 2 2 2 32" xfId="26169" xr:uid="{3A4C98C5-A38F-43B1-BDF0-2C479ACBDB9B}"/>
    <cellStyle name="Normal 3 2 2 2 2 2 2 2 2 2 2 2 2 2 2 2 2 2 2 33" xfId="26170" xr:uid="{3E9AF570-6649-4C3A-910C-28DD7CD9CE48}"/>
    <cellStyle name="Normal 3 2 2 2 2 2 2 2 2 2 2 2 2 2 2 2 2 2 2 34" xfId="26171" xr:uid="{D06DD80E-C391-4505-A310-0658E1E07BE5}"/>
    <cellStyle name="Normal 3 2 2 2 2 2 2 2 2 2 2 2 2 2 2 2 2 2 2 35" xfId="26172" xr:uid="{9F027B86-077F-419E-9B6C-5CD560CF9619}"/>
    <cellStyle name="Normal 3 2 2 2 2 2 2 2 2 2 2 2 2 2 2 2 2 2 2 36" xfId="26173" xr:uid="{A8490287-47D0-472D-A185-1C0009B46453}"/>
    <cellStyle name="Normal 3 2 2 2 2 2 2 2 2 2 2 2 2 2 2 2 2 2 2 37" xfId="26174" xr:uid="{D9D5A6F9-7DC8-4134-A751-52C86C387C34}"/>
    <cellStyle name="Normal 3 2 2 2 2 2 2 2 2 2 2 2 2 2 2 2 2 2 2 38" xfId="26175" xr:uid="{16CF16CB-AA12-4833-9505-B072738306F9}"/>
    <cellStyle name="Normal 3 2 2 2 2 2 2 2 2 2 2 2 2 2 2 2 2 2 2 39" xfId="26176" xr:uid="{74B4C0F0-9B81-44D5-93EB-B613D68591D0}"/>
    <cellStyle name="Normal 3 2 2 2 2 2 2 2 2 2 2 2 2 2 2 2 2 2 2 4" xfId="26177" xr:uid="{4052995E-10C5-405A-9E63-86937576B0C8}"/>
    <cellStyle name="Normal 3 2 2 2 2 2 2 2 2 2 2 2 2 2 2 2 2 2 2 40" xfId="26178" xr:uid="{02EF5409-29BB-4D9E-8373-8A0F26BE7A9B}"/>
    <cellStyle name="Normal 3 2 2 2 2 2 2 2 2 2 2 2 2 2 2 2 2 2 2 41" xfId="26179" xr:uid="{31E15F52-180A-47ED-8839-3768BB67A437}"/>
    <cellStyle name="Normal 3 2 2 2 2 2 2 2 2 2 2 2 2 2 2 2 2 2 2 42" xfId="26180" xr:uid="{3702C9CB-5AFD-484D-A9F3-7A235255BEB1}"/>
    <cellStyle name="Normal 3 2 2 2 2 2 2 2 2 2 2 2 2 2 2 2 2 2 2 43" xfId="26181" xr:uid="{3D6879D9-9E3A-4971-B211-D17D07987BF3}"/>
    <cellStyle name="Normal 3 2 2 2 2 2 2 2 2 2 2 2 2 2 2 2 2 2 2 44" xfId="26182" xr:uid="{DAB37E38-6657-4F10-98DC-3AD6DCFE4977}"/>
    <cellStyle name="Normal 3 2 2 2 2 2 2 2 2 2 2 2 2 2 2 2 2 2 2 45" xfId="26183" xr:uid="{B546A056-97E2-4E3F-9F47-F936F62F4A42}"/>
    <cellStyle name="Normal 3 2 2 2 2 2 2 2 2 2 2 2 2 2 2 2 2 2 2 46" xfId="26184" xr:uid="{2309E417-45F2-4DE3-9D16-875EAA0525EF}"/>
    <cellStyle name="Normal 3 2 2 2 2 2 2 2 2 2 2 2 2 2 2 2 2 2 2 47" xfId="26185" xr:uid="{E6EBBE7D-C66F-42D7-9BDB-F63544CCD527}"/>
    <cellStyle name="Normal 3 2 2 2 2 2 2 2 2 2 2 2 2 2 2 2 2 2 2 48" xfId="26186" xr:uid="{12B521C2-4073-4A6C-B6CC-FD7A7E0D033E}"/>
    <cellStyle name="Normal 3 2 2 2 2 2 2 2 2 2 2 2 2 2 2 2 2 2 2 49" xfId="26187" xr:uid="{0841D019-DCB8-41E2-BDFE-B590EBA1BDA4}"/>
    <cellStyle name="Normal 3 2 2 2 2 2 2 2 2 2 2 2 2 2 2 2 2 2 2 5" xfId="26188" xr:uid="{DA067AD9-188D-4ABE-ACFE-7A0933026E65}"/>
    <cellStyle name="Normal 3 2 2 2 2 2 2 2 2 2 2 2 2 2 2 2 2 2 2 50" xfId="26189" xr:uid="{F9CCC35C-B235-43C2-879F-47828C293CB7}"/>
    <cellStyle name="Normal 3 2 2 2 2 2 2 2 2 2 2 2 2 2 2 2 2 2 2 50 2" xfId="26190" xr:uid="{B855B52F-68A0-49BA-98B8-C738F5BBC0B3}"/>
    <cellStyle name="Normal 3 2 2 2 2 2 2 2 2 2 2 2 2 2 2 2 2 2 2 50 3" xfId="26191" xr:uid="{129266FC-3FCC-4202-AA02-A48980A694B6}"/>
    <cellStyle name="Normal 3 2 2 2 2 2 2 2 2 2 2 2 2 2 2 2 2 2 2 50 4" xfId="26192" xr:uid="{86D6B88A-7830-4136-86DB-7C009AE2628B}"/>
    <cellStyle name="Normal 3 2 2 2 2 2 2 2 2 2 2 2 2 2 2 2 2 2 2 51" xfId="26193" xr:uid="{EC316370-EF2C-43CF-984A-CBABAAC80E5F}"/>
    <cellStyle name="Normal 3 2 2 2 2 2 2 2 2 2 2 2 2 2 2 2 2 2 2 52" xfId="26194" xr:uid="{6E60D0FA-E1B8-47F3-AD23-5E9294EF18BD}"/>
    <cellStyle name="Normal 3 2 2 2 2 2 2 2 2 2 2 2 2 2 2 2 2 2 2 6" xfId="26195" xr:uid="{F3FB3F39-D594-4829-8B97-67F34171B426}"/>
    <cellStyle name="Normal 3 2 2 2 2 2 2 2 2 2 2 2 2 2 2 2 2 2 2 7" xfId="26196" xr:uid="{6691A812-3162-41C4-A2AF-9308C2D87DA8}"/>
    <cellStyle name="Normal 3 2 2 2 2 2 2 2 2 2 2 2 2 2 2 2 2 2 2 8" xfId="26197" xr:uid="{B9B7B161-85DE-4C13-B82D-5156283C2731}"/>
    <cellStyle name="Normal 3 2 2 2 2 2 2 2 2 2 2 2 2 2 2 2 2 2 2 9" xfId="26198" xr:uid="{048DAE3C-5E2A-40E3-9B1B-CD54BE72FD67}"/>
    <cellStyle name="Normal 3 2 2 2 2 2 2 2 2 2 2 2 2 2 2 2 2 2 20" xfId="26199" xr:uid="{7C10ABFA-8573-4926-AD32-F1EF6E9E0241}"/>
    <cellStyle name="Normal 3 2 2 2 2 2 2 2 2 2 2 2 2 2 2 2 2 2 21" xfId="26200" xr:uid="{23741C02-F25F-4B0E-B53E-50660BEB693D}"/>
    <cellStyle name="Normal 3 2 2 2 2 2 2 2 2 2 2 2 2 2 2 2 2 2 22" xfId="26201" xr:uid="{4A6B9F92-53A8-419B-AD69-2F3F5FAF0810}"/>
    <cellStyle name="Normal 3 2 2 2 2 2 2 2 2 2 2 2 2 2 2 2 2 2 23" xfId="26202" xr:uid="{76E0E7F5-6813-44E9-8197-AAEFD4820670}"/>
    <cellStyle name="Normal 3 2 2 2 2 2 2 2 2 2 2 2 2 2 2 2 2 2 23 2" xfId="26203" xr:uid="{6E22405B-BD84-45A2-BA85-C2EAB59FDB75}"/>
    <cellStyle name="Normal 3 2 2 2 2 2 2 2 2 2 2 2 2 2 2 2 2 2 23 3" xfId="26204" xr:uid="{690B6D5E-1DED-4121-AF6D-335B9DC13117}"/>
    <cellStyle name="Normal 3 2 2 2 2 2 2 2 2 2 2 2 2 2 2 2 2 2 23 4" xfId="26205" xr:uid="{DB416EB5-FD5A-4F1E-80C7-AC061EA9F3EE}"/>
    <cellStyle name="Normal 3 2 2 2 2 2 2 2 2 2 2 2 2 2 2 2 2 2 23 5" xfId="26206" xr:uid="{40646F53-CDB6-41A2-9BBB-320ACB64BA47}"/>
    <cellStyle name="Normal 3 2 2 2 2 2 2 2 2 2 2 2 2 2 2 2 2 2 23 6" xfId="26207" xr:uid="{9AC818A1-C3F3-4A6D-B3CC-9946467FB836}"/>
    <cellStyle name="Normal 3 2 2 2 2 2 2 2 2 2 2 2 2 2 2 2 2 2 23 7" xfId="26208" xr:uid="{0A19743B-4083-4699-A7A1-3531DCD5DAD1}"/>
    <cellStyle name="Normal 3 2 2 2 2 2 2 2 2 2 2 2 2 2 2 2 2 2 24" xfId="26209" xr:uid="{A36C8FD5-38CC-4CA8-B9F5-DD2A3586D99E}"/>
    <cellStyle name="Normal 3 2 2 2 2 2 2 2 2 2 2 2 2 2 2 2 2 2 25" xfId="26210" xr:uid="{54BF70DE-263D-4354-9D08-136BA3C926B0}"/>
    <cellStyle name="Normal 3 2 2 2 2 2 2 2 2 2 2 2 2 2 2 2 2 2 26" xfId="26211" xr:uid="{662931FF-4996-4656-A73C-D0DE4F3ACE6B}"/>
    <cellStyle name="Normal 3 2 2 2 2 2 2 2 2 2 2 2 2 2 2 2 2 2 27" xfId="26212" xr:uid="{27DAEA41-B5DF-4226-A33F-41C93F43BCC2}"/>
    <cellStyle name="Normal 3 2 2 2 2 2 2 2 2 2 2 2 2 2 2 2 2 2 28" xfId="26213" xr:uid="{8BE90A64-EDCD-4128-89E7-23FC0298308E}"/>
    <cellStyle name="Normal 3 2 2 2 2 2 2 2 2 2 2 2 2 2 2 2 2 2 29" xfId="26214" xr:uid="{C2613B6B-D7C7-4197-83DB-6E18136295DF}"/>
    <cellStyle name="Normal 3 2 2 2 2 2 2 2 2 2 2 2 2 2 2 2 2 2 3" xfId="26215" xr:uid="{B35451BB-C3B1-4610-A8CC-3D378378A725}"/>
    <cellStyle name="Normal 3 2 2 2 2 2 2 2 2 2 2 2 2 2 2 2 2 2 30" xfId="26216" xr:uid="{19C1E6CA-A3C0-4600-8249-509993A5C4EB}"/>
    <cellStyle name="Normal 3 2 2 2 2 2 2 2 2 2 2 2 2 2 2 2 2 2 31" xfId="26217" xr:uid="{320E8629-3310-4842-8804-A04E3F3F4E04}"/>
    <cellStyle name="Normal 3 2 2 2 2 2 2 2 2 2 2 2 2 2 2 2 2 2 32" xfId="26218" xr:uid="{C133C55D-8339-4967-A311-949FB5E9513D}"/>
    <cellStyle name="Normal 3 2 2 2 2 2 2 2 2 2 2 2 2 2 2 2 2 2 33" xfId="26219" xr:uid="{26D80963-310E-4098-BEC8-2941188108D6}"/>
    <cellStyle name="Normal 3 2 2 2 2 2 2 2 2 2 2 2 2 2 2 2 2 2 34" xfId="26220" xr:uid="{59664D3A-42C0-4842-A2C1-477D7D39DE74}"/>
    <cellStyle name="Normal 3 2 2 2 2 2 2 2 2 2 2 2 2 2 2 2 2 2 35" xfId="26221" xr:uid="{59E7EB1C-1ED8-4717-8E97-ECF6041ED7EF}"/>
    <cellStyle name="Normal 3 2 2 2 2 2 2 2 2 2 2 2 2 2 2 2 2 2 36" xfId="26222" xr:uid="{D582EDC7-2CBB-48EB-9E30-1BE504A6F86B}"/>
    <cellStyle name="Normal 3 2 2 2 2 2 2 2 2 2 2 2 2 2 2 2 2 2 37" xfId="26223" xr:uid="{B5A54CBA-D82C-4267-86C1-CCD89114B00F}"/>
    <cellStyle name="Normal 3 2 2 2 2 2 2 2 2 2 2 2 2 2 2 2 2 2 38" xfId="26224" xr:uid="{431B7307-2AAB-4E51-A26D-E8117E4F3F37}"/>
    <cellStyle name="Normal 3 2 2 2 2 2 2 2 2 2 2 2 2 2 2 2 2 2 39" xfId="26225" xr:uid="{E82AADE9-17C5-4A2F-A07B-10E17AB8F44D}"/>
    <cellStyle name="Normal 3 2 2 2 2 2 2 2 2 2 2 2 2 2 2 2 2 2 4" xfId="26226" xr:uid="{811A1FAD-0DA4-404A-A4E1-56C4B164661D}"/>
    <cellStyle name="Normal 3 2 2 2 2 2 2 2 2 2 2 2 2 2 2 2 2 2 40" xfId="26227" xr:uid="{9FF0B305-6C57-4FBF-BB6C-A646A06366C0}"/>
    <cellStyle name="Normal 3 2 2 2 2 2 2 2 2 2 2 2 2 2 2 2 2 2 41" xfId="26228" xr:uid="{062ECDC1-5B34-403E-A582-1F02604E018F}"/>
    <cellStyle name="Normal 3 2 2 2 2 2 2 2 2 2 2 2 2 2 2 2 2 2 42" xfId="26229" xr:uid="{F138896B-8E38-4149-8986-1116CE858FBC}"/>
    <cellStyle name="Normal 3 2 2 2 2 2 2 2 2 2 2 2 2 2 2 2 2 2 43" xfId="26230" xr:uid="{C33E108A-263C-40B5-AC16-F7C5BC5D9189}"/>
    <cellStyle name="Normal 3 2 2 2 2 2 2 2 2 2 2 2 2 2 2 2 2 2 44" xfId="26231" xr:uid="{C02EB712-759D-404F-955B-2379C1A33C88}"/>
    <cellStyle name="Normal 3 2 2 2 2 2 2 2 2 2 2 2 2 2 2 2 2 2 45" xfId="26232" xr:uid="{1E4C36A3-3F65-4CB2-BF3D-C7E1BED71C8A}"/>
    <cellStyle name="Normal 3 2 2 2 2 2 2 2 2 2 2 2 2 2 2 2 2 2 46" xfId="26233" xr:uid="{5E51DB38-FC8C-4BE8-B456-68AEC8BC211E}"/>
    <cellStyle name="Normal 3 2 2 2 2 2 2 2 2 2 2 2 2 2 2 2 2 2 47" xfId="26234" xr:uid="{0258972A-A688-4070-93D1-FBAC40E8D6B3}"/>
    <cellStyle name="Normal 3 2 2 2 2 2 2 2 2 2 2 2 2 2 2 2 2 2 48" xfId="26235" xr:uid="{F572D49B-B4D9-42FE-BDF9-5BE2C062AC7C}"/>
    <cellStyle name="Normal 3 2 2 2 2 2 2 2 2 2 2 2 2 2 2 2 2 2 49" xfId="26236" xr:uid="{DBFE6006-D483-4AD9-BBE8-FC129EC8BDCD}"/>
    <cellStyle name="Normal 3 2 2 2 2 2 2 2 2 2 2 2 2 2 2 2 2 2 5" xfId="26237" xr:uid="{A2B42846-D7DC-4FDF-B2AB-F8D18B397BDD}"/>
    <cellStyle name="Normal 3 2 2 2 2 2 2 2 2 2 2 2 2 2 2 2 2 2 50" xfId="26238" xr:uid="{4A9610FE-A89A-4084-BE5F-AA2FE9C322AE}"/>
    <cellStyle name="Normal 3 2 2 2 2 2 2 2 2 2 2 2 2 2 2 2 2 2 51" xfId="26239" xr:uid="{A13AA6B3-75BC-4365-99C4-B30841E12DE6}"/>
    <cellStyle name="Normal 3 2 2 2 2 2 2 2 2 2 2 2 2 2 2 2 2 2 52" xfId="26240" xr:uid="{E8B42280-B1B8-490C-B321-4C463E094A4D}"/>
    <cellStyle name="Normal 3 2 2 2 2 2 2 2 2 2 2 2 2 2 2 2 2 2 53" xfId="26241" xr:uid="{8D920DA8-EB6C-4F3C-BC6F-7AF23C538566}"/>
    <cellStyle name="Normal 3 2 2 2 2 2 2 2 2 2 2 2 2 2 2 2 2 2 54" xfId="26242" xr:uid="{015642B1-0B66-4EB5-B13A-9E57369EA101}"/>
    <cellStyle name="Normal 3 2 2 2 2 2 2 2 2 2 2 2 2 2 2 2 2 2 55" xfId="26243" xr:uid="{3BAC6A7C-91EB-4C65-89E1-CB3774BBD7D4}"/>
    <cellStyle name="Normal 3 2 2 2 2 2 2 2 2 2 2 2 2 2 2 2 2 2 55 2" xfId="26244" xr:uid="{43C49164-DBE3-4106-BEFE-CE848DB900E5}"/>
    <cellStyle name="Normal 3 2 2 2 2 2 2 2 2 2 2 2 2 2 2 2 2 2 55 3" xfId="26245" xr:uid="{E3FDE998-60E0-48D6-95E3-20191B12F5EC}"/>
    <cellStyle name="Normal 3 2 2 2 2 2 2 2 2 2 2 2 2 2 2 2 2 2 55 4" xfId="26246" xr:uid="{78305B6C-7BF5-4183-A756-992A2D4F3DD1}"/>
    <cellStyle name="Normal 3 2 2 2 2 2 2 2 2 2 2 2 2 2 2 2 2 2 56" xfId="26247" xr:uid="{B96B1B08-DACE-4CD5-AF4F-AB220919806D}"/>
    <cellStyle name="Normal 3 2 2 2 2 2 2 2 2 2 2 2 2 2 2 2 2 2 57" xfId="26248" xr:uid="{F195FC59-487E-4AE8-A371-D94FD5D775EB}"/>
    <cellStyle name="Normal 3 2 2 2 2 2 2 2 2 2 2 2 2 2 2 2 2 2 6" xfId="26249" xr:uid="{0AE32167-3231-42CF-835F-3EE9A3C614D4}"/>
    <cellStyle name="Normal 3 2 2 2 2 2 2 2 2 2 2 2 2 2 2 2 2 2 7" xfId="26250" xr:uid="{E209D484-B1C3-47F9-A8CC-F2D4C23D8E99}"/>
    <cellStyle name="Normal 3 2 2 2 2 2 2 2 2 2 2 2 2 2 2 2 2 2 8" xfId="26251" xr:uid="{9EC47204-B203-4A8C-A2E0-D4C4690F89C8}"/>
    <cellStyle name="Normal 3 2 2 2 2 2 2 2 2 2 2 2 2 2 2 2 2 2 8 2" xfId="26252" xr:uid="{E48699B1-79A4-4BA4-95F0-163997AFDD83}"/>
    <cellStyle name="Normal 3 2 2 2 2 2 2 2 2 2 2 2 2 2 2 2 2 2 8 3" xfId="26253" xr:uid="{8A7B9F5A-D1C1-40B9-8CFB-ADE393D0745D}"/>
    <cellStyle name="Normal 3 2 2 2 2 2 2 2 2 2 2 2 2 2 2 2 2 2 8 4" xfId="26254" xr:uid="{AA66635B-BCA4-4AD9-9399-CE1CDEF95940}"/>
    <cellStyle name="Normal 3 2 2 2 2 2 2 2 2 2 2 2 2 2 2 2 2 2 9" xfId="26255" xr:uid="{CAB15BFB-6D48-420B-810D-D66446BD4DD1}"/>
    <cellStyle name="Normal 3 2 2 2 2 2 2 2 2 2 2 2 2 2 2 2 2 20" xfId="26256" xr:uid="{C45BAEE3-236D-4CFE-9CFD-E3B330765206}"/>
    <cellStyle name="Normal 3 2 2 2 2 2 2 2 2 2 2 2 2 2 2 2 2 21" xfId="26257" xr:uid="{39ADC23A-C6B7-4EAC-BBDB-47979128E1DE}"/>
    <cellStyle name="Normal 3 2 2 2 2 2 2 2 2 2 2 2 2 2 2 2 2 22" xfId="26258" xr:uid="{5A1A6448-2BC9-4C8E-8A7D-605C68CEBF04}"/>
    <cellStyle name="Normal 3 2 2 2 2 2 2 2 2 2 2 2 2 2 2 2 2 23" xfId="26259" xr:uid="{F382D7C3-311E-4D1A-BA76-C4A39F3B2577}"/>
    <cellStyle name="Normal 3 2 2 2 2 2 2 2 2 2 2 2 2 2 2 2 2 23 2" xfId="26260" xr:uid="{BA52F3A9-9F7E-45B3-AD15-DD88C632DDDA}"/>
    <cellStyle name="Normal 3 2 2 2 2 2 2 2 2 2 2 2 2 2 2 2 2 23 3" xfId="26261" xr:uid="{4A092CF2-3723-4C2D-B26B-DE64ACFAE311}"/>
    <cellStyle name="Normal 3 2 2 2 2 2 2 2 2 2 2 2 2 2 2 2 2 23 4" xfId="26262" xr:uid="{CBB6C1A7-C5F9-4D72-ACF8-9F4297F63131}"/>
    <cellStyle name="Normal 3 2 2 2 2 2 2 2 2 2 2 2 2 2 2 2 2 23 5" xfId="26263" xr:uid="{27DF5544-5A2C-44EA-A2BA-AA6EA3244766}"/>
    <cellStyle name="Normal 3 2 2 2 2 2 2 2 2 2 2 2 2 2 2 2 2 23 6" xfId="26264" xr:uid="{5C5D5990-AAD5-4608-8289-DF9E36302231}"/>
    <cellStyle name="Normal 3 2 2 2 2 2 2 2 2 2 2 2 2 2 2 2 2 23 7" xfId="26265" xr:uid="{53A37ADC-FBEA-4544-8BF0-8B3FE87982B1}"/>
    <cellStyle name="Normal 3 2 2 2 2 2 2 2 2 2 2 2 2 2 2 2 2 24" xfId="26266" xr:uid="{9A1A4DB3-C6CE-4EFF-81E1-219D07022FD1}"/>
    <cellStyle name="Normal 3 2 2 2 2 2 2 2 2 2 2 2 2 2 2 2 2 25" xfId="26267" xr:uid="{5092E070-6306-424F-BBB0-584D95266C68}"/>
    <cellStyle name="Normal 3 2 2 2 2 2 2 2 2 2 2 2 2 2 2 2 2 26" xfId="26268" xr:uid="{FF378A9C-821C-47D9-AD8B-020974D0975C}"/>
    <cellStyle name="Normal 3 2 2 2 2 2 2 2 2 2 2 2 2 2 2 2 2 27" xfId="26269" xr:uid="{00079EBD-DBDF-488A-97C2-5E0B8E314483}"/>
    <cellStyle name="Normal 3 2 2 2 2 2 2 2 2 2 2 2 2 2 2 2 2 28" xfId="26270" xr:uid="{6DAA594E-0FE8-4AC8-95CA-BF9CF2778851}"/>
    <cellStyle name="Normal 3 2 2 2 2 2 2 2 2 2 2 2 2 2 2 2 2 29" xfId="26271" xr:uid="{F15A6F52-6DB3-4074-AC34-1994114BFA89}"/>
    <cellStyle name="Normal 3 2 2 2 2 2 2 2 2 2 2 2 2 2 2 2 2 3" xfId="26272" xr:uid="{3D45079D-420B-4F3D-BBB6-84FFBD0BAB6A}"/>
    <cellStyle name="Normal 3 2 2 2 2 2 2 2 2 2 2 2 2 2 2 2 2 3 2" xfId="26273" xr:uid="{0700A109-F754-4A49-9CE5-D5C881385E42}"/>
    <cellStyle name="Normal 3 2 2 2 2 2 2 2 2 2 2 2 2 2 2 2 2 3 2 2" xfId="26274" xr:uid="{46E08DAC-F74D-4B44-B41A-87315F6D1CAF}"/>
    <cellStyle name="Normal 3 2 2 2 2 2 2 2 2 2 2 2 2 2 2 2 2 3 2 3" xfId="26275" xr:uid="{3AE9BF99-698B-48F6-8B7A-5EE11043F71E}"/>
    <cellStyle name="Normal 3 2 2 2 2 2 2 2 2 2 2 2 2 2 2 2 2 3 2 4" xfId="26276" xr:uid="{5FEACC5D-2442-419A-9717-95D8536E0F9C}"/>
    <cellStyle name="Normal 3 2 2 2 2 2 2 2 2 2 2 2 2 2 2 2 2 3 3" xfId="26277" xr:uid="{A61D1642-5A21-46A0-AD4B-357958E9BB8F}"/>
    <cellStyle name="Normal 3 2 2 2 2 2 2 2 2 2 2 2 2 2 2 2 2 3 4" xfId="26278" xr:uid="{D2EFE82D-31E3-410C-9845-F99C5E1EC6C1}"/>
    <cellStyle name="Normal 3 2 2 2 2 2 2 2 2 2 2 2 2 2 2 2 2 3 5" xfId="26279" xr:uid="{4F1DB069-1E6C-4D43-8237-6781F3B97975}"/>
    <cellStyle name="Normal 3 2 2 2 2 2 2 2 2 2 2 2 2 2 2 2 2 3 6" xfId="26280" xr:uid="{CFF55889-6983-4CA6-8202-34BE59DA4EDD}"/>
    <cellStyle name="Normal 3 2 2 2 2 2 2 2 2 2 2 2 2 2 2 2 2 30" xfId="26281" xr:uid="{34080819-CB1D-40F4-BA76-F80DC4633461}"/>
    <cellStyle name="Normal 3 2 2 2 2 2 2 2 2 2 2 2 2 2 2 2 2 31" xfId="26282" xr:uid="{84031F3D-7476-4A43-B10E-9D14BF310841}"/>
    <cellStyle name="Normal 3 2 2 2 2 2 2 2 2 2 2 2 2 2 2 2 2 32" xfId="26283" xr:uid="{4E51359F-B3C2-4519-8904-CC8E31E819F3}"/>
    <cellStyle name="Normal 3 2 2 2 2 2 2 2 2 2 2 2 2 2 2 2 2 33" xfId="26284" xr:uid="{CF379446-A91B-4F89-922D-562DC9020864}"/>
    <cellStyle name="Normal 3 2 2 2 2 2 2 2 2 2 2 2 2 2 2 2 2 34" xfId="26285" xr:uid="{E3E7952C-085F-4624-8198-DE15EE148905}"/>
    <cellStyle name="Normal 3 2 2 2 2 2 2 2 2 2 2 2 2 2 2 2 2 35" xfId="26286" xr:uid="{D6F85BE7-8112-4E83-B659-75FD5454D1B5}"/>
    <cellStyle name="Normal 3 2 2 2 2 2 2 2 2 2 2 2 2 2 2 2 2 36" xfId="26287" xr:uid="{265BA3C8-F300-4140-9F66-FD963F8C0E4E}"/>
    <cellStyle name="Normal 3 2 2 2 2 2 2 2 2 2 2 2 2 2 2 2 2 37" xfId="26288" xr:uid="{8595B074-748D-4693-AF64-8E9D12D9D193}"/>
    <cellStyle name="Normal 3 2 2 2 2 2 2 2 2 2 2 2 2 2 2 2 2 38" xfId="26289" xr:uid="{0C997AE3-E34A-49B4-8AF3-FA6B807C261E}"/>
    <cellStyle name="Normal 3 2 2 2 2 2 2 2 2 2 2 2 2 2 2 2 2 39" xfId="26290" xr:uid="{EA2F772E-D14C-4D20-8AAA-D51D05464478}"/>
    <cellStyle name="Normal 3 2 2 2 2 2 2 2 2 2 2 2 2 2 2 2 2 4" xfId="26291" xr:uid="{282BAF32-F2C7-4012-8172-6CB380A560F5}"/>
    <cellStyle name="Normal 3 2 2 2 2 2 2 2 2 2 2 2 2 2 2 2 2 40" xfId="26292" xr:uid="{0CA949FD-9429-4865-9B24-574CEE5DD7A7}"/>
    <cellStyle name="Normal 3 2 2 2 2 2 2 2 2 2 2 2 2 2 2 2 2 41" xfId="26293" xr:uid="{1448633F-8CCC-4AD7-94E8-32EF01A73DC4}"/>
    <cellStyle name="Normal 3 2 2 2 2 2 2 2 2 2 2 2 2 2 2 2 2 42" xfId="26294" xr:uid="{A96D9C53-A44B-4582-AA5B-AD06D746A437}"/>
    <cellStyle name="Normal 3 2 2 2 2 2 2 2 2 2 2 2 2 2 2 2 2 43" xfId="26295" xr:uid="{9AA8510C-A871-4CFA-9CDB-8D6BD5D48E0F}"/>
    <cellStyle name="Normal 3 2 2 2 2 2 2 2 2 2 2 2 2 2 2 2 2 44" xfId="26296" xr:uid="{692E3437-64C1-4EA2-9B3B-3D15FDAD210B}"/>
    <cellStyle name="Normal 3 2 2 2 2 2 2 2 2 2 2 2 2 2 2 2 2 45" xfId="26297" xr:uid="{8250F875-A6BC-4DED-85C0-87D07954FB66}"/>
    <cellStyle name="Normal 3 2 2 2 2 2 2 2 2 2 2 2 2 2 2 2 2 46" xfId="26298" xr:uid="{48CD2324-0A95-46D1-9738-AACFE65A5F15}"/>
    <cellStyle name="Normal 3 2 2 2 2 2 2 2 2 2 2 2 2 2 2 2 2 47" xfId="26299" xr:uid="{8E167A71-040C-4328-91BB-B83ABFC10B2F}"/>
    <cellStyle name="Normal 3 2 2 2 2 2 2 2 2 2 2 2 2 2 2 2 2 48" xfId="26300" xr:uid="{E2DAFCC9-F889-49E3-A926-E37327410161}"/>
    <cellStyle name="Normal 3 2 2 2 2 2 2 2 2 2 2 2 2 2 2 2 2 49" xfId="26301" xr:uid="{2BF4F6B1-B006-4590-953C-01C47158CEDA}"/>
    <cellStyle name="Normal 3 2 2 2 2 2 2 2 2 2 2 2 2 2 2 2 2 5" xfId="26302" xr:uid="{B50C4992-7ED5-4275-A326-FBD04FD87617}"/>
    <cellStyle name="Normal 3 2 2 2 2 2 2 2 2 2 2 2 2 2 2 2 2 50" xfId="26303" xr:uid="{1F9D0488-4A51-4BC3-9D0F-BF9A3C2F8823}"/>
    <cellStyle name="Normal 3 2 2 2 2 2 2 2 2 2 2 2 2 2 2 2 2 51" xfId="26304" xr:uid="{3CE0B255-6EBD-4F39-81ED-B058F39083D4}"/>
    <cellStyle name="Normal 3 2 2 2 2 2 2 2 2 2 2 2 2 2 2 2 2 52" xfId="26305" xr:uid="{A74681CC-3627-4F62-B028-F8C5E8B89241}"/>
    <cellStyle name="Normal 3 2 2 2 2 2 2 2 2 2 2 2 2 2 2 2 2 53" xfId="26306" xr:uid="{59CECB7E-7FD7-48A3-9B98-6DFC2B39558E}"/>
    <cellStyle name="Normal 3 2 2 2 2 2 2 2 2 2 2 2 2 2 2 2 2 54" xfId="26307" xr:uid="{D7C9CA0F-F366-458A-9329-F030AF3EBDD1}"/>
    <cellStyle name="Normal 3 2 2 2 2 2 2 2 2 2 2 2 2 2 2 2 2 55" xfId="26308" xr:uid="{9130DCDF-B796-45B9-A4B6-D16A392462B5}"/>
    <cellStyle name="Normal 3 2 2 2 2 2 2 2 2 2 2 2 2 2 2 2 2 55 2" xfId="26309" xr:uid="{8FCD06F7-FCC8-47E3-B346-654D48BDE983}"/>
    <cellStyle name="Normal 3 2 2 2 2 2 2 2 2 2 2 2 2 2 2 2 2 55 3" xfId="26310" xr:uid="{15A318D3-B2C6-49FA-85CC-27E0BCA59EE6}"/>
    <cellStyle name="Normal 3 2 2 2 2 2 2 2 2 2 2 2 2 2 2 2 2 55 4" xfId="26311" xr:uid="{4740E1C0-EB4B-477C-92C3-06370DCAEA5A}"/>
    <cellStyle name="Normal 3 2 2 2 2 2 2 2 2 2 2 2 2 2 2 2 2 56" xfId="26312" xr:uid="{144D290F-03F6-4109-ABE1-046A019B8EA9}"/>
    <cellStyle name="Normal 3 2 2 2 2 2 2 2 2 2 2 2 2 2 2 2 2 57" xfId="26313" xr:uid="{BA825991-268B-4051-8A73-01EA790FB0E9}"/>
    <cellStyle name="Normal 3 2 2 2 2 2 2 2 2 2 2 2 2 2 2 2 2 6" xfId="26314" xr:uid="{61CC906B-F2A1-46CE-BE5E-0341F2B0236E}"/>
    <cellStyle name="Normal 3 2 2 2 2 2 2 2 2 2 2 2 2 2 2 2 2 7" xfId="26315" xr:uid="{DCEDD4FA-E77D-4D9E-A939-C31E7788BA36}"/>
    <cellStyle name="Normal 3 2 2 2 2 2 2 2 2 2 2 2 2 2 2 2 2 8" xfId="26316" xr:uid="{5CE93DB4-A7F0-402E-87D1-F8EFA2AC7B49}"/>
    <cellStyle name="Normal 3 2 2 2 2 2 2 2 2 2 2 2 2 2 2 2 2 8 2" xfId="26317" xr:uid="{606B925F-2306-4D13-BE43-EAEB2761565A}"/>
    <cellStyle name="Normal 3 2 2 2 2 2 2 2 2 2 2 2 2 2 2 2 2 8 3" xfId="26318" xr:uid="{B44EFECD-477F-4FB8-ACC5-45A7AE54C669}"/>
    <cellStyle name="Normal 3 2 2 2 2 2 2 2 2 2 2 2 2 2 2 2 2 8 4" xfId="26319" xr:uid="{F710B8B8-1CB3-481F-AA1C-4A378396BB12}"/>
    <cellStyle name="Normal 3 2 2 2 2 2 2 2 2 2 2 2 2 2 2 2 2 9" xfId="26320" xr:uid="{51635B28-D1B8-4121-A706-E3CC5D7356B3}"/>
    <cellStyle name="Normal 3 2 2 2 2 2 2 2 2 2 2 2 2 2 2 2 20" xfId="26321" xr:uid="{1EAE8C60-98E1-40EC-9E75-715B58F73B09}"/>
    <cellStyle name="Normal 3 2 2 2 2 2 2 2 2 2 2 2 2 2 2 2 21" xfId="26322" xr:uid="{F155FA65-FD47-4260-81A3-7C3D8D2F985B}"/>
    <cellStyle name="Normal 3 2 2 2 2 2 2 2 2 2 2 2 2 2 2 2 22" xfId="26323" xr:uid="{5D33D1F3-263C-487D-BDC3-29DC28E4AC37}"/>
    <cellStyle name="Normal 3 2 2 2 2 2 2 2 2 2 2 2 2 2 2 2 23" xfId="26324" xr:uid="{EEF0A62F-AF1F-4110-8AE8-304275208DEB}"/>
    <cellStyle name="Normal 3 2 2 2 2 2 2 2 2 2 2 2 2 2 2 2 24" xfId="26325" xr:uid="{40734011-79FE-45E1-97C9-97F887083D16}"/>
    <cellStyle name="Normal 3 2 2 2 2 2 2 2 2 2 2 2 2 2 2 2 25" xfId="26326" xr:uid="{347DD178-1034-49B2-80EC-96D449964061}"/>
    <cellStyle name="Normal 3 2 2 2 2 2 2 2 2 2 2 2 2 2 2 2 26" xfId="26327" xr:uid="{8140F511-F305-4481-99EB-EA2B78EA0668}"/>
    <cellStyle name="Normal 3 2 2 2 2 2 2 2 2 2 2 2 2 2 2 2 26 2" xfId="26328" xr:uid="{99E3CC96-3129-46CC-A440-B44948CAB76E}"/>
    <cellStyle name="Normal 3 2 2 2 2 2 2 2 2 2 2 2 2 2 2 2 26 3" xfId="26329" xr:uid="{EFC9A55E-7DE9-4BF6-BF48-C35A61D3533D}"/>
    <cellStyle name="Normal 3 2 2 2 2 2 2 2 2 2 2 2 2 2 2 2 26 4" xfId="26330" xr:uid="{73B74610-493C-40C7-B57A-5B56C2CC8660}"/>
    <cellStyle name="Normal 3 2 2 2 2 2 2 2 2 2 2 2 2 2 2 2 26 5" xfId="26331" xr:uid="{9C2DC1DE-7792-4251-96A7-E2830DF7FAA7}"/>
    <cellStyle name="Normal 3 2 2 2 2 2 2 2 2 2 2 2 2 2 2 2 26 6" xfId="26332" xr:uid="{2EF6F95A-89C7-4748-A81D-E6955D1ADB34}"/>
    <cellStyle name="Normal 3 2 2 2 2 2 2 2 2 2 2 2 2 2 2 2 26 7" xfId="26333" xr:uid="{CC6037DC-557A-42AA-9DE3-A3A7FEA63A1F}"/>
    <cellStyle name="Normal 3 2 2 2 2 2 2 2 2 2 2 2 2 2 2 2 27" xfId="26334" xr:uid="{2604BE71-7B73-4DF4-9492-E07DCAE56138}"/>
    <cellStyle name="Normal 3 2 2 2 2 2 2 2 2 2 2 2 2 2 2 2 28" xfId="26335" xr:uid="{5713DF1E-5962-42C3-A3BB-8D609166C856}"/>
    <cellStyle name="Normal 3 2 2 2 2 2 2 2 2 2 2 2 2 2 2 2 29" xfId="26336" xr:uid="{2B997273-1662-439E-85D6-E4646CE2A716}"/>
    <cellStyle name="Normal 3 2 2 2 2 2 2 2 2 2 2 2 2 2 2 2 3" xfId="26337" xr:uid="{4B731EB4-6C7B-4649-88F9-DD0AC9B19C39}"/>
    <cellStyle name="Normal 3 2 2 2 2 2 2 2 2 2 2 2 2 2 2 2 30" xfId="26338" xr:uid="{03D120FC-01CC-4351-8F7B-00F200DB84E7}"/>
    <cellStyle name="Normal 3 2 2 2 2 2 2 2 2 2 2 2 2 2 2 2 31" xfId="26339" xr:uid="{11F9B7FD-3A55-4359-B47E-AE8272CBEA85}"/>
    <cellStyle name="Normal 3 2 2 2 2 2 2 2 2 2 2 2 2 2 2 2 32" xfId="26340" xr:uid="{7E222C01-4415-42FC-8D26-F3330A07B78C}"/>
    <cellStyle name="Normal 3 2 2 2 2 2 2 2 2 2 2 2 2 2 2 2 33" xfId="26341" xr:uid="{F3DB1D73-365F-461E-BB95-727B84903DEA}"/>
    <cellStyle name="Normal 3 2 2 2 2 2 2 2 2 2 2 2 2 2 2 2 34" xfId="26342" xr:uid="{0064CBA5-254B-4BE4-BE7E-19E8A94AF7E3}"/>
    <cellStyle name="Normal 3 2 2 2 2 2 2 2 2 2 2 2 2 2 2 2 35" xfId="26343" xr:uid="{CBE6CB41-39F9-47B6-A968-3BCF12F76F86}"/>
    <cellStyle name="Normal 3 2 2 2 2 2 2 2 2 2 2 2 2 2 2 2 36" xfId="26344" xr:uid="{392C3FED-E4BB-45C8-B3C2-CB7EAC730A7F}"/>
    <cellStyle name="Normal 3 2 2 2 2 2 2 2 2 2 2 2 2 2 2 2 37" xfId="26345" xr:uid="{628E69C1-B5DC-4BC3-B337-07118C6E61EC}"/>
    <cellStyle name="Normal 3 2 2 2 2 2 2 2 2 2 2 2 2 2 2 2 38" xfId="26346" xr:uid="{3E31E68B-1EC4-4365-A74A-8F171B839B1F}"/>
    <cellStyle name="Normal 3 2 2 2 2 2 2 2 2 2 2 2 2 2 2 2 39" xfId="26347" xr:uid="{D6A0C447-7C5E-41AD-A974-3064E49C5C5F}"/>
    <cellStyle name="Normal 3 2 2 2 2 2 2 2 2 2 2 2 2 2 2 2 4" xfId="26348" xr:uid="{B1E0B084-3173-471D-8706-DB6414013D6C}"/>
    <cellStyle name="Normal 3 2 2 2 2 2 2 2 2 2 2 2 2 2 2 2 40" xfId="26349" xr:uid="{D89D593B-4540-46E8-9848-2521FB2FBBD5}"/>
    <cellStyle name="Normal 3 2 2 2 2 2 2 2 2 2 2 2 2 2 2 2 41" xfId="26350" xr:uid="{2E6DD939-F9CE-40BF-B804-E5F376B19973}"/>
    <cellStyle name="Normal 3 2 2 2 2 2 2 2 2 2 2 2 2 2 2 2 42" xfId="26351" xr:uid="{E5833BB0-20EF-4225-8599-AD57AC39ACCA}"/>
    <cellStyle name="Normal 3 2 2 2 2 2 2 2 2 2 2 2 2 2 2 2 43" xfId="26352" xr:uid="{0279271C-5385-421E-BD42-15F274FA6959}"/>
    <cellStyle name="Normal 3 2 2 2 2 2 2 2 2 2 2 2 2 2 2 2 44" xfId="26353" xr:uid="{DF114D54-91CB-4B52-8FEA-FB8FE7EBCDAB}"/>
    <cellStyle name="Normal 3 2 2 2 2 2 2 2 2 2 2 2 2 2 2 2 45" xfId="26354" xr:uid="{32690FFC-7CC7-498A-BA1E-CC2623B98CCA}"/>
    <cellStyle name="Normal 3 2 2 2 2 2 2 2 2 2 2 2 2 2 2 2 46" xfId="26355" xr:uid="{722ADE2A-385C-445B-A9FE-BECDF00E3974}"/>
    <cellStyle name="Normal 3 2 2 2 2 2 2 2 2 2 2 2 2 2 2 2 47" xfId="26356" xr:uid="{A5C153F3-40BF-4168-B95A-E238A992CEF2}"/>
    <cellStyle name="Normal 3 2 2 2 2 2 2 2 2 2 2 2 2 2 2 2 48" xfId="26357" xr:uid="{19848B89-CFD6-4676-A653-C83754B086F4}"/>
    <cellStyle name="Normal 3 2 2 2 2 2 2 2 2 2 2 2 2 2 2 2 49" xfId="26358" xr:uid="{1235B25A-DD62-4307-9AD1-A067DAE3C651}"/>
    <cellStyle name="Normal 3 2 2 2 2 2 2 2 2 2 2 2 2 2 2 2 5" xfId="26359" xr:uid="{2F496C7D-99F1-4CD5-B0BD-7DED2E79765C}"/>
    <cellStyle name="Normal 3 2 2 2 2 2 2 2 2 2 2 2 2 2 2 2 5 2" xfId="26360" xr:uid="{A4D888E7-D01C-47DB-9345-2D3602D19DB0}"/>
    <cellStyle name="Normal 3 2 2 2 2 2 2 2 2 2 2 2 2 2 2 2 5 2 2" xfId="26361" xr:uid="{C1E19142-91E5-46D6-92FB-F027C44118C9}"/>
    <cellStyle name="Normal 3 2 2 2 2 2 2 2 2 2 2 2 2 2 2 2 5 2 3" xfId="26362" xr:uid="{AABE90E2-C0AA-4DE5-A510-3327277F829B}"/>
    <cellStyle name="Normal 3 2 2 2 2 2 2 2 2 2 2 2 2 2 2 2 5 2 4" xfId="26363" xr:uid="{EF8B3CC0-43C0-42BD-BCCB-1507DBEEC7E2}"/>
    <cellStyle name="Normal 3 2 2 2 2 2 2 2 2 2 2 2 2 2 2 2 5 3" xfId="26364" xr:uid="{0E0B9D50-125D-47C4-BA98-E69139462C5C}"/>
    <cellStyle name="Normal 3 2 2 2 2 2 2 2 2 2 2 2 2 2 2 2 5 4" xfId="26365" xr:uid="{62289D81-D310-4BFC-ADE7-EF8265EB2061}"/>
    <cellStyle name="Normal 3 2 2 2 2 2 2 2 2 2 2 2 2 2 2 2 5 5" xfId="26366" xr:uid="{22C71BE9-AFE1-4A6B-94FF-B756204A667D}"/>
    <cellStyle name="Normal 3 2 2 2 2 2 2 2 2 2 2 2 2 2 2 2 5 6" xfId="26367" xr:uid="{029EBF57-257F-4BA5-87E3-752ADFECF6BA}"/>
    <cellStyle name="Normal 3 2 2 2 2 2 2 2 2 2 2 2 2 2 2 2 50" xfId="26368" xr:uid="{2200B4E5-9FCD-4ABB-9351-0865584BF1C8}"/>
    <cellStyle name="Normal 3 2 2 2 2 2 2 2 2 2 2 2 2 2 2 2 51" xfId="26369" xr:uid="{F3F4E4A9-4E14-4B3C-8566-616160D2DC33}"/>
    <cellStyle name="Normal 3 2 2 2 2 2 2 2 2 2 2 2 2 2 2 2 52" xfId="26370" xr:uid="{68A5B0C9-6826-4091-80F6-2D4A10E589E9}"/>
    <cellStyle name="Normal 3 2 2 2 2 2 2 2 2 2 2 2 2 2 2 2 53" xfId="26371" xr:uid="{3ACCC97E-8F63-409B-86A9-5F88CF78F99B}"/>
    <cellStyle name="Normal 3 2 2 2 2 2 2 2 2 2 2 2 2 2 2 2 54" xfId="26372" xr:uid="{37A73C91-0A8B-4ED9-99C2-BF13682470B5}"/>
    <cellStyle name="Normal 3 2 2 2 2 2 2 2 2 2 2 2 2 2 2 2 55" xfId="26373" xr:uid="{C1BBCEE1-59B6-4910-960B-D1503DE00154}"/>
    <cellStyle name="Normal 3 2 2 2 2 2 2 2 2 2 2 2 2 2 2 2 56" xfId="26374" xr:uid="{A0D697B1-D9F0-471D-B050-3E18559A0D4B}"/>
    <cellStyle name="Normal 3 2 2 2 2 2 2 2 2 2 2 2 2 2 2 2 57" xfId="26375" xr:uid="{80165323-C1FB-4A9E-9399-15E00F667905}"/>
    <cellStyle name="Normal 3 2 2 2 2 2 2 2 2 2 2 2 2 2 2 2 58" xfId="26376" xr:uid="{AB024206-7EF9-4EA8-9448-DD731941BE95}"/>
    <cellStyle name="Normal 3 2 2 2 2 2 2 2 2 2 2 2 2 2 2 2 58 2" xfId="26377" xr:uid="{9C73F77E-9118-4566-875B-30C30512A309}"/>
    <cellStyle name="Normal 3 2 2 2 2 2 2 2 2 2 2 2 2 2 2 2 58 3" xfId="26378" xr:uid="{91DD2877-656F-49AF-8179-EA0D41CD403B}"/>
    <cellStyle name="Normal 3 2 2 2 2 2 2 2 2 2 2 2 2 2 2 2 58 4" xfId="26379" xr:uid="{9D723343-06DC-4736-9346-A7DABE4FF7A1}"/>
    <cellStyle name="Normal 3 2 2 2 2 2 2 2 2 2 2 2 2 2 2 2 59" xfId="26380" xr:uid="{54E7232E-5B4C-4EAB-8140-3C188F82F04C}"/>
    <cellStyle name="Normal 3 2 2 2 2 2 2 2 2 2 2 2 2 2 2 2 6" xfId="26381" xr:uid="{E9262B28-3626-462F-8A9C-5CC6D25A83B0}"/>
    <cellStyle name="Normal 3 2 2 2 2 2 2 2 2 2 2 2 2 2 2 2 60" xfId="26382" xr:uid="{43C8553F-92AF-4F9B-A068-76A390446C7C}"/>
    <cellStyle name="Normal 3 2 2 2 2 2 2 2 2 2 2 2 2 2 2 2 7" xfId="26383" xr:uid="{E6C6454B-E172-4E14-8F8A-2692ED610927}"/>
    <cellStyle name="Normal 3 2 2 2 2 2 2 2 2 2 2 2 2 2 2 2 8" xfId="26384" xr:uid="{4E760721-D2B3-462A-BBCD-8F75872E6D9B}"/>
    <cellStyle name="Normal 3 2 2 2 2 2 2 2 2 2 2 2 2 2 2 2 9" xfId="26385" xr:uid="{FDC782B8-1E6F-4110-AB2D-3E5433F14E1E}"/>
    <cellStyle name="Normal 3 2 2 2 2 2 2 2 2 2 2 2 2 2 2 20" xfId="26386" xr:uid="{C61DD3E3-9314-4C1A-9AFA-D18A88501A50}"/>
    <cellStyle name="Normal 3 2 2 2 2 2 2 2 2 2 2 2 2 2 2 21" xfId="26387" xr:uid="{6A3490BF-B52F-4AAF-A980-4FE2A621EC60}"/>
    <cellStyle name="Normal 3 2 2 2 2 2 2 2 2 2 2 2 2 2 2 22" xfId="26388" xr:uid="{AB854A2E-4E40-4EB7-B6D0-E872501D2268}"/>
    <cellStyle name="Normal 3 2 2 2 2 2 2 2 2 2 2 2 2 2 2 23" xfId="26389" xr:uid="{490B4D75-AEDF-4C2A-BE30-1BF17F05A76E}"/>
    <cellStyle name="Normal 3 2 2 2 2 2 2 2 2 2 2 2 2 2 2 24" xfId="26390" xr:uid="{E2DD8807-2C5A-49E9-B63F-58DCB3127F51}"/>
    <cellStyle name="Normal 3 2 2 2 2 2 2 2 2 2 2 2 2 2 2 25" xfId="26391" xr:uid="{E4746164-F4AB-499E-8B0E-CD430FE10C2F}"/>
    <cellStyle name="Normal 3 2 2 2 2 2 2 2 2 2 2 2 2 2 2 26" xfId="26392" xr:uid="{DCD011D5-89E0-4B7E-84E8-1A3AD316BC07}"/>
    <cellStyle name="Normal 3 2 2 2 2 2 2 2 2 2 2 2 2 2 2 27" xfId="26393" xr:uid="{41A76D18-EF3B-4DBF-8F1C-521BC6827E1E}"/>
    <cellStyle name="Normal 3 2 2 2 2 2 2 2 2 2 2 2 2 2 2 28" xfId="26394" xr:uid="{1748AD0D-E441-4F2E-804A-F4C947A48E35}"/>
    <cellStyle name="Normal 3 2 2 2 2 2 2 2 2 2 2 2 2 2 2 28 2" xfId="26395" xr:uid="{F02F8815-BDD1-4CAB-AE06-3BBFF7C98373}"/>
    <cellStyle name="Normal 3 2 2 2 2 2 2 2 2 2 2 2 2 2 2 28 3" xfId="26396" xr:uid="{ECDBF5C6-37B7-4811-A87F-B74CB817BF4A}"/>
    <cellStyle name="Normal 3 2 2 2 2 2 2 2 2 2 2 2 2 2 2 28 4" xfId="26397" xr:uid="{6CA14AF4-1C53-49D0-83AC-B950F90D77E2}"/>
    <cellStyle name="Normal 3 2 2 2 2 2 2 2 2 2 2 2 2 2 2 28 5" xfId="26398" xr:uid="{0C050B3C-3DE7-4019-9588-42F809F384F6}"/>
    <cellStyle name="Normal 3 2 2 2 2 2 2 2 2 2 2 2 2 2 2 28 6" xfId="26399" xr:uid="{1188C6B3-2BC1-4F27-9CC8-C8E23096A174}"/>
    <cellStyle name="Normal 3 2 2 2 2 2 2 2 2 2 2 2 2 2 2 28 7" xfId="26400" xr:uid="{C68C8318-D017-459A-979D-3049A5C65A92}"/>
    <cellStyle name="Normal 3 2 2 2 2 2 2 2 2 2 2 2 2 2 2 29" xfId="26401" xr:uid="{574033E5-42C1-4273-9C58-DF74BB622D3F}"/>
    <cellStyle name="Normal 3 2 2 2 2 2 2 2 2 2 2 2 2 2 2 3" xfId="26402" xr:uid="{16E9092A-4AE6-40B8-9B06-9FA43CFD578F}"/>
    <cellStyle name="Normal 3 2 2 2 2 2 2 2 2 2 2 2 2 2 2 30" xfId="26403" xr:uid="{A4F5822E-19EC-4757-B7FE-B4A251FFD93B}"/>
    <cellStyle name="Normal 3 2 2 2 2 2 2 2 2 2 2 2 2 2 2 31" xfId="26404" xr:uid="{62950711-027A-4F00-994C-253DAC1BDAE2}"/>
    <cellStyle name="Normal 3 2 2 2 2 2 2 2 2 2 2 2 2 2 2 32" xfId="26405" xr:uid="{FA32FFAB-3B96-4EAB-B156-A5FF79154395}"/>
    <cellStyle name="Normal 3 2 2 2 2 2 2 2 2 2 2 2 2 2 2 33" xfId="26406" xr:uid="{45B429FF-AF0B-4AED-92A1-E73F37B0CDFE}"/>
    <cellStyle name="Normal 3 2 2 2 2 2 2 2 2 2 2 2 2 2 2 34" xfId="26407" xr:uid="{797BBA03-3702-4109-9B0D-5608BE604A93}"/>
    <cellStyle name="Normal 3 2 2 2 2 2 2 2 2 2 2 2 2 2 2 35" xfId="26408" xr:uid="{4198554F-004E-45CC-839A-A926218C84BF}"/>
    <cellStyle name="Normal 3 2 2 2 2 2 2 2 2 2 2 2 2 2 2 36" xfId="26409" xr:uid="{AD2BF92C-AA7A-493E-AE8E-14074063890A}"/>
    <cellStyle name="Normal 3 2 2 2 2 2 2 2 2 2 2 2 2 2 2 37" xfId="26410" xr:uid="{A1C5AB60-16DF-4AD0-8E7E-6D7C58749436}"/>
    <cellStyle name="Normal 3 2 2 2 2 2 2 2 2 2 2 2 2 2 2 38" xfId="26411" xr:uid="{9F28A939-E4C2-4919-9843-9A66151D47B8}"/>
    <cellStyle name="Normal 3 2 2 2 2 2 2 2 2 2 2 2 2 2 2 39" xfId="26412" xr:uid="{19834967-17F8-498E-A5E8-D316581500FC}"/>
    <cellStyle name="Normal 3 2 2 2 2 2 2 2 2 2 2 2 2 2 2 4" xfId="26413" xr:uid="{7C99D0F0-384E-4F87-B8D1-599118CB7E97}"/>
    <cellStyle name="Normal 3 2 2 2 2 2 2 2 2 2 2 2 2 2 2 40" xfId="26414" xr:uid="{9432445E-34E4-4455-BD87-0885A9FA215A}"/>
    <cellStyle name="Normal 3 2 2 2 2 2 2 2 2 2 2 2 2 2 2 41" xfId="26415" xr:uid="{1BACD6F6-CF83-405F-A186-B96B352960AE}"/>
    <cellStyle name="Normal 3 2 2 2 2 2 2 2 2 2 2 2 2 2 2 42" xfId="26416" xr:uid="{AF4EF85A-1ECB-4DD7-96A1-F08B30F60ADF}"/>
    <cellStyle name="Normal 3 2 2 2 2 2 2 2 2 2 2 2 2 2 2 43" xfId="26417" xr:uid="{10E9A664-3F7C-48A0-A9C9-8DF00CCCBC1D}"/>
    <cellStyle name="Normal 3 2 2 2 2 2 2 2 2 2 2 2 2 2 2 44" xfId="26418" xr:uid="{15540529-2C27-4C8D-B8B7-6927B4744C40}"/>
    <cellStyle name="Normal 3 2 2 2 2 2 2 2 2 2 2 2 2 2 2 45" xfId="26419" xr:uid="{996E39C5-06A3-486B-BD67-438D1EFB376C}"/>
    <cellStyle name="Normal 3 2 2 2 2 2 2 2 2 2 2 2 2 2 2 46" xfId="26420" xr:uid="{169094D4-798B-4A81-81BA-2FE5E046FD81}"/>
    <cellStyle name="Normal 3 2 2 2 2 2 2 2 2 2 2 2 2 2 2 47" xfId="26421" xr:uid="{099716E2-8477-43F6-A834-F029B1AB0D9E}"/>
    <cellStyle name="Normal 3 2 2 2 2 2 2 2 2 2 2 2 2 2 2 48" xfId="26422" xr:uid="{9DD68296-B770-4F07-A70A-864986F27281}"/>
    <cellStyle name="Normal 3 2 2 2 2 2 2 2 2 2 2 2 2 2 2 49" xfId="26423" xr:uid="{B937B670-32EA-41D5-AC85-4AEC2108BA99}"/>
    <cellStyle name="Normal 3 2 2 2 2 2 2 2 2 2 2 2 2 2 2 5" xfId="26424" xr:uid="{EAD6B42E-4C1A-4738-9988-1EB58A53CA08}"/>
    <cellStyle name="Normal 3 2 2 2 2 2 2 2 2 2 2 2 2 2 2 5 10" xfId="26425" xr:uid="{2E3F1A72-A94A-4DE2-AE45-435FC1AFD4BC}"/>
    <cellStyle name="Normal 3 2 2 2 2 2 2 2 2 2 2 2 2 2 2 5 11" xfId="26426" xr:uid="{ECE2135F-CD14-4D9F-9CED-3F88BB2FDB9E}"/>
    <cellStyle name="Normal 3 2 2 2 2 2 2 2 2 2 2 2 2 2 2 5 2" xfId="26427" xr:uid="{B96267E8-DC83-439E-BFE1-AAA8A5457E86}"/>
    <cellStyle name="Normal 3 2 2 2 2 2 2 2 2 2 2 2 2 2 2 5 2 10" xfId="26428" xr:uid="{73232347-A8C4-4AF7-AC39-CBDA6FB366A0}"/>
    <cellStyle name="Normal 3 2 2 2 2 2 2 2 2 2 2 2 2 2 2 5 2 11" xfId="26429" xr:uid="{62CDC1D0-F045-4F54-94CD-557B2BC7F197}"/>
    <cellStyle name="Normal 3 2 2 2 2 2 2 2 2 2 2 2 2 2 2 5 2 2" xfId="26430" xr:uid="{5E32A8B6-719A-4D75-809A-B066CDF36159}"/>
    <cellStyle name="Normal 3 2 2 2 2 2 2 2 2 2 2 2 2 2 2 5 2 2 2" xfId="26431" xr:uid="{B824DD13-5658-4719-A0B0-E7372B5E748F}"/>
    <cellStyle name="Normal 3 2 2 2 2 2 2 2 2 2 2 2 2 2 2 5 2 2 2 2" xfId="26432" xr:uid="{0F5A7FB6-458F-4CED-8488-4172E62B8CB8}"/>
    <cellStyle name="Normal 3 2 2 2 2 2 2 2 2 2 2 2 2 2 2 5 2 2 2 3" xfId="26433" xr:uid="{F22E5650-AB16-4A7B-9618-E4B57B179A63}"/>
    <cellStyle name="Normal 3 2 2 2 2 2 2 2 2 2 2 2 2 2 2 5 2 2 2 4" xfId="26434" xr:uid="{62303A49-F8F8-4C42-AE07-B934ECE7F84D}"/>
    <cellStyle name="Normal 3 2 2 2 2 2 2 2 2 2 2 2 2 2 2 5 2 2 3" xfId="26435" xr:uid="{2C826B21-7C2C-4B81-BA7B-D0E798551B34}"/>
    <cellStyle name="Normal 3 2 2 2 2 2 2 2 2 2 2 2 2 2 2 5 2 2 4" xfId="26436" xr:uid="{CE3284E2-F149-4C00-8CD4-E2E15546298C}"/>
    <cellStyle name="Normal 3 2 2 2 2 2 2 2 2 2 2 2 2 2 2 5 2 2 5" xfId="26437" xr:uid="{18614C67-183B-40B8-8C0B-501946E222EF}"/>
    <cellStyle name="Normal 3 2 2 2 2 2 2 2 2 2 2 2 2 2 2 5 2 2 6" xfId="26438" xr:uid="{CDA0FE22-A32C-49A0-978B-506FCE293302}"/>
    <cellStyle name="Normal 3 2 2 2 2 2 2 2 2 2 2 2 2 2 2 5 2 3" xfId="26439" xr:uid="{8AB6F2C0-F5BA-4493-BCAA-1021F8418475}"/>
    <cellStyle name="Normal 3 2 2 2 2 2 2 2 2 2 2 2 2 2 2 5 2 4" xfId="26440" xr:uid="{ABA3B1F2-3311-4172-9B0F-2D18996B7CAC}"/>
    <cellStyle name="Normal 3 2 2 2 2 2 2 2 2 2 2 2 2 2 2 5 2 5" xfId="26441" xr:uid="{4B823BAD-2A99-4BEB-9B5F-A250D7067FE4}"/>
    <cellStyle name="Normal 3 2 2 2 2 2 2 2 2 2 2 2 2 2 2 5 2 6" xfId="26442" xr:uid="{2087BF55-B499-452A-B00C-41B106A80585}"/>
    <cellStyle name="Normal 3 2 2 2 2 2 2 2 2 2 2 2 2 2 2 5 2 7" xfId="26443" xr:uid="{487FBC3C-3A3E-4A2C-A4BC-5B109DB4750C}"/>
    <cellStyle name="Normal 3 2 2 2 2 2 2 2 2 2 2 2 2 2 2 5 2 8" xfId="26444" xr:uid="{F407721D-4D38-406E-9FD9-8242E63DFE28}"/>
    <cellStyle name="Normal 3 2 2 2 2 2 2 2 2 2 2 2 2 2 2 5 2 8 2" xfId="26445" xr:uid="{48ECFF6E-11B7-47B0-AD4A-C989B9A6C632}"/>
    <cellStyle name="Normal 3 2 2 2 2 2 2 2 2 2 2 2 2 2 2 5 2 8 3" xfId="26446" xr:uid="{A35EA35B-8C5D-410D-A044-57D2B0F59725}"/>
    <cellStyle name="Normal 3 2 2 2 2 2 2 2 2 2 2 2 2 2 2 5 2 8 4" xfId="26447" xr:uid="{95967410-953D-40A1-8283-5C633C987A2B}"/>
    <cellStyle name="Normal 3 2 2 2 2 2 2 2 2 2 2 2 2 2 2 5 2 9" xfId="26448" xr:uid="{F03D20CB-8A49-4E99-AD8D-7258C747E122}"/>
    <cellStyle name="Normal 3 2 2 2 2 2 2 2 2 2 2 2 2 2 2 5 3" xfId="26449" xr:uid="{E3DDA857-9F49-4147-B289-ED49D19AF3B8}"/>
    <cellStyle name="Normal 3 2 2 2 2 2 2 2 2 2 2 2 2 2 2 5 3 2" xfId="26450" xr:uid="{AE61F079-A034-459D-BA10-0080BEF5850D}"/>
    <cellStyle name="Normal 3 2 2 2 2 2 2 2 2 2 2 2 2 2 2 5 3 2 2" xfId="26451" xr:uid="{04C3C9DE-4476-4155-8A96-3C181279C69E}"/>
    <cellStyle name="Normal 3 2 2 2 2 2 2 2 2 2 2 2 2 2 2 5 3 2 3" xfId="26452" xr:uid="{EEB2B519-90F0-4C7E-BD37-E5FAFC2AED73}"/>
    <cellStyle name="Normal 3 2 2 2 2 2 2 2 2 2 2 2 2 2 2 5 3 2 4" xfId="26453" xr:uid="{3BE4CC30-11F5-4113-9475-05C8B2CC2DDE}"/>
    <cellStyle name="Normal 3 2 2 2 2 2 2 2 2 2 2 2 2 2 2 5 3 3" xfId="26454" xr:uid="{D7B3307F-FF83-4E31-BC39-F34C4CF2F59F}"/>
    <cellStyle name="Normal 3 2 2 2 2 2 2 2 2 2 2 2 2 2 2 5 3 4" xfId="26455" xr:uid="{3CE58102-DBC5-4605-B0A6-36641B06B03E}"/>
    <cellStyle name="Normal 3 2 2 2 2 2 2 2 2 2 2 2 2 2 2 5 3 5" xfId="26456" xr:uid="{F805817B-54A3-446D-BE1E-618D4B991675}"/>
    <cellStyle name="Normal 3 2 2 2 2 2 2 2 2 2 2 2 2 2 2 5 3 6" xfId="26457" xr:uid="{B7838F61-699C-4F2A-B2A1-FDF10C624A7C}"/>
    <cellStyle name="Normal 3 2 2 2 2 2 2 2 2 2 2 2 2 2 2 5 4" xfId="26458" xr:uid="{C9E44F4C-5554-4181-8E47-1453CFBFC425}"/>
    <cellStyle name="Normal 3 2 2 2 2 2 2 2 2 2 2 2 2 2 2 5 5" xfId="26459" xr:uid="{4B105F63-B276-4EAF-9DAD-6D92F1F12609}"/>
    <cellStyle name="Normal 3 2 2 2 2 2 2 2 2 2 2 2 2 2 2 5 6" xfId="26460" xr:uid="{4BD0B52F-CA52-42E4-96C6-40CCEFE5F615}"/>
    <cellStyle name="Normal 3 2 2 2 2 2 2 2 2 2 2 2 2 2 2 5 7" xfId="26461" xr:uid="{BC5BC4CC-5E70-41CC-BC9D-BBF5D2FE3838}"/>
    <cellStyle name="Normal 3 2 2 2 2 2 2 2 2 2 2 2 2 2 2 5 8" xfId="26462" xr:uid="{5599A464-39EA-4867-AE75-1C5E952D3A81}"/>
    <cellStyle name="Normal 3 2 2 2 2 2 2 2 2 2 2 2 2 2 2 5 8 2" xfId="26463" xr:uid="{2976BA31-B17F-4953-9A83-6A385BC822F4}"/>
    <cellStyle name="Normal 3 2 2 2 2 2 2 2 2 2 2 2 2 2 2 5 8 3" xfId="26464" xr:uid="{6FEEC8B8-02ED-4963-B35A-C71F3F8EDDE1}"/>
    <cellStyle name="Normal 3 2 2 2 2 2 2 2 2 2 2 2 2 2 2 5 8 4" xfId="26465" xr:uid="{26E085F6-4CF6-44E4-BCA8-4A794AC0F833}"/>
    <cellStyle name="Normal 3 2 2 2 2 2 2 2 2 2 2 2 2 2 2 5 9" xfId="26466" xr:uid="{5D3BFA6A-056E-42BC-A3C1-EDE767A6EDC5}"/>
    <cellStyle name="Normal 3 2 2 2 2 2 2 2 2 2 2 2 2 2 2 50" xfId="26467" xr:uid="{43AAC552-7263-453A-A0AB-1E858B77442B}"/>
    <cellStyle name="Normal 3 2 2 2 2 2 2 2 2 2 2 2 2 2 2 51" xfId="26468" xr:uid="{BA5BA196-5EE2-4B9B-A0E0-833EFF829F45}"/>
    <cellStyle name="Normal 3 2 2 2 2 2 2 2 2 2 2 2 2 2 2 52" xfId="26469" xr:uid="{7A3519AD-A26E-41AA-8E06-320948A21647}"/>
    <cellStyle name="Normal 3 2 2 2 2 2 2 2 2 2 2 2 2 2 2 53" xfId="26470" xr:uid="{875426F6-0116-471A-AD5D-FE30A68FE236}"/>
    <cellStyle name="Normal 3 2 2 2 2 2 2 2 2 2 2 2 2 2 2 54" xfId="26471" xr:uid="{020E9BE2-3386-4CDB-9ACA-39F32E6D7C5A}"/>
    <cellStyle name="Normal 3 2 2 2 2 2 2 2 2 2 2 2 2 2 2 55" xfId="26472" xr:uid="{8EFFBE52-25B9-49CA-B277-10ACD35C5344}"/>
    <cellStyle name="Normal 3 2 2 2 2 2 2 2 2 2 2 2 2 2 2 56" xfId="26473" xr:uid="{FA40F355-7F77-4570-AF55-302F38CE204D}"/>
    <cellStyle name="Normal 3 2 2 2 2 2 2 2 2 2 2 2 2 2 2 57" xfId="26474" xr:uid="{396C3888-4CD7-44D1-B57A-DB2E9FD34EB9}"/>
    <cellStyle name="Normal 3 2 2 2 2 2 2 2 2 2 2 2 2 2 2 58" xfId="26475" xr:uid="{2FE04F32-3121-4C03-9EAD-70357DF1CDB9}"/>
    <cellStyle name="Normal 3 2 2 2 2 2 2 2 2 2 2 2 2 2 2 59" xfId="26476" xr:uid="{4A44F8E0-8473-4FBC-AABF-29EDE27AB7A3}"/>
    <cellStyle name="Normal 3 2 2 2 2 2 2 2 2 2 2 2 2 2 2 6" xfId="26477" xr:uid="{4492EF6D-02A1-4EBB-BA62-716DDBC6C6EE}"/>
    <cellStyle name="Normal 3 2 2 2 2 2 2 2 2 2 2 2 2 2 2 60" xfId="26478" xr:uid="{F1DE2FA9-F99F-4DDD-AD79-809BB688B343}"/>
    <cellStyle name="Normal 3 2 2 2 2 2 2 2 2 2 2 2 2 2 2 60 2" xfId="26479" xr:uid="{DFD0638F-AB83-41BA-AABD-91C225888D06}"/>
    <cellStyle name="Normal 3 2 2 2 2 2 2 2 2 2 2 2 2 2 2 60 3" xfId="26480" xr:uid="{20AFE605-0B7F-4A96-97DF-57CCAC936C7F}"/>
    <cellStyle name="Normal 3 2 2 2 2 2 2 2 2 2 2 2 2 2 2 60 4" xfId="26481" xr:uid="{EF4A78F9-8AC6-41AB-929C-E1D455FCEF02}"/>
    <cellStyle name="Normal 3 2 2 2 2 2 2 2 2 2 2 2 2 2 2 61" xfId="26482" xr:uid="{C333A2C4-65CA-49B4-BD33-F82EBBCC4E3B}"/>
    <cellStyle name="Normal 3 2 2 2 2 2 2 2 2 2 2 2 2 2 2 62" xfId="26483" xr:uid="{798BB1A5-FB9D-4462-B4D7-D7FEAAECA36E}"/>
    <cellStyle name="Normal 3 2 2 2 2 2 2 2 2 2 2 2 2 2 2 7" xfId="26484" xr:uid="{B2DF55F5-DC97-4ACB-B778-4A6C13308EBD}"/>
    <cellStyle name="Normal 3 2 2 2 2 2 2 2 2 2 2 2 2 2 2 7 2" xfId="26485" xr:uid="{1315690B-726E-4C29-AB14-A641E8EA9F4A}"/>
    <cellStyle name="Normal 3 2 2 2 2 2 2 2 2 2 2 2 2 2 2 7 2 2" xfId="26486" xr:uid="{DEC276A9-4EC9-411B-8B3B-69B0CAF9F96C}"/>
    <cellStyle name="Normal 3 2 2 2 2 2 2 2 2 2 2 2 2 2 2 7 2 3" xfId="26487" xr:uid="{420B44EB-8FAE-48E6-B160-7CEDF1669957}"/>
    <cellStyle name="Normal 3 2 2 2 2 2 2 2 2 2 2 2 2 2 2 7 2 4" xfId="26488" xr:uid="{AF54BA70-3AF2-4DB7-9559-0FB105781AA7}"/>
    <cellStyle name="Normal 3 2 2 2 2 2 2 2 2 2 2 2 2 2 2 7 3" xfId="26489" xr:uid="{4F41BA1B-24B2-4EF5-B322-8911EC9782C4}"/>
    <cellStyle name="Normal 3 2 2 2 2 2 2 2 2 2 2 2 2 2 2 7 4" xfId="26490" xr:uid="{61B17D77-69C6-44A5-9C9D-2F317D484FB0}"/>
    <cellStyle name="Normal 3 2 2 2 2 2 2 2 2 2 2 2 2 2 2 7 5" xfId="26491" xr:uid="{1C2ED87E-F1CB-4F58-B45C-672B1EDFBD5B}"/>
    <cellStyle name="Normal 3 2 2 2 2 2 2 2 2 2 2 2 2 2 2 7 6" xfId="26492" xr:uid="{5EB2028D-CD41-40E2-A842-DB272618BCA0}"/>
    <cellStyle name="Normal 3 2 2 2 2 2 2 2 2 2 2 2 2 2 2 8" xfId="26493" xr:uid="{F7597BAE-42A2-4ACE-9D38-C82BF50B2262}"/>
    <cellStyle name="Normal 3 2 2 2 2 2 2 2 2 2 2 2 2 2 2 9" xfId="26494" xr:uid="{C95055DA-FA46-4618-9AB1-AE04E7623196}"/>
    <cellStyle name="Normal 3 2 2 2 2 2 2 2 2 2 2 2 2 2 20" xfId="26495" xr:uid="{BDB71A5B-4123-4A20-B874-B57B96239B81}"/>
    <cellStyle name="Normal 3 2 2 2 2 2 2 2 2 2 2 2 2 2 21" xfId="26496" xr:uid="{D8633403-64D8-49D1-ABDA-EC0405C4E562}"/>
    <cellStyle name="Normal 3 2 2 2 2 2 2 2 2 2 2 2 2 2 21 2" xfId="26497" xr:uid="{67B378B0-7D6E-485D-A94C-2AD2207AA34E}"/>
    <cellStyle name="Normal 3 2 2 2 2 2 2 2 2 2 2 2 2 2 21 3" xfId="26498" xr:uid="{A7F9EE40-7021-4FE9-8FE3-A61F45280BDE}"/>
    <cellStyle name="Normal 3 2 2 2 2 2 2 2 2 2 2 2 2 2 21 4" xfId="26499" xr:uid="{2D82D491-B874-4BCF-A9D8-50D464347570}"/>
    <cellStyle name="Normal 3 2 2 2 2 2 2 2 2 2 2 2 2 2 22" xfId="26500" xr:uid="{341467EC-43A8-4AFA-98EF-F796A7849E15}"/>
    <cellStyle name="Normal 3 2 2 2 2 2 2 2 2 2 2 2 2 2 23" xfId="26501" xr:uid="{EB3D04AF-DA4A-40F4-ABD9-406BD6F9AC91}"/>
    <cellStyle name="Normal 3 2 2 2 2 2 2 2 2 2 2 2 2 2 24" xfId="26502" xr:uid="{1361798B-6341-4A52-9B6A-AEC52730A874}"/>
    <cellStyle name="Normal 3 2 2 2 2 2 2 2 2 2 2 2 2 2 25" xfId="26503" xr:uid="{7B668392-11C6-4341-A449-24EB47EE058F}"/>
    <cellStyle name="Normal 3 2 2 2 2 2 2 2 2 2 2 2 2 2 26" xfId="26504" xr:uid="{113DF157-DE04-437D-A9B3-7390383231C7}"/>
    <cellStyle name="Normal 3 2 2 2 2 2 2 2 2 2 2 2 2 2 27" xfId="26505" xr:uid="{1D5AA1C7-1D77-4635-9FDF-A3B3B0A4615B}"/>
    <cellStyle name="Normal 3 2 2 2 2 2 2 2 2 2 2 2 2 2 28" xfId="26506" xr:uid="{E3D689DB-B443-4B64-9D88-50FA654E4750}"/>
    <cellStyle name="Normal 3 2 2 2 2 2 2 2 2 2 2 2 2 2 29" xfId="26507" xr:uid="{4523119B-B252-496F-8526-75589151C802}"/>
    <cellStyle name="Normal 3 2 2 2 2 2 2 2 2 2 2 2 2 2 3" xfId="26508" xr:uid="{DBD557A4-7FF4-46BD-9330-C3462997588A}"/>
    <cellStyle name="Normal 3 2 2 2 2 2 2 2 2 2 2 2 2 2 30" xfId="26509" xr:uid="{586C973C-2575-4AAE-AD67-6DCC605EBE1F}"/>
    <cellStyle name="Normal 3 2 2 2 2 2 2 2 2 2 2 2 2 2 31" xfId="26510" xr:uid="{84BD691C-E4D2-44E0-B1FB-8830E858BAEB}"/>
    <cellStyle name="Normal 3 2 2 2 2 2 2 2 2 2 2 2 2 2 32" xfId="26511" xr:uid="{91178F9A-961C-4380-B1B8-9A03B16AA4CC}"/>
    <cellStyle name="Normal 3 2 2 2 2 2 2 2 2 2 2 2 2 2 33" xfId="26512" xr:uid="{E05BAC22-FF15-4C90-AEB0-FBAD15BE17DC}"/>
    <cellStyle name="Normal 3 2 2 2 2 2 2 2 2 2 2 2 2 2 34" xfId="26513" xr:uid="{BB58568A-7AFE-4F7E-94C9-A4C5F959862C}"/>
    <cellStyle name="Normal 3 2 2 2 2 2 2 2 2 2 2 2 2 2 35" xfId="26514" xr:uid="{5CF47B25-98C9-49EB-A6A7-CEE3F2FB4C26}"/>
    <cellStyle name="Normal 3 2 2 2 2 2 2 2 2 2 2 2 2 2 36" xfId="26515" xr:uid="{92760D0C-87CD-448E-8AF0-07A8BADAB8EA}"/>
    <cellStyle name="Normal 3 2 2 2 2 2 2 2 2 2 2 2 2 2 36 2" xfId="26516" xr:uid="{F7E1F797-20B4-4C39-B86D-120F9C12ECDC}"/>
    <cellStyle name="Normal 3 2 2 2 2 2 2 2 2 2 2 2 2 2 36 3" xfId="26517" xr:uid="{EDF768C8-D544-4484-BA36-01D2A18F32AB}"/>
    <cellStyle name="Normal 3 2 2 2 2 2 2 2 2 2 2 2 2 2 36 4" xfId="26518" xr:uid="{EFF0A877-84CD-48D0-B833-39E7C32F1604}"/>
    <cellStyle name="Normal 3 2 2 2 2 2 2 2 2 2 2 2 2 2 36 5" xfId="26519" xr:uid="{B0F041A5-F145-47C5-93C9-6D936DF8B9E1}"/>
    <cellStyle name="Normal 3 2 2 2 2 2 2 2 2 2 2 2 2 2 36 6" xfId="26520" xr:uid="{F33740DA-0137-47B6-8F8F-4C5208BCBB46}"/>
    <cellStyle name="Normal 3 2 2 2 2 2 2 2 2 2 2 2 2 2 36 7" xfId="26521" xr:uid="{AA1FA56F-276E-4725-A61E-5AEF8153C374}"/>
    <cellStyle name="Normal 3 2 2 2 2 2 2 2 2 2 2 2 2 2 37" xfId="26522" xr:uid="{498F9831-526E-4281-8DCC-2ABF836754A0}"/>
    <cellStyle name="Normal 3 2 2 2 2 2 2 2 2 2 2 2 2 2 38" xfId="26523" xr:uid="{28D41166-8E53-4205-8562-0476678B0F05}"/>
    <cellStyle name="Normal 3 2 2 2 2 2 2 2 2 2 2 2 2 2 39" xfId="26524" xr:uid="{0630854E-562D-4784-B4EA-C43C7EE0101C}"/>
    <cellStyle name="Normal 3 2 2 2 2 2 2 2 2 2 2 2 2 2 4" xfId="26525" xr:uid="{3BD7FD5E-E4BA-4F53-BE5A-C45165A19506}"/>
    <cellStyle name="Normal 3 2 2 2 2 2 2 2 2 2 2 2 2 2 40" xfId="26526" xr:uid="{4FDEFE44-DDF9-4D2A-BEF8-521B3A23ED49}"/>
    <cellStyle name="Normal 3 2 2 2 2 2 2 2 2 2 2 2 2 2 41" xfId="26527" xr:uid="{2E589B26-2AAF-490A-81F8-37E9B919C05F}"/>
    <cellStyle name="Normal 3 2 2 2 2 2 2 2 2 2 2 2 2 2 42" xfId="26528" xr:uid="{1B48A167-1DA9-4AF5-916D-F2AB25095434}"/>
    <cellStyle name="Normal 3 2 2 2 2 2 2 2 2 2 2 2 2 2 43" xfId="26529" xr:uid="{DD807D5E-18E3-4AEC-BB2E-66E75CDE1695}"/>
    <cellStyle name="Normal 3 2 2 2 2 2 2 2 2 2 2 2 2 2 44" xfId="26530" xr:uid="{96E7D368-765D-4084-B375-887079A0025C}"/>
    <cellStyle name="Normal 3 2 2 2 2 2 2 2 2 2 2 2 2 2 45" xfId="26531" xr:uid="{CDEAC56D-F532-4403-BE5E-A0DE90768A77}"/>
    <cellStyle name="Normal 3 2 2 2 2 2 2 2 2 2 2 2 2 2 46" xfId="26532" xr:uid="{BC575D03-B27C-475D-BD55-C8288F7DA2FC}"/>
    <cellStyle name="Normal 3 2 2 2 2 2 2 2 2 2 2 2 2 2 47" xfId="26533" xr:uid="{22817561-F575-4E04-896D-AF965BDB6DBF}"/>
    <cellStyle name="Normal 3 2 2 2 2 2 2 2 2 2 2 2 2 2 48" xfId="26534" xr:uid="{0319E259-DF1B-4738-9B07-5CACEE2FDFD3}"/>
    <cellStyle name="Normal 3 2 2 2 2 2 2 2 2 2 2 2 2 2 49" xfId="26535" xr:uid="{440A6BD7-7825-4FAB-BB19-871093541E7E}"/>
    <cellStyle name="Normal 3 2 2 2 2 2 2 2 2 2 2 2 2 2 5" xfId="26536" xr:uid="{94FB30E9-01E5-42BE-9E62-E848CFD52618}"/>
    <cellStyle name="Normal 3 2 2 2 2 2 2 2 2 2 2 2 2 2 50" xfId="26537" xr:uid="{CEEB827F-F1DD-4726-8732-48C8FF051D84}"/>
    <cellStyle name="Normal 3 2 2 2 2 2 2 2 2 2 2 2 2 2 51" xfId="26538" xr:uid="{0E67039B-0636-4E97-BA7A-0AA8200DA10E}"/>
    <cellStyle name="Normal 3 2 2 2 2 2 2 2 2 2 2 2 2 2 52" xfId="26539" xr:uid="{9CA06CCB-0FFE-401E-BE5A-195AABB11421}"/>
    <cellStyle name="Normal 3 2 2 2 2 2 2 2 2 2 2 2 2 2 53" xfId="26540" xr:uid="{31FB5AED-B4BD-4EBA-9B6C-F3D5D4AEA31C}"/>
    <cellStyle name="Normal 3 2 2 2 2 2 2 2 2 2 2 2 2 2 54" xfId="26541" xr:uid="{26160C10-F1F4-4EB1-A6E6-13F766C33B6C}"/>
    <cellStyle name="Normal 3 2 2 2 2 2 2 2 2 2 2 2 2 2 55" xfId="26542" xr:uid="{9B58AD55-0A52-4DD1-8E99-6E50BA50FC4D}"/>
    <cellStyle name="Normal 3 2 2 2 2 2 2 2 2 2 2 2 2 2 56" xfId="26543" xr:uid="{FBEE3D89-D2FC-49AB-A5F5-4895D625594B}"/>
    <cellStyle name="Normal 3 2 2 2 2 2 2 2 2 2 2 2 2 2 57" xfId="26544" xr:uid="{8D4A3C78-386E-4B46-BC1D-7327E776E33F}"/>
    <cellStyle name="Normal 3 2 2 2 2 2 2 2 2 2 2 2 2 2 58" xfId="26545" xr:uid="{F1F26781-383D-4920-9600-1A0AB88D36EA}"/>
    <cellStyle name="Normal 3 2 2 2 2 2 2 2 2 2 2 2 2 2 59" xfId="26546" xr:uid="{33E8880D-CA8A-468F-AF50-74D78BB3AC6D}"/>
    <cellStyle name="Normal 3 2 2 2 2 2 2 2 2 2 2 2 2 2 6" xfId="26547" xr:uid="{796BA8CD-5B6E-4956-B487-E4170E87B21B}"/>
    <cellStyle name="Normal 3 2 2 2 2 2 2 2 2 2 2 2 2 2 60" xfId="26548" xr:uid="{473E64A0-BD53-4BCF-8700-F2B9DB0ED4BE}"/>
    <cellStyle name="Normal 3 2 2 2 2 2 2 2 2 2 2 2 2 2 61" xfId="26549" xr:uid="{160E9157-8F71-4890-B902-FAC750D48FE1}"/>
    <cellStyle name="Normal 3 2 2 2 2 2 2 2 2 2 2 2 2 2 62" xfId="26550" xr:uid="{2A680083-7706-42E3-9949-7C2A9B9AB609}"/>
    <cellStyle name="Normal 3 2 2 2 2 2 2 2 2 2 2 2 2 2 63" xfId="26551" xr:uid="{64A2F8B1-8643-402B-AEA1-476B68AE7A7B}"/>
    <cellStyle name="Normal 3 2 2 2 2 2 2 2 2 2 2 2 2 2 64" xfId="26552" xr:uid="{1AD58C63-6702-482A-A30B-69D14D34C8BA}"/>
    <cellStyle name="Normal 3 2 2 2 2 2 2 2 2 2 2 2 2 2 65" xfId="26553" xr:uid="{64AA0D9F-2CDD-4FF8-9396-B777A3F51CD4}"/>
    <cellStyle name="Normal 3 2 2 2 2 2 2 2 2 2 2 2 2 2 66" xfId="26554" xr:uid="{F3D72BD7-7CCE-44F2-AD67-8ABB31AF04B6}"/>
    <cellStyle name="Normal 3 2 2 2 2 2 2 2 2 2 2 2 2 2 67" xfId="26555" xr:uid="{BFC124F2-7781-41B7-9A6D-0D2655F01999}"/>
    <cellStyle name="Normal 3 2 2 2 2 2 2 2 2 2 2 2 2 2 68" xfId="26556" xr:uid="{A7B39B8B-F7F0-4F8B-86A0-8A97597BB51C}"/>
    <cellStyle name="Normal 3 2 2 2 2 2 2 2 2 2 2 2 2 2 68 2" xfId="26557" xr:uid="{51202E2D-5BD4-4D8A-97D6-EEEBDCFB50A4}"/>
    <cellStyle name="Normal 3 2 2 2 2 2 2 2 2 2 2 2 2 2 68 3" xfId="26558" xr:uid="{959DE974-5E01-4A05-B70E-01552B34FCBE}"/>
    <cellStyle name="Normal 3 2 2 2 2 2 2 2 2 2 2 2 2 2 68 4" xfId="26559" xr:uid="{6AF8C3BC-7496-48FF-BD3E-6DB33C2B4679}"/>
    <cellStyle name="Normal 3 2 2 2 2 2 2 2 2 2 2 2 2 2 69" xfId="26560" xr:uid="{36B33380-F3EC-4020-B1D6-4DA67F05BBC9}"/>
    <cellStyle name="Normal 3 2 2 2 2 2 2 2 2 2 2 2 2 2 7" xfId="26561" xr:uid="{A94BC109-3A6A-49B1-9D97-ECBF3E293414}"/>
    <cellStyle name="Normal 3 2 2 2 2 2 2 2 2 2 2 2 2 2 70" xfId="26562" xr:uid="{32215EF3-71A9-4F05-9CDB-573DAD5193FC}"/>
    <cellStyle name="Normal 3 2 2 2 2 2 2 2 2 2 2 2 2 2 8" xfId="26563" xr:uid="{B06BB83D-F017-439F-9D34-BD871197F760}"/>
    <cellStyle name="Normal 3 2 2 2 2 2 2 2 2 2 2 2 2 2 9" xfId="26564" xr:uid="{8F6F7640-B546-45A1-8914-714284B0A33B}"/>
    <cellStyle name="Normal 3 2 2 2 2 2 2 2 2 2 2 2 2 20" xfId="26565" xr:uid="{CFC83B23-8007-403A-ACFD-5DC080B7EBD1}"/>
    <cellStyle name="Normal 3 2 2 2 2 2 2 2 2 2 2 2 2 21" xfId="26566" xr:uid="{32768942-3712-4B18-8A04-E70337CCE8E1}"/>
    <cellStyle name="Normal 3 2 2 2 2 2 2 2 2 2 2 2 2 22" xfId="26567" xr:uid="{B59B300E-647F-48C2-BCD9-E583A7CCE87C}"/>
    <cellStyle name="Normal 3 2 2 2 2 2 2 2 2 2 2 2 2 22 2" xfId="26568" xr:uid="{29FF6D38-743F-4ECF-83B7-0CCAADC32EA7}"/>
    <cellStyle name="Normal 3 2 2 2 2 2 2 2 2 2 2 2 2 22 3" xfId="26569" xr:uid="{CC55065F-95E6-4DDE-A84C-0CF4A84F1E74}"/>
    <cellStyle name="Normal 3 2 2 2 2 2 2 2 2 2 2 2 2 22 4" xfId="26570" xr:uid="{D0E078A9-C93F-4661-836C-CFF9ED48BB14}"/>
    <cellStyle name="Normal 3 2 2 2 2 2 2 2 2 2 2 2 2 23" xfId="26571" xr:uid="{7A6ACF89-1716-48CD-A095-3902D5632FE0}"/>
    <cellStyle name="Normal 3 2 2 2 2 2 2 2 2 2 2 2 2 24" xfId="26572" xr:uid="{7A4E35D3-F185-4610-BF43-9D1FB4E9B7E3}"/>
    <cellStyle name="Normal 3 2 2 2 2 2 2 2 2 2 2 2 2 25" xfId="26573" xr:uid="{E942E48B-F2A6-4F3F-BF5D-C637C4870DD4}"/>
    <cellStyle name="Normal 3 2 2 2 2 2 2 2 2 2 2 2 2 26" xfId="26574" xr:uid="{70588153-E6BF-4607-99B6-4FB750EE820E}"/>
    <cellStyle name="Normal 3 2 2 2 2 2 2 2 2 2 2 2 2 27" xfId="26575" xr:uid="{8EEA3FF6-7714-4D9F-B9B5-850B46F54962}"/>
    <cellStyle name="Normal 3 2 2 2 2 2 2 2 2 2 2 2 2 28" xfId="26576" xr:uid="{A82A7141-DE2F-41FA-86B1-F3EA50EDECF8}"/>
    <cellStyle name="Normal 3 2 2 2 2 2 2 2 2 2 2 2 2 29" xfId="26577" xr:uid="{679DE554-767E-46D8-A0BB-D78108D5C6DB}"/>
    <cellStyle name="Normal 3 2 2 2 2 2 2 2 2 2 2 2 2 3" xfId="26578" xr:uid="{BD288816-03DE-455B-A435-7C085E019CA7}"/>
    <cellStyle name="Normal 3 2 2 2 2 2 2 2 2 2 2 2 2 30" xfId="26579" xr:uid="{5750D0EF-ABD4-4192-B7C5-C74F6B143B45}"/>
    <cellStyle name="Normal 3 2 2 2 2 2 2 2 2 2 2 2 2 31" xfId="26580" xr:uid="{7AA20D96-6484-4E7C-8E93-FE85FCD8C8F8}"/>
    <cellStyle name="Normal 3 2 2 2 2 2 2 2 2 2 2 2 2 32" xfId="26581" xr:uid="{FE4B993C-1715-46C3-9483-E2701D18BF1E}"/>
    <cellStyle name="Normal 3 2 2 2 2 2 2 2 2 2 2 2 2 33" xfId="26582" xr:uid="{B98DF142-DFBC-406A-874B-C963B835FC83}"/>
    <cellStyle name="Normal 3 2 2 2 2 2 2 2 2 2 2 2 2 34" xfId="26583" xr:uid="{66552CA2-194E-47FD-834A-702814CF1EAE}"/>
    <cellStyle name="Normal 3 2 2 2 2 2 2 2 2 2 2 2 2 35" xfId="26584" xr:uid="{9D468AAC-13FC-4CD2-8E1A-DFC7546A46DB}"/>
    <cellStyle name="Normal 3 2 2 2 2 2 2 2 2 2 2 2 2 36" xfId="26585" xr:uid="{366687EB-EC6D-495E-B13C-1E2BE9F4604A}"/>
    <cellStyle name="Normal 3 2 2 2 2 2 2 2 2 2 2 2 2 37" xfId="26586" xr:uid="{A3F2FA38-4DEC-4C2D-9CCF-60A60707AEC7}"/>
    <cellStyle name="Normal 3 2 2 2 2 2 2 2 2 2 2 2 2 37 2" xfId="26587" xr:uid="{1D9B0149-3AF0-4EE3-9EC3-F62E9D222FDC}"/>
    <cellStyle name="Normal 3 2 2 2 2 2 2 2 2 2 2 2 2 37 3" xfId="26588" xr:uid="{F42D4971-55AF-43A9-8E69-B7532FED1A35}"/>
    <cellStyle name="Normal 3 2 2 2 2 2 2 2 2 2 2 2 2 37 4" xfId="26589" xr:uid="{57B096D6-68AB-40A7-8BF9-6784F4AC55DE}"/>
    <cellStyle name="Normal 3 2 2 2 2 2 2 2 2 2 2 2 2 37 5" xfId="26590" xr:uid="{9161DAEC-DEC2-45FE-99CF-84B52E328C64}"/>
    <cellStyle name="Normal 3 2 2 2 2 2 2 2 2 2 2 2 2 37 6" xfId="26591" xr:uid="{1873341B-5ABE-4CCF-B2FA-5D8AE0E7AE99}"/>
    <cellStyle name="Normal 3 2 2 2 2 2 2 2 2 2 2 2 2 37 7" xfId="26592" xr:uid="{5BD6FD49-FB12-4098-BCC7-5AD0DB83B71E}"/>
    <cellStyle name="Normal 3 2 2 2 2 2 2 2 2 2 2 2 2 38" xfId="26593" xr:uid="{6AC3073B-0CA1-4438-A5D4-10DFF5F01AFE}"/>
    <cellStyle name="Normal 3 2 2 2 2 2 2 2 2 2 2 2 2 39" xfId="26594" xr:uid="{FBBF66DF-1065-4187-86E9-DD1126459E20}"/>
    <cellStyle name="Normal 3 2 2 2 2 2 2 2 2 2 2 2 2 4" xfId="26595" xr:uid="{9C25FAEA-19CF-46C6-9138-BF6D50119C53}"/>
    <cellStyle name="Normal 3 2 2 2 2 2 2 2 2 2 2 2 2 4 10" xfId="26596" xr:uid="{F623A03F-A5CF-4484-8863-2761410EECB6}"/>
    <cellStyle name="Normal 3 2 2 2 2 2 2 2 2 2 2 2 2 4 11" xfId="26597" xr:uid="{BABC468F-46C7-49AB-89E6-45C33FBE4856}"/>
    <cellStyle name="Normal 3 2 2 2 2 2 2 2 2 2 2 2 2 4 12" xfId="26598" xr:uid="{2703955D-8718-45BC-B6B7-7B6EE9E34FD8}"/>
    <cellStyle name="Normal 3 2 2 2 2 2 2 2 2 2 2 2 2 4 13" xfId="26599" xr:uid="{65C874BF-93A7-4FF5-84A0-C0048284448A}"/>
    <cellStyle name="Normal 3 2 2 2 2 2 2 2 2 2 2 2 2 4 13 2" xfId="26600" xr:uid="{4DF646D6-DDAF-4433-9C83-A35A3F68D334}"/>
    <cellStyle name="Normal 3 2 2 2 2 2 2 2 2 2 2 2 2 4 13 3" xfId="26601" xr:uid="{5FBABF52-014B-4304-A9D3-90D69F02EEDF}"/>
    <cellStyle name="Normal 3 2 2 2 2 2 2 2 2 2 2 2 2 4 13 4" xfId="26602" xr:uid="{5D12A7D0-88E1-4D4E-93C6-415608737434}"/>
    <cellStyle name="Normal 3 2 2 2 2 2 2 2 2 2 2 2 2 4 14" xfId="26603" xr:uid="{F0CAA852-4EF9-413C-9E5C-BE41EC46BFD2}"/>
    <cellStyle name="Normal 3 2 2 2 2 2 2 2 2 2 2 2 2 4 15" xfId="26604" xr:uid="{56DFDE56-9B57-4969-9E2F-64AB36207735}"/>
    <cellStyle name="Normal 3 2 2 2 2 2 2 2 2 2 2 2 2 4 16" xfId="26605" xr:uid="{47CC20B8-FD7C-4C10-A6CA-54AF8BEF42F5}"/>
    <cellStyle name="Normal 3 2 2 2 2 2 2 2 2 2 2 2 2 4 2" xfId="26606" xr:uid="{D1F7F977-3F01-4BD3-8C3A-81DA34B2D1FA}"/>
    <cellStyle name="Normal 3 2 2 2 2 2 2 2 2 2 2 2 2 4 2 10" xfId="26607" xr:uid="{32D34040-0B76-4013-9EEF-812CEF8BFE8B}"/>
    <cellStyle name="Normal 3 2 2 2 2 2 2 2 2 2 2 2 2 4 2 11" xfId="26608" xr:uid="{4B396B69-9886-4289-9BEF-E4E2CDCC65C7}"/>
    <cellStyle name="Normal 3 2 2 2 2 2 2 2 2 2 2 2 2 4 2 11 2" xfId="26609" xr:uid="{4E6BDD16-E853-4DCB-9324-EB442B0CC8CA}"/>
    <cellStyle name="Normal 3 2 2 2 2 2 2 2 2 2 2 2 2 4 2 11 3" xfId="26610" xr:uid="{7B822958-7FD2-44FD-ADBF-173AAE3116DA}"/>
    <cellStyle name="Normal 3 2 2 2 2 2 2 2 2 2 2 2 2 4 2 11 4" xfId="26611" xr:uid="{94CC05E4-23E7-4A49-BC39-56CCE5D64992}"/>
    <cellStyle name="Normal 3 2 2 2 2 2 2 2 2 2 2 2 2 4 2 12" xfId="26612" xr:uid="{17945416-36AA-4638-9EB5-D287651CCB2B}"/>
    <cellStyle name="Normal 3 2 2 2 2 2 2 2 2 2 2 2 2 4 2 13" xfId="26613" xr:uid="{1DE7EAB9-4E31-41D1-AB53-CFF07FB6854E}"/>
    <cellStyle name="Normal 3 2 2 2 2 2 2 2 2 2 2 2 2 4 2 14" xfId="26614" xr:uid="{57500011-0C48-4212-A661-B3830D3F9997}"/>
    <cellStyle name="Normal 3 2 2 2 2 2 2 2 2 2 2 2 2 4 2 2" xfId="26615" xr:uid="{6972CB44-A9F4-45F8-A617-592D57DE130F}"/>
    <cellStyle name="Normal 3 2 2 2 2 2 2 2 2 2 2 2 2 4 2 2 10" xfId="26616" xr:uid="{B7D1F834-7C18-42B8-82F6-32257BE57257}"/>
    <cellStyle name="Normal 3 2 2 2 2 2 2 2 2 2 2 2 2 4 2 2 11" xfId="26617" xr:uid="{A45DD725-F41A-44EC-AA9E-AEC802C4C644}"/>
    <cellStyle name="Normal 3 2 2 2 2 2 2 2 2 2 2 2 2 4 2 2 2" xfId="26618" xr:uid="{71053E36-C55B-4B9A-BD02-6941B345F1DF}"/>
    <cellStyle name="Normal 3 2 2 2 2 2 2 2 2 2 2 2 2 4 2 2 2 10" xfId="26619" xr:uid="{6EC7AAA4-DD6E-48AE-966E-1D507AACDDC8}"/>
    <cellStyle name="Normal 3 2 2 2 2 2 2 2 2 2 2 2 2 4 2 2 2 11" xfId="26620" xr:uid="{E24789C3-1F33-4791-ABD1-42CA49CFE52D}"/>
    <cellStyle name="Normal 3 2 2 2 2 2 2 2 2 2 2 2 2 4 2 2 2 2" xfId="26621" xr:uid="{E3040A5B-B4BE-4A62-AF2F-2C4776833521}"/>
    <cellStyle name="Normal 3 2 2 2 2 2 2 2 2 2 2 2 2 4 2 2 2 2 2" xfId="26622" xr:uid="{717B0DD3-2221-4156-9DA4-9552076B62F2}"/>
    <cellStyle name="Normal 3 2 2 2 2 2 2 2 2 2 2 2 2 4 2 2 2 2 2 2" xfId="26623" xr:uid="{70AD38DB-302C-43CE-988A-BFF3A309EB04}"/>
    <cellStyle name="Normal 3 2 2 2 2 2 2 2 2 2 2 2 2 4 2 2 2 2 2 3" xfId="26624" xr:uid="{75BEC3AD-56CD-477F-8E77-5984384F98A7}"/>
    <cellStyle name="Normal 3 2 2 2 2 2 2 2 2 2 2 2 2 4 2 2 2 2 2 4" xfId="26625" xr:uid="{7DF4A058-DEDF-48B3-B83B-CD6E32A0A3CD}"/>
    <cellStyle name="Normal 3 2 2 2 2 2 2 2 2 2 2 2 2 4 2 2 2 2 3" xfId="26626" xr:uid="{992DF35A-CD57-45B9-A108-B70C23969A11}"/>
    <cellStyle name="Normal 3 2 2 2 2 2 2 2 2 2 2 2 2 4 2 2 2 2 4" xfId="26627" xr:uid="{60D611F9-2F77-4985-B650-594A7FDFC29F}"/>
    <cellStyle name="Normal 3 2 2 2 2 2 2 2 2 2 2 2 2 4 2 2 2 2 5" xfId="26628" xr:uid="{5D967230-9FDF-4413-BA36-5F1EA9FA2D6E}"/>
    <cellStyle name="Normal 3 2 2 2 2 2 2 2 2 2 2 2 2 4 2 2 2 2 6" xfId="26629" xr:uid="{8AC50C4A-B431-40BE-8D36-27486DCE7F0B}"/>
    <cellStyle name="Normal 3 2 2 2 2 2 2 2 2 2 2 2 2 4 2 2 2 3" xfId="26630" xr:uid="{8BDDD2E9-6C1D-4FAC-8DD1-71CE249030AE}"/>
    <cellStyle name="Normal 3 2 2 2 2 2 2 2 2 2 2 2 2 4 2 2 2 4" xfId="26631" xr:uid="{14CC7F52-5404-47FA-A0F5-0B9A7A548938}"/>
    <cellStyle name="Normal 3 2 2 2 2 2 2 2 2 2 2 2 2 4 2 2 2 5" xfId="26632" xr:uid="{EA829CE2-4937-4E10-8A01-250C8D0CC02D}"/>
    <cellStyle name="Normal 3 2 2 2 2 2 2 2 2 2 2 2 2 4 2 2 2 6" xfId="26633" xr:uid="{E2998A10-3C39-4630-9CB2-EFE0A05CC2BB}"/>
    <cellStyle name="Normal 3 2 2 2 2 2 2 2 2 2 2 2 2 4 2 2 2 7" xfId="26634" xr:uid="{4E966E9B-7F54-451B-B173-D7DCEF100AA4}"/>
    <cellStyle name="Normal 3 2 2 2 2 2 2 2 2 2 2 2 2 4 2 2 2 8" xfId="26635" xr:uid="{347FE0D4-20CF-4342-AB6A-5BF1D4C6D065}"/>
    <cellStyle name="Normal 3 2 2 2 2 2 2 2 2 2 2 2 2 4 2 2 2 8 2" xfId="26636" xr:uid="{2C0F54E7-46C0-4A6B-9F00-608580A7554F}"/>
    <cellStyle name="Normal 3 2 2 2 2 2 2 2 2 2 2 2 2 4 2 2 2 8 3" xfId="26637" xr:uid="{2E86260F-5F65-41B6-9130-CF1ABE6BCA91}"/>
    <cellStyle name="Normal 3 2 2 2 2 2 2 2 2 2 2 2 2 4 2 2 2 8 4" xfId="26638" xr:uid="{872FD542-6E05-41C6-9272-23F7267F7586}"/>
    <cellStyle name="Normal 3 2 2 2 2 2 2 2 2 2 2 2 2 4 2 2 2 9" xfId="26639" xr:uid="{A8BC65AA-8205-4AA0-A579-876DE92DFAB7}"/>
    <cellStyle name="Normal 3 2 2 2 2 2 2 2 2 2 2 2 2 4 2 2 3" xfId="26640" xr:uid="{3E5303FA-31F7-4EED-8B9C-CE7AD61990B3}"/>
    <cellStyle name="Normal 3 2 2 2 2 2 2 2 2 2 2 2 2 4 2 2 3 2" xfId="26641" xr:uid="{AE1AC26D-A1E3-4C01-9316-3B9FCD886182}"/>
    <cellStyle name="Normal 3 2 2 2 2 2 2 2 2 2 2 2 2 4 2 2 3 2 2" xfId="26642" xr:uid="{FF9B60EE-413A-4530-94F3-78DD219D6490}"/>
    <cellStyle name="Normal 3 2 2 2 2 2 2 2 2 2 2 2 2 4 2 2 3 2 3" xfId="26643" xr:uid="{987A4AEF-F3D5-429B-BACE-7783C35ACBCF}"/>
    <cellStyle name="Normal 3 2 2 2 2 2 2 2 2 2 2 2 2 4 2 2 3 2 4" xfId="26644" xr:uid="{24932D73-BF1B-45FE-9154-D9EBA3CC34C1}"/>
    <cellStyle name="Normal 3 2 2 2 2 2 2 2 2 2 2 2 2 4 2 2 3 3" xfId="26645" xr:uid="{E62319F1-C019-4BCD-875B-C2D93095DABF}"/>
    <cellStyle name="Normal 3 2 2 2 2 2 2 2 2 2 2 2 2 4 2 2 3 4" xfId="26646" xr:uid="{837FB3F4-C0F9-4DED-8EC8-C5A83F7C256C}"/>
    <cellStyle name="Normal 3 2 2 2 2 2 2 2 2 2 2 2 2 4 2 2 3 5" xfId="26647" xr:uid="{6C9BCB7C-F556-4704-9AAA-744DFD81806B}"/>
    <cellStyle name="Normal 3 2 2 2 2 2 2 2 2 2 2 2 2 4 2 2 3 6" xfId="26648" xr:uid="{682F3751-09A7-494F-85DB-4987E6E1C151}"/>
    <cellStyle name="Normal 3 2 2 2 2 2 2 2 2 2 2 2 2 4 2 2 4" xfId="26649" xr:uid="{27A02A0E-ED34-441A-BED0-73FA06EDB237}"/>
    <cellStyle name="Normal 3 2 2 2 2 2 2 2 2 2 2 2 2 4 2 2 5" xfId="26650" xr:uid="{82B992FD-9B8E-4D52-B2B2-E6EF0CF196AF}"/>
    <cellStyle name="Normal 3 2 2 2 2 2 2 2 2 2 2 2 2 4 2 2 6" xfId="26651" xr:uid="{048FAB7A-97C7-46B7-B20E-FCB7F33C8F45}"/>
    <cellStyle name="Normal 3 2 2 2 2 2 2 2 2 2 2 2 2 4 2 2 7" xfId="26652" xr:uid="{7CDD1FFA-8308-45D6-998C-8523E9BA228E}"/>
    <cellStyle name="Normal 3 2 2 2 2 2 2 2 2 2 2 2 2 4 2 2 8" xfId="26653" xr:uid="{F45DD785-158A-4290-B05D-D56C8B8131E3}"/>
    <cellStyle name="Normal 3 2 2 2 2 2 2 2 2 2 2 2 2 4 2 2 8 2" xfId="26654" xr:uid="{72341F4F-E6CF-4183-AA8A-AD3B40C20F10}"/>
    <cellStyle name="Normal 3 2 2 2 2 2 2 2 2 2 2 2 2 4 2 2 8 3" xfId="26655" xr:uid="{992E1484-52D9-4903-B4C4-8DEF78417512}"/>
    <cellStyle name="Normal 3 2 2 2 2 2 2 2 2 2 2 2 2 4 2 2 8 4" xfId="26656" xr:uid="{736D511A-7D49-42F6-B178-A1DA4481913B}"/>
    <cellStyle name="Normal 3 2 2 2 2 2 2 2 2 2 2 2 2 4 2 2 9" xfId="26657" xr:uid="{FA55CD5E-BC85-4EA9-9EDD-A5399BCCEA01}"/>
    <cellStyle name="Normal 3 2 2 2 2 2 2 2 2 2 2 2 2 4 2 3" xfId="26658" xr:uid="{072B0DC5-250C-4AF2-A9AF-FFAEC0973CF1}"/>
    <cellStyle name="Normal 3 2 2 2 2 2 2 2 2 2 2 2 2 4 2 4" xfId="26659" xr:uid="{C50E93C4-FBC6-4A32-9EC8-A514E4B3C489}"/>
    <cellStyle name="Normal 3 2 2 2 2 2 2 2 2 2 2 2 2 4 2 5" xfId="26660" xr:uid="{A3BD9493-E35C-4CBA-813B-F6C33FC15817}"/>
    <cellStyle name="Normal 3 2 2 2 2 2 2 2 2 2 2 2 2 4 2 5 2" xfId="26661" xr:uid="{A8353E65-3292-41C3-8D17-1C400E412EEE}"/>
    <cellStyle name="Normal 3 2 2 2 2 2 2 2 2 2 2 2 2 4 2 5 2 2" xfId="26662" xr:uid="{994AFA85-190C-4CA6-B57C-186C6828BAB1}"/>
    <cellStyle name="Normal 3 2 2 2 2 2 2 2 2 2 2 2 2 4 2 5 2 3" xfId="26663" xr:uid="{1D406C6C-6F58-45BC-8F8D-1976A3A68460}"/>
    <cellStyle name="Normal 3 2 2 2 2 2 2 2 2 2 2 2 2 4 2 5 2 4" xfId="26664" xr:uid="{E42733B6-48D1-48A2-BA96-3BE27C7B86DB}"/>
    <cellStyle name="Normal 3 2 2 2 2 2 2 2 2 2 2 2 2 4 2 5 3" xfId="26665" xr:uid="{6984E115-22BB-490B-8BEF-A0D3CDE45335}"/>
    <cellStyle name="Normal 3 2 2 2 2 2 2 2 2 2 2 2 2 4 2 5 4" xfId="26666" xr:uid="{B9F017B4-4032-458D-AC3B-C6D84CA8823A}"/>
    <cellStyle name="Normal 3 2 2 2 2 2 2 2 2 2 2 2 2 4 2 5 5" xfId="26667" xr:uid="{64F7A352-912C-41EC-AB38-ABD5FBC987EA}"/>
    <cellStyle name="Normal 3 2 2 2 2 2 2 2 2 2 2 2 2 4 2 5 6" xfId="26668" xr:uid="{E8BC3145-EA65-4DB1-B612-C5323B115040}"/>
    <cellStyle name="Normal 3 2 2 2 2 2 2 2 2 2 2 2 2 4 2 6" xfId="26669" xr:uid="{B1431722-5BF7-4B77-A70C-C3878EF8A1BD}"/>
    <cellStyle name="Normal 3 2 2 2 2 2 2 2 2 2 2 2 2 4 2 7" xfId="26670" xr:uid="{4804102F-7D02-4A8D-A7F7-6544D5F4350F}"/>
    <cellStyle name="Normal 3 2 2 2 2 2 2 2 2 2 2 2 2 4 2 8" xfId="26671" xr:uid="{033EE05E-13AB-4EB6-9AAB-86F8161DB46B}"/>
    <cellStyle name="Normal 3 2 2 2 2 2 2 2 2 2 2 2 2 4 2 9" xfId="26672" xr:uid="{7DAA78ED-4E50-4918-AB76-B8C46F2B7EDF}"/>
    <cellStyle name="Normal 3 2 2 2 2 2 2 2 2 2 2 2 2 4 3" xfId="26673" xr:uid="{CEA4F929-9E0F-45DE-937D-17C9E7026E11}"/>
    <cellStyle name="Normal 3 2 2 2 2 2 2 2 2 2 2 2 2 4 4" xfId="26674" xr:uid="{FFC3550F-17C7-45E9-A709-777BFD57C7EA}"/>
    <cellStyle name="Normal 3 2 2 2 2 2 2 2 2 2 2 2 2 4 5" xfId="26675" xr:uid="{6A5F17BE-DC47-46EE-AE02-8CE57F6C5FEF}"/>
    <cellStyle name="Normal 3 2 2 2 2 2 2 2 2 2 2 2 2 4 5 10" xfId="26676" xr:uid="{7134FAFB-1991-46A8-8B37-21EB2717BF6D}"/>
    <cellStyle name="Normal 3 2 2 2 2 2 2 2 2 2 2 2 2 4 5 11" xfId="26677" xr:uid="{7176A254-1FAB-4BC0-A5E2-CE5AE02EB32B}"/>
    <cellStyle name="Normal 3 2 2 2 2 2 2 2 2 2 2 2 2 4 5 2" xfId="26678" xr:uid="{E247011B-87E7-474F-994A-D9FE1541C853}"/>
    <cellStyle name="Normal 3 2 2 2 2 2 2 2 2 2 2 2 2 4 5 2 10" xfId="26679" xr:uid="{F4CF54A5-477B-4CCB-A316-3E3617675B6D}"/>
    <cellStyle name="Normal 3 2 2 2 2 2 2 2 2 2 2 2 2 4 5 2 11" xfId="26680" xr:uid="{F18D6868-C571-42CB-A564-BCD2A5111FC7}"/>
    <cellStyle name="Normal 3 2 2 2 2 2 2 2 2 2 2 2 2 4 5 2 2" xfId="26681" xr:uid="{7369E369-1D8F-470D-9F1F-E576A9E673EF}"/>
    <cellStyle name="Normal 3 2 2 2 2 2 2 2 2 2 2 2 2 4 5 2 2 2" xfId="26682" xr:uid="{B60AAD06-45AA-45BF-AAB0-88A443C6C795}"/>
    <cellStyle name="Normal 3 2 2 2 2 2 2 2 2 2 2 2 2 4 5 2 2 2 2" xfId="26683" xr:uid="{675FD5A6-4792-4E7D-8E76-00D337258822}"/>
    <cellStyle name="Normal 3 2 2 2 2 2 2 2 2 2 2 2 2 4 5 2 2 2 3" xfId="26684" xr:uid="{A1AF2475-3789-4D90-A0A0-A046564FB5D1}"/>
    <cellStyle name="Normal 3 2 2 2 2 2 2 2 2 2 2 2 2 4 5 2 2 2 4" xfId="26685" xr:uid="{74BF1201-8ACF-48F9-9225-9A2E48D8D77D}"/>
    <cellStyle name="Normal 3 2 2 2 2 2 2 2 2 2 2 2 2 4 5 2 2 3" xfId="26686" xr:uid="{5E338D8E-1B11-4794-9863-E16629E621CC}"/>
    <cellStyle name="Normal 3 2 2 2 2 2 2 2 2 2 2 2 2 4 5 2 2 4" xfId="26687" xr:uid="{72E6EF0D-EBDD-439D-9871-1ABFF2FD4F79}"/>
    <cellStyle name="Normal 3 2 2 2 2 2 2 2 2 2 2 2 2 4 5 2 2 5" xfId="26688" xr:uid="{C6280719-2C7A-45CD-8661-5FD5310C27DD}"/>
    <cellStyle name="Normal 3 2 2 2 2 2 2 2 2 2 2 2 2 4 5 2 2 6" xfId="26689" xr:uid="{F41BE05F-2B14-4994-B202-D864D8E1C33C}"/>
    <cellStyle name="Normal 3 2 2 2 2 2 2 2 2 2 2 2 2 4 5 2 3" xfId="26690" xr:uid="{6C6C0A05-4259-4425-8F62-323ECCEB036B}"/>
    <cellStyle name="Normal 3 2 2 2 2 2 2 2 2 2 2 2 2 4 5 2 4" xfId="26691" xr:uid="{35CA37F5-B4E0-43E8-8543-A2A52296BAAF}"/>
    <cellStyle name="Normal 3 2 2 2 2 2 2 2 2 2 2 2 2 4 5 2 5" xfId="26692" xr:uid="{250D13DD-F73C-498C-B0B7-B34C096D2BDB}"/>
    <cellStyle name="Normal 3 2 2 2 2 2 2 2 2 2 2 2 2 4 5 2 6" xfId="26693" xr:uid="{BDDA0A55-A309-4FEC-B187-9BB0DF9F1C09}"/>
    <cellStyle name="Normal 3 2 2 2 2 2 2 2 2 2 2 2 2 4 5 2 7" xfId="26694" xr:uid="{A4268337-F028-4A69-B246-2CA8CF823F48}"/>
    <cellStyle name="Normal 3 2 2 2 2 2 2 2 2 2 2 2 2 4 5 2 8" xfId="26695" xr:uid="{6C4453F6-BF40-4D75-87D7-ED5EEBF8F088}"/>
    <cellStyle name="Normal 3 2 2 2 2 2 2 2 2 2 2 2 2 4 5 2 8 2" xfId="26696" xr:uid="{8B3E74F3-DE7F-42A0-BD58-6DE3E61AA522}"/>
    <cellStyle name="Normal 3 2 2 2 2 2 2 2 2 2 2 2 2 4 5 2 8 3" xfId="26697" xr:uid="{2B016612-4BB2-407C-8260-AFA322340F1C}"/>
    <cellStyle name="Normal 3 2 2 2 2 2 2 2 2 2 2 2 2 4 5 2 8 4" xfId="26698" xr:uid="{07534AB3-6448-4121-8EED-CEF22543BC53}"/>
    <cellStyle name="Normal 3 2 2 2 2 2 2 2 2 2 2 2 2 4 5 2 9" xfId="26699" xr:uid="{D7E94F2C-94FF-440D-BBBF-FA5FA2A83D33}"/>
    <cellStyle name="Normal 3 2 2 2 2 2 2 2 2 2 2 2 2 4 5 3" xfId="26700" xr:uid="{EF90B108-2795-4F0C-A080-C9C81F73A637}"/>
    <cellStyle name="Normal 3 2 2 2 2 2 2 2 2 2 2 2 2 4 5 3 2" xfId="26701" xr:uid="{42D47EE7-1AA5-4EAF-B7F8-0E3AAE88789E}"/>
    <cellStyle name="Normal 3 2 2 2 2 2 2 2 2 2 2 2 2 4 5 3 2 2" xfId="26702" xr:uid="{7D9EEBA5-1F36-400D-884C-33B881011D97}"/>
    <cellStyle name="Normal 3 2 2 2 2 2 2 2 2 2 2 2 2 4 5 3 2 3" xfId="26703" xr:uid="{8A899BD8-610E-4B9D-A4B0-21EA36636D66}"/>
    <cellStyle name="Normal 3 2 2 2 2 2 2 2 2 2 2 2 2 4 5 3 2 4" xfId="26704" xr:uid="{2046E656-3CE7-42E6-A62B-5FD3D1CBF8B0}"/>
    <cellStyle name="Normal 3 2 2 2 2 2 2 2 2 2 2 2 2 4 5 3 3" xfId="26705" xr:uid="{B928507C-2503-4EE0-814B-72CFFB18FA1D}"/>
    <cellStyle name="Normal 3 2 2 2 2 2 2 2 2 2 2 2 2 4 5 3 4" xfId="26706" xr:uid="{F02B2534-96C4-4B99-A9AA-1531955CE832}"/>
    <cellStyle name="Normal 3 2 2 2 2 2 2 2 2 2 2 2 2 4 5 3 5" xfId="26707" xr:uid="{29440EDD-EC42-4E68-A248-3B6CF40FDB45}"/>
    <cellStyle name="Normal 3 2 2 2 2 2 2 2 2 2 2 2 2 4 5 3 6" xfId="26708" xr:uid="{75AAA148-0B7F-4770-A281-650A6B8F5868}"/>
    <cellStyle name="Normal 3 2 2 2 2 2 2 2 2 2 2 2 2 4 5 4" xfId="26709" xr:uid="{CB201797-E367-4A32-83D1-470F537A69DE}"/>
    <cellStyle name="Normal 3 2 2 2 2 2 2 2 2 2 2 2 2 4 5 5" xfId="26710" xr:uid="{78914380-AC9C-4F4A-A653-DB1480D81FE7}"/>
    <cellStyle name="Normal 3 2 2 2 2 2 2 2 2 2 2 2 2 4 5 6" xfId="26711" xr:uid="{DA4D68D3-1569-4097-A0B7-30281AEA7A1A}"/>
    <cellStyle name="Normal 3 2 2 2 2 2 2 2 2 2 2 2 2 4 5 7" xfId="26712" xr:uid="{704755F8-8878-4945-B257-509495688B67}"/>
    <cellStyle name="Normal 3 2 2 2 2 2 2 2 2 2 2 2 2 4 5 8" xfId="26713" xr:uid="{46CABFB0-6D8B-4085-BF13-BD76A0526353}"/>
    <cellStyle name="Normal 3 2 2 2 2 2 2 2 2 2 2 2 2 4 5 8 2" xfId="26714" xr:uid="{6C9FB886-762B-48F2-9070-587D5734FC77}"/>
    <cellStyle name="Normal 3 2 2 2 2 2 2 2 2 2 2 2 2 4 5 8 3" xfId="26715" xr:uid="{0CD6A452-63D7-4D8F-8010-A9EBD5492AB0}"/>
    <cellStyle name="Normal 3 2 2 2 2 2 2 2 2 2 2 2 2 4 5 8 4" xfId="26716" xr:uid="{4798063F-748C-4A4F-BC51-54CECCBF1076}"/>
    <cellStyle name="Normal 3 2 2 2 2 2 2 2 2 2 2 2 2 4 5 9" xfId="26717" xr:uid="{21D30F87-9E1E-42B1-9673-71B76F49018B}"/>
    <cellStyle name="Normal 3 2 2 2 2 2 2 2 2 2 2 2 2 4 6" xfId="26718" xr:uid="{EFC41D74-3320-49CC-983A-F644798A8E35}"/>
    <cellStyle name="Normal 3 2 2 2 2 2 2 2 2 2 2 2 2 4 7" xfId="26719" xr:uid="{8957719F-5FFA-457A-81FA-3C1CCB29F29E}"/>
    <cellStyle name="Normal 3 2 2 2 2 2 2 2 2 2 2 2 2 4 7 2" xfId="26720" xr:uid="{F8DD77A7-28D9-4683-BF8D-88B624953079}"/>
    <cellStyle name="Normal 3 2 2 2 2 2 2 2 2 2 2 2 2 4 7 2 2" xfId="26721" xr:uid="{1C1F35A2-13F2-4201-AB13-16EBA792A683}"/>
    <cellStyle name="Normal 3 2 2 2 2 2 2 2 2 2 2 2 2 4 7 2 3" xfId="26722" xr:uid="{B1A86E10-0D66-47A0-8C9C-4CF4286DAC2A}"/>
    <cellStyle name="Normal 3 2 2 2 2 2 2 2 2 2 2 2 2 4 7 2 4" xfId="26723" xr:uid="{1A9C7521-5CA2-4EB8-BF2B-721B3DEA2877}"/>
    <cellStyle name="Normal 3 2 2 2 2 2 2 2 2 2 2 2 2 4 7 3" xfId="26724" xr:uid="{FE3651DD-7441-4FF5-9212-FC61B64A30C1}"/>
    <cellStyle name="Normal 3 2 2 2 2 2 2 2 2 2 2 2 2 4 7 4" xfId="26725" xr:uid="{5A979525-65AD-4402-AF16-742650649C2B}"/>
    <cellStyle name="Normal 3 2 2 2 2 2 2 2 2 2 2 2 2 4 7 5" xfId="26726" xr:uid="{32A859E8-6230-4368-8400-2032969E91B8}"/>
    <cellStyle name="Normal 3 2 2 2 2 2 2 2 2 2 2 2 2 4 7 6" xfId="26727" xr:uid="{AFF8A6D5-3A5F-4599-83FF-F41E8AD66BA3}"/>
    <cellStyle name="Normal 3 2 2 2 2 2 2 2 2 2 2 2 2 4 8" xfId="26728" xr:uid="{BB2E9958-F81E-4BB3-9DBA-47C83F41D746}"/>
    <cellStyle name="Normal 3 2 2 2 2 2 2 2 2 2 2 2 2 4 9" xfId="26729" xr:uid="{CEDF0556-B88F-4307-AEDC-6BE9D66C159D}"/>
    <cellStyle name="Normal 3 2 2 2 2 2 2 2 2 2 2 2 2 40" xfId="26730" xr:uid="{E7535082-1F89-4762-B06D-AACA017092E0}"/>
    <cellStyle name="Normal 3 2 2 2 2 2 2 2 2 2 2 2 2 41" xfId="26731" xr:uid="{15D69DEC-964B-4117-8FF8-3D4198F622C2}"/>
    <cellStyle name="Normal 3 2 2 2 2 2 2 2 2 2 2 2 2 42" xfId="26732" xr:uid="{8028E356-0B5E-4123-85FA-A6E044B20C96}"/>
    <cellStyle name="Normal 3 2 2 2 2 2 2 2 2 2 2 2 2 43" xfId="26733" xr:uid="{630F2191-7A51-46DC-BF52-FF3B3475CF47}"/>
    <cellStyle name="Normal 3 2 2 2 2 2 2 2 2 2 2 2 2 44" xfId="26734" xr:uid="{BB93FA44-39AF-494B-B44E-AA01A672E277}"/>
    <cellStyle name="Normal 3 2 2 2 2 2 2 2 2 2 2 2 2 45" xfId="26735" xr:uid="{43C465A4-CABA-4D51-BA06-4DAEEBC6D5CD}"/>
    <cellStyle name="Normal 3 2 2 2 2 2 2 2 2 2 2 2 2 46" xfId="26736" xr:uid="{D0BB8100-2626-4F1E-8E52-D7CFA283E6E8}"/>
    <cellStyle name="Normal 3 2 2 2 2 2 2 2 2 2 2 2 2 47" xfId="26737" xr:uid="{D5079658-F496-4DCA-8223-B3A22C918E6F}"/>
    <cellStyle name="Normal 3 2 2 2 2 2 2 2 2 2 2 2 2 48" xfId="26738" xr:uid="{665AA4C7-D6E4-483C-A1C8-F3B1ABB0DE5B}"/>
    <cellStyle name="Normal 3 2 2 2 2 2 2 2 2 2 2 2 2 49" xfId="26739" xr:uid="{3AFFD89F-7BF0-438B-B211-62B2216693AE}"/>
    <cellStyle name="Normal 3 2 2 2 2 2 2 2 2 2 2 2 2 5" xfId="26740" xr:uid="{401ED628-B6D9-4035-A092-E8F90E9DB622}"/>
    <cellStyle name="Normal 3 2 2 2 2 2 2 2 2 2 2 2 2 50" xfId="26741" xr:uid="{46F53170-3B2B-4030-9092-212DD113D29E}"/>
    <cellStyle name="Normal 3 2 2 2 2 2 2 2 2 2 2 2 2 51" xfId="26742" xr:uid="{D881E46E-EC50-4D26-BFA3-2D4687DADB3A}"/>
    <cellStyle name="Normal 3 2 2 2 2 2 2 2 2 2 2 2 2 52" xfId="26743" xr:uid="{A0A6AE8B-C556-4A96-B242-90334BA3B0DA}"/>
    <cellStyle name="Normal 3 2 2 2 2 2 2 2 2 2 2 2 2 53" xfId="26744" xr:uid="{46608FC0-5E66-4808-8493-C3D8315FD281}"/>
    <cellStyle name="Normal 3 2 2 2 2 2 2 2 2 2 2 2 2 54" xfId="26745" xr:uid="{F29D4EEF-BDB6-41DB-90C4-B930592DB3D2}"/>
    <cellStyle name="Normal 3 2 2 2 2 2 2 2 2 2 2 2 2 55" xfId="26746" xr:uid="{CFDB4F80-4C7C-4268-8FE7-59840BA39EA9}"/>
    <cellStyle name="Normal 3 2 2 2 2 2 2 2 2 2 2 2 2 56" xfId="26747" xr:uid="{6BA634BC-5D97-41B4-9E73-10F321C85043}"/>
    <cellStyle name="Normal 3 2 2 2 2 2 2 2 2 2 2 2 2 57" xfId="26748" xr:uid="{E3E05243-DAEC-4555-80FF-01FF953C5D25}"/>
    <cellStyle name="Normal 3 2 2 2 2 2 2 2 2 2 2 2 2 58" xfId="26749" xr:uid="{41C8F0D1-A520-47B1-8A4A-2C763BBB356E}"/>
    <cellStyle name="Normal 3 2 2 2 2 2 2 2 2 2 2 2 2 59" xfId="26750" xr:uid="{D2976D13-3DB0-4F4A-A208-285C49A66A83}"/>
    <cellStyle name="Normal 3 2 2 2 2 2 2 2 2 2 2 2 2 6" xfId="26751" xr:uid="{54686AFC-306F-4158-93EA-C81E7F721574}"/>
    <cellStyle name="Normal 3 2 2 2 2 2 2 2 2 2 2 2 2 60" xfId="26752" xr:uid="{2F8330A1-0D39-4438-AE22-D402AF06FDD1}"/>
    <cellStyle name="Normal 3 2 2 2 2 2 2 2 2 2 2 2 2 61" xfId="26753" xr:uid="{1F995BCB-30D9-4054-AA06-AD9D4828F596}"/>
    <cellStyle name="Normal 3 2 2 2 2 2 2 2 2 2 2 2 2 62" xfId="26754" xr:uid="{BFD77377-F894-4D8D-BAC3-45194670B5FE}"/>
    <cellStyle name="Normal 3 2 2 2 2 2 2 2 2 2 2 2 2 63" xfId="26755" xr:uid="{88F111D8-88C0-477E-8C64-9D3B1E43FA0B}"/>
    <cellStyle name="Normal 3 2 2 2 2 2 2 2 2 2 2 2 2 64" xfId="26756" xr:uid="{F2E3B8A3-ECB8-4F31-8AF9-6DC00ABDBF1B}"/>
    <cellStyle name="Normal 3 2 2 2 2 2 2 2 2 2 2 2 2 65" xfId="26757" xr:uid="{BBC6AB6C-0CE8-4BA8-8374-4F41D14B7EBF}"/>
    <cellStyle name="Normal 3 2 2 2 2 2 2 2 2 2 2 2 2 66" xfId="26758" xr:uid="{09E332F6-99FD-4128-9F43-55CDAFF354C4}"/>
    <cellStyle name="Normal 3 2 2 2 2 2 2 2 2 2 2 2 2 67" xfId="26759" xr:uid="{C7EA2BBA-F9D1-45EF-B11A-30A366517398}"/>
    <cellStyle name="Normal 3 2 2 2 2 2 2 2 2 2 2 2 2 68" xfId="26760" xr:uid="{0278779F-0165-46E7-B3C6-A8136FEDCD15}"/>
    <cellStyle name="Normal 3 2 2 2 2 2 2 2 2 2 2 2 2 69" xfId="26761" xr:uid="{FCC05EE2-9489-473C-A3A2-F26DA80B012A}"/>
    <cellStyle name="Normal 3 2 2 2 2 2 2 2 2 2 2 2 2 69 2" xfId="26762" xr:uid="{D0932DE9-5DA6-4487-B807-86E2E906EB91}"/>
    <cellStyle name="Normal 3 2 2 2 2 2 2 2 2 2 2 2 2 69 3" xfId="26763" xr:uid="{9BCCAF7D-17DC-4C46-9888-5B240D1D12F3}"/>
    <cellStyle name="Normal 3 2 2 2 2 2 2 2 2 2 2 2 2 69 4" xfId="26764" xr:uid="{AD2F71DC-4995-4129-BABB-DC6E02DB966E}"/>
    <cellStyle name="Normal 3 2 2 2 2 2 2 2 2 2 2 2 2 7" xfId="26765" xr:uid="{69896179-2CE0-4B91-92B6-55FFDC441CFA}"/>
    <cellStyle name="Normal 3 2 2 2 2 2 2 2 2 2 2 2 2 70" xfId="26766" xr:uid="{D197BAF8-CD01-4653-BB94-CA0D41A83F24}"/>
    <cellStyle name="Normal 3 2 2 2 2 2 2 2 2 2 2 2 2 71" xfId="26767" xr:uid="{47833A83-7CC5-429E-AEA4-4D09EFCA443A}"/>
    <cellStyle name="Normal 3 2 2 2 2 2 2 2 2 2 2 2 2 8" xfId="26768" xr:uid="{3B16A444-3100-4F8D-A782-CAF4E5842CC2}"/>
    <cellStyle name="Normal 3 2 2 2 2 2 2 2 2 2 2 2 2 9" xfId="26769" xr:uid="{3F1ECBC3-B32F-44C1-B40C-08CD5C7BCC27}"/>
    <cellStyle name="Normal 3 2 2 2 2 2 2 2 2 2 2 2 20" xfId="26770" xr:uid="{503C3294-B0A7-4FD3-943C-98E4760B8FD8}"/>
    <cellStyle name="Normal 3 2 2 2 2 2 2 2 2 2 2 2 20 2" xfId="26771" xr:uid="{C2E631D3-3D1C-4622-AFC2-317A8DE68AD8}"/>
    <cellStyle name="Normal 3 2 2 2 2 2 2 2 2 2 2 2 20 2 2" xfId="26772" xr:uid="{73EA4B6F-CF22-4B7F-B15E-C7B1E9EAF504}"/>
    <cellStyle name="Normal 3 2 2 2 2 2 2 2 2 2 2 2 20 2 3" xfId="26773" xr:uid="{1B14344F-877C-42A2-B751-F6B2F39D87A2}"/>
    <cellStyle name="Normal 3 2 2 2 2 2 2 2 2 2 2 2 20 2 4" xfId="26774" xr:uid="{2421A057-88D2-45FC-9C27-4044C043DAAE}"/>
    <cellStyle name="Normal 3 2 2 2 2 2 2 2 2 2 2 2 20 3" xfId="26775" xr:uid="{A4A460BC-718D-4B97-A0EB-7A687CDF0EDE}"/>
    <cellStyle name="Normal 3 2 2 2 2 2 2 2 2 2 2 2 20 4" xfId="26776" xr:uid="{C1A9091A-4006-4B45-BC5C-D3ED4ECDB88D}"/>
    <cellStyle name="Normal 3 2 2 2 2 2 2 2 2 2 2 2 20 5" xfId="26777" xr:uid="{DF9EADCD-4C38-4C8E-B480-49BEC9709577}"/>
    <cellStyle name="Normal 3 2 2 2 2 2 2 2 2 2 2 2 20 6" xfId="26778" xr:uid="{D33935D6-CAAD-4A90-B4AF-CAFE57FD6475}"/>
    <cellStyle name="Normal 3 2 2 2 2 2 2 2 2 2 2 2 21" xfId="26779" xr:uid="{4760B52D-2F0B-43D6-B106-39755685766D}"/>
    <cellStyle name="Normal 3 2 2 2 2 2 2 2 2 2 2 2 22" xfId="26780" xr:uid="{AA3AF9C7-E4A3-446D-AE8C-847B0A46BF87}"/>
    <cellStyle name="Normal 3 2 2 2 2 2 2 2 2 2 2 2 23" xfId="26781" xr:uid="{EC18044C-F566-421E-8DC8-9412AA562414}"/>
    <cellStyle name="Normal 3 2 2 2 2 2 2 2 2 2 2 2 24" xfId="26782" xr:uid="{235EE01E-2A5A-496C-A581-7784628CEC7C}"/>
    <cellStyle name="Normal 3 2 2 2 2 2 2 2 2 2 2 2 25" xfId="26783" xr:uid="{006C7EB8-73DA-4AB7-89F3-5C53D5116D42}"/>
    <cellStyle name="Normal 3 2 2 2 2 2 2 2 2 2 2 2 26" xfId="26784" xr:uid="{C2800C5F-4C2D-412B-BE43-C94E566ACAA0}"/>
    <cellStyle name="Normal 3 2 2 2 2 2 2 2 2 2 2 2 26 2" xfId="26785" xr:uid="{745880AE-A599-4594-91C5-6DBB0FAF9F9F}"/>
    <cellStyle name="Normal 3 2 2 2 2 2 2 2 2 2 2 2 26 3" xfId="26786" xr:uid="{1C2E444B-6F77-491E-BB20-527C5D80E316}"/>
    <cellStyle name="Normal 3 2 2 2 2 2 2 2 2 2 2 2 26 4" xfId="26787" xr:uid="{ADEF9AC2-8FC8-4F34-A8CF-406AE2A62DC1}"/>
    <cellStyle name="Normal 3 2 2 2 2 2 2 2 2 2 2 2 27" xfId="26788" xr:uid="{77CE3F0F-43FD-4325-A2E1-355632A7A80E}"/>
    <cellStyle name="Normal 3 2 2 2 2 2 2 2 2 2 2 2 28" xfId="26789" xr:uid="{BB7222B1-7BAE-4DFB-8333-93E9EB3DD70C}"/>
    <cellStyle name="Normal 3 2 2 2 2 2 2 2 2 2 2 2 29" xfId="26790" xr:uid="{AC71BD39-DBC7-4187-B004-B654424D8358}"/>
    <cellStyle name="Normal 3 2 2 2 2 2 2 2 2 2 2 2 3" xfId="26791" xr:uid="{BE07B5A6-195E-4356-A165-A9C576B62BF3}"/>
    <cellStyle name="Normal 3 2 2 2 2 2 2 2 2 2 2 2 30" xfId="26792" xr:uid="{05DE067E-AA24-4FB4-A1B2-FAB46D568159}"/>
    <cellStyle name="Normal 3 2 2 2 2 2 2 2 2 2 2 2 31" xfId="26793" xr:uid="{0F35BF7D-258E-49D7-B024-C8F0E4BC72F2}"/>
    <cellStyle name="Normal 3 2 2 2 2 2 2 2 2 2 2 2 32" xfId="26794" xr:uid="{A1307375-7F1D-429B-8634-523CEFD62775}"/>
    <cellStyle name="Normal 3 2 2 2 2 2 2 2 2 2 2 2 33" xfId="26795" xr:uid="{1C78D764-1822-42DB-BAF3-853D6291B16D}"/>
    <cellStyle name="Normal 3 2 2 2 2 2 2 2 2 2 2 2 34" xfId="26796" xr:uid="{5796AED2-2A64-4DC7-B2DB-0B424DE4B74E}"/>
    <cellStyle name="Normal 3 2 2 2 2 2 2 2 2 2 2 2 35" xfId="26797" xr:uid="{71C619FE-8413-4056-86F2-5123219FC754}"/>
    <cellStyle name="Normal 3 2 2 2 2 2 2 2 2 2 2 2 36" xfId="26798" xr:uid="{42D40563-CEF1-4722-8A5E-B0F456CEF030}"/>
    <cellStyle name="Normal 3 2 2 2 2 2 2 2 2 2 2 2 37" xfId="26799" xr:uid="{5F8ABBCD-13E5-4D59-BA24-4D748A5ADF00}"/>
    <cellStyle name="Normal 3 2 2 2 2 2 2 2 2 2 2 2 38" xfId="26800" xr:uid="{7A56714E-743B-47BB-A811-5F83176D74D7}"/>
    <cellStyle name="Normal 3 2 2 2 2 2 2 2 2 2 2 2 39" xfId="26801" xr:uid="{C1646AD7-168A-41BF-9C23-5F1E2FABD4B7}"/>
    <cellStyle name="Normal 3 2 2 2 2 2 2 2 2 2 2 2 4" xfId="26802" xr:uid="{A87201FE-902C-44C9-835C-D34BE97E55D6}"/>
    <cellStyle name="Normal 3 2 2 2 2 2 2 2 2 2 2 2 40" xfId="26803" xr:uid="{2A951E7D-A47B-46DD-A95D-DF26E49DBEBF}"/>
    <cellStyle name="Normal 3 2 2 2 2 2 2 2 2 2 2 2 41" xfId="26804" xr:uid="{C72530F7-5242-4D22-9DF5-EE25D0489887}"/>
    <cellStyle name="Normal 3 2 2 2 2 2 2 2 2 2 2 2 41 2" xfId="26805" xr:uid="{8E905460-4A6F-40A9-9393-DFC37E992AED}"/>
    <cellStyle name="Normal 3 2 2 2 2 2 2 2 2 2 2 2 41 3" xfId="26806" xr:uid="{8E2E1529-098A-44AF-9E52-50FAE0E49411}"/>
    <cellStyle name="Normal 3 2 2 2 2 2 2 2 2 2 2 2 41 4" xfId="26807" xr:uid="{6F958D9B-D467-430D-9B51-96BF7DAC14BE}"/>
    <cellStyle name="Normal 3 2 2 2 2 2 2 2 2 2 2 2 41 5" xfId="26808" xr:uid="{CC3436EF-5A96-4103-8414-68051FF55E48}"/>
    <cellStyle name="Normal 3 2 2 2 2 2 2 2 2 2 2 2 41 6" xfId="26809" xr:uid="{10C6C6EB-B222-440E-B63B-42EEADCAD7EE}"/>
    <cellStyle name="Normal 3 2 2 2 2 2 2 2 2 2 2 2 41 7" xfId="26810" xr:uid="{E5403FCF-4C99-4DED-88D1-22FB50FB5BE6}"/>
    <cellStyle name="Normal 3 2 2 2 2 2 2 2 2 2 2 2 42" xfId="26811" xr:uid="{E4F30C99-4C0B-48F5-BD09-A2BD130EC5F9}"/>
    <cellStyle name="Normal 3 2 2 2 2 2 2 2 2 2 2 2 43" xfId="26812" xr:uid="{344C6E83-A132-4682-80BA-EAEB9EB80EEA}"/>
    <cellStyle name="Normal 3 2 2 2 2 2 2 2 2 2 2 2 44" xfId="26813" xr:uid="{4683298F-40F4-4CE9-874D-A7BB5B5E1E07}"/>
    <cellStyle name="Normal 3 2 2 2 2 2 2 2 2 2 2 2 45" xfId="26814" xr:uid="{DF1F6929-FDC5-4B12-9E41-9317843E5E3D}"/>
    <cellStyle name="Normal 3 2 2 2 2 2 2 2 2 2 2 2 46" xfId="26815" xr:uid="{4F60423D-19CF-4045-BA0E-D4A0EBF114F6}"/>
    <cellStyle name="Normal 3 2 2 2 2 2 2 2 2 2 2 2 47" xfId="26816" xr:uid="{22D3835E-AB95-43FA-842A-F621D8AF04D2}"/>
    <cellStyle name="Normal 3 2 2 2 2 2 2 2 2 2 2 2 48" xfId="26817" xr:uid="{120F3571-A37E-4CEC-9AB8-178A11CF0B38}"/>
    <cellStyle name="Normal 3 2 2 2 2 2 2 2 2 2 2 2 49" xfId="26818" xr:uid="{00593476-87C8-4803-BD80-3108CD9ED7CF}"/>
    <cellStyle name="Normal 3 2 2 2 2 2 2 2 2 2 2 2 5" xfId="26819" xr:uid="{067F4400-6C3D-4121-8FF3-FFEF70D6ACF5}"/>
    <cellStyle name="Normal 3 2 2 2 2 2 2 2 2 2 2 2 50" xfId="26820" xr:uid="{380DA1E8-E1DA-497C-9727-3FB89E30863B}"/>
    <cellStyle name="Normal 3 2 2 2 2 2 2 2 2 2 2 2 51" xfId="26821" xr:uid="{BA1AC65A-A180-438D-892F-7753C644294A}"/>
    <cellStyle name="Normal 3 2 2 2 2 2 2 2 2 2 2 2 52" xfId="26822" xr:uid="{5E5FFB33-957E-4D77-A950-ECCF709C7FCE}"/>
    <cellStyle name="Normal 3 2 2 2 2 2 2 2 2 2 2 2 53" xfId="26823" xr:uid="{143AFDEA-14DC-4FA8-B855-F0ABB6F81712}"/>
    <cellStyle name="Normal 3 2 2 2 2 2 2 2 2 2 2 2 54" xfId="26824" xr:uid="{A83BEB40-E599-4A35-9ACA-FAF7E27249EF}"/>
    <cellStyle name="Normal 3 2 2 2 2 2 2 2 2 2 2 2 55" xfId="26825" xr:uid="{D4EAE255-03BC-4CE7-8AFF-9BDA9C8BE325}"/>
    <cellStyle name="Normal 3 2 2 2 2 2 2 2 2 2 2 2 56" xfId="26826" xr:uid="{7ABFB389-A5E6-4BCB-9F76-A69497015BBB}"/>
    <cellStyle name="Normal 3 2 2 2 2 2 2 2 2 2 2 2 57" xfId="26827" xr:uid="{8834EFFA-DEF8-4BA1-A093-8FC8E4ACC249}"/>
    <cellStyle name="Normal 3 2 2 2 2 2 2 2 2 2 2 2 58" xfId="26828" xr:uid="{EA84A43C-980C-41E8-924B-2B204C25BC4D}"/>
    <cellStyle name="Normal 3 2 2 2 2 2 2 2 2 2 2 2 59" xfId="26829" xr:uid="{3BDB6DA5-4793-48C7-ABF2-3B1FF22C7501}"/>
    <cellStyle name="Normal 3 2 2 2 2 2 2 2 2 2 2 2 6" xfId="26830" xr:uid="{F6A08C5B-4D7A-4FB3-8237-6A835A6F7588}"/>
    <cellStyle name="Normal 3 2 2 2 2 2 2 2 2 2 2 2 60" xfId="26831" xr:uid="{FDCBF3D2-5068-45BB-8137-8A941823EBF7}"/>
    <cellStyle name="Normal 3 2 2 2 2 2 2 2 2 2 2 2 61" xfId="26832" xr:uid="{761468AF-F47B-47E2-B23E-8832DAB840F1}"/>
    <cellStyle name="Normal 3 2 2 2 2 2 2 2 2 2 2 2 62" xfId="26833" xr:uid="{C721DB8C-F374-421A-907A-379C61CAB386}"/>
    <cellStyle name="Normal 3 2 2 2 2 2 2 2 2 2 2 2 63" xfId="26834" xr:uid="{AC9CB11C-0500-4206-B79B-135FC7B67AA0}"/>
    <cellStyle name="Normal 3 2 2 2 2 2 2 2 2 2 2 2 64" xfId="26835" xr:uid="{A335B27A-3BA5-4143-A70A-8B7BB9C74507}"/>
    <cellStyle name="Normal 3 2 2 2 2 2 2 2 2 2 2 2 65" xfId="26836" xr:uid="{092E84BA-3838-451E-8469-D38EE26D0050}"/>
    <cellStyle name="Normal 3 2 2 2 2 2 2 2 2 2 2 2 66" xfId="26837" xr:uid="{D258FE99-7974-4D95-8382-A6DD1648FBD0}"/>
    <cellStyle name="Normal 3 2 2 2 2 2 2 2 2 2 2 2 67" xfId="26838" xr:uid="{8689FE02-EF88-40AE-BE94-AAABA89A4BB7}"/>
    <cellStyle name="Normal 3 2 2 2 2 2 2 2 2 2 2 2 68" xfId="26839" xr:uid="{403B8F1F-4014-4BB5-9CE9-4E29B9419AB6}"/>
    <cellStyle name="Normal 3 2 2 2 2 2 2 2 2 2 2 2 69" xfId="26840" xr:uid="{7B596B9C-8BA9-44AF-AFA8-79B4B4E1C64D}"/>
    <cellStyle name="Normal 3 2 2 2 2 2 2 2 2 2 2 2 7" xfId="26841" xr:uid="{50EB55CC-30DF-4057-A8DC-3311FFBA3266}"/>
    <cellStyle name="Normal 3 2 2 2 2 2 2 2 2 2 2 2 7 10" xfId="26842" xr:uid="{741D4409-E4C7-4A15-A6DC-8795E47DE9AE}"/>
    <cellStyle name="Normal 3 2 2 2 2 2 2 2 2 2 2 2 7 11" xfId="26843" xr:uid="{012F8F4B-3557-479C-9AC9-C205FCA9FC53}"/>
    <cellStyle name="Normal 3 2 2 2 2 2 2 2 2 2 2 2 7 11 10" xfId="26844" xr:uid="{3D6FC93F-4AE3-4371-81EA-63970BD62D4C}"/>
    <cellStyle name="Normal 3 2 2 2 2 2 2 2 2 2 2 2 7 11 11" xfId="26845" xr:uid="{0C85A405-863F-4798-A429-726A6E6F6A71}"/>
    <cellStyle name="Normal 3 2 2 2 2 2 2 2 2 2 2 2 7 11 11 2" xfId="26846" xr:uid="{07C44C96-DF91-4FF0-A976-7EC474FBBC21}"/>
    <cellStyle name="Normal 3 2 2 2 2 2 2 2 2 2 2 2 7 11 11 3" xfId="26847" xr:uid="{EC8F279C-0E3B-4741-AB67-F49E8475E9AF}"/>
    <cellStyle name="Normal 3 2 2 2 2 2 2 2 2 2 2 2 7 11 11 4" xfId="26848" xr:uid="{EF838261-E258-4229-B626-04164205A359}"/>
    <cellStyle name="Normal 3 2 2 2 2 2 2 2 2 2 2 2 7 11 12" xfId="26849" xr:uid="{6108C89B-E111-45DC-B6F2-08BDED031AEF}"/>
    <cellStyle name="Normal 3 2 2 2 2 2 2 2 2 2 2 2 7 11 13" xfId="26850" xr:uid="{2F591DB6-8B0E-4562-B49A-31DE55EE3076}"/>
    <cellStyle name="Normal 3 2 2 2 2 2 2 2 2 2 2 2 7 11 14" xfId="26851" xr:uid="{37A1B3BC-DBC7-45E7-B3AC-023B1CD98BA2}"/>
    <cellStyle name="Normal 3 2 2 2 2 2 2 2 2 2 2 2 7 11 2" xfId="26852" xr:uid="{F955BA93-2E6C-4F27-B4AC-6402FE58E4DC}"/>
    <cellStyle name="Normal 3 2 2 2 2 2 2 2 2 2 2 2 7 11 2 10" xfId="26853" xr:uid="{F387E80E-DB10-4D18-9DDC-7E49285031AE}"/>
    <cellStyle name="Normal 3 2 2 2 2 2 2 2 2 2 2 2 7 11 2 11" xfId="26854" xr:uid="{E63FA979-C963-40BD-9595-81B66638690C}"/>
    <cellStyle name="Normal 3 2 2 2 2 2 2 2 2 2 2 2 7 11 2 2" xfId="26855" xr:uid="{76064C6D-3C8C-4590-BB18-3D5C76B93C44}"/>
    <cellStyle name="Normal 3 2 2 2 2 2 2 2 2 2 2 2 7 11 2 2 10" xfId="26856" xr:uid="{3FCA9528-D20A-4558-9342-ACEFE2A32467}"/>
    <cellStyle name="Normal 3 2 2 2 2 2 2 2 2 2 2 2 7 11 2 2 11" xfId="26857" xr:uid="{75695DD1-8FAB-483A-B501-3540CA30BEC8}"/>
    <cellStyle name="Normal 3 2 2 2 2 2 2 2 2 2 2 2 7 11 2 2 2" xfId="26858" xr:uid="{AEF97873-F286-44C9-AFC1-98C26B44BBEB}"/>
    <cellStyle name="Normal 3 2 2 2 2 2 2 2 2 2 2 2 7 11 2 2 2 2" xfId="26859" xr:uid="{12C3B7C3-114C-488A-9E01-282D7178D502}"/>
    <cellStyle name="Normal 3 2 2 2 2 2 2 2 2 2 2 2 7 11 2 2 2 2 2" xfId="26860" xr:uid="{9C31B90F-FA6B-4A92-B001-F0F182C949BE}"/>
    <cellStyle name="Normal 3 2 2 2 2 2 2 2 2 2 2 2 7 11 2 2 2 2 3" xfId="26861" xr:uid="{5488EEC5-F268-4029-894A-12E0A3F344F4}"/>
    <cellStyle name="Normal 3 2 2 2 2 2 2 2 2 2 2 2 7 11 2 2 2 2 4" xfId="26862" xr:uid="{0BC9D0B0-F3A7-41B4-99E1-DE6C9E1F38FA}"/>
    <cellStyle name="Normal 3 2 2 2 2 2 2 2 2 2 2 2 7 11 2 2 2 3" xfId="26863" xr:uid="{2503655E-63F0-4D9F-BA59-E5698FB4670D}"/>
    <cellStyle name="Normal 3 2 2 2 2 2 2 2 2 2 2 2 7 11 2 2 2 4" xfId="26864" xr:uid="{C0320F9B-0EC1-4220-96AA-F2E42867AF16}"/>
    <cellStyle name="Normal 3 2 2 2 2 2 2 2 2 2 2 2 7 11 2 2 2 5" xfId="26865" xr:uid="{9A327AFB-7BD8-4D90-9C7E-B1872359D944}"/>
    <cellStyle name="Normal 3 2 2 2 2 2 2 2 2 2 2 2 7 11 2 2 2 6" xfId="26866" xr:uid="{6595FDEE-3ED1-4082-8152-18CAD9F42315}"/>
    <cellStyle name="Normal 3 2 2 2 2 2 2 2 2 2 2 2 7 11 2 2 3" xfId="26867" xr:uid="{C1573706-FE71-4D23-B55C-7EE8059A832C}"/>
    <cellStyle name="Normal 3 2 2 2 2 2 2 2 2 2 2 2 7 11 2 2 4" xfId="26868" xr:uid="{8301528D-96F8-41C3-A87A-0007E3BFA383}"/>
    <cellStyle name="Normal 3 2 2 2 2 2 2 2 2 2 2 2 7 11 2 2 5" xfId="26869" xr:uid="{C0062189-AFC2-4FAE-8AC1-966321C5AE35}"/>
    <cellStyle name="Normal 3 2 2 2 2 2 2 2 2 2 2 2 7 11 2 2 6" xfId="26870" xr:uid="{B8E0FDED-AB7E-4D22-AFAF-FD08E5C74496}"/>
    <cellStyle name="Normal 3 2 2 2 2 2 2 2 2 2 2 2 7 11 2 2 7" xfId="26871" xr:uid="{B9037219-9C83-43D5-8F3A-17C829C817B6}"/>
    <cellStyle name="Normal 3 2 2 2 2 2 2 2 2 2 2 2 7 11 2 2 8" xfId="26872" xr:uid="{089CC598-7939-480E-A317-E7B8EA285C9D}"/>
    <cellStyle name="Normal 3 2 2 2 2 2 2 2 2 2 2 2 7 11 2 2 8 2" xfId="26873" xr:uid="{96B0D48D-642B-43AC-AA5D-8E14BE2B357C}"/>
    <cellStyle name="Normal 3 2 2 2 2 2 2 2 2 2 2 2 7 11 2 2 8 3" xfId="26874" xr:uid="{63CD827E-2CE9-4117-8A5A-4EF58895B673}"/>
    <cellStyle name="Normal 3 2 2 2 2 2 2 2 2 2 2 2 7 11 2 2 8 4" xfId="26875" xr:uid="{BB73E75E-7678-4BF0-8E67-9207F7D2CE4A}"/>
    <cellStyle name="Normal 3 2 2 2 2 2 2 2 2 2 2 2 7 11 2 2 9" xfId="26876" xr:uid="{2341FF05-5409-4E5A-9581-C2D73A994963}"/>
    <cellStyle name="Normal 3 2 2 2 2 2 2 2 2 2 2 2 7 11 2 3" xfId="26877" xr:uid="{46A0643A-E557-4746-9936-38502DB4D6E2}"/>
    <cellStyle name="Normal 3 2 2 2 2 2 2 2 2 2 2 2 7 11 2 3 2" xfId="26878" xr:uid="{70140FA0-D7C2-44A8-A57F-07C244599FD3}"/>
    <cellStyle name="Normal 3 2 2 2 2 2 2 2 2 2 2 2 7 11 2 3 2 2" xfId="26879" xr:uid="{FCA8D274-A025-46AB-8ACD-458E6BE4DE30}"/>
    <cellStyle name="Normal 3 2 2 2 2 2 2 2 2 2 2 2 7 11 2 3 2 3" xfId="26880" xr:uid="{2E5AE895-6170-4E3A-A77D-A64D92C3EE47}"/>
    <cellStyle name="Normal 3 2 2 2 2 2 2 2 2 2 2 2 7 11 2 3 2 4" xfId="26881" xr:uid="{CB444592-C63F-4AB8-ACAA-B2956C49BDE2}"/>
    <cellStyle name="Normal 3 2 2 2 2 2 2 2 2 2 2 2 7 11 2 3 3" xfId="26882" xr:uid="{135623F4-6045-4EAB-93B5-0E40AB044137}"/>
    <cellStyle name="Normal 3 2 2 2 2 2 2 2 2 2 2 2 7 11 2 3 4" xfId="26883" xr:uid="{2C812860-6630-4312-9AA4-6D7C105EDA88}"/>
    <cellStyle name="Normal 3 2 2 2 2 2 2 2 2 2 2 2 7 11 2 3 5" xfId="26884" xr:uid="{1B1327FE-A4FA-4A89-9368-7E0D499677E5}"/>
    <cellStyle name="Normal 3 2 2 2 2 2 2 2 2 2 2 2 7 11 2 3 6" xfId="26885" xr:uid="{8381C846-3F80-4A63-9D32-D1790004BDDF}"/>
    <cellStyle name="Normal 3 2 2 2 2 2 2 2 2 2 2 2 7 11 2 4" xfId="26886" xr:uid="{7FB8AD7D-674F-451B-BF8C-BC6AD40F39C2}"/>
    <cellStyle name="Normal 3 2 2 2 2 2 2 2 2 2 2 2 7 11 2 5" xfId="26887" xr:uid="{E5B72677-6058-459A-8A7A-29E06461A1D1}"/>
    <cellStyle name="Normal 3 2 2 2 2 2 2 2 2 2 2 2 7 11 2 6" xfId="26888" xr:uid="{4C1713DD-E35F-4015-9A08-6FCCC51F11BF}"/>
    <cellStyle name="Normal 3 2 2 2 2 2 2 2 2 2 2 2 7 11 2 7" xfId="26889" xr:uid="{E59C65A9-38B1-4374-AF4F-863849420E2A}"/>
    <cellStyle name="Normal 3 2 2 2 2 2 2 2 2 2 2 2 7 11 2 8" xfId="26890" xr:uid="{DAD0E18C-7161-4693-9FDD-C6A25E615D67}"/>
    <cellStyle name="Normal 3 2 2 2 2 2 2 2 2 2 2 2 7 11 2 8 2" xfId="26891" xr:uid="{1F09AAAE-F1E5-49E3-9164-3DC30199DF26}"/>
    <cellStyle name="Normal 3 2 2 2 2 2 2 2 2 2 2 2 7 11 2 8 3" xfId="26892" xr:uid="{B342F9E2-3149-4C91-AD1D-63F5580C41C5}"/>
    <cellStyle name="Normal 3 2 2 2 2 2 2 2 2 2 2 2 7 11 2 8 4" xfId="26893" xr:uid="{37826F92-3FC7-4852-A49C-930F3C321A89}"/>
    <cellStyle name="Normal 3 2 2 2 2 2 2 2 2 2 2 2 7 11 2 9" xfId="26894" xr:uid="{8305A164-5403-4938-B1F2-1ED64D0C2242}"/>
    <cellStyle name="Normal 3 2 2 2 2 2 2 2 2 2 2 2 7 11 3" xfId="26895" xr:uid="{7F6046E9-EF36-45D8-B04A-84385D403C92}"/>
    <cellStyle name="Normal 3 2 2 2 2 2 2 2 2 2 2 2 7 11 4" xfId="26896" xr:uid="{AF8CC772-3C0A-4317-985B-02E66FDEBF16}"/>
    <cellStyle name="Normal 3 2 2 2 2 2 2 2 2 2 2 2 7 11 5" xfId="26897" xr:uid="{F84BBFBF-FF0D-4747-8711-A8F1E555CCC2}"/>
    <cellStyle name="Normal 3 2 2 2 2 2 2 2 2 2 2 2 7 11 5 2" xfId="26898" xr:uid="{2A518113-CBC5-4390-B760-D2FE3F157C71}"/>
    <cellStyle name="Normal 3 2 2 2 2 2 2 2 2 2 2 2 7 11 5 2 2" xfId="26899" xr:uid="{B928592C-9E96-45AE-9D3A-D82DF162C2E3}"/>
    <cellStyle name="Normal 3 2 2 2 2 2 2 2 2 2 2 2 7 11 5 2 3" xfId="26900" xr:uid="{180A0180-369F-4ACA-A161-8FF9A65A02BE}"/>
    <cellStyle name="Normal 3 2 2 2 2 2 2 2 2 2 2 2 7 11 5 2 4" xfId="26901" xr:uid="{95C99E12-2384-4E72-9768-04B7F491E190}"/>
    <cellStyle name="Normal 3 2 2 2 2 2 2 2 2 2 2 2 7 11 5 3" xfId="26902" xr:uid="{3604E5F0-653F-44C4-82AC-C89E4696D51A}"/>
    <cellStyle name="Normal 3 2 2 2 2 2 2 2 2 2 2 2 7 11 5 4" xfId="26903" xr:uid="{C8E6A101-466E-4A7B-997E-E1EE6046DACD}"/>
    <cellStyle name="Normal 3 2 2 2 2 2 2 2 2 2 2 2 7 11 5 5" xfId="26904" xr:uid="{F33B9E1A-144E-4C35-9C80-5E62C6E9B28F}"/>
    <cellStyle name="Normal 3 2 2 2 2 2 2 2 2 2 2 2 7 11 5 6" xfId="26905" xr:uid="{24F4E66B-71BF-41DE-831F-A1ACB01DA27E}"/>
    <cellStyle name="Normal 3 2 2 2 2 2 2 2 2 2 2 2 7 11 6" xfId="26906" xr:uid="{508089F0-A9EA-4318-84AD-D10D77E04EA4}"/>
    <cellStyle name="Normal 3 2 2 2 2 2 2 2 2 2 2 2 7 11 7" xfId="26907" xr:uid="{13879258-F9E1-4F1E-98B4-89D8E6DD9F6B}"/>
    <cellStyle name="Normal 3 2 2 2 2 2 2 2 2 2 2 2 7 11 8" xfId="26908" xr:uid="{5A2A121E-64DF-4CAD-9340-B4F7EAF32918}"/>
    <cellStyle name="Normal 3 2 2 2 2 2 2 2 2 2 2 2 7 11 9" xfId="26909" xr:uid="{6B4097F2-C1FA-4FA7-9597-8CD1FD066187}"/>
    <cellStyle name="Normal 3 2 2 2 2 2 2 2 2 2 2 2 7 12" xfId="26910" xr:uid="{7DF46252-3B63-4A3C-ADF2-15B3DF2A836F}"/>
    <cellStyle name="Normal 3 2 2 2 2 2 2 2 2 2 2 2 7 13" xfId="26911" xr:uid="{C2AEF7C4-A359-440F-9B68-830AD5E8DA2A}"/>
    <cellStyle name="Normal 3 2 2 2 2 2 2 2 2 2 2 2 7 13 10" xfId="26912" xr:uid="{CCA56417-82F5-4F20-93CA-C7AC35AB7BAA}"/>
    <cellStyle name="Normal 3 2 2 2 2 2 2 2 2 2 2 2 7 13 11" xfId="26913" xr:uid="{D8267AA5-1FD5-49A4-85B8-46BBB117392F}"/>
    <cellStyle name="Normal 3 2 2 2 2 2 2 2 2 2 2 2 7 13 2" xfId="26914" xr:uid="{C8726CCF-4BF7-423D-987F-3A71C631E31E}"/>
    <cellStyle name="Normal 3 2 2 2 2 2 2 2 2 2 2 2 7 13 2 10" xfId="26915" xr:uid="{DB948035-A476-470F-B796-0FB29B6AA9C5}"/>
    <cellStyle name="Normal 3 2 2 2 2 2 2 2 2 2 2 2 7 13 2 11" xfId="26916" xr:uid="{FCBB7C10-8AD7-411E-B1A0-F1DB94F0C7E0}"/>
    <cellStyle name="Normal 3 2 2 2 2 2 2 2 2 2 2 2 7 13 2 2" xfId="26917" xr:uid="{FFE7BABC-3DA5-4D30-A83F-88A268381799}"/>
    <cellStyle name="Normal 3 2 2 2 2 2 2 2 2 2 2 2 7 13 2 2 2" xfId="26918" xr:uid="{1FE9A90B-91D3-4A80-840D-B1C85BFAD993}"/>
    <cellStyle name="Normal 3 2 2 2 2 2 2 2 2 2 2 2 7 13 2 2 2 2" xfId="26919" xr:uid="{FE3EF6F4-F79C-4649-9E0E-8A85104E6FA6}"/>
    <cellStyle name="Normal 3 2 2 2 2 2 2 2 2 2 2 2 7 13 2 2 2 3" xfId="26920" xr:uid="{526B1DEB-0AC2-4DF4-85D8-D2DACB05B675}"/>
    <cellStyle name="Normal 3 2 2 2 2 2 2 2 2 2 2 2 7 13 2 2 2 4" xfId="26921" xr:uid="{4C13DB9C-66C3-4BE1-94BD-04B97C56FA40}"/>
    <cellStyle name="Normal 3 2 2 2 2 2 2 2 2 2 2 2 7 13 2 2 3" xfId="26922" xr:uid="{0788BD30-A5AE-4D15-863F-16662CA22D2B}"/>
    <cellStyle name="Normal 3 2 2 2 2 2 2 2 2 2 2 2 7 13 2 2 4" xfId="26923" xr:uid="{1F9283F1-4E2E-4787-BBCE-04AB7A2B39AE}"/>
    <cellStyle name="Normal 3 2 2 2 2 2 2 2 2 2 2 2 7 13 2 2 5" xfId="26924" xr:uid="{97934112-F11D-4F5E-92E7-61AF7E6CD779}"/>
    <cellStyle name="Normal 3 2 2 2 2 2 2 2 2 2 2 2 7 13 2 2 6" xfId="26925" xr:uid="{DB7227BF-EB98-4C23-B3AB-E65FD3A62498}"/>
    <cellStyle name="Normal 3 2 2 2 2 2 2 2 2 2 2 2 7 13 2 3" xfId="26926" xr:uid="{0A902F24-14AC-4CC3-B1FB-C6F50213E921}"/>
    <cellStyle name="Normal 3 2 2 2 2 2 2 2 2 2 2 2 7 13 2 4" xfId="26927" xr:uid="{F271FC67-6F2E-4121-8A27-FB4BFC702CD6}"/>
    <cellStyle name="Normal 3 2 2 2 2 2 2 2 2 2 2 2 7 13 2 5" xfId="26928" xr:uid="{518AA0C7-4FBD-48F3-83AD-506D95843D91}"/>
    <cellStyle name="Normal 3 2 2 2 2 2 2 2 2 2 2 2 7 13 2 6" xfId="26929" xr:uid="{C7CC6B23-2A49-454A-B480-679B1E406B4F}"/>
    <cellStyle name="Normal 3 2 2 2 2 2 2 2 2 2 2 2 7 13 2 7" xfId="26930" xr:uid="{29A53167-BD7F-46BA-B076-1C11A9999B8D}"/>
    <cellStyle name="Normal 3 2 2 2 2 2 2 2 2 2 2 2 7 13 2 8" xfId="26931" xr:uid="{572CFA56-1B05-444C-886E-DCDF73648877}"/>
    <cellStyle name="Normal 3 2 2 2 2 2 2 2 2 2 2 2 7 13 2 8 2" xfId="26932" xr:uid="{00942654-DCE9-4A40-A569-F0504D3C1FC6}"/>
    <cellStyle name="Normal 3 2 2 2 2 2 2 2 2 2 2 2 7 13 2 8 3" xfId="26933" xr:uid="{7363A4F1-C3A8-4CF6-B487-ECF927138426}"/>
    <cellStyle name="Normal 3 2 2 2 2 2 2 2 2 2 2 2 7 13 2 8 4" xfId="26934" xr:uid="{CD22A3FF-2633-4A9C-8145-FA2060EF9C18}"/>
    <cellStyle name="Normal 3 2 2 2 2 2 2 2 2 2 2 2 7 13 2 9" xfId="26935" xr:uid="{AFD30B97-B174-4AC6-AF77-B5AF0E36874B}"/>
    <cellStyle name="Normal 3 2 2 2 2 2 2 2 2 2 2 2 7 13 3" xfId="26936" xr:uid="{7EA3E51A-06B7-4CE2-8427-D5F4A33F6444}"/>
    <cellStyle name="Normal 3 2 2 2 2 2 2 2 2 2 2 2 7 13 3 2" xfId="26937" xr:uid="{4026129C-D8F0-4FD3-A1D7-C67EA20448B0}"/>
    <cellStyle name="Normal 3 2 2 2 2 2 2 2 2 2 2 2 7 13 3 2 2" xfId="26938" xr:uid="{670BF601-5A5F-4027-994A-D21101A06519}"/>
    <cellStyle name="Normal 3 2 2 2 2 2 2 2 2 2 2 2 7 13 3 2 3" xfId="26939" xr:uid="{21192F3B-F95E-4354-BEA7-9DF3EF9A1D3B}"/>
    <cellStyle name="Normal 3 2 2 2 2 2 2 2 2 2 2 2 7 13 3 2 4" xfId="26940" xr:uid="{39C1B215-E401-481B-98FB-DA8942B122BC}"/>
    <cellStyle name="Normal 3 2 2 2 2 2 2 2 2 2 2 2 7 13 3 3" xfId="26941" xr:uid="{DDE416E7-941F-4065-B381-EF7DC2D2F076}"/>
    <cellStyle name="Normal 3 2 2 2 2 2 2 2 2 2 2 2 7 13 3 4" xfId="26942" xr:uid="{97B139F6-A960-4084-80F8-0A80580E1DC1}"/>
    <cellStyle name="Normal 3 2 2 2 2 2 2 2 2 2 2 2 7 13 3 5" xfId="26943" xr:uid="{61170839-D647-40BE-9387-4A5A404B1323}"/>
    <cellStyle name="Normal 3 2 2 2 2 2 2 2 2 2 2 2 7 13 3 6" xfId="26944" xr:uid="{BDA6C114-8442-4089-A835-6AC95DEBAFA6}"/>
    <cellStyle name="Normal 3 2 2 2 2 2 2 2 2 2 2 2 7 13 4" xfId="26945" xr:uid="{DC311C6E-8963-4CF4-93E5-DA164DB4C34C}"/>
    <cellStyle name="Normal 3 2 2 2 2 2 2 2 2 2 2 2 7 13 5" xfId="26946" xr:uid="{BB8D149E-3175-4141-AF21-A00081D990F7}"/>
    <cellStyle name="Normal 3 2 2 2 2 2 2 2 2 2 2 2 7 13 6" xfId="26947" xr:uid="{62A735CF-9C38-4870-94AC-6922B285D060}"/>
    <cellStyle name="Normal 3 2 2 2 2 2 2 2 2 2 2 2 7 13 7" xfId="26948" xr:uid="{DA6950EC-2EDE-451A-903D-DFFDF3AF0BDB}"/>
    <cellStyle name="Normal 3 2 2 2 2 2 2 2 2 2 2 2 7 13 8" xfId="26949" xr:uid="{BBEF0253-A7CE-4BE8-9FE3-9D91EFE57E9F}"/>
    <cellStyle name="Normal 3 2 2 2 2 2 2 2 2 2 2 2 7 13 8 2" xfId="26950" xr:uid="{E86F130A-DB87-45BF-B9EC-D37A4C20CD48}"/>
    <cellStyle name="Normal 3 2 2 2 2 2 2 2 2 2 2 2 7 13 8 3" xfId="26951" xr:uid="{85D79D50-2650-409E-9344-98B976E833AE}"/>
    <cellStyle name="Normal 3 2 2 2 2 2 2 2 2 2 2 2 7 13 8 4" xfId="26952" xr:uid="{7DE061D1-9222-4AA1-BFA8-51D85660E55D}"/>
    <cellStyle name="Normal 3 2 2 2 2 2 2 2 2 2 2 2 7 13 9" xfId="26953" xr:uid="{67F12942-4C34-4820-AB8C-27912D6D5E90}"/>
    <cellStyle name="Normal 3 2 2 2 2 2 2 2 2 2 2 2 7 14" xfId="26954" xr:uid="{81379DC3-FDC2-4647-AD39-6BFD8020BDD9}"/>
    <cellStyle name="Normal 3 2 2 2 2 2 2 2 2 2 2 2 7 15" xfId="26955" xr:uid="{DB15DDD4-CB4B-4A35-AE39-6AAEE2D3B883}"/>
    <cellStyle name="Normal 3 2 2 2 2 2 2 2 2 2 2 2 7 15 2" xfId="26956" xr:uid="{796F3E96-44A0-4CB1-835A-269F9E2D36E3}"/>
    <cellStyle name="Normal 3 2 2 2 2 2 2 2 2 2 2 2 7 15 2 2" xfId="26957" xr:uid="{291C995B-9CC5-41A6-8736-B64B3A58EF7E}"/>
    <cellStyle name="Normal 3 2 2 2 2 2 2 2 2 2 2 2 7 15 2 3" xfId="26958" xr:uid="{816A49AF-4768-4BBD-8A70-612325242823}"/>
    <cellStyle name="Normal 3 2 2 2 2 2 2 2 2 2 2 2 7 15 2 4" xfId="26959" xr:uid="{2CBA3A85-68E8-4A2C-89EB-4CB3050A13F2}"/>
    <cellStyle name="Normal 3 2 2 2 2 2 2 2 2 2 2 2 7 15 3" xfId="26960" xr:uid="{534A760B-164C-40D0-87BA-4713D885E192}"/>
    <cellStyle name="Normal 3 2 2 2 2 2 2 2 2 2 2 2 7 15 4" xfId="26961" xr:uid="{9A08F392-9CAE-487C-9FB0-1AD0F4E2C6D8}"/>
    <cellStyle name="Normal 3 2 2 2 2 2 2 2 2 2 2 2 7 15 5" xfId="26962" xr:uid="{55E19BAD-3E85-48EE-8F9B-46A8F09AECEE}"/>
    <cellStyle name="Normal 3 2 2 2 2 2 2 2 2 2 2 2 7 15 6" xfId="26963" xr:uid="{17612FB6-FA5A-4E6B-9004-7FE85B90BFC5}"/>
    <cellStyle name="Normal 3 2 2 2 2 2 2 2 2 2 2 2 7 16" xfId="26964" xr:uid="{07403E34-2E95-4C8C-BF35-287186D6C564}"/>
    <cellStyle name="Normal 3 2 2 2 2 2 2 2 2 2 2 2 7 17" xfId="26965" xr:uid="{C3DE75A0-16ED-4D21-A334-B4AE9C2570A1}"/>
    <cellStyle name="Normal 3 2 2 2 2 2 2 2 2 2 2 2 7 18" xfId="26966" xr:uid="{084B5C47-575A-4E13-8D3D-C131C2305BBB}"/>
    <cellStyle name="Normal 3 2 2 2 2 2 2 2 2 2 2 2 7 19" xfId="26967" xr:uid="{4FC685AC-9817-4486-B94B-4CFE3BF701C6}"/>
    <cellStyle name="Normal 3 2 2 2 2 2 2 2 2 2 2 2 7 2" xfId="26968" xr:uid="{E5678F9D-960F-4B39-BAFB-02C3DC24CD68}"/>
    <cellStyle name="Normal 3 2 2 2 2 2 2 2 2 2 2 2 7 2 10" xfId="26969" xr:uid="{F1985400-060B-461B-8280-60958EEBE88A}"/>
    <cellStyle name="Normal 3 2 2 2 2 2 2 2 2 2 2 2 7 2 11" xfId="26970" xr:uid="{0DA9D7E8-4E90-475B-94AB-7F858E560036}"/>
    <cellStyle name="Normal 3 2 2 2 2 2 2 2 2 2 2 2 7 2 12" xfId="26971" xr:uid="{1B1DD310-7B9E-4AD4-A42E-6B4A1E83CC33}"/>
    <cellStyle name="Normal 3 2 2 2 2 2 2 2 2 2 2 2 7 2 13" xfId="26972" xr:uid="{8D261820-05E0-4F76-BB48-EF6B8541758E}"/>
    <cellStyle name="Normal 3 2 2 2 2 2 2 2 2 2 2 2 7 2 13 2" xfId="26973" xr:uid="{5203EFB1-1D28-456C-A5FB-BBAD46263D69}"/>
    <cellStyle name="Normal 3 2 2 2 2 2 2 2 2 2 2 2 7 2 13 3" xfId="26974" xr:uid="{37B99C00-3D95-499F-A710-62D1C212C33F}"/>
    <cellStyle name="Normal 3 2 2 2 2 2 2 2 2 2 2 2 7 2 13 4" xfId="26975" xr:uid="{EDCB19C9-81C7-440F-A250-39A453430186}"/>
    <cellStyle name="Normal 3 2 2 2 2 2 2 2 2 2 2 2 7 2 14" xfId="26976" xr:uid="{7D95ACAD-0811-4A75-9A95-CB04023386B7}"/>
    <cellStyle name="Normal 3 2 2 2 2 2 2 2 2 2 2 2 7 2 15" xfId="26977" xr:uid="{8CAFB25A-0F51-4202-B8A4-E7E3B68AB314}"/>
    <cellStyle name="Normal 3 2 2 2 2 2 2 2 2 2 2 2 7 2 16" xfId="26978" xr:uid="{9C425807-9B8B-4E19-99A7-151E93B29EF9}"/>
    <cellStyle name="Normal 3 2 2 2 2 2 2 2 2 2 2 2 7 2 2" xfId="26979" xr:uid="{D39A9FC6-CD0D-4179-B97F-D66697ACDDCF}"/>
    <cellStyle name="Normal 3 2 2 2 2 2 2 2 2 2 2 2 7 2 2 10" xfId="26980" xr:uid="{55CA6265-8366-4190-9E56-CCDFE83FEA98}"/>
    <cellStyle name="Normal 3 2 2 2 2 2 2 2 2 2 2 2 7 2 2 11" xfId="26981" xr:uid="{53E3D765-2DE6-476B-89E1-20ADBE3ED2D7}"/>
    <cellStyle name="Normal 3 2 2 2 2 2 2 2 2 2 2 2 7 2 2 11 2" xfId="26982" xr:uid="{2C1E5A88-AB23-4C90-81C0-9CF1FD015C8D}"/>
    <cellStyle name="Normal 3 2 2 2 2 2 2 2 2 2 2 2 7 2 2 11 3" xfId="26983" xr:uid="{FD84671A-2C7F-4C4D-BB74-3DE42AD42ADB}"/>
    <cellStyle name="Normal 3 2 2 2 2 2 2 2 2 2 2 2 7 2 2 11 4" xfId="26984" xr:uid="{A9CC7A92-0572-4FF0-A436-FBEABDBF4A0B}"/>
    <cellStyle name="Normal 3 2 2 2 2 2 2 2 2 2 2 2 7 2 2 12" xfId="26985" xr:uid="{8F22059A-A28F-4BB7-8DEA-5828B731CB73}"/>
    <cellStyle name="Normal 3 2 2 2 2 2 2 2 2 2 2 2 7 2 2 13" xfId="26986" xr:uid="{194D7B98-5CC2-49B0-B942-4E0CFA7649C2}"/>
    <cellStyle name="Normal 3 2 2 2 2 2 2 2 2 2 2 2 7 2 2 14" xfId="26987" xr:uid="{E7247722-4A30-4243-BC6D-B51E6ACEB090}"/>
    <cellStyle name="Normal 3 2 2 2 2 2 2 2 2 2 2 2 7 2 2 2" xfId="26988" xr:uid="{4B8F938A-C366-4A89-8064-282FF5872C3B}"/>
    <cellStyle name="Normal 3 2 2 2 2 2 2 2 2 2 2 2 7 2 2 2 10" xfId="26989" xr:uid="{409B04C3-0209-4FD7-8DF6-C8F02C7224CA}"/>
    <cellStyle name="Normal 3 2 2 2 2 2 2 2 2 2 2 2 7 2 2 2 11" xfId="26990" xr:uid="{F15C8E3F-EBF9-42D7-9BF1-03F19419E6CD}"/>
    <cellStyle name="Normal 3 2 2 2 2 2 2 2 2 2 2 2 7 2 2 2 2" xfId="26991" xr:uid="{B09C8742-5853-4E53-B827-8421051B8B43}"/>
    <cellStyle name="Normal 3 2 2 2 2 2 2 2 2 2 2 2 7 2 2 2 2 10" xfId="26992" xr:uid="{0F80F8CC-7376-42E5-A9D5-F4D520626CD6}"/>
    <cellStyle name="Normal 3 2 2 2 2 2 2 2 2 2 2 2 7 2 2 2 2 11" xfId="26993" xr:uid="{440E0AE5-69E1-4CCD-8FA6-7B7313DBFE15}"/>
    <cellStyle name="Normal 3 2 2 2 2 2 2 2 2 2 2 2 7 2 2 2 2 2" xfId="26994" xr:uid="{2244E1F4-FDB2-420D-9EF6-5008FF323037}"/>
    <cellStyle name="Normal 3 2 2 2 2 2 2 2 2 2 2 2 7 2 2 2 2 2 2" xfId="26995" xr:uid="{FB2CC259-11BA-4D98-A125-F065E76AE89A}"/>
    <cellStyle name="Normal 3 2 2 2 2 2 2 2 2 2 2 2 7 2 2 2 2 2 2 2" xfId="26996" xr:uid="{9C4F8BCB-E55A-485B-B66A-31E5B3ADAF6C}"/>
    <cellStyle name="Normal 3 2 2 2 2 2 2 2 2 2 2 2 7 2 2 2 2 2 2 3" xfId="26997" xr:uid="{20F64D10-CA1E-4182-B34B-45376E53E267}"/>
    <cellStyle name="Normal 3 2 2 2 2 2 2 2 2 2 2 2 7 2 2 2 2 2 2 4" xfId="26998" xr:uid="{717821CB-FF22-466F-8742-337273A47003}"/>
    <cellStyle name="Normal 3 2 2 2 2 2 2 2 2 2 2 2 7 2 2 2 2 2 3" xfId="26999" xr:uid="{6E03C866-B0D9-466E-8307-DCCFDBB2D899}"/>
    <cellStyle name="Normal 3 2 2 2 2 2 2 2 2 2 2 2 7 2 2 2 2 2 4" xfId="27000" xr:uid="{BD208769-A8B7-4288-8602-5BDD9924E4CD}"/>
    <cellStyle name="Normal 3 2 2 2 2 2 2 2 2 2 2 2 7 2 2 2 2 2 5" xfId="27001" xr:uid="{1AF21631-4A2C-4FC7-9939-D5A7C0045B02}"/>
    <cellStyle name="Normal 3 2 2 2 2 2 2 2 2 2 2 2 7 2 2 2 2 2 6" xfId="27002" xr:uid="{C9ECBC76-C044-45E7-A4DF-90251DDBA92A}"/>
    <cellStyle name="Normal 3 2 2 2 2 2 2 2 2 2 2 2 7 2 2 2 2 3" xfId="27003" xr:uid="{00C282AD-9349-4CEE-A7B4-B0289AFEE19E}"/>
    <cellStyle name="Normal 3 2 2 2 2 2 2 2 2 2 2 2 7 2 2 2 2 4" xfId="27004" xr:uid="{1E152ACD-3163-4865-B7AD-FCE0335FF7D4}"/>
    <cellStyle name="Normal 3 2 2 2 2 2 2 2 2 2 2 2 7 2 2 2 2 5" xfId="27005" xr:uid="{956AF371-C2B3-4A34-AC11-7D7F6E740095}"/>
    <cellStyle name="Normal 3 2 2 2 2 2 2 2 2 2 2 2 7 2 2 2 2 6" xfId="27006" xr:uid="{D4B52B4E-969A-4ED4-B201-D946B8BDC8DA}"/>
    <cellStyle name="Normal 3 2 2 2 2 2 2 2 2 2 2 2 7 2 2 2 2 7" xfId="27007" xr:uid="{8D861CD2-E460-4C8D-B404-6376A852599D}"/>
    <cellStyle name="Normal 3 2 2 2 2 2 2 2 2 2 2 2 7 2 2 2 2 8" xfId="27008" xr:uid="{7E849DD3-1604-4BAB-BA5D-6B8D520D4385}"/>
    <cellStyle name="Normal 3 2 2 2 2 2 2 2 2 2 2 2 7 2 2 2 2 8 2" xfId="27009" xr:uid="{CA711C5A-9CD9-4E3D-986D-24F3E00492F8}"/>
    <cellStyle name="Normal 3 2 2 2 2 2 2 2 2 2 2 2 7 2 2 2 2 8 3" xfId="27010" xr:uid="{B6CAFD08-E21F-48A4-945B-9FBC4AA5797C}"/>
    <cellStyle name="Normal 3 2 2 2 2 2 2 2 2 2 2 2 7 2 2 2 2 8 4" xfId="27011" xr:uid="{4486FBB9-A360-42B3-9280-DE82318A4E1C}"/>
    <cellStyle name="Normal 3 2 2 2 2 2 2 2 2 2 2 2 7 2 2 2 2 9" xfId="27012" xr:uid="{C39B2935-C80F-4D59-98E8-CC4C4B810645}"/>
    <cellStyle name="Normal 3 2 2 2 2 2 2 2 2 2 2 2 7 2 2 2 3" xfId="27013" xr:uid="{D8FAF18F-3194-4732-AA94-F6E2EC892D79}"/>
    <cellStyle name="Normal 3 2 2 2 2 2 2 2 2 2 2 2 7 2 2 2 3 2" xfId="27014" xr:uid="{7A2395C4-5D9F-42CE-A313-FDC8DAB954B2}"/>
    <cellStyle name="Normal 3 2 2 2 2 2 2 2 2 2 2 2 7 2 2 2 3 2 2" xfId="27015" xr:uid="{0CE6D9CE-1A9F-4EF7-B24F-D30F527E48F9}"/>
    <cellStyle name="Normal 3 2 2 2 2 2 2 2 2 2 2 2 7 2 2 2 3 2 3" xfId="27016" xr:uid="{E7827770-8859-4779-A501-0A96AFFCC114}"/>
    <cellStyle name="Normal 3 2 2 2 2 2 2 2 2 2 2 2 7 2 2 2 3 2 4" xfId="27017" xr:uid="{F3F38972-79FC-40BF-8122-D9BFFC1F7DD3}"/>
    <cellStyle name="Normal 3 2 2 2 2 2 2 2 2 2 2 2 7 2 2 2 3 3" xfId="27018" xr:uid="{79798EF3-DE57-494D-8825-A7179D8592DB}"/>
    <cellStyle name="Normal 3 2 2 2 2 2 2 2 2 2 2 2 7 2 2 2 3 4" xfId="27019" xr:uid="{2EE54003-7654-4C20-99FC-4DE371D32313}"/>
    <cellStyle name="Normal 3 2 2 2 2 2 2 2 2 2 2 2 7 2 2 2 3 5" xfId="27020" xr:uid="{FDD5BF7B-B9E6-4471-93D4-FA358583842C}"/>
    <cellStyle name="Normal 3 2 2 2 2 2 2 2 2 2 2 2 7 2 2 2 3 6" xfId="27021" xr:uid="{66D15D10-CE23-470B-9CF3-2CDBEBE90472}"/>
    <cellStyle name="Normal 3 2 2 2 2 2 2 2 2 2 2 2 7 2 2 2 4" xfId="27022" xr:uid="{3292F1E0-EF6B-4C32-95D7-43D3031DD5F5}"/>
    <cellStyle name="Normal 3 2 2 2 2 2 2 2 2 2 2 2 7 2 2 2 5" xfId="27023" xr:uid="{94EA6AF9-6BE3-441C-9AAC-8516D1985B99}"/>
    <cellStyle name="Normal 3 2 2 2 2 2 2 2 2 2 2 2 7 2 2 2 6" xfId="27024" xr:uid="{8A6A4230-A7B7-42A7-ADB6-E64E90D7A3C7}"/>
    <cellStyle name="Normal 3 2 2 2 2 2 2 2 2 2 2 2 7 2 2 2 7" xfId="27025" xr:uid="{CEED5B78-D5AF-4FF8-B187-1708A171D5CE}"/>
    <cellStyle name="Normal 3 2 2 2 2 2 2 2 2 2 2 2 7 2 2 2 8" xfId="27026" xr:uid="{93003467-1F18-4067-8224-6AA02FA75EED}"/>
    <cellStyle name="Normal 3 2 2 2 2 2 2 2 2 2 2 2 7 2 2 2 8 2" xfId="27027" xr:uid="{1F123302-6118-42AC-BD27-C848F58B7288}"/>
    <cellStyle name="Normal 3 2 2 2 2 2 2 2 2 2 2 2 7 2 2 2 8 3" xfId="27028" xr:uid="{7A3F653F-250B-427C-B5FC-E9D47E5191D4}"/>
    <cellStyle name="Normal 3 2 2 2 2 2 2 2 2 2 2 2 7 2 2 2 8 4" xfId="27029" xr:uid="{B59E3961-A6BA-4E67-8511-F66F7FF5FF6A}"/>
    <cellStyle name="Normal 3 2 2 2 2 2 2 2 2 2 2 2 7 2 2 2 9" xfId="27030" xr:uid="{1B57F452-BAF0-4C38-9764-5EEA5019EFDD}"/>
    <cellStyle name="Normal 3 2 2 2 2 2 2 2 2 2 2 2 7 2 2 3" xfId="27031" xr:uid="{EF027F21-8777-4C33-A0EE-A54E1E78CB36}"/>
    <cellStyle name="Normal 3 2 2 2 2 2 2 2 2 2 2 2 7 2 2 4" xfId="27032" xr:uid="{FFE0906E-6CF9-4525-B703-E28CB8D66F06}"/>
    <cellStyle name="Normal 3 2 2 2 2 2 2 2 2 2 2 2 7 2 2 5" xfId="27033" xr:uid="{D17D0404-EA11-4F1F-B969-FC9609FDF23E}"/>
    <cellStyle name="Normal 3 2 2 2 2 2 2 2 2 2 2 2 7 2 2 5 2" xfId="27034" xr:uid="{8B8DD32E-426F-4B64-9FEB-D5F2B33E2C3D}"/>
    <cellStyle name="Normal 3 2 2 2 2 2 2 2 2 2 2 2 7 2 2 5 2 2" xfId="27035" xr:uid="{B661A0EF-2441-4105-8DBD-820270ED1D14}"/>
    <cellStyle name="Normal 3 2 2 2 2 2 2 2 2 2 2 2 7 2 2 5 2 3" xfId="27036" xr:uid="{216F90B2-D226-49FC-BE34-5088D58DD0A5}"/>
    <cellStyle name="Normal 3 2 2 2 2 2 2 2 2 2 2 2 7 2 2 5 2 4" xfId="27037" xr:uid="{7A9BFF75-4035-40D3-A1EE-CBD83739603D}"/>
    <cellStyle name="Normal 3 2 2 2 2 2 2 2 2 2 2 2 7 2 2 5 3" xfId="27038" xr:uid="{F8C961F7-36E8-4117-A0C1-1FF5061DBE4C}"/>
    <cellStyle name="Normal 3 2 2 2 2 2 2 2 2 2 2 2 7 2 2 5 4" xfId="27039" xr:uid="{479F4199-F27B-4EAE-B6EC-A54711ADBD13}"/>
    <cellStyle name="Normal 3 2 2 2 2 2 2 2 2 2 2 2 7 2 2 5 5" xfId="27040" xr:uid="{94A4DA05-4412-4AF0-AE61-9C5D9AD158D5}"/>
    <cellStyle name="Normal 3 2 2 2 2 2 2 2 2 2 2 2 7 2 2 5 6" xfId="27041" xr:uid="{43859B79-F613-4561-8C1C-254EB5387A93}"/>
    <cellStyle name="Normal 3 2 2 2 2 2 2 2 2 2 2 2 7 2 2 6" xfId="27042" xr:uid="{7C8EBA4B-EECE-41EA-BA63-FB08E6ACC84E}"/>
    <cellStyle name="Normal 3 2 2 2 2 2 2 2 2 2 2 2 7 2 2 7" xfId="27043" xr:uid="{7241328B-329E-4166-B742-AAA2673B7DE5}"/>
    <cellStyle name="Normal 3 2 2 2 2 2 2 2 2 2 2 2 7 2 2 8" xfId="27044" xr:uid="{36240C94-9D4E-4872-B04D-582920BCB4F4}"/>
    <cellStyle name="Normal 3 2 2 2 2 2 2 2 2 2 2 2 7 2 2 9" xfId="27045" xr:uid="{D8233B8A-EA23-4028-B035-E384230A556D}"/>
    <cellStyle name="Normal 3 2 2 2 2 2 2 2 2 2 2 2 7 2 3" xfId="27046" xr:uid="{EC4F79D7-76EB-40FB-9AC9-3651BF885416}"/>
    <cellStyle name="Normal 3 2 2 2 2 2 2 2 2 2 2 2 7 2 4" xfId="27047" xr:uid="{15B11782-6314-4DC4-818A-0544FAB0CCC6}"/>
    <cellStyle name="Normal 3 2 2 2 2 2 2 2 2 2 2 2 7 2 5" xfId="27048" xr:uid="{8D20E088-3F8D-4C07-8447-B505323029F5}"/>
    <cellStyle name="Normal 3 2 2 2 2 2 2 2 2 2 2 2 7 2 5 10" xfId="27049" xr:uid="{D4F8E254-80E5-48F3-B610-0EAACD7D8EF6}"/>
    <cellStyle name="Normal 3 2 2 2 2 2 2 2 2 2 2 2 7 2 5 11" xfId="27050" xr:uid="{53BDB847-84DC-4C6F-A883-F6B932FF0BFF}"/>
    <cellStyle name="Normal 3 2 2 2 2 2 2 2 2 2 2 2 7 2 5 2" xfId="27051" xr:uid="{EEABC4FD-AE69-4C4E-8030-0E8A2C9BFCF6}"/>
    <cellStyle name="Normal 3 2 2 2 2 2 2 2 2 2 2 2 7 2 5 2 10" xfId="27052" xr:uid="{170BBF3A-A58B-4423-8809-5AE28016DCE6}"/>
    <cellStyle name="Normal 3 2 2 2 2 2 2 2 2 2 2 2 7 2 5 2 11" xfId="27053" xr:uid="{0AE65F36-E6E5-4899-AE50-03DA305C7AD1}"/>
    <cellStyle name="Normal 3 2 2 2 2 2 2 2 2 2 2 2 7 2 5 2 2" xfId="27054" xr:uid="{3831A8B3-499C-4201-A1C8-B0116571B51B}"/>
    <cellStyle name="Normal 3 2 2 2 2 2 2 2 2 2 2 2 7 2 5 2 2 2" xfId="27055" xr:uid="{416EEF9A-1021-4D67-A5D2-CC5FE7341A10}"/>
    <cellStyle name="Normal 3 2 2 2 2 2 2 2 2 2 2 2 7 2 5 2 2 2 2" xfId="27056" xr:uid="{CCBDADD7-45A6-4590-8676-FCADB63D8B38}"/>
    <cellStyle name="Normal 3 2 2 2 2 2 2 2 2 2 2 2 7 2 5 2 2 2 3" xfId="27057" xr:uid="{BFC45666-1719-4B5A-BEF4-5F55617E1274}"/>
    <cellStyle name="Normal 3 2 2 2 2 2 2 2 2 2 2 2 7 2 5 2 2 2 4" xfId="27058" xr:uid="{C61CDD8D-7C73-4041-81A1-8EC74E579353}"/>
    <cellStyle name="Normal 3 2 2 2 2 2 2 2 2 2 2 2 7 2 5 2 2 3" xfId="27059" xr:uid="{D34FBFB3-E280-4F09-8909-814D96845483}"/>
    <cellStyle name="Normal 3 2 2 2 2 2 2 2 2 2 2 2 7 2 5 2 2 4" xfId="27060" xr:uid="{BC8588FF-3DA1-4BA5-B78C-8C546AD06BC0}"/>
    <cellStyle name="Normal 3 2 2 2 2 2 2 2 2 2 2 2 7 2 5 2 2 5" xfId="27061" xr:uid="{FC458562-645F-452A-BA8E-CEB83DE40D2D}"/>
    <cellStyle name="Normal 3 2 2 2 2 2 2 2 2 2 2 2 7 2 5 2 2 6" xfId="27062" xr:uid="{90E6776C-1CC9-44C3-8F22-291FB9EDB398}"/>
    <cellStyle name="Normal 3 2 2 2 2 2 2 2 2 2 2 2 7 2 5 2 3" xfId="27063" xr:uid="{AFC5AA72-D676-452E-9D61-3A6508617E46}"/>
    <cellStyle name="Normal 3 2 2 2 2 2 2 2 2 2 2 2 7 2 5 2 4" xfId="27064" xr:uid="{192AE61B-F730-42EB-97C0-6DAB96BDFD9E}"/>
    <cellStyle name="Normal 3 2 2 2 2 2 2 2 2 2 2 2 7 2 5 2 5" xfId="27065" xr:uid="{A9C3EC5D-653F-496A-A0AB-7C3F59E47718}"/>
    <cellStyle name="Normal 3 2 2 2 2 2 2 2 2 2 2 2 7 2 5 2 6" xfId="27066" xr:uid="{B1F46D3C-1A0C-49D1-9D2E-2F11EA71F0B7}"/>
    <cellStyle name="Normal 3 2 2 2 2 2 2 2 2 2 2 2 7 2 5 2 7" xfId="27067" xr:uid="{8DC850D9-EF6C-4EB0-8C23-D8A88FFA3A46}"/>
    <cellStyle name="Normal 3 2 2 2 2 2 2 2 2 2 2 2 7 2 5 2 8" xfId="27068" xr:uid="{FA1615D5-2BDC-438C-9D9E-9285B04AB9E0}"/>
    <cellStyle name="Normal 3 2 2 2 2 2 2 2 2 2 2 2 7 2 5 2 8 2" xfId="27069" xr:uid="{C2B2A14C-D910-4F05-8F48-FD0BEAE35974}"/>
    <cellStyle name="Normal 3 2 2 2 2 2 2 2 2 2 2 2 7 2 5 2 8 3" xfId="27070" xr:uid="{F12E894F-6576-47CD-8106-F8794F45B2EF}"/>
    <cellStyle name="Normal 3 2 2 2 2 2 2 2 2 2 2 2 7 2 5 2 8 4" xfId="27071" xr:uid="{6B6A0CAE-CCD8-4AC9-A152-5833900DAB35}"/>
    <cellStyle name="Normal 3 2 2 2 2 2 2 2 2 2 2 2 7 2 5 2 9" xfId="27072" xr:uid="{6ADE31C0-614F-4047-9BBE-4EE317D51230}"/>
    <cellStyle name="Normal 3 2 2 2 2 2 2 2 2 2 2 2 7 2 5 3" xfId="27073" xr:uid="{69ECF508-79E8-4329-BD0C-4305BC7EDDC9}"/>
    <cellStyle name="Normal 3 2 2 2 2 2 2 2 2 2 2 2 7 2 5 3 2" xfId="27074" xr:uid="{C4D9AD14-206E-4898-BC79-CC67B35AF8C3}"/>
    <cellStyle name="Normal 3 2 2 2 2 2 2 2 2 2 2 2 7 2 5 3 2 2" xfId="27075" xr:uid="{9E9AEC5B-546A-4E0D-A80F-F07FE04C6734}"/>
    <cellStyle name="Normal 3 2 2 2 2 2 2 2 2 2 2 2 7 2 5 3 2 3" xfId="27076" xr:uid="{7C467B8A-94A7-4C2F-A5A1-2924BC5135DE}"/>
    <cellStyle name="Normal 3 2 2 2 2 2 2 2 2 2 2 2 7 2 5 3 2 4" xfId="27077" xr:uid="{CAEFFB16-E3AA-4415-BD4D-26D273F73037}"/>
    <cellStyle name="Normal 3 2 2 2 2 2 2 2 2 2 2 2 7 2 5 3 3" xfId="27078" xr:uid="{F08724D5-ED01-4FFC-B1D7-67DF5D12AC44}"/>
    <cellStyle name="Normal 3 2 2 2 2 2 2 2 2 2 2 2 7 2 5 3 4" xfId="27079" xr:uid="{AD0B18FE-F1E1-405C-9BC5-2177AA058A99}"/>
    <cellStyle name="Normal 3 2 2 2 2 2 2 2 2 2 2 2 7 2 5 3 5" xfId="27080" xr:uid="{11114216-0086-4A1C-A47C-ED62967A51D3}"/>
    <cellStyle name="Normal 3 2 2 2 2 2 2 2 2 2 2 2 7 2 5 3 6" xfId="27081" xr:uid="{1B895AAB-2323-415D-8AEE-099BBC4AE6CC}"/>
    <cellStyle name="Normal 3 2 2 2 2 2 2 2 2 2 2 2 7 2 5 4" xfId="27082" xr:uid="{FA5E6549-E531-4FAD-9500-3ED5C3B007C2}"/>
    <cellStyle name="Normal 3 2 2 2 2 2 2 2 2 2 2 2 7 2 5 5" xfId="27083" xr:uid="{D005ABAC-28AC-4045-87A0-8212D7924DBB}"/>
    <cellStyle name="Normal 3 2 2 2 2 2 2 2 2 2 2 2 7 2 5 6" xfId="27084" xr:uid="{4A10D9AA-E626-4603-8430-2FEAA779C75B}"/>
    <cellStyle name="Normal 3 2 2 2 2 2 2 2 2 2 2 2 7 2 5 7" xfId="27085" xr:uid="{C4C8B27D-16FB-4DA2-835F-E6442E81DAC9}"/>
    <cellStyle name="Normal 3 2 2 2 2 2 2 2 2 2 2 2 7 2 5 8" xfId="27086" xr:uid="{C6327732-FCBB-4550-95BE-A943323E1592}"/>
    <cellStyle name="Normal 3 2 2 2 2 2 2 2 2 2 2 2 7 2 5 8 2" xfId="27087" xr:uid="{397EF5B2-C734-404E-8466-1721717DB171}"/>
    <cellStyle name="Normal 3 2 2 2 2 2 2 2 2 2 2 2 7 2 5 8 3" xfId="27088" xr:uid="{040A5533-27AA-45DE-BB01-4E8ED4665E9D}"/>
    <cellStyle name="Normal 3 2 2 2 2 2 2 2 2 2 2 2 7 2 5 8 4" xfId="27089" xr:uid="{C94BD4E0-4B1D-4B11-B715-AB4AE3D329DC}"/>
    <cellStyle name="Normal 3 2 2 2 2 2 2 2 2 2 2 2 7 2 5 9" xfId="27090" xr:uid="{06544763-AB73-4A18-9BB6-1F4875C6EAAE}"/>
    <cellStyle name="Normal 3 2 2 2 2 2 2 2 2 2 2 2 7 2 6" xfId="27091" xr:uid="{EFF9E803-E8BE-4C47-A869-B68088C65CD7}"/>
    <cellStyle name="Normal 3 2 2 2 2 2 2 2 2 2 2 2 7 2 7" xfId="27092" xr:uid="{19E3AFCF-43F6-470D-BD26-D754EEA2B04E}"/>
    <cellStyle name="Normal 3 2 2 2 2 2 2 2 2 2 2 2 7 2 7 2" xfId="27093" xr:uid="{627D8F38-FF45-4459-9C1F-58B67E1173F1}"/>
    <cellStyle name="Normal 3 2 2 2 2 2 2 2 2 2 2 2 7 2 7 2 2" xfId="27094" xr:uid="{0D7BBB67-034B-4D60-877E-1B55D8E484D1}"/>
    <cellStyle name="Normal 3 2 2 2 2 2 2 2 2 2 2 2 7 2 7 2 3" xfId="27095" xr:uid="{E94F5664-A582-4655-9E31-CE9FA0410CC8}"/>
    <cellStyle name="Normal 3 2 2 2 2 2 2 2 2 2 2 2 7 2 7 2 4" xfId="27096" xr:uid="{146BD2AB-3C42-4F0B-A162-3D288C4B1C82}"/>
    <cellStyle name="Normal 3 2 2 2 2 2 2 2 2 2 2 2 7 2 7 3" xfId="27097" xr:uid="{05CB84C3-0A76-411C-8712-2FAA6198BD46}"/>
    <cellStyle name="Normal 3 2 2 2 2 2 2 2 2 2 2 2 7 2 7 4" xfId="27098" xr:uid="{9CFC703A-73F6-4810-BDD8-6D57F95D68D6}"/>
    <cellStyle name="Normal 3 2 2 2 2 2 2 2 2 2 2 2 7 2 7 5" xfId="27099" xr:uid="{A5CA2185-D7D6-49FC-B090-1948B18A1AE6}"/>
    <cellStyle name="Normal 3 2 2 2 2 2 2 2 2 2 2 2 7 2 7 6" xfId="27100" xr:uid="{77982019-D8DB-4056-B80C-02686C844560}"/>
    <cellStyle name="Normal 3 2 2 2 2 2 2 2 2 2 2 2 7 2 8" xfId="27101" xr:uid="{81B74B30-D251-4CE6-8E8E-88638CCC2CE3}"/>
    <cellStyle name="Normal 3 2 2 2 2 2 2 2 2 2 2 2 7 2 9" xfId="27102" xr:uid="{C926CA0C-54D5-4A89-8A81-7B818FEB01C2}"/>
    <cellStyle name="Normal 3 2 2 2 2 2 2 2 2 2 2 2 7 20" xfId="27103" xr:uid="{FD9DF303-A504-4DA1-86A9-A23C61AEEB12}"/>
    <cellStyle name="Normal 3 2 2 2 2 2 2 2 2 2 2 2 7 21" xfId="27104" xr:uid="{F0637AC1-2E69-403B-AF83-2526D03FA4B3}"/>
    <cellStyle name="Normal 3 2 2 2 2 2 2 2 2 2 2 2 7 21 2" xfId="27105" xr:uid="{D5A56C0C-0C13-495B-B4F2-2CA1CB02EE1A}"/>
    <cellStyle name="Normal 3 2 2 2 2 2 2 2 2 2 2 2 7 21 3" xfId="27106" xr:uid="{0C296A65-B4AA-4868-9D8B-7F41FA4121F2}"/>
    <cellStyle name="Normal 3 2 2 2 2 2 2 2 2 2 2 2 7 21 4" xfId="27107" xr:uid="{27B97936-7638-41B1-A40F-F9975ECE4738}"/>
    <cellStyle name="Normal 3 2 2 2 2 2 2 2 2 2 2 2 7 22" xfId="27108" xr:uid="{F78735AB-988B-457B-A833-3AA2965A4152}"/>
    <cellStyle name="Normal 3 2 2 2 2 2 2 2 2 2 2 2 7 23" xfId="27109" xr:uid="{3059240E-72B2-45A6-8FB8-29AB863E2A36}"/>
    <cellStyle name="Normal 3 2 2 2 2 2 2 2 2 2 2 2 7 24" xfId="27110" xr:uid="{77C91F6E-C230-43E6-B209-EAF2C0EEE069}"/>
    <cellStyle name="Normal 3 2 2 2 2 2 2 2 2 2 2 2 7 3" xfId="27111" xr:uid="{2EF6183C-552C-4DED-9F07-1D83BAE5007B}"/>
    <cellStyle name="Normal 3 2 2 2 2 2 2 2 2 2 2 2 7 4" xfId="27112" xr:uid="{380FB765-650E-40DD-930F-E505B0AB742A}"/>
    <cellStyle name="Normal 3 2 2 2 2 2 2 2 2 2 2 2 7 5" xfId="27113" xr:uid="{2314340F-7780-4509-B2B4-D22DE53736D8}"/>
    <cellStyle name="Normal 3 2 2 2 2 2 2 2 2 2 2 2 7 6" xfId="27114" xr:uid="{E0B443D8-E737-4267-97EF-EADBF7325B41}"/>
    <cellStyle name="Normal 3 2 2 2 2 2 2 2 2 2 2 2 7 7" xfId="27115" xr:uid="{EF7002FD-4FCE-46A8-BAC4-FAD33D58FC98}"/>
    <cellStyle name="Normal 3 2 2 2 2 2 2 2 2 2 2 2 7 8" xfId="27116" xr:uid="{DFD37943-4F8D-4F95-8827-BB75C19C78C7}"/>
    <cellStyle name="Normal 3 2 2 2 2 2 2 2 2 2 2 2 7 9" xfId="27117" xr:uid="{33801E96-70A8-452E-ACCA-A4BD823C2891}"/>
    <cellStyle name="Normal 3 2 2 2 2 2 2 2 2 2 2 2 70" xfId="27118" xr:uid="{848B4B00-55B0-48F9-98AD-1C5F2827C3D9}"/>
    <cellStyle name="Normal 3 2 2 2 2 2 2 2 2 2 2 2 71" xfId="27119" xr:uid="{F538B8AA-3699-42D4-8188-20BC663B7B3B}"/>
    <cellStyle name="Normal 3 2 2 2 2 2 2 2 2 2 2 2 72" xfId="27120" xr:uid="{A572A88D-DC7C-436F-B357-E51A1EBDABA5}"/>
    <cellStyle name="Normal 3 2 2 2 2 2 2 2 2 2 2 2 73" xfId="27121" xr:uid="{C47FC600-1326-4E38-B1D0-90A257CA71DB}"/>
    <cellStyle name="Normal 3 2 2 2 2 2 2 2 2 2 2 2 73 2" xfId="27122" xr:uid="{B90F86E8-7D5E-4A3E-AC86-A960942DB862}"/>
    <cellStyle name="Normal 3 2 2 2 2 2 2 2 2 2 2 2 73 3" xfId="27123" xr:uid="{FEB025E1-732F-4933-9AC7-C15DD632F402}"/>
    <cellStyle name="Normal 3 2 2 2 2 2 2 2 2 2 2 2 73 4" xfId="27124" xr:uid="{F59AECC4-AB80-483C-9AB3-D8E8EF932B3D}"/>
    <cellStyle name="Normal 3 2 2 2 2 2 2 2 2 2 2 2 74" xfId="27125" xr:uid="{C026BF50-A6BA-4873-B2DE-7364CD1ED9B1}"/>
    <cellStyle name="Normal 3 2 2 2 2 2 2 2 2 2 2 2 75" xfId="27126" xr:uid="{E8936590-4373-485B-949E-2B04410A1D29}"/>
    <cellStyle name="Normal 3 2 2 2 2 2 2 2 2 2 2 2 8" xfId="27127" xr:uid="{85685B62-593A-4DEB-A675-3F9CB363E257}"/>
    <cellStyle name="Normal 3 2 2 2 2 2 2 2 2 2 2 2 8 10" xfId="27128" xr:uid="{3F6EE15E-6B0C-4D62-BFB3-0D532D6AE5AD}"/>
    <cellStyle name="Normal 3 2 2 2 2 2 2 2 2 2 2 2 8 11" xfId="27129" xr:uid="{96FD87D8-BD67-4031-A6D7-FB6D156DF21B}"/>
    <cellStyle name="Normal 3 2 2 2 2 2 2 2 2 2 2 2 8 12" xfId="27130" xr:uid="{DBB26D7D-FD55-4263-A559-313451FB3BCB}"/>
    <cellStyle name="Normal 3 2 2 2 2 2 2 2 2 2 2 2 8 13" xfId="27131" xr:uid="{F8BF3ACC-1D97-4D26-AD23-41B1A631A4C1}"/>
    <cellStyle name="Normal 3 2 2 2 2 2 2 2 2 2 2 2 8 13 2" xfId="27132" xr:uid="{FC2B5EB4-F38D-4079-BBD1-94592E84DC8F}"/>
    <cellStyle name="Normal 3 2 2 2 2 2 2 2 2 2 2 2 8 13 3" xfId="27133" xr:uid="{A0692990-D187-40DD-99C3-68311F681470}"/>
    <cellStyle name="Normal 3 2 2 2 2 2 2 2 2 2 2 2 8 13 4" xfId="27134" xr:uid="{0C617545-5C1F-4971-9BAA-B827A1A1117B}"/>
    <cellStyle name="Normal 3 2 2 2 2 2 2 2 2 2 2 2 8 14" xfId="27135" xr:uid="{C68BC8A8-3E6C-4266-9340-1328F61D74DA}"/>
    <cellStyle name="Normal 3 2 2 2 2 2 2 2 2 2 2 2 8 15" xfId="27136" xr:uid="{37B63650-9727-484C-AE2E-79B54E3B3557}"/>
    <cellStyle name="Normal 3 2 2 2 2 2 2 2 2 2 2 2 8 16" xfId="27137" xr:uid="{93C87659-058F-40C8-983C-5F6A60AA8149}"/>
    <cellStyle name="Normal 3 2 2 2 2 2 2 2 2 2 2 2 8 2" xfId="27138" xr:uid="{59EC5B09-87EF-4069-9195-00B7CE1E62E1}"/>
    <cellStyle name="Normal 3 2 2 2 2 2 2 2 2 2 2 2 8 2 10" xfId="27139" xr:uid="{A0DA7B0E-FC39-4A30-B60E-7AC060676EFA}"/>
    <cellStyle name="Normal 3 2 2 2 2 2 2 2 2 2 2 2 8 2 11" xfId="27140" xr:uid="{104B7F61-D9FF-40DC-88B9-BDABECF2A20A}"/>
    <cellStyle name="Normal 3 2 2 2 2 2 2 2 2 2 2 2 8 2 11 2" xfId="27141" xr:uid="{C79F43AE-7058-4C5E-956D-8D5C4E05A94D}"/>
    <cellStyle name="Normal 3 2 2 2 2 2 2 2 2 2 2 2 8 2 11 3" xfId="27142" xr:uid="{4C88384E-AF06-408E-BBE5-7AF8C3280995}"/>
    <cellStyle name="Normal 3 2 2 2 2 2 2 2 2 2 2 2 8 2 11 4" xfId="27143" xr:uid="{813054E0-9DE1-44F3-B4D0-011C6A7981D8}"/>
    <cellStyle name="Normal 3 2 2 2 2 2 2 2 2 2 2 2 8 2 12" xfId="27144" xr:uid="{B5E15F02-22DE-4EE2-A9F1-67BC81EA3D55}"/>
    <cellStyle name="Normal 3 2 2 2 2 2 2 2 2 2 2 2 8 2 13" xfId="27145" xr:uid="{0016B45D-AB42-422E-9F24-65C3F7EF1E96}"/>
    <cellStyle name="Normal 3 2 2 2 2 2 2 2 2 2 2 2 8 2 14" xfId="27146" xr:uid="{0ED2C85C-6066-44B1-BB7C-A06BA085AE3A}"/>
    <cellStyle name="Normal 3 2 2 2 2 2 2 2 2 2 2 2 8 2 2" xfId="27147" xr:uid="{BD4E9719-9D16-40A6-8FD0-89B8D00C63CE}"/>
    <cellStyle name="Normal 3 2 2 2 2 2 2 2 2 2 2 2 8 2 2 10" xfId="27148" xr:uid="{57F5725E-37A0-4257-8802-72F5693C8E29}"/>
    <cellStyle name="Normal 3 2 2 2 2 2 2 2 2 2 2 2 8 2 2 11" xfId="27149" xr:uid="{B88A8416-0C44-4416-9D57-F0E2F5DC0D2D}"/>
    <cellStyle name="Normal 3 2 2 2 2 2 2 2 2 2 2 2 8 2 2 2" xfId="27150" xr:uid="{228F04D4-ACD0-4AA8-B9F1-50D526F0980E}"/>
    <cellStyle name="Normal 3 2 2 2 2 2 2 2 2 2 2 2 8 2 2 2 10" xfId="27151" xr:uid="{9B3B0C72-F025-40DF-96B3-619F8DD10924}"/>
    <cellStyle name="Normal 3 2 2 2 2 2 2 2 2 2 2 2 8 2 2 2 11" xfId="27152" xr:uid="{B3643566-D7C3-47E5-9D44-35334177945B}"/>
    <cellStyle name="Normal 3 2 2 2 2 2 2 2 2 2 2 2 8 2 2 2 2" xfId="27153" xr:uid="{4C88EF62-7A79-4E60-B06B-25748AD00199}"/>
    <cellStyle name="Normal 3 2 2 2 2 2 2 2 2 2 2 2 8 2 2 2 2 2" xfId="27154" xr:uid="{CDAE55DF-5433-4043-BB98-821841832EBD}"/>
    <cellStyle name="Normal 3 2 2 2 2 2 2 2 2 2 2 2 8 2 2 2 2 2 2" xfId="27155" xr:uid="{D3F549A0-01D4-4AFB-BA0F-E8327922F12A}"/>
    <cellStyle name="Normal 3 2 2 2 2 2 2 2 2 2 2 2 8 2 2 2 2 2 3" xfId="27156" xr:uid="{2F85E5B4-208D-4FEB-B045-A4D79E10A921}"/>
    <cellStyle name="Normal 3 2 2 2 2 2 2 2 2 2 2 2 8 2 2 2 2 2 4" xfId="27157" xr:uid="{AACD9DA5-8211-4BFD-987A-8DF4B0A2B591}"/>
    <cellStyle name="Normal 3 2 2 2 2 2 2 2 2 2 2 2 8 2 2 2 2 3" xfId="27158" xr:uid="{96B7E613-9DCB-4610-9B7E-C9E365673539}"/>
    <cellStyle name="Normal 3 2 2 2 2 2 2 2 2 2 2 2 8 2 2 2 2 4" xfId="27159" xr:uid="{310C6C00-583D-4781-B9A2-4560B2CC54AD}"/>
    <cellStyle name="Normal 3 2 2 2 2 2 2 2 2 2 2 2 8 2 2 2 2 5" xfId="27160" xr:uid="{1B23E324-8AF3-4F17-B627-10FA50C9D751}"/>
    <cellStyle name="Normal 3 2 2 2 2 2 2 2 2 2 2 2 8 2 2 2 2 6" xfId="27161" xr:uid="{61428EE9-68BF-49B3-9166-CEC453A1C196}"/>
    <cellStyle name="Normal 3 2 2 2 2 2 2 2 2 2 2 2 8 2 2 2 3" xfId="27162" xr:uid="{03175778-E89B-42AD-9556-DC49AADAABC2}"/>
    <cellStyle name="Normal 3 2 2 2 2 2 2 2 2 2 2 2 8 2 2 2 4" xfId="27163" xr:uid="{EDD1EC60-0F50-4518-81E1-61914EB044FF}"/>
    <cellStyle name="Normal 3 2 2 2 2 2 2 2 2 2 2 2 8 2 2 2 5" xfId="27164" xr:uid="{C7428C39-AFFB-4C2A-BFEC-E486D53C1D3F}"/>
    <cellStyle name="Normal 3 2 2 2 2 2 2 2 2 2 2 2 8 2 2 2 6" xfId="27165" xr:uid="{2B01229C-5A03-43B2-A5DD-C45E57A3F75F}"/>
    <cellStyle name="Normal 3 2 2 2 2 2 2 2 2 2 2 2 8 2 2 2 7" xfId="27166" xr:uid="{241DDE0F-1B90-4E1C-A299-47FA66FD1BC9}"/>
    <cellStyle name="Normal 3 2 2 2 2 2 2 2 2 2 2 2 8 2 2 2 8" xfId="27167" xr:uid="{9803F0D9-F9A6-4890-93CD-9B7F1DFFC5F9}"/>
    <cellStyle name="Normal 3 2 2 2 2 2 2 2 2 2 2 2 8 2 2 2 8 2" xfId="27168" xr:uid="{E89CE0D8-7C11-4155-BE78-DDBD7CB039E0}"/>
    <cellStyle name="Normal 3 2 2 2 2 2 2 2 2 2 2 2 8 2 2 2 8 3" xfId="27169" xr:uid="{2A019CB3-8D5A-4A05-B0DE-5DB61AF0C42C}"/>
    <cellStyle name="Normal 3 2 2 2 2 2 2 2 2 2 2 2 8 2 2 2 8 4" xfId="27170" xr:uid="{511A1639-55AE-4F12-8812-549C9DD9EA9B}"/>
    <cellStyle name="Normal 3 2 2 2 2 2 2 2 2 2 2 2 8 2 2 2 9" xfId="27171" xr:uid="{C0E871BC-E373-412F-A7F8-1E60F3E84C64}"/>
    <cellStyle name="Normal 3 2 2 2 2 2 2 2 2 2 2 2 8 2 2 3" xfId="27172" xr:uid="{005D7CB9-F755-419B-97D0-AE133ECB935E}"/>
    <cellStyle name="Normal 3 2 2 2 2 2 2 2 2 2 2 2 8 2 2 3 2" xfId="27173" xr:uid="{DBB0A78E-8387-42D3-B426-12FCBE2671F3}"/>
    <cellStyle name="Normal 3 2 2 2 2 2 2 2 2 2 2 2 8 2 2 3 2 2" xfId="27174" xr:uid="{7C536FF6-8B3E-43B9-9118-EB2649B0DB58}"/>
    <cellStyle name="Normal 3 2 2 2 2 2 2 2 2 2 2 2 8 2 2 3 2 3" xfId="27175" xr:uid="{268D8EDA-0FC6-4A40-8775-0EB53E3CA865}"/>
    <cellStyle name="Normal 3 2 2 2 2 2 2 2 2 2 2 2 8 2 2 3 2 4" xfId="27176" xr:uid="{C22CC397-97A6-451D-951A-D59E549C3ACA}"/>
    <cellStyle name="Normal 3 2 2 2 2 2 2 2 2 2 2 2 8 2 2 3 3" xfId="27177" xr:uid="{1AB0BA92-6298-4186-B7F3-C3B3FB458228}"/>
    <cellStyle name="Normal 3 2 2 2 2 2 2 2 2 2 2 2 8 2 2 3 4" xfId="27178" xr:uid="{627D68D2-284D-48E6-AC56-06F61D001D2D}"/>
    <cellStyle name="Normal 3 2 2 2 2 2 2 2 2 2 2 2 8 2 2 3 5" xfId="27179" xr:uid="{F58F001E-84DA-4D1B-A34D-D7B68B1C7882}"/>
    <cellStyle name="Normal 3 2 2 2 2 2 2 2 2 2 2 2 8 2 2 3 6" xfId="27180" xr:uid="{C9033FD9-9717-48BE-9260-ACB664328A72}"/>
    <cellStyle name="Normal 3 2 2 2 2 2 2 2 2 2 2 2 8 2 2 4" xfId="27181" xr:uid="{BA6AAA64-BDF1-4879-B6AB-D49A11C39681}"/>
    <cellStyle name="Normal 3 2 2 2 2 2 2 2 2 2 2 2 8 2 2 5" xfId="27182" xr:uid="{8BB1BD31-BE29-44A4-AD52-E78807935EE3}"/>
    <cellStyle name="Normal 3 2 2 2 2 2 2 2 2 2 2 2 8 2 2 6" xfId="27183" xr:uid="{F2FC3565-8C77-435C-8906-60637D7D7840}"/>
    <cellStyle name="Normal 3 2 2 2 2 2 2 2 2 2 2 2 8 2 2 7" xfId="27184" xr:uid="{BFC3764F-B9D5-45C3-834E-B65AB71BC356}"/>
    <cellStyle name="Normal 3 2 2 2 2 2 2 2 2 2 2 2 8 2 2 8" xfId="27185" xr:uid="{90DFE83A-4255-4F36-8354-526A5D8B8D07}"/>
    <cellStyle name="Normal 3 2 2 2 2 2 2 2 2 2 2 2 8 2 2 8 2" xfId="27186" xr:uid="{9B2A9AF6-241A-4625-88B0-0E3269E0CB47}"/>
    <cellStyle name="Normal 3 2 2 2 2 2 2 2 2 2 2 2 8 2 2 8 3" xfId="27187" xr:uid="{CF3DBEBC-8E06-41F3-91F3-D2F209D2A7FB}"/>
    <cellStyle name="Normal 3 2 2 2 2 2 2 2 2 2 2 2 8 2 2 8 4" xfId="27188" xr:uid="{3B2D2B24-CB62-411D-8124-9BA44B9DA363}"/>
    <cellStyle name="Normal 3 2 2 2 2 2 2 2 2 2 2 2 8 2 2 9" xfId="27189" xr:uid="{AEB1441B-D048-4A65-AAAB-1C8F81670F04}"/>
    <cellStyle name="Normal 3 2 2 2 2 2 2 2 2 2 2 2 8 2 3" xfId="27190" xr:uid="{61D2F5F6-EA93-4D58-8671-DEE048D7EE8D}"/>
    <cellStyle name="Normal 3 2 2 2 2 2 2 2 2 2 2 2 8 2 4" xfId="27191" xr:uid="{04AB87F3-40BD-45C7-BDC0-8D089A20ECC7}"/>
    <cellStyle name="Normal 3 2 2 2 2 2 2 2 2 2 2 2 8 2 5" xfId="27192" xr:uid="{772A1841-5B53-46DA-8E00-21E317D204B3}"/>
    <cellStyle name="Normal 3 2 2 2 2 2 2 2 2 2 2 2 8 2 5 2" xfId="27193" xr:uid="{B2EFE4B6-B5F8-4D04-BA7C-FABD2156DDED}"/>
    <cellStyle name="Normal 3 2 2 2 2 2 2 2 2 2 2 2 8 2 5 2 2" xfId="27194" xr:uid="{670BE002-CE42-4EC9-AEC9-F3D46ED5840C}"/>
    <cellStyle name="Normal 3 2 2 2 2 2 2 2 2 2 2 2 8 2 5 2 3" xfId="27195" xr:uid="{E5CBA356-46CE-4706-B578-48677A89E02B}"/>
    <cellStyle name="Normal 3 2 2 2 2 2 2 2 2 2 2 2 8 2 5 2 4" xfId="27196" xr:uid="{8EADEAF7-6932-41D7-952F-CAFFC66B20D7}"/>
    <cellStyle name="Normal 3 2 2 2 2 2 2 2 2 2 2 2 8 2 5 3" xfId="27197" xr:uid="{047EF28E-4734-4462-815E-B5CF73F0D366}"/>
    <cellStyle name="Normal 3 2 2 2 2 2 2 2 2 2 2 2 8 2 5 4" xfId="27198" xr:uid="{FF35D9C3-BD96-4BBF-B88B-5E01474CE2A5}"/>
    <cellStyle name="Normal 3 2 2 2 2 2 2 2 2 2 2 2 8 2 5 5" xfId="27199" xr:uid="{BE2504A4-25B0-4517-9E0F-8CEA682B6DD9}"/>
    <cellStyle name="Normal 3 2 2 2 2 2 2 2 2 2 2 2 8 2 5 6" xfId="27200" xr:uid="{9C4C26B7-05B1-46B6-A849-8F3DE13ABA1D}"/>
    <cellStyle name="Normal 3 2 2 2 2 2 2 2 2 2 2 2 8 2 6" xfId="27201" xr:uid="{94B44D6C-359B-47EB-9A9B-8C308297D885}"/>
    <cellStyle name="Normal 3 2 2 2 2 2 2 2 2 2 2 2 8 2 7" xfId="27202" xr:uid="{85A537D7-D21E-4021-961F-858B50538529}"/>
    <cellStyle name="Normal 3 2 2 2 2 2 2 2 2 2 2 2 8 2 8" xfId="27203" xr:uid="{ED1CFC89-7195-4266-83DB-BCB401AF08E6}"/>
    <cellStyle name="Normal 3 2 2 2 2 2 2 2 2 2 2 2 8 2 9" xfId="27204" xr:uid="{3A962DEA-21E2-4C0F-A05E-3CF58F01CD50}"/>
    <cellStyle name="Normal 3 2 2 2 2 2 2 2 2 2 2 2 8 3" xfId="27205" xr:uid="{18703D97-8844-4D06-B0CA-416898D60910}"/>
    <cellStyle name="Normal 3 2 2 2 2 2 2 2 2 2 2 2 8 4" xfId="27206" xr:uid="{C1D8B98A-20CE-46ED-8288-CDABC125BB25}"/>
    <cellStyle name="Normal 3 2 2 2 2 2 2 2 2 2 2 2 8 5" xfId="27207" xr:uid="{B004AA13-3E5A-4191-87CE-926215CE1E13}"/>
    <cellStyle name="Normal 3 2 2 2 2 2 2 2 2 2 2 2 8 5 10" xfId="27208" xr:uid="{D4056575-7CC8-400C-B9B0-C9DEC48D6715}"/>
    <cellStyle name="Normal 3 2 2 2 2 2 2 2 2 2 2 2 8 5 11" xfId="27209" xr:uid="{950F63F2-AAAD-4046-A862-7C4036138F2F}"/>
    <cellStyle name="Normal 3 2 2 2 2 2 2 2 2 2 2 2 8 5 2" xfId="27210" xr:uid="{B25D2F54-79CD-49D6-A1A4-BED682227FC7}"/>
    <cellStyle name="Normal 3 2 2 2 2 2 2 2 2 2 2 2 8 5 2 10" xfId="27211" xr:uid="{2CDBA052-8E44-4190-BE00-5F66C14CC0D6}"/>
    <cellStyle name="Normal 3 2 2 2 2 2 2 2 2 2 2 2 8 5 2 11" xfId="27212" xr:uid="{98DB6FD2-AC5E-4C2B-9BB8-CE090F4124A0}"/>
    <cellStyle name="Normal 3 2 2 2 2 2 2 2 2 2 2 2 8 5 2 2" xfId="27213" xr:uid="{930969CE-3E47-4B6E-8333-10146633E980}"/>
    <cellStyle name="Normal 3 2 2 2 2 2 2 2 2 2 2 2 8 5 2 2 2" xfId="27214" xr:uid="{F945483D-DEE6-480E-A99E-68B31E1BDE9D}"/>
    <cellStyle name="Normal 3 2 2 2 2 2 2 2 2 2 2 2 8 5 2 2 2 2" xfId="27215" xr:uid="{A846C51B-9DCA-482D-9852-EA7B6373524D}"/>
    <cellStyle name="Normal 3 2 2 2 2 2 2 2 2 2 2 2 8 5 2 2 2 3" xfId="27216" xr:uid="{C28695ED-043D-402C-9FC8-626FD1B2E9ED}"/>
    <cellStyle name="Normal 3 2 2 2 2 2 2 2 2 2 2 2 8 5 2 2 2 4" xfId="27217" xr:uid="{AB464951-5685-4C4D-B563-EC66B5B916E1}"/>
    <cellStyle name="Normal 3 2 2 2 2 2 2 2 2 2 2 2 8 5 2 2 3" xfId="27218" xr:uid="{11DDE9A0-CDAC-437E-AE93-8BD2E05FA55C}"/>
    <cellStyle name="Normal 3 2 2 2 2 2 2 2 2 2 2 2 8 5 2 2 4" xfId="27219" xr:uid="{89DA6213-E983-4DE9-8C12-2F3EA6B92360}"/>
    <cellStyle name="Normal 3 2 2 2 2 2 2 2 2 2 2 2 8 5 2 2 5" xfId="27220" xr:uid="{E0F24757-002E-40B6-9EE1-77D4111A7278}"/>
    <cellStyle name="Normal 3 2 2 2 2 2 2 2 2 2 2 2 8 5 2 2 6" xfId="27221" xr:uid="{91BC6CDC-737C-48B4-88F4-230823070BC1}"/>
    <cellStyle name="Normal 3 2 2 2 2 2 2 2 2 2 2 2 8 5 2 3" xfId="27222" xr:uid="{5624EF89-1897-4701-91E4-1E421787E34A}"/>
    <cellStyle name="Normal 3 2 2 2 2 2 2 2 2 2 2 2 8 5 2 4" xfId="27223" xr:uid="{6BB74615-26C2-4C69-B008-58E8C4AFD3F2}"/>
    <cellStyle name="Normal 3 2 2 2 2 2 2 2 2 2 2 2 8 5 2 5" xfId="27224" xr:uid="{73CF5003-EE33-4856-B4D1-82E37DA0B8C5}"/>
    <cellStyle name="Normal 3 2 2 2 2 2 2 2 2 2 2 2 8 5 2 6" xfId="27225" xr:uid="{892FC555-75B5-4265-9AC6-5EF5A0AA11B5}"/>
    <cellStyle name="Normal 3 2 2 2 2 2 2 2 2 2 2 2 8 5 2 7" xfId="27226" xr:uid="{5F787C32-AC56-480D-8472-A1F9DF6D8052}"/>
    <cellStyle name="Normal 3 2 2 2 2 2 2 2 2 2 2 2 8 5 2 8" xfId="27227" xr:uid="{8EBDB355-D65C-4E38-925C-CFEFA4C198F9}"/>
    <cellStyle name="Normal 3 2 2 2 2 2 2 2 2 2 2 2 8 5 2 8 2" xfId="27228" xr:uid="{4ECCFAAF-4475-48A7-AD12-CFDD69D6BFC6}"/>
    <cellStyle name="Normal 3 2 2 2 2 2 2 2 2 2 2 2 8 5 2 8 3" xfId="27229" xr:uid="{D165CD5D-6EA2-4DBD-8056-9FB855244630}"/>
    <cellStyle name="Normal 3 2 2 2 2 2 2 2 2 2 2 2 8 5 2 8 4" xfId="27230" xr:uid="{EF911ABF-EDA9-4F5A-8E98-3DA05D9D1F62}"/>
    <cellStyle name="Normal 3 2 2 2 2 2 2 2 2 2 2 2 8 5 2 9" xfId="27231" xr:uid="{08A89A2A-E344-4E0C-A635-193F7560DD28}"/>
    <cellStyle name="Normal 3 2 2 2 2 2 2 2 2 2 2 2 8 5 3" xfId="27232" xr:uid="{9ADF5E5A-F420-4C4E-A9C2-FCA6E5EFAA11}"/>
    <cellStyle name="Normal 3 2 2 2 2 2 2 2 2 2 2 2 8 5 3 2" xfId="27233" xr:uid="{D9F7CA31-31F1-4D90-8055-ADE3B11BC31A}"/>
    <cellStyle name="Normal 3 2 2 2 2 2 2 2 2 2 2 2 8 5 3 2 2" xfId="27234" xr:uid="{A91551A9-44B2-407E-AB1F-275EF651C65F}"/>
    <cellStyle name="Normal 3 2 2 2 2 2 2 2 2 2 2 2 8 5 3 2 3" xfId="27235" xr:uid="{FA6464B6-E488-4235-9721-3878F9AAEE50}"/>
    <cellStyle name="Normal 3 2 2 2 2 2 2 2 2 2 2 2 8 5 3 2 4" xfId="27236" xr:uid="{BC6C9AC1-5DF7-43AA-9466-201C656D1695}"/>
    <cellStyle name="Normal 3 2 2 2 2 2 2 2 2 2 2 2 8 5 3 3" xfId="27237" xr:uid="{04C2B0CB-1720-4A5D-A580-5BCFF2249B4B}"/>
    <cellStyle name="Normal 3 2 2 2 2 2 2 2 2 2 2 2 8 5 3 4" xfId="27238" xr:uid="{73E5515C-9E0E-4243-A73B-8FEBB903FD0B}"/>
    <cellStyle name="Normal 3 2 2 2 2 2 2 2 2 2 2 2 8 5 3 5" xfId="27239" xr:uid="{7CFF109A-8757-4711-BAAC-AE6147B572F4}"/>
    <cellStyle name="Normal 3 2 2 2 2 2 2 2 2 2 2 2 8 5 3 6" xfId="27240" xr:uid="{7E1ECFFC-A2F9-413B-8D7E-EF7CF176A29B}"/>
    <cellStyle name="Normal 3 2 2 2 2 2 2 2 2 2 2 2 8 5 4" xfId="27241" xr:uid="{ADF1D688-8DB5-41FD-9882-0F1EBDB5C60E}"/>
    <cellStyle name="Normal 3 2 2 2 2 2 2 2 2 2 2 2 8 5 5" xfId="27242" xr:uid="{71576C47-1E91-4471-B733-DFCE21D5C3D0}"/>
    <cellStyle name="Normal 3 2 2 2 2 2 2 2 2 2 2 2 8 5 6" xfId="27243" xr:uid="{B960679C-1C2C-4B8A-93B8-45A2907385D9}"/>
    <cellStyle name="Normal 3 2 2 2 2 2 2 2 2 2 2 2 8 5 7" xfId="27244" xr:uid="{CDEA43FB-8738-409B-BF91-6CC26F06108E}"/>
    <cellStyle name="Normal 3 2 2 2 2 2 2 2 2 2 2 2 8 5 8" xfId="27245" xr:uid="{803A6B2E-4EC8-41F6-924F-5DAD7975F2CB}"/>
    <cellStyle name="Normal 3 2 2 2 2 2 2 2 2 2 2 2 8 5 8 2" xfId="27246" xr:uid="{D929D13E-70AA-4332-B3F3-B800E4963B12}"/>
    <cellStyle name="Normal 3 2 2 2 2 2 2 2 2 2 2 2 8 5 8 3" xfId="27247" xr:uid="{7949F8E4-311C-4A50-8E9E-DC00BE3D255E}"/>
    <cellStyle name="Normal 3 2 2 2 2 2 2 2 2 2 2 2 8 5 8 4" xfId="27248" xr:uid="{410622E3-4E26-42C7-B911-30ECB6EA17EC}"/>
    <cellStyle name="Normal 3 2 2 2 2 2 2 2 2 2 2 2 8 5 9" xfId="27249" xr:uid="{7710A4AA-A526-4E2B-AE8B-D1F04FCEDFF4}"/>
    <cellStyle name="Normal 3 2 2 2 2 2 2 2 2 2 2 2 8 6" xfId="27250" xr:uid="{A6A5A158-54ED-47EC-91A2-967ED5FF8397}"/>
    <cellStyle name="Normal 3 2 2 2 2 2 2 2 2 2 2 2 8 7" xfId="27251" xr:uid="{B3452839-8383-4902-AA07-1D9925A1BC0D}"/>
    <cellStyle name="Normal 3 2 2 2 2 2 2 2 2 2 2 2 8 7 2" xfId="27252" xr:uid="{B3EC963D-C1E1-4772-A252-7DD9C3B7A378}"/>
    <cellStyle name="Normal 3 2 2 2 2 2 2 2 2 2 2 2 8 7 2 2" xfId="27253" xr:uid="{EF2B93AB-1063-404E-A24E-DFD0849F98AE}"/>
    <cellStyle name="Normal 3 2 2 2 2 2 2 2 2 2 2 2 8 7 2 3" xfId="27254" xr:uid="{1F0295B9-68AB-4215-83D3-4C416B41ABB4}"/>
    <cellStyle name="Normal 3 2 2 2 2 2 2 2 2 2 2 2 8 7 2 4" xfId="27255" xr:uid="{C993C4AF-E036-42FA-9A78-3290DCB8D4C5}"/>
    <cellStyle name="Normal 3 2 2 2 2 2 2 2 2 2 2 2 8 7 3" xfId="27256" xr:uid="{11F75252-C083-4117-82D4-1F06EA6DCEA5}"/>
    <cellStyle name="Normal 3 2 2 2 2 2 2 2 2 2 2 2 8 7 4" xfId="27257" xr:uid="{BBBC3D4E-55F8-4B0E-994C-35F41252675F}"/>
    <cellStyle name="Normal 3 2 2 2 2 2 2 2 2 2 2 2 8 7 5" xfId="27258" xr:uid="{AB9B6244-424F-4896-AD2C-9C4707BE5AF9}"/>
    <cellStyle name="Normal 3 2 2 2 2 2 2 2 2 2 2 2 8 7 6" xfId="27259" xr:uid="{B5D2E547-FD41-495F-B490-6F2906B120CD}"/>
    <cellStyle name="Normal 3 2 2 2 2 2 2 2 2 2 2 2 8 8" xfId="27260" xr:uid="{B23335FD-A63F-4A41-ACF9-C41367EBC139}"/>
    <cellStyle name="Normal 3 2 2 2 2 2 2 2 2 2 2 2 8 9" xfId="27261" xr:uid="{5E45E30E-13D6-49B3-A3FE-CBD512CD902D}"/>
    <cellStyle name="Normal 3 2 2 2 2 2 2 2 2 2 2 2 9" xfId="27262" xr:uid="{B768A151-5171-41C5-8EFE-B500B7E9A675}"/>
    <cellStyle name="Normal 3 2 2 2 2 2 2 2 2 2 2 20" xfId="27263" xr:uid="{D800BC46-9C52-46F3-B654-8A9B8E9DD1E1}"/>
    <cellStyle name="Normal 3 2 2 2 2 2 2 2 2 2 2 20 2" xfId="27264" xr:uid="{31D35594-E5F3-491D-8F89-945C9EF8A298}"/>
    <cellStyle name="Normal 3 2 2 2 2 2 2 2 2 2 2 20 2 2" xfId="27265" xr:uid="{8E13E833-BC67-4152-BF2F-0573B2EC4501}"/>
    <cellStyle name="Normal 3 2 2 2 2 2 2 2 2 2 2 20 2 3" xfId="27266" xr:uid="{0B261D66-AA61-4562-B892-85FEC757E95D}"/>
    <cellStyle name="Normal 3 2 2 2 2 2 2 2 2 2 2 20 2 4" xfId="27267" xr:uid="{95054581-AE94-413F-B36E-782C6EFCADEA}"/>
    <cellStyle name="Normal 3 2 2 2 2 2 2 2 2 2 2 20 3" xfId="27268" xr:uid="{4792D151-EBD1-4F84-B6DF-A42EC18CA6D7}"/>
    <cellStyle name="Normal 3 2 2 2 2 2 2 2 2 2 2 20 4" xfId="27269" xr:uid="{AA8281A1-E2DC-44A9-98BA-BDFE2898C90D}"/>
    <cellStyle name="Normal 3 2 2 2 2 2 2 2 2 2 2 20 5" xfId="27270" xr:uid="{63409AE8-A3E5-4851-A709-001112D28ED4}"/>
    <cellStyle name="Normal 3 2 2 2 2 2 2 2 2 2 2 20 6" xfId="27271" xr:uid="{330F9BB6-AD5A-44FD-960F-2EB613081502}"/>
    <cellStyle name="Normal 3 2 2 2 2 2 2 2 2 2 2 21" xfId="27272" xr:uid="{32D50FED-DBDE-4C5A-942A-50F61AEA88E4}"/>
    <cellStyle name="Normal 3 2 2 2 2 2 2 2 2 2 2 22" xfId="27273" xr:uid="{8E3AD09F-A4FF-4B4F-92A6-00A31385E436}"/>
    <cellStyle name="Normal 3 2 2 2 2 2 2 2 2 2 2 23" xfId="27274" xr:uid="{89E308C8-CD50-4661-AE8B-98D7A9D7CA9A}"/>
    <cellStyle name="Normal 3 2 2 2 2 2 2 2 2 2 2 24" xfId="27275" xr:uid="{9C62D600-DF36-4F1F-9618-2368977547EE}"/>
    <cellStyle name="Normal 3 2 2 2 2 2 2 2 2 2 2 25" xfId="27276" xr:uid="{659B0C06-0130-4FB5-AD6D-7226D76A540B}"/>
    <cellStyle name="Normal 3 2 2 2 2 2 2 2 2 2 2 26" xfId="27277" xr:uid="{28B590D0-3022-4FE2-86CE-D920447C7451}"/>
    <cellStyle name="Normal 3 2 2 2 2 2 2 2 2 2 2 26 2" xfId="27278" xr:uid="{CC83BC66-B2B1-48DA-9CFD-31658AD21499}"/>
    <cellStyle name="Normal 3 2 2 2 2 2 2 2 2 2 2 26 3" xfId="27279" xr:uid="{62091873-8D81-4415-9D24-03616A84F195}"/>
    <cellStyle name="Normal 3 2 2 2 2 2 2 2 2 2 2 26 4" xfId="27280" xr:uid="{21DD7FAD-8840-4D87-BAD5-540D1503FA12}"/>
    <cellStyle name="Normal 3 2 2 2 2 2 2 2 2 2 2 27" xfId="27281" xr:uid="{BD379464-35CE-4D78-8576-A146E3AF0DF7}"/>
    <cellStyle name="Normal 3 2 2 2 2 2 2 2 2 2 2 28" xfId="27282" xr:uid="{FBCE3A97-61CD-4F15-A17B-2C5F8B40064F}"/>
    <cellStyle name="Normal 3 2 2 2 2 2 2 2 2 2 2 29" xfId="27283" xr:uid="{4B54CFBA-6026-46A6-B03B-FD6F49311A95}"/>
    <cellStyle name="Normal 3 2 2 2 2 2 2 2 2 2 2 3" xfId="27284" xr:uid="{D06581FF-53B8-4BA3-B6DA-F5CB6186B2B0}"/>
    <cellStyle name="Normal 3 2 2 2 2 2 2 2 2 2 2 30" xfId="27285" xr:uid="{781DCC45-C21F-42D2-8389-9F24910B47C3}"/>
    <cellStyle name="Normal 3 2 2 2 2 2 2 2 2 2 2 31" xfId="27286" xr:uid="{500D7267-2CB3-4900-A37D-08B0F6400D0B}"/>
    <cellStyle name="Normal 3 2 2 2 2 2 2 2 2 2 2 32" xfId="27287" xr:uid="{E581B64F-2923-4B64-B0A0-0C7CDAB8458F}"/>
    <cellStyle name="Normal 3 2 2 2 2 2 2 2 2 2 2 33" xfId="27288" xr:uid="{A2AFA1F9-381F-4041-AB61-E66B5FB7F991}"/>
    <cellStyle name="Normal 3 2 2 2 2 2 2 2 2 2 2 34" xfId="27289" xr:uid="{785D21F6-CA8D-4BDD-BC19-959B9BDF4F58}"/>
    <cellStyle name="Normal 3 2 2 2 2 2 2 2 2 2 2 35" xfId="27290" xr:uid="{115A2A41-5B72-4344-971C-2CEAD47CB160}"/>
    <cellStyle name="Normal 3 2 2 2 2 2 2 2 2 2 2 36" xfId="27291" xr:uid="{0EB8220B-3CEB-415C-A96B-742071BD75A8}"/>
    <cellStyle name="Normal 3 2 2 2 2 2 2 2 2 2 2 37" xfId="27292" xr:uid="{96E8FDC2-7794-4578-969C-4E585BDFBD45}"/>
    <cellStyle name="Normal 3 2 2 2 2 2 2 2 2 2 2 38" xfId="27293" xr:uid="{4352EA50-D1ED-4BFD-812A-B3C6242CF216}"/>
    <cellStyle name="Normal 3 2 2 2 2 2 2 2 2 2 2 39" xfId="27294" xr:uid="{B0B20B66-4148-4EC5-B14B-FB9A5CAD86B3}"/>
    <cellStyle name="Normal 3 2 2 2 2 2 2 2 2 2 2 4" xfId="27295" xr:uid="{F5976227-12BA-43E1-BB27-B8F213DD9BEF}"/>
    <cellStyle name="Normal 3 2 2 2 2 2 2 2 2 2 2 40" xfId="27296" xr:uid="{005B5B69-C742-46D1-A990-D0A6001A7E62}"/>
    <cellStyle name="Normal 3 2 2 2 2 2 2 2 2 2 2 41" xfId="27297" xr:uid="{9F605983-0C2D-4CD1-A221-BD78377A2993}"/>
    <cellStyle name="Normal 3 2 2 2 2 2 2 2 2 2 2 41 2" xfId="27298" xr:uid="{5916289F-5C39-4806-85CD-AA6E2E11B027}"/>
    <cellStyle name="Normal 3 2 2 2 2 2 2 2 2 2 2 41 3" xfId="27299" xr:uid="{B0C35FC4-59E9-42F1-B2DE-EB830CEB6144}"/>
    <cellStyle name="Normal 3 2 2 2 2 2 2 2 2 2 2 41 4" xfId="27300" xr:uid="{05E0F346-A0A9-43FE-98C6-80FCED10FA03}"/>
    <cellStyle name="Normal 3 2 2 2 2 2 2 2 2 2 2 41 5" xfId="27301" xr:uid="{41EBDFF9-2A94-4BCE-8363-EDDB2E66C3D1}"/>
    <cellStyle name="Normal 3 2 2 2 2 2 2 2 2 2 2 41 6" xfId="27302" xr:uid="{FC4DB03D-F882-4278-97BE-5B9983C1A2BB}"/>
    <cellStyle name="Normal 3 2 2 2 2 2 2 2 2 2 2 41 7" xfId="27303" xr:uid="{9678851E-EF97-48F0-B522-A3DA9C1FB3F8}"/>
    <cellStyle name="Normal 3 2 2 2 2 2 2 2 2 2 2 42" xfId="27304" xr:uid="{BA07A06A-12EB-4E2C-BBBF-25C5DF159664}"/>
    <cellStyle name="Normal 3 2 2 2 2 2 2 2 2 2 2 43" xfId="27305" xr:uid="{66C85FD4-D70C-488D-AC91-1242177E7254}"/>
    <cellStyle name="Normal 3 2 2 2 2 2 2 2 2 2 2 44" xfId="27306" xr:uid="{271B477A-65D3-47DA-8D03-605B9B2AC315}"/>
    <cellStyle name="Normal 3 2 2 2 2 2 2 2 2 2 2 45" xfId="27307" xr:uid="{562BB71F-2265-4079-AB7E-ABC527BCB0ED}"/>
    <cellStyle name="Normal 3 2 2 2 2 2 2 2 2 2 2 46" xfId="27308" xr:uid="{790F82EA-CF3F-4C5E-B572-B8D3CAC3D3D2}"/>
    <cellStyle name="Normal 3 2 2 2 2 2 2 2 2 2 2 47" xfId="27309" xr:uid="{AE0E0283-C019-4B5F-B03C-BB667716B2C0}"/>
    <cellStyle name="Normal 3 2 2 2 2 2 2 2 2 2 2 48" xfId="27310" xr:uid="{07CBB9B4-9FE3-4459-9A5F-7D0B81885689}"/>
    <cellStyle name="Normal 3 2 2 2 2 2 2 2 2 2 2 49" xfId="27311" xr:uid="{FEA7FB20-3EB6-4E05-B6A1-4C3FA6DD7978}"/>
    <cellStyle name="Normal 3 2 2 2 2 2 2 2 2 2 2 5" xfId="27312" xr:uid="{0289BD79-18EA-4849-B72D-21897713B156}"/>
    <cellStyle name="Normal 3 2 2 2 2 2 2 2 2 2 2 50" xfId="27313" xr:uid="{45B7070E-BA64-47A4-8575-4E7769A99711}"/>
    <cellStyle name="Normal 3 2 2 2 2 2 2 2 2 2 2 51" xfId="27314" xr:uid="{25739D3E-CC50-48F8-9CEC-7A0FD183BB85}"/>
    <cellStyle name="Normal 3 2 2 2 2 2 2 2 2 2 2 52" xfId="27315" xr:uid="{E2624AF7-9F66-4AB5-959C-C3469CB0E108}"/>
    <cellStyle name="Normal 3 2 2 2 2 2 2 2 2 2 2 53" xfId="27316" xr:uid="{C72FFA08-4211-42BA-ABF4-6A603FA115D7}"/>
    <cellStyle name="Normal 3 2 2 2 2 2 2 2 2 2 2 54" xfId="27317" xr:uid="{F09EE74C-2754-486C-8605-C4F3E3273670}"/>
    <cellStyle name="Normal 3 2 2 2 2 2 2 2 2 2 2 55" xfId="27318" xr:uid="{7684D3F8-6310-44C8-B683-15E979CB3E44}"/>
    <cellStyle name="Normal 3 2 2 2 2 2 2 2 2 2 2 56" xfId="27319" xr:uid="{14061F76-BA22-4C62-9884-DEB0C57AB3C9}"/>
    <cellStyle name="Normal 3 2 2 2 2 2 2 2 2 2 2 57" xfId="27320" xr:uid="{64BF1F75-D0B8-4E68-A1BC-7563A5E6C14E}"/>
    <cellStyle name="Normal 3 2 2 2 2 2 2 2 2 2 2 58" xfId="27321" xr:uid="{DE43811D-37A5-41B5-8160-162AA532691A}"/>
    <cellStyle name="Normal 3 2 2 2 2 2 2 2 2 2 2 59" xfId="27322" xr:uid="{AEAC69D0-84B4-4498-92CA-FABCC6B51D2C}"/>
    <cellStyle name="Normal 3 2 2 2 2 2 2 2 2 2 2 6" xfId="27323" xr:uid="{3152D959-4459-4F11-A60D-703258FC40FB}"/>
    <cellStyle name="Normal 3 2 2 2 2 2 2 2 2 2 2 60" xfId="27324" xr:uid="{C4D496BD-247F-4710-950E-291D6232F067}"/>
    <cellStyle name="Normal 3 2 2 2 2 2 2 2 2 2 2 61" xfId="27325" xr:uid="{B35504E5-4DF1-406C-87B9-9066404EB0E0}"/>
    <cellStyle name="Normal 3 2 2 2 2 2 2 2 2 2 2 62" xfId="27326" xr:uid="{A0556C1F-338D-4D9D-8EA9-CF26AE1A1CB6}"/>
    <cellStyle name="Normal 3 2 2 2 2 2 2 2 2 2 2 63" xfId="27327" xr:uid="{A80A035A-8343-4212-B149-5C781C88B0B1}"/>
    <cellStyle name="Normal 3 2 2 2 2 2 2 2 2 2 2 64" xfId="27328" xr:uid="{C1EA9097-CEE3-4EC9-B2CB-F231F067A69C}"/>
    <cellStyle name="Normal 3 2 2 2 2 2 2 2 2 2 2 65" xfId="27329" xr:uid="{248C5996-5C08-4EB7-A2F2-515CE241D485}"/>
    <cellStyle name="Normal 3 2 2 2 2 2 2 2 2 2 2 66" xfId="27330" xr:uid="{A96B2C28-E6E2-4F1A-9CFE-35237F70D476}"/>
    <cellStyle name="Normal 3 2 2 2 2 2 2 2 2 2 2 67" xfId="27331" xr:uid="{B66EB4F6-2114-4868-A11E-B43B8A858EBF}"/>
    <cellStyle name="Normal 3 2 2 2 2 2 2 2 2 2 2 68" xfId="27332" xr:uid="{4CFBB2A3-C315-44DD-B7EC-AF7539471C5F}"/>
    <cellStyle name="Normal 3 2 2 2 2 2 2 2 2 2 2 69" xfId="27333" xr:uid="{30236262-965F-4136-8B1B-9419B7398C96}"/>
    <cellStyle name="Normal 3 2 2 2 2 2 2 2 2 2 2 7" xfId="27334" xr:uid="{BBB45F05-9A75-4B5D-BEC5-4C4C80A98F3B}"/>
    <cellStyle name="Normal 3 2 2 2 2 2 2 2 2 2 2 7 10" xfId="27335" xr:uid="{4F8BA2A5-027D-40C7-A02E-6C45DC6E4118}"/>
    <cellStyle name="Normal 3 2 2 2 2 2 2 2 2 2 2 7 11" xfId="27336" xr:uid="{0DB6111E-81FF-419C-9B88-21C9A7F62E44}"/>
    <cellStyle name="Normal 3 2 2 2 2 2 2 2 2 2 2 7 11 10" xfId="27337" xr:uid="{75AB414F-B2A4-437F-8253-2528920763F3}"/>
    <cellStyle name="Normal 3 2 2 2 2 2 2 2 2 2 2 7 11 11" xfId="27338" xr:uid="{E41D20B2-10D0-4DDC-AE59-E1F7DFBC9314}"/>
    <cellStyle name="Normal 3 2 2 2 2 2 2 2 2 2 2 7 11 11 2" xfId="27339" xr:uid="{CD66C054-3DD2-4FEA-BFD7-DEEAFD9E9993}"/>
    <cellStyle name="Normal 3 2 2 2 2 2 2 2 2 2 2 7 11 11 3" xfId="27340" xr:uid="{94B830FF-2E51-4EAF-866F-4D52F215315B}"/>
    <cellStyle name="Normal 3 2 2 2 2 2 2 2 2 2 2 7 11 11 4" xfId="27341" xr:uid="{2E58D0FB-BBE6-4EF6-8357-B0A1171FAFFF}"/>
    <cellStyle name="Normal 3 2 2 2 2 2 2 2 2 2 2 7 11 12" xfId="27342" xr:uid="{C888EBDD-0EA4-4265-A1C7-6168DD55F641}"/>
    <cellStyle name="Normal 3 2 2 2 2 2 2 2 2 2 2 7 11 13" xfId="27343" xr:uid="{A0EA8C78-6DB0-445A-97E3-3ECC369263A4}"/>
    <cellStyle name="Normal 3 2 2 2 2 2 2 2 2 2 2 7 11 14" xfId="27344" xr:uid="{85E650D5-24B6-41F7-BCD3-6C4D58D15081}"/>
    <cellStyle name="Normal 3 2 2 2 2 2 2 2 2 2 2 7 11 2" xfId="27345" xr:uid="{FE64C714-DE28-442F-B24C-3016A3518311}"/>
    <cellStyle name="Normal 3 2 2 2 2 2 2 2 2 2 2 7 11 2 10" xfId="27346" xr:uid="{30674746-7A42-4F7C-A7AC-8CCCB743C45F}"/>
    <cellStyle name="Normal 3 2 2 2 2 2 2 2 2 2 2 7 11 2 11" xfId="27347" xr:uid="{62C0529F-1F80-45BA-A887-2D293892595D}"/>
    <cellStyle name="Normal 3 2 2 2 2 2 2 2 2 2 2 7 11 2 2" xfId="27348" xr:uid="{4E5581DA-A752-4D17-B219-013E62E4B1D5}"/>
    <cellStyle name="Normal 3 2 2 2 2 2 2 2 2 2 2 7 11 2 2 10" xfId="27349" xr:uid="{23F4577A-011E-4C4D-90B8-AA53C6D5BF26}"/>
    <cellStyle name="Normal 3 2 2 2 2 2 2 2 2 2 2 7 11 2 2 11" xfId="27350" xr:uid="{66C501A3-766A-4794-8D67-CF92F1FD86CD}"/>
    <cellStyle name="Normal 3 2 2 2 2 2 2 2 2 2 2 7 11 2 2 2" xfId="27351" xr:uid="{4356BA8B-80DA-4DDB-B0AD-6E22AE5706BB}"/>
    <cellStyle name="Normal 3 2 2 2 2 2 2 2 2 2 2 7 11 2 2 2 2" xfId="27352" xr:uid="{DA69BCEB-2F45-45B9-8BE5-76F50A60F9FE}"/>
    <cellStyle name="Normal 3 2 2 2 2 2 2 2 2 2 2 7 11 2 2 2 2 2" xfId="27353" xr:uid="{85F84570-E19A-46E8-84F5-30787BDEF9DA}"/>
    <cellStyle name="Normal 3 2 2 2 2 2 2 2 2 2 2 7 11 2 2 2 2 3" xfId="27354" xr:uid="{7CCD7573-ED1C-4677-B8FB-5C3D9327BD53}"/>
    <cellStyle name="Normal 3 2 2 2 2 2 2 2 2 2 2 7 11 2 2 2 2 4" xfId="27355" xr:uid="{F4579EEC-A90D-4180-A87D-63CC28832AB5}"/>
    <cellStyle name="Normal 3 2 2 2 2 2 2 2 2 2 2 7 11 2 2 2 3" xfId="27356" xr:uid="{295D518A-F985-47F7-9EC3-FD8CAA6CB7D2}"/>
    <cellStyle name="Normal 3 2 2 2 2 2 2 2 2 2 2 7 11 2 2 2 4" xfId="27357" xr:uid="{3078C066-D857-4531-9D1F-2288138D1144}"/>
    <cellStyle name="Normal 3 2 2 2 2 2 2 2 2 2 2 7 11 2 2 2 5" xfId="27358" xr:uid="{6885F504-A3A1-409B-B65B-F4FCD3940BAF}"/>
    <cellStyle name="Normal 3 2 2 2 2 2 2 2 2 2 2 7 11 2 2 2 6" xfId="27359" xr:uid="{6DB5E391-0FC0-4E98-88C0-77663D5A81E2}"/>
    <cellStyle name="Normal 3 2 2 2 2 2 2 2 2 2 2 7 11 2 2 3" xfId="27360" xr:uid="{467C7F38-71E8-4C1C-B2FE-0E7971F1392E}"/>
    <cellStyle name="Normal 3 2 2 2 2 2 2 2 2 2 2 7 11 2 2 4" xfId="27361" xr:uid="{4C7DB9E8-1931-4168-9951-CDBBFEABC76A}"/>
    <cellStyle name="Normal 3 2 2 2 2 2 2 2 2 2 2 7 11 2 2 5" xfId="27362" xr:uid="{6AC674E5-FEF1-4E06-9180-BB84650A4882}"/>
    <cellStyle name="Normal 3 2 2 2 2 2 2 2 2 2 2 7 11 2 2 6" xfId="27363" xr:uid="{2CA3EC92-4755-4D32-9038-56D81C5AE5D0}"/>
    <cellStyle name="Normal 3 2 2 2 2 2 2 2 2 2 2 7 11 2 2 7" xfId="27364" xr:uid="{0F5E1232-97C8-4C06-9C4C-B048C25D5917}"/>
    <cellStyle name="Normal 3 2 2 2 2 2 2 2 2 2 2 7 11 2 2 8" xfId="27365" xr:uid="{E178203E-F892-4FD1-B0B2-8D499ACEFA4F}"/>
    <cellStyle name="Normal 3 2 2 2 2 2 2 2 2 2 2 7 11 2 2 8 2" xfId="27366" xr:uid="{36C03447-6115-4DC7-AFCC-247D7F2E3BA0}"/>
    <cellStyle name="Normal 3 2 2 2 2 2 2 2 2 2 2 7 11 2 2 8 3" xfId="27367" xr:uid="{16A0255E-853D-47DA-806D-0660C3367051}"/>
    <cellStyle name="Normal 3 2 2 2 2 2 2 2 2 2 2 7 11 2 2 8 4" xfId="27368" xr:uid="{FCB0540E-66D1-4722-88BF-F5325C6E1DC3}"/>
    <cellStyle name="Normal 3 2 2 2 2 2 2 2 2 2 2 7 11 2 2 9" xfId="27369" xr:uid="{B8AB5E57-D71E-45F1-9332-6108F29AD7FB}"/>
    <cellStyle name="Normal 3 2 2 2 2 2 2 2 2 2 2 7 11 2 3" xfId="27370" xr:uid="{C2B3685B-59BF-4ED0-9E9F-E7745EFDECF5}"/>
    <cellStyle name="Normal 3 2 2 2 2 2 2 2 2 2 2 7 11 2 3 2" xfId="27371" xr:uid="{22A28B42-18A2-4B6B-AD86-D68A157D3E71}"/>
    <cellStyle name="Normal 3 2 2 2 2 2 2 2 2 2 2 7 11 2 3 2 2" xfId="27372" xr:uid="{28D64061-6B7C-4482-AE6C-EBDC29D95351}"/>
    <cellStyle name="Normal 3 2 2 2 2 2 2 2 2 2 2 7 11 2 3 2 3" xfId="27373" xr:uid="{D0EBACF2-71C1-4B59-9B1E-08D06A7FC658}"/>
    <cellStyle name="Normal 3 2 2 2 2 2 2 2 2 2 2 7 11 2 3 2 4" xfId="27374" xr:uid="{BE96104A-3386-4204-BFC0-C0B5E7832AAE}"/>
    <cellStyle name="Normal 3 2 2 2 2 2 2 2 2 2 2 7 11 2 3 3" xfId="27375" xr:uid="{83756B43-3690-4CE3-8C63-30B2E3387202}"/>
    <cellStyle name="Normal 3 2 2 2 2 2 2 2 2 2 2 7 11 2 3 4" xfId="27376" xr:uid="{A763246C-7434-4E34-82AA-6C3AB16778AA}"/>
    <cellStyle name="Normal 3 2 2 2 2 2 2 2 2 2 2 7 11 2 3 5" xfId="27377" xr:uid="{0949B4DB-F2B9-45B5-AB7F-B99456985E3E}"/>
    <cellStyle name="Normal 3 2 2 2 2 2 2 2 2 2 2 7 11 2 3 6" xfId="27378" xr:uid="{A0635699-38D3-4D89-ABA1-F569932057BE}"/>
    <cellStyle name="Normal 3 2 2 2 2 2 2 2 2 2 2 7 11 2 4" xfId="27379" xr:uid="{D7442C00-E149-4446-AB75-C05C7582B0C0}"/>
    <cellStyle name="Normal 3 2 2 2 2 2 2 2 2 2 2 7 11 2 5" xfId="27380" xr:uid="{3AA4A5AD-C754-4D04-AC6C-217EFBBE9CE1}"/>
    <cellStyle name="Normal 3 2 2 2 2 2 2 2 2 2 2 7 11 2 6" xfId="27381" xr:uid="{802660FD-BF0F-4DBF-A8DF-82B5F414646B}"/>
    <cellStyle name="Normal 3 2 2 2 2 2 2 2 2 2 2 7 11 2 7" xfId="27382" xr:uid="{EE9930D2-6A13-49FB-BC1C-6CFCF9106A55}"/>
    <cellStyle name="Normal 3 2 2 2 2 2 2 2 2 2 2 7 11 2 8" xfId="27383" xr:uid="{FA46625F-7010-43CF-ABCD-ABFFE1BC9859}"/>
    <cellStyle name="Normal 3 2 2 2 2 2 2 2 2 2 2 7 11 2 8 2" xfId="27384" xr:uid="{BD1FAEFE-A104-46DC-AA03-F161C307C333}"/>
    <cellStyle name="Normal 3 2 2 2 2 2 2 2 2 2 2 7 11 2 8 3" xfId="27385" xr:uid="{42E516F4-D309-40D7-AE0E-313E7679B015}"/>
    <cellStyle name="Normal 3 2 2 2 2 2 2 2 2 2 2 7 11 2 8 4" xfId="27386" xr:uid="{3124BC56-2BA4-490E-A762-42153E2AC13C}"/>
    <cellStyle name="Normal 3 2 2 2 2 2 2 2 2 2 2 7 11 2 9" xfId="27387" xr:uid="{5389DF94-052E-4EA6-ACF5-DA55F32BF9CC}"/>
    <cellStyle name="Normal 3 2 2 2 2 2 2 2 2 2 2 7 11 3" xfId="27388" xr:uid="{88485C59-B250-4E43-AA56-83E26F96C573}"/>
    <cellStyle name="Normal 3 2 2 2 2 2 2 2 2 2 2 7 11 4" xfId="27389" xr:uid="{34A0D3B5-FD2E-40AF-830F-035AE121D95C}"/>
    <cellStyle name="Normal 3 2 2 2 2 2 2 2 2 2 2 7 11 5" xfId="27390" xr:uid="{EA90224D-1AEC-4D41-8A38-3E2153E48AD8}"/>
    <cellStyle name="Normal 3 2 2 2 2 2 2 2 2 2 2 7 11 5 2" xfId="27391" xr:uid="{69C9E55B-CCC1-460B-82B5-1B85ACCE0A7C}"/>
    <cellStyle name="Normal 3 2 2 2 2 2 2 2 2 2 2 7 11 5 2 2" xfId="27392" xr:uid="{21E7F908-BF4F-4090-85AE-8D98CB8B981D}"/>
    <cellStyle name="Normal 3 2 2 2 2 2 2 2 2 2 2 7 11 5 2 3" xfId="27393" xr:uid="{8EE0C9FD-A1EB-4D91-9275-3FA98C403176}"/>
    <cellStyle name="Normal 3 2 2 2 2 2 2 2 2 2 2 7 11 5 2 4" xfId="27394" xr:uid="{23073CF9-DB52-4ABF-A63C-05B89BCF2B2B}"/>
    <cellStyle name="Normal 3 2 2 2 2 2 2 2 2 2 2 7 11 5 3" xfId="27395" xr:uid="{539B3769-FAE9-4BA1-8643-547ABCC1F9D0}"/>
    <cellStyle name="Normal 3 2 2 2 2 2 2 2 2 2 2 7 11 5 4" xfId="27396" xr:uid="{65F89254-F02E-4E13-9832-3BC0C98F5037}"/>
    <cellStyle name="Normal 3 2 2 2 2 2 2 2 2 2 2 7 11 5 5" xfId="27397" xr:uid="{D0B1C7FA-7F9C-41EF-9387-D8D271AEA741}"/>
    <cellStyle name="Normal 3 2 2 2 2 2 2 2 2 2 2 7 11 5 6" xfId="27398" xr:uid="{045FA778-C14C-4EB3-82B0-18F60A2D2269}"/>
    <cellStyle name="Normal 3 2 2 2 2 2 2 2 2 2 2 7 11 6" xfId="27399" xr:uid="{A5E4A471-5F56-45AD-900A-3686A089746E}"/>
    <cellStyle name="Normal 3 2 2 2 2 2 2 2 2 2 2 7 11 7" xfId="27400" xr:uid="{58455CF9-FC6A-491A-A7AB-9547868AB6B6}"/>
    <cellStyle name="Normal 3 2 2 2 2 2 2 2 2 2 2 7 11 8" xfId="27401" xr:uid="{E1C5AACC-8F11-49E6-86DD-C19840D6E271}"/>
    <cellStyle name="Normal 3 2 2 2 2 2 2 2 2 2 2 7 11 9" xfId="27402" xr:uid="{60DEF417-D2C2-46A5-8813-418E75FEA96F}"/>
    <cellStyle name="Normal 3 2 2 2 2 2 2 2 2 2 2 7 12" xfId="27403" xr:uid="{781DF92E-81C8-4F35-96AA-F6CE6540213B}"/>
    <cellStyle name="Normal 3 2 2 2 2 2 2 2 2 2 2 7 13" xfId="27404" xr:uid="{BC6B4AC2-5906-4CAC-AFCB-26054C77BB11}"/>
    <cellStyle name="Normal 3 2 2 2 2 2 2 2 2 2 2 7 13 10" xfId="27405" xr:uid="{A06D44AB-B507-4B86-B71A-A40BFD263814}"/>
    <cellStyle name="Normal 3 2 2 2 2 2 2 2 2 2 2 7 13 11" xfId="27406" xr:uid="{5670A3BE-FC9E-49F2-B1CA-1115DAB8890F}"/>
    <cellStyle name="Normal 3 2 2 2 2 2 2 2 2 2 2 7 13 2" xfId="27407" xr:uid="{ECE6102B-F63A-4915-A944-B3E3619CB9DB}"/>
    <cellStyle name="Normal 3 2 2 2 2 2 2 2 2 2 2 7 13 2 10" xfId="27408" xr:uid="{862524ED-7AA1-4B1C-9808-B78B6E42D6F2}"/>
    <cellStyle name="Normal 3 2 2 2 2 2 2 2 2 2 2 7 13 2 11" xfId="27409" xr:uid="{06408B6B-AE69-4C04-983F-B0AA4316F74A}"/>
    <cellStyle name="Normal 3 2 2 2 2 2 2 2 2 2 2 7 13 2 2" xfId="27410" xr:uid="{2E27E339-BB9B-4D8B-B696-39BE53F15852}"/>
    <cellStyle name="Normal 3 2 2 2 2 2 2 2 2 2 2 7 13 2 2 2" xfId="27411" xr:uid="{040B2551-82D7-4082-A933-A90F3798CE04}"/>
    <cellStyle name="Normal 3 2 2 2 2 2 2 2 2 2 2 7 13 2 2 2 2" xfId="27412" xr:uid="{B36ACBC0-E6A2-444E-8A6D-4BE198E43489}"/>
    <cellStyle name="Normal 3 2 2 2 2 2 2 2 2 2 2 7 13 2 2 2 3" xfId="27413" xr:uid="{7CFDC18E-DD22-473D-A1DA-8DEBB7A36DAC}"/>
    <cellStyle name="Normal 3 2 2 2 2 2 2 2 2 2 2 7 13 2 2 2 4" xfId="27414" xr:uid="{2101E75B-20A1-4DE1-8A7A-4C36140FECD1}"/>
    <cellStyle name="Normal 3 2 2 2 2 2 2 2 2 2 2 7 13 2 2 3" xfId="27415" xr:uid="{055374DE-07CE-4A25-B2F7-91C6CE443266}"/>
    <cellStyle name="Normal 3 2 2 2 2 2 2 2 2 2 2 7 13 2 2 4" xfId="27416" xr:uid="{48BCC5E4-BFE7-4B08-9D8B-850BF27F7C1F}"/>
    <cellStyle name="Normal 3 2 2 2 2 2 2 2 2 2 2 7 13 2 2 5" xfId="27417" xr:uid="{3666C8AD-B6CB-4853-B05E-346677C12CBF}"/>
    <cellStyle name="Normal 3 2 2 2 2 2 2 2 2 2 2 7 13 2 2 6" xfId="27418" xr:uid="{0EEA84D7-B009-4BF4-88D9-3FBDD0417E0D}"/>
    <cellStyle name="Normal 3 2 2 2 2 2 2 2 2 2 2 7 13 2 3" xfId="27419" xr:uid="{C1174717-FECD-4B8B-9C45-EC8527BF7121}"/>
    <cellStyle name="Normal 3 2 2 2 2 2 2 2 2 2 2 7 13 2 4" xfId="27420" xr:uid="{1E5AE4BD-8D97-440C-A74E-41401E59E0A9}"/>
    <cellStyle name="Normal 3 2 2 2 2 2 2 2 2 2 2 7 13 2 5" xfId="27421" xr:uid="{3940FFAE-CFFA-4AEB-A488-5505D295A526}"/>
    <cellStyle name="Normal 3 2 2 2 2 2 2 2 2 2 2 7 13 2 6" xfId="27422" xr:uid="{C1DA7B89-919A-4251-A03B-05519390C675}"/>
    <cellStyle name="Normal 3 2 2 2 2 2 2 2 2 2 2 7 13 2 7" xfId="27423" xr:uid="{FD5C7E0C-7E42-482E-9103-A5C38DA1BEA7}"/>
    <cellStyle name="Normal 3 2 2 2 2 2 2 2 2 2 2 7 13 2 8" xfId="27424" xr:uid="{D2BA2131-0E71-4761-8D13-7D2C62884FE6}"/>
    <cellStyle name="Normal 3 2 2 2 2 2 2 2 2 2 2 7 13 2 8 2" xfId="27425" xr:uid="{52BE8BA7-42DC-4383-A255-583D78242262}"/>
    <cellStyle name="Normal 3 2 2 2 2 2 2 2 2 2 2 7 13 2 8 3" xfId="27426" xr:uid="{B25C5FDF-4AF9-4FD7-A376-92BF580163B6}"/>
    <cellStyle name="Normal 3 2 2 2 2 2 2 2 2 2 2 7 13 2 8 4" xfId="27427" xr:uid="{C84DD702-9174-4257-87CA-45D9E74BC508}"/>
    <cellStyle name="Normal 3 2 2 2 2 2 2 2 2 2 2 7 13 2 9" xfId="27428" xr:uid="{60A33E43-0E5F-421D-B8D6-09132500B8B3}"/>
    <cellStyle name="Normal 3 2 2 2 2 2 2 2 2 2 2 7 13 3" xfId="27429" xr:uid="{A3AA7107-710D-43AE-93BB-F5250EDDE742}"/>
    <cellStyle name="Normal 3 2 2 2 2 2 2 2 2 2 2 7 13 3 2" xfId="27430" xr:uid="{BF305218-7766-409A-9FAB-E12CE46C8F20}"/>
    <cellStyle name="Normal 3 2 2 2 2 2 2 2 2 2 2 7 13 3 2 2" xfId="27431" xr:uid="{C61C5997-A74B-4A31-BEF3-A52FF89A2BFF}"/>
    <cellStyle name="Normal 3 2 2 2 2 2 2 2 2 2 2 7 13 3 2 3" xfId="27432" xr:uid="{C424344D-E449-477F-86BD-C564FE9D9943}"/>
    <cellStyle name="Normal 3 2 2 2 2 2 2 2 2 2 2 7 13 3 2 4" xfId="27433" xr:uid="{242C69FB-4E4F-431C-B8C3-6899E5CA07C6}"/>
    <cellStyle name="Normal 3 2 2 2 2 2 2 2 2 2 2 7 13 3 3" xfId="27434" xr:uid="{32F7E50A-9F36-41E1-9046-5F99057947D8}"/>
    <cellStyle name="Normal 3 2 2 2 2 2 2 2 2 2 2 7 13 3 4" xfId="27435" xr:uid="{7358FFA4-8C9A-4C0F-A90E-4B4DB2DF3C91}"/>
    <cellStyle name="Normal 3 2 2 2 2 2 2 2 2 2 2 7 13 3 5" xfId="27436" xr:uid="{449B6A9D-D7E3-4EAB-8C8A-E21056F7F408}"/>
    <cellStyle name="Normal 3 2 2 2 2 2 2 2 2 2 2 7 13 3 6" xfId="27437" xr:uid="{CC98CE15-095D-4FF7-9EED-0621D9896E20}"/>
    <cellStyle name="Normal 3 2 2 2 2 2 2 2 2 2 2 7 13 4" xfId="27438" xr:uid="{DE4F6CD2-2A2B-41A0-AFB3-EC8439F9732D}"/>
    <cellStyle name="Normal 3 2 2 2 2 2 2 2 2 2 2 7 13 5" xfId="27439" xr:uid="{D9BD8DC0-568C-41A1-8A27-7E9E13DC7284}"/>
    <cellStyle name="Normal 3 2 2 2 2 2 2 2 2 2 2 7 13 6" xfId="27440" xr:uid="{0329FD00-B43D-4B9F-B897-0B042546471A}"/>
    <cellStyle name="Normal 3 2 2 2 2 2 2 2 2 2 2 7 13 7" xfId="27441" xr:uid="{1ED8BB97-9AED-442E-9E0F-858CF9A12B6D}"/>
    <cellStyle name="Normal 3 2 2 2 2 2 2 2 2 2 2 7 13 8" xfId="27442" xr:uid="{651C2724-FD61-4B51-9562-8D6E8D6E18A5}"/>
    <cellStyle name="Normal 3 2 2 2 2 2 2 2 2 2 2 7 13 8 2" xfId="27443" xr:uid="{0082B99F-DCCB-4ED6-BF2E-5FE478C0759D}"/>
    <cellStyle name="Normal 3 2 2 2 2 2 2 2 2 2 2 7 13 8 3" xfId="27444" xr:uid="{32A2ACF3-FB35-40DE-9E5F-769EAEF1BA41}"/>
    <cellStyle name="Normal 3 2 2 2 2 2 2 2 2 2 2 7 13 8 4" xfId="27445" xr:uid="{11097AC6-DAC8-4025-B685-D0B5126D8788}"/>
    <cellStyle name="Normal 3 2 2 2 2 2 2 2 2 2 2 7 13 9" xfId="27446" xr:uid="{005DF05A-067D-4546-A421-FC7B80DB8F98}"/>
    <cellStyle name="Normal 3 2 2 2 2 2 2 2 2 2 2 7 14" xfId="27447" xr:uid="{E4B6D9B4-83AC-4529-B3E5-6325BA606E79}"/>
    <cellStyle name="Normal 3 2 2 2 2 2 2 2 2 2 2 7 15" xfId="27448" xr:uid="{DA4DD58E-1F26-463A-974A-56C9EBF2BEB5}"/>
    <cellStyle name="Normal 3 2 2 2 2 2 2 2 2 2 2 7 15 2" xfId="27449" xr:uid="{D6207FDE-63B6-441A-AB0A-AD62C0ABF886}"/>
    <cellStyle name="Normal 3 2 2 2 2 2 2 2 2 2 2 7 15 2 2" xfId="27450" xr:uid="{E3ED4A84-4557-483E-BBE7-BE27EE6BB860}"/>
    <cellStyle name="Normal 3 2 2 2 2 2 2 2 2 2 2 7 15 2 3" xfId="27451" xr:uid="{8D129FA9-F105-4D54-B6D7-5CBE87006FE2}"/>
    <cellStyle name="Normal 3 2 2 2 2 2 2 2 2 2 2 7 15 2 4" xfId="27452" xr:uid="{C7F2F7D5-1EC9-4003-AE45-FED7EE6E9C40}"/>
    <cellStyle name="Normal 3 2 2 2 2 2 2 2 2 2 2 7 15 3" xfId="27453" xr:uid="{5E1B15AF-B721-4563-90D3-9BF772FD4993}"/>
    <cellStyle name="Normal 3 2 2 2 2 2 2 2 2 2 2 7 15 4" xfId="27454" xr:uid="{B332B853-940D-4511-8373-AECCCDE15684}"/>
    <cellStyle name="Normal 3 2 2 2 2 2 2 2 2 2 2 7 15 5" xfId="27455" xr:uid="{96AB114F-DBFD-4F2A-9EF2-CC5DFAEB88D8}"/>
    <cellStyle name="Normal 3 2 2 2 2 2 2 2 2 2 2 7 15 6" xfId="27456" xr:uid="{BA0B9140-75EB-4AC8-AE32-80C38573658B}"/>
    <cellStyle name="Normal 3 2 2 2 2 2 2 2 2 2 2 7 16" xfId="27457" xr:uid="{C277D53D-A274-482C-BD18-B314CCE6EEA0}"/>
    <cellStyle name="Normal 3 2 2 2 2 2 2 2 2 2 2 7 17" xfId="27458" xr:uid="{A1EB0089-9875-4EFC-ADCD-52CF1C6BE290}"/>
    <cellStyle name="Normal 3 2 2 2 2 2 2 2 2 2 2 7 18" xfId="27459" xr:uid="{A806548D-E6BD-4EC9-8A39-7FACB74C4A76}"/>
    <cellStyle name="Normal 3 2 2 2 2 2 2 2 2 2 2 7 19" xfId="27460" xr:uid="{443893BC-9FC2-4F1F-A6CC-01CF126F13CB}"/>
    <cellStyle name="Normal 3 2 2 2 2 2 2 2 2 2 2 7 2" xfId="27461" xr:uid="{42D7F594-0BC8-4D80-8593-4040626E78BB}"/>
    <cellStyle name="Normal 3 2 2 2 2 2 2 2 2 2 2 7 2 10" xfId="27462" xr:uid="{F0011266-6451-41D8-8E6B-C54DACE0C10E}"/>
    <cellStyle name="Normal 3 2 2 2 2 2 2 2 2 2 2 7 2 11" xfId="27463" xr:uid="{FE7460A7-0B40-440D-8931-7EDF05D3F0F8}"/>
    <cellStyle name="Normal 3 2 2 2 2 2 2 2 2 2 2 7 2 12" xfId="27464" xr:uid="{75D84FD5-7645-49D7-9115-94B21C75BF19}"/>
    <cellStyle name="Normal 3 2 2 2 2 2 2 2 2 2 2 7 2 13" xfId="27465" xr:uid="{CB11AE28-F0FB-4645-9A3F-AB0D0A5F0EF7}"/>
    <cellStyle name="Normal 3 2 2 2 2 2 2 2 2 2 2 7 2 13 2" xfId="27466" xr:uid="{ABA3EC6A-3E66-4738-8E42-581072C47125}"/>
    <cellStyle name="Normal 3 2 2 2 2 2 2 2 2 2 2 7 2 13 3" xfId="27467" xr:uid="{6919E4F6-A5D9-4D26-B005-B12D27EFA142}"/>
    <cellStyle name="Normal 3 2 2 2 2 2 2 2 2 2 2 7 2 13 4" xfId="27468" xr:uid="{E9118C81-3FD3-4F80-8D92-4D83F6CFB69F}"/>
    <cellStyle name="Normal 3 2 2 2 2 2 2 2 2 2 2 7 2 14" xfId="27469" xr:uid="{0646D204-6819-4A32-890A-6C686AFB991F}"/>
    <cellStyle name="Normal 3 2 2 2 2 2 2 2 2 2 2 7 2 15" xfId="27470" xr:uid="{0C020204-7190-42CE-91E8-3C845DDC9A93}"/>
    <cellStyle name="Normal 3 2 2 2 2 2 2 2 2 2 2 7 2 16" xfId="27471" xr:uid="{2429C65C-316A-4873-85EE-C1D8CEE27A5C}"/>
    <cellStyle name="Normal 3 2 2 2 2 2 2 2 2 2 2 7 2 2" xfId="27472" xr:uid="{AB62E5CB-9884-465E-9069-AF1D27891B73}"/>
    <cellStyle name="Normal 3 2 2 2 2 2 2 2 2 2 2 7 2 2 10" xfId="27473" xr:uid="{FA32FF01-A767-48FF-A83E-24100E2ED75D}"/>
    <cellStyle name="Normal 3 2 2 2 2 2 2 2 2 2 2 7 2 2 11" xfId="27474" xr:uid="{2AB74638-7804-4B7E-A4CE-E42A07B5179E}"/>
    <cellStyle name="Normal 3 2 2 2 2 2 2 2 2 2 2 7 2 2 11 2" xfId="27475" xr:uid="{86AB6745-0344-4EC2-BE7B-A78154342D92}"/>
    <cellStyle name="Normal 3 2 2 2 2 2 2 2 2 2 2 7 2 2 11 3" xfId="27476" xr:uid="{28AD5CF2-D779-4DB8-A4E8-4D2EA93D52BC}"/>
    <cellStyle name="Normal 3 2 2 2 2 2 2 2 2 2 2 7 2 2 11 4" xfId="27477" xr:uid="{9C002FA2-BFA5-48CD-A374-20F5B40E3C1D}"/>
    <cellStyle name="Normal 3 2 2 2 2 2 2 2 2 2 2 7 2 2 12" xfId="27478" xr:uid="{8282E643-EEE0-4DE0-92F7-BB5FAD6C3CD2}"/>
    <cellStyle name="Normal 3 2 2 2 2 2 2 2 2 2 2 7 2 2 13" xfId="27479" xr:uid="{D14AEA68-1C91-41BE-8547-6BA7747393F6}"/>
    <cellStyle name="Normal 3 2 2 2 2 2 2 2 2 2 2 7 2 2 14" xfId="27480" xr:uid="{539ABFE4-EDAC-4AF3-AC57-09CF46283FA4}"/>
    <cellStyle name="Normal 3 2 2 2 2 2 2 2 2 2 2 7 2 2 2" xfId="27481" xr:uid="{EA6E602A-A9CB-46FE-95F6-FE8DF96DC1A9}"/>
    <cellStyle name="Normal 3 2 2 2 2 2 2 2 2 2 2 7 2 2 2 10" xfId="27482" xr:uid="{4A4BA97E-E648-432B-9313-8A6434F70640}"/>
    <cellStyle name="Normal 3 2 2 2 2 2 2 2 2 2 2 7 2 2 2 11" xfId="27483" xr:uid="{974A83EE-F278-4BFB-93E0-0D041C52E77B}"/>
    <cellStyle name="Normal 3 2 2 2 2 2 2 2 2 2 2 7 2 2 2 2" xfId="27484" xr:uid="{44730E00-5BCD-4DDF-8158-2BFBD8A127FB}"/>
    <cellStyle name="Normal 3 2 2 2 2 2 2 2 2 2 2 7 2 2 2 2 10" xfId="27485" xr:uid="{A1BC8F3E-E911-4FC9-A0E9-C600E111B598}"/>
    <cellStyle name="Normal 3 2 2 2 2 2 2 2 2 2 2 7 2 2 2 2 11" xfId="27486" xr:uid="{30728F83-94CA-4ACB-9A12-24F16E57DEE6}"/>
    <cellStyle name="Normal 3 2 2 2 2 2 2 2 2 2 2 7 2 2 2 2 2" xfId="27487" xr:uid="{89BF6188-98AE-400F-AE72-C66FA67838F3}"/>
    <cellStyle name="Normal 3 2 2 2 2 2 2 2 2 2 2 7 2 2 2 2 2 2" xfId="27488" xr:uid="{772BA283-6013-4A53-BEFC-18DCED0A2B9C}"/>
    <cellStyle name="Normal 3 2 2 2 2 2 2 2 2 2 2 7 2 2 2 2 2 2 2" xfId="27489" xr:uid="{70CE7845-3EEA-4958-95D4-85CC0C008BA5}"/>
    <cellStyle name="Normal 3 2 2 2 2 2 2 2 2 2 2 7 2 2 2 2 2 2 3" xfId="27490" xr:uid="{90F7510B-0932-4AE6-8758-C718D8B5BBDD}"/>
    <cellStyle name="Normal 3 2 2 2 2 2 2 2 2 2 2 7 2 2 2 2 2 2 4" xfId="27491" xr:uid="{1360BDE0-E3C1-47A5-ADC5-E9DD147D706F}"/>
    <cellStyle name="Normal 3 2 2 2 2 2 2 2 2 2 2 7 2 2 2 2 2 3" xfId="27492" xr:uid="{68D63D0C-952D-4FC6-8609-8EA2FDE5C82E}"/>
    <cellStyle name="Normal 3 2 2 2 2 2 2 2 2 2 2 7 2 2 2 2 2 4" xfId="27493" xr:uid="{3527CA0E-2CED-45F0-AB72-97B072833987}"/>
    <cellStyle name="Normal 3 2 2 2 2 2 2 2 2 2 2 7 2 2 2 2 2 5" xfId="27494" xr:uid="{4D359168-0DD4-44AB-81F3-F81CAB5AB1CF}"/>
    <cellStyle name="Normal 3 2 2 2 2 2 2 2 2 2 2 7 2 2 2 2 2 6" xfId="27495" xr:uid="{46EF96E7-6DB0-47D9-9C88-D8D214120C06}"/>
    <cellStyle name="Normal 3 2 2 2 2 2 2 2 2 2 2 7 2 2 2 2 3" xfId="27496" xr:uid="{A3588291-9DE6-48AD-B9E4-E152DC57F439}"/>
    <cellStyle name="Normal 3 2 2 2 2 2 2 2 2 2 2 7 2 2 2 2 4" xfId="27497" xr:uid="{F938EB8C-CC21-4C53-A755-F35C1C43B0F4}"/>
    <cellStyle name="Normal 3 2 2 2 2 2 2 2 2 2 2 7 2 2 2 2 5" xfId="27498" xr:uid="{007BE276-5D00-4D40-A583-558DDCEF3B26}"/>
    <cellStyle name="Normal 3 2 2 2 2 2 2 2 2 2 2 7 2 2 2 2 6" xfId="27499" xr:uid="{8D4E691A-AEBB-46F8-B461-D069248C7534}"/>
    <cellStyle name="Normal 3 2 2 2 2 2 2 2 2 2 2 7 2 2 2 2 7" xfId="27500" xr:uid="{DFEA69D5-21C6-44BE-8A62-FC91476D4DA1}"/>
    <cellStyle name="Normal 3 2 2 2 2 2 2 2 2 2 2 7 2 2 2 2 8" xfId="27501" xr:uid="{CD4F28DF-E28D-439E-B8C5-7980C645DFF9}"/>
    <cellStyle name="Normal 3 2 2 2 2 2 2 2 2 2 2 7 2 2 2 2 8 2" xfId="27502" xr:uid="{C787C9A6-6CDA-4E0B-9FCE-9AA0AC17E35C}"/>
    <cellStyle name="Normal 3 2 2 2 2 2 2 2 2 2 2 7 2 2 2 2 8 3" xfId="27503" xr:uid="{A6309517-4D5E-484F-86D0-A7908D7D145D}"/>
    <cellStyle name="Normal 3 2 2 2 2 2 2 2 2 2 2 7 2 2 2 2 8 4" xfId="27504" xr:uid="{8A30840B-FC37-4349-8F8F-105FB9E7B9CA}"/>
    <cellStyle name="Normal 3 2 2 2 2 2 2 2 2 2 2 7 2 2 2 2 9" xfId="27505" xr:uid="{AA3CC84C-44B2-4E3E-8E84-E8945638051D}"/>
    <cellStyle name="Normal 3 2 2 2 2 2 2 2 2 2 2 7 2 2 2 3" xfId="27506" xr:uid="{2E94C17E-08A6-435F-AC97-16661627CF64}"/>
    <cellStyle name="Normal 3 2 2 2 2 2 2 2 2 2 2 7 2 2 2 3 2" xfId="27507" xr:uid="{85A372B2-CAD2-493E-AC82-8971CBEA815B}"/>
    <cellStyle name="Normal 3 2 2 2 2 2 2 2 2 2 2 7 2 2 2 3 2 2" xfId="27508" xr:uid="{C367775A-1274-4477-AC7E-8D84EC057252}"/>
    <cellStyle name="Normal 3 2 2 2 2 2 2 2 2 2 2 7 2 2 2 3 2 3" xfId="27509" xr:uid="{95E68018-24FC-4C88-98D7-90D6249F7745}"/>
    <cellStyle name="Normal 3 2 2 2 2 2 2 2 2 2 2 7 2 2 2 3 2 4" xfId="27510" xr:uid="{0084C78D-BF38-4BB2-AD18-860A58884F87}"/>
    <cellStyle name="Normal 3 2 2 2 2 2 2 2 2 2 2 7 2 2 2 3 3" xfId="27511" xr:uid="{AB963B35-29BE-4E4B-924F-EE4D224F50F5}"/>
    <cellStyle name="Normal 3 2 2 2 2 2 2 2 2 2 2 7 2 2 2 3 4" xfId="27512" xr:uid="{B82C1CDA-B272-4D77-A06E-DC433F4AA391}"/>
    <cellStyle name="Normal 3 2 2 2 2 2 2 2 2 2 2 7 2 2 2 3 5" xfId="27513" xr:uid="{1F4E67F4-F54C-4458-A56E-FF0FC85FE713}"/>
    <cellStyle name="Normal 3 2 2 2 2 2 2 2 2 2 2 7 2 2 2 3 6" xfId="27514" xr:uid="{5D5BFD4A-0AC8-4376-B094-D1A7C47BA2F8}"/>
    <cellStyle name="Normal 3 2 2 2 2 2 2 2 2 2 2 7 2 2 2 4" xfId="27515" xr:uid="{1FE47521-BB49-4FA1-AB0F-9C57914979D9}"/>
    <cellStyle name="Normal 3 2 2 2 2 2 2 2 2 2 2 7 2 2 2 5" xfId="27516" xr:uid="{B243897F-8AD9-425B-8D60-79B3046BCE10}"/>
    <cellStyle name="Normal 3 2 2 2 2 2 2 2 2 2 2 7 2 2 2 6" xfId="27517" xr:uid="{5830B976-B7F5-41A6-8FBB-407EE901112E}"/>
    <cellStyle name="Normal 3 2 2 2 2 2 2 2 2 2 2 7 2 2 2 7" xfId="27518" xr:uid="{45E674FA-668D-4E0A-8686-9611E97716CB}"/>
    <cellStyle name="Normal 3 2 2 2 2 2 2 2 2 2 2 7 2 2 2 8" xfId="27519" xr:uid="{FB000260-349A-48CA-BE5E-6573A9B73E01}"/>
    <cellStyle name="Normal 3 2 2 2 2 2 2 2 2 2 2 7 2 2 2 8 2" xfId="27520" xr:uid="{ABEAD307-9094-478D-8214-B58F2D241C3B}"/>
    <cellStyle name="Normal 3 2 2 2 2 2 2 2 2 2 2 7 2 2 2 8 3" xfId="27521" xr:uid="{183C5888-8F78-4B8D-9B8B-62B79FA912B9}"/>
    <cellStyle name="Normal 3 2 2 2 2 2 2 2 2 2 2 7 2 2 2 8 4" xfId="27522" xr:uid="{62B88A9F-F53B-48B4-8722-2AD8B4B99B52}"/>
    <cellStyle name="Normal 3 2 2 2 2 2 2 2 2 2 2 7 2 2 2 9" xfId="27523" xr:uid="{BA3F2EC8-F670-449C-8340-F5761884E390}"/>
    <cellStyle name="Normal 3 2 2 2 2 2 2 2 2 2 2 7 2 2 3" xfId="27524" xr:uid="{C67543C7-6EEC-43AA-A8C1-04983839633F}"/>
    <cellStyle name="Normal 3 2 2 2 2 2 2 2 2 2 2 7 2 2 4" xfId="27525" xr:uid="{EEEC62A9-F3E9-4DCC-85B9-3A9BBA964DD4}"/>
    <cellStyle name="Normal 3 2 2 2 2 2 2 2 2 2 2 7 2 2 5" xfId="27526" xr:uid="{EE8BF761-D8FF-47BD-9F41-4728F35A2278}"/>
    <cellStyle name="Normal 3 2 2 2 2 2 2 2 2 2 2 7 2 2 5 2" xfId="27527" xr:uid="{8D1F2351-C96D-4E3D-B346-A183FB046D19}"/>
    <cellStyle name="Normal 3 2 2 2 2 2 2 2 2 2 2 7 2 2 5 2 2" xfId="27528" xr:uid="{32D77F0E-6830-4D7F-9474-95ED2EAF5EE3}"/>
    <cellStyle name="Normal 3 2 2 2 2 2 2 2 2 2 2 7 2 2 5 2 3" xfId="27529" xr:uid="{F3F341E5-3C6E-44D0-B1D3-7A8007FF6EDF}"/>
    <cellStyle name="Normal 3 2 2 2 2 2 2 2 2 2 2 7 2 2 5 2 4" xfId="27530" xr:uid="{E88F5C25-14B2-4ED3-AB59-C3E5516746F7}"/>
    <cellStyle name="Normal 3 2 2 2 2 2 2 2 2 2 2 7 2 2 5 3" xfId="27531" xr:uid="{17D3DD74-E6AF-40AF-BC34-7357403136CA}"/>
    <cellStyle name="Normal 3 2 2 2 2 2 2 2 2 2 2 7 2 2 5 4" xfId="27532" xr:uid="{9361E1C7-407F-4DE8-86D3-29E66D7B5CE5}"/>
    <cellStyle name="Normal 3 2 2 2 2 2 2 2 2 2 2 7 2 2 5 5" xfId="27533" xr:uid="{C5D7835A-663E-4330-8EE7-ECD9947C11D1}"/>
    <cellStyle name="Normal 3 2 2 2 2 2 2 2 2 2 2 7 2 2 5 6" xfId="27534" xr:uid="{6F3C3016-C652-40B4-847E-D44FDC23A28C}"/>
    <cellStyle name="Normal 3 2 2 2 2 2 2 2 2 2 2 7 2 2 6" xfId="27535" xr:uid="{E3785CBA-F287-4E03-9293-1204EDE745F1}"/>
    <cellStyle name="Normal 3 2 2 2 2 2 2 2 2 2 2 7 2 2 7" xfId="27536" xr:uid="{7EF5E1B2-83BF-4E1A-8B4E-BDBA2E6DEEF7}"/>
    <cellStyle name="Normal 3 2 2 2 2 2 2 2 2 2 2 7 2 2 8" xfId="27537" xr:uid="{15EE52E1-E51D-4E91-9FAC-032E31AFE476}"/>
    <cellStyle name="Normal 3 2 2 2 2 2 2 2 2 2 2 7 2 2 9" xfId="27538" xr:uid="{77419343-3074-4873-844D-B4E1AE917AD9}"/>
    <cellStyle name="Normal 3 2 2 2 2 2 2 2 2 2 2 7 2 3" xfId="27539" xr:uid="{431C96E7-79F1-4776-812F-19371138CD2E}"/>
    <cellStyle name="Normal 3 2 2 2 2 2 2 2 2 2 2 7 2 4" xfId="27540" xr:uid="{5D072BDA-C01C-4044-B248-476C739E76C2}"/>
    <cellStyle name="Normal 3 2 2 2 2 2 2 2 2 2 2 7 2 5" xfId="27541" xr:uid="{13F5B2F2-A892-47FB-80FF-BA0CE895DB42}"/>
    <cellStyle name="Normal 3 2 2 2 2 2 2 2 2 2 2 7 2 5 10" xfId="27542" xr:uid="{E397829E-82FA-400B-A857-419B34397F37}"/>
    <cellStyle name="Normal 3 2 2 2 2 2 2 2 2 2 2 7 2 5 11" xfId="27543" xr:uid="{9B866D4D-BE42-4FD6-8B8B-53CF9BB93208}"/>
    <cellStyle name="Normal 3 2 2 2 2 2 2 2 2 2 2 7 2 5 2" xfId="27544" xr:uid="{A609C760-73A4-489F-B33E-0C440AC0B392}"/>
    <cellStyle name="Normal 3 2 2 2 2 2 2 2 2 2 2 7 2 5 2 10" xfId="27545" xr:uid="{3E147111-7544-46B5-A583-AB6C56F19274}"/>
    <cellStyle name="Normal 3 2 2 2 2 2 2 2 2 2 2 7 2 5 2 11" xfId="27546" xr:uid="{61DBC27A-8A37-4C3B-98F1-411A0A2084FC}"/>
    <cellStyle name="Normal 3 2 2 2 2 2 2 2 2 2 2 7 2 5 2 2" xfId="27547" xr:uid="{6FB7705E-2B42-4F63-B2A5-C894A5656F9F}"/>
    <cellStyle name="Normal 3 2 2 2 2 2 2 2 2 2 2 7 2 5 2 2 2" xfId="27548" xr:uid="{5CB85997-D1D7-4ACE-8E04-ABD2833BF7E5}"/>
    <cellStyle name="Normal 3 2 2 2 2 2 2 2 2 2 2 7 2 5 2 2 2 2" xfId="27549" xr:uid="{3A350D72-80D2-4C12-827C-E4E3AC507C40}"/>
    <cellStyle name="Normal 3 2 2 2 2 2 2 2 2 2 2 7 2 5 2 2 2 3" xfId="27550" xr:uid="{0887BCFC-5AB5-4F12-951E-2FCF91D10BCB}"/>
    <cellStyle name="Normal 3 2 2 2 2 2 2 2 2 2 2 7 2 5 2 2 2 4" xfId="27551" xr:uid="{A6EE8ABD-91F4-48DF-A91B-0CDAADFE0EEF}"/>
    <cellStyle name="Normal 3 2 2 2 2 2 2 2 2 2 2 7 2 5 2 2 3" xfId="27552" xr:uid="{50D1EEF2-AD9D-4862-A16E-60CDC7441F5D}"/>
    <cellStyle name="Normal 3 2 2 2 2 2 2 2 2 2 2 7 2 5 2 2 4" xfId="27553" xr:uid="{9413EDC7-9610-49DA-83D7-33BFB30AD888}"/>
    <cellStyle name="Normal 3 2 2 2 2 2 2 2 2 2 2 7 2 5 2 2 5" xfId="27554" xr:uid="{E25209A3-CED1-46DC-8A6E-3B0F692F7A43}"/>
    <cellStyle name="Normal 3 2 2 2 2 2 2 2 2 2 2 7 2 5 2 2 6" xfId="27555" xr:uid="{3CCC5F01-AE2B-42BD-869D-822669A41F58}"/>
    <cellStyle name="Normal 3 2 2 2 2 2 2 2 2 2 2 7 2 5 2 3" xfId="27556" xr:uid="{C9C6DF3B-F274-481B-87E9-3D01ADCD0674}"/>
    <cellStyle name="Normal 3 2 2 2 2 2 2 2 2 2 2 7 2 5 2 4" xfId="27557" xr:uid="{5FB48315-3223-4A37-B746-1ABB72379890}"/>
    <cellStyle name="Normal 3 2 2 2 2 2 2 2 2 2 2 7 2 5 2 5" xfId="27558" xr:uid="{5D303124-D1AB-4FFB-BB75-2EFC18BF4DED}"/>
    <cellStyle name="Normal 3 2 2 2 2 2 2 2 2 2 2 7 2 5 2 6" xfId="27559" xr:uid="{C80CBF8A-7DC9-45CF-9A6B-145E55000BA2}"/>
    <cellStyle name="Normal 3 2 2 2 2 2 2 2 2 2 2 7 2 5 2 7" xfId="27560" xr:uid="{E729E676-17E0-4C9C-B3F4-0A9208784A51}"/>
    <cellStyle name="Normal 3 2 2 2 2 2 2 2 2 2 2 7 2 5 2 8" xfId="27561" xr:uid="{A023E884-6E16-40BE-B2B3-1DC033D26677}"/>
    <cellStyle name="Normal 3 2 2 2 2 2 2 2 2 2 2 7 2 5 2 8 2" xfId="27562" xr:uid="{36435EC5-3CE4-4AB2-9510-7A05C4B6CD1B}"/>
    <cellStyle name="Normal 3 2 2 2 2 2 2 2 2 2 2 7 2 5 2 8 3" xfId="27563" xr:uid="{FD946013-7670-4A2C-9A70-C25FC13BDF42}"/>
    <cellStyle name="Normal 3 2 2 2 2 2 2 2 2 2 2 7 2 5 2 8 4" xfId="27564" xr:uid="{E1C74EE4-C736-4981-961D-CA21DC229A8C}"/>
    <cellStyle name="Normal 3 2 2 2 2 2 2 2 2 2 2 7 2 5 2 9" xfId="27565" xr:uid="{B126AB6B-7D68-491C-8E93-7285CD02904F}"/>
    <cellStyle name="Normal 3 2 2 2 2 2 2 2 2 2 2 7 2 5 3" xfId="27566" xr:uid="{EE18F5D3-0E70-4F9D-A7D9-079E41D6F46F}"/>
    <cellStyle name="Normal 3 2 2 2 2 2 2 2 2 2 2 7 2 5 3 2" xfId="27567" xr:uid="{977D84BC-71A8-40FB-832B-807AD28C0A92}"/>
    <cellStyle name="Normal 3 2 2 2 2 2 2 2 2 2 2 7 2 5 3 2 2" xfId="27568" xr:uid="{3ABBFA9D-44B6-44BD-81DA-B35BAA8958B1}"/>
    <cellStyle name="Normal 3 2 2 2 2 2 2 2 2 2 2 7 2 5 3 2 3" xfId="27569" xr:uid="{4BD9EFBB-80CD-40EB-88F8-F6487AA52BBD}"/>
    <cellStyle name="Normal 3 2 2 2 2 2 2 2 2 2 2 7 2 5 3 2 4" xfId="27570" xr:uid="{556CA70C-4390-426D-A90C-262B7D0E65AC}"/>
    <cellStyle name="Normal 3 2 2 2 2 2 2 2 2 2 2 7 2 5 3 3" xfId="27571" xr:uid="{66F5D3D7-A2FF-4CBA-9122-91DA0F3CC241}"/>
    <cellStyle name="Normal 3 2 2 2 2 2 2 2 2 2 2 7 2 5 3 4" xfId="27572" xr:uid="{10321CC0-6290-4990-92BC-9A91F9987223}"/>
    <cellStyle name="Normal 3 2 2 2 2 2 2 2 2 2 2 7 2 5 3 5" xfId="27573" xr:uid="{11969F4B-7843-492F-B673-20E565D2D024}"/>
    <cellStyle name="Normal 3 2 2 2 2 2 2 2 2 2 2 7 2 5 3 6" xfId="27574" xr:uid="{6F58078C-F3C6-4F77-99E8-82698BCB8E1C}"/>
    <cellStyle name="Normal 3 2 2 2 2 2 2 2 2 2 2 7 2 5 4" xfId="27575" xr:uid="{D98FCFF9-EA89-4C55-8F11-98B9013F068B}"/>
    <cellStyle name="Normal 3 2 2 2 2 2 2 2 2 2 2 7 2 5 5" xfId="27576" xr:uid="{5F58B770-F46F-4F4D-8D7B-CE9343497198}"/>
    <cellStyle name="Normal 3 2 2 2 2 2 2 2 2 2 2 7 2 5 6" xfId="27577" xr:uid="{8BFA7C31-4ACA-462A-8C63-7E3E709AE09A}"/>
    <cellStyle name="Normal 3 2 2 2 2 2 2 2 2 2 2 7 2 5 7" xfId="27578" xr:uid="{361A8A95-E6D3-4D49-B09A-79B787CC200C}"/>
    <cellStyle name="Normal 3 2 2 2 2 2 2 2 2 2 2 7 2 5 8" xfId="27579" xr:uid="{F8069162-0B60-4535-9E2A-43A8CF35F7F2}"/>
    <cellStyle name="Normal 3 2 2 2 2 2 2 2 2 2 2 7 2 5 8 2" xfId="27580" xr:uid="{0470787B-DD41-4D56-B671-7222B86F99CE}"/>
    <cellStyle name="Normal 3 2 2 2 2 2 2 2 2 2 2 7 2 5 8 3" xfId="27581" xr:uid="{A6AB920B-5197-4FCE-AAA9-6DF13AD67EC0}"/>
    <cellStyle name="Normal 3 2 2 2 2 2 2 2 2 2 2 7 2 5 8 4" xfId="27582" xr:uid="{31170763-2723-45F6-ABDF-56D16B84588E}"/>
    <cellStyle name="Normal 3 2 2 2 2 2 2 2 2 2 2 7 2 5 9" xfId="27583" xr:uid="{234806C1-203A-4799-8004-6CADAA2499FE}"/>
    <cellStyle name="Normal 3 2 2 2 2 2 2 2 2 2 2 7 2 6" xfId="27584" xr:uid="{AED73C39-8DCA-43F4-B4AD-1841093D3BB6}"/>
    <cellStyle name="Normal 3 2 2 2 2 2 2 2 2 2 2 7 2 7" xfId="27585" xr:uid="{DFFCD27F-9BBA-45E1-BF4A-117DEF00B8CB}"/>
    <cellStyle name="Normal 3 2 2 2 2 2 2 2 2 2 2 7 2 7 2" xfId="27586" xr:uid="{95CDB95E-32A7-45DB-A135-EEFF2FD1E673}"/>
    <cellStyle name="Normal 3 2 2 2 2 2 2 2 2 2 2 7 2 7 2 2" xfId="27587" xr:uid="{4D28AC9C-5B12-4280-BB13-06D2185FB480}"/>
    <cellStyle name="Normal 3 2 2 2 2 2 2 2 2 2 2 7 2 7 2 3" xfId="27588" xr:uid="{72C48D5D-F250-42D1-BA3B-25E51ADEE075}"/>
    <cellStyle name="Normal 3 2 2 2 2 2 2 2 2 2 2 7 2 7 2 4" xfId="27589" xr:uid="{FF485497-63B5-4B7D-8A9F-F36EFED48E8E}"/>
    <cellStyle name="Normal 3 2 2 2 2 2 2 2 2 2 2 7 2 7 3" xfId="27590" xr:uid="{24A65DD8-C1E8-4535-8E51-EFCDA04720C3}"/>
    <cellStyle name="Normal 3 2 2 2 2 2 2 2 2 2 2 7 2 7 4" xfId="27591" xr:uid="{B081C509-AC4A-42FF-8E91-1970E70CB42A}"/>
    <cellStyle name="Normal 3 2 2 2 2 2 2 2 2 2 2 7 2 7 5" xfId="27592" xr:uid="{41EF15DA-FC1B-48D5-A068-5544BA92F1D7}"/>
    <cellStyle name="Normal 3 2 2 2 2 2 2 2 2 2 2 7 2 7 6" xfId="27593" xr:uid="{A7952161-6EC4-4A54-9132-EE518089C4F4}"/>
    <cellStyle name="Normal 3 2 2 2 2 2 2 2 2 2 2 7 2 8" xfId="27594" xr:uid="{4EF827FC-2723-4749-B560-C81A2C5E2756}"/>
    <cellStyle name="Normal 3 2 2 2 2 2 2 2 2 2 2 7 2 9" xfId="27595" xr:uid="{BC5B0929-1C53-4C08-AC45-695783225DDE}"/>
    <cellStyle name="Normal 3 2 2 2 2 2 2 2 2 2 2 7 20" xfId="27596" xr:uid="{EA918BC7-A2C5-454D-A013-87ABAA40F21A}"/>
    <cellStyle name="Normal 3 2 2 2 2 2 2 2 2 2 2 7 21" xfId="27597" xr:uid="{C72F4577-FA7C-4FD2-8EF1-38D98A18E3CA}"/>
    <cellStyle name="Normal 3 2 2 2 2 2 2 2 2 2 2 7 21 2" xfId="27598" xr:uid="{5D71A4B3-FE1A-4BB8-BC68-4FF51325AF70}"/>
    <cellStyle name="Normal 3 2 2 2 2 2 2 2 2 2 2 7 21 3" xfId="27599" xr:uid="{22A452D4-2F2B-44F5-83C6-842584E24B36}"/>
    <cellStyle name="Normal 3 2 2 2 2 2 2 2 2 2 2 7 21 4" xfId="27600" xr:uid="{B80B2F71-9866-4241-A6FF-D765CFF8AA3C}"/>
    <cellStyle name="Normal 3 2 2 2 2 2 2 2 2 2 2 7 22" xfId="27601" xr:uid="{2D14AFDE-DFA5-4E51-BB25-BD4D857AA9BB}"/>
    <cellStyle name="Normal 3 2 2 2 2 2 2 2 2 2 2 7 23" xfId="27602" xr:uid="{F40D5932-8D7A-4667-901A-595CC9F2BAB5}"/>
    <cellStyle name="Normal 3 2 2 2 2 2 2 2 2 2 2 7 24" xfId="27603" xr:uid="{869E99BD-BFF5-4E22-83FE-F80307C93E52}"/>
    <cellStyle name="Normal 3 2 2 2 2 2 2 2 2 2 2 7 3" xfId="27604" xr:uid="{BC0228AF-B3A3-4249-9326-A4175E29E44C}"/>
    <cellStyle name="Normal 3 2 2 2 2 2 2 2 2 2 2 7 4" xfId="27605" xr:uid="{3A470C46-EF3E-4DD6-9AE6-946C8EE93CA4}"/>
    <cellStyle name="Normal 3 2 2 2 2 2 2 2 2 2 2 7 5" xfId="27606" xr:uid="{046C6698-5BEF-4BA5-BD51-A7EB0F0146DC}"/>
    <cellStyle name="Normal 3 2 2 2 2 2 2 2 2 2 2 7 6" xfId="27607" xr:uid="{DA6386CF-18DD-41C0-8516-44BAE7130801}"/>
    <cellStyle name="Normal 3 2 2 2 2 2 2 2 2 2 2 7 7" xfId="27608" xr:uid="{F7F8F91A-DE77-4A1B-8590-6C69849C4E2C}"/>
    <cellStyle name="Normal 3 2 2 2 2 2 2 2 2 2 2 7 8" xfId="27609" xr:uid="{2C17210B-38E7-494A-A67D-83D752E9B757}"/>
    <cellStyle name="Normal 3 2 2 2 2 2 2 2 2 2 2 7 9" xfId="27610" xr:uid="{F75FF0C0-15CC-4B63-9AB6-57C8F6A31012}"/>
    <cellStyle name="Normal 3 2 2 2 2 2 2 2 2 2 2 70" xfId="27611" xr:uid="{037884F5-4CA0-42E2-BA44-EC341E01B4F9}"/>
    <cellStyle name="Normal 3 2 2 2 2 2 2 2 2 2 2 71" xfId="27612" xr:uid="{7BC78863-82D0-445A-8B98-6FD5348988E4}"/>
    <cellStyle name="Normal 3 2 2 2 2 2 2 2 2 2 2 72" xfId="27613" xr:uid="{185054F0-771C-480F-999A-3FD4FCC6C1CF}"/>
    <cellStyle name="Normal 3 2 2 2 2 2 2 2 2 2 2 73" xfId="27614" xr:uid="{3E80773A-880B-49E9-B45F-F0E27C43595E}"/>
    <cellStyle name="Normal 3 2 2 2 2 2 2 2 2 2 2 73 2" xfId="27615" xr:uid="{76DF9075-44FE-4037-B6A2-79DC35F1A0F2}"/>
    <cellStyle name="Normal 3 2 2 2 2 2 2 2 2 2 2 73 3" xfId="27616" xr:uid="{7C1E4854-5B1B-4F7F-89AD-DE83A98476ED}"/>
    <cellStyle name="Normal 3 2 2 2 2 2 2 2 2 2 2 73 4" xfId="27617" xr:uid="{672A8D46-8CA5-436A-BC8C-A08B9B48AD01}"/>
    <cellStyle name="Normal 3 2 2 2 2 2 2 2 2 2 2 74" xfId="27618" xr:uid="{061AA789-07E7-4245-8116-314881995D21}"/>
    <cellStyle name="Normal 3 2 2 2 2 2 2 2 2 2 2 75" xfId="27619" xr:uid="{16D10F11-A21D-4236-A135-885D94078E86}"/>
    <cellStyle name="Normal 3 2 2 2 2 2 2 2 2 2 2 8" xfId="27620" xr:uid="{3A39A1E2-51F9-4623-B9FB-E53AF3470B2F}"/>
    <cellStyle name="Normal 3 2 2 2 2 2 2 2 2 2 2 8 10" xfId="27621" xr:uid="{A676F2CC-D251-40FA-817F-E05E53FDE775}"/>
    <cellStyle name="Normal 3 2 2 2 2 2 2 2 2 2 2 8 11" xfId="27622" xr:uid="{82FFD76D-B2E2-4B3F-B890-266372E3F4A3}"/>
    <cellStyle name="Normal 3 2 2 2 2 2 2 2 2 2 2 8 12" xfId="27623" xr:uid="{1DB57701-6782-451F-BC7E-C04CAFCB4CE3}"/>
    <cellStyle name="Normal 3 2 2 2 2 2 2 2 2 2 2 8 13" xfId="27624" xr:uid="{81684F41-C460-4E07-90F5-799BDA632E2E}"/>
    <cellStyle name="Normal 3 2 2 2 2 2 2 2 2 2 2 8 13 2" xfId="27625" xr:uid="{15EF94E9-7281-4B46-8FF6-959AB3946A15}"/>
    <cellStyle name="Normal 3 2 2 2 2 2 2 2 2 2 2 8 13 3" xfId="27626" xr:uid="{61EBE3FF-F0FA-4C0F-A78F-A7FFCD745C9F}"/>
    <cellStyle name="Normal 3 2 2 2 2 2 2 2 2 2 2 8 13 4" xfId="27627" xr:uid="{855CD03B-5014-42D1-BF22-6A06F76606F3}"/>
    <cellStyle name="Normal 3 2 2 2 2 2 2 2 2 2 2 8 14" xfId="27628" xr:uid="{A127EB72-493B-4E26-AA2E-C42CCAA1BF2D}"/>
    <cellStyle name="Normal 3 2 2 2 2 2 2 2 2 2 2 8 15" xfId="27629" xr:uid="{E7FD0BDB-95CB-467A-8BED-E225AEF03346}"/>
    <cellStyle name="Normal 3 2 2 2 2 2 2 2 2 2 2 8 16" xfId="27630" xr:uid="{E3959317-958C-47DD-8D64-3EDFB5961432}"/>
    <cellStyle name="Normal 3 2 2 2 2 2 2 2 2 2 2 8 2" xfId="27631" xr:uid="{883EF2C4-5E9B-4D72-B36F-310767685ED8}"/>
    <cellStyle name="Normal 3 2 2 2 2 2 2 2 2 2 2 8 2 10" xfId="27632" xr:uid="{D0FCBA52-D241-4B63-830F-2EA3064655FD}"/>
    <cellStyle name="Normal 3 2 2 2 2 2 2 2 2 2 2 8 2 11" xfId="27633" xr:uid="{A07EC317-DEF5-4701-99B2-B2A61CFD0DA7}"/>
    <cellStyle name="Normal 3 2 2 2 2 2 2 2 2 2 2 8 2 11 2" xfId="27634" xr:uid="{8E7FDB76-0337-4CE9-A60C-16D933E3483A}"/>
    <cellStyle name="Normal 3 2 2 2 2 2 2 2 2 2 2 8 2 11 3" xfId="27635" xr:uid="{49A6E457-AC59-4B3C-9340-80677A560FD7}"/>
    <cellStyle name="Normal 3 2 2 2 2 2 2 2 2 2 2 8 2 11 4" xfId="27636" xr:uid="{60528576-4794-41E7-818B-95C4482D8FAA}"/>
    <cellStyle name="Normal 3 2 2 2 2 2 2 2 2 2 2 8 2 12" xfId="27637" xr:uid="{6719EC0D-F3D9-4404-A49B-A26ED42B1005}"/>
    <cellStyle name="Normal 3 2 2 2 2 2 2 2 2 2 2 8 2 13" xfId="27638" xr:uid="{F09A0C25-398E-4237-B2B3-9DB988173148}"/>
    <cellStyle name="Normal 3 2 2 2 2 2 2 2 2 2 2 8 2 14" xfId="27639" xr:uid="{21424FA1-3744-4C7A-B9CF-28FD0B170AC6}"/>
    <cellStyle name="Normal 3 2 2 2 2 2 2 2 2 2 2 8 2 2" xfId="27640" xr:uid="{21EDDCE0-14AC-4A0C-ABDE-B6DBA0DADE15}"/>
    <cellStyle name="Normal 3 2 2 2 2 2 2 2 2 2 2 8 2 2 10" xfId="27641" xr:uid="{A69292BD-B47D-4AB6-9F20-F605EEE06D4C}"/>
    <cellStyle name="Normal 3 2 2 2 2 2 2 2 2 2 2 8 2 2 11" xfId="27642" xr:uid="{B8D13FB0-AEEA-4444-B414-555297E2A258}"/>
    <cellStyle name="Normal 3 2 2 2 2 2 2 2 2 2 2 8 2 2 2" xfId="27643" xr:uid="{D5CFCA2A-31A2-4613-900F-C5CEE46F2576}"/>
    <cellStyle name="Normal 3 2 2 2 2 2 2 2 2 2 2 8 2 2 2 10" xfId="27644" xr:uid="{A88E78E8-CD6D-4B59-8978-5660A73065B8}"/>
    <cellStyle name="Normal 3 2 2 2 2 2 2 2 2 2 2 8 2 2 2 11" xfId="27645" xr:uid="{1F19E334-1A55-4297-B98B-45976ACDAEA4}"/>
    <cellStyle name="Normal 3 2 2 2 2 2 2 2 2 2 2 8 2 2 2 2" xfId="27646" xr:uid="{EFF8D561-7403-42FB-879A-AFAB775F83E1}"/>
    <cellStyle name="Normal 3 2 2 2 2 2 2 2 2 2 2 8 2 2 2 2 2" xfId="27647" xr:uid="{C22152A6-ABE1-4112-B8B3-4ECF2045C9AB}"/>
    <cellStyle name="Normal 3 2 2 2 2 2 2 2 2 2 2 8 2 2 2 2 2 2" xfId="27648" xr:uid="{B551A1E1-0A95-4139-A8A5-9614F577CED0}"/>
    <cellStyle name="Normal 3 2 2 2 2 2 2 2 2 2 2 8 2 2 2 2 2 3" xfId="27649" xr:uid="{542F7429-7F66-461C-8576-9C54CC0D4C2C}"/>
    <cellStyle name="Normal 3 2 2 2 2 2 2 2 2 2 2 8 2 2 2 2 2 4" xfId="27650" xr:uid="{BE926D00-7229-4A2B-B4F7-392FF97053E2}"/>
    <cellStyle name="Normal 3 2 2 2 2 2 2 2 2 2 2 8 2 2 2 2 3" xfId="27651" xr:uid="{35120792-DE87-45B9-9B82-9CCD48988569}"/>
    <cellStyle name="Normal 3 2 2 2 2 2 2 2 2 2 2 8 2 2 2 2 4" xfId="27652" xr:uid="{AD5BDFB6-609F-4589-B88A-2400D7AB5906}"/>
    <cellStyle name="Normal 3 2 2 2 2 2 2 2 2 2 2 8 2 2 2 2 5" xfId="27653" xr:uid="{1E9A18F1-4162-48E7-90A0-A0C72BCBC66C}"/>
    <cellStyle name="Normal 3 2 2 2 2 2 2 2 2 2 2 8 2 2 2 2 6" xfId="27654" xr:uid="{C871E3BF-8439-4B1D-9EDD-D2AA6E9ECCDC}"/>
    <cellStyle name="Normal 3 2 2 2 2 2 2 2 2 2 2 8 2 2 2 3" xfId="27655" xr:uid="{5A943041-CA34-4EAF-91B2-5ECD94675CD0}"/>
    <cellStyle name="Normal 3 2 2 2 2 2 2 2 2 2 2 8 2 2 2 4" xfId="27656" xr:uid="{EE89AC3A-0704-4943-93C3-A6D2F858CE32}"/>
    <cellStyle name="Normal 3 2 2 2 2 2 2 2 2 2 2 8 2 2 2 5" xfId="27657" xr:uid="{19946267-C8FE-4ED7-934E-276D39C56514}"/>
    <cellStyle name="Normal 3 2 2 2 2 2 2 2 2 2 2 8 2 2 2 6" xfId="27658" xr:uid="{0CB61CC6-CFF8-425C-ABFC-98A768CA5792}"/>
    <cellStyle name="Normal 3 2 2 2 2 2 2 2 2 2 2 8 2 2 2 7" xfId="27659" xr:uid="{62037F1D-C1B6-4754-87E4-BB46E8B7D55A}"/>
    <cellStyle name="Normal 3 2 2 2 2 2 2 2 2 2 2 8 2 2 2 8" xfId="27660" xr:uid="{DDE766F8-9D5E-4C5D-A8F9-7D261E52F74E}"/>
    <cellStyle name="Normal 3 2 2 2 2 2 2 2 2 2 2 8 2 2 2 8 2" xfId="27661" xr:uid="{790DF3CB-EAA1-43AE-A6D2-F784AF6897F1}"/>
    <cellStyle name="Normal 3 2 2 2 2 2 2 2 2 2 2 8 2 2 2 8 3" xfId="27662" xr:uid="{16454E07-3964-4C40-BE8C-B70DFDCD0ACF}"/>
    <cellStyle name="Normal 3 2 2 2 2 2 2 2 2 2 2 8 2 2 2 8 4" xfId="27663" xr:uid="{FAD1620E-5C3B-4F50-8C5C-36C7D6F6CC85}"/>
    <cellStyle name="Normal 3 2 2 2 2 2 2 2 2 2 2 8 2 2 2 9" xfId="27664" xr:uid="{2AE086CC-2BD7-49C7-89CC-372A336AD4C0}"/>
    <cellStyle name="Normal 3 2 2 2 2 2 2 2 2 2 2 8 2 2 3" xfId="27665" xr:uid="{E204D260-6575-4642-A987-239AE5696D8E}"/>
    <cellStyle name="Normal 3 2 2 2 2 2 2 2 2 2 2 8 2 2 3 2" xfId="27666" xr:uid="{5B4A4168-BB6B-480D-9D31-11D3722D2271}"/>
    <cellStyle name="Normal 3 2 2 2 2 2 2 2 2 2 2 8 2 2 3 2 2" xfId="27667" xr:uid="{F625A118-12BE-4D5B-85A1-D839930B21C3}"/>
    <cellStyle name="Normal 3 2 2 2 2 2 2 2 2 2 2 8 2 2 3 2 3" xfId="27668" xr:uid="{952AAF30-4AAB-4B41-98E2-D08524703B50}"/>
    <cellStyle name="Normal 3 2 2 2 2 2 2 2 2 2 2 8 2 2 3 2 4" xfId="27669" xr:uid="{E72C397C-8673-4755-B645-8D5FFDDA2190}"/>
    <cellStyle name="Normal 3 2 2 2 2 2 2 2 2 2 2 8 2 2 3 3" xfId="27670" xr:uid="{6128206E-501D-45AF-9AFE-B42CAE50086D}"/>
    <cellStyle name="Normal 3 2 2 2 2 2 2 2 2 2 2 8 2 2 3 4" xfId="27671" xr:uid="{3FB7F8A9-1A58-4882-85F4-CC50CB950682}"/>
    <cellStyle name="Normal 3 2 2 2 2 2 2 2 2 2 2 8 2 2 3 5" xfId="27672" xr:uid="{BD2947D0-26CD-4585-8DE9-DEB9CE5FBD2A}"/>
    <cellStyle name="Normal 3 2 2 2 2 2 2 2 2 2 2 8 2 2 3 6" xfId="27673" xr:uid="{DCAE3FA0-4D75-41CA-B749-2982CE41DEE4}"/>
    <cellStyle name="Normal 3 2 2 2 2 2 2 2 2 2 2 8 2 2 4" xfId="27674" xr:uid="{A2947A1B-9496-4ABE-A8F0-F9FB6C026DA7}"/>
    <cellStyle name="Normal 3 2 2 2 2 2 2 2 2 2 2 8 2 2 5" xfId="27675" xr:uid="{E90945A1-9BDC-4673-979D-6A5931A392CF}"/>
    <cellStyle name="Normal 3 2 2 2 2 2 2 2 2 2 2 8 2 2 6" xfId="27676" xr:uid="{EC147B9B-906E-4917-8F05-C02705B9BE48}"/>
    <cellStyle name="Normal 3 2 2 2 2 2 2 2 2 2 2 8 2 2 7" xfId="27677" xr:uid="{74B82A0D-A829-4354-B03B-9A6CD21534A3}"/>
    <cellStyle name="Normal 3 2 2 2 2 2 2 2 2 2 2 8 2 2 8" xfId="27678" xr:uid="{AAD46894-973D-480C-A012-08069DF90DEC}"/>
    <cellStyle name="Normal 3 2 2 2 2 2 2 2 2 2 2 8 2 2 8 2" xfId="27679" xr:uid="{D53A3826-F965-45EB-83E4-87BE00849533}"/>
    <cellStyle name="Normal 3 2 2 2 2 2 2 2 2 2 2 8 2 2 8 3" xfId="27680" xr:uid="{68917499-A6CA-4DF4-A3C5-98339BE18619}"/>
    <cellStyle name="Normal 3 2 2 2 2 2 2 2 2 2 2 8 2 2 8 4" xfId="27681" xr:uid="{06A553F8-97DD-460D-8597-D9979095C19C}"/>
    <cellStyle name="Normal 3 2 2 2 2 2 2 2 2 2 2 8 2 2 9" xfId="27682" xr:uid="{212F86AE-CF4E-484D-AACA-480CF30C63C5}"/>
    <cellStyle name="Normal 3 2 2 2 2 2 2 2 2 2 2 8 2 3" xfId="27683" xr:uid="{E96D4194-6832-4E7C-837A-21D5F365CBF3}"/>
    <cellStyle name="Normal 3 2 2 2 2 2 2 2 2 2 2 8 2 4" xfId="27684" xr:uid="{703EBEFA-4237-4589-8E70-DCB75D967070}"/>
    <cellStyle name="Normal 3 2 2 2 2 2 2 2 2 2 2 8 2 5" xfId="27685" xr:uid="{B3D05428-721C-47A3-9772-47845FF15F91}"/>
    <cellStyle name="Normal 3 2 2 2 2 2 2 2 2 2 2 8 2 5 2" xfId="27686" xr:uid="{C80CE0E9-124E-4B6D-AF5B-D02FE1C1ADED}"/>
    <cellStyle name="Normal 3 2 2 2 2 2 2 2 2 2 2 8 2 5 2 2" xfId="27687" xr:uid="{5D84AC59-DCB0-45D3-A379-DC856D184932}"/>
    <cellStyle name="Normal 3 2 2 2 2 2 2 2 2 2 2 8 2 5 2 3" xfId="27688" xr:uid="{DFE6B370-8CD2-4221-8C0A-2335679F0418}"/>
    <cellStyle name="Normal 3 2 2 2 2 2 2 2 2 2 2 8 2 5 2 4" xfId="27689" xr:uid="{CE3B7D28-DBAE-4BC2-8FB0-8611CDDEC10D}"/>
    <cellStyle name="Normal 3 2 2 2 2 2 2 2 2 2 2 8 2 5 3" xfId="27690" xr:uid="{DA0EAEF8-82AF-4BCA-8330-59C1F4E682B5}"/>
    <cellStyle name="Normal 3 2 2 2 2 2 2 2 2 2 2 8 2 5 4" xfId="27691" xr:uid="{5697A010-B111-4EB1-9608-2841F2DEEBCB}"/>
    <cellStyle name="Normal 3 2 2 2 2 2 2 2 2 2 2 8 2 5 5" xfId="27692" xr:uid="{DDDD09CB-967B-47B1-A070-3E147683E5A0}"/>
    <cellStyle name="Normal 3 2 2 2 2 2 2 2 2 2 2 8 2 5 6" xfId="27693" xr:uid="{14EA498D-07B9-41CC-907F-F00174CE025A}"/>
    <cellStyle name="Normal 3 2 2 2 2 2 2 2 2 2 2 8 2 6" xfId="27694" xr:uid="{DD9C76A3-B6B5-4C0C-BFE1-CB4ED996B04C}"/>
    <cellStyle name="Normal 3 2 2 2 2 2 2 2 2 2 2 8 2 7" xfId="27695" xr:uid="{94B464E0-AB0A-408A-87CC-18DBC351F2EF}"/>
    <cellStyle name="Normal 3 2 2 2 2 2 2 2 2 2 2 8 2 8" xfId="27696" xr:uid="{BED1378E-9829-4026-B4FB-D572776C4C63}"/>
    <cellStyle name="Normal 3 2 2 2 2 2 2 2 2 2 2 8 2 9" xfId="27697" xr:uid="{EC62F2CB-B752-4A50-9EFD-538394D2A6E1}"/>
    <cellStyle name="Normal 3 2 2 2 2 2 2 2 2 2 2 8 3" xfId="27698" xr:uid="{0DA207AC-EDA7-423C-83C8-DD96ED4BC30D}"/>
    <cellStyle name="Normal 3 2 2 2 2 2 2 2 2 2 2 8 4" xfId="27699" xr:uid="{826E6A5E-2F07-4582-9F97-A03F5C568296}"/>
    <cellStyle name="Normal 3 2 2 2 2 2 2 2 2 2 2 8 5" xfId="27700" xr:uid="{CA60DC99-9CBB-484D-81E2-5FA5EC638B80}"/>
    <cellStyle name="Normal 3 2 2 2 2 2 2 2 2 2 2 8 5 10" xfId="27701" xr:uid="{864093AC-09AB-4C42-98AC-96FEF6CB2FD5}"/>
    <cellStyle name="Normal 3 2 2 2 2 2 2 2 2 2 2 8 5 11" xfId="27702" xr:uid="{3974FF52-00A6-4E8F-B030-A412F5A0C3C2}"/>
    <cellStyle name="Normal 3 2 2 2 2 2 2 2 2 2 2 8 5 2" xfId="27703" xr:uid="{196575F2-2824-4885-9DA4-AFD7BF65F8F3}"/>
    <cellStyle name="Normal 3 2 2 2 2 2 2 2 2 2 2 8 5 2 10" xfId="27704" xr:uid="{8A9729B0-1344-429A-943E-693025B7242A}"/>
    <cellStyle name="Normal 3 2 2 2 2 2 2 2 2 2 2 8 5 2 11" xfId="27705" xr:uid="{9DAEC94F-DB7D-4ECB-997F-243B0F242E4A}"/>
    <cellStyle name="Normal 3 2 2 2 2 2 2 2 2 2 2 8 5 2 2" xfId="27706" xr:uid="{C2BE9169-8AFB-4FD0-BACF-76E18521D7A9}"/>
    <cellStyle name="Normal 3 2 2 2 2 2 2 2 2 2 2 8 5 2 2 2" xfId="27707" xr:uid="{D124B4E2-594B-4B07-AFE5-28BC1BF787D9}"/>
    <cellStyle name="Normal 3 2 2 2 2 2 2 2 2 2 2 8 5 2 2 2 2" xfId="27708" xr:uid="{579A315C-3BFE-4F1C-9DE5-2B0AB7AA3B98}"/>
    <cellStyle name="Normal 3 2 2 2 2 2 2 2 2 2 2 8 5 2 2 2 3" xfId="27709" xr:uid="{ECA36BC8-D735-424D-87E2-57417FFF7DD3}"/>
    <cellStyle name="Normal 3 2 2 2 2 2 2 2 2 2 2 8 5 2 2 2 4" xfId="27710" xr:uid="{11A279FC-B5DD-4E99-B843-482EDC6F8A8B}"/>
    <cellStyle name="Normal 3 2 2 2 2 2 2 2 2 2 2 8 5 2 2 3" xfId="27711" xr:uid="{7F3AF623-9B13-47D0-9E74-96F854859CCB}"/>
    <cellStyle name="Normal 3 2 2 2 2 2 2 2 2 2 2 8 5 2 2 4" xfId="27712" xr:uid="{BF15BD6C-EA61-4D35-B66D-655779849950}"/>
    <cellStyle name="Normal 3 2 2 2 2 2 2 2 2 2 2 8 5 2 2 5" xfId="27713" xr:uid="{8ACA9B42-8284-4BB8-A689-7FACE3DC1366}"/>
    <cellStyle name="Normal 3 2 2 2 2 2 2 2 2 2 2 8 5 2 2 6" xfId="27714" xr:uid="{EE120D97-9F1C-4948-A138-0B61E312F96B}"/>
    <cellStyle name="Normal 3 2 2 2 2 2 2 2 2 2 2 8 5 2 3" xfId="27715" xr:uid="{D62F33F3-65EA-4390-A049-32527E6406C6}"/>
    <cellStyle name="Normal 3 2 2 2 2 2 2 2 2 2 2 8 5 2 4" xfId="27716" xr:uid="{360DC639-7C24-4FDB-8C74-765DB246F019}"/>
    <cellStyle name="Normal 3 2 2 2 2 2 2 2 2 2 2 8 5 2 5" xfId="27717" xr:uid="{3A8F276A-54BB-4226-B808-8621901A1348}"/>
    <cellStyle name="Normal 3 2 2 2 2 2 2 2 2 2 2 8 5 2 6" xfId="27718" xr:uid="{7A5CC96B-1181-40D5-BF11-210255881331}"/>
    <cellStyle name="Normal 3 2 2 2 2 2 2 2 2 2 2 8 5 2 7" xfId="27719" xr:uid="{A7F750C4-A1C4-46C0-BF26-3C1021D0C37E}"/>
    <cellStyle name="Normal 3 2 2 2 2 2 2 2 2 2 2 8 5 2 8" xfId="27720" xr:uid="{40DF93DF-D5B6-4FF0-AC4D-5C0A09746534}"/>
    <cellStyle name="Normal 3 2 2 2 2 2 2 2 2 2 2 8 5 2 8 2" xfId="27721" xr:uid="{B4E9965E-9A51-4513-8E63-E382DB610C7B}"/>
    <cellStyle name="Normal 3 2 2 2 2 2 2 2 2 2 2 8 5 2 8 3" xfId="27722" xr:uid="{25E5C603-811E-47F7-92FC-54377C76D7C2}"/>
    <cellStyle name="Normal 3 2 2 2 2 2 2 2 2 2 2 8 5 2 8 4" xfId="27723" xr:uid="{CDA2BF5D-A387-43DF-88AA-1B32F9081C80}"/>
    <cellStyle name="Normal 3 2 2 2 2 2 2 2 2 2 2 8 5 2 9" xfId="27724" xr:uid="{DDCFAE4F-DC44-4E6C-BB84-33071219E1B6}"/>
    <cellStyle name="Normal 3 2 2 2 2 2 2 2 2 2 2 8 5 3" xfId="27725" xr:uid="{FA281322-5BFD-45F3-8D95-1CA4CA037A17}"/>
    <cellStyle name="Normal 3 2 2 2 2 2 2 2 2 2 2 8 5 3 2" xfId="27726" xr:uid="{25119B49-437A-463B-AAE4-23AB12DFF5D7}"/>
    <cellStyle name="Normal 3 2 2 2 2 2 2 2 2 2 2 8 5 3 2 2" xfId="27727" xr:uid="{126BDFE0-814F-438A-B0A8-62FFCCFC1FE2}"/>
    <cellStyle name="Normal 3 2 2 2 2 2 2 2 2 2 2 8 5 3 2 3" xfId="27728" xr:uid="{C70FCFBD-7454-45F0-B52B-5703F5394E15}"/>
    <cellStyle name="Normal 3 2 2 2 2 2 2 2 2 2 2 8 5 3 2 4" xfId="27729" xr:uid="{7EC82173-4172-4501-BEF1-9E68BFFB9FDD}"/>
    <cellStyle name="Normal 3 2 2 2 2 2 2 2 2 2 2 8 5 3 3" xfId="27730" xr:uid="{0255234D-7A69-4B65-807C-E05D47E422C9}"/>
    <cellStyle name="Normal 3 2 2 2 2 2 2 2 2 2 2 8 5 3 4" xfId="27731" xr:uid="{11B6E9A5-BF4B-4C1E-AD1C-16A44A506B2A}"/>
    <cellStyle name="Normal 3 2 2 2 2 2 2 2 2 2 2 8 5 3 5" xfId="27732" xr:uid="{A0701AC4-C244-462D-AC98-7B90AA8BD191}"/>
    <cellStyle name="Normal 3 2 2 2 2 2 2 2 2 2 2 8 5 3 6" xfId="27733" xr:uid="{CC1F9161-4535-4FD6-A2A0-C8DD98323596}"/>
    <cellStyle name="Normal 3 2 2 2 2 2 2 2 2 2 2 8 5 4" xfId="27734" xr:uid="{A05D378A-77DC-4940-AA80-168730C0FB07}"/>
    <cellStyle name="Normal 3 2 2 2 2 2 2 2 2 2 2 8 5 5" xfId="27735" xr:uid="{3267AEF5-BC02-43F7-A607-37A83C40ECAD}"/>
    <cellStyle name="Normal 3 2 2 2 2 2 2 2 2 2 2 8 5 6" xfId="27736" xr:uid="{3A77A8B9-280E-4CD2-AA05-547ECBEE8B4D}"/>
    <cellStyle name="Normal 3 2 2 2 2 2 2 2 2 2 2 8 5 7" xfId="27737" xr:uid="{68135268-6AA9-4F6D-8660-8A207B3E4D32}"/>
    <cellStyle name="Normal 3 2 2 2 2 2 2 2 2 2 2 8 5 8" xfId="27738" xr:uid="{1350EF77-5410-4D7E-9BD6-27A8419E6E73}"/>
    <cellStyle name="Normal 3 2 2 2 2 2 2 2 2 2 2 8 5 8 2" xfId="27739" xr:uid="{8495696D-1B10-4921-B576-71F2B0FEE8FC}"/>
    <cellStyle name="Normal 3 2 2 2 2 2 2 2 2 2 2 8 5 8 3" xfId="27740" xr:uid="{782E82B3-C484-4E3A-994C-67EA7E721894}"/>
    <cellStyle name="Normal 3 2 2 2 2 2 2 2 2 2 2 8 5 8 4" xfId="27741" xr:uid="{8885C06F-CA22-492C-8AEC-CB80DAF85A44}"/>
    <cellStyle name="Normal 3 2 2 2 2 2 2 2 2 2 2 8 5 9" xfId="27742" xr:uid="{82C4BAE3-4E97-4205-8380-D94812B6DCD5}"/>
    <cellStyle name="Normal 3 2 2 2 2 2 2 2 2 2 2 8 6" xfId="27743" xr:uid="{2CB9C21C-8E33-4184-8C24-C099882D8B72}"/>
    <cellStyle name="Normal 3 2 2 2 2 2 2 2 2 2 2 8 7" xfId="27744" xr:uid="{79651F81-D805-4B21-8890-6237B6E94780}"/>
    <cellStyle name="Normal 3 2 2 2 2 2 2 2 2 2 2 8 7 2" xfId="27745" xr:uid="{C34A3E3F-77BF-4CA9-A839-8F5786AACBDF}"/>
    <cellStyle name="Normal 3 2 2 2 2 2 2 2 2 2 2 8 7 2 2" xfId="27746" xr:uid="{F114CFBA-444D-40D7-B4B9-4554AE3876BF}"/>
    <cellStyle name="Normal 3 2 2 2 2 2 2 2 2 2 2 8 7 2 3" xfId="27747" xr:uid="{B34EB193-A679-41B4-8A21-00792D417C37}"/>
    <cellStyle name="Normal 3 2 2 2 2 2 2 2 2 2 2 8 7 2 4" xfId="27748" xr:uid="{C157A3A6-380B-4119-8C87-038B2F272C5F}"/>
    <cellStyle name="Normal 3 2 2 2 2 2 2 2 2 2 2 8 7 3" xfId="27749" xr:uid="{1585FB12-1B4D-4405-93BA-F8CC32CA12E5}"/>
    <cellStyle name="Normal 3 2 2 2 2 2 2 2 2 2 2 8 7 4" xfId="27750" xr:uid="{28FBAE31-05B7-4F48-B42B-BD50A8CC2552}"/>
    <cellStyle name="Normal 3 2 2 2 2 2 2 2 2 2 2 8 7 5" xfId="27751" xr:uid="{E289AAA5-B498-4080-BA53-DD49CF8BBA10}"/>
    <cellStyle name="Normal 3 2 2 2 2 2 2 2 2 2 2 8 7 6" xfId="27752" xr:uid="{FFB3B044-137E-4807-B354-F656CB8166F2}"/>
    <cellStyle name="Normal 3 2 2 2 2 2 2 2 2 2 2 8 8" xfId="27753" xr:uid="{AD2CCA74-31CE-4FF4-911D-16CBD5AF9016}"/>
    <cellStyle name="Normal 3 2 2 2 2 2 2 2 2 2 2 8 9" xfId="27754" xr:uid="{0F272621-1FDA-4B0E-B249-4A13325AF1E8}"/>
    <cellStyle name="Normal 3 2 2 2 2 2 2 2 2 2 2 9" xfId="27755" xr:uid="{B19171B0-4F38-4D7B-A432-673C5529DB30}"/>
    <cellStyle name="Normal 3 2 2 2 2 2 2 2 2 2 20" xfId="27756" xr:uid="{8468CA57-D846-4461-A86F-5311C1CAA34D}"/>
    <cellStyle name="Normal 3 2 2 2 2 2 2 2 2 2 21" xfId="27757" xr:uid="{6F073500-BDAE-4A41-ADE8-A328EFE8B4F7}"/>
    <cellStyle name="Normal 3 2 2 2 2 2 2 2 2 2 21 2" xfId="27758" xr:uid="{D0F51A96-DFDA-4943-AFAC-3A8A1A04755D}"/>
    <cellStyle name="Normal 3 2 2 2 2 2 2 2 2 2 21 2 2" xfId="27759" xr:uid="{CCA96006-DA8F-4721-B643-BE27F0A6D033}"/>
    <cellStyle name="Normal 3 2 2 2 2 2 2 2 2 2 21 2 3" xfId="27760" xr:uid="{B3E9ACF4-7097-4C38-8543-DBC88BC9BB1D}"/>
    <cellStyle name="Normal 3 2 2 2 2 2 2 2 2 2 21 2 4" xfId="27761" xr:uid="{42867B9E-A516-439A-8E26-95B456C2C837}"/>
    <cellStyle name="Normal 3 2 2 2 2 2 2 2 2 2 21 3" xfId="27762" xr:uid="{247F0E2A-44F2-4117-A4D5-A73D12AA28A5}"/>
    <cellStyle name="Normal 3 2 2 2 2 2 2 2 2 2 21 4" xfId="27763" xr:uid="{B3D6B34B-1E36-4B80-A10D-DA147172BA86}"/>
    <cellStyle name="Normal 3 2 2 2 2 2 2 2 2 2 21 5" xfId="27764" xr:uid="{1AEFB6D6-4056-47F5-955C-3F951E449AB4}"/>
    <cellStyle name="Normal 3 2 2 2 2 2 2 2 2 2 21 6" xfId="27765" xr:uid="{34EB1DA4-7A0F-4066-9AA0-9081ED3635CB}"/>
    <cellStyle name="Normal 3 2 2 2 2 2 2 2 2 2 22" xfId="27766" xr:uid="{EA62E3A3-A649-4360-B9E4-95A0A6D84CE7}"/>
    <cellStyle name="Normal 3 2 2 2 2 2 2 2 2 2 23" xfId="27767" xr:uid="{B4950480-DCCC-4DDD-A61C-37ED512AF9D9}"/>
    <cellStyle name="Normal 3 2 2 2 2 2 2 2 2 2 24" xfId="27768" xr:uid="{5547D4E9-C9E8-41A4-8BC6-41A15923A285}"/>
    <cellStyle name="Normal 3 2 2 2 2 2 2 2 2 2 25" xfId="27769" xr:uid="{3BC5F0A0-77E7-4F55-943E-2FEAC9CFF803}"/>
    <cellStyle name="Normal 3 2 2 2 2 2 2 2 2 2 26" xfId="27770" xr:uid="{31F9946F-1F3E-40A1-9DD1-4DD386AD0CD6}"/>
    <cellStyle name="Normal 3 2 2 2 2 2 2 2 2 2 27" xfId="27771" xr:uid="{DA82B605-2947-4649-98EE-8FF4F449C961}"/>
    <cellStyle name="Normal 3 2 2 2 2 2 2 2 2 2 27 2" xfId="27772" xr:uid="{DD65A588-CBBF-4894-B386-39A72897BEC9}"/>
    <cellStyle name="Normal 3 2 2 2 2 2 2 2 2 2 27 3" xfId="27773" xr:uid="{FC640E46-4706-4A3C-9E63-C71972F4E50A}"/>
    <cellStyle name="Normal 3 2 2 2 2 2 2 2 2 2 27 4" xfId="27774" xr:uid="{64E2653F-2808-4058-8CD0-E85CD39FA1EE}"/>
    <cellStyle name="Normal 3 2 2 2 2 2 2 2 2 2 28" xfId="27775" xr:uid="{1A2EE4CA-E148-465E-814D-1A78F577AD65}"/>
    <cellStyle name="Normal 3 2 2 2 2 2 2 2 2 2 29" xfId="27776" xr:uid="{DE7046D8-189A-4131-965D-FB46C6C49F19}"/>
    <cellStyle name="Normal 3 2 2 2 2 2 2 2 2 2 3" xfId="27777" xr:uid="{4DE45B49-374F-4FA6-9E0F-CB863456BB1F}"/>
    <cellStyle name="Normal 3 2 2 2 2 2 2 2 2 2 30" xfId="27778" xr:uid="{AE49D33A-CDD8-4798-9AE2-67857D304DF4}"/>
    <cellStyle name="Normal 3 2 2 2 2 2 2 2 2 2 31" xfId="27779" xr:uid="{F7E7A590-96B1-4D40-8FB0-D6BFDF3854D2}"/>
    <cellStyle name="Normal 3 2 2 2 2 2 2 2 2 2 32" xfId="27780" xr:uid="{6C61DD72-878C-4951-BE6A-91328AFAD88C}"/>
    <cellStyle name="Normal 3 2 2 2 2 2 2 2 2 2 33" xfId="27781" xr:uid="{9A9A4A51-A582-4588-91E8-FCA86EFBF51A}"/>
    <cellStyle name="Normal 3 2 2 2 2 2 2 2 2 2 34" xfId="27782" xr:uid="{F10DBB78-74E3-46B3-A79A-B1A3AB9943F5}"/>
    <cellStyle name="Normal 3 2 2 2 2 2 2 2 2 2 35" xfId="27783" xr:uid="{7AD9B6E1-FE53-429B-996A-3C10161E4F88}"/>
    <cellStyle name="Normal 3 2 2 2 2 2 2 2 2 2 36" xfId="27784" xr:uid="{5C6EF6DE-90F0-4850-993C-13AD815BB3E2}"/>
    <cellStyle name="Normal 3 2 2 2 2 2 2 2 2 2 37" xfId="27785" xr:uid="{A80944D9-E1B8-481A-81A1-B908A24CA346}"/>
    <cellStyle name="Normal 3 2 2 2 2 2 2 2 2 2 38" xfId="27786" xr:uid="{71E83CDF-8EB6-4069-B5F5-4787CD7DB222}"/>
    <cellStyle name="Normal 3 2 2 2 2 2 2 2 2 2 39" xfId="27787" xr:uid="{2C6FC936-9681-4C48-844C-779BBE24018F}"/>
    <cellStyle name="Normal 3 2 2 2 2 2 2 2 2 2 4" xfId="27788" xr:uid="{B3F41B4E-6CA8-4593-91B8-9A16A22B0651}"/>
    <cellStyle name="Normal 3 2 2 2 2 2 2 2 2 2 40" xfId="27789" xr:uid="{3B696BA6-8F65-4583-A105-BF4170FDD46B}"/>
    <cellStyle name="Normal 3 2 2 2 2 2 2 2 2 2 41" xfId="27790" xr:uid="{1DB70569-59D2-461B-8E0C-E62916D7F617}"/>
    <cellStyle name="Normal 3 2 2 2 2 2 2 2 2 2 42" xfId="27791" xr:uid="{80F56769-DC74-4CAD-9AB2-E8413FB27555}"/>
    <cellStyle name="Normal 3 2 2 2 2 2 2 2 2 2 42 2" xfId="27792" xr:uid="{85BA4950-5379-49B8-AD94-4AD1B635F8EA}"/>
    <cellStyle name="Normal 3 2 2 2 2 2 2 2 2 2 42 3" xfId="27793" xr:uid="{74C71099-F7FD-4BAC-9CA7-116BB408DB66}"/>
    <cellStyle name="Normal 3 2 2 2 2 2 2 2 2 2 42 4" xfId="27794" xr:uid="{1FC99861-66AB-42BB-A8CA-4B4C9084A019}"/>
    <cellStyle name="Normal 3 2 2 2 2 2 2 2 2 2 42 5" xfId="27795" xr:uid="{D96F62E3-E649-4E1B-97B6-6D4CF3F60357}"/>
    <cellStyle name="Normal 3 2 2 2 2 2 2 2 2 2 42 6" xfId="27796" xr:uid="{56C33FB5-09FC-4BBA-BD62-AC559ED48791}"/>
    <cellStyle name="Normal 3 2 2 2 2 2 2 2 2 2 42 7" xfId="27797" xr:uid="{38E298D9-C5BD-4A99-9DF0-60CBB19BFCAB}"/>
    <cellStyle name="Normal 3 2 2 2 2 2 2 2 2 2 43" xfId="27798" xr:uid="{A562A62B-C3FD-4A9B-A986-3D2EAD298CC2}"/>
    <cellStyle name="Normal 3 2 2 2 2 2 2 2 2 2 44" xfId="27799" xr:uid="{CD4310E0-F741-4934-996E-7DFC582C13FF}"/>
    <cellStyle name="Normal 3 2 2 2 2 2 2 2 2 2 45" xfId="27800" xr:uid="{5207E66B-9BF7-4F49-B2E3-D4691C6DFAB2}"/>
    <cellStyle name="Normal 3 2 2 2 2 2 2 2 2 2 46" xfId="27801" xr:uid="{3DB39F56-D5C6-4CC7-A9A5-01656DA905DD}"/>
    <cellStyle name="Normal 3 2 2 2 2 2 2 2 2 2 47" xfId="27802" xr:uid="{926780CF-8C5B-4A5A-87C4-D791C4909861}"/>
    <cellStyle name="Normal 3 2 2 2 2 2 2 2 2 2 48" xfId="27803" xr:uid="{7C2CB27A-0CC6-44A4-8044-01EA41089EDA}"/>
    <cellStyle name="Normal 3 2 2 2 2 2 2 2 2 2 49" xfId="27804" xr:uid="{1C010C67-922A-443C-89B7-37CBD34B21B3}"/>
    <cellStyle name="Normal 3 2 2 2 2 2 2 2 2 2 5" xfId="27805" xr:uid="{5904B504-747C-4DF6-A825-7E6097077F62}"/>
    <cellStyle name="Normal 3 2 2 2 2 2 2 2 2 2 50" xfId="27806" xr:uid="{55981DE7-E5A0-40DE-B0DD-8ABADCC4C052}"/>
    <cellStyle name="Normal 3 2 2 2 2 2 2 2 2 2 51" xfId="27807" xr:uid="{8A6927D9-36E9-4F77-87B8-065848B367D0}"/>
    <cellStyle name="Normal 3 2 2 2 2 2 2 2 2 2 52" xfId="27808" xr:uid="{AE3F60A7-2A20-4E5F-819E-B5E14E5A8FFE}"/>
    <cellStyle name="Normal 3 2 2 2 2 2 2 2 2 2 53" xfId="27809" xr:uid="{0AA0CD10-9B50-4C72-9318-1FB1F01900A2}"/>
    <cellStyle name="Normal 3 2 2 2 2 2 2 2 2 2 54" xfId="27810" xr:uid="{C1EF3500-0E91-46E4-B491-A9698897884F}"/>
    <cellStyle name="Normal 3 2 2 2 2 2 2 2 2 2 55" xfId="27811" xr:uid="{536C1266-773A-4892-85D1-CDFC7750AB0A}"/>
    <cellStyle name="Normal 3 2 2 2 2 2 2 2 2 2 56" xfId="27812" xr:uid="{3665D1D0-9961-44FF-ACF9-175F24887977}"/>
    <cellStyle name="Normal 3 2 2 2 2 2 2 2 2 2 57" xfId="27813" xr:uid="{554242BB-2D81-4263-BC39-586900ECE125}"/>
    <cellStyle name="Normal 3 2 2 2 2 2 2 2 2 2 58" xfId="27814" xr:uid="{DD958959-6B81-4BC5-A14B-E90FA523F76D}"/>
    <cellStyle name="Normal 3 2 2 2 2 2 2 2 2 2 59" xfId="27815" xr:uid="{E6B71462-33DD-4118-A3F7-0B196C05FBB2}"/>
    <cellStyle name="Normal 3 2 2 2 2 2 2 2 2 2 6" xfId="27816" xr:uid="{E041104B-3B8C-4AB9-A0CB-F1C98C4EAF55}"/>
    <cellStyle name="Normal 3 2 2 2 2 2 2 2 2 2 60" xfId="27817" xr:uid="{CD7C9226-5513-4BA1-B8F1-66D3F0F201DC}"/>
    <cellStyle name="Normal 3 2 2 2 2 2 2 2 2 2 61" xfId="27818" xr:uid="{9986DA5C-ECB0-4DB9-BBC7-1DDE312B6147}"/>
    <cellStyle name="Normal 3 2 2 2 2 2 2 2 2 2 62" xfId="27819" xr:uid="{8399FF1A-EC45-40B8-816A-B3F307B43205}"/>
    <cellStyle name="Normal 3 2 2 2 2 2 2 2 2 2 63" xfId="27820" xr:uid="{A5641FF4-C5DF-4F8B-B548-A60D1578E4A3}"/>
    <cellStyle name="Normal 3 2 2 2 2 2 2 2 2 2 64" xfId="27821" xr:uid="{2CC5303B-A278-4D6B-8906-32B5AB56B46B}"/>
    <cellStyle name="Normal 3 2 2 2 2 2 2 2 2 2 65" xfId="27822" xr:uid="{282650EE-D4D8-4652-823F-4379D4EFACFD}"/>
    <cellStyle name="Normal 3 2 2 2 2 2 2 2 2 2 66" xfId="27823" xr:uid="{F3C1ED7C-28FD-42F7-8B7E-9BA3EB624039}"/>
    <cellStyle name="Normal 3 2 2 2 2 2 2 2 2 2 67" xfId="27824" xr:uid="{33306F59-85B1-4855-81D9-40DCD76155C5}"/>
    <cellStyle name="Normal 3 2 2 2 2 2 2 2 2 2 68" xfId="27825" xr:uid="{37FDD69C-3817-499C-B388-93475877734D}"/>
    <cellStyle name="Normal 3 2 2 2 2 2 2 2 2 2 69" xfId="27826" xr:uid="{31729FE4-BC80-4C25-9B95-64E00E7C9D8E}"/>
    <cellStyle name="Normal 3 2 2 2 2 2 2 2 2 2 7" xfId="27827" xr:uid="{07B10DC9-B20D-4406-9B2D-DD094EF680B6}"/>
    <cellStyle name="Normal 3 2 2 2 2 2 2 2 2 2 70" xfId="27828" xr:uid="{0E2EB227-21FB-4B95-94FC-2F4805D4F9E3}"/>
    <cellStyle name="Normal 3 2 2 2 2 2 2 2 2 2 71" xfId="27829" xr:uid="{417C20AE-A128-478D-B657-0C123F49C367}"/>
    <cellStyle name="Normal 3 2 2 2 2 2 2 2 2 2 72" xfId="27830" xr:uid="{6FFC9918-0B02-411B-A321-765540514E2F}"/>
    <cellStyle name="Normal 3 2 2 2 2 2 2 2 2 2 73" xfId="27831" xr:uid="{333FC3B4-E409-45BD-A873-CFF7EA7ABA54}"/>
    <cellStyle name="Normal 3 2 2 2 2 2 2 2 2 2 74" xfId="27832" xr:uid="{3D29BA81-22B4-4524-839B-967624E361E4}"/>
    <cellStyle name="Normal 3 2 2 2 2 2 2 2 2 2 74 2" xfId="27833" xr:uid="{4948A28D-0C39-4A9D-9688-996929AAA1C9}"/>
    <cellStyle name="Normal 3 2 2 2 2 2 2 2 2 2 74 3" xfId="27834" xr:uid="{8E188FB3-F2F4-4EF3-BE89-C0563A45A6A7}"/>
    <cellStyle name="Normal 3 2 2 2 2 2 2 2 2 2 74 4" xfId="27835" xr:uid="{98A996A4-3996-43BC-AF23-D73E2E1B3AD5}"/>
    <cellStyle name="Normal 3 2 2 2 2 2 2 2 2 2 75" xfId="27836" xr:uid="{6498B241-8BC1-4C0A-9BE1-4D07A2029523}"/>
    <cellStyle name="Normal 3 2 2 2 2 2 2 2 2 2 76" xfId="27837" xr:uid="{DA0D671F-E023-435F-9827-2B4B6EB148AB}"/>
    <cellStyle name="Normal 3 2 2 2 2 2 2 2 2 2 8" xfId="27838" xr:uid="{94ECF00A-67FA-4B39-A1CA-3D88F0BE9313}"/>
    <cellStyle name="Normal 3 2 2 2 2 2 2 2 2 2 8 10" xfId="27839" xr:uid="{A00562CE-FDB1-4E65-97F6-2CCEDE76EE65}"/>
    <cellStyle name="Normal 3 2 2 2 2 2 2 2 2 2 8 11" xfId="27840" xr:uid="{AC241DA8-6D5A-466D-BBDA-6B9394EC07D0}"/>
    <cellStyle name="Normal 3 2 2 2 2 2 2 2 2 2 8 11 10" xfId="27841" xr:uid="{27A9DF11-A204-4696-811C-78B1D5543F6F}"/>
    <cellStyle name="Normal 3 2 2 2 2 2 2 2 2 2 8 11 11" xfId="27842" xr:uid="{ADC55A66-34EB-47F4-86D1-3A9CE2F3BB30}"/>
    <cellStyle name="Normal 3 2 2 2 2 2 2 2 2 2 8 11 11 2" xfId="27843" xr:uid="{AE3EED94-5BCA-426C-B27D-5D79A44A4DFA}"/>
    <cellStyle name="Normal 3 2 2 2 2 2 2 2 2 2 8 11 11 3" xfId="27844" xr:uid="{38DEA189-A3DD-4D25-BB5C-C165C0596637}"/>
    <cellStyle name="Normal 3 2 2 2 2 2 2 2 2 2 8 11 11 4" xfId="27845" xr:uid="{BD950ED3-8655-44CB-B279-B8A13518C328}"/>
    <cellStyle name="Normal 3 2 2 2 2 2 2 2 2 2 8 11 12" xfId="27846" xr:uid="{38724C1A-400E-4EC3-9BA1-14495DBE107F}"/>
    <cellStyle name="Normal 3 2 2 2 2 2 2 2 2 2 8 11 13" xfId="27847" xr:uid="{A8EA0DBA-840B-4E30-B435-A8DD28A21E8F}"/>
    <cellStyle name="Normal 3 2 2 2 2 2 2 2 2 2 8 11 14" xfId="27848" xr:uid="{233D91F8-4F0D-4EDF-979D-7EED85C0401C}"/>
    <cellStyle name="Normal 3 2 2 2 2 2 2 2 2 2 8 11 2" xfId="27849" xr:uid="{C2FB23B9-3AA9-45B3-96B6-C43B43FB7970}"/>
    <cellStyle name="Normal 3 2 2 2 2 2 2 2 2 2 8 11 2 10" xfId="27850" xr:uid="{089348C2-9D8E-4F15-ACBA-0A538C778F9B}"/>
    <cellStyle name="Normal 3 2 2 2 2 2 2 2 2 2 8 11 2 11" xfId="27851" xr:uid="{0C59F4F5-23A6-4D51-9057-E1AFAF3E1A1E}"/>
    <cellStyle name="Normal 3 2 2 2 2 2 2 2 2 2 8 11 2 2" xfId="27852" xr:uid="{8A280401-0192-451D-B0B1-64E0C070FEDF}"/>
    <cellStyle name="Normal 3 2 2 2 2 2 2 2 2 2 8 11 2 2 10" xfId="27853" xr:uid="{9C0CE373-10DE-4408-BAA0-00263B1A1176}"/>
    <cellStyle name="Normal 3 2 2 2 2 2 2 2 2 2 8 11 2 2 11" xfId="27854" xr:uid="{7CA310A5-9F49-4F5F-B520-AF49DFCFF9E6}"/>
    <cellStyle name="Normal 3 2 2 2 2 2 2 2 2 2 8 11 2 2 2" xfId="27855" xr:uid="{7A1837A9-A44A-43EE-BC3B-5DC7600C1948}"/>
    <cellStyle name="Normal 3 2 2 2 2 2 2 2 2 2 8 11 2 2 2 2" xfId="27856" xr:uid="{C4BC73B6-63C2-468B-9B21-41A46CA153B2}"/>
    <cellStyle name="Normal 3 2 2 2 2 2 2 2 2 2 8 11 2 2 2 2 2" xfId="27857" xr:uid="{EBC4605D-BB96-4535-BF94-0F8EE9ADA3DF}"/>
    <cellStyle name="Normal 3 2 2 2 2 2 2 2 2 2 8 11 2 2 2 2 3" xfId="27858" xr:uid="{60265CC4-DE51-4E6D-A6A7-632BDD1A4D0D}"/>
    <cellStyle name="Normal 3 2 2 2 2 2 2 2 2 2 8 11 2 2 2 2 4" xfId="27859" xr:uid="{4955EE66-82B1-40F5-ACD8-DB7338F53035}"/>
    <cellStyle name="Normal 3 2 2 2 2 2 2 2 2 2 8 11 2 2 2 3" xfId="27860" xr:uid="{FEDDBD3D-3D34-4F01-B51D-937C1FC6038C}"/>
    <cellStyle name="Normal 3 2 2 2 2 2 2 2 2 2 8 11 2 2 2 4" xfId="27861" xr:uid="{E8110F8A-BBF8-46B2-B850-D7BA4BB054DD}"/>
    <cellStyle name="Normal 3 2 2 2 2 2 2 2 2 2 8 11 2 2 2 5" xfId="27862" xr:uid="{65245413-B468-44EC-8F42-74FF766E0970}"/>
    <cellStyle name="Normal 3 2 2 2 2 2 2 2 2 2 8 11 2 2 2 6" xfId="27863" xr:uid="{83A84C15-AD6F-45D9-B32C-802BE6689503}"/>
    <cellStyle name="Normal 3 2 2 2 2 2 2 2 2 2 8 11 2 2 3" xfId="27864" xr:uid="{528E835E-B6A2-4C95-B5C5-C4088AD70836}"/>
    <cellStyle name="Normal 3 2 2 2 2 2 2 2 2 2 8 11 2 2 4" xfId="27865" xr:uid="{447906A6-BE4C-4EA6-A1EB-4DA342314C12}"/>
    <cellStyle name="Normal 3 2 2 2 2 2 2 2 2 2 8 11 2 2 5" xfId="27866" xr:uid="{52DC0FE6-39D2-437E-839C-2222ACBBB94B}"/>
    <cellStyle name="Normal 3 2 2 2 2 2 2 2 2 2 8 11 2 2 6" xfId="27867" xr:uid="{5CD31386-C543-430D-8FF2-236191445A46}"/>
    <cellStyle name="Normal 3 2 2 2 2 2 2 2 2 2 8 11 2 2 7" xfId="27868" xr:uid="{937D23A4-F51C-4CC3-B50A-4016F4BBAA63}"/>
    <cellStyle name="Normal 3 2 2 2 2 2 2 2 2 2 8 11 2 2 8" xfId="27869" xr:uid="{131D7955-80B3-4D7B-B3F5-280673281AEB}"/>
    <cellStyle name="Normal 3 2 2 2 2 2 2 2 2 2 8 11 2 2 8 2" xfId="27870" xr:uid="{1051E5E5-3102-46E3-8083-3991027C8ECA}"/>
    <cellStyle name="Normal 3 2 2 2 2 2 2 2 2 2 8 11 2 2 8 3" xfId="27871" xr:uid="{83F8AAE2-271F-46B1-9151-19155B4363F0}"/>
    <cellStyle name="Normal 3 2 2 2 2 2 2 2 2 2 8 11 2 2 8 4" xfId="27872" xr:uid="{C5BFE0E1-BBB6-4449-99D5-FF66EA3A7245}"/>
    <cellStyle name="Normal 3 2 2 2 2 2 2 2 2 2 8 11 2 2 9" xfId="27873" xr:uid="{0939CEAE-AAAD-4865-B91C-5A0B9001E75B}"/>
    <cellStyle name="Normal 3 2 2 2 2 2 2 2 2 2 8 11 2 3" xfId="27874" xr:uid="{473B77A1-A938-4B19-A086-74BA0AFB1666}"/>
    <cellStyle name="Normal 3 2 2 2 2 2 2 2 2 2 8 11 2 3 2" xfId="27875" xr:uid="{15D4AB3E-39DB-494C-9C9F-E0D7D498E9A1}"/>
    <cellStyle name="Normal 3 2 2 2 2 2 2 2 2 2 8 11 2 3 2 2" xfId="27876" xr:uid="{281AC353-E05E-4E4E-9371-2F9DE79E30C8}"/>
    <cellStyle name="Normal 3 2 2 2 2 2 2 2 2 2 8 11 2 3 2 3" xfId="27877" xr:uid="{3460BCFC-A67C-46BE-9474-3ED77E707A2C}"/>
    <cellStyle name="Normal 3 2 2 2 2 2 2 2 2 2 8 11 2 3 2 4" xfId="27878" xr:uid="{259FAEB4-B53A-436B-BBA1-DF78B9109CAD}"/>
    <cellStyle name="Normal 3 2 2 2 2 2 2 2 2 2 8 11 2 3 3" xfId="27879" xr:uid="{DA2CBBAD-C890-4DBB-909A-87C2A1E057C5}"/>
    <cellStyle name="Normal 3 2 2 2 2 2 2 2 2 2 8 11 2 3 4" xfId="27880" xr:uid="{A5751E67-7257-457F-A775-16E9DE027824}"/>
    <cellStyle name="Normal 3 2 2 2 2 2 2 2 2 2 8 11 2 3 5" xfId="27881" xr:uid="{0CE88DF2-5C97-4458-84A4-BA22914E72E2}"/>
    <cellStyle name="Normal 3 2 2 2 2 2 2 2 2 2 8 11 2 3 6" xfId="27882" xr:uid="{584A5710-0F7E-4EBA-AA99-052EDD93C093}"/>
    <cellStyle name="Normal 3 2 2 2 2 2 2 2 2 2 8 11 2 4" xfId="27883" xr:uid="{C4C490C6-EBB2-4770-8DA9-E8D0984C434B}"/>
    <cellStyle name="Normal 3 2 2 2 2 2 2 2 2 2 8 11 2 5" xfId="27884" xr:uid="{2DE27067-39B9-4D86-A085-C684B054F910}"/>
    <cellStyle name="Normal 3 2 2 2 2 2 2 2 2 2 8 11 2 6" xfId="27885" xr:uid="{A66E2C5F-D1A5-4EDC-8CA0-0CA3E443B669}"/>
    <cellStyle name="Normal 3 2 2 2 2 2 2 2 2 2 8 11 2 7" xfId="27886" xr:uid="{793A2685-E34F-4F83-AA31-D5511130BE62}"/>
    <cellStyle name="Normal 3 2 2 2 2 2 2 2 2 2 8 11 2 8" xfId="27887" xr:uid="{E5A0BC09-5138-4214-87EC-DB4929568CF8}"/>
    <cellStyle name="Normal 3 2 2 2 2 2 2 2 2 2 8 11 2 8 2" xfId="27888" xr:uid="{7FAC4A89-6924-468B-B851-FE5BAB9AA6AE}"/>
    <cellStyle name="Normal 3 2 2 2 2 2 2 2 2 2 8 11 2 8 3" xfId="27889" xr:uid="{F0F290F3-0F5F-4A59-9E59-79F902B463BD}"/>
    <cellStyle name="Normal 3 2 2 2 2 2 2 2 2 2 8 11 2 8 4" xfId="27890" xr:uid="{187E4DE5-1742-405D-A0E0-EAD16B84695A}"/>
    <cellStyle name="Normal 3 2 2 2 2 2 2 2 2 2 8 11 2 9" xfId="27891" xr:uid="{51C19464-A83D-42FD-917E-DB9394AA9EA4}"/>
    <cellStyle name="Normal 3 2 2 2 2 2 2 2 2 2 8 11 3" xfId="27892" xr:uid="{4906FB46-C954-49AB-9F88-5FB6E2437DCB}"/>
    <cellStyle name="Normal 3 2 2 2 2 2 2 2 2 2 8 11 4" xfId="27893" xr:uid="{FAFD099A-5D37-45AF-8E00-D6B6764864AA}"/>
    <cellStyle name="Normal 3 2 2 2 2 2 2 2 2 2 8 11 5" xfId="27894" xr:uid="{7474A8D5-5596-4463-BA66-1E30123BB4C7}"/>
    <cellStyle name="Normal 3 2 2 2 2 2 2 2 2 2 8 11 5 2" xfId="27895" xr:uid="{664286CF-323F-4AC1-ACD1-FC85DB5B6AB1}"/>
    <cellStyle name="Normal 3 2 2 2 2 2 2 2 2 2 8 11 5 2 2" xfId="27896" xr:uid="{5178F083-31EB-4455-B797-2183823E3405}"/>
    <cellStyle name="Normal 3 2 2 2 2 2 2 2 2 2 8 11 5 2 3" xfId="27897" xr:uid="{19A8CCA6-A724-4A10-9CB8-A282D9DB1DC2}"/>
    <cellStyle name="Normal 3 2 2 2 2 2 2 2 2 2 8 11 5 2 4" xfId="27898" xr:uid="{D745B7A6-10BB-4277-AB1C-7F4EDEC13138}"/>
    <cellStyle name="Normal 3 2 2 2 2 2 2 2 2 2 8 11 5 3" xfId="27899" xr:uid="{ACCEEE29-D615-4B9D-A0CF-332603CEC267}"/>
    <cellStyle name="Normal 3 2 2 2 2 2 2 2 2 2 8 11 5 4" xfId="27900" xr:uid="{AC997964-5BA8-4899-BC38-2330A02C6571}"/>
    <cellStyle name="Normal 3 2 2 2 2 2 2 2 2 2 8 11 5 5" xfId="27901" xr:uid="{DDD03033-13DA-496F-830D-B91C9EF9284E}"/>
    <cellStyle name="Normal 3 2 2 2 2 2 2 2 2 2 8 11 5 6" xfId="27902" xr:uid="{826B9DB3-10E3-41AC-A207-EC1C32056817}"/>
    <cellStyle name="Normal 3 2 2 2 2 2 2 2 2 2 8 11 6" xfId="27903" xr:uid="{F310D81C-3A8D-4D09-9F3A-C2B6F617260E}"/>
    <cellStyle name="Normal 3 2 2 2 2 2 2 2 2 2 8 11 7" xfId="27904" xr:uid="{BFA3704E-01BE-4177-8175-5E64E0214ABF}"/>
    <cellStyle name="Normal 3 2 2 2 2 2 2 2 2 2 8 11 8" xfId="27905" xr:uid="{87E9C9F5-366D-4BE8-B1BF-CFB049CFDCCE}"/>
    <cellStyle name="Normal 3 2 2 2 2 2 2 2 2 2 8 11 9" xfId="27906" xr:uid="{3D1F62FE-AEDC-4051-9F4B-A9A7F9BD74AF}"/>
    <cellStyle name="Normal 3 2 2 2 2 2 2 2 2 2 8 12" xfId="27907" xr:uid="{A5BFF1F4-6039-4BDA-83BB-5C77F677CB35}"/>
    <cellStyle name="Normal 3 2 2 2 2 2 2 2 2 2 8 13" xfId="27908" xr:uid="{23BC78C5-5479-4460-9B7A-F99C2A699338}"/>
    <cellStyle name="Normal 3 2 2 2 2 2 2 2 2 2 8 13 10" xfId="27909" xr:uid="{9CB0BEF9-7590-46BF-A7B6-ABF0160AA742}"/>
    <cellStyle name="Normal 3 2 2 2 2 2 2 2 2 2 8 13 11" xfId="27910" xr:uid="{9332B797-26DC-454A-A612-5F52F6010839}"/>
    <cellStyle name="Normal 3 2 2 2 2 2 2 2 2 2 8 13 2" xfId="27911" xr:uid="{05B8B647-619B-41F3-A005-4D86A5532267}"/>
    <cellStyle name="Normal 3 2 2 2 2 2 2 2 2 2 8 13 2 10" xfId="27912" xr:uid="{920DA579-D502-4FAA-908F-327658256854}"/>
    <cellStyle name="Normal 3 2 2 2 2 2 2 2 2 2 8 13 2 11" xfId="27913" xr:uid="{2780D39B-7AC8-4269-A3DE-926BF24DA510}"/>
    <cellStyle name="Normal 3 2 2 2 2 2 2 2 2 2 8 13 2 2" xfId="27914" xr:uid="{FAA5A535-29F2-4F97-9382-C9ABC636E15F}"/>
    <cellStyle name="Normal 3 2 2 2 2 2 2 2 2 2 8 13 2 2 2" xfId="27915" xr:uid="{644F8A43-1B2B-4D1D-A1FF-2D59E0E6CA3F}"/>
    <cellStyle name="Normal 3 2 2 2 2 2 2 2 2 2 8 13 2 2 2 2" xfId="27916" xr:uid="{EF58001D-62EC-4CB1-BAB3-E426A208098F}"/>
    <cellStyle name="Normal 3 2 2 2 2 2 2 2 2 2 8 13 2 2 2 3" xfId="27917" xr:uid="{CC89999F-8C45-4C26-B010-2CB88A64979B}"/>
    <cellStyle name="Normal 3 2 2 2 2 2 2 2 2 2 8 13 2 2 2 4" xfId="27918" xr:uid="{400804E5-2A35-473E-8542-231EFC3A288E}"/>
    <cellStyle name="Normal 3 2 2 2 2 2 2 2 2 2 8 13 2 2 3" xfId="27919" xr:uid="{08CA2CE9-E119-452D-A770-AF823C2E2435}"/>
    <cellStyle name="Normal 3 2 2 2 2 2 2 2 2 2 8 13 2 2 4" xfId="27920" xr:uid="{97AC4841-A68A-4A75-8508-A0BC27233A8F}"/>
    <cellStyle name="Normal 3 2 2 2 2 2 2 2 2 2 8 13 2 2 5" xfId="27921" xr:uid="{2F8D32B2-CB0E-4FD2-8E99-B02BBA8D1F2B}"/>
    <cellStyle name="Normal 3 2 2 2 2 2 2 2 2 2 8 13 2 2 6" xfId="27922" xr:uid="{0176A61E-D2B6-4362-A915-D65238A671E4}"/>
    <cellStyle name="Normal 3 2 2 2 2 2 2 2 2 2 8 13 2 3" xfId="27923" xr:uid="{3E197A94-42A6-47BF-B6AB-DE68BD0A0AD2}"/>
    <cellStyle name="Normal 3 2 2 2 2 2 2 2 2 2 8 13 2 4" xfId="27924" xr:uid="{7FF9806F-7F8E-43BC-8FCD-B7F66DB49A18}"/>
    <cellStyle name="Normal 3 2 2 2 2 2 2 2 2 2 8 13 2 5" xfId="27925" xr:uid="{12985EFB-8FBD-420A-A9E6-97F793B7CDB8}"/>
    <cellStyle name="Normal 3 2 2 2 2 2 2 2 2 2 8 13 2 6" xfId="27926" xr:uid="{3618ED05-E7B0-477D-BF39-60895E2F8BFE}"/>
    <cellStyle name="Normal 3 2 2 2 2 2 2 2 2 2 8 13 2 7" xfId="27927" xr:uid="{D42A8A34-7393-4835-8A98-B7808A7C2C2B}"/>
    <cellStyle name="Normal 3 2 2 2 2 2 2 2 2 2 8 13 2 8" xfId="27928" xr:uid="{99474EF7-61BD-407B-972D-4A6F6C20C216}"/>
    <cellStyle name="Normal 3 2 2 2 2 2 2 2 2 2 8 13 2 8 2" xfId="27929" xr:uid="{2853CCF3-8434-460B-848F-F3AFFADD2C33}"/>
    <cellStyle name="Normal 3 2 2 2 2 2 2 2 2 2 8 13 2 8 3" xfId="27930" xr:uid="{38EFE696-9114-4101-B3DC-249CB2775997}"/>
    <cellStyle name="Normal 3 2 2 2 2 2 2 2 2 2 8 13 2 8 4" xfId="27931" xr:uid="{2D8EF605-EA10-48BD-AFD9-77528E5917B8}"/>
    <cellStyle name="Normal 3 2 2 2 2 2 2 2 2 2 8 13 2 9" xfId="27932" xr:uid="{8D0C673D-CEF9-4E48-B877-435629AFFAD9}"/>
    <cellStyle name="Normal 3 2 2 2 2 2 2 2 2 2 8 13 3" xfId="27933" xr:uid="{855AC69C-2F67-4E6B-B016-FD1BB29CFAFB}"/>
    <cellStyle name="Normal 3 2 2 2 2 2 2 2 2 2 8 13 3 2" xfId="27934" xr:uid="{CD7BA98D-2747-4BD2-961B-67A7F91F8591}"/>
    <cellStyle name="Normal 3 2 2 2 2 2 2 2 2 2 8 13 3 2 2" xfId="27935" xr:uid="{F5B1391F-8E50-4419-8FF5-03B8849AFAAA}"/>
    <cellStyle name="Normal 3 2 2 2 2 2 2 2 2 2 8 13 3 2 3" xfId="27936" xr:uid="{2448E350-C789-43D6-B49D-790A31BD10DD}"/>
    <cellStyle name="Normal 3 2 2 2 2 2 2 2 2 2 8 13 3 2 4" xfId="27937" xr:uid="{5C658822-F82B-4DA0-950B-CCBC6FC04A2C}"/>
    <cellStyle name="Normal 3 2 2 2 2 2 2 2 2 2 8 13 3 3" xfId="27938" xr:uid="{5A40CE8D-52CC-4E3C-8D96-0D823EDE2D3F}"/>
    <cellStyle name="Normal 3 2 2 2 2 2 2 2 2 2 8 13 3 4" xfId="27939" xr:uid="{C2B5F3F0-D91C-4CED-9FAF-AB3A98059BD5}"/>
    <cellStyle name="Normal 3 2 2 2 2 2 2 2 2 2 8 13 3 5" xfId="27940" xr:uid="{947A90BD-4FBC-4144-95EB-10DD38537677}"/>
    <cellStyle name="Normal 3 2 2 2 2 2 2 2 2 2 8 13 3 6" xfId="27941" xr:uid="{EEA430B0-6E31-400D-9B62-06B42D9BF9AD}"/>
    <cellStyle name="Normal 3 2 2 2 2 2 2 2 2 2 8 13 4" xfId="27942" xr:uid="{E943E977-B962-47CA-A2A7-6633BB017209}"/>
    <cellStyle name="Normal 3 2 2 2 2 2 2 2 2 2 8 13 5" xfId="27943" xr:uid="{4A7D54EF-B95B-474E-BB33-26BBD0DE47C4}"/>
    <cellStyle name="Normal 3 2 2 2 2 2 2 2 2 2 8 13 6" xfId="27944" xr:uid="{4840AC6E-ABF7-40D0-9B12-9A9CA7091D7E}"/>
    <cellStyle name="Normal 3 2 2 2 2 2 2 2 2 2 8 13 7" xfId="27945" xr:uid="{3074C17A-624D-4C11-820F-148A907633FA}"/>
    <cellStyle name="Normal 3 2 2 2 2 2 2 2 2 2 8 13 8" xfId="27946" xr:uid="{92BEEC26-832B-422E-9D07-72697A6717D1}"/>
    <cellStyle name="Normal 3 2 2 2 2 2 2 2 2 2 8 13 8 2" xfId="27947" xr:uid="{46AEC243-D04B-4AEF-9E86-B51BBDD609F5}"/>
    <cellStyle name="Normal 3 2 2 2 2 2 2 2 2 2 8 13 8 3" xfId="27948" xr:uid="{60BFE7C0-DC20-41EF-8E45-0A9B73A68BC3}"/>
    <cellStyle name="Normal 3 2 2 2 2 2 2 2 2 2 8 13 8 4" xfId="27949" xr:uid="{E43F30D2-EAAF-4048-A17F-F80A96558A4D}"/>
    <cellStyle name="Normal 3 2 2 2 2 2 2 2 2 2 8 13 9" xfId="27950" xr:uid="{E90BA00B-B8E0-4A9E-9F06-A497A8DE878C}"/>
    <cellStyle name="Normal 3 2 2 2 2 2 2 2 2 2 8 14" xfId="27951" xr:uid="{D7EB86C2-6BC7-4CC4-B60F-B4BE27165D06}"/>
    <cellStyle name="Normal 3 2 2 2 2 2 2 2 2 2 8 15" xfId="27952" xr:uid="{770956C1-B77E-4D8E-BEFA-E87804577048}"/>
    <cellStyle name="Normal 3 2 2 2 2 2 2 2 2 2 8 15 2" xfId="27953" xr:uid="{1AC004C9-5F22-41EA-8D2F-AD46B7E3BDF9}"/>
    <cellStyle name="Normal 3 2 2 2 2 2 2 2 2 2 8 15 2 2" xfId="27954" xr:uid="{A7B887E6-67D9-41C2-BCC7-9A05258075D9}"/>
    <cellStyle name="Normal 3 2 2 2 2 2 2 2 2 2 8 15 2 3" xfId="27955" xr:uid="{3CCB0C2A-DE71-47AA-8000-CA091ACF8762}"/>
    <cellStyle name="Normal 3 2 2 2 2 2 2 2 2 2 8 15 2 4" xfId="27956" xr:uid="{0CE24B04-1C80-4692-9890-619C695CA9A2}"/>
    <cellStyle name="Normal 3 2 2 2 2 2 2 2 2 2 8 15 3" xfId="27957" xr:uid="{CEE90EAD-06D1-4AEC-8B78-5FEF87BA3623}"/>
    <cellStyle name="Normal 3 2 2 2 2 2 2 2 2 2 8 15 4" xfId="27958" xr:uid="{5250C54B-8BE4-4F68-8B0B-4C256D02664E}"/>
    <cellStyle name="Normal 3 2 2 2 2 2 2 2 2 2 8 15 5" xfId="27959" xr:uid="{F6253C57-190D-49E8-89E2-8194BC9DEE29}"/>
    <cellStyle name="Normal 3 2 2 2 2 2 2 2 2 2 8 15 6" xfId="27960" xr:uid="{41A13EF9-F6B3-4411-AB82-4698368C48CF}"/>
    <cellStyle name="Normal 3 2 2 2 2 2 2 2 2 2 8 16" xfId="27961" xr:uid="{89A22FF7-653E-4216-8AD4-00E3D8D73E69}"/>
    <cellStyle name="Normal 3 2 2 2 2 2 2 2 2 2 8 17" xfId="27962" xr:uid="{89C1540E-552C-42EF-B819-256B2A05D731}"/>
    <cellStyle name="Normal 3 2 2 2 2 2 2 2 2 2 8 18" xfId="27963" xr:uid="{B7C42265-F312-4485-9AB9-0A851A21BFFE}"/>
    <cellStyle name="Normal 3 2 2 2 2 2 2 2 2 2 8 19" xfId="27964" xr:uid="{63D73497-9291-4E01-B316-55193C00CFCA}"/>
    <cellStyle name="Normal 3 2 2 2 2 2 2 2 2 2 8 2" xfId="27965" xr:uid="{C8308AF4-D6A8-458C-BE95-1F260676FC66}"/>
    <cellStyle name="Normal 3 2 2 2 2 2 2 2 2 2 8 2 10" xfId="27966" xr:uid="{592F2009-C1F8-4750-9B84-CBAD640B271B}"/>
    <cellStyle name="Normal 3 2 2 2 2 2 2 2 2 2 8 2 11" xfId="27967" xr:uid="{BC5802F3-12E5-40D5-85FA-DD0E26570D95}"/>
    <cellStyle name="Normal 3 2 2 2 2 2 2 2 2 2 8 2 12" xfId="27968" xr:uid="{1F1DD0CD-24F4-44CE-96CB-B3C2169F489D}"/>
    <cellStyle name="Normal 3 2 2 2 2 2 2 2 2 2 8 2 13" xfId="27969" xr:uid="{3E9277CF-7459-4CB5-9CCC-7C913681A3FA}"/>
    <cellStyle name="Normal 3 2 2 2 2 2 2 2 2 2 8 2 13 2" xfId="27970" xr:uid="{3B4BD9B0-A8A7-48EA-88A2-F7FA45A1AB75}"/>
    <cellStyle name="Normal 3 2 2 2 2 2 2 2 2 2 8 2 13 3" xfId="27971" xr:uid="{073C7A75-A9FC-4945-AA84-18B87BAB4A6C}"/>
    <cellStyle name="Normal 3 2 2 2 2 2 2 2 2 2 8 2 13 4" xfId="27972" xr:uid="{204DBB44-F55C-433A-8FF5-35B163DA31CC}"/>
    <cellStyle name="Normal 3 2 2 2 2 2 2 2 2 2 8 2 14" xfId="27973" xr:uid="{7F25A33B-A336-43F4-ABB1-EF8355B6D9EC}"/>
    <cellStyle name="Normal 3 2 2 2 2 2 2 2 2 2 8 2 15" xfId="27974" xr:uid="{B750F7FA-ADE7-4B19-ACE4-51864EC3A03A}"/>
    <cellStyle name="Normal 3 2 2 2 2 2 2 2 2 2 8 2 16" xfId="27975" xr:uid="{74212612-0287-4478-B1A9-283648E32609}"/>
    <cellStyle name="Normal 3 2 2 2 2 2 2 2 2 2 8 2 2" xfId="27976" xr:uid="{621B3E70-15C7-4C35-99A0-B12762ECC7A8}"/>
    <cellStyle name="Normal 3 2 2 2 2 2 2 2 2 2 8 2 2 10" xfId="27977" xr:uid="{85ED3A85-C2BE-4E50-BA15-1184744CF791}"/>
    <cellStyle name="Normal 3 2 2 2 2 2 2 2 2 2 8 2 2 11" xfId="27978" xr:uid="{7A623774-348F-4472-AEB4-B1689AC9C05E}"/>
    <cellStyle name="Normal 3 2 2 2 2 2 2 2 2 2 8 2 2 11 2" xfId="27979" xr:uid="{92FCBDCD-76DB-4CEE-95D9-9406DE2ACC9F}"/>
    <cellStyle name="Normal 3 2 2 2 2 2 2 2 2 2 8 2 2 11 3" xfId="27980" xr:uid="{28EF8C2E-39BC-48BA-8CD3-2695332D22F1}"/>
    <cellStyle name="Normal 3 2 2 2 2 2 2 2 2 2 8 2 2 11 4" xfId="27981" xr:uid="{B7908816-4EE7-4138-804F-AB61C29E42CC}"/>
    <cellStyle name="Normal 3 2 2 2 2 2 2 2 2 2 8 2 2 12" xfId="27982" xr:uid="{6AB4A54C-0151-4F5C-80B4-EB6090C72DCB}"/>
    <cellStyle name="Normal 3 2 2 2 2 2 2 2 2 2 8 2 2 13" xfId="27983" xr:uid="{AEBD36C4-834B-4B99-A549-26A3BB274EB6}"/>
    <cellStyle name="Normal 3 2 2 2 2 2 2 2 2 2 8 2 2 14" xfId="27984" xr:uid="{BAE6AD7B-054C-4FFB-B9D1-CC9F3C54801F}"/>
    <cellStyle name="Normal 3 2 2 2 2 2 2 2 2 2 8 2 2 2" xfId="27985" xr:uid="{D377BF31-A574-48BF-B4D5-66C633EB42A8}"/>
    <cellStyle name="Normal 3 2 2 2 2 2 2 2 2 2 8 2 2 2 10" xfId="27986" xr:uid="{28271E0A-B055-44B2-9056-AEF01D05E4C4}"/>
    <cellStyle name="Normal 3 2 2 2 2 2 2 2 2 2 8 2 2 2 11" xfId="27987" xr:uid="{800B24D7-698F-4298-9250-CEB489E80330}"/>
    <cellStyle name="Normal 3 2 2 2 2 2 2 2 2 2 8 2 2 2 2" xfId="27988" xr:uid="{BC877104-6968-4A80-AA24-BCB566B7B921}"/>
    <cellStyle name="Normal 3 2 2 2 2 2 2 2 2 2 8 2 2 2 2 10" xfId="27989" xr:uid="{EC362A02-E7C3-4ECB-A35E-CE6D184025F0}"/>
    <cellStyle name="Normal 3 2 2 2 2 2 2 2 2 2 8 2 2 2 2 11" xfId="27990" xr:uid="{55049D0B-D7EC-49AB-BDD8-9905275FC713}"/>
    <cellStyle name="Normal 3 2 2 2 2 2 2 2 2 2 8 2 2 2 2 2" xfId="27991" xr:uid="{8E795850-47A7-49D5-8208-68219ED880A2}"/>
    <cellStyle name="Normal 3 2 2 2 2 2 2 2 2 2 8 2 2 2 2 2 2" xfId="27992" xr:uid="{780FF487-8DA0-4DF5-80A4-519200FA9FB6}"/>
    <cellStyle name="Normal 3 2 2 2 2 2 2 2 2 2 8 2 2 2 2 2 2 2" xfId="27993" xr:uid="{0D0BC602-FBA7-4595-B229-F897F2C548BF}"/>
    <cellStyle name="Normal 3 2 2 2 2 2 2 2 2 2 8 2 2 2 2 2 2 3" xfId="27994" xr:uid="{AEAAC3B0-0D1F-433F-83FA-2EFA332E90CA}"/>
    <cellStyle name="Normal 3 2 2 2 2 2 2 2 2 2 8 2 2 2 2 2 2 4" xfId="27995" xr:uid="{AD133B57-9912-48BB-8E5A-6E703DB477D7}"/>
    <cellStyle name="Normal 3 2 2 2 2 2 2 2 2 2 8 2 2 2 2 2 3" xfId="27996" xr:uid="{E8F25F78-5D68-4F2D-A5FD-4FB36ECDCCD7}"/>
    <cellStyle name="Normal 3 2 2 2 2 2 2 2 2 2 8 2 2 2 2 2 4" xfId="27997" xr:uid="{932EFA35-61F4-411E-8AF8-C231FE19C7C4}"/>
    <cellStyle name="Normal 3 2 2 2 2 2 2 2 2 2 8 2 2 2 2 2 5" xfId="27998" xr:uid="{38C7A964-109B-491D-83A8-59FC1FF1A0B7}"/>
    <cellStyle name="Normal 3 2 2 2 2 2 2 2 2 2 8 2 2 2 2 2 6" xfId="27999" xr:uid="{71E4A1CE-2014-444E-A9AA-E6FCCA337C49}"/>
    <cellStyle name="Normal 3 2 2 2 2 2 2 2 2 2 8 2 2 2 2 3" xfId="28000" xr:uid="{C807F76E-4378-4269-9552-5FCE14632C6A}"/>
    <cellStyle name="Normal 3 2 2 2 2 2 2 2 2 2 8 2 2 2 2 4" xfId="28001" xr:uid="{C4FDBDDB-67B6-402D-8C0D-4C7C6611ADAC}"/>
    <cellStyle name="Normal 3 2 2 2 2 2 2 2 2 2 8 2 2 2 2 5" xfId="28002" xr:uid="{140A8A7F-EF43-45D1-9AE7-DD555D70DF31}"/>
    <cellStyle name="Normal 3 2 2 2 2 2 2 2 2 2 8 2 2 2 2 6" xfId="28003" xr:uid="{95095013-08DB-4B5D-BA2E-F6632B42DAE4}"/>
    <cellStyle name="Normal 3 2 2 2 2 2 2 2 2 2 8 2 2 2 2 7" xfId="28004" xr:uid="{75B54CAC-99FA-47F7-8257-5042B22A85AD}"/>
    <cellStyle name="Normal 3 2 2 2 2 2 2 2 2 2 8 2 2 2 2 8" xfId="28005" xr:uid="{CC22B398-787F-4E67-8917-74090AA1D09F}"/>
    <cellStyle name="Normal 3 2 2 2 2 2 2 2 2 2 8 2 2 2 2 8 2" xfId="28006" xr:uid="{38DACF28-C63A-474F-99EE-BCDA3C93FFF9}"/>
    <cellStyle name="Normal 3 2 2 2 2 2 2 2 2 2 8 2 2 2 2 8 3" xfId="28007" xr:uid="{D1C5CFCD-9B9F-4EBE-80FC-E79D1AEA70F2}"/>
    <cellStyle name="Normal 3 2 2 2 2 2 2 2 2 2 8 2 2 2 2 8 4" xfId="28008" xr:uid="{EA78186E-089E-45D5-87ED-534E2F008C76}"/>
    <cellStyle name="Normal 3 2 2 2 2 2 2 2 2 2 8 2 2 2 2 9" xfId="28009" xr:uid="{8ACF3945-F7E3-43E0-B269-A4A980315CBA}"/>
    <cellStyle name="Normal 3 2 2 2 2 2 2 2 2 2 8 2 2 2 3" xfId="28010" xr:uid="{86EFD4D6-B322-4A79-9DE5-3D2195B40DA2}"/>
    <cellStyle name="Normal 3 2 2 2 2 2 2 2 2 2 8 2 2 2 3 2" xfId="28011" xr:uid="{789D3B97-ED73-40C7-93E1-64ED519F3E98}"/>
    <cellStyle name="Normal 3 2 2 2 2 2 2 2 2 2 8 2 2 2 3 2 2" xfId="28012" xr:uid="{5CD0DBC8-CE43-4384-9918-1ABBD82FFAD8}"/>
    <cellStyle name="Normal 3 2 2 2 2 2 2 2 2 2 8 2 2 2 3 2 3" xfId="28013" xr:uid="{E3842CB1-8C79-482C-B540-2EA2C358DE65}"/>
    <cellStyle name="Normal 3 2 2 2 2 2 2 2 2 2 8 2 2 2 3 2 4" xfId="28014" xr:uid="{089E5E4C-913B-4022-8784-1327DDAF4407}"/>
    <cellStyle name="Normal 3 2 2 2 2 2 2 2 2 2 8 2 2 2 3 3" xfId="28015" xr:uid="{9085F7A5-C270-456F-AC6C-337BAFCEA604}"/>
    <cellStyle name="Normal 3 2 2 2 2 2 2 2 2 2 8 2 2 2 3 4" xfId="28016" xr:uid="{E214CB2E-686A-4C94-BB07-49600F1CF020}"/>
    <cellStyle name="Normal 3 2 2 2 2 2 2 2 2 2 8 2 2 2 3 5" xfId="28017" xr:uid="{83EF77E5-292A-4FE4-96C5-CF243B01363F}"/>
    <cellStyle name="Normal 3 2 2 2 2 2 2 2 2 2 8 2 2 2 3 6" xfId="28018" xr:uid="{8C911961-0531-4A45-BF82-71802E12F1E6}"/>
    <cellStyle name="Normal 3 2 2 2 2 2 2 2 2 2 8 2 2 2 4" xfId="28019" xr:uid="{EE359733-80DF-4653-B143-BF219E70F4AB}"/>
    <cellStyle name="Normal 3 2 2 2 2 2 2 2 2 2 8 2 2 2 5" xfId="28020" xr:uid="{902BCC5E-21A8-47D7-89D1-B393420B9982}"/>
    <cellStyle name="Normal 3 2 2 2 2 2 2 2 2 2 8 2 2 2 6" xfId="28021" xr:uid="{FEEA7303-051B-4CB8-A6F0-F5766F88FED5}"/>
    <cellStyle name="Normal 3 2 2 2 2 2 2 2 2 2 8 2 2 2 7" xfId="28022" xr:uid="{A6FE84E5-CC36-4603-812D-CB86B6805702}"/>
    <cellStyle name="Normal 3 2 2 2 2 2 2 2 2 2 8 2 2 2 8" xfId="28023" xr:uid="{17CFC35D-639E-49A5-A1F3-C75C25C75081}"/>
    <cellStyle name="Normal 3 2 2 2 2 2 2 2 2 2 8 2 2 2 8 2" xfId="28024" xr:uid="{7ADA1518-E95A-4D0B-A9B4-CF36E0B13EE2}"/>
    <cellStyle name="Normal 3 2 2 2 2 2 2 2 2 2 8 2 2 2 8 3" xfId="28025" xr:uid="{00633D32-9B9B-49C1-A180-5C6849E676F5}"/>
    <cellStyle name="Normal 3 2 2 2 2 2 2 2 2 2 8 2 2 2 8 4" xfId="28026" xr:uid="{B2EAC38D-8988-44B1-AB51-4D3E07DA7858}"/>
    <cellStyle name="Normal 3 2 2 2 2 2 2 2 2 2 8 2 2 2 9" xfId="28027" xr:uid="{D4462160-C0D4-485B-9046-26BA09D0D419}"/>
    <cellStyle name="Normal 3 2 2 2 2 2 2 2 2 2 8 2 2 3" xfId="28028" xr:uid="{C68BE7BB-AB77-4543-AF83-84389CD912CD}"/>
    <cellStyle name="Normal 3 2 2 2 2 2 2 2 2 2 8 2 2 4" xfId="28029" xr:uid="{C12D13C8-2643-45CF-A34A-1EA6A40EC064}"/>
    <cellStyle name="Normal 3 2 2 2 2 2 2 2 2 2 8 2 2 5" xfId="28030" xr:uid="{9C92184F-AEBA-4090-8B6A-B0CD9E3ED373}"/>
    <cellStyle name="Normal 3 2 2 2 2 2 2 2 2 2 8 2 2 5 2" xfId="28031" xr:uid="{52EB7087-2561-41EE-97A2-7683C7CFA3AB}"/>
    <cellStyle name="Normal 3 2 2 2 2 2 2 2 2 2 8 2 2 5 2 2" xfId="28032" xr:uid="{12CD23DD-85D4-4534-8406-1FDA5E371E9C}"/>
    <cellStyle name="Normal 3 2 2 2 2 2 2 2 2 2 8 2 2 5 2 3" xfId="28033" xr:uid="{658A729A-D5B8-4B53-A03F-4CC7DF2D100C}"/>
    <cellStyle name="Normal 3 2 2 2 2 2 2 2 2 2 8 2 2 5 2 4" xfId="28034" xr:uid="{59DD52B9-E6FF-46F4-9655-5A9B023B460C}"/>
    <cellStyle name="Normal 3 2 2 2 2 2 2 2 2 2 8 2 2 5 3" xfId="28035" xr:uid="{2221E026-782E-46BB-BE68-E6F740E25BA2}"/>
    <cellStyle name="Normal 3 2 2 2 2 2 2 2 2 2 8 2 2 5 4" xfId="28036" xr:uid="{EB0E08E6-DA20-4CBB-BF5F-AF86DFFFEE7B}"/>
    <cellStyle name="Normal 3 2 2 2 2 2 2 2 2 2 8 2 2 5 5" xfId="28037" xr:uid="{6B9F8613-A25C-42FF-8907-E425DCF343DF}"/>
    <cellStyle name="Normal 3 2 2 2 2 2 2 2 2 2 8 2 2 5 6" xfId="28038" xr:uid="{EF6B1B66-5829-46AD-8145-6C3BF8745EC1}"/>
    <cellStyle name="Normal 3 2 2 2 2 2 2 2 2 2 8 2 2 6" xfId="28039" xr:uid="{6A19DC6E-F081-40F9-9040-21277876DF90}"/>
    <cellStyle name="Normal 3 2 2 2 2 2 2 2 2 2 8 2 2 7" xfId="28040" xr:uid="{9C12811A-1965-44EB-987D-11981B398356}"/>
    <cellStyle name="Normal 3 2 2 2 2 2 2 2 2 2 8 2 2 8" xfId="28041" xr:uid="{85C869A1-3915-4D6D-8C7F-175D467349DD}"/>
    <cellStyle name="Normal 3 2 2 2 2 2 2 2 2 2 8 2 2 9" xfId="28042" xr:uid="{6E869737-0714-4A9B-9EA2-8EE03B75BAE3}"/>
    <cellStyle name="Normal 3 2 2 2 2 2 2 2 2 2 8 2 3" xfId="28043" xr:uid="{59C90CB6-B517-41B7-A37E-0B82907EF5CC}"/>
    <cellStyle name="Normal 3 2 2 2 2 2 2 2 2 2 8 2 4" xfId="28044" xr:uid="{E8F50493-1913-44B0-ABCE-03EC798EF514}"/>
    <cellStyle name="Normal 3 2 2 2 2 2 2 2 2 2 8 2 5" xfId="28045" xr:uid="{6E07FD28-5AEE-4CD0-9068-3179A2BA76D0}"/>
    <cellStyle name="Normal 3 2 2 2 2 2 2 2 2 2 8 2 5 10" xfId="28046" xr:uid="{BA023D1B-D295-4B47-AB7F-9A11BBA4C314}"/>
    <cellStyle name="Normal 3 2 2 2 2 2 2 2 2 2 8 2 5 11" xfId="28047" xr:uid="{1E84C821-5BE3-49A0-959D-9D81403D3160}"/>
    <cellStyle name="Normal 3 2 2 2 2 2 2 2 2 2 8 2 5 2" xfId="28048" xr:uid="{9957B51D-8431-40C7-9773-43D9BE16E12E}"/>
    <cellStyle name="Normal 3 2 2 2 2 2 2 2 2 2 8 2 5 2 10" xfId="28049" xr:uid="{210CCD45-0A7C-4434-96B6-76F8D7B9E898}"/>
    <cellStyle name="Normal 3 2 2 2 2 2 2 2 2 2 8 2 5 2 11" xfId="28050" xr:uid="{2E0EC56D-E5CB-4E77-9ECC-F02FAB47A5AF}"/>
    <cellStyle name="Normal 3 2 2 2 2 2 2 2 2 2 8 2 5 2 2" xfId="28051" xr:uid="{8C303E25-D835-435A-A80D-A443005F71A8}"/>
    <cellStyle name="Normal 3 2 2 2 2 2 2 2 2 2 8 2 5 2 2 2" xfId="28052" xr:uid="{A6EA580D-0DA5-4DAE-8A18-D8D2B734153B}"/>
    <cellStyle name="Normal 3 2 2 2 2 2 2 2 2 2 8 2 5 2 2 2 2" xfId="28053" xr:uid="{E0F9E053-3F93-43AB-8B83-2EAC426D8110}"/>
    <cellStyle name="Normal 3 2 2 2 2 2 2 2 2 2 8 2 5 2 2 2 3" xfId="28054" xr:uid="{42349B29-E35A-433A-B719-131686B1F659}"/>
    <cellStyle name="Normal 3 2 2 2 2 2 2 2 2 2 8 2 5 2 2 2 4" xfId="28055" xr:uid="{D3FA39E0-4C76-47C5-89CB-F23F111162A9}"/>
    <cellStyle name="Normal 3 2 2 2 2 2 2 2 2 2 8 2 5 2 2 3" xfId="28056" xr:uid="{0B6BFB80-30E3-43E9-99BA-17AEE50485F0}"/>
    <cellStyle name="Normal 3 2 2 2 2 2 2 2 2 2 8 2 5 2 2 4" xfId="28057" xr:uid="{1FEF5868-5CAB-4087-9771-53DEE0E4DBEB}"/>
    <cellStyle name="Normal 3 2 2 2 2 2 2 2 2 2 8 2 5 2 2 5" xfId="28058" xr:uid="{038D3F99-035A-4A6F-903C-57541D17802C}"/>
    <cellStyle name="Normal 3 2 2 2 2 2 2 2 2 2 8 2 5 2 2 6" xfId="28059" xr:uid="{4053139D-CA47-48EA-A51C-730B945B2750}"/>
    <cellStyle name="Normal 3 2 2 2 2 2 2 2 2 2 8 2 5 2 3" xfId="28060" xr:uid="{F631028F-D35C-4A0C-BD5E-9C5B4E0DB1E6}"/>
    <cellStyle name="Normal 3 2 2 2 2 2 2 2 2 2 8 2 5 2 4" xfId="28061" xr:uid="{CC551F43-19A0-46B2-A813-C71837942582}"/>
    <cellStyle name="Normal 3 2 2 2 2 2 2 2 2 2 8 2 5 2 5" xfId="28062" xr:uid="{158F3C30-714D-42A3-8C64-69FD5FE05890}"/>
    <cellStyle name="Normal 3 2 2 2 2 2 2 2 2 2 8 2 5 2 6" xfId="28063" xr:uid="{AC092125-9608-4D02-8C4D-5B81CFCF358C}"/>
    <cellStyle name="Normal 3 2 2 2 2 2 2 2 2 2 8 2 5 2 7" xfId="28064" xr:uid="{CB9A3D44-2C3C-45E0-BCA0-E8710A1EBF06}"/>
    <cellStyle name="Normal 3 2 2 2 2 2 2 2 2 2 8 2 5 2 8" xfId="28065" xr:uid="{AAA1D341-00D4-4841-A430-563BC6D81D4A}"/>
    <cellStyle name="Normal 3 2 2 2 2 2 2 2 2 2 8 2 5 2 8 2" xfId="28066" xr:uid="{9578A0E4-F2C6-4F38-8A5B-823FFCE0F9EB}"/>
    <cellStyle name="Normal 3 2 2 2 2 2 2 2 2 2 8 2 5 2 8 3" xfId="28067" xr:uid="{CB2A572A-8C45-4C65-A602-F810870715D5}"/>
    <cellStyle name="Normal 3 2 2 2 2 2 2 2 2 2 8 2 5 2 8 4" xfId="28068" xr:uid="{2CBD18A9-30AA-408F-8162-6C8F7B303C17}"/>
    <cellStyle name="Normal 3 2 2 2 2 2 2 2 2 2 8 2 5 2 9" xfId="28069" xr:uid="{DF3C5021-C8B6-49DA-B1CE-18F58D47A564}"/>
    <cellStyle name="Normal 3 2 2 2 2 2 2 2 2 2 8 2 5 3" xfId="28070" xr:uid="{E8786011-5396-49B3-B60A-552865931FA6}"/>
    <cellStyle name="Normal 3 2 2 2 2 2 2 2 2 2 8 2 5 3 2" xfId="28071" xr:uid="{3FE59334-5067-47B5-8F56-97F767B48BA7}"/>
    <cellStyle name="Normal 3 2 2 2 2 2 2 2 2 2 8 2 5 3 2 2" xfId="28072" xr:uid="{67A289B8-4BF6-4B6B-B536-B3ED3F9DEA41}"/>
    <cellStyle name="Normal 3 2 2 2 2 2 2 2 2 2 8 2 5 3 2 3" xfId="28073" xr:uid="{C2FFE651-16E8-4658-AAAB-513F3538142D}"/>
    <cellStyle name="Normal 3 2 2 2 2 2 2 2 2 2 8 2 5 3 2 4" xfId="28074" xr:uid="{E9A2BF00-E503-41B3-A84E-081192F3A85C}"/>
    <cellStyle name="Normal 3 2 2 2 2 2 2 2 2 2 8 2 5 3 3" xfId="28075" xr:uid="{56049331-F145-48EF-A580-280EC56F6AC1}"/>
    <cellStyle name="Normal 3 2 2 2 2 2 2 2 2 2 8 2 5 3 4" xfId="28076" xr:uid="{ABB112F5-F4F7-44A7-A3B2-5849F682B2B0}"/>
    <cellStyle name="Normal 3 2 2 2 2 2 2 2 2 2 8 2 5 3 5" xfId="28077" xr:uid="{EAA534B9-AEFC-4742-9D89-E3D07A2D4850}"/>
    <cellStyle name="Normal 3 2 2 2 2 2 2 2 2 2 8 2 5 3 6" xfId="28078" xr:uid="{358BEB76-8970-4FFC-8710-DB5D59BC9C99}"/>
    <cellStyle name="Normal 3 2 2 2 2 2 2 2 2 2 8 2 5 4" xfId="28079" xr:uid="{8A5F024C-752F-498C-8C0F-966C87C1864A}"/>
    <cellStyle name="Normal 3 2 2 2 2 2 2 2 2 2 8 2 5 5" xfId="28080" xr:uid="{F739BE01-BC05-4022-BE7C-8404ECEC2A56}"/>
    <cellStyle name="Normal 3 2 2 2 2 2 2 2 2 2 8 2 5 6" xfId="28081" xr:uid="{76084876-B7C6-4AAE-B457-87DB82F6760E}"/>
    <cellStyle name="Normal 3 2 2 2 2 2 2 2 2 2 8 2 5 7" xfId="28082" xr:uid="{5EA0D3D4-8B4F-42D8-AF42-92E3A6614459}"/>
    <cellStyle name="Normal 3 2 2 2 2 2 2 2 2 2 8 2 5 8" xfId="28083" xr:uid="{3DA7C6F9-CA2C-49F6-A506-931A19E9DCA8}"/>
    <cellStyle name="Normal 3 2 2 2 2 2 2 2 2 2 8 2 5 8 2" xfId="28084" xr:uid="{30563425-C778-421E-8047-97855FB49F20}"/>
    <cellStyle name="Normal 3 2 2 2 2 2 2 2 2 2 8 2 5 8 3" xfId="28085" xr:uid="{761AD5EE-8A23-418A-827B-4F214663B03F}"/>
    <cellStyle name="Normal 3 2 2 2 2 2 2 2 2 2 8 2 5 8 4" xfId="28086" xr:uid="{5EA8A87E-303F-45B7-9A20-28ED5D3D8DDE}"/>
    <cellStyle name="Normal 3 2 2 2 2 2 2 2 2 2 8 2 5 9" xfId="28087" xr:uid="{3A94704E-A045-477F-AF34-7CDE5C55C5A3}"/>
    <cellStyle name="Normal 3 2 2 2 2 2 2 2 2 2 8 2 6" xfId="28088" xr:uid="{4680282A-FA3E-4BFD-A460-FE2C1A3357F1}"/>
    <cellStyle name="Normal 3 2 2 2 2 2 2 2 2 2 8 2 7" xfId="28089" xr:uid="{D8592380-F5E6-4496-8EA7-5F48804F2385}"/>
    <cellStyle name="Normal 3 2 2 2 2 2 2 2 2 2 8 2 7 2" xfId="28090" xr:uid="{2C955A21-EABA-4D23-841D-77840D53AF19}"/>
    <cellStyle name="Normal 3 2 2 2 2 2 2 2 2 2 8 2 7 2 2" xfId="28091" xr:uid="{C3489DD8-5516-49AA-A735-F0E86DE5290E}"/>
    <cellStyle name="Normal 3 2 2 2 2 2 2 2 2 2 8 2 7 2 3" xfId="28092" xr:uid="{70DA3601-52E4-4AA8-8908-9E4D591D3CF4}"/>
    <cellStyle name="Normal 3 2 2 2 2 2 2 2 2 2 8 2 7 2 4" xfId="28093" xr:uid="{29640FC8-409B-48B7-B339-5DABAB83431B}"/>
    <cellStyle name="Normal 3 2 2 2 2 2 2 2 2 2 8 2 7 3" xfId="28094" xr:uid="{C60C5BE4-5546-4F14-B594-3C9AE36DB245}"/>
    <cellStyle name="Normal 3 2 2 2 2 2 2 2 2 2 8 2 7 4" xfId="28095" xr:uid="{3F83AB2D-D0A4-447A-AA0B-B461EE872B91}"/>
    <cellStyle name="Normal 3 2 2 2 2 2 2 2 2 2 8 2 7 5" xfId="28096" xr:uid="{02E24761-5D37-488E-A265-05EB90A6417C}"/>
    <cellStyle name="Normal 3 2 2 2 2 2 2 2 2 2 8 2 7 6" xfId="28097" xr:uid="{D748C7E5-FC7E-45CF-9DEE-DBA99746267E}"/>
    <cellStyle name="Normal 3 2 2 2 2 2 2 2 2 2 8 2 8" xfId="28098" xr:uid="{B66E5BBB-1A49-4D72-8DD1-94185B69D8D0}"/>
    <cellStyle name="Normal 3 2 2 2 2 2 2 2 2 2 8 2 9" xfId="28099" xr:uid="{3C87224D-3B39-41D5-AB78-4B961592A6D8}"/>
    <cellStyle name="Normal 3 2 2 2 2 2 2 2 2 2 8 20" xfId="28100" xr:uid="{89BD0B19-CE03-41F1-9F37-921278C629D6}"/>
    <cellStyle name="Normal 3 2 2 2 2 2 2 2 2 2 8 21" xfId="28101" xr:uid="{0721240C-B952-4307-B9E9-D3A56700E5CB}"/>
    <cellStyle name="Normal 3 2 2 2 2 2 2 2 2 2 8 21 2" xfId="28102" xr:uid="{A3A4DD03-1F00-44CD-91BD-5AA882A030CC}"/>
    <cellStyle name="Normal 3 2 2 2 2 2 2 2 2 2 8 21 3" xfId="28103" xr:uid="{C2D5D6DB-6E60-42AF-9E00-225924EAD1A9}"/>
    <cellStyle name="Normal 3 2 2 2 2 2 2 2 2 2 8 21 4" xfId="28104" xr:uid="{7A97EA49-9A9A-46AF-881A-4720DC13307D}"/>
    <cellStyle name="Normal 3 2 2 2 2 2 2 2 2 2 8 22" xfId="28105" xr:uid="{0C44E9F1-4914-4933-A7FA-2786CD9E4F3D}"/>
    <cellStyle name="Normal 3 2 2 2 2 2 2 2 2 2 8 23" xfId="28106" xr:uid="{EA844312-04C1-4125-8B59-58E36F9A51B1}"/>
    <cellStyle name="Normal 3 2 2 2 2 2 2 2 2 2 8 24" xfId="28107" xr:uid="{058197F7-A7F5-4E09-9EF7-AAF82F36F9EE}"/>
    <cellStyle name="Normal 3 2 2 2 2 2 2 2 2 2 8 3" xfId="28108" xr:uid="{A33848B0-8D94-4953-9890-84CBD093D9C7}"/>
    <cellStyle name="Normal 3 2 2 2 2 2 2 2 2 2 8 4" xfId="28109" xr:uid="{7A622C9C-C906-4C9B-9423-ED8C67D8750D}"/>
    <cellStyle name="Normal 3 2 2 2 2 2 2 2 2 2 8 5" xfId="28110" xr:uid="{23CC4312-E44F-4AAF-9720-5D285121DAC2}"/>
    <cellStyle name="Normal 3 2 2 2 2 2 2 2 2 2 8 6" xfId="28111" xr:uid="{5E171686-E15E-4B12-BABB-9C81936927CA}"/>
    <cellStyle name="Normal 3 2 2 2 2 2 2 2 2 2 8 7" xfId="28112" xr:uid="{BA3794E4-26ED-4511-806C-8D2B60D71020}"/>
    <cellStyle name="Normal 3 2 2 2 2 2 2 2 2 2 8 8" xfId="28113" xr:uid="{82A2A7F9-2548-4456-908B-F121C844FC78}"/>
    <cellStyle name="Normal 3 2 2 2 2 2 2 2 2 2 8 9" xfId="28114" xr:uid="{026CDA18-5355-409D-9FD4-A09332E7B14C}"/>
    <cellStyle name="Normal 3 2 2 2 2 2 2 2 2 2 9" xfId="28115" xr:uid="{A16794E6-6DD4-40F5-BB11-A3E3950E61C5}"/>
    <cellStyle name="Normal 3 2 2 2 2 2 2 2 2 2 9 10" xfId="28116" xr:uid="{83EAD588-FABF-42C8-A638-0C47DA054AEE}"/>
    <cellStyle name="Normal 3 2 2 2 2 2 2 2 2 2 9 11" xfId="28117" xr:uid="{BF3DC1AB-3E2B-434E-B674-13391E35DCB2}"/>
    <cellStyle name="Normal 3 2 2 2 2 2 2 2 2 2 9 12" xfId="28118" xr:uid="{D1A1D6EE-CD68-4DC9-997E-F582A830F25C}"/>
    <cellStyle name="Normal 3 2 2 2 2 2 2 2 2 2 9 13" xfId="28119" xr:uid="{75F9D33F-8C2C-4476-93E0-B8127BFAC692}"/>
    <cellStyle name="Normal 3 2 2 2 2 2 2 2 2 2 9 13 2" xfId="28120" xr:uid="{C6BBB70E-F13C-49C5-B299-177A1219A57E}"/>
    <cellStyle name="Normal 3 2 2 2 2 2 2 2 2 2 9 13 3" xfId="28121" xr:uid="{2CDE156A-65ED-44B7-89C5-EA52A85D46F7}"/>
    <cellStyle name="Normal 3 2 2 2 2 2 2 2 2 2 9 13 4" xfId="28122" xr:uid="{9F0B07C1-B883-4670-A118-FAA2B405E998}"/>
    <cellStyle name="Normal 3 2 2 2 2 2 2 2 2 2 9 14" xfId="28123" xr:uid="{7020E042-FEAD-4789-90FC-8E756B89E782}"/>
    <cellStyle name="Normal 3 2 2 2 2 2 2 2 2 2 9 15" xfId="28124" xr:uid="{0E2D5FBB-6C1D-454A-A813-B35CA59BD937}"/>
    <cellStyle name="Normal 3 2 2 2 2 2 2 2 2 2 9 16" xfId="28125" xr:uid="{5CBA7A03-0C67-4097-AA7D-616C0BD388BC}"/>
    <cellStyle name="Normal 3 2 2 2 2 2 2 2 2 2 9 2" xfId="28126" xr:uid="{98B6B901-8EB1-4359-B554-86FA4C43BC61}"/>
    <cellStyle name="Normal 3 2 2 2 2 2 2 2 2 2 9 2 10" xfId="28127" xr:uid="{30363E31-9946-481D-9921-173A03ACFE05}"/>
    <cellStyle name="Normal 3 2 2 2 2 2 2 2 2 2 9 2 11" xfId="28128" xr:uid="{F0FB9A6C-FDF2-4DE2-BA01-BFCBFD3EC551}"/>
    <cellStyle name="Normal 3 2 2 2 2 2 2 2 2 2 9 2 11 2" xfId="28129" xr:uid="{63F6177E-079E-4330-BA49-A233A97C75F1}"/>
    <cellStyle name="Normal 3 2 2 2 2 2 2 2 2 2 9 2 11 3" xfId="28130" xr:uid="{648D6C5A-AC51-47BC-B221-1FB22F4CCB49}"/>
    <cellStyle name="Normal 3 2 2 2 2 2 2 2 2 2 9 2 11 4" xfId="28131" xr:uid="{CA75635D-E652-4D23-AA6F-4D33C87A6215}"/>
    <cellStyle name="Normal 3 2 2 2 2 2 2 2 2 2 9 2 12" xfId="28132" xr:uid="{1C4E30EB-5B00-4307-8E76-65ECC497E540}"/>
    <cellStyle name="Normal 3 2 2 2 2 2 2 2 2 2 9 2 13" xfId="28133" xr:uid="{D8FFF73B-4864-4911-937B-33A12FCA37AA}"/>
    <cellStyle name="Normal 3 2 2 2 2 2 2 2 2 2 9 2 14" xfId="28134" xr:uid="{EDBF19B1-FE4A-423A-8520-3C0ED11E26BB}"/>
    <cellStyle name="Normal 3 2 2 2 2 2 2 2 2 2 9 2 2" xfId="28135" xr:uid="{AF18C6C9-1FEB-40D3-A7EB-34EB00E55881}"/>
    <cellStyle name="Normal 3 2 2 2 2 2 2 2 2 2 9 2 2 10" xfId="28136" xr:uid="{A492C5DF-F04F-4CDC-830B-5E267C119789}"/>
    <cellStyle name="Normal 3 2 2 2 2 2 2 2 2 2 9 2 2 11" xfId="28137" xr:uid="{58D1E98E-3E98-4A67-BA50-A1DF270DCB97}"/>
    <cellStyle name="Normal 3 2 2 2 2 2 2 2 2 2 9 2 2 2" xfId="28138" xr:uid="{26A4F48B-33C1-456B-9050-152208F12A11}"/>
    <cellStyle name="Normal 3 2 2 2 2 2 2 2 2 2 9 2 2 2 10" xfId="28139" xr:uid="{C82EA0BD-D55D-4421-AA96-2F59B0ADAB34}"/>
    <cellStyle name="Normal 3 2 2 2 2 2 2 2 2 2 9 2 2 2 11" xfId="28140" xr:uid="{5A5527A5-F509-42FB-92BA-953C3357D5DB}"/>
    <cellStyle name="Normal 3 2 2 2 2 2 2 2 2 2 9 2 2 2 2" xfId="28141" xr:uid="{F618CADD-E881-4409-9E2B-1DBD18DDD436}"/>
    <cellStyle name="Normal 3 2 2 2 2 2 2 2 2 2 9 2 2 2 2 2" xfId="28142" xr:uid="{0FC9440B-E249-405E-9B43-8A2A17B6ECE8}"/>
    <cellStyle name="Normal 3 2 2 2 2 2 2 2 2 2 9 2 2 2 2 2 2" xfId="28143" xr:uid="{3B0B0932-47BD-441F-943C-F57B717AB31A}"/>
    <cellStyle name="Normal 3 2 2 2 2 2 2 2 2 2 9 2 2 2 2 2 3" xfId="28144" xr:uid="{A6678137-F0C7-42B7-9146-FFCE8B99C503}"/>
    <cellStyle name="Normal 3 2 2 2 2 2 2 2 2 2 9 2 2 2 2 2 4" xfId="28145" xr:uid="{B6238B82-7EFF-4BB2-9C1F-E0667FD947BB}"/>
    <cellStyle name="Normal 3 2 2 2 2 2 2 2 2 2 9 2 2 2 2 3" xfId="28146" xr:uid="{A640B4BB-EA70-4C4F-B959-5B2EAA8BD556}"/>
    <cellStyle name="Normal 3 2 2 2 2 2 2 2 2 2 9 2 2 2 2 4" xfId="28147" xr:uid="{32490F02-B064-40D0-98B3-36AB7DE38D63}"/>
    <cellStyle name="Normal 3 2 2 2 2 2 2 2 2 2 9 2 2 2 2 5" xfId="28148" xr:uid="{15557C80-EC9E-4DB0-81BD-D0C6F8157850}"/>
    <cellStyle name="Normal 3 2 2 2 2 2 2 2 2 2 9 2 2 2 2 6" xfId="28149" xr:uid="{48A24811-2759-40E6-8159-80C934732247}"/>
    <cellStyle name="Normal 3 2 2 2 2 2 2 2 2 2 9 2 2 2 3" xfId="28150" xr:uid="{80ADCD05-4F9E-4EC3-B5F8-1990AE6F5859}"/>
    <cellStyle name="Normal 3 2 2 2 2 2 2 2 2 2 9 2 2 2 4" xfId="28151" xr:uid="{E3EE25D0-B438-4E53-BC65-65C7211D4141}"/>
    <cellStyle name="Normal 3 2 2 2 2 2 2 2 2 2 9 2 2 2 5" xfId="28152" xr:uid="{99305F6D-CCF5-4408-BD99-3F3AF5EFF47D}"/>
    <cellStyle name="Normal 3 2 2 2 2 2 2 2 2 2 9 2 2 2 6" xfId="28153" xr:uid="{CA73EA64-0626-4FFA-96E4-8966E5F9C1CC}"/>
    <cellStyle name="Normal 3 2 2 2 2 2 2 2 2 2 9 2 2 2 7" xfId="28154" xr:uid="{152330A0-3A48-4155-B660-790D13F48308}"/>
    <cellStyle name="Normal 3 2 2 2 2 2 2 2 2 2 9 2 2 2 8" xfId="28155" xr:uid="{CC33D5DC-5A59-41EF-A7D4-1659DFA62CD4}"/>
    <cellStyle name="Normal 3 2 2 2 2 2 2 2 2 2 9 2 2 2 8 2" xfId="28156" xr:uid="{1C5F420D-B6B6-4E2E-B9B5-4BCC931B278A}"/>
    <cellStyle name="Normal 3 2 2 2 2 2 2 2 2 2 9 2 2 2 8 3" xfId="28157" xr:uid="{BAEFD942-C3D3-4CC0-9933-B30D4E4539C3}"/>
    <cellStyle name="Normal 3 2 2 2 2 2 2 2 2 2 9 2 2 2 8 4" xfId="28158" xr:uid="{9950D0A9-DECB-48C8-A61D-1D4A5CDA637D}"/>
    <cellStyle name="Normal 3 2 2 2 2 2 2 2 2 2 9 2 2 2 9" xfId="28159" xr:uid="{596A27CE-FBC5-409A-B0C8-FB0E18657872}"/>
    <cellStyle name="Normal 3 2 2 2 2 2 2 2 2 2 9 2 2 3" xfId="28160" xr:uid="{7997E2D6-89F1-40B9-A242-AE9578712ECA}"/>
    <cellStyle name="Normal 3 2 2 2 2 2 2 2 2 2 9 2 2 3 2" xfId="28161" xr:uid="{1F094FEC-17B5-4169-9D47-47BC4BCEFC9D}"/>
    <cellStyle name="Normal 3 2 2 2 2 2 2 2 2 2 9 2 2 3 2 2" xfId="28162" xr:uid="{ADFAF8C8-D7CD-4BEE-9BFB-1BBF9F481B3D}"/>
    <cellStyle name="Normal 3 2 2 2 2 2 2 2 2 2 9 2 2 3 2 3" xfId="28163" xr:uid="{85337637-B448-46DB-BB1C-D58116631824}"/>
    <cellStyle name="Normal 3 2 2 2 2 2 2 2 2 2 9 2 2 3 2 4" xfId="28164" xr:uid="{D2B8E7C7-B62D-4562-BCA8-D9385329CF9A}"/>
    <cellStyle name="Normal 3 2 2 2 2 2 2 2 2 2 9 2 2 3 3" xfId="28165" xr:uid="{F5FA67DF-27BF-4D54-AD05-21DE952E88CA}"/>
    <cellStyle name="Normal 3 2 2 2 2 2 2 2 2 2 9 2 2 3 4" xfId="28166" xr:uid="{408238CE-119B-449C-B233-41BB3640523F}"/>
    <cellStyle name="Normal 3 2 2 2 2 2 2 2 2 2 9 2 2 3 5" xfId="28167" xr:uid="{AF02D348-DCF3-4041-B855-FD69BA1AB7F7}"/>
    <cellStyle name="Normal 3 2 2 2 2 2 2 2 2 2 9 2 2 3 6" xfId="28168" xr:uid="{FE833EA2-9E4E-45A7-BFA7-5689DF33D0A7}"/>
    <cellStyle name="Normal 3 2 2 2 2 2 2 2 2 2 9 2 2 4" xfId="28169" xr:uid="{E99B8221-521C-453C-AFE6-8134363A61EE}"/>
    <cellStyle name="Normal 3 2 2 2 2 2 2 2 2 2 9 2 2 5" xfId="28170" xr:uid="{A7910C50-5167-44C7-B0E7-651D1B5CCBD4}"/>
    <cellStyle name="Normal 3 2 2 2 2 2 2 2 2 2 9 2 2 6" xfId="28171" xr:uid="{1D08FB9B-C93D-4D53-8A67-1F1EFA668D42}"/>
    <cellStyle name="Normal 3 2 2 2 2 2 2 2 2 2 9 2 2 7" xfId="28172" xr:uid="{5AA9E00E-27C0-4CCF-AAE7-759B1549E6D3}"/>
    <cellStyle name="Normal 3 2 2 2 2 2 2 2 2 2 9 2 2 8" xfId="28173" xr:uid="{55F9EE12-3EB6-4E55-835A-6D78289770CC}"/>
    <cellStyle name="Normal 3 2 2 2 2 2 2 2 2 2 9 2 2 8 2" xfId="28174" xr:uid="{EEE41C74-DAEF-4FB0-B580-A8552E44CDC2}"/>
    <cellStyle name="Normal 3 2 2 2 2 2 2 2 2 2 9 2 2 8 3" xfId="28175" xr:uid="{D25773B6-CD4B-46C9-B6C5-DF4A88EA8658}"/>
    <cellStyle name="Normal 3 2 2 2 2 2 2 2 2 2 9 2 2 8 4" xfId="28176" xr:uid="{440270C0-B4DE-491B-8410-0E357154FF1D}"/>
    <cellStyle name="Normal 3 2 2 2 2 2 2 2 2 2 9 2 2 9" xfId="28177" xr:uid="{71DED30A-CCD4-47E3-BEFD-AA54B68EEBA8}"/>
    <cellStyle name="Normal 3 2 2 2 2 2 2 2 2 2 9 2 3" xfId="28178" xr:uid="{71A7DEB9-2736-4536-B049-CD45021B23C0}"/>
    <cellStyle name="Normal 3 2 2 2 2 2 2 2 2 2 9 2 4" xfId="28179" xr:uid="{4F212AED-78D1-40EA-BEB4-2A40C19875E6}"/>
    <cellStyle name="Normal 3 2 2 2 2 2 2 2 2 2 9 2 5" xfId="28180" xr:uid="{0DB45C40-5366-43BE-BE05-BD3077A5C530}"/>
    <cellStyle name="Normal 3 2 2 2 2 2 2 2 2 2 9 2 5 2" xfId="28181" xr:uid="{6221A6FE-3B2E-4935-9F48-C1FA5DB1F6A7}"/>
    <cellStyle name="Normal 3 2 2 2 2 2 2 2 2 2 9 2 5 2 2" xfId="28182" xr:uid="{2C7F2558-179C-4566-A907-FF8E64676E57}"/>
    <cellStyle name="Normal 3 2 2 2 2 2 2 2 2 2 9 2 5 2 3" xfId="28183" xr:uid="{47C65ABE-222C-456E-9EF6-AA8A34644679}"/>
    <cellStyle name="Normal 3 2 2 2 2 2 2 2 2 2 9 2 5 2 4" xfId="28184" xr:uid="{5364A190-5820-4869-9B9C-CD2EEBF31517}"/>
    <cellStyle name="Normal 3 2 2 2 2 2 2 2 2 2 9 2 5 3" xfId="28185" xr:uid="{D7EB444F-A792-4C6B-8C39-5A0941B5C487}"/>
    <cellStyle name="Normal 3 2 2 2 2 2 2 2 2 2 9 2 5 4" xfId="28186" xr:uid="{8A0B0673-013F-4CC5-951E-603EF2525D65}"/>
    <cellStyle name="Normal 3 2 2 2 2 2 2 2 2 2 9 2 5 5" xfId="28187" xr:uid="{4448CA7A-B1EF-4CF7-AA54-C9220F958FB6}"/>
    <cellStyle name="Normal 3 2 2 2 2 2 2 2 2 2 9 2 5 6" xfId="28188" xr:uid="{658E34F3-B3A0-4BEC-8091-7B0CC3EFE79A}"/>
    <cellStyle name="Normal 3 2 2 2 2 2 2 2 2 2 9 2 6" xfId="28189" xr:uid="{F9E4C658-DED9-4744-A8E7-171A0A6322F1}"/>
    <cellStyle name="Normal 3 2 2 2 2 2 2 2 2 2 9 2 7" xfId="28190" xr:uid="{BDF871D4-F732-42EB-A108-C8D4FB9436D1}"/>
    <cellStyle name="Normal 3 2 2 2 2 2 2 2 2 2 9 2 8" xfId="28191" xr:uid="{DA0EC4F1-1EFF-47DE-B1C5-944502A83E96}"/>
    <cellStyle name="Normal 3 2 2 2 2 2 2 2 2 2 9 2 9" xfId="28192" xr:uid="{A1EED6D3-29F3-40EA-AFC3-6DFD3D8AB520}"/>
    <cellStyle name="Normal 3 2 2 2 2 2 2 2 2 2 9 3" xfId="28193" xr:uid="{321F6BB3-2E95-49B3-9D9C-201911353741}"/>
    <cellStyle name="Normal 3 2 2 2 2 2 2 2 2 2 9 4" xfId="28194" xr:uid="{A25A5AE6-B0FF-4520-8217-471212913870}"/>
    <cellStyle name="Normal 3 2 2 2 2 2 2 2 2 2 9 5" xfId="28195" xr:uid="{335A0B37-82A0-4BFB-9314-78A83A2DD131}"/>
    <cellStyle name="Normal 3 2 2 2 2 2 2 2 2 2 9 5 10" xfId="28196" xr:uid="{4FEB4A8A-1951-45CD-96C6-660316993C5C}"/>
    <cellStyle name="Normal 3 2 2 2 2 2 2 2 2 2 9 5 11" xfId="28197" xr:uid="{DC261329-7B32-45C8-902C-839E6F28E50D}"/>
    <cellStyle name="Normal 3 2 2 2 2 2 2 2 2 2 9 5 2" xfId="28198" xr:uid="{319E4456-83D5-4078-9BE5-BEC829A602B7}"/>
    <cellStyle name="Normal 3 2 2 2 2 2 2 2 2 2 9 5 2 10" xfId="28199" xr:uid="{B34215F5-1002-4511-9AC9-B7D3FA3AF79A}"/>
    <cellStyle name="Normal 3 2 2 2 2 2 2 2 2 2 9 5 2 11" xfId="28200" xr:uid="{0C2F4544-F0AC-447A-8E5D-C9AE493EB46B}"/>
    <cellStyle name="Normal 3 2 2 2 2 2 2 2 2 2 9 5 2 2" xfId="28201" xr:uid="{057BFCD4-2D48-49E0-A753-6D7C7F9CC4BE}"/>
    <cellStyle name="Normal 3 2 2 2 2 2 2 2 2 2 9 5 2 2 2" xfId="28202" xr:uid="{D263BAD0-3AB0-4069-8E0F-899A9069E833}"/>
    <cellStyle name="Normal 3 2 2 2 2 2 2 2 2 2 9 5 2 2 2 2" xfId="28203" xr:uid="{38787EA4-A282-4D55-920B-AE82EAEF52C8}"/>
    <cellStyle name="Normal 3 2 2 2 2 2 2 2 2 2 9 5 2 2 2 3" xfId="28204" xr:uid="{65B44D47-3B69-47FD-BB24-71C1EB8C5CFE}"/>
    <cellStyle name="Normal 3 2 2 2 2 2 2 2 2 2 9 5 2 2 2 4" xfId="28205" xr:uid="{F01136EA-BADC-4343-AE97-0D8F376268DD}"/>
    <cellStyle name="Normal 3 2 2 2 2 2 2 2 2 2 9 5 2 2 3" xfId="28206" xr:uid="{744EB5A3-0A27-464D-BED5-576AE6700EC2}"/>
    <cellStyle name="Normal 3 2 2 2 2 2 2 2 2 2 9 5 2 2 4" xfId="28207" xr:uid="{9105727B-F40D-497C-8762-A4C0D3E6AB85}"/>
    <cellStyle name="Normal 3 2 2 2 2 2 2 2 2 2 9 5 2 2 5" xfId="28208" xr:uid="{25024140-2744-4F15-B07F-18722986A285}"/>
    <cellStyle name="Normal 3 2 2 2 2 2 2 2 2 2 9 5 2 2 6" xfId="28209" xr:uid="{02962FC8-CBA2-4D65-84D2-4F0CBBC66E85}"/>
    <cellStyle name="Normal 3 2 2 2 2 2 2 2 2 2 9 5 2 3" xfId="28210" xr:uid="{8C3F5EA5-942C-4092-A72F-F5C4A725A53E}"/>
    <cellStyle name="Normal 3 2 2 2 2 2 2 2 2 2 9 5 2 4" xfId="28211" xr:uid="{C53199AB-709E-4472-B6B7-EA749CDC25D4}"/>
    <cellStyle name="Normal 3 2 2 2 2 2 2 2 2 2 9 5 2 5" xfId="28212" xr:uid="{2526D73F-ADD4-4198-8C17-0548F49C4716}"/>
    <cellStyle name="Normal 3 2 2 2 2 2 2 2 2 2 9 5 2 6" xfId="28213" xr:uid="{85E31FA9-F46A-494E-9D44-BD1828A505F5}"/>
    <cellStyle name="Normal 3 2 2 2 2 2 2 2 2 2 9 5 2 7" xfId="28214" xr:uid="{A0C767FD-20C8-4348-A3D7-4FCF0190BEA1}"/>
    <cellStyle name="Normal 3 2 2 2 2 2 2 2 2 2 9 5 2 8" xfId="28215" xr:uid="{5D30449D-FB3A-4FD3-8F62-BDAC9E45FCA4}"/>
    <cellStyle name="Normal 3 2 2 2 2 2 2 2 2 2 9 5 2 8 2" xfId="28216" xr:uid="{0E7F85D3-9EAB-40D0-AEF0-5570716D243F}"/>
    <cellStyle name="Normal 3 2 2 2 2 2 2 2 2 2 9 5 2 8 3" xfId="28217" xr:uid="{FB42A020-E26B-4874-BA83-4843C32FA353}"/>
    <cellStyle name="Normal 3 2 2 2 2 2 2 2 2 2 9 5 2 8 4" xfId="28218" xr:uid="{AE7FDB31-486D-44EE-A700-2912F2254954}"/>
    <cellStyle name="Normal 3 2 2 2 2 2 2 2 2 2 9 5 2 9" xfId="28219" xr:uid="{0EE7CE48-2069-4015-8ED3-335FA7EA9B72}"/>
    <cellStyle name="Normal 3 2 2 2 2 2 2 2 2 2 9 5 3" xfId="28220" xr:uid="{35C11BAD-427C-4389-B3BE-A71358F59668}"/>
    <cellStyle name="Normal 3 2 2 2 2 2 2 2 2 2 9 5 3 2" xfId="28221" xr:uid="{35EE33BA-6D6D-4601-81E1-CADFCF0134ED}"/>
    <cellStyle name="Normal 3 2 2 2 2 2 2 2 2 2 9 5 3 2 2" xfId="28222" xr:uid="{4748243F-1CA0-4FDF-A66B-4ADC9CD92FF9}"/>
    <cellStyle name="Normal 3 2 2 2 2 2 2 2 2 2 9 5 3 2 3" xfId="28223" xr:uid="{ADDAF95A-32AF-4489-ACE6-A8E6CC862CD6}"/>
    <cellStyle name="Normal 3 2 2 2 2 2 2 2 2 2 9 5 3 2 4" xfId="28224" xr:uid="{47F218C6-EB62-43AD-A86D-BC1AB2A81A36}"/>
    <cellStyle name="Normal 3 2 2 2 2 2 2 2 2 2 9 5 3 3" xfId="28225" xr:uid="{D68DCDCF-2EF6-4CC2-B42D-D1AEA2AEAE1C}"/>
    <cellStyle name="Normal 3 2 2 2 2 2 2 2 2 2 9 5 3 4" xfId="28226" xr:uid="{787A1394-5D46-49D0-AE26-00BB65417D7B}"/>
    <cellStyle name="Normal 3 2 2 2 2 2 2 2 2 2 9 5 3 5" xfId="28227" xr:uid="{457D2B10-DFE7-4FAA-A9B6-7E5223FBAB92}"/>
    <cellStyle name="Normal 3 2 2 2 2 2 2 2 2 2 9 5 3 6" xfId="28228" xr:uid="{8F395A79-0529-452A-9E79-7BAF923031B1}"/>
    <cellStyle name="Normal 3 2 2 2 2 2 2 2 2 2 9 5 4" xfId="28229" xr:uid="{6FAEC9C3-40A4-483B-874C-E55B31107BEB}"/>
    <cellStyle name="Normal 3 2 2 2 2 2 2 2 2 2 9 5 5" xfId="28230" xr:uid="{F1C4B188-33D6-4507-914F-AD682F372067}"/>
    <cellStyle name="Normal 3 2 2 2 2 2 2 2 2 2 9 5 6" xfId="28231" xr:uid="{CF9A1B22-8149-45B9-87EC-4FFDB5C6384A}"/>
    <cellStyle name="Normal 3 2 2 2 2 2 2 2 2 2 9 5 7" xfId="28232" xr:uid="{2925D489-DABE-49C8-9B4B-B916AAAC3A70}"/>
    <cellStyle name="Normal 3 2 2 2 2 2 2 2 2 2 9 5 8" xfId="28233" xr:uid="{E69CEBA5-16C9-4CE8-AED4-C872BC3A599B}"/>
    <cellStyle name="Normal 3 2 2 2 2 2 2 2 2 2 9 5 8 2" xfId="28234" xr:uid="{1B3B5CEF-29B4-47DF-8AE2-F53FCD13A962}"/>
    <cellStyle name="Normal 3 2 2 2 2 2 2 2 2 2 9 5 8 3" xfId="28235" xr:uid="{094F15D3-C727-492A-AAA9-E96D38C38FCA}"/>
    <cellStyle name="Normal 3 2 2 2 2 2 2 2 2 2 9 5 8 4" xfId="28236" xr:uid="{5FA9DE2A-F53D-44A5-BE87-D4C946B17F93}"/>
    <cellStyle name="Normal 3 2 2 2 2 2 2 2 2 2 9 5 9" xfId="28237" xr:uid="{2301C4FD-88F3-4901-BD1C-C9C5D6FCC18A}"/>
    <cellStyle name="Normal 3 2 2 2 2 2 2 2 2 2 9 6" xfId="28238" xr:uid="{989DD98A-3560-47F8-9CD8-CA85E7F7F18B}"/>
    <cellStyle name="Normal 3 2 2 2 2 2 2 2 2 2 9 7" xfId="28239" xr:uid="{9A832373-E276-4505-A5D4-6CF3618C5A70}"/>
    <cellStyle name="Normal 3 2 2 2 2 2 2 2 2 2 9 7 2" xfId="28240" xr:uid="{4880C15E-8369-4ED7-9089-6CC602FE6E82}"/>
    <cellStyle name="Normal 3 2 2 2 2 2 2 2 2 2 9 7 2 2" xfId="28241" xr:uid="{2E118111-D867-40FF-B470-D2AA0EF3C35F}"/>
    <cellStyle name="Normal 3 2 2 2 2 2 2 2 2 2 9 7 2 3" xfId="28242" xr:uid="{93D46BFA-7427-4A6C-B6E6-C657230E3E84}"/>
    <cellStyle name="Normal 3 2 2 2 2 2 2 2 2 2 9 7 2 4" xfId="28243" xr:uid="{90A2D746-7E22-4943-B2CA-7650D3D88527}"/>
    <cellStyle name="Normal 3 2 2 2 2 2 2 2 2 2 9 7 3" xfId="28244" xr:uid="{5ED9232A-370B-4D9D-B9C6-EE819F17A963}"/>
    <cellStyle name="Normal 3 2 2 2 2 2 2 2 2 2 9 7 4" xfId="28245" xr:uid="{ECA28042-EF75-49DE-99D0-F1BE803A3A70}"/>
    <cellStyle name="Normal 3 2 2 2 2 2 2 2 2 2 9 7 5" xfId="28246" xr:uid="{F7027A60-C089-49CF-9168-2341E47749B5}"/>
    <cellStyle name="Normal 3 2 2 2 2 2 2 2 2 2 9 7 6" xfId="28247" xr:uid="{AA8E7969-1CEC-4295-80E3-FD79B5F6088D}"/>
    <cellStyle name="Normal 3 2 2 2 2 2 2 2 2 2 9 8" xfId="28248" xr:uid="{82DF7238-DF12-40D9-870F-7C4337E40DE5}"/>
    <cellStyle name="Normal 3 2 2 2 2 2 2 2 2 2 9 9" xfId="28249" xr:uid="{C2D34F5A-A9F9-4573-9D17-93E5A4811DD4}"/>
    <cellStyle name="Normal 3 2 2 2 2 2 2 2 2 20" xfId="28250" xr:uid="{65F2C4FD-9E74-4AD1-9A69-3502B9FF0300}"/>
    <cellStyle name="Normal 3 2 2 2 2 2 2 2 2 21" xfId="28251" xr:uid="{515D4550-BD9B-4EE1-94FB-8714BD1FFE0A}"/>
    <cellStyle name="Normal 3 2 2 2 2 2 2 2 2 21 2" xfId="28252" xr:uid="{2B4B1F69-C9F5-45AD-90CE-8067EF8D8654}"/>
    <cellStyle name="Normal 3 2 2 2 2 2 2 2 2 21 2 2" xfId="28253" xr:uid="{7B3463AC-248A-47E1-A0D9-3F699DA1930C}"/>
    <cellStyle name="Normal 3 2 2 2 2 2 2 2 2 21 2 3" xfId="28254" xr:uid="{DA084D5C-25A4-4471-B5EE-7A2F30EF08B4}"/>
    <cellStyle name="Normal 3 2 2 2 2 2 2 2 2 21 2 4" xfId="28255" xr:uid="{63B1FF9A-704A-48AB-B708-6A44939E0ED6}"/>
    <cellStyle name="Normal 3 2 2 2 2 2 2 2 2 21 3" xfId="28256" xr:uid="{700ACAA7-2252-4C7D-9D89-00C78CD9087C}"/>
    <cellStyle name="Normal 3 2 2 2 2 2 2 2 2 21 4" xfId="28257" xr:uid="{F28BAAE8-21E3-4CF6-B9B6-C909D329C77C}"/>
    <cellStyle name="Normal 3 2 2 2 2 2 2 2 2 21 5" xfId="28258" xr:uid="{FC1EE8AE-212C-492D-A69C-997E089A32F0}"/>
    <cellStyle name="Normal 3 2 2 2 2 2 2 2 2 21 6" xfId="28259" xr:uid="{9FE1FAE7-2BF7-4B0C-80CC-140AF3BCDF65}"/>
    <cellStyle name="Normal 3 2 2 2 2 2 2 2 2 22" xfId="28260" xr:uid="{B566F0B8-F720-4893-91D4-9E254982F9CA}"/>
    <cellStyle name="Normal 3 2 2 2 2 2 2 2 2 23" xfId="28261" xr:uid="{B62AD76B-7188-4F00-97D1-264D5CF86FB3}"/>
    <cellStyle name="Normal 3 2 2 2 2 2 2 2 2 24" xfId="28262" xr:uid="{BE8724D4-03E7-496D-9FF6-33EBB17DCBB9}"/>
    <cellStyle name="Normal 3 2 2 2 2 2 2 2 2 25" xfId="28263" xr:uid="{760104F7-7704-4371-97EB-0B89A4FD4356}"/>
    <cellStyle name="Normal 3 2 2 2 2 2 2 2 2 26" xfId="28264" xr:uid="{1676BAB1-8FC8-48DB-AA99-5C195D4C727E}"/>
    <cellStyle name="Normal 3 2 2 2 2 2 2 2 2 27" xfId="28265" xr:uid="{021B4BE7-B1AE-43BE-8FEF-673B3272B644}"/>
    <cellStyle name="Normal 3 2 2 2 2 2 2 2 2 27 2" xfId="28266" xr:uid="{F1B98C3D-1449-4ED3-B89C-52CEBCB85446}"/>
    <cellStyle name="Normal 3 2 2 2 2 2 2 2 2 27 3" xfId="28267" xr:uid="{C5387E18-BFFF-4166-9D63-5887ED69E26C}"/>
    <cellStyle name="Normal 3 2 2 2 2 2 2 2 2 27 4" xfId="28268" xr:uid="{87A9788B-42E2-4CC9-A664-0C85FA2B6E52}"/>
    <cellStyle name="Normal 3 2 2 2 2 2 2 2 2 28" xfId="28269" xr:uid="{1C6819B0-D902-4520-AF97-ECF1AE57B0B2}"/>
    <cellStyle name="Normal 3 2 2 2 2 2 2 2 2 29" xfId="28270" xr:uid="{B658A028-832C-4F5D-9FE6-A2147270D508}"/>
    <cellStyle name="Normal 3 2 2 2 2 2 2 2 2 3" xfId="28271" xr:uid="{5BB2B92E-4091-4726-9AF8-1C61D11062F9}"/>
    <cellStyle name="Normal 3 2 2 2 2 2 2 2 2 30" xfId="28272" xr:uid="{30BDF0D9-DB02-4104-8B38-8737D0E75F1A}"/>
    <cellStyle name="Normal 3 2 2 2 2 2 2 2 2 31" xfId="28273" xr:uid="{433E47EC-44BA-4028-BF9C-BB93BD7E26C6}"/>
    <cellStyle name="Normal 3 2 2 2 2 2 2 2 2 32" xfId="28274" xr:uid="{C32DA320-C2D6-45DF-9F84-9C09ED36F3FA}"/>
    <cellStyle name="Normal 3 2 2 2 2 2 2 2 2 33" xfId="28275" xr:uid="{52003299-9376-4815-90C0-CC236050D929}"/>
    <cellStyle name="Normal 3 2 2 2 2 2 2 2 2 34" xfId="28276" xr:uid="{13C3C9AC-742D-4C36-9A76-FE30B1FD6870}"/>
    <cellStyle name="Normal 3 2 2 2 2 2 2 2 2 35" xfId="28277" xr:uid="{3ED0636D-44BC-4BD9-86D5-FAD94A43C71C}"/>
    <cellStyle name="Normal 3 2 2 2 2 2 2 2 2 36" xfId="28278" xr:uid="{7E75448C-64BB-4152-93F1-7BBEA5BD3625}"/>
    <cellStyle name="Normal 3 2 2 2 2 2 2 2 2 37" xfId="28279" xr:uid="{3D20EB5F-8555-42F0-A8B9-0F6E68BEF63E}"/>
    <cellStyle name="Normal 3 2 2 2 2 2 2 2 2 38" xfId="28280" xr:uid="{FD1C5D92-D3E3-4B1F-8E06-CD7F9C2D27B6}"/>
    <cellStyle name="Normal 3 2 2 2 2 2 2 2 2 39" xfId="28281" xr:uid="{7DA80439-1E37-4325-8203-961CD9508111}"/>
    <cellStyle name="Normal 3 2 2 2 2 2 2 2 2 4" xfId="28282" xr:uid="{5A689047-F30B-45C3-A7A9-36DD5AED2C4B}"/>
    <cellStyle name="Normal 3 2 2 2 2 2 2 2 2 40" xfId="28283" xr:uid="{B9D6576E-A68F-4755-A3FC-5A121B92626B}"/>
    <cellStyle name="Normal 3 2 2 2 2 2 2 2 2 41" xfId="28284" xr:uid="{87FE83AE-D163-4EAA-9AFC-394C3984DEA3}"/>
    <cellStyle name="Normal 3 2 2 2 2 2 2 2 2 42" xfId="28285" xr:uid="{21071FFC-A19F-4765-A01C-538BB60E9FE7}"/>
    <cellStyle name="Normal 3 2 2 2 2 2 2 2 2 42 2" xfId="28286" xr:uid="{B00DDB6D-B1CF-4FE5-A0BD-A07AB8641171}"/>
    <cellStyle name="Normal 3 2 2 2 2 2 2 2 2 42 3" xfId="28287" xr:uid="{16CF16A5-CA3C-40FF-AC11-42BB67DF1E9A}"/>
    <cellStyle name="Normal 3 2 2 2 2 2 2 2 2 42 4" xfId="28288" xr:uid="{63A45A02-D0FD-466E-B765-5A1F487C777F}"/>
    <cellStyle name="Normal 3 2 2 2 2 2 2 2 2 42 5" xfId="28289" xr:uid="{9CFE4320-AA03-44CA-A7C3-ADC04A7B9289}"/>
    <cellStyle name="Normal 3 2 2 2 2 2 2 2 2 42 6" xfId="28290" xr:uid="{822E5F73-B7FB-48FA-99B2-508F9506CB41}"/>
    <cellStyle name="Normal 3 2 2 2 2 2 2 2 2 42 7" xfId="28291" xr:uid="{C4C2BCCD-6663-44E3-A740-CFCA24BE966B}"/>
    <cellStyle name="Normal 3 2 2 2 2 2 2 2 2 43" xfId="28292" xr:uid="{3E8B6C83-F9D0-400A-BFD0-1F06EEAD044A}"/>
    <cellStyle name="Normal 3 2 2 2 2 2 2 2 2 44" xfId="28293" xr:uid="{08158742-602E-4FC6-9F52-61D50B462F69}"/>
    <cellStyle name="Normal 3 2 2 2 2 2 2 2 2 45" xfId="28294" xr:uid="{B8E90B1F-E9D1-4030-8451-359683CEC778}"/>
    <cellStyle name="Normal 3 2 2 2 2 2 2 2 2 46" xfId="28295" xr:uid="{CB1591D4-BA35-4C04-BC6A-0B7F13F4A76F}"/>
    <cellStyle name="Normal 3 2 2 2 2 2 2 2 2 47" xfId="28296" xr:uid="{EC6936B9-BD2C-4AA6-9A85-E27162CCA771}"/>
    <cellStyle name="Normal 3 2 2 2 2 2 2 2 2 48" xfId="28297" xr:uid="{7987C066-23ED-4E60-A052-A9C470091FB6}"/>
    <cellStyle name="Normal 3 2 2 2 2 2 2 2 2 49" xfId="28298" xr:uid="{B16AA905-573D-429B-9F7D-CA782271B2FE}"/>
    <cellStyle name="Normal 3 2 2 2 2 2 2 2 2 5" xfId="28299" xr:uid="{860BF6B1-FD8A-4B88-814C-BA13B0B7DD38}"/>
    <cellStyle name="Normal 3 2 2 2 2 2 2 2 2 50" xfId="28300" xr:uid="{483E5233-9CA4-45E1-A230-C0148341FECB}"/>
    <cellStyle name="Normal 3 2 2 2 2 2 2 2 2 51" xfId="28301" xr:uid="{E80F5C4D-0897-47E5-A767-40CEDF4C5CA3}"/>
    <cellStyle name="Normal 3 2 2 2 2 2 2 2 2 52" xfId="28302" xr:uid="{EBA33D28-6B68-458C-B63C-0B9E3830DF6A}"/>
    <cellStyle name="Normal 3 2 2 2 2 2 2 2 2 53" xfId="28303" xr:uid="{89028680-9BAB-4BF6-9646-57963E3DE2FD}"/>
    <cellStyle name="Normal 3 2 2 2 2 2 2 2 2 54" xfId="28304" xr:uid="{7F451D72-5014-4B29-A2CC-12495A6729D5}"/>
    <cellStyle name="Normal 3 2 2 2 2 2 2 2 2 55" xfId="28305" xr:uid="{3718F41F-FCBE-452C-B7D7-3D480A030FAE}"/>
    <cellStyle name="Normal 3 2 2 2 2 2 2 2 2 56" xfId="28306" xr:uid="{65467289-F12C-421E-9FAF-AAA6A988DF26}"/>
    <cellStyle name="Normal 3 2 2 2 2 2 2 2 2 57" xfId="28307" xr:uid="{DB04C4A3-224F-48B7-A8E7-DFC58AD8D01A}"/>
    <cellStyle name="Normal 3 2 2 2 2 2 2 2 2 58" xfId="28308" xr:uid="{9CE8B141-654F-4087-998A-7F4F86DD0CEB}"/>
    <cellStyle name="Normal 3 2 2 2 2 2 2 2 2 59" xfId="28309" xr:uid="{1AC8CE5A-6C77-4A08-9E0D-A9D1739C80E9}"/>
    <cellStyle name="Normal 3 2 2 2 2 2 2 2 2 6" xfId="28310" xr:uid="{0ACC87EB-ACBA-4F23-A7B9-3F5E614DBB97}"/>
    <cellStyle name="Normal 3 2 2 2 2 2 2 2 2 60" xfId="28311" xr:uid="{C811FD1A-8104-4ACF-B4D8-50BDBD78C3BA}"/>
    <cellStyle name="Normal 3 2 2 2 2 2 2 2 2 61" xfId="28312" xr:uid="{13E8506F-817A-4F1C-A454-754FB4F1DA8B}"/>
    <cellStyle name="Normal 3 2 2 2 2 2 2 2 2 62" xfId="28313" xr:uid="{396552B9-7BBB-4D2E-B42A-AC16863E0DBA}"/>
    <cellStyle name="Normal 3 2 2 2 2 2 2 2 2 63" xfId="28314" xr:uid="{4EF296B1-6D07-4002-B190-8AD0D9426544}"/>
    <cellStyle name="Normal 3 2 2 2 2 2 2 2 2 64" xfId="28315" xr:uid="{70B35050-8D0C-4968-9474-8F3E543C48D3}"/>
    <cellStyle name="Normal 3 2 2 2 2 2 2 2 2 65" xfId="28316" xr:uid="{1A7DC266-3C0D-40E8-8CEC-1C40A9F287C3}"/>
    <cellStyle name="Normal 3 2 2 2 2 2 2 2 2 66" xfId="28317" xr:uid="{5AC4C654-C844-421A-8387-D03BB862918E}"/>
    <cellStyle name="Normal 3 2 2 2 2 2 2 2 2 67" xfId="28318" xr:uid="{67098F09-9E07-4E69-A9DB-A816976657C1}"/>
    <cellStyle name="Normal 3 2 2 2 2 2 2 2 2 68" xfId="28319" xr:uid="{53298E74-F47B-43F9-9BB0-6DA1EF5D2BE2}"/>
    <cellStyle name="Normal 3 2 2 2 2 2 2 2 2 69" xfId="28320" xr:uid="{B62381DE-3994-4068-863A-BB61A0E5B666}"/>
    <cellStyle name="Normal 3 2 2 2 2 2 2 2 2 7" xfId="28321" xr:uid="{762A9917-4A45-4641-98EF-28F4C699B475}"/>
    <cellStyle name="Normal 3 2 2 2 2 2 2 2 2 70" xfId="28322" xr:uid="{05D73164-FD51-4361-BB1C-120088D2B374}"/>
    <cellStyle name="Normal 3 2 2 2 2 2 2 2 2 71" xfId="28323" xr:uid="{8553EE6D-9D3B-40FD-A924-5D120A6F59B6}"/>
    <cellStyle name="Normal 3 2 2 2 2 2 2 2 2 72" xfId="28324" xr:uid="{94E48744-0C0A-429D-8494-51738DD52406}"/>
    <cellStyle name="Normal 3 2 2 2 2 2 2 2 2 73" xfId="28325" xr:uid="{D1527DCB-4C32-4481-8B1C-5133883777D2}"/>
    <cellStyle name="Normal 3 2 2 2 2 2 2 2 2 74" xfId="28326" xr:uid="{A66EDD53-F62E-4202-AF77-5F1D4C48BEC7}"/>
    <cellStyle name="Normal 3 2 2 2 2 2 2 2 2 74 2" xfId="28327" xr:uid="{D844EC55-32F0-407E-80DC-BB4ADA0FE9FB}"/>
    <cellStyle name="Normal 3 2 2 2 2 2 2 2 2 74 3" xfId="28328" xr:uid="{FA74C862-DB0B-44CA-98FE-C0A6F1282B3F}"/>
    <cellStyle name="Normal 3 2 2 2 2 2 2 2 2 74 4" xfId="28329" xr:uid="{998FE3C3-7506-4CD4-A366-00C219A300F8}"/>
    <cellStyle name="Normal 3 2 2 2 2 2 2 2 2 75" xfId="28330" xr:uid="{DDDD6D92-B7D8-4D95-B51F-C7403561AB1A}"/>
    <cellStyle name="Normal 3 2 2 2 2 2 2 2 2 76" xfId="28331" xr:uid="{95628B98-42C3-4833-9685-B2B504EFB6E6}"/>
    <cellStyle name="Normal 3 2 2 2 2 2 2 2 2 8" xfId="28332" xr:uid="{48CB8751-06DA-4361-A5BE-CC9B4382D8E1}"/>
    <cellStyle name="Normal 3 2 2 2 2 2 2 2 2 8 10" xfId="28333" xr:uid="{6843958A-A8B3-4CAF-8562-1599C2720307}"/>
    <cellStyle name="Normal 3 2 2 2 2 2 2 2 2 8 11" xfId="28334" xr:uid="{68EF66EB-B927-4598-ACC9-D543CF4C7083}"/>
    <cellStyle name="Normal 3 2 2 2 2 2 2 2 2 8 11 10" xfId="28335" xr:uid="{326FD6A2-FDCE-4149-A245-973A763D0712}"/>
    <cellStyle name="Normal 3 2 2 2 2 2 2 2 2 8 11 11" xfId="28336" xr:uid="{066DAE7B-D69D-4008-905C-98AD9D4DD6A8}"/>
    <cellStyle name="Normal 3 2 2 2 2 2 2 2 2 8 11 11 2" xfId="28337" xr:uid="{6ACF1353-4968-4152-8211-100715EBA068}"/>
    <cellStyle name="Normal 3 2 2 2 2 2 2 2 2 8 11 11 3" xfId="28338" xr:uid="{686F29D7-9EB1-43BA-BC56-1835DAE9B7C9}"/>
    <cellStyle name="Normal 3 2 2 2 2 2 2 2 2 8 11 11 4" xfId="28339" xr:uid="{400C7A49-A61F-4BD7-A43F-C0161586B608}"/>
    <cellStyle name="Normal 3 2 2 2 2 2 2 2 2 8 11 12" xfId="28340" xr:uid="{DF203288-0DDE-4FDE-9ABF-0E93080A3378}"/>
    <cellStyle name="Normal 3 2 2 2 2 2 2 2 2 8 11 13" xfId="28341" xr:uid="{0AB77159-8A2D-4691-BD1C-AC6452A84342}"/>
    <cellStyle name="Normal 3 2 2 2 2 2 2 2 2 8 11 14" xfId="28342" xr:uid="{07A84269-A2B2-4422-AB53-701AD30DE4E1}"/>
    <cellStyle name="Normal 3 2 2 2 2 2 2 2 2 8 11 2" xfId="28343" xr:uid="{82B6112F-136E-42D3-8662-0A56EC486CB6}"/>
    <cellStyle name="Normal 3 2 2 2 2 2 2 2 2 8 11 2 10" xfId="28344" xr:uid="{4B433533-062B-46BD-B7AA-4032464434C8}"/>
    <cellStyle name="Normal 3 2 2 2 2 2 2 2 2 8 11 2 11" xfId="28345" xr:uid="{A172654C-66D2-48B3-A41B-3AA0009BF64E}"/>
    <cellStyle name="Normal 3 2 2 2 2 2 2 2 2 8 11 2 2" xfId="28346" xr:uid="{3E72AE01-A39B-42F2-98F2-55D323290468}"/>
    <cellStyle name="Normal 3 2 2 2 2 2 2 2 2 8 11 2 2 10" xfId="28347" xr:uid="{DA15DFF0-B129-4150-B032-2032B6D8DD16}"/>
    <cellStyle name="Normal 3 2 2 2 2 2 2 2 2 8 11 2 2 11" xfId="28348" xr:uid="{AB0A9785-F0ED-405C-95FE-46ECAB829C28}"/>
    <cellStyle name="Normal 3 2 2 2 2 2 2 2 2 8 11 2 2 2" xfId="28349" xr:uid="{89915A33-780D-4784-BD0E-2CF07959AD33}"/>
    <cellStyle name="Normal 3 2 2 2 2 2 2 2 2 8 11 2 2 2 2" xfId="28350" xr:uid="{61E3E741-7F5E-418F-AF37-D2D76E92FE58}"/>
    <cellStyle name="Normal 3 2 2 2 2 2 2 2 2 8 11 2 2 2 2 2" xfId="28351" xr:uid="{3558A45E-9FEF-4678-83EF-F8377BFF8A91}"/>
    <cellStyle name="Normal 3 2 2 2 2 2 2 2 2 8 11 2 2 2 2 3" xfId="28352" xr:uid="{8C0B6274-61D3-48DC-9B7D-0160E8750EE2}"/>
    <cellStyle name="Normal 3 2 2 2 2 2 2 2 2 8 11 2 2 2 2 4" xfId="28353" xr:uid="{5C104D3B-A2E5-4BD2-96F7-E4D139A892E3}"/>
    <cellStyle name="Normal 3 2 2 2 2 2 2 2 2 8 11 2 2 2 3" xfId="28354" xr:uid="{8FBD707A-D125-4D7A-A77C-A17C82038C9A}"/>
    <cellStyle name="Normal 3 2 2 2 2 2 2 2 2 8 11 2 2 2 4" xfId="28355" xr:uid="{6CB487B7-6ADD-48A1-ABEC-3A5CDABB9927}"/>
    <cellStyle name="Normal 3 2 2 2 2 2 2 2 2 8 11 2 2 2 5" xfId="28356" xr:uid="{313AC250-EDB7-4CE0-9DB6-4161872B9E59}"/>
    <cellStyle name="Normal 3 2 2 2 2 2 2 2 2 8 11 2 2 2 6" xfId="28357" xr:uid="{0D994D7C-8F2E-4E14-BB9F-9B91508A0BB6}"/>
    <cellStyle name="Normal 3 2 2 2 2 2 2 2 2 8 11 2 2 3" xfId="28358" xr:uid="{B862781B-0048-4AA3-892F-52379D773283}"/>
    <cellStyle name="Normal 3 2 2 2 2 2 2 2 2 8 11 2 2 4" xfId="28359" xr:uid="{CB8DE760-B706-4153-97E7-BF30182F4B82}"/>
    <cellStyle name="Normal 3 2 2 2 2 2 2 2 2 8 11 2 2 5" xfId="28360" xr:uid="{9763E4C4-FB32-4EEB-9CD2-E26C96018039}"/>
    <cellStyle name="Normal 3 2 2 2 2 2 2 2 2 8 11 2 2 6" xfId="28361" xr:uid="{F5CB3A1E-85A8-4791-9423-3A7CB1A789E5}"/>
    <cellStyle name="Normal 3 2 2 2 2 2 2 2 2 8 11 2 2 7" xfId="28362" xr:uid="{857E68EE-4DA6-45CC-819D-88B8CE80A8A4}"/>
    <cellStyle name="Normal 3 2 2 2 2 2 2 2 2 8 11 2 2 8" xfId="28363" xr:uid="{543CC915-6F07-49F9-9726-E1CF13BCC8E4}"/>
    <cellStyle name="Normal 3 2 2 2 2 2 2 2 2 8 11 2 2 8 2" xfId="28364" xr:uid="{3B8E7B1B-C964-4A22-8BF4-2199414BF645}"/>
    <cellStyle name="Normal 3 2 2 2 2 2 2 2 2 8 11 2 2 8 3" xfId="28365" xr:uid="{58CAB227-DDEB-49D1-B91C-C078B9A2DBA9}"/>
    <cellStyle name="Normal 3 2 2 2 2 2 2 2 2 8 11 2 2 8 4" xfId="28366" xr:uid="{303F69A2-2995-4109-BCBB-526C5551E3DC}"/>
    <cellStyle name="Normal 3 2 2 2 2 2 2 2 2 8 11 2 2 9" xfId="28367" xr:uid="{32115CA8-5D19-4472-AA65-F0E4A62C59B5}"/>
    <cellStyle name="Normal 3 2 2 2 2 2 2 2 2 8 11 2 3" xfId="28368" xr:uid="{B21AF5EB-F51D-4DDC-9884-F6561A451A3F}"/>
    <cellStyle name="Normal 3 2 2 2 2 2 2 2 2 8 11 2 3 2" xfId="28369" xr:uid="{7928318C-A21E-4777-A338-9CE90E242591}"/>
    <cellStyle name="Normal 3 2 2 2 2 2 2 2 2 8 11 2 3 2 2" xfId="28370" xr:uid="{4E5D3B02-A950-45C0-AA5E-CF4CF0437B4F}"/>
    <cellStyle name="Normal 3 2 2 2 2 2 2 2 2 8 11 2 3 2 3" xfId="28371" xr:uid="{2F38E59E-70EE-4129-84ED-76D4B54D5FC4}"/>
    <cellStyle name="Normal 3 2 2 2 2 2 2 2 2 8 11 2 3 2 4" xfId="28372" xr:uid="{DEC9E07E-129D-4747-80F0-852D0C9B1A06}"/>
    <cellStyle name="Normal 3 2 2 2 2 2 2 2 2 8 11 2 3 3" xfId="28373" xr:uid="{40AD9AB2-1F8A-45C2-8C00-A2555FCB76E3}"/>
    <cellStyle name="Normal 3 2 2 2 2 2 2 2 2 8 11 2 3 4" xfId="28374" xr:uid="{8201F88B-C651-4A1F-B5DA-DD41E0A87914}"/>
    <cellStyle name="Normal 3 2 2 2 2 2 2 2 2 8 11 2 3 5" xfId="28375" xr:uid="{F9255E9D-80DA-49E1-B165-E26EEB423598}"/>
    <cellStyle name="Normal 3 2 2 2 2 2 2 2 2 8 11 2 3 6" xfId="28376" xr:uid="{341EB761-0D22-4937-884B-16F5B14EF604}"/>
    <cellStyle name="Normal 3 2 2 2 2 2 2 2 2 8 11 2 4" xfId="28377" xr:uid="{1BE785B2-CE3F-40DF-99F8-890BEB0E6E73}"/>
    <cellStyle name="Normal 3 2 2 2 2 2 2 2 2 8 11 2 5" xfId="28378" xr:uid="{1016DABE-741E-4994-BA98-92EFC2D60DB8}"/>
    <cellStyle name="Normal 3 2 2 2 2 2 2 2 2 8 11 2 6" xfId="28379" xr:uid="{5E4D856B-7874-45E9-8EEF-BFA5113D103E}"/>
    <cellStyle name="Normal 3 2 2 2 2 2 2 2 2 8 11 2 7" xfId="28380" xr:uid="{772F1150-E8A3-4A6E-B890-8D8AE9E89339}"/>
    <cellStyle name="Normal 3 2 2 2 2 2 2 2 2 8 11 2 8" xfId="28381" xr:uid="{17D91C71-4ABC-4D05-AE41-27F8216FC045}"/>
    <cellStyle name="Normal 3 2 2 2 2 2 2 2 2 8 11 2 8 2" xfId="28382" xr:uid="{F6BFB8CE-D206-4427-A09A-4E26ECEEE4F4}"/>
    <cellStyle name="Normal 3 2 2 2 2 2 2 2 2 8 11 2 8 3" xfId="28383" xr:uid="{F5AE7994-3A24-4279-8CCD-C5F294AD755B}"/>
    <cellStyle name="Normal 3 2 2 2 2 2 2 2 2 8 11 2 8 4" xfId="28384" xr:uid="{75501A20-0EDA-4ACC-94BA-03E2B3598487}"/>
    <cellStyle name="Normal 3 2 2 2 2 2 2 2 2 8 11 2 9" xfId="28385" xr:uid="{713CB622-9982-45A4-B7FC-44467021BF2B}"/>
    <cellStyle name="Normal 3 2 2 2 2 2 2 2 2 8 11 3" xfId="28386" xr:uid="{9F692951-E1E8-47C5-8758-2BF3863DB6B5}"/>
    <cellStyle name="Normal 3 2 2 2 2 2 2 2 2 8 11 4" xfId="28387" xr:uid="{A23E5919-DCB8-47E2-8E1F-2EF5621343DA}"/>
    <cellStyle name="Normal 3 2 2 2 2 2 2 2 2 8 11 5" xfId="28388" xr:uid="{110A009F-4FDD-488B-9039-56EA83EBA340}"/>
    <cellStyle name="Normal 3 2 2 2 2 2 2 2 2 8 11 5 2" xfId="28389" xr:uid="{1B8CB441-9081-4EB7-B65F-1C94EA95BF7B}"/>
    <cellStyle name="Normal 3 2 2 2 2 2 2 2 2 8 11 5 2 2" xfId="28390" xr:uid="{99B8E62D-D12C-4156-841C-8C1B671E89E0}"/>
    <cellStyle name="Normal 3 2 2 2 2 2 2 2 2 8 11 5 2 3" xfId="28391" xr:uid="{596A1B0E-4FB4-4A59-B93E-EE09DF9E49F7}"/>
    <cellStyle name="Normal 3 2 2 2 2 2 2 2 2 8 11 5 2 4" xfId="28392" xr:uid="{61BC7FB1-229C-449D-9016-4FFF51CC33D5}"/>
    <cellStyle name="Normal 3 2 2 2 2 2 2 2 2 8 11 5 3" xfId="28393" xr:uid="{7905E95C-DA78-4B41-B1DC-316246DF5122}"/>
    <cellStyle name="Normal 3 2 2 2 2 2 2 2 2 8 11 5 4" xfId="28394" xr:uid="{07167C4F-1D1C-430A-83EC-35A8B7C95681}"/>
    <cellStyle name="Normal 3 2 2 2 2 2 2 2 2 8 11 5 5" xfId="28395" xr:uid="{33302179-80E0-423C-9AB3-7281D07070A7}"/>
    <cellStyle name="Normal 3 2 2 2 2 2 2 2 2 8 11 5 6" xfId="28396" xr:uid="{F9E39DB5-EDB0-4BBD-A2DC-C5B0282B768B}"/>
    <cellStyle name="Normal 3 2 2 2 2 2 2 2 2 8 11 6" xfId="28397" xr:uid="{061D18E2-F9B1-4DB7-BB3E-5E0EC9FE3F74}"/>
    <cellStyle name="Normal 3 2 2 2 2 2 2 2 2 8 11 7" xfId="28398" xr:uid="{F035C087-FA08-4499-8585-CDD1350CD18E}"/>
    <cellStyle name="Normal 3 2 2 2 2 2 2 2 2 8 11 8" xfId="28399" xr:uid="{DBB92355-154D-4214-B1BB-5CDB1F9EAE20}"/>
    <cellStyle name="Normal 3 2 2 2 2 2 2 2 2 8 11 9" xfId="28400" xr:uid="{BEAC2252-34FB-49AC-B64D-4218D31F3FFA}"/>
    <cellStyle name="Normal 3 2 2 2 2 2 2 2 2 8 12" xfId="28401" xr:uid="{7470EDDF-0C92-4F4B-885B-9EAF93AC6365}"/>
    <cellStyle name="Normal 3 2 2 2 2 2 2 2 2 8 13" xfId="28402" xr:uid="{4D5EDD79-6E66-4471-B332-B3A463D625D5}"/>
    <cellStyle name="Normal 3 2 2 2 2 2 2 2 2 8 13 10" xfId="28403" xr:uid="{11682259-9BE7-465C-B4D2-FDCB1BC52175}"/>
    <cellStyle name="Normal 3 2 2 2 2 2 2 2 2 8 13 11" xfId="28404" xr:uid="{69A12920-2A48-46F6-A1E0-0A02E2ABD1B8}"/>
    <cellStyle name="Normal 3 2 2 2 2 2 2 2 2 8 13 2" xfId="28405" xr:uid="{63929613-FBBC-422D-86F4-AF6132740DFB}"/>
    <cellStyle name="Normal 3 2 2 2 2 2 2 2 2 8 13 2 10" xfId="28406" xr:uid="{424529F5-C6E9-4A08-AC6D-B6C3E070E4D9}"/>
    <cellStyle name="Normal 3 2 2 2 2 2 2 2 2 8 13 2 11" xfId="28407" xr:uid="{DCD35F8A-1C73-4567-8D83-7B5BFB65D330}"/>
    <cellStyle name="Normal 3 2 2 2 2 2 2 2 2 8 13 2 2" xfId="28408" xr:uid="{CE487DF2-9692-4EB4-91F2-3FDDE359ADD1}"/>
    <cellStyle name="Normal 3 2 2 2 2 2 2 2 2 8 13 2 2 2" xfId="28409" xr:uid="{18079123-21CF-40B1-B4E0-2236AE65F152}"/>
    <cellStyle name="Normal 3 2 2 2 2 2 2 2 2 8 13 2 2 2 2" xfId="28410" xr:uid="{88B9FBF4-DA2F-4520-8466-0B30D59685A8}"/>
    <cellStyle name="Normal 3 2 2 2 2 2 2 2 2 8 13 2 2 2 3" xfId="28411" xr:uid="{4A2AB610-2011-415F-B7CF-CBC1DCB59D25}"/>
    <cellStyle name="Normal 3 2 2 2 2 2 2 2 2 8 13 2 2 2 4" xfId="28412" xr:uid="{42E62FBF-A13F-4C33-BC7E-B28E47867106}"/>
    <cellStyle name="Normal 3 2 2 2 2 2 2 2 2 8 13 2 2 3" xfId="28413" xr:uid="{F11B404A-EB2B-4D2A-A32B-EF86C5D28C12}"/>
    <cellStyle name="Normal 3 2 2 2 2 2 2 2 2 8 13 2 2 4" xfId="28414" xr:uid="{2B029BB6-201F-4D0D-A1D2-CD1F9823B131}"/>
    <cellStyle name="Normal 3 2 2 2 2 2 2 2 2 8 13 2 2 5" xfId="28415" xr:uid="{2A639945-4DF1-4CA6-A9C7-3A35924DBDE0}"/>
    <cellStyle name="Normal 3 2 2 2 2 2 2 2 2 8 13 2 2 6" xfId="28416" xr:uid="{F2F8241F-4FFD-450B-96CD-8C07C4DE2DA5}"/>
    <cellStyle name="Normal 3 2 2 2 2 2 2 2 2 8 13 2 3" xfId="28417" xr:uid="{556D78A8-01F1-4A34-B74F-C1D6E1C24661}"/>
    <cellStyle name="Normal 3 2 2 2 2 2 2 2 2 8 13 2 4" xfId="28418" xr:uid="{026C26BE-D2D7-4492-B736-E2F0542CE2F6}"/>
    <cellStyle name="Normal 3 2 2 2 2 2 2 2 2 8 13 2 5" xfId="28419" xr:uid="{C7E64D7C-27B6-4D66-BC23-534DD775F3D5}"/>
    <cellStyle name="Normal 3 2 2 2 2 2 2 2 2 8 13 2 6" xfId="28420" xr:uid="{0B85BB5C-A68E-4899-BA95-9ECB49D248FD}"/>
    <cellStyle name="Normal 3 2 2 2 2 2 2 2 2 8 13 2 7" xfId="28421" xr:uid="{64FC3880-5259-4EE5-98C6-6F1AE19C6D51}"/>
    <cellStyle name="Normal 3 2 2 2 2 2 2 2 2 8 13 2 8" xfId="28422" xr:uid="{64E840F4-90EA-423D-83F5-D45D5A007B72}"/>
    <cellStyle name="Normal 3 2 2 2 2 2 2 2 2 8 13 2 8 2" xfId="28423" xr:uid="{0B2EDC4E-25E3-44CE-A743-294DF12A7627}"/>
    <cellStyle name="Normal 3 2 2 2 2 2 2 2 2 8 13 2 8 3" xfId="28424" xr:uid="{C209A3AB-9B09-4620-8919-FE42637E6430}"/>
    <cellStyle name="Normal 3 2 2 2 2 2 2 2 2 8 13 2 8 4" xfId="28425" xr:uid="{4F9BD253-19AB-492C-B9CA-030E54A915BA}"/>
    <cellStyle name="Normal 3 2 2 2 2 2 2 2 2 8 13 2 9" xfId="28426" xr:uid="{63926AAE-2663-4CB0-A202-9CF97309548C}"/>
    <cellStyle name="Normal 3 2 2 2 2 2 2 2 2 8 13 3" xfId="28427" xr:uid="{F2E7A01C-AE28-40BB-B3D8-0B252CFE7B3B}"/>
    <cellStyle name="Normal 3 2 2 2 2 2 2 2 2 8 13 3 2" xfId="28428" xr:uid="{AA3E24AD-4C8E-4A32-90F2-63B86743AAA7}"/>
    <cellStyle name="Normal 3 2 2 2 2 2 2 2 2 8 13 3 2 2" xfId="28429" xr:uid="{67935721-BE46-4F58-96FF-72DAD2779EC7}"/>
    <cellStyle name="Normal 3 2 2 2 2 2 2 2 2 8 13 3 2 3" xfId="28430" xr:uid="{2F512EEC-10D7-4369-9570-98563D0A7E51}"/>
    <cellStyle name="Normal 3 2 2 2 2 2 2 2 2 8 13 3 2 4" xfId="28431" xr:uid="{F9FF1EC9-0103-42A3-BEBD-73ECF8A878E4}"/>
    <cellStyle name="Normal 3 2 2 2 2 2 2 2 2 8 13 3 3" xfId="28432" xr:uid="{B2ED7E50-4BB5-4165-A406-34D10BFC0235}"/>
    <cellStyle name="Normal 3 2 2 2 2 2 2 2 2 8 13 3 4" xfId="28433" xr:uid="{1751DE4B-D40E-4B57-804F-668D9ED6F575}"/>
    <cellStyle name="Normal 3 2 2 2 2 2 2 2 2 8 13 3 5" xfId="28434" xr:uid="{92F5D86C-CD14-426F-8DF4-67CFBA0E6D8B}"/>
    <cellStyle name="Normal 3 2 2 2 2 2 2 2 2 8 13 3 6" xfId="28435" xr:uid="{C4710DD3-5DF8-4539-82E5-91E12C1B09D9}"/>
    <cellStyle name="Normal 3 2 2 2 2 2 2 2 2 8 13 4" xfId="28436" xr:uid="{EBBE884B-01BE-4D53-83D0-C3E75198D4F1}"/>
    <cellStyle name="Normal 3 2 2 2 2 2 2 2 2 8 13 5" xfId="28437" xr:uid="{69B635DD-ACC9-49D2-BA7F-079F77BC9EB5}"/>
    <cellStyle name="Normal 3 2 2 2 2 2 2 2 2 8 13 6" xfId="28438" xr:uid="{8B01B0C1-9A2E-4844-B55A-7088560C3C9A}"/>
    <cellStyle name="Normal 3 2 2 2 2 2 2 2 2 8 13 7" xfId="28439" xr:uid="{181C0E0C-07D6-4F61-BC96-14012AAD1141}"/>
    <cellStyle name="Normal 3 2 2 2 2 2 2 2 2 8 13 8" xfId="28440" xr:uid="{94C4E7B9-1DAC-4931-B2EF-48999AC7265C}"/>
    <cellStyle name="Normal 3 2 2 2 2 2 2 2 2 8 13 8 2" xfId="28441" xr:uid="{4DD83D36-6356-4A81-BD06-A3DBE20F96D5}"/>
    <cellStyle name="Normal 3 2 2 2 2 2 2 2 2 8 13 8 3" xfId="28442" xr:uid="{99B06454-B308-4826-8D04-6BA4961906BC}"/>
    <cellStyle name="Normal 3 2 2 2 2 2 2 2 2 8 13 8 4" xfId="28443" xr:uid="{DE318395-AE11-499B-927D-6D92E1D11545}"/>
    <cellStyle name="Normal 3 2 2 2 2 2 2 2 2 8 13 9" xfId="28444" xr:uid="{839AC718-0012-42D5-94B5-AD9DD0493BAB}"/>
    <cellStyle name="Normal 3 2 2 2 2 2 2 2 2 8 14" xfId="28445" xr:uid="{7AFD0FBC-7E32-4199-B7A0-05082690AE83}"/>
    <cellStyle name="Normal 3 2 2 2 2 2 2 2 2 8 15" xfId="28446" xr:uid="{5CD66814-4AC5-4FFD-9FB8-EC5F03DF8A2B}"/>
    <cellStyle name="Normal 3 2 2 2 2 2 2 2 2 8 15 2" xfId="28447" xr:uid="{5B64FBAF-BF8F-48A4-B4BE-1EAF0DCE210B}"/>
    <cellStyle name="Normal 3 2 2 2 2 2 2 2 2 8 15 2 2" xfId="28448" xr:uid="{EDD8CF0E-81EE-47A9-BDFC-C67A234547DD}"/>
    <cellStyle name="Normal 3 2 2 2 2 2 2 2 2 8 15 2 3" xfId="28449" xr:uid="{2236DBBB-8D89-4F24-851A-C0236FFD780F}"/>
    <cellStyle name="Normal 3 2 2 2 2 2 2 2 2 8 15 2 4" xfId="28450" xr:uid="{1BAC2795-3523-4F4C-9205-6B528A70B80D}"/>
    <cellStyle name="Normal 3 2 2 2 2 2 2 2 2 8 15 3" xfId="28451" xr:uid="{143F8082-92DD-4026-9984-DC3BE2290A66}"/>
    <cellStyle name="Normal 3 2 2 2 2 2 2 2 2 8 15 4" xfId="28452" xr:uid="{145D9700-D942-4DA2-A5ED-C12B6024941C}"/>
    <cellStyle name="Normal 3 2 2 2 2 2 2 2 2 8 15 5" xfId="28453" xr:uid="{9B8D9A43-1A79-4E0B-876C-DB2978DD8886}"/>
    <cellStyle name="Normal 3 2 2 2 2 2 2 2 2 8 15 6" xfId="28454" xr:uid="{3F2AAFA1-13DE-44D0-B1D9-C826617EF1E3}"/>
    <cellStyle name="Normal 3 2 2 2 2 2 2 2 2 8 16" xfId="28455" xr:uid="{992E193C-2261-4775-93B3-FB73315A0F79}"/>
    <cellStyle name="Normal 3 2 2 2 2 2 2 2 2 8 17" xfId="28456" xr:uid="{D8DDF079-6D69-4372-8A80-4AF52E4222F2}"/>
    <cellStyle name="Normal 3 2 2 2 2 2 2 2 2 8 18" xfId="28457" xr:uid="{FA5CDCE3-A78E-40C9-BE8E-2F75298B534F}"/>
    <cellStyle name="Normal 3 2 2 2 2 2 2 2 2 8 19" xfId="28458" xr:uid="{BDDA9FA1-4B3B-40FE-A33F-EC215769DFBF}"/>
    <cellStyle name="Normal 3 2 2 2 2 2 2 2 2 8 2" xfId="28459" xr:uid="{CC753248-4C57-41A5-A679-FDE845C1C8C1}"/>
    <cellStyle name="Normal 3 2 2 2 2 2 2 2 2 8 2 10" xfId="28460" xr:uid="{317A6FF4-554F-4703-AF74-7B01E9D7A247}"/>
    <cellStyle name="Normal 3 2 2 2 2 2 2 2 2 8 2 11" xfId="28461" xr:uid="{732ECBAD-5EE5-4CEB-9241-FDC8C35B1416}"/>
    <cellStyle name="Normal 3 2 2 2 2 2 2 2 2 8 2 12" xfId="28462" xr:uid="{12834325-C88C-4A52-8CED-B8A7EBACF0AB}"/>
    <cellStyle name="Normal 3 2 2 2 2 2 2 2 2 8 2 13" xfId="28463" xr:uid="{B99539EC-E28E-47C3-B58B-A00FE3D3AA65}"/>
    <cellStyle name="Normal 3 2 2 2 2 2 2 2 2 8 2 13 2" xfId="28464" xr:uid="{19D2D8A9-E7DA-41F1-B493-68E2CF6D2CAD}"/>
    <cellStyle name="Normal 3 2 2 2 2 2 2 2 2 8 2 13 3" xfId="28465" xr:uid="{06AB419B-BFF3-46C2-BE71-89E88187A00F}"/>
    <cellStyle name="Normal 3 2 2 2 2 2 2 2 2 8 2 13 4" xfId="28466" xr:uid="{105F990B-ED5C-4E1A-A95D-96D626EB5E54}"/>
    <cellStyle name="Normal 3 2 2 2 2 2 2 2 2 8 2 14" xfId="28467" xr:uid="{3B1C8604-7215-444D-A738-AF31B2371B9B}"/>
    <cellStyle name="Normal 3 2 2 2 2 2 2 2 2 8 2 15" xfId="28468" xr:uid="{ABB2B3CC-8790-4B97-AEA9-147187A76EF3}"/>
    <cellStyle name="Normal 3 2 2 2 2 2 2 2 2 8 2 16" xfId="28469" xr:uid="{65EA1897-3372-4D72-8028-79961AD582B2}"/>
    <cellStyle name="Normal 3 2 2 2 2 2 2 2 2 8 2 2" xfId="28470" xr:uid="{5215246E-B46E-4008-A256-96D34057CB75}"/>
    <cellStyle name="Normal 3 2 2 2 2 2 2 2 2 8 2 2 10" xfId="28471" xr:uid="{7332B47B-8FE8-4FB5-9D01-FCE739651390}"/>
    <cellStyle name="Normal 3 2 2 2 2 2 2 2 2 8 2 2 11" xfId="28472" xr:uid="{7E7F6624-2D69-4D54-A912-CC2E1C96A09D}"/>
    <cellStyle name="Normal 3 2 2 2 2 2 2 2 2 8 2 2 11 2" xfId="28473" xr:uid="{CFEF5894-D3E6-4FC1-9F5D-2C54241D7018}"/>
    <cellStyle name="Normal 3 2 2 2 2 2 2 2 2 8 2 2 11 3" xfId="28474" xr:uid="{D25802FD-D68A-4F94-B8D7-9300FD3AA1CA}"/>
    <cellStyle name="Normal 3 2 2 2 2 2 2 2 2 8 2 2 11 4" xfId="28475" xr:uid="{22BAE59B-7CEE-4F94-A6C2-952C555AD26E}"/>
    <cellStyle name="Normal 3 2 2 2 2 2 2 2 2 8 2 2 12" xfId="28476" xr:uid="{9D0E44DA-B7D6-4B44-B07F-16623D889EE0}"/>
    <cellStyle name="Normal 3 2 2 2 2 2 2 2 2 8 2 2 13" xfId="28477" xr:uid="{D4970CA2-5C55-45E9-8E55-39F45DD812E9}"/>
    <cellStyle name="Normal 3 2 2 2 2 2 2 2 2 8 2 2 14" xfId="28478" xr:uid="{DA28A915-D7EF-4527-9B58-E04E90954F29}"/>
    <cellStyle name="Normal 3 2 2 2 2 2 2 2 2 8 2 2 2" xfId="28479" xr:uid="{2F921FF3-5C4F-4A6C-9756-9F2363D179C8}"/>
    <cellStyle name="Normal 3 2 2 2 2 2 2 2 2 8 2 2 2 10" xfId="28480" xr:uid="{8AFFDE02-964C-4391-878E-8D3A15FA0FE3}"/>
    <cellStyle name="Normal 3 2 2 2 2 2 2 2 2 8 2 2 2 11" xfId="28481" xr:uid="{F0B0AB19-4FE3-4670-ADCC-15A62DDC6DCC}"/>
    <cellStyle name="Normal 3 2 2 2 2 2 2 2 2 8 2 2 2 2" xfId="28482" xr:uid="{90B3716F-E6AA-494F-A820-AC18B637F4CF}"/>
    <cellStyle name="Normal 3 2 2 2 2 2 2 2 2 8 2 2 2 2 10" xfId="28483" xr:uid="{DCE28B47-E5D7-46E6-9A49-4A9DBDD28A17}"/>
    <cellStyle name="Normal 3 2 2 2 2 2 2 2 2 8 2 2 2 2 11" xfId="28484" xr:uid="{92ECBB66-C795-41C7-BBF5-2E9EC5075CC9}"/>
    <cellStyle name="Normal 3 2 2 2 2 2 2 2 2 8 2 2 2 2 2" xfId="28485" xr:uid="{56D06AEE-C807-44C9-857B-61788510FDD1}"/>
    <cellStyle name="Normal 3 2 2 2 2 2 2 2 2 8 2 2 2 2 2 2" xfId="28486" xr:uid="{ED6B4C28-9811-409E-8B90-2A44E08AC73E}"/>
    <cellStyle name="Normal 3 2 2 2 2 2 2 2 2 8 2 2 2 2 2 2 2" xfId="28487" xr:uid="{69757F2B-2D87-4B47-9091-0E760D7B61DF}"/>
    <cellStyle name="Normal 3 2 2 2 2 2 2 2 2 8 2 2 2 2 2 2 3" xfId="28488" xr:uid="{389000EF-32A2-4F38-BAF8-31EFD00A2456}"/>
    <cellStyle name="Normal 3 2 2 2 2 2 2 2 2 8 2 2 2 2 2 2 4" xfId="28489" xr:uid="{BAB11F62-BE26-4871-81DA-3232816E1234}"/>
    <cellStyle name="Normal 3 2 2 2 2 2 2 2 2 8 2 2 2 2 2 3" xfId="28490" xr:uid="{C3FCA91A-7087-461F-9B0C-1E038BDC575F}"/>
    <cellStyle name="Normal 3 2 2 2 2 2 2 2 2 8 2 2 2 2 2 4" xfId="28491" xr:uid="{6C66E329-99F2-48F3-9455-D72DFA5BAB1A}"/>
    <cellStyle name="Normal 3 2 2 2 2 2 2 2 2 8 2 2 2 2 2 5" xfId="28492" xr:uid="{67E9BD39-CBD4-4F47-A442-6409FB9E15EB}"/>
    <cellStyle name="Normal 3 2 2 2 2 2 2 2 2 8 2 2 2 2 2 6" xfId="28493" xr:uid="{A03B1E74-BB9B-4B8C-B80A-DE99702C19E5}"/>
    <cellStyle name="Normal 3 2 2 2 2 2 2 2 2 8 2 2 2 2 3" xfId="28494" xr:uid="{B00952A3-6403-43CB-9210-5169E9C62A1B}"/>
    <cellStyle name="Normal 3 2 2 2 2 2 2 2 2 8 2 2 2 2 4" xfId="28495" xr:uid="{5727F6AD-B160-4E28-A99A-D09FE9B3ABE0}"/>
    <cellStyle name="Normal 3 2 2 2 2 2 2 2 2 8 2 2 2 2 5" xfId="28496" xr:uid="{6250AAD3-233F-42E2-9231-E43372395280}"/>
    <cellStyle name="Normal 3 2 2 2 2 2 2 2 2 8 2 2 2 2 6" xfId="28497" xr:uid="{5D598242-9CD8-46D8-B81C-CD48F074E8A7}"/>
    <cellStyle name="Normal 3 2 2 2 2 2 2 2 2 8 2 2 2 2 7" xfId="28498" xr:uid="{0BF5826D-C36B-4477-B4E5-6B2E1FA0D502}"/>
    <cellStyle name="Normal 3 2 2 2 2 2 2 2 2 8 2 2 2 2 8" xfId="28499" xr:uid="{5020DC78-B0DD-4580-A60D-601232F622E9}"/>
    <cellStyle name="Normal 3 2 2 2 2 2 2 2 2 8 2 2 2 2 8 2" xfId="28500" xr:uid="{05E0F6E9-1488-4BB8-8DCE-4777B530CD1F}"/>
    <cellStyle name="Normal 3 2 2 2 2 2 2 2 2 8 2 2 2 2 8 3" xfId="28501" xr:uid="{D8FE9399-61A7-4089-8D20-6A27FEDFD611}"/>
    <cellStyle name="Normal 3 2 2 2 2 2 2 2 2 8 2 2 2 2 8 4" xfId="28502" xr:uid="{AFB79BAD-37DE-4716-9294-6B1176DB224A}"/>
    <cellStyle name="Normal 3 2 2 2 2 2 2 2 2 8 2 2 2 2 9" xfId="28503" xr:uid="{D39BEA8F-CF8F-4CC2-8BAD-1D2D7833E5D9}"/>
    <cellStyle name="Normal 3 2 2 2 2 2 2 2 2 8 2 2 2 3" xfId="28504" xr:uid="{703CFCD7-F132-448D-B623-241825490FE2}"/>
    <cellStyle name="Normal 3 2 2 2 2 2 2 2 2 8 2 2 2 3 2" xfId="28505" xr:uid="{D1C1CCE0-0D09-4771-B124-855D5BABB8D4}"/>
    <cellStyle name="Normal 3 2 2 2 2 2 2 2 2 8 2 2 2 3 2 2" xfId="28506" xr:uid="{D75C948F-37D3-42BF-A13A-90F2D88B2570}"/>
    <cellStyle name="Normal 3 2 2 2 2 2 2 2 2 8 2 2 2 3 2 3" xfId="28507" xr:uid="{9EAF7860-F875-4913-8785-FE79C354C978}"/>
    <cellStyle name="Normal 3 2 2 2 2 2 2 2 2 8 2 2 2 3 2 4" xfId="28508" xr:uid="{B9A4EB77-3683-48DE-B246-70B42808F0B2}"/>
    <cellStyle name="Normal 3 2 2 2 2 2 2 2 2 8 2 2 2 3 3" xfId="28509" xr:uid="{CCE6695C-75EC-4758-9891-AD7891798EEB}"/>
    <cellStyle name="Normal 3 2 2 2 2 2 2 2 2 8 2 2 2 3 4" xfId="28510" xr:uid="{908FA285-D8F0-4869-8328-470276158258}"/>
    <cellStyle name="Normal 3 2 2 2 2 2 2 2 2 8 2 2 2 3 5" xfId="28511" xr:uid="{A2A8E680-454C-494B-B6BD-DBE877E12600}"/>
    <cellStyle name="Normal 3 2 2 2 2 2 2 2 2 8 2 2 2 3 6" xfId="28512" xr:uid="{0B4294AA-F971-4974-A2DB-F12098DFC6B2}"/>
    <cellStyle name="Normal 3 2 2 2 2 2 2 2 2 8 2 2 2 4" xfId="28513" xr:uid="{93158626-AB94-48F2-8AC7-A3B1D9C443DE}"/>
    <cellStyle name="Normal 3 2 2 2 2 2 2 2 2 8 2 2 2 5" xfId="28514" xr:uid="{E8D07427-7BE5-498D-B932-0BF0C73AAFCC}"/>
    <cellStyle name="Normal 3 2 2 2 2 2 2 2 2 8 2 2 2 6" xfId="28515" xr:uid="{2226A5CF-0D85-4BD0-AAB6-E529AF37F569}"/>
    <cellStyle name="Normal 3 2 2 2 2 2 2 2 2 8 2 2 2 7" xfId="28516" xr:uid="{13CABBB1-0242-4E45-A201-F7EF3B752B0F}"/>
    <cellStyle name="Normal 3 2 2 2 2 2 2 2 2 8 2 2 2 8" xfId="28517" xr:uid="{31879A7E-7E8E-43E8-954F-F81B4AED6654}"/>
    <cellStyle name="Normal 3 2 2 2 2 2 2 2 2 8 2 2 2 8 2" xfId="28518" xr:uid="{42EE3C0C-BF4D-4B1B-97FF-1DE8897A1EAD}"/>
    <cellStyle name="Normal 3 2 2 2 2 2 2 2 2 8 2 2 2 8 3" xfId="28519" xr:uid="{34D60CD3-5277-4539-86D5-4E2C31788860}"/>
    <cellStyle name="Normal 3 2 2 2 2 2 2 2 2 8 2 2 2 8 4" xfId="28520" xr:uid="{A47675D1-4AF6-40F7-B981-CECB3B99700C}"/>
    <cellStyle name="Normal 3 2 2 2 2 2 2 2 2 8 2 2 2 9" xfId="28521" xr:uid="{4E33CB3A-F75D-4A9A-AA45-72C7F75A5887}"/>
    <cellStyle name="Normal 3 2 2 2 2 2 2 2 2 8 2 2 3" xfId="28522" xr:uid="{29B722AC-BC01-4E16-A175-09389A6BEAAC}"/>
    <cellStyle name="Normal 3 2 2 2 2 2 2 2 2 8 2 2 4" xfId="28523" xr:uid="{6415ACA9-6A89-4AC5-A0C8-1162CCE744BD}"/>
    <cellStyle name="Normal 3 2 2 2 2 2 2 2 2 8 2 2 5" xfId="28524" xr:uid="{7F6DBBE8-C39E-4DE8-A649-EEA908E3034A}"/>
    <cellStyle name="Normal 3 2 2 2 2 2 2 2 2 8 2 2 5 2" xfId="28525" xr:uid="{89A66D07-ECA8-4CAF-8B4A-22D70FEC4E38}"/>
    <cellStyle name="Normal 3 2 2 2 2 2 2 2 2 8 2 2 5 2 2" xfId="28526" xr:uid="{E7B441D4-2346-4676-BEAE-FCAC989F930E}"/>
    <cellStyle name="Normal 3 2 2 2 2 2 2 2 2 8 2 2 5 2 3" xfId="28527" xr:uid="{6125CF73-1FCF-4D3A-9CCD-B40D56A68C49}"/>
    <cellStyle name="Normal 3 2 2 2 2 2 2 2 2 8 2 2 5 2 4" xfId="28528" xr:uid="{4EF069BA-DAE1-4795-A1B7-1E34232DFFAA}"/>
    <cellStyle name="Normal 3 2 2 2 2 2 2 2 2 8 2 2 5 3" xfId="28529" xr:uid="{95825563-9AE4-4B2A-AAAE-A1E95A180C2D}"/>
    <cellStyle name="Normal 3 2 2 2 2 2 2 2 2 8 2 2 5 4" xfId="28530" xr:uid="{C97CCF81-E87A-4EF8-BE71-067922CBE706}"/>
    <cellStyle name="Normal 3 2 2 2 2 2 2 2 2 8 2 2 5 5" xfId="28531" xr:uid="{42DBD42A-1B08-457E-AA31-C9DA6B9084FC}"/>
    <cellStyle name="Normal 3 2 2 2 2 2 2 2 2 8 2 2 5 6" xfId="28532" xr:uid="{BEE4A2B5-6105-4873-BE28-C87F1EFC6D36}"/>
    <cellStyle name="Normal 3 2 2 2 2 2 2 2 2 8 2 2 6" xfId="28533" xr:uid="{91D47312-4360-4462-AADC-CB97CC72887B}"/>
    <cellStyle name="Normal 3 2 2 2 2 2 2 2 2 8 2 2 7" xfId="28534" xr:uid="{F111333A-964A-47C7-A727-B0543B94F855}"/>
    <cellStyle name="Normal 3 2 2 2 2 2 2 2 2 8 2 2 8" xfId="28535" xr:uid="{FC2DB800-0DCC-4891-8A2C-FEE5C5F019BA}"/>
    <cellStyle name="Normal 3 2 2 2 2 2 2 2 2 8 2 2 9" xfId="28536" xr:uid="{B9AD206C-4BED-4956-90BC-FFB68E32244F}"/>
    <cellStyle name="Normal 3 2 2 2 2 2 2 2 2 8 2 3" xfId="28537" xr:uid="{8EB5D9C2-DB2D-4CFF-9CF1-3353D3ED3BAA}"/>
    <cellStyle name="Normal 3 2 2 2 2 2 2 2 2 8 2 4" xfId="28538" xr:uid="{FAE0B09E-4465-485A-A7CA-36C61D2138C1}"/>
    <cellStyle name="Normal 3 2 2 2 2 2 2 2 2 8 2 5" xfId="28539" xr:uid="{14DBE26A-1BDF-4C75-B131-40DF0910DFB8}"/>
    <cellStyle name="Normal 3 2 2 2 2 2 2 2 2 8 2 5 10" xfId="28540" xr:uid="{0C0E4141-DE4C-4D6E-97A8-11F744A03E36}"/>
    <cellStyle name="Normal 3 2 2 2 2 2 2 2 2 8 2 5 11" xfId="28541" xr:uid="{280BD46B-610F-4C54-B421-5EFC4A81E9E0}"/>
    <cellStyle name="Normal 3 2 2 2 2 2 2 2 2 8 2 5 2" xfId="28542" xr:uid="{43DA8EAD-8F38-4351-948F-55F1A17FBFB6}"/>
    <cellStyle name="Normal 3 2 2 2 2 2 2 2 2 8 2 5 2 10" xfId="28543" xr:uid="{485D5357-06F0-4EEB-8246-CD76CB938319}"/>
    <cellStyle name="Normal 3 2 2 2 2 2 2 2 2 8 2 5 2 11" xfId="28544" xr:uid="{992356CB-628A-4699-820F-61D1C46B4365}"/>
    <cellStyle name="Normal 3 2 2 2 2 2 2 2 2 8 2 5 2 2" xfId="28545" xr:uid="{288E5211-9BEA-47C6-9EB5-DD4FC7E044A7}"/>
    <cellStyle name="Normal 3 2 2 2 2 2 2 2 2 8 2 5 2 2 2" xfId="28546" xr:uid="{78ED7F64-7D14-4860-B2D8-C034C9412045}"/>
    <cellStyle name="Normal 3 2 2 2 2 2 2 2 2 8 2 5 2 2 2 2" xfId="28547" xr:uid="{5F2B396F-9520-45A3-8718-B9F4FCAAF1E6}"/>
    <cellStyle name="Normal 3 2 2 2 2 2 2 2 2 8 2 5 2 2 2 3" xfId="28548" xr:uid="{693DA219-2DE8-4FB7-AB52-59E7CD235A4E}"/>
    <cellStyle name="Normal 3 2 2 2 2 2 2 2 2 8 2 5 2 2 2 4" xfId="28549" xr:uid="{C3A7F0EE-B312-485F-9D44-C4AE56459125}"/>
    <cellStyle name="Normal 3 2 2 2 2 2 2 2 2 8 2 5 2 2 3" xfId="28550" xr:uid="{DE6521D3-8D65-4925-A99D-7F7CEA8D00BA}"/>
    <cellStyle name="Normal 3 2 2 2 2 2 2 2 2 8 2 5 2 2 4" xfId="28551" xr:uid="{0D7B58BB-8F4C-4222-B7CE-EF8BD85F4056}"/>
    <cellStyle name="Normal 3 2 2 2 2 2 2 2 2 8 2 5 2 2 5" xfId="28552" xr:uid="{B453DF2E-2FAB-4397-A74A-484D8138D443}"/>
    <cellStyle name="Normal 3 2 2 2 2 2 2 2 2 8 2 5 2 2 6" xfId="28553" xr:uid="{A3A3C966-1EF3-4196-8BBC-C965A5930FF1}"/>
    <cellStyle name="Normal 3 2 2 2 2 2 2 2 2 8 2 5 2 3" xfId="28554" xr:uid="{FFE59578-E599-4D44-BEAA-3EE4739166D3}"/>
    <cellStyle name="Normal 3 2 2 2 2 2 2 2 2 8 2 5 2 4" xfId="28555" xr:uid="{AFB38BDE-81DF-4C60-BE9E-5CC5058DBD64}"/>
    <cellStyle name="Normal 3 2 2 2 2 2 2 2 2 8 2 5 2 5" xfId="28556" xr:uid="{90A9A5F7-9F15-4AD2-ADD7-4373E17C5588}"/>
    <cellStyle name="Normal 3 2 2 2 2 2 2 2 2 8 2 5 2 6" xfId="28557" xr:uid="{7A24699A-3767-455E-B65F-C6A5BE36FB4C}"/>
    <cellStyle name="Normal 3 2 2 2 2 2 2 2 2 8 2 5 2 7" xfId="28558" xr:uid="{C534599F-F264-4B1A-87DD-AC0B4291AFDF}"/>
    <cellStyle name="Normal 3 2 2 2 2 2 2 2 2 8 2 5 2 8" xfId="28559" xr:uid="{4403F626-E8A4-4558-AA2A-D89C27CB9C8C}"/>
    <cellStyle name="Normal 3 2 2 2 2 2 2 2 2 8 2 5 2 8 2" xfId="28560" xr:uid="{3A32500E-A16E-4E02-A926-C4101095B6D4}"/>
    <cellStyle name="Normal 3 2 2 2 2 2 2 2 2 8 2 5 2 8 3" xfId="28561" xr:uid="{2B9762B7-ABEA-4FA7-A6C5-4EE9F5130EDD}"/>
    <cellStyle name="Normal 3 2 2 2 2 2 2 2 2 8 2 5 2 8 4" xfId="28562" xr:uid="{2227F1B6-6823-447A-9603-94B38FE87D3D}"/>
    <cellStyle name="Normal 3 2 2 2 2 2 2 2 2 8 2 5 2 9" xfId="28563" xr:uid="{F9AA96B1-CA0F-473E-8542-E23E59E05FC4}"/>
    <cellStyle name="Normal 3 2 2 2 2 2 2 2 2 8 2 5 3" xfId="28564" xr:uid="{C4E90A18-6BE4-4E1B-92C1-6CA2AB9752E9}"/>
    <cellStyle name="Normal 3 2 2 2 2 2 2 2 2 8 2 5 3 2" xfId="28565" xr:uid="{3D4F940D-0656-4D91-B165-798D6745D8FB}"/>
    <cellStyle name="Normal 3 2 2 2 2 2 2 2 2 8 2 5 3 2 2" xfId="28566" xr:uid="{F6AE0EC8-30BD-4343-A426-4153D19B4B0F}"/>
    <cellStyle name="Normal 3 2 2 2 2 2 2 2 2 8 2 5 3 2 3" xfId="28567" xr:uid="{83E6DC53-ADB1-475B-B3F3-EC80015BF284}"/>
    <cellStyle name="Normal 3 2 2 2 2 2 2 2 2 8 2 5 3 2 4" xfId="28568" xr:uid="{81C763BA-D230-4013-A5A2-5B2354E3386E}"/>
    <cellStyle name="Normal 3 2 2 2 2 2 2 2 2 8 2 5 3 3" xfId="28569" xr:uid="{7B9E21DC-F60B-4965-9C77-407A57C42BE7}"/>
    <cellStyle name="Normal 3 2 2 2 2 2 2 2 2 8 2 5 3 4" xfId="28570" xr:uid="{0F3D2343-D114-40DD-9D4B-DAB4777A79DE}"/>
    <cellStyle name="Normal 3 2 2 2 2 2 2 2 2 8 2 5 3 5" xfId="28571" xr:uid="{D97B5A0A-0EE4-4314-9088-6CF749DE6157}"/>
    <cellStyle name="Normal 3 2 2 2 2 2 2 2 2 8 2 5 3 6" xfId="28572" xr:uid="{D9244F05-F445-400F-9B53-042A32D15D51}"/>
    <cellStyle name="Normal 3 2 2 2 2 2 2 2 2 8 2 5 4" xfId="28573" xr:uid="{EC00713B-722A-4AA8-A971-5A0773201AA5}"/>
    <cellStyle name="Normal 3 2 2 2 2 2 2 2 2 8 2 5 5" xfId="28574" xr:uid="{0F8FA972-41B9-4997-9457-1DAD7D9A68C8}"/>
    <cellStyle name="Normal 3 2 2 2 2 2 2 2 2 8 2 5 6" xfId="28575" xr:uid="{B7AD24E1-CEB1-40C8-8A77-C01D2B4DE94C}"/>
    <cellStyle name="Normal 3 2 2 2 2 2 2 2 2 8 2 5 7" xfId="28576" xr:uid="{E93F1A68-BB1D-4BA2-885B-7064DA5FFE7D}"/>
    <cellStyle name="Normal 3 2 2 2 2 2 2 2 2 8 2 5 8" xfId="28577" xr:uid="{82E3139E-3A35-49A0-8870-AFFAD116E8F1}"/>
    <cellStyle name="Normal 3 2 2 2 2 2 2 2 2 8 2 5 8 2" xfId="28578" xr:uid="{48BA47F1-BE48-4C49-9F61-BB74C3AB2A67}"/>
    <cellStyle name="Normal 3 2 2 2 2 2 2 2 2 8 2 5 8 3" xfId="28579" xr:uid="{FA7F43B8-965A-4325-829B-45CE59A473E7}"/>
    <cellStyle name="Normal 3 2 2 2 2 2 2 2 2 8 2 5 8 4" xfId="28580" xr:uid="{E392827A-EEDE-4D1D-ADA6-9196189B0E56}"/>
    <cellStyle name="Normal 3 2 2 2 2 2 2 2 2 8 2 5 9" xfId="28581" xr:uid="{C5A596DF-DB2A-4D28-975E-5D9A11648C02}"/>
    <cellStyle name="Normal 3 2 2 2 2 2 2 2 2 8 2 6" xfId="28582" xr:uid="{6B6029EE-4242-4046-A75B-42F621F6305D}"/>
    <cellStyle name="Normal 3 2 2 2 2 2 2 2 2 8 2 7" xfId="28583" xr:uid="{74E33DAB-B2D9-4EC7-B426-61766A76B2EE}"/>
    <cellStyle name="Normal 3 2 2 2 2 2 2 2 2 8 2 7 2" xfId="28584" xr:uid="{A0C6CD8B-6E84-4F27-86DD-0DFD6F6C3347}"/>
    <cellStyle name="Normal 3 2 2 2 2 2 2 2 2 8 2 7 2 2" xfId="28585" xr:uid="{46CA9D66-D21A-4E06-8563-59C6CFFA2B08}"/>
    <cellStyle name="Normal 3 2 2 2 2 2 2 2 2 8 2 7 2 3" xfId="28586" xr:uid="{CE42FD98-673C-4BC3-925C-B34D5BC80F7F}"/>
    <cellStyle name="Normal 3 2 2 2 2 2 2 2 2 8 2 7 2 4" xfId="28587" xr:uid="{B177157F-D086-4511-AD20-4F7ED940D2EC}"/>
    <cellStyle name="Normal 3 2 2 2 2 2 2 2 2 8 2 7 3" xfId="28588" xr:uid="{D795451C-EB0E-449B-A415-C910E3624F0E}"/>
    <cellStyle name="Normal 3 2 2 2 2 2 2 2 2 8 2 7 4" xfId="28589" xr:uid="{95F20391-02A2-42F7-AB71-F7C6B877CAC5}"/>
    <cellStyle name="Normal 3 2 2 2 2 2 2 2 2 8 2 7 5" xfId="28590" xr:uid="{97A021E7-C5A1-49D9-A18C-8A279AE56841}"/>
    <cellStyle name="Normal 3 2 2 2 2 2 2 2 2 8 2 7 6" xfId="28591" xr:uid="{AEB5785A-E703-4DD2-897A-674E9B1F7AB8}"/>
    <cellStyle name="Normal 3 2 2 2 2 2 2 2 2 8 2 8" xfId="28592" xr:uid="{B4E2E9EB-071F-42F5-B881-AB3BAB4D03DF}"/>
    <cellStyle name="Normal 3 2 2 2 2 2 2 2 2 8 2 9" xfId="28593" xr:uid="{4F8034F9-45C8-4991-90FB-1719038C37C3}"/>
    <cellStyle name="Normal 3 2 2 2 2 2 2 2 2 8 20" xfId="28594" xr:uid="{B4B8A447-5FBC-430B-BF1F-126409FB5EEB}"/>
    <cellStyle name="Normal 3 2 2 2 2 2 2 2 2 8 21" xfId="28595" xr:uid="{AA7858B6-6535-4FD6-A1B9-CEADAF6FDDEA}"/>
    <cellStyle name="Normal 3 2 2 2 2 2 2 2 2 8 21 2" xfId="28596" xr:uid="{14269C9F-C573-473A-BA9C-2E48FD2D12EA}"/>
    <cellStyle name="Normal 3 2 2 2 2 2 2 2 2 8 21 3" xfId="28597" xr:uid="{AB9D00AE-9823-44EA-99A1-F979D8D864DF}"/>
    <cellStyle name="Normal 3 2 2 2 2 2 2 2 2 8 21 4" xfId="28598" xr:uid="{F7E2F637-53DC-45BA-B101-E70EA823F35E}"/>
    <cellStyle name="Normal 3 2 2 2 2 2 2 2 2 8 22" xfId="28599" xr:uid="{BD887931-27FD-4435-ADD5-A072471E3DDA}"/>
    <cellStyle name="Normal 3 2 2 2 2 2 2 2 2 8 23" xfId="28600" xr:uid="{C1DFF6DC-0571-4B38-8EC0-5F15F7B0FEE4}"/>
    <cellStyle name="Normal 3 2 2 2 2 2 2 2 2 8 24" xfId="28601" xr:uid="{1678CCE6-C58E-42FA-B78D-54EA81782A9F}"/>
    <cellStyle name="Normal 3 2 2 2 2 2 2 2 2 8 3" xfId="28602" xr:uid="{B0D6737B-E945-4B9B-A773-D6F4D2BAE33B}"/>
    <cellStyle name="Normal 3 2 2 2 2 2 2 2 2 8 4" xfId="28603" xr:uid="{1AC9FDA3-BFB9-4EE6-924D-6B0D9B9EB875}"/>
    <cellStyle name="Normal 3 2 2 2 2 2 2 2 2 8 5" xfId="28604" xr:uid="{C0599ABB-D817-43A6-B211-667404836A59}"/>
    <cellStyle name="Normal 3 2 2 2 2 2 2 2 2 8 6" xfId="28605" xr:uid="{84BD23B6-D95E-43F8-AF41-D0A00CD74711}"/>
    <cellStyle name="Normal 3 2 2 2 2 2 2 2 2 8 7" xfId="28606" xr:uid="{7E8DB5C3-F9CC-4C33-A68A-1D621B0B77A0}"/>
    <cellStyle name="Normal 3 2 2 2 2 2 2 2 2 8 8" xfId="28607" xr:uid="{0945433F-09EA-40CE-8125-D694AE40FEB0}"/>
    <cellStyle name="Normal 3 2 2 2 2 2 2 2 2 8 9" xfId="28608" xr:uid="{F4988BD3-EAAB-465B-98A7-B013454EE83F}"/>
    <cellStyle name="Normal 3 2 2 2 2 2 2 2 2 9" xfId="28609" xr:uid="{862CEFF1-EFF1-4B5B-BBE7-CD70AE92AA31}"/>
    <cellStyle name="Normal 3 2 2 2 2 2 2 2 2 9 10" xfId="28610" xr:uid="{A6CDB058-E509-4FC4-812C-5B3B09EF3ED9}"/>
    <cellStyle name="Normal 3 2 2 2 2 2 2 2 2 9 11" xfId="28611" xr:uid="{0289C4D8-B3AD-46F5-8299-E9E56E5EFF16}"/>
    <cellStyle name="Normal 3 2 2 2 2 2 2 2 2 9 12" xfId="28612" xr:uid="{74E53D37-9BF1-4C1C-9DAB-39F952A3BB5A}"/>
    <cellStyle name="Normal 3 2 2 2 2 2 2 2 2 9 13" xfId="28613" xr:uid="{525B2793-DEEF-4332-9B7D-EA305764F4D2}"/>
    <cellStyle name="Normal 3 2 2 2 2 2 2 2 2 9 13 2" xfId="28614" xr:uid="{2CC1287F-1587-45B9-9CB6-FAA9E41DE46A}"/>
    <cellStyle name="Normal 3 2 2 2 2 2 2 2 2 9 13 3" xfId="28615" xr:uid="{5DA80D51-1D1A-43F3-86FD-C51237A14482}"/>
    <cellStyle name="Normal 3 2 2 2 2 2 2 2 2 9 13 4" xfId="28616" xr:uid="{1968AD80-FBE7-42E5-A98E-171B418071C1}"/>
    <cellStyle name="Normal 3 2 2 2 2 2 2 2 2 9 14" xfId="28617" xr:uid="{63EBAD18-8332-4F10-9D15-F5E5737003C4}"/>
    <cellStyle name="Normal 3 2 2 2 2 2 2 2 2 9 15" xfId="28618" xr:uid="{B5B4F43E-A28B-4DA3-B6F3-DB296877042E}"/>
    <cellStyle name="Normal 3 2 2 2 2 2 2 2 2 9 16" xfId="28619" xr:uid="{EB9FECD4-8652-483A-939E-21B71E82AD39}"/>
    <cellStyle name="Normal 3 2 2 2 2 2 2 2 2 9 2" xfId="28620" xr:uid="{06C46874-0784-49C6-A531-F670AD9A5E9E}"/>
    <cellStyle name="Normal 3 2 2 2 2 2 2 2 2 9 2 10" xfId="28621" xr:uid="{AAB19E91-F5F6-4F85-A0BE-06834E0075E3}"/>
    <cellStyle name="Normal 3 2 2 2 2 2 2 2 2 9 2 11" xfId="28622" xr:uid="{2F797190-04ED-4952-9AF5-8538A294FCC6}"/>
    <cellStyle name="Normal 3 2 2 2 2 2 2 2 2 9 2 11 2" xfId="28623" xr:uid="{183D267D-CCEE-4A31-B556-C64A29715ACE}"/>
    <cellStyle name="Normal 3 2 2 2 2 2 2 2 2 9 2 11 3" xfId="28624" xr:uid="{31095B64-39B2-44F6-A59A-C373764CDAA4}"/>
    <cellStyle name="Normal 3 2 2 2 2 2 2 2 2 9 2 11 4" xfId="28625" xr:uid="{61A058F7-39CC-48DA-A883-5AB3B2F97629}"/>
    <cellStyle name="Normal 3 2 2 2 2 2 2 2 2 9 2 12" xfId="28626" xr:uid="{B086A640-6AA7-4BC1-BC2C-3E238052B681}"/>
    <cellStyle name="Normal 3 2 2 2 2 2 2 2 2 9 2 13" xfId="28627" xr:uid="{EE4F063C-A153-47DF-BA31-C82D42BF5F90}"/>
    <cellStyle name="Normal 3 2 2 2 2 2 2 2 2 9 2 14" xfId="28628" xr:uid="{0ECB2701-523F-4F7B-884E-3D3A5C228975}"/>
    <cellStyle name="Normal 3 2 2 2 2 2 2 2 2 9 2 2" xfId="28629" xr:uid="{341C9DC4-8E34-4048-A02E-7915089C327D}"/>
    <cellStyle name="Normal 3 2 2 2 2 2 2 2 2 9 2 2 10" xfId="28630" xr:uid="{7FE9FFBC-9815-4660-AA24-514DCAABB8B1}"/>
    <cellStyle name="Normal 3 2 2 2 2 2 2 2 2 9 2 2 11" xfId="28631" xr:uid="{9ED568CA-6CBA-4983-98DD-1D79C1B1B933}"/>
    <cellStyle name="Normal 3 2 2 2 2 2 2 2 2 9 2 2 2" xfId="28632" xr:uid="{97F92839-DCCE-44CE-919D-EA274B5CA7FD}"/>
    <cellStyle name="Normal 3 2 2 2 2 2 2 2 2 9 2 2 2 10" xfId="28633" xr:uid="{FB2F1AD1-638C-43D5-8C38-F78FB1952197}"/>
    <cellStyle name="Normal 3 2 2 2 2 2 2 2 2 9 2 2 2 11" xfId="28634" xr:uid="{8F3298A5-ABC4-4945-98C6-610580DC84CF}"/>
    <cellStyle name="Normal 3 2 2 2 2 2 2 2 2 9 2 2 2 2" xfId="28635" xr:uid="{8033AF2D-E295-4E05-A13C-F324CB610F5D}"/>
    <cellStyle name="Normal 3 2 2 2 2 2 2 2 2 9 2 2 2 2 2" xfId="28636" xr:uid="{EC47103D-F148-4521-8E9F-B3B867CCDEF9}"/>
    <cellStyle name="Normal 3 2 2 2 2 2 2 2 2 9 2 2 2 2 2 2" xfId="28637" xr:uid="{F1F0872D-2913-4252-BADC-7E2E5AFCF6C9}"/>
    <cellStyle name="Normal 3 2 2 2 2 2 2 2 2 9 2 2 2 2 2 3" xfId="28638" xr:uid="{D58CC98A-C674-4A09-85B7-720EA487E4ED}"/>
    <cellStyle name="Normal 3 2 2 2 2 2 2 2 2 9 2 2 2 2 2 4" xfId="28639" xr:uid="{E9D4E5EC-E382-4CC2-A82A-ED309F5CE164}"/>
    <cellStyle name="Normal 3 2 2 2 2 2 2 2 2 9 2 2 2 2 3" xfId="28640" xr:uid="{DB1D0F8A-73E7-4F23-9EAC-E401358B69C1}"/>
    <cellStyle name="Normal 3 2 2 2 2 2 2 2 2 9 2 2 2 2 4" xfId="28641" xr:uid="{BF0FDCFD-45C9-453D-8272-FE79D33ED814}"/>
    <cellStyle name="Normal 3 2 2 2 2 2 2 2 2 9 2 2 2 2 5" xfId="28642" xr:uid="{B371ACB5-DB69-4C19-BC77-0378D21E41CE}"/>
    <cellStyle name="Normal 3 2 2 2 2 2 2 2 2 9 2 2 2 2 6" xfId="28643" xr:uid="{292DAE46-C79E-4EFF-9E15-C2F88F41F470}"/>
    <cellStyle name="Normal 3 2 2 2 2 2 2 2 2 9 2 2 2 3" xfId="28644" xr:uid="{BA704849-2653-45F9-ACB6-2AF760A4CFBE}"/>
    <cellStyle name="Normal 3 2 2 2 2 2 2 2 2 9 2 2 2 4" xfId="28645" xr:uid="{926CACC0-44F7-4E7A-93AE-F6CA8A16FC10}"/>
    <cellStyle name="Normal 3 2 2 2 2 2 2 2 2 9 2 2 2 5" xfId="28646" xr:uid="{11684183-A19B-4CA8-AC69-41EAE6CC8C25}"/>
    <cellStyle name="Normal 3 2 2 2 2 2 2 2 2 9 2 2 2 6" xfId="28647" xr:uid="{C0664986-656B-4064-ACB1-A58DDD44961F}"/>
    <cellStyle name="Normal 3 2 2 2 2 2 2 2 2 9 2 2 2 7" xfId="28648" xr:uid="{CBEF2999-C993-4ADA-BC10-640A1904EBE9}"/>
    <cellStyle name="Normal 3 2 2 2 2 2 2 2 2 9 2 2 2 8" xfId="28649" xr:uid="{C3B2C299-FAC8-462E-B905-A365AA700F41}"/>
    <cellStyle name="Normal 3 2 2 2 2 2 2 2 2 9 2 2 2 8 2" xfId="28650" xr:uid="{BE8A8227-7E24-47BE-967E-486CE40F8E7D}"/>
    <cellStyle name="Normal 3 2 2 2 2 2 2 2 2 9 2 2 2 8 3" xfId="28651" xr:uid="{54E316A9-BE59-4458-A3EC-3EB4A6704314}"/>
    <cellStyle name="Normal 3 2 2 2 2 2 2 2 2 9 2 2 2 8 4" xfId="28652" xr:uid="{F599BC64-216B-486D-B670-385B91952882}"/>
    <cellStyle name="Normal 3 2 2 2 2 2 2 2 2 9 2 2 2 9" xfId="28653" xr:uid="{25D859CF-562E-486E-BF46-AFAFA1449EA4}"/>
    <cellStyle name="Normal 3 2 2 2 2 2 2 2 2 9 2 2 3" xfId="28654" xr:uid="{04390839-3CC2-408F-90AB-BB4CB9C05315}"/>
    <cellStyle name="Normal 3 2 2 2 2 2 2 2 2 9 2 2 3 2" xfId="28655" xr:uid="{6C0B45CE-3344-4EEB-A1DF-9DC14C199413}"/>
    <cellStyle name="Normal 3 2 2 2 2 2 2 2 2 9 2 2 3 2 2" xfId="28656" xr:uid="{0A1BAACF-5421-4128-9B59-D1893126BB63}"/>
    <cellStyle name="Normal 3 2 2 2 2 2 2 2 2 9 2 2 3 2 3" xfId="28657" xr:uid="{72BFD8D9-D5CE-4088-9391-A50B546646E3}"/>
    <cellStyle name="Normal 3 2 2 2 2 2 2 2 2 9 2 2 3 2 4" xfId="28658" xr:uid="{24008C19-7BD0-4C35-8813-20DE830539D4}"/>
    <cellStyle name="Normal 3 2 2 2 2 2 2 2 2 9 2 2 3 3" xfId="28659" xr:uid="{2218F826-EB42-4BD4-80AE-DAD0F38384B2}"/>
    <cellStyle name="Normal 3 2 2 2 2 2 2 2 2 9 2 2 3 4" xfId="28660" xr:uid="{F550DF14-859D-40CF-8BD7-A1861BA5A831}"/>
    <cellStyle name="Normal 3 2 2 2 2 2 2 2 2 9 2 2 3 5" xfId="28661" xr:uid="{645EE38F-5A11-4085-887F-892F52F3D238}"/>
    <cellStyle name="Normal 3 2 2 2 2 2 2 2 2 9 2 2 3 6" xfId="28662" xr:uid="{A7096D63-D647-4B4F-8E4F-185ECA10FE1A}"/>
    <cellStyle name="Normal 3 2 2 2 2 2 2 2 2 9 2 2 4" xfId="28663" xr:uid="{7799BDF4-513D-4751-9BE9-D2EEF817A9C7}"/>
    <cellStyle name="Normal 3 2 2 2 2 2 2 2 2 9 2 2 5" xfId="28664" xr:uid="{35FAABFC-2312-4078-95D5-E652EBFDAEDA}"/>
    <cellStyle name="Normal 3 2 2 2 2 2 2 2 2 9 2 2 6" xfId="28665" xr:uid="{646A22A6-6B0F-406E-810B-DB3DCEA8B9A0}"/>
    <cellStyle name="Normal 3 2 2 2 2 2 2 2 2 9 2 2 7" xfId="28666" xr:uid="{AF54EBCC-7B75-4190-81C4-175F5297F131}"/>
    <cellStyle name="Normal 3 2 2 2 2 2 2 2 2 9 2 2 8" xfId="28667" xr:uid="{1A66F3EB-68B5-4EFE-85B3-6C3008F5A8C8}"/>
    <cellStyle name="Normal 3 2 2 2 2 2 2 2 2 9 2 2 8 2" xfId="28668" xr:uid="{CDC1284D-B3ED-4E89-BB5A-CE44C22781F6}"/>
    <cellStyle name="Normal 3 2 2 2 2 2 2 2 2 9 2 2 8 3" xfId="28669" xr:uid="{E0A2E39B-89CC-4AF8-AB9C-7A593AEF89E2}"/>
    <cellStyle name="Normal 3 2 2 2 2 2 2 2 2 9 2 2 8 4" xfId="28670" xr:uid="{F69F870E-E663-4982-87B8-BDEEB6CDE6F6}"/>
    <cellStyle name="Normal 3 2 2 2 2 2 2 2 2 9 2 2 9" xfId="28671" xr:uid="{D6D551A3-7CDF-405B-A6DD-581DBCD7DF7F}"/>
    <cellStyle name="Normal 3 2 2 2 2 2 2 2 2 9 2 3" xfId="28672" xr:uid="{673A59B6-8F6A-4505-8DD6-8CE1BC59CD69}"/>
    <cellStyle name="Normal 3 2 2 2 2 2 2 2 2 9 2 4" xfId="28673" xr:uid="{3971E6BF-893E-449E-BE4F-DD500FA2BD3C}"/>
    <cellStyle name="Normal 3 2 2 2 2 2 2 2 2 9 2 5" xfId="28674" xr:uid="{860A8C8A-414A-49C7-85A3-48C897F1CB06}"/>
    <cellStyle name="Normal 3 2 2 2 2 2 2 2 2 9 2 5 2" xfId="28675" xr:uid="{B4B189DF-AD33-45D9-B452-78D622AF2415}"/>
    <cellStyle name="Normal 3 2 2 2 2 2 2 2 2 9 2 5 2 2" xfId="28676" xr:uid="{C6D943C3-B8C0-4EE8-9163-870A111ADF7C}"/>
    <cellStyle name="Normal 3 2 2 2 2 2 2 2 2 9 2 5 2 3" xfId="28677" xr:uid="{05D97113-FE5B-483A-89F1-693AF6FDD7DF}"/>
    <cellStyle name="Normal 3 2 2 2 2 2 2 2 2 9 2 5 2 4" xfId="28678" xr:uid="{71AE83C3-83B0-4B17-87E5-1AEBEBC452D0}"/>
    <cellStyle name="Normal 3 2 2 2 2 2 2 2 2 9 2 5 3" xfId="28679" xr:uid="{6FEAAC14-9B3E-4C5A-A8C2-4CCAE11B53FB}"/>
    <cellStyle name="Normal 3 2 2 2 2 2 2 2 2 9 2 5 4" xfId="28680" xr:uid="{ECBA6812-BF4E-48B9-926B-E820B773B01A}"/>
    <cellStyle name="Normal 3 2 2 2 2 2 2 2 2 9 2 5 5" xfId="28681" xr:uid="{B3FABAD0-CB07-4B76-A3C0-5475A3A0810E}"/>
    <cellStyle name="Normal 3 2 2 2 2 2 2 2 2 9 2 5 6" xfId="28682" xr:uid="{1A00C1A3-C578-4E22-9899-8702D6492DA2}"/>
    <cellStyle name="Normal 3 2 2 2 2 2 2 2 2 9 2 6" xfId="28683" xr:uid="{B1E3320B-BEE0-437B-A3E3-21E5122DCD62}"/>
    <cellStyle name="Normal 3 2 2 2 2 2 2 2 2 9 2 7" xfId="28684" xr:uid="{B010C49E-6A26-424D-91C0-2632B763F67F}"/>
    <cellStyle name="Normal 3 2 2 2 2 2 2 2 2 9 2 8" xfId="28685" xr:uid="{B9143A69-F5F4-431A-9D69-649AD08E631A}"/>
    <cellStyle name="Normal 3 2 2 2 2 2 2 2 2 9 2 9" xfId="28686" xr:uid="{F86DD7C0-CB98-4CF2-ABE2-8838788BAA50}"/>
    <cellStyle name="Normal 3 2 2 2 2 2 2 2 2 9 3" xfId="28687" xr:uid="{EC71DC51-EF0C-49F5-A97C-1FCDC8F0F6FD}"/>
    <cellStyle name="Normal 3 2 2 2 2 2 2 2 2 9 4" xfId="28688" xr:uid="{33612E07-B163-4EED-8757-938A89F54450}"/>
    <cellStyle name="Normal 3 2 2 2 2 2 2 2 2 9 5" xfId="28689" xr:uid="{042A34B7-A9F4-4D98-A982-A9F7C4DB6F31}"/>
    <cellStyle name="Normal 3 2 2 2 2 2 2 2 2 9 5 10" xfId="28690" xr:uid="{BCF43A10-1E11-4D04-80F3-287112311789}"/>
    <cellStyle name="Normal 3 2 2 2 2 2 2 2 2 9 5 11" xfId="28691" xr:uid="{417AB105-EEDD-43BB-A03F-5AC22B788CC9}"/>
    <cellStyle name="Normal 3 2 2 2 2 2 2 2 2 9 5 2" xfId="28692" xr:uid="{58654142-EF8A-43C0-ADE8-E275BD20259D}"/>
    <cellStyle name="Normal 3 2 2 2 2 2 2 2 2 9 5 2 10" xfId="28693" xr:uid="{A7896819-1846-4B06-B672-6F2A901B6D64}"/>
    <cellStyle name="Normal 3 2 2 2 2 2 2 2 2 9 5 2 11" xfId="28694" xr:uid="{90DE530D-BE51-4BFC-A508-4DCB7ADA0FC1}"/>
    <cellStyle name="Normal 3 2 2 2 2 2 2 2 2 9 5 2 2" xfId="28695" xr:uid="{2F864E22-8334-4406-ADDB-940A468B4055}"/>
    <cellStyle name="Normal 3 2 2 2 2 2 2 2 2 9 5 2 2 2" xfId="28696" xr:uid="{386524E9-299A-4387-BA7C-CD91629BD32E}"/>
    <cellStyle name="Normal 3 2 2 2 2 2 2 2 2 9 5 2 2 2 2" xfId="28697" xr:uid="{16B206DD-287C-49E2-8DCA-8064D462E2B2}"/>
    <cellStyle name="Normal 3 2 2 2 2 2 2 2 2 9 5 2 2 2 3" xfId="28698" xr:uid="{2870763A-D4C5-48C3-B7C4-02E3F2419FC4}"/>
    <cellStyle name="Normal 3 2 2 2 2 2 2 2 2 9 5 2 2 2 4" xfId="28699" xr:uid="{26F07E52-595A-4BED-BA57-68C23F817F9E}"/>
    <cellStyle name="Normal 3 2 2 2 2 2 2 2 2 9 5 2 2 3" xfId="28700" xr:uid="{16A459AA-7014-4809-8469-FA05AEEC4152}"/>
    <cellStyle name="Normal 3 2 2 2 2 2 2 2 2 9 5 2 2 4" xfId="28701" xr:uid="{92E6B073-08CA-4A35-955C-BD2602051327}"/>
    <cellStyle name="Normal 3 2 2 2 2 2 2 2 2 9 5 2 2 5" xfId="28702" xr:uid="{821048D4-25B2-4A5E-B15A-0602B672B6FB}"/>
    <cellStyle name="Normal 3 2 2 2 2 2 2 2 2 9 5 2 2 6" xfId="28703" xr:uid="{1782216E-506A-44E2-8C91-37F926A306A7}"/>
    <cellStyle name="Normal 3 2 2 2 2 2 2 2 2 9 5 2 3" xfId="28704" xr:uid="{AC06B635-8C8F-46FC-9D8B-BC15351C8538}"/>
    <cellStyle name="Normal 3 2 2 2 2 2 2 2 2 9 5 2 4" xfId="28705" xr:uid="{46BD47D0-3B13-48A6-99A7-78AC6A4DF42B}"/>
    <cellStyle name="Normal 3 2 2 2 2 2 2 2 2 9 5 2 5" xfId="28706" xr:uid="{42314473-6DE0-443C-969A-48EB12F3D516}"/>
    <cellStyle name="Normal 3 2 2 2 2 2 2 2 2 9 5 2 6" xfId="28707" xr:uid="{56DD441A-D727-492F-8B21-B365FE00F22D}"/>
    <cellStyle name="Normal 3 2 2 2 2 2 2 2 2 9 5 2 7" xfId="28708" xr:uid="{D057E666-F21B-4171-85D6-8E9E46FCB37D}"/>
    <cellStyle name="Normal 3 2 2 2 2 2 2 2 2 9 5 2 8" xfId="28709" xr:uid="{EEEC976E-0C68-4CA6-A551-78001C6CC94F}"/>
    <cellStyle name="Normal 3 2 2 2 2 2 2 2 2 9 5 2 8 2" xfId="28710" xr:uid="{6D8AD5B5-7D42-48C9-9BE6-BC32A52682CB}"/>
    <cellStyle name="Normal 3 2 2 2 2 2 2 2 2 9 5 2 8 3" xfId="28711" xr:uid="{C5A97464-5093-4271-9B7C-B7C56BCB5CA7}"/>
    <cellStyle name="Normal 3 2 2 2 2 2 2 2 2 9 5 2 8 4" xfId="28712" xr:uid="{AD9BCE39-47EF-4B2A-9F55-5BFDF3837A2C}"/>
    <cellStyle name="Normal 3 2 2 2 2 2 2 2 2 9 5 2 9" xfId="28713" xr:uid="{B7CF6F3A-DEBD-41FC-AA8A-A76092D582FE}"/>
    <cellStyle name="Normal 3 2 2 2 2 2 2 2 2 9 5 3" xfId="28714" xr:uid="{E5D40877-A1FE-49ED-8361-7F89400A50E0}"/>
    <cellStyle name="Normal 3 2 2 2 2 2 2 2 2 9 5 3 2" xfId="28715" xr:uid="{D9BFB496-C996-4BD2-9E08-CF2C8D6A6CA8}"/>
    <cellStyle name="Normal 3 2 2 2 2 2 2 2 2 9 5 3 2 2" xfId="28716" xr:uid="{0E5B7EF2-8BC8-4A75-9166-20AE191F14BC}"/>
    <cellStyle name="Normal 3 2 2 2 2 2 2 2 2 9 5 3 2 3" xfId="28717" xr:uid="{238A80D0-6D53-4900-9915-FBF0D30CCFEB}"/>
    <cellStyle name="Normal 3 2 2 2 2 2 2 2 2 9 5 3 2 4" xfId="28718" xr:uid="{A3ED3383-27BB-4E1B-83BF-2B711E179C2E}"/>
    <cellStyle name="Normal 3 2 2 2 2 2 2 2 2 9 5 3 3" xfId="28719" xr:uid="{ED432DA7-80A9-4D03-BCDC-E8916181DF1F}"/>
    <cellStyle name="Normal 3 2 2 2 2 2 2 2 2 9 5 3 4" xfId="28720" xr:uid="{7716A301-F246-411A-87B1-4719829D4CCD}"/>
    <cellStyle name="Normal 3 2 2 2 2 2 2 2 2 9 5 3 5" xfId="28721" xr:uid="{F545FA5A-FEF0-4643-A13B-0F8F43A01314}"/>
    <cellStyle name="Normal 3 2 2 2 2 2 2 2 2 9 5 3 6" xfId="28722" xr:uid="{AF8C4A54-87A8-493F-9B41-4CA2B8272BE5}"/>
    <cellStyle name="Normal 3 2 2 2 2 2 2 2 2 9 5 4" xfId="28723" xr:uid="{DF44433B-F25C-4F0D-B8B9-001833375F15}"/>
    <cellStyle name="Normal 3 2 2 2 2 2 2 2 2 9 5 5" xfId="28724" xr:uid="{718D1D07-59A4-42BD-9CEE-EB9CF130F06C}"/>
    <cellStyle name="Normal 3 2 2 2 2 2 2 2 2 9 5 6" xfId="28725" xr:uid="{E1437F79-2A0B-4D0E-9DBD-ACACD20933AA}"/>
    <cellStyle name="Normal 3 2 2 2 2 2 2 2 2 9 5 7" xfId="28726" xr:uid="{6C4E2928-78AF-405B-9C4B-C5AD6416D34C}"/>
    <cellStyle name="Normal 3 2 2 2 2 2 2 2 2 9 5 8" xfId="28727" xr:uid="{8B3EC617-CDA0-478E-8219-AA7BD4CCCAF4}"/>
    <cellStyle name="Normal 3 2 2 2 2 2 2 2 2 9 5 8 2" xfId="28728" xr:uid="{C1B39924-ACF9-4B5F-867E-26697047A583}"/>
    <cellStyle name="Normal 3 2 2 2 2 2 2 2 2 9 5 8 3" xfId="28729" xr:uid="{621D355C-4CC1-42CB-A144-7B8601B59972}"/>
    <cellStyle name="Normal 3 2 2 2 2 2 2 2 2 9 5 8 4" xfId="28730" xr:uid="{DE5D2351-CE28-4CA0-A5CE-FF47E9393C25}"/>
    <cellStyle name="Normal 3 2 2 2 2 2 2 2 2 9 5 9" xfId="28731" xr:uid="{218A5E01-6811-47A7-BB86-A833607319F2}"/>
    <cellStyle name="Normal 3 2 2 2 2 2 2 2 2 9 6" xfId="28732" xr:uid="{54D297D8-F2D7-4A84-82D3-11ACE2E98D1C}"/>
    <cellStyle name="Normal 3 2 2 2 2 2 2 2 2 9 7" xfId="28733" xr:uid="{AA235300-FD2A-4E54-B20C-9AD80456905C}"/>
    <cellStyle name="Normal 3 2 2 2 2 2 2 2 2 9 7 2" xfId="28734" xr:uid="{3FA8CAE7-106D-4717-85B0-585128D6E3C2}"/>
    <cellStyle name="Normal 3 2 2 2 2 2 2 2 2 9 7 2 2" xfId="28735" xr:uid="{885DD421-75A0-4C49-A4F6-CBCB97D31B9B}"/>
    <cellStyle name="Normal 3 2 2 2 2 2 2 2 2 9 7 2 3" xfId="28736" xr:uid="{BAB48D2D-EF2D-45BF-9AF4-6722DD488063}"/>
    <cellStyle name="Normal 3 2 2 2 2 2 2 2 2 9 7 2 4" xfId="28737" xr:uid="{EFDB2EC1-4DCC-400F-B55B-E0B1EE5F509C}"/>
    <cellStyle name="Normal 3 2 2 2 2 2 2 2 2 9 7 3" xfId="28738" xr:uid="{1BE9962A-3535-4980-BEB5-FDD75C8A990E}"/>
    <cellStyle name="Normal 3 2 2 2 2 2 2 2 2 9 7 4" xfId="28739" xr:uid="{4B844257-D3DC-4D73-AFF5-CBC8B200B06C}"/>
    <cellStyle name="Normal 3 2 2 2 2 2 2 2 2 9 7 5" xfId="28740" xr:uid="{3A56263E-0448-4A18-A14F-6251E0004BCF}"/>
    <cellStyle name="Normal 3 2 2 2 2 2 2 2 2 9 7 6" xfId="28741" xr:uid="{FF46EC4B-43EA-4532-8336-E6BBDA45AB1A}"/>
    <cellStyle name="Normal 3 2 2 2 2 2 2 2 2 9 8" xfId="28742" xr:uid="{9CB7691A-1770-438A-8397-71BF70BFF37A}"/>
    <cellStyle name="Normal 3 2 2 2 2 2 2 2 2 9 9" xfId="28743" xr:uid="{71B172D0-30D9-4954-9482-9934A3CEC106}"/>
    <cellStyle name="Normal 3 2 2 2 2 2 2 2 20" xfId="28744" xr:uid="{F2796A99-26D9-4AD1-8795-42E0032C9BB1}"/>
    <cellStyle name="Normal 3 2 2 2 2 2 2 2 21" xfId="28745" xr:uid="{3D43FD4C-86E3-43DC-813B-CC548703741A}"/>
    <cellStyle name="Normal 3 2 2 2 2 2 2 2 21 10" xfId="28746" xr:uid="{7AD72070-C3C6-4F0E-85C0-77DB00A8B949}"/>
    <cellStyle name="Normal 3 2 2 2 2 2 2 2 21 11" xfId="28747" xr:uid="{BDA1B68B-436D-4BEA-A398-1FB4C2CD8C50}"/>
    <cellStyle name="Normal 3 2 2 2 2 2 2 2 21 11 2" xfId="28748" xr:uid="{F78804EF-0D25-4CCD-9E62-20A10DBF749E}"/>
    <cellStyle name="Normal 3 2 2 2 2 2 2 2 21 11 3" xfId="28749" xr:uid="{F76AFFE3-817C-4509-9B34-8886DD16E859}"/>
    <cellStyle name="Normal 3 2 2 2 2 2 2 2 21 11 4" xfId="28750" xr:uid="{AA5E4FB1-D7AF-4A8E-B185-34B0FE41EF7D}"/>
    <cellStyle name="Normal 3 2 2 2 2 2 2 2 21 12" xfId="28751" xr:uid="{C965AAE0-BC01-4A57-BF59-B1B53670C215}"/>
    <cellStyle name="Normal 3 2 2 2 2 2 2 2 21 13" xfId="28752" xr:uid="{86011A15-D2CB-41DA-823B-A4974903896C}"/>
    <cellStyle name="Normal 3 2 2 2 2 2 2 2 21 14" xfId="28753" xr:uid="{F94E0FA1-B822-4BD6-BA0F-8B5AB321D3D7}"/>
    <cellStyle name="Normal 3 2 2 2 2 2 2 2 21 2" xfId="28754" xr:uid="{7978B607-9F27-405A-AD86-66835A5962F1}"/>
    <cellStyle name="Normal 3 2 2 2 2 2 2 2 21 2 10" xfId="28755" xr:uid="{99FFDEAC-EF91-40C9-AC2D-2EDADC3B9BD3}"/>
    <cellStyle name="Normal 3 2 2 2 2 2 2 2 21 2 11" xfId="28756" xr:uid="{9EC11E57-CAB5-48ED-A9C9-D947E915839B}"/>
    <cellStyle name="Normal 3 2 2 2 2 2 2 2 21 2 2" xfId="28757" xr:uid="{1F4A350D-C583-41D3-80EE-EAE766FDF05A}"/>
    <cellStyle name="Normal 3 2 2 2 2 2 2 2 21 2 2 10" xfId="28758" xr:uid="{0862838C-BF73-4F8C-9B71-66EF1AE36EFB}"/>
    <cellStyle name="Normal 3 2 2 2 2 2 2 2 21 2 2 11" xfId="28759" xr:uid="{67ADA7B5-42B3-47BE-A8ED-A515FC17B039}"/>
    <cellStyle name="Normal 3 2 2 2 2 2 2 2 21 2 2 2" xfId="28760" xr:uid="{D0E072C8-6883-4F5B-A7F4-0672EC9B0390}"/>
    <cellStyle name="Normal 3 2 2 2 2 2 2 2 21 2 2 2 2" xfId="28761" xr:uid="{3E4B3356-6BC5-4563-80A2-D10889CDF663}"/>
    <cellStyle name="Normal 3 2 2 2 2 2 2 2 21 2 2 2 2 2" xfId="28762" xr:uid="{0BC9CA6F-0560-4673-8A82-E91362C3662C}"/>
    <cellStyle name="Normal 3 2 2 2 2 2 2 2 21 2 2 2 2 3" xfId="28763" xr:uid="{F7EED5DB-D342-4F13-B182-CD6536F3ACFF}"/>
    <cellStyle name="Normal 3 2 2 2 2 2 2 2 21 2 2 2 2 4" xfId="28764" xr:uid="{A8A0E945-5982-43BE-ACA2-25F2662A69E8}"/>
    <cellStyle name="Normal 3 2 2 2 2 2 2 2 21 2 2 2 3" xfId="28765" xr:uid="{374EBBD3-77D7-4829-B203-31B31B48B065}"/>
    <cellStyle name="Normal 3 2 2 2 2 2 2 2 21 2 2 2 4" xfId="28766" xr:uid="{E42393D0-4894-444F-BD6D-29DF8FF770B6}"/>
    <cellStyle name="Normal 3 2 2 2 2 2 2 2 21 2 2 2 5" xfId="28767" xr:uid="{273FD6C1-A7B7-4FE9-BC6B-88EFD82BC223}"/>
    <cellStyle name="Normal 3 2 2 2 2 2 2 2 21 2 2 2 6" xfId="28768" xr:uid="{B2ADFA0C-27AB-4396-9873-B15224F547C4}"/>
    <cellStyle name="Normal 3 2 2 2 2 2 2 2 21 2 2 3" xfId="28769" xr:uid="{7BB10768-0E3E-47AF-8EB4-BF81DF420936}"/>
    <cellStyle name="Normal 3 2 2 2 2 2 2 2 21 2 2 4" xfId="28770" xr:uid="{A1E96136-5F6D-48F9-9677-218CDF66F13C}"/>
    <cellStyle name="Normal 3 2 2 2 2 2 2 2 21 2 2 5" xfId="28771" xr:uid="{9112AFC4-1937-4BBE-B63D-4AFFA182F949}"/>
    <cellStyle name="Normal 3 2 2 2 2 2 2 2 21 2 2 6" xfId="28772" xr:uid="{6F440A25-B872-46E8-A15C-E986738C4597}"/>
    <cellStyle name="Normal 3 2 2 2 2 2 2 2 21 2 2 7" xfId="28773" xr:uid="{FCD32471-F015-4051-8865-DD2EAA5B819F}"/>
    <cellStyle name="Normal 3 2 2 2 2 2 2 2 21 2 2 8" xfId="28774" xr:uid="{9F38B112-9277-4F84-AC6B-96D6A6D213C6}"/>
    <cellStyle name="Normal 3 2 2 2 2 2 2 2 21 2 2 8 2" xfId="28775" xr:uid="{A4B29077-4D3C-44F6-8EBA-8183AD630AAB}"/>
    <cellStyle name="Normal 3 2 2 2 2 2 2 2 21 2 2 8 3" xfId="28776" xr:uid="{60651C6C-B537-419D-8987-822E3A1B691D}"/>
    <cellStyle name="Normal 3 2 2 2 2 2 2 2 21 2 2 8 4" xfId="28777" xr:uid="{98F3F33D-C1AF-418F-BC39-837F26AEF4C2}"/>
    <cellStyle name="Normal 3 2 2 2 2 2 2 2 21 2 2 9" xfId="28778" xr:uid="{688CE898-9565-4F37-BD32-DBC6DFF279BA}"/>
    <cellStyle name="Normal 3 2 2 2 2 2 2 2 21 2 3" xfId="28779" xr:uid="{B216DB11-7633-4F6C-9805-E22D473AA64F}"/>
    <cellStyle name="Normal 3 2 2 2 2 2 2 2 21 2 3 2" xfId="28780" xr:uid="{0DE92B64-C340-4133-8649-445A1AEFB952}"/>
    <cellStyle name="Normal 3 2 2 2 2 2 2 2 21 2 3 2 2" xfId="28781" xr:uid="{1D27AEF3-37BC-4C94-87DA-486BEF6B86D3}"/>
    <cellStyle name="Normal 3 2 2 2 2 2 2 2 21 2 3 2 3" xfId="28782" xr:uid="{8AA14426-BA51-42C2-9427-12AADFE44E47}"/>
    <cellStyle name="Normal 3 2 2 2 2 2 2 2 21 2 3 2 4" xfId="28783" xr:uid="{0C66A359-95F6-4AE1-A82F-C38508760978}"/>
    <cellStyle name="Normal 3 2 2 2 2 2 2 2 21 2 3 3" xfId="28784" xr:uid="{3AD8F254-E42B-40BD-8D4E-214AF2D48023}"/>
    <cellStyle name="Normal 3 2 2 2 2 2 2 2 21 2 3 4" xfId="28785" xr:uid="{00D41466-56A4-4AFB-8E4D-A15F3D673D44}"/>
    <cellStyle name="Normal 3 2 2 2 2 2 2 2 21 2 3 5" xfId="28786" xr:uid="{868C7B6E-C3BF-408F-9E15-EB722862F417}"/>
    <cellStyle name="Normal 3 2 2 2 2 2 2 2 21 2 3 6" xfId="28787" xr:uid="{78E3692F-017C-4114-8DE4-A899BC59D5BB}"/>
    <cellStyle name="Normal 3 2 2 2 2 2 2 2 21 2 4" xfId="28788" xr:uid="{51F9EBE5-AB53-4524-8C47-20CD74A574BC}"/>
    <cellStyle name="Normal 3 2 2 2 2 2 2 2 21 2 5" xfId="28789" xr:uid="{0734643A-A99C-4A10-9538-F5DC73087479}"/>
    <cellStyle name="Normal 3 2 2 2 2 2 2 2 21 2 6" xfId="28790" xr:uid="{5F4F2E0C-A241-4818-85AD-983D1C0EE88B}"/>
    <cellStyle name="Normal 3 2 2 2 2 2 2 2 21 2 7" xfId="28791" xr:uid="{209F02CC-293F-4DDE-AA6F-E05A815D0379}"/>
    <cellStyle name="Normal 3 2 2 2 2 2 2 2 21 2 8" xfId="28792" xr:uid="{0EC3C633-2A5C-4A25-9E1A-663067FA9CB7}"/>
    <cellStyle name="Normal 3 2 2 2 2 2 2 2 21 2 8 2" xfId="28793" xr:uid="{EB920052-64E8-4DDB-A5DE-E3BA63CEB495}"/>
    <cellStyle name="Normal 3 2 2 2 2 2 2 2 21 2 8 3" xfId="28794" xr:uid="{68FAE1FA-E876-4ECE-8EA0-56B6809CC93F}"/>
    <cellStyle name="Normal 3 2 2 2 2 2 2 2 21 2 8 4" xfId="28795" xr:uid="{AE670C74-A158-46BF-9950-3E1FF27881E7}"/>
    <cellStyle name="Normal 3 2 2 2 2 2 2 2 21 2 9" xfId="28796" xr:uid="{0EAEC803-371F-4A5B-AFAE-4143FE6DDE7B}"/>
    <cellStyle name="Normal 3 2 2 2 2 2 2 2 21 3" xfId="28797" xr:uid="{2C7308F4-4EE3-4AEF-AD50-3DAD41C091F4}"/>
    <cellStyle name="Normal 3 2 2 2 2 2 2 2 21 4" xfId="28798" xr:uid="{73FCE016-733C-46E9-9227-9A2D50CB03F9}"/>
    <cellStyle name="Normal 3 2 2 2 2 2 2 2 21 5" xfId="28799" xr:uid="{87F4924A-E9EA-455A-9ED8-0B385010F9C0}"/>
    <cellStyle name="Normal 3 2 2 2 2 2 2 2 21 5 2" xfId="28800" xr:uid="{6A4E376F-D36B-4668-85A8-AA719BE53A58}"/>
    <cellStyle name="Normal 3 2 2 2 2 2 2 2 21 5 2 2" xfId="28801" xr:uid="{F53A21E0-01C9-423F-83F8-1F417FB68204}"/>
    <cellStyle name="Normal 3 2 2 2 2 2 2 2 21 5 2 3" xfId="28802" xr:uid="{532C67EA-6537-4625-BEDA-11A7519B6B93}"/>
    <cellStyle name="Normal 3 2 2 2 2 2 2 2 21 5 2 4" xfId="28803" xr:uid="{B354866C-5B6C-4FDF-A528-119D7EE9A9A2}"/>
    <cellStyle name="Normal 3 2 2 2 2 2 2 2 21 5 3" xfId="28804" xr:uid="{4B370A73-1C9C-4361-AAF5-9A52F58B942F}"/>
    <cellStyle name="Normal 3 2 2 2 2 2 2 2 21 5 4" xfId="28805" xr:uid="{850D8928-52C4-42EB-80E0-CBDFACFDE029}"/>
    <cellStyle name="Normal 3 2 2 2 2 2 2 2 21 5 5" xfId="28806" xr:uid="{EEF49E63-E0B1-45DE-A22A-2EB3A7939CA5}"/>
    <cellStyle name="Normal 3 2 2 2 2 2 2 2 21 5 6" xfId="28807" xr:uid="{72C894B7-A7D4-4741-9A22-E5FA3F1E5761}"/>
    <cellStyle name="Normal 3 2 2 2 2 2 2 2 21 6" xfId="28808" xr:uid="{8786BD02-F080-450C-BB76-774E4F5606D9}"/>
    <cellStyle name="Normal 3 2 2 2 2 2 2 2 21 7" xfId="28809" xr:uid="{D43C0DE4-605C-4D30-AFEA-D3E5FA3EEE2D}"/>
    <cellStyle name="Normal 3 2 2 2 2 2 2 2 21 8" xfId="28810" xr:uid="{0D8C23A2-B1B9-454A-9D20-3E4128260844}"/>
    <cellStyle name="Normal 3 2 2 2 2 2 2 2 21 9" xfId="28811" xr:uid="{FB464544-52D1-4839-A8EB-C40BF0691F79}"/>
    <cellStyle name="Normal 3 2 2 2 2 2 2 2 22" xfId="28812" xr:uid="{6116B7B3-E91C-4F25-BE44-2EE979BBE740}"/>
    <cellStyle name="Normal 3 2 2 2 2 2 2 2 23" xfId="28813" xr:uid="{16973BE9-DB39-4F29-955C-A9796F54EE76}"/>
    <cellStyle name="Normal 3 2 2 2 2 2 2 2 23 10" xfId="28814" xr:uid="{F3D691A2-1907-4CD0-ABC7-F837C1F69B59}"/>
    <cellStyle name="Normal 3 2 2 2 2 2 2 2 23 11" xfId="28815" xr:uid="{2E27ABF6-30EB-4C27-879B-E0DCB7AC625F}"/>
    <cellStyle name="Normal 3 2 2 2 2 2 2 2 23 2" xfId="28816" xr:uid="{9D506A7F-EC65-41E6-A14F-B222E3CAD4BC}"/>
    <cellStyle name="Normal 3 2 2 2 2 2 2 2 23 2 10" xfId="28817" xr:uid="{2A481143-A8DE-461B-BEF1-AD1C084C26C8}"/>
    <cellStyle name="Normal 3 2 2 2 2 2 2 2 23 2 11" xfId="28818" xr:uid="{496DC838-8D79-403A-A0BD-30D487C8F4FA}"/>
    <cellStyle name="Normal 3 2 2 2 2 2 2 2 23 2 2" xfId="28819" xr:uid="{F685E5BC-3430-4736-9317-AF3C576CC801}"/>
    <cellStyle name="Normal 3 2 2 2 2 2 2 2 23 2 2 2" xfId="28820" xr:uid="{BE989190-6131-41CF-8401-404F667A9473}"/>
    <cellStyle name="Normal 3 2 2 2 2 2 2 2 23 2 2 2 2" xfId="28821" xr:uid="{62294B02-50CD-419C-AD35-4E97FB07C696}"/>
    <cellStyle name="Normal 3 2 2 2 2 2 2 2 23 2 2 2 3" xfId="28822" xr:uid="{F0D5F022-2D31-40D4-A7D9-EFE3E70D226B}"/>
    <cellStyle name="Normal 3 2 2 2 2 2 2 2 23 2 2 2 4" xfId="28823" xr:uid="{EEC2F361-5D42-4433-A6E3-4119A52979EA}"/>
    <cellStyle name="Normal 3 2 2 2 2 2 2 2 23 2 2 3" xfId="28824" xr:uid="{B0B00D10-2D13-449F-A1E6-329FBE5E9241}"/>
    <cellStyle name="Normal 3 2 2 2 2 2 2 2 23 2 2 4" xfId="28825" xr:uid="{992A78CC-B72E-426F-B20B-05D4456EC1B9}"/>
    <cellStyle name="Normal 3 2 2 2 2 2 2 2 23 2 2 5" xfId="28826" xr:uid="{59B843A0-49A7-4CCE-8CC3-9BD79F34F3B3}"/>
    <cellStyle name="Normal 3 2 2 2 2 2 2 2 23 2 2 6" xfId="28827" xr:uid="{35C5323C-9B33-470A-8BDC-DD1844B3D4AD}"/>
    <cellStyle name="Normal 3 2 2 2 2 2 2 2 23 2 3" xfId="28828" xr:uid="{8A0C7860-CD8B-4EE0-9706-0026734B7861}"/>
    <cellStyle name="Normal 3 2 2 2 2 2 2 2 23 2 4" xfId="28829" xr:uid="{0B4331E3-1EB9-43DE-AE33-A65697D1DD94}"/>
    <cellStyle name="Normal 3 2 2 2 2 2 2 2 23 2 5" xfId="28830" xr:uid="{C791AF0F-E05A-4A2F-BFAC-25A857FECC0E}"/>
    <cellStyle name="Normal 3 2 2 2 2 2 2 2 23 2 6" xfId="28831" xr:uid="{A6401B99-CC43-4442-A1C3-3F1E25623D8D}"/>
    <cellStyle name="Normal 3 2 2 2 2 2 2 2 23 2 7" xfId="28832" xr:uid="{71AEE4A7-DE58-4533-8F39-9776FD640515}"/>
    <cellStyle name="Normal 3 2 2 2 2 2 2 2 23 2 8" xfId="28833" xr:uid="{E5441FC2-073A-44C2-953D-4E5A41CEC726}"/>
    <cellStyle name="Normal 3 2 2 2 2 2 2 2 23 2 8 2" xfId="28834" xr:uid="{374DF7D0-C9C7-43F5-B030-2AED998EAFDD}"/>
    <cellStyle name="Normal 3 2 2 2 2 2 2 2 23 2 8 3" xfId="28835" xr:uid="{E23CB874-1E12-4444-9998-C11E399FD119}"/>
    <cellStyle name="Normal 3 2 2 2 2 2 2 2 23 2 8 4" xfId="28836" xr:uid="{6559A436-6BCC-45FB-99BF-B84958A07860}"/>
    <cellStyle name="Normal 3 2 2 2 2 2 2 2 23 2 9" xfId="28837" xr:uid="{D571872E-C15B-49F9-B208-A2EEC8F6A29D}"/>
    <cellStyle name="Normal 3 2 2 2 2 2 2 2 23 3" xfId="28838" xr:uid="{67C86E52-3E61-4E89-9A5B-D533C7C819D3}"/>
    <cellStyle name="Normal 3 2 2 2 2 2 2 2 23 3 2" xfId="28839" xr:uid="{DF976F06-CF69-4648-A9CD-8F953C35A8C2}"/>
    <cellStyle name="Normal 3 2 2 2 2 2 2 2 23 3 2 2" xfId="28840" xr:uid="{D2A23BB1-008E-44ED-84F7-FDAE754F08E7}"/>
    <cellStyle name="Normal 3 2 2 2 2 2 2 2 23 3 2 3" xfId="28841" xr:uid="{8C573D0C-751C-4256-9C85-34FAC1C46F41}"/>
    <cellStyle name="Normal 3 2 2 2 2 2 2 2 23 3 2 4" xfId="28842" xr:uid="{0BE592F1-42EE-4987-AA83-49DE3012ABB2}"/>
    <cellStyle name="Normal 3 2 2 2 2 2 2 2 23 3 3" xfId="28843" xr:uid="{433633FF-F37F-4589-9620-18E2CFD4F9B5}"/>
    <cellStyle name="Normal 3 2 2 2 2 2 2 2 23 3 4" xfId="28844" xr:uid="{21F53848-BBCB-46C9-AC7A-C41844D339E5}"/>
    <cellStyle name="Normal 3 2 2 2 2 2 2 2 23 3 5" xfId="28845" xr:uid="{0FEDB099-2315-4B67-9B73-1CFC53D6ED0C}"/>
    <cellStyle name="Normal 3 2 2 2 2 2 2 2 23 3 6" xfId="28846" xr:uid="{9315D936-70DD-43DF-87A3-18478AE85AE0}"/>
    <cellStyle name="Normal 3 2 2 2 2 2 2 2 23 4" xfId="28847" xr:uid="{03A2B3B9-A2B0-453D-A7FE-C93E8ECEFB97}"/>
    <cellStyle name="Normal 3 2 2 2 2 2 2 2 23 5" xfId="28848" xr:uid="{3FBFFE2C-2EB1-4446-9A70-FF1FD0DF3B4C}"/>
    <cellStyle name="Normal 3 2 2 2 2 2 2 2 23 6" xfId="28849" xr:uid="{3B092E28-B484-4644-BE6A-10FDE15F1603}"/>
    <cellStyle name="Normal 3 2 2 2 2 2 2 2 23 7" xfId="28850" xr:uid="{5CF33CAA-9381-4F4D-9DFC-2B114D481FAB}"/>
    <cellStyle name="Normal 3 2 2 2 2 2 2 2 23 8" xfId="28851" xr:uid="{90F53BFB-4DE3-41D3-8006-F35AA288C689}"/>
    <cellStyle name="Normal 3 2 2 2 2 2 2 2 23 8 2" xfId="28852" xr:uid="{9EDC0E6F-6D28-490D-AB7F-85E96FAC44ED}"/>
    <cellStyle name="Normal 3 2 2 2 2 2 2 2 23 8 3" xfId="28853" xr:uid="{12497456-E411-4F45-8293-675545421236}"/>
    <cellStyle name="Normal 3 2 2 2 2 2 2 2 23 8 4" xfId="28854" xr:uid="{0B3E73DB-4D0F-463D-9FF0-994A615F6FF6}"/>
    <cellStyle name="Normal 3 2 2 2 2 2 2 2 23 9" xfId="28855" xr:uid="{413C5A84-20E1-4D71-B776-B6C3C3C5C064}"/>
    <cellStyle name="Normal 3 2 2 2 2 2 2 2 24" xfId="28856" xr:uid="{8F88B472-71D4-4803-9CCE-8A40AA68C39E}"/>
    <cellStyle name="Normal 3 2 2 2 2 2 2 2 25" xfId="28857" xr:uid="{F0B2BE38-708D-4E4E-8041-F79D2833F4D8}"/>
    <cellStyle name="Normal 3 2 2 2 2 2 2 2 25 2" xfId="28858" xr:uid="{9EC8C85C-560B-45C3-9709-DE0F0FFB5183}"/>
    <cellStyle name="Normal 3 2 2 2 2 2 2 2 25 2 2" xfId="28859" xr:uid="{200F0FC5-CFBD-47AC-8161-253C532D63C6}"/>
    <cellStyle name="Normal 3 2 2 2 2 2 2 2 25 2 3" xfId="28860" xr:uid="{BD9634C7-6414-4B0F-8ED8-D0339353601C}"/>
    <cellStyle name="Normal 3 2 2 2 2 2 2 2 25 2 4" xfId="28861" xr:uid="{ED5547A0-0A63-462C-A34E-594EAF317573}"/>
    <cellStyle name="Normal 3 2 2 2 2 2 2 2 25 3" xfId="28862" xr:uid="{8B20EA4E-5034-4216-9108-8114FD5485A8}"/>
    <cellStyle name="Normal 3 2 2 2 2 2 2 2 25 4" xfId="28863" xr:uid="{A70D63F3-F95D-41F8-98C2-E93A0A34C4EB}"/>
    <cellStyle name="Normal 3 2 2 2 2 2 2 2 25 5" xfId="28864" xr:uid="{6C68E01C-BAEB-4932-BFBD-EE1761007A78}"/>
    <cellStyle name="Normal 3 2 2 2 2 2 2 2 25 6" xfId="28865" xr:uid="{C3DB2CA7-EA7E-4E11-92C8-0DB2A3F74CCA}"/>
    <cellStyle name="Normal 3 2 2 2 2 2 2 2 26" xfId="28866" xr:uid="{C0CD4659-B4ED-4D22-8BF3-F057B61E645C}"/>
    <cellStyle name="Normal 3 2 2 2 2 2 2 2 27" xfId="28867" xr:uid="{3B051FEF-613C-491C-A0E2-396DDD1B8021}"/>
    <cellStyle name="Normal 3 2 2 2 2 2 2 2 28" xfId="28868" xr:uid="{99FB231C-BF61-4818-BC9C-00C976CD9D4C}"/>
    <cellStyle name="Normal 3 2 2 2 2 2 2 2 29" xfId="28869" xr:uid="{89186C8A-FA45-43C1-8576-602E8AB393B6}"/>
    <cellStyle name="Normal 3 2 2 2 2 2 2 2 3" xfId="28870" xr:uid="{D9FE1CB2-F877-4AE1-A319-C68DB382A23E}"/>
    <cellStyle name="Normal 3 2 2 2 2 2 2 2 3 2" xfId="28871" xr:uid="{2D72424D-FDC9-432E-A579-7A5EF8DFB8AA}"/>
    <cellStyle name="Normal 3 2 2 2 2 2 2 2 3 3" xfId="28872" xr:uid="{6BA505E7-5E29-476D-829D-498A61B5756D}"/>
    <cellStyle name="Normal 3 2 2 2 2 2 2 2 3 4" xfId="28873" xr:uid="{9E3CE969-FD3A-4128-96B0-FEEDA6935A2B}"/>
    <cellStyle name="Normal 3 2 2 2 2 2 2 2 3 5" xfId="28874" xr:uid="{4656FF95-11F2-4C1D-9509-6BA8904F7DE4}"/>
    <cellStyle name="Normal 3 2 2 2 2 2 2 2 3 6" xfId="28875" xr:uid="{E559F1F8-8918-42FE-A201-96EFA89FDF2A}"/>
    <cellStyle name="Normal 3 2 2 2 2 2 2 2 30" xfId="28876" xr:uid="{96281F30-77D4-4220-A2A9-5CCFA0288C5F}"/>
    <cellStyle name="Normal 3 2 2 2 2 2 2 2 31" xfId="28877" xr:uid="{E9296142-5CBF-4B3F-9630-CDA1600EC80F}"/>
    <cellStyle name="Normal 3 2 2 2 2 2 2 2 31 2" xfId="28878" xr:uid="{1DA6855D-5BFB-47D3-A8C7-23135374041B}"/>
    <cellStyle name="Normal 3 2 2 2 2 2 2 2 31 3" xfId="28879" xr:uid="{C24007D1-E88D-4F60-80C8-7C24D2095480}"/>
    <cellStyle name="Normal 3 2 2 2 2 2 2 2 31 4" xfId="28880" xr:uid="{7746ECD2-021F-4092-AA93-AAAC656F7789}"/>
    <cellStyle name="Normal 3 2 2 2 2 2 2 2 32" xfId="28881" xr:uid="{E0C3BEAA-4299-480A-AD32-BAC8479A36D0}"/>
    <cellStyle name="Normal 3 2 2 2 2 2 2 2 33" xfId="28882" xr:uid="{89FACB0B-246A-43C3-A281-96B491F7B6BD}"/>
    <cellStyle name="Normal 3 2 2 2 2 2 2 2 34" xfId="28883" xr:uid="{3BCBF09A-BB59-4112-8465-C87401DEBFD6}"/>
    <cellStyle name="Normal 3 2 2 2 2 2 2 2 35" xfId="28884" xr:uid="{53FA17D2-42B2-4ECB-B227-AC3776E59A9C}"/>
    <cellStyle name="Normal 3 2 2 2 2 2 2 2 36" xfId="28885" xr:uid="{F9CF0915-BBD6-4846-83FA-84C3A5C8BFA5}"/>
    <cellStyle name="Normal 3 2 2 2 2 2 2 2 37" xfId="28886" xr:uid="{4E36FE09-1597-4E13-9EB5-0CA3B06F1AD2}"/>
    <cellStyle name="Normal 3 2 2 2 2 2 2 2 38" xfId="28887" xr:uid="{E01360AE-FB04-45D1-AB23-97FC5326B456}"/>
    <cellStyle name="Normal 3 2 2 2 2 2 2 2 39" xfId="28888" xr:uid="{2A03FC40-EE44-4A78-937A-5CD83D552004}"/>
    <cellStyle name="Normal 3 2 2 2 2 2 2 2 4" xfId="28889" xr:uid="{BB1B4FAF-1719-40A2-83C2-08AE4F509BCD}"/>
    <cellStyle name="Normal 3 2 2 2 2 2 2 2 4 2" xfId="28890" xr:uid="{FF4CFF79-C238-467A-9DEA-65081F0113C6}"/>
    <cellStyle name="Normal 3 2 2 2 2 2 2 2 4 3" xfId="28891" xr:uid="{2968A245-650D-4996-8C9C-C682739D2FF8}"/>
    <cellStyle name="Normal 3 2 2 2 2 2 2 2 4 4" xfId="28892" xr:uid="{1EDDECCE-E909-4C6B-8755-6CBF5346F725}"/>
    <cellStyle name="Normal 3 2 2 2 2 2 2 2 4 5" xfId="28893" xr:uid="{8DB95864-9703-4CE6-B006-CF544B017F06}"/>
    <cellStyle name="Normal 3 2 2 2 2 2 2 2 4 6" xfId="28894" xr:uid="{69038546-5F64-4455-963A-A91C7231B362}"/>
    <cellStyle name="Normal 3 2 2 2 2 2 2 2 40" xfId="28895" xr:uid="{4C95A9BB-6CBC-470B-A8BE-9D3A53ACB8B9}"/>
    <cellStyle name="Normal 3 2 2 2 2 2 2 2 41" xfId="28896" xr:uid="{F64CE745-BCCF-470E-BBA9-6339B61F7C69}"/>
    <cellStyle name="Normal 3 2 2 2 2 2 2 2 42" xfId="28897" xr:uid="{199F837A-5043-4454-A462-077E23D13CB1}"/>
    <cellStyle name="Normal 3 2 2 2 2 2 2 2 43" xfId="28898" xr:uid="{E6B7CBFE-F65E-4149-85A2-9BB2BEE0C579}"/>
    <cellStyle name="Normal 3 2 2 2 2 2 2 2 44" xfId="28899" xr:uid="{CD2CA501-114B-4079-8161-C257830957DF}"/>
    <cellStyle name="Normal 3 2 2 2 2 2 2 2 45" xfId="28900" xr:uid="{47DD8071-D50E-4921-876B-6A516995BA97}"/>
    <cellStyle name="Normal 3 2 2 2 2 2 2 2 46" xfId="28901" xr:uid="{FC68E883-5789-4E67-9BFC-6608EA2ABF86}"/>
    <cellStyle name="Normal 3 2 2 2 2 2 2 2 46 2" xfId="28902" xr:uid="{11FBC319-8522-41A4-8148-89617B4F6482}"/>
    <cellStyle name="Normal 3 2 2 2 2 2 2 2 46 3" xfId="28903" xr:uid="{CC7FAE52-D75E-4708-BAB5-0E2261C269BB}"/>
    <cellStyle name="Normal 3 2 2 2 2 2 2 2 46 4" xfId="28904" xr:uid="{2AA9258A-74A5-4988-8490-3EE8761A2409}"/>
    <cellStyle name="Normal 3 2 2 2 2 2 2 2 46 5" xfId="28905" xr:uid="{8D3639BC-38C0-4DEE-A8CB-A1AF31201A2F}"/>
    <cellStyle name="Normal 3 2 2 2 2 2 2 2 46 6" xfId="28906" xr:uid="{4B205499-8354-46F9-A53B-E26AC3E0F931}"/>
    <cellStyle name="Normal 3 2 2 2 2 2 2 2 46 7" xfId="28907" xr:uid="{556AB8CB-4FEB-4830-A770-FBB96F39CA2B}"/>
    <cellStyle name="Normal 3 2 2 2 2 2 2 2 47" xfId="28908" xr:uid="{9D5EFB59-4441-434C-8245-F21CE7A6452D}"/>
    <cellStyle name="Normal 3 2 2 2 2 2 2 2 48" xfId="28909" xr:uid="{E4AE7A8A-9A32-4020-A51A-7EAFDACDDFE8}"/>
    <cellStyle name="Normal 3 2 2 2 2 2 2 2 49" xfId="28910" xr:uid="{29BF7FE6-9598-4201-BD8C-A90DE75237DC}"/>
    <cellStyle name="Normal 3 2 2 2 2 2 2 2 5" xfId="28911" xr:uid="{0F0FA6C7-0B08-43C7-979B-AF9134AF58FC}"/>
    <cellStyle name="Normal 3 2 2 2 2 2 2 2 5 2" xfId="28912" xr:uid="{888101F6-E183-4455-BF06-C79D2FDFAC1B}"/>
    <cellStyle name="Normal 3 2 2 2 2 2 2 2 5 3" xfId="28913" xr:uid="{6874F1DD-AC7A-4AF0-B046-C42B97FDC062}"/>
    <cellStyle name="Normal 3 2 2 2 2 2 2 2 5 4" xfId="28914" xr:uid="{5E59E83A-7883-4855-BC49-C0E516E1500D}"/>
    <cellStyle name="Normal 3 2 2 2 2 2 2 2 5 5" xfId="28915" xr:uid="{CD16D788-9F7B-49C1-9F82-2F968C29FB68}"/>
    <cellStyle name="Normal 3 2 2 2 2 2 2 2 5 6" xfId="28916" xr:uid="{5BD7A347-B131-4EE9-9FBF-BF4C95C702B5}"/>
    <cellStyle name="Normal 3 2 2 2 2 2 2 2 50" xfId="28917" xr:uid="{055D9F72-8A53-4147-86E2-A531FE5E371E}"/>
    <cellStyle name="Normal 3 2 2 2 2 2 2 2 51" xfId="28918" xr:uid="{60902F13-4A7E-4EB0-8DF1-FB074286B47A}"/>
    <cellStyle name="Normal 3 2 2 2 2 2 2 2 52" xfId="28919" xr:uid="{E87310FB-221A-489D-8AE6-06FD69D2152F}"/>
    <cellStyle name="Normal 3 2 2 2 2 2 2 2 53" xfId="28920" xr:uid="{E3FA90E0-A6AE-4BFA-AAE9-921FC7FB2C5F}"/>
    <cellStyle name="Normal 3 2 2 2 2 2 2 2 54" xfId="28921" xr:uid="{0FC08037-F178-46D9-8E85-79E675C4B389}"/>
    <cellStyle name="Normal 3 2 2 2 2 2 2 2 55" xfId="28922" xr:uid="{2700DBDE-C5F0-4A02-9A2E-F4D18C440D52}"/>
    <cellStyle name="Normal 3 2 2 2 2 2 2 2 56" xfId="28923" xr:uid="{5CAAD53A-69EE-4CC5-B2F0-053A29B4915C}"/>
    <cellStyle name="Normal 3 2 2 2 2 2 2 2 57" xfId="28924" xr:uid="{D08AF696-01BC-43AC-80B4-3BF3C6BAF5F3}"/>
    <cellStyle name="Normal 3 2 2 2 2 2 2 2 58" xfId="28925" xr:uid="{0861DB17-72B2-41FB-B9F2-507B1ABD7725}"/>
    <cellStyle name="Normal 3 2 2 2 2 2 2 2 59" xfId="28926" xr:uid="{8FF4900A-7985-4D13-BEBD-A9CA87AAECF2}"/>
    <cellStyle name="Normal 3 2 2 2 2 2 2 2 6" xfId="28927" xr:uid="{53BDF647-B4E0-43F6-B014-C0052B7D202E}"/>
    <cellStyle name="Normal 3 2 2 2 2 2 2 2 6 2" xfId="28928" xr:uid="{E09E7A12-ED4B-430E-B378-30E97EF703C2}"/>
    <cellStyle name="Normal 3 2 2 2 2 2 2 2 6 3" xfId="28929" xr:uid="{6E9A68F4-BCA1-433B-82CD-A14EEE083C0C}"/>
    <cellStyle name="Normal 3 2 2 2 2 2 2 2 6 4" xfId="28930" xr:uid="{5CF14DE6-FE4C-47EF-B9ED-DD049C3F9784}"/>
    <cellStyle name="Normal 3 2 2 2 2 2 2 2 6 5" xfId="28931" xr:uid="{01FEC630-1525-42BD-A3B5-9A8B567AF7F3}"/>
    <cellStyle name="Normal 3 2 2 2 2 2 2 2 6 6" xfId="28932" xr:uid="{705E89E9-7927-409F-B282-B0DC4B4DB950}"/>
    <cellStyle name="Normal 3 2 2 2 2 2 2 2 60" xfId="28933" xr:uid="{6635A0E2-2E91-4864-9537-B87A9EA2AB58}"/>
    <cellStyle name="Normal 3 2 2 2 2 2 2 2 61" xfId="28934" xr:uid="{F97F7022-4754-471E-821D-7CB0CD2B53E1}"/>
    <cellStyle name="Normal 3 2 2 2 2 2 2 2 62" xfId="28935" xr:uid="{59413DD0-0AE4-4EF2-B694-F31CDB3AAD8B}"/>
    <cellStyle name="Normal 3 2 2 2 2 2 2 2 63" xfId="28936" xr:uid="{D64DE7D8-3D78-4D99-9B59-C884D0B51610}"/>
    <cellStyle name="Normal 3 2 2 2 2 2 2 2 64" xfId="28937" xr:uid="{9A13433D-2936-4D60-B0F4-1341E3604460}"/>
    <cellStyle name="Normal 3 2 2 2 2 2 2 2 65" xfId="28938" xr:uid="{1574A52C-90AA-49FC-B89B-4DC261EC5C08}"/>
    <cellStyle name="Normal 3 2 2 2 2 2 2 2 66" xfId="28939" xr:uid="{078A8AAA-50D1-4DFA-A4DD-88878EFCDB6C}"/>
    <cellStyle name="Normal 3 2 2 2 2 2 2 2 67" xfId="28940" xr:uid="{E52BEB6A-9D50-482E-A10E-7B7EDEF2586D}"/>
    <cellStyle name="Normal 3 2 2 2 2 2 2 2 68" xfId="28941" xr:uid="{0B8BD0F9-37D6-4C45-BD42-BD65717AD002}"/>
    <cellStyle name="Normal 3 2 2 2 2 2 2 2 69" xfId="28942" xr:uid="{75C7DFCF-08BA-4450-BAA5-6F5E4204A414}"/>
    <cellStyle name="Normal 3 2 2 2 2 2 2 2 7" xfId="28943" xr:uid="{11BDF73B-E5AF-4F60-B497-24FA8EB220A4}"/>
    <cellStyle name="Normal 3 2 2 2 2 2 2 2 70" xfId="28944" xr:uid="{CD946150-CA20-42A3-8772-E5591832D850}"/>
    <cellStyle name="Normal 3 2 2 2 2 2 2 2 71" xfId="28945" xr:uid="{0B8D8B59-04F3-4270-9FF2-FB51D0E81F79}"/>
    <cellStyle name="Normal 3 2 2 2 2 2 2 2 72" xfId="28946" xr:uid="{C59CA12F-394F-4FB5-AEAD-AFC0CAB33440}"/>
    <cellStyle name="Normal 3 2 2 2 2 2 2 2 73" xfId="28947" xr:uid="{50898DA8-13E3-4855-90D2-3DA71E6DFA1D}"/>
    <cellStyle name="Normal 3 2 2 2 2 2 2 2 74" xfId="28948" xr:uid="{F64CF8CF-AE19-49A7-876B-5078F8F7D77F}"/>
    <cellStyle name="Normal 3 2 2 2 2 2 2 2 75" xfId="28949" xr:uid="{3670565F-AFFB-4DCF-9547-FF64A0EE6F7B}"/>
    <cellStyle name="Normal 3 2 2 2 2 2 2 2 76" xfId="28950" xr:uid="{10EB5BFD-9CC7-437A-A2FB-5CD0565766EF}"/>
    <cellStyle name="Normal 3 2 2 2 2 2 2 2 77" xfId="28951" xr:uid="{5555AA88-29AF-4DD5-92CE-309C6843D664}"/>
    <cellStyle name="Normal 3 2 2 2 2 2 2 2 78" xfId="28952" xr:uid="{3224746F-17F5-4D21-AD0A-B972909952E7}"/>
    <cellStyle name="Normal 3 2 2 2 2 2 2 2 78 2" xfId="28953" xr:uid="{D47D309F-1BCC-4AB6-98C0-3B5D7036EFE6}"/>
    <cellStyle name="Normal 3 2 2 2 2 2 2 2 78 3" xfId="28954" xr:uid="{AE3756DE-A7B2-415A-A2C0-1A2E7574D3E5}"/>
    <cellStyle name="Normal 3 2 2 2 2 2 2 2 78 4" xfId="28955" xr:uid="{77F5DE86-2451-4C3C-8943-CC25A8A2FDE5}"/>
    <cellStyle name="Normal 3 2 2 2 2 2 2 2 79" xfId="28956" xr:uid="{DA9BB100-E39B-4B3E-9E53-83C9DABA6EF6}"/>
    <cellStyle name="Normal 3 2 2 2 2 2 2 2 8" xfId="28957" xr:uid="{4D972381-1AA0-4FA9-9745-083646B9E43A}"/>
    <cellStyle name="Normal 3 2 2 2 2 2 2 2 80" xfId="28958" xr:uid="{D73347DE-F59E-4331-935A-2AADFD440870}"/>
    <cellStyle name="Normal 3 2 2 2 2 2 2 2 9" xfId="28959" xr:uid="{6E3BAB25-A757-454A-9323-9486B5DB168C}"/>
    <cellStyle name="Normal 3 2 2 2 2 2 2 20" xfId="28960" xr:uid="{5BB94885-5FA9-4BFE-9586-7C66CB243F2C}"/>
    <cellStyle name="Normal 3 2 2 2 2 2 2 21" xfId="28961" xr:uid="{93947CD9-D64A-4DDC-92F6-526390769B11}"/>
    <cellStyle name="Normal 3 2 2 2 2 2 2 22" xfId="28962" xr:uid="{B8FDEAB2-767E-4003-A934-D457154913B5}"/>
    <cellStyle name="Normal 3 2 2 2 2 2 2 22 10" xfId="28963" xr:uid="{917F7F0F-C2B3-467B-AE3F-FA3ED54BE240}"/>
    <cellStyle name="Normal 3 2 2 2 2 2 2 22 11" xfId="28964" xr:uid="{DD5ADBEA-F13D-44D1-9191-492742804B5F}"/>
    <cellStyle name="Normal 3 2 2 2 2 2 2 22 11 2" xfId="28965" xr:uid="{E5FA8529-4B82-4579-9586-444B77DCF60B}"/>
    <cellStyle name="Normal 3 2 2 2 2 2 2 22 11 3" xfId="28966" xr:uid="{35917626-B84C-4531-9042-9CC575D2C6DD}"/>
    <cellStyle name="Normal 3 2 2 2 2 2 2 22 11 4" xfId="28967" xr:uid="{9FBB18F0-C319-4437-810E-DDF73657BE06}"/>
    <cellStyle name="Normal 3 2 2 2 2 2 2 22 12" xfId="28968" xr:uid="{0B852907-9A70-40AC-AA8E-B264C227903A}"/>
    <cellStyle name="Normal 3 2 2 2 2 2 2 22 13" xfId="28969" xr:uid="{CC3E0B51-ECAD-47B0-895E-CC61DA6E5A60}"/>
    <cellStyle name="Normal 3 2 2 2 2 2 2 22 14" xfId="28970" xr:uid="{C4D7ACE1-7BE2-48F7-9973-ECFB69560FF9}"/>
    <cellStyle name="Normal 3 2 2 2 2 2 2 22 2" xfId="28971" xr:uid="{F6778C1D-36B3-44C0-B81F-DF9AACB79281}"/>
    <cellStyle name="Normal 3 2 2 2 2 2 2 22 2 10" xfId="28972" xr:uid="{E37F0DBE-7278-4630-923A-52BFE81CE837}"/>
    <cellStyle name="Normal 3 2 2 2 2 2 2 22 2 11" xfId="28973" xr:uid="{C66B18F4-F1DC-4D01-B7E5-DE0850FA6899}"/>
    <cellStyle name="Normal 3 2 2 2 2 2 2 22 2 2" xfId="28974" xr:uid="{5A7AEF64-0088-4058-AEBF-B123A9097D6C}"/>
    <cellStyle name="Normal 3 2 2 2 2 2 2 22 2 2 10" xfId="28975" xr:uid="{46BBDA49-35D1-46F4-964A-5F60BBB42459}"/>
    <cellStyle name="Normal 3 2 2 2 2 2 2 22 2 2 11" xfId="28976" xr:uid="{5EF0D348-9E3E-4723-B02B-01AFDB727480}"/>
    <cellStyle name="Normal 3 2 2 2 2 2 2 22 2 2 2" xfId="28977" xr:uid="{9A804FCC-254E-41F1-BC49-558EA9BBF710}"/>
    <cellStyle name="Normal 3 2 2 2 2 2 2 22 2 2 2 2" xfId="28978" xr:uid="{E469CE55-B3D5-4915-A220-FB291279CA29}"/>
    <cellStyle name="Normal 3 2 2 2 2 2 2 22 2 2 2 2 2" xfId="28979" xr:uid="{29B9BC5A-7366-4995-A786-9D4107FD0387}"/>
    <cellStyle name="Normal 3 2 2 2 2 2 2 22 2 2 2 2 3" xfId="28980" xr:uid="{BF4E95EB-DA9D-47AB-8ABD-B13687A8F1B1}"/>
    <cellStyle name="Normal 3 2 2 2 2 2 2 22 2 2 2 2 4" xfId="28981" xr:uid="{F21E3268-3F14-4BB3-901E-03BFAA0D9413}"/>
    <cellStyle name="Normal 3 2 2 2 2 2 2 22 2 2 2 3" xfId="28982" xr:uid="{B8B6B1D1-5A3F-4F9D-8099-F838C21C8586}"/>
    <cellStyle name="Normal 3 2 2 2 2 2 2 22 2 2 2 4" xfId="28983" xr:uid="{A602905E-72BD-4196-91F8-2EBB2A72F220}"/>
    <cellStyle name="Normal 3 2 2 2 2 2 2 22 2 2 2 5" xfId="28984" xr:uid="{9367D167-6FA2-4330-AE7F-F625B5AC8F1A}"/>
    <cellStyle name="Normal 3 2 2 2 2 2 2 22 2 2 2 6" xfId="28985" xr:uid="{FCE1740E-17E2-4397-940A-D6E795CA9EA3}"/>
    <cellStyle name="Normal 3 2 2 2 2 2 2 22 2 2 3" xfId="28986" xr:uid="{4807B9DA-720C-4231-844C-E1CAF7169A8B}"/>
    <cellStyle name="Normal 3 2 2 2 2 2 2 22 2 2 4" xfId="28987" xr:uid="{5CC644F4-4AAF-402D-9276-192ABB4D9219}"/>
    <cellStyle name="Normal 3 2 2 2 2 2 2 22 2 2 5" xfId="28988" xr:uid="{F8F5122F-A826-4193-A030-3A909A06D53B}"/>
    <cellStyle name="Normal 3 2 2 2 2 2 2 22 2 2 6" xfId="28989" xr:uid="{A8E3BAB5-3E1B-45D6-985A-A397FD2F8E2F}"/>
    <cellStyle name="Normal 3 2 2 2 2 2 2 22 2 2 7" xfId="28990" xr:uid="{C357C4A7-259A-47A5-88D1-392694A5FC46}"/>
    <cellStyle name="Normal 3 2 2 2 2 2 2 22 2 2 8" xfId="28991" xr:uid="{8CE0E6C8-DA82-4704-898A-2301F3626BDF}"/>
    <cellStyle name="Normal 3 2 2 2 2 2 2 22 2 2 8 2" xfId="28992" xr:uid="{FED489D6-2E4E-4DE3-9050-A8C5F70C44E7}"/>
    <cellStyle name="Normal 3 2 2 2 2 2 2 22 2 2 8 3" xfId="28993" xr:uid="{08D82AC2-6D28-48DA-9EFA-8A66F3409207}"/>
    <cellStyle name="Normal 3 2 2 2 2 2 2 22 2 2 8 4" xfId="28994" xr:uid="{AA11B442-B605-4B67-992D-F76CBBB24ADB}"/>
    <cellStyle name="Normal 3 2 2 2 2 2 2 22 2 2 9" xfId="28995" xr:uid="{17B7615F-F9B6-465C-865F-EA090A0B483C}"/>
    <cellStyle name="Normal 3 2 2 2 2 2 2 22 2 3" xfId="28996" xr:uid="{E3DAAD03-353E-4538-92C8-25434B78C8C6}"/>
    <cellStyle name="Normal 3 2 2 2 2 2 2 22 2 3 2" xfId="28997" xr:uid="{5A8B1565-3B19-449D-87D3-26429D30D3DD}"/>
    <cellStyle name="Normal 3 2 2 2 2 2 2 22 2 3 2 2" xfId="28998" xr:uid="{EA09735D-4DC2-4C93-BC69-23D38C0FB9A7}"/>
    <cellStyle name="Normal 3 2 2 2 2 2 2 22 2 3 2 3" xfId="28999" xr:uid="{0E44146F-24DE-4421-8AB2-8E0F4C7A6AA3}"/>
    <cellStyle name="Normal 3 2 2 2 2 2 2 22 2 3 2 4" xfId="29000" xr:uid="{B1802457-6DDE-4DFD-AA42-E157FBCC0DA7}"/>
    <cellStyle name="Normal 3 2 2 2 2 2 2 22 2 3 3" xfId="29001" xr:uid="{1987CDB8-172E-4C34-AE4B-293BFCDD00A5}"/>
    <cellStyle name="Normal 3 2 2 2 2 2 2 22 2 3 4" xfId="29002" xr:uid="{7996A027-E623-44DB-AB0F-DC7792F52303}"/>
    <cellStyle name="Normal 3 2 2 2 2 2 2 22 2 3 5" xfId="29003" xr:uid="{70E4DA77-3F2B-46E4-A5DE-D60345EDC64F}"/>
    <cellStyle name="Normal 3 2 2 2 2 2 2 22 2 3 6" xfId="29004" xr:uid="{722A327E-2A08-4BA4-819F-FAD67F4FC657}"/>
    <cellStyle name="Normal 3 2 2 2 2 2 2 22 2 4" xfId="29005" xr:uid="{FC1E8190-083D-41B6-B93F-607A9DEC0B2D}"/>
    <cellStyle name="Normal 3 2 2 2 2 2 2 22 2 5" xfId="29006" xr:uid="{5409050F-D554-464D-9A47-32800AC4DFA2}"/>
    <cellStyle name="Normal 3 2 2 2 2 2 2 22 2 6" xfId="29007" xr:uid="{E5932BD5-5DC9-4657-83DF-EA73C39CD562}"/>
    <cellStyle name="Normal 3 2 2 2 2 2 2 22 2 7" xfId="29008" xr:uid="{BBC7A73C-B363-4AB8-BCBE-59886CC226AC}"/>
    <cellStyle name="Normal 3 2 2 2 2 2 2 22 2 8" xfId="29009" xr:uid="{81EE01D5-9B29-435E-8575-7CA13387629B}"/>
    <cellStyle name="Normal 3 2 2 2 2 2 2 22 2 8 2" xfId="29010" xr:uid="{4E997D3E-FC41-42F4-8C24-E96F87BB7FC2}"/>
    <cellStyle name="Normal 3 2 2 2 2 2 2 22 2 8 3" xfId="29011" xr:uid="{24260481-8EFB-490D-803A-41A94E7CF4BC}"/>
    <cellStyle name="Normal 3 2 2 2 2 2 2 22 2 8 4" xfId="29012" xr:uid="{C5E2E059-EDDE-4B40-AF36-C881AD34C8CC}"/>
    <cellStyle name="Normal 3 2 2 2 2 2 2 22 2 9" xfId="29013" xr:uid="{4E6F8482-D43D-4332-A211-42E3224D67F4}"/>
    <cellStyle name="Normal 3 2 2 2 2 2 2 22 3" xfId="29014" xr:uid="{55981515-0652-41FF-9EDE-1CEE5FB8AC02}"/>
    <cellStyle name="Normal 3 2 2 2 2 2 2 22 4" xfId="29015" xr:uid="{530B3C01-0F6F-48BE-83C4-6101EE29926B}"/>
    <cellStyle name="Normal 3 2 2 2 2 2 2 22 5" xfId="29016" xr:uid="{76A81312-DBDF-4C86-8DE2-2652EB168679}"/>
    <cellStyle name="Normal 3 2 2 2 2 2 2 22 5 2" xfId="29017" xr:uid="{E768162D-22B0-4A1A-9EAB-3412E832FE99}"/>
    <cellStyle name="Normal 3 2 2 2 2 2 2 22 5 2 2" xfId="29018" xr:uid="{A7499D28-14BB-489C-9F6B-3CF52B513BF3}"/>
    <cellStyle name="Normal 3 2 2 2 2 2 2 22 5 2 3" xfId="29019" xr:uid="{2F710FB8-638A-4623-88B8-1A6484D5B827}"/>
    <cellStyle name="Normal 3 2 2 2 2 2 2 22 5 2 4" xfId="29020" xr:uid="{BFAF082C-C5D2-4AD3-AB89-B2AD408FCAC6}"/>
    <cellStyle name="Normal 3 2 2 2 2 2 2 22 5 3" xfId="29021" xr:uid="{2F9A88A3-B0B6-436C-B43E-D98C3E484DF0}"/>
    <cellStyle name="Normal 3 2 2 2 2 2 2 22 5 4" xfId="29022" xr:uid="{AAFE23D6-B40F-45F5-86E7-1C152EAD51F7}"/>
    <cellStyle name="Normal 3 2 2 2 2 2 2 22 5 5" xfId="29023" xr:uid="{5D089DAF-2A7F-4FDE-8A9B-BB12D9CE2E90}"/>
    <cellStyle name="Normal 3 2 2 2 2 2 2 22 5 6" xfId="29024" xr:uid="{C4150A6F-7B7F-445D-BC8A-2E1232959C00}"/>
    <cellStyle name="Normal 3 2 2 2 2 2 2 22 6" xfId="29025" xr:uid="{6132CB2E-2ED8-4F8F-9852-657904AA016F}"/>
    <cellStyle name="Normal 3 2 2 2 2 2 2 22 7" xfId="29026" xr:uid="{F353A919-45B4-4404-BBF8-4F546EED1D62}"/>
    <cellStyle name="Normal 3 2 2 2 2 2 2 22 8" xfId="29027" xr:uid="{74501129-A083-4934-A188-333D36FDD545}"/>
    <cellStyle name="Normal 3 2 2 2 2 2 2 22 9" xfId="29028" xr:uid="{7E985D04-023B-4E25-BE9D-0007A73992EA}"/>
    <cellStyle name="Normal 3 2 2 2 2 2 2 23" xfId="29029" xr:uid="{E76582E2-CDDA-4DD0-A976-4823AF7D9616}"/>
    <cellStyle name="Normal 3 2 2 2 2 2 2 24" xfId="29030" xr:uid="{4E66A39E-166A-4A4E-A9C7-8A1B746706B9}"/>
    <cellStyle name="Normal 3 2 2 2 2 2 2 24 10" xfId="29031" xr:uid="{ECB09AD0-236B-4694-8531-0F7C87968709}"/>
    <cellStyle name="Normal 3 2 2 2 2 2 2 24 11" xfId="29032" xr:uid="{DB0E7F2E-B884-4586-BECE-446155D870F1}"/>
    <cellStyle name="Normal 3 2 2 2 2 2 2 24 2" xfId="29033" xr:uid="{4B77B913-A869-45A0-A9BA-229E10EF385A}"/>
    <cellStyle name="Normal 3 2 2 2 2 2 2 24 2 10" xfId="29034" xr:uid="{54EC6AF6-392F-414C-B0FD-44FD8D77852D}"/>
    <cellStyle name="Normal 3 2 2 2 2 2 2 24 2 11" xfId="29035" xr:uid="{141D47AD-F694-429F-9DAD-BC58928A9D9A}"/>
    <cellStyle name="Normal 3 2 2 2 2 2 2 24 2 2" xfId="29036" xr:uid="{BBB237B1-BB42-4714-A7AE-47E8D5ED6199}"/>
    <cellStyle name="Normal 3 2 2 2 2 2 2 24 2 2 2" xfId="29037" xr:uid="{8FBB680B-2009-43E5-9303-CAF1BAEF1FCB}"/>
    <cellStyle name="Normal 3 2 2 2 2 2 2 24 2 2 2 2" xfId="29038" xr:uid="{B792D333-3821-485B-8547-0A4A0DA25E7E}"/>
    <cellStyle name="Normal 3 2 2 2 2 2 2 24 2 2 2 3" xfId="29039" xr:uid="{BCCF8D56-D2BB-4F7E-96CE-B182E935F83E}"/>
    <cellStyle name="Normal 3 2 2 2 2 2 2 24 2 2 2 4" xfId="29040" xr:uid="{30000AA3-4978-4BB3-B56C-E89D0C579990}"/>
    <cellStyle name="Normal 3 2 2 2 2 2 2 24 2 2 3" xfId="29041" xr:uid="{E200406F-DBB8-48B9-8684-E8229976F08E}"/>
    <cellStyle name="Normal 3 2 2 2 2 2 2 24 2 2 4" xfId="29042" xr:uid="{47ED6844-6631-40C9-89D1-EE58A4840946}"/>
    <cellStyle name="Normal 3 2 2 2 2 2 2 24 2 2 5" xfId="29043" xr:uid="{346471B9-59DE-484C-8A6F-312AA754A3BE}"/>
    <cellStyle name="Normal 3 2 2 2 2 2 2 24 2 2 6" xfId="29044" xr:uid="{E9B1E930-036F-41B5-8E8F-3C8B7A23346D}"/>
    <cellStyle name="Normal 3 2 2 2 2 2 2 24 2 3" xfId="29045" xr:uid="{F8A70315-457B-4234-8F08-83B480BFC8F2}"/>
    <cellStyle name="Normal 3 2 2 2 2 2 2 24 2 4" xfId="29046" xr:uid="{34E120C3-BF0A-4E55-91E9-9D35E5EBDEF1}"/>
    <cellStyle name="Normal 3 2 2 2 2 2 2 24 2 5" xfId="29047" xr:uid="{4EFB1F2D-DDDA-43B6-BBD8-AB6730C40A30}"/>
    <cellStyle name="Normal 3 2 2 2 2 2 2 24 2 6" xfId="29048" xr:uid="{C04FE94C-4BBD-4D5D-9A58-33EAC2A009FE}"/>
    <cellStyle name="Normal 3 2 2 2 2 2 2 24 2 7" xfId="29049" xr:uid="{B71373A2-292E-46EE-968E-593F674C4B33}"/>
    <cellStyle name="Normal 3 2 2 2 2 2 2 24 2 8" xfId="29050" xr:uid="{AA76F14D-6C6F-4BD5-9B05-F4E768EB991C}"/>
    <cellStyle name="Normal 3 2 2 2 2 2 2 24 2 8 2" xfId="29051" xr:uid="{CC6174A3-43E8-42CA-B77F-0179E0F16868}"/>
    <cellStyle name="Normal 3 2 2 2 2 2 2 24 2 8 3" xfId="29052" xr:uid="{551C7FCC-D0CB-4C39-91FB-5E5617BEAD35}"/>
    <cellStyle name="Normal 3 2 2 2 2 2 2 24 2 8 4" xfId="29053" xr:uid="{79835153-3A3B-4ED5-B2F3-AE39620340F6}"/>
    <cellStyle name="Normal 3 2 2 2 2 2 2 24 2 9" xfId="29054" xr:uid="{D7A037B5-F8E7-45F8-BF00-BEA15B11269A}"/>
    <cellStyle name="Normal 3 2 2 2 2 2 2 24 3" xfId="29055" xr:uid="{9E70BE26-8E2E-4409-A992-AF4DCA0C959B}"/>
    <cellStyle name="Normal 3 2 2 2 2 2 2 24 3 2" xfId="29056" xr:uid="{34EA7805-C361-40D4-B475-00CFAEA03A8C}"/>
    <cellStyle name="Normal 3 2 2 2 2 2 2 24 3 2 2" xfId="29057" xr:uid="{934473A5-7702-4AE7-8F30-57CDDEB1B51C}"/>
    <cellStyle name="Normal 3 2 2 2 2 2 2 24 3 2 3" xfId="29058" xr:uid="{3B391F58-3CB5-4B0A-B38B-89871B3A289D}"/>
    <cellStyle name="Normal 3 2 2 2 2 2 2 24 3 2 4" xfId="29059" xr:uid="{7EBFF9E7-1B92-4CDD-A8C0-832D1AB07E70}"/>
    <cellStyle name="Normal 3 2 2 2 2 2 2 24 3 3" xfId="29060" xr:uid="{A999704E-5A78-4121-8F62-0EE2DC214CA6}"/>
    <cellStyle name="Normal 3 2 2 2 2 2 2 24 3 4" xfId="29061" xr:uid="{D60726B5-018E-433B-AA8A-2A8A38373E63}"/>
    <cellStyle name="Normal 3 2 2 2 2 2 2 24 3 5" xfId="29062" xr:uid="{84A2DC23-7703-40D2-B74E-B1271659833B}"/>
    <cellStyle name="Normal 3 2 2 2 2 2 2 24 3 6" xfId="29063" xr:uid="{BCCFF6DE-9098-49F3-89BD-2553D85F0164}"/>
    <cellStyle name="Normal 3 2 2 2 2 2 2 24 4" xfId="29064" xr:uid="{E3E97922-151A-45D4-99AD-F1CF887605E5}"/>
    <cellStyle name="Normal 3 2 2 2 2 2 2 24 5" xfId="29065" xr:uid="{AA85939D-0F03-4B38-837A-14EEBB872C2A}"/>
    <cellStyle name="Normal 3 2 2 2 2 2 2 24 6" xfId="29066" xr:uid="{29CCDD74-B5D8-4048-BE2E-CF6B0D5603CD}"/>
    <cellStyle name="Normal 3 2 2 2 2 2 2 24 7" xfId="29067" xr:uid="{A310ADDC-08CA-4318-B8A1-F511FEE7E0BE}"/>
    <cellStyle name="Normal 3 2 2 2 2 2 2 24 8" xfId="29068" xr:uid="{0D6763A6-DDD1-47B1-8DFD-FD92B5EAB444}"/>
    <cellStyle name="Normal 3 2 2 2 2 2 2 24 8 2" xfId="29069" xr:uid="{0B8200DD-7D26-4EBA-BB6B-EB74EFA7DBDA}"/>
    <cellStyle name="Normal 3 2 2 2 2 2 2 24 8 3" xfId="29070" xr:uid="{EAE330A8-FB17-4BEB-8F89-054BD36EE940}"/>
    <cellStyle name="Normal 3 2 2 2 2 2 2 24 8 4" xfId="29071" xr:uid="{3EEEA452-E28E-46AB-A907-FF4A1A83D52B}"/>
    <cellStyle name="Normal 3 2 2 2 2 2 2 24 9" xfId="29072" xr:uid="{9D4DAB0F-BF83-463A-86D6-5D84D9834A15}"/>
    <cellStyle name="Normal 3 2 2 2 2 2 2 25" xfId="29073" xr:uid="{48184658-D865-4C8C-AB4D-A599C923C6DD}"/>
    <cellStyle name="Normal 3 2 2 2 2 2 2 26" xfId="29074" xr:uid="{3A2554E9-CBC7-4936-8065-4FACD474613D}"/>
    <cellStyle name="Normal 3 2 2 2 2 2 2 26 2" xfId="29075" xr:uid="{26949D31-94A0-405A-8837-4A5B440257F4}"/>
    <cellStyle name="Normal 3 2 2 2 2 2 2 26 2 2" xfId="29076" xr:uid="{3FA50489-BAFD-4DFF-9E7B-5C722DF0AB48}"/>
    <cellStyle name="Normal 3 2 2 2 2 2 2 26 2 3" xfId="29077" xr:uid="{142D0E54-3459-4172-93B0-34524A8DA824}"/>
    <cellStyle name="Normal 3 2 2 2 2 2 2 26 2 4" xfId="29078" xr:uid="{22E243D5-3F14-4817-8218-FCEE811702D4}"/>
    <cellStyle name="Normal 3 2 2 2 2 2 2 26 3" xfId="29079" xr:uid="{AFDD5D08-27CB-472F-AA92-4B38327E00D7}"/>
    <cellStyle name="Normal 3 2 2 2 2 2 2 26 4" xfId="29080" xr:uid="{2504B48D-DEE6-4ABF-82CC-4627AE28E97D}"/>
    <cellStyle name="Normal 3 2 2 2 2 2 2 26 5" xfId="29081" xr:uid="{028BA310-135D-4DAF-B9CF-7A39F63C8445}"/>
    <cellStyle name="Normal 3 2 2 2 2 2 2 26 6" xfId="29082" xr:uid="{37FC61B0-E789-4F23-BC8C-78A364752921}"/>
    <cellStyle name="Normal 3 2 2 2 2 2 2 27" xfId="29083" xr:uid="{1463FAB5-8C97-4AC2-A897-E916DD6F83E1}"/>
    <cellStyle name="Normal 3 2 2 2 2 2 2 28" xfId="29084" xr:uid="{6964F071-450A-4064-A72D-C896FF9B78B5}"/>
    <cellStyle name="Normal 3 2 2 2 2 2 2 29" xfId="29085" xr:uid="{C9264F8B-43E5-433F-A426-BFE84F8165F5}"/>
    <cellStyle name="Normal 3 2 2 2 2 2 2 3" xfId="29086" xr:uid="{0149FD7E-8335-4D85-9B24-B50DD41A380E}"/>
    <cellStyle name="Normal 3 2 2 2 2 2 2 3 2" xfId="29087" xr:uid="{DF44B46A-D0E3-4FFA-9EFF-CC8B19986CB9}"/>
    <cellStyle name="Normal 3 2 2 2 2 2 2 3 3" xfId="29088" xr:uid="{A325E6AB-E486-4BC1-8604-08DCB255E9C9}"/>
    <cellStyle name="Normal 3 2 2 2 2 2 2 3 4" xfId="29089" xr:uid="{938DF5F9-45CB-4E15-853D-6CD6BE7C50A4}"/>
    <cellStyle name="Normal 3 2 2 2 2 2 2 3 5" xfId="29090" xr:uid="{3546F4BF-FAC9-46B6-8113-063894FF1416}"/>
    <cellStyle name="Normal 3 2 2 2 2 2 2 3 6" xfId="29091" xr:uid="{F997CEE3-8D71-4D1C-A0F7-9F056FCE0054}"/>
    <cellStyle name="Normal 3 2 2 2 2 2 2 30" xfId="29092" xr:uid="{3E54C5A5-3BEE-4FA8-8413-A52257748947}"/>
    <cellStyle name="Normal 3 2 2 2 2 2 2 31" xfId="29093" xr:uid="{43E38418-EEB5-41D0-80C5-80E0E0354214}"/>
    <cellStyle name="Normal 3 2 2 2 2 2 2 32" xfId="29094" xr:uid="{B2CB7407-ED47-4F87-9B3A-77484A9D8CB9}"/>
    <cellStyle name="Normal 3 2 2 2 2 2 2 32 2" xfId="29095" xr:uid="{2D11D66E-36BF-4A05-9BC4-6F29BC3C875A}"/>
    <cellStyle name="Normal 3 2 2 2 2 2 2 32 3" xfId="29096" xr:uid="{A4FFE8F7-BD9E-48B7-85C7-F1381E43D3B8}"/>
    <cellStyle name="Normal 3 2 2 2 2 2 2 32 4" xfId="29097" xr:uid="{3FB775C7-0D0E-4EF1-A797-83792BDBC8DB}"/>
    <cellStyle name="Normal 3 2 2 2 2 2 2 33" xfId="29098" xr:uid="{BA272B02-3B3E-4CC2-AFA0-C4FE220F8027}"/>
    <cellStyle name="Normal 3 2 2 2 2 2 2 34" xfId="29099" xr:uid="{5A5031A7-4B4C-4278-B087-24447C6C7EC3}"/>
    <cellStyle name="Normal 3 2 2 2 2 2 2 35" xfId="29100" xr:uid="{981E96AA-4485-49D0-891A-D88FC144E490}"/>
    <cellStyle name="Normal 3 2 2 2 2 2 2 36" xfId="29101" xr:uid="{68AB02BF-956E-4DE9-995F-252D755D12AC}"/>
    <cellStyle name="Normal 3 2 2 2 2 2 2 37" xfId="29102" xr:uid="{EF435F42-0580-418D-A7F7-0A676DF8BF4A}"/>
    <cellStyle name="Normal 3 2 2 2 2 2 2 38" xfId="29103" xr:uid="{69B80C74-F5FE-49DF-8D51-3E881989ECE4}"/>
    <cellStyle name="Normal 3 2 2 2 2 2 2 39" xfId="29104" xr:uid="{871F989E-35FD-45C4-ABE9-96B781451C14}"/>
    <cellStyle name="Normal 3 2 2 2 2 2 2 4" xfId="29105" xr:uid="{E6E10797-1DA9-4FBC-80B0-BB20C00A3182}"/>
    <cellStyle name="Normal 3 2 2 2 2 2 2 4 2" xfId="29106" xr:uid="{FCC9B2B4-9254-419E-9884-3838939F48F6}"/>
    <cellStyle name="Normal 3 2 2 2 2 2 2 4 2 2" xfId="29107" xr:uid="{C58A3516-166D-4434-8574-A2F8A650D77C}"/>
    <cellStyle name="Normal 3 2 2 2 2 2 2 4 2 3" xfId="29108" xr:uid="{DFE35223-CCC0-4C5B-9ACF-FD90431E6AE2}"/>
    <cellStyle name="Normal 3 2 2 2 2 2 2 4 2 4" xfId="29109" xr:uid="{419D0715-F44E-41FD-AB64-18C04E350A30}"/>
    <cellStyle name="Normal 3 2 2 2 2 2 2 4 2 5" xfId="29110" xr:uid="{F378690D-0F13-48AB-83FE-E8F26E7622EC}"/>
    <cellStyle name="Normal 3 2 2 2 2 2 2 4 2 6" xfId="29111" xr:uid="{FA80ED32-3846-47CC-A0D9-383D063208EA}"/>
    <cellStyle name="Normal 3 2 2 2 2 2 2 4 2 7" xfId="29112" xr:uid="{BA9855E7-1C47-4936-A7F7-8777B0628737}"/>
    <cellStyle name="Normal 3 2 2 2 2 2 2 40" xfId="29113" xr:uid="{91E4DE5E-43A9-4D7B-BACC-C6A7D6A5AF12}"/>
    <cellStyle name="Normal 3 2 2 2 2 2 2 41" xfId="29114" xr:uid="{5D5160B8-BFC7-4EDA-9B2D-E1058C3B746D}"/>
    <cellStyle name="Normal 3 2 2 2 2 2 2 42" xfId="29115" xr:uid="{910CD2D8-6E16-4CB8-A63E-A3215C6FA3A8}"/>
    <cellStyle name="Normal 3 2 2 2 2 2 2 43" xfId="29116" xr:uid="{F4C3392D-5D64-4500-99DF-F68D59FA6491}"/>
    <cellStyle name="Normal 3 2 2 2 2 2 2 44" xfId="29117" xr:uid="{CD927494-ABDC-4432-9F5E-FDDA5BECC2FC}"/>
    <cellStyle name="Normal 3 2 2 2 2 2 2 45" xfId="29118" xr:uid="{0E671036-9680-41D8-A2A7-A09EE4CC50AF}"/>
    <cellStyle name="Normal 3 2 2 2 2 2 2 46" xfId="29119" xr:uid="{C7FAE089-416E-4D36-9F8D-8B62E0452A3D}"/>
    <cellStyle name="Normal 3 2 2 2 2 2 2 47" xfId="29120" xr:uid="{C5BECAA7-A56C-40F3-8EAA-4A99B6AEC6BA}"/>
    <cellStyle name="Normal 3 2 2 2 2 2 2 47 2" xfId="29121" xr:uid="{C108B9C2-9ADA-4598-B7C3-E35596E77272}"/>
    <cellStyle name="Normal 3 2 2 2 2 2 2 47 3" xfId="29122" xr:uid="{C3257F91-0ECF-4148-A98F-83B59509A7C5}"/>
    <cellStyle name="Normal 3 2 2 2 2 2 2 47 4" xfId="29123" xr:uid="{CB8F76EC-2F31-4D41-94C7-F976C90AC0AB}"/>
    <cellStyle name="Normal 3 2 2 2 2 2 2 47 5" xfId="29124" xr:uid="{0A621E06-0DE5-4277-A7F6-70BE79D3CF2C}"/>
    <cellStyle name="Normal 3 2 2 2 2 2 2 47 6" xfId="29125" xr:uid="{BDBB1845-B058-4F16-8D80-1E1705912517}"/>
    <cellStyle name="Normal 3 2 2 2 2 2 2 47 7" xfId="29126" xr:uid="{6BA85E4F-AC75-4A05-9A01-34071AC77A8B}"/>
    <cellStyle name="Normal 3 2 2 2 2 2 2 48" xfId="29127" xr:uid="{7AE8DB17-E957-4BB7-8DD1-416B4C4D029F}"/>
    <cellStyle name="Normal 3 2 2 2 2 2 2 49" xfId="29128" xr:uid="{7E055357-57C0-4D7F-9F1E-4103C3F93E43}"/>
    <cellStyle name="Normal 3 2 2 2 2 2 2 5" xfId="29129" xr:uid="{8AC2AEB1-6901-4921-844E-6A6A4CF0AB11}"/>
    <cellStyle name="Normal 3 2 2 2 2 2 2 50" xfId="29130" xr:uid="{E13CF601-99C9-4B41-B6B1-097C641B35D8}"/>
    <cellStyle name="Normal 3 2 2 2 2 2 2 51" xfId="29131" xr:uid="{01B8D3EC-9F04-495F-B03D-A083C6C4F7D5}"/>
    <cellStyle name="Normal 3 2 2 2 2 2 2 52" xfId="29132" xr:uid="{C2AB5056-325E-485A-B7B6-786B64B048AE}"/>
    <cellStyle name="Normal 3 2 2 2 2 2 2 53" xfId="29133" xr:uid="{59C1F7C4-C361-4C78-8ED3-2FBF75EDB9CA}"/>
    <cellStyle name="Normal 3 2 2 2 2 2 2 54" xfId="29134" xr:uid="{D84DE46C-BCEC-44BD-B7E6-8F724D91B129}"/>
    <cellStyle name="Normal 3 2 2 2 2 2 2 55" xfId="29135" xr:uid="{9025133B-0053-4498-9FD6-E2FF001371AD}"/>
    <cellStyle name="Normal 3 2 2 2 2 2 2 56" xfId="29136" xr:uid="{8FBD061A-B582-4F0F-81E0-E52A743DDE74}"/>
    <cellStyle name="Normal 3 2 2 2 2 2 2 57" xfId="29137" xr:uid="{6D65562B-6660-4146-BF5E-1179A34FDA5E}"/>
    <cellStyle name="Normal 3 2 2 2 2 2 2 58" xfId="29138" xr:uid="{7D956F3A-6353-4FDB-9BD5-B3BBB26E95C1}"/>
    <cellStyle name="Normal 3 2 2 2 2 2 2 59" xfId="29139" xr:uid="{183E25FE-439D-4473-86A4-42B9A401E9B2}"/>
    <cellStyle name="Normal 3 2 2 2 2 2 2 6" xfId="29140" xr:uid="{30BE0B49-05F2-4891-AF1B-CAD34E69F55C}"/>
    <cellStyle name="Normal 3 2 2 2 2 2 2 60" xfId="29141" xr:uid="{B5BD1A0B-A89F-4C12-86BB-FEFF30D53796}"/>
    <cellStyle name="Normal 3 2 2 2 2 2 2 61" xfId="29142" xr:uid="{0104996B-DC9A-4E6F-81D4-F92C3B92B03A}"/>
    <cellStyle name="Normal 3 2 2 2 2 2 2 62" xfId="29143" xr:uid="{BACAED80-CDDA-4DB2-839D-9D492ECECD5F}"/>
    <cellStyle name="Normal 3 2 2 2 2 2 2 63" xfId="29144" xr:uid="{26D5E15A-F00F-443A-B53C-488A38616ADB}"/>
    <cellStyle name="Normal 3 2 2 2 2 2 2 64" xfId="29145" xr:uid="{701F395A-BCCD-463D-87E9-63C435D44AEC}"/>
    <cellStyle name="Normal 3 2 2 2 2 2 2 65" xfId="29146" xr:uid="{C73EE224-A453-44CD-B162-3EC9CA8CA39A}"/>
    <cellStyle name="Normal 3 2 2 2 2 2 2 66" xfId="29147" xr:uid="{05125AD9-AF39-4EC8-ACBD-9389DE633F5D}"/>
    <cellStyle name="Normal 3 2 2 2 2 2 2 67" xfId="29148" xr:uid="{CF3CE1D1-A445-4506-B34C-FA1F105CD9CF}"/>
    <cellStyle name="Normal 3 2 2 2 2 2 2 68" xfId="29149" xr:uid="{0FB3831D-1B20-49A9-B633-F35489FD96A9}"/>
    <cellStyle name="Normal 3 2 2 2 2 2 2 69" xfId="29150" xr:uid="{E95E339B-833A-4CF2-9FEB-8A71343741B0}"/>
    <cellStyle name="Normal 3 2 2 2 2 2 2 7" xfId="29151" xr:uid="{5D261B8B-9D91-44C8-A507-A9B38836B79A}"/>
    <cellStyle name="Normal 3 2 2 2 2 2 2 70" xfId="29152" xr:uid="{8105BA3B-DCEC-4F32-9BB3-48D44BF91496}"/>
    <cellStyle name="Normal 3 2 2 2 2 2 2 71" xfId="29153" xr:uid="{EBA77D09-A446-498D-A698-6DA30DE4BE02}"/>
    <cellStyle name="Normal 3 2 2 2 2 2 2 72" xfId="29154" xr:uid="{49E17935-6437-4638-AD79-598B9A76D651}"/>
    <cellStyle name="Normal 3 2 2 2 2 2 2 73" xfId="29155" xr:uid="{1AE68E16-8E78-49A6-91F7-A0726032D24B}"/>
    <cellStyle name="Normal 3 2 2 2 2 2 2 74" xfId="29156" xr:uid="{1A0BE270-C057-4DEC-8BD4-ED6E8C117D09}"/>
    <cellStyle name="Normal 3 2 2 2 2 2 2 75" xfId="29157" xr:uid="{ACA33440-E7D7-4E19-B308-986BB2DFADFA}"/>
    <cellStyle name="Normal 3 2 2 2 2 2 2 76" xfId="29158" xr:uid="{2025119B-B401-4E64-B865-DB5F2A5BFCE2}"/>
    <cellStyle name="Normal 3 2 2 2 2 2 2 77" xfId="29159" xr:uid="{3A881EE1-A904-4C95-B910-6F13F34E2CFF}"/>
    <cellStyle name="Normal 3 2 2 2 2 2 2 78" xfId="29160" xr:uid="{F33F3C90-23A2-4070-BB1E-FFBFC1EA8AAD}"/>
    <cellStyle name="Normal 3 2 2 2 2 2 2 79" xfId="29161" xr:uid="{E941B097-F164-4DF3-9336-E3C004B214D1}"/>
    <cellStyle name="Normal 3 2 2 2 2 2 2 79 2" xfId="29162" xr:uid="{7442F575-CF98-4969-B783-C281ED447477}"/>
    <cellStyle name="Normal 3 2 2 2 2 2 2 79 3" xfId="29163" xr:uid="{6674D838-5589-4909-9C1F-B47E2DF051F8}"/>
    <cellStyle name="Normal 3 2 2 2 2 2 2 79 4" xfId="29164" xr:uid="{38036636-174C-45D6-85F2-B65EA17EA0ED}"/>
    <cellStyle name="Normal 3 2 2 2 2 2 2 8" xfId="29165" xr:uid="{F19C26A7-E4B1-4719-8F16-9DD34BCFFBF2}"/>
    <cellStyle name="Normal 3 2 2 2 2 2 2 80" xfId="29166" xr:uid="{1BE00333-C95E-4DB5-BD87-016AAF1582D7}"/>
    <cellStyle name="Normal 3 2 2 2 2 2 2 81" xfId="29167" xr:uid="{E3A744C6-B3B3-4ECE-8A31-5986AC53FB15}"/>
    <cellStyle name="Normal 3 2 2 2 2 2 2 9" xfId="29168" xr:uid="{8C509657-FC8B-46E6-9E35-DFF95B036F41}"/>
    <cellStyle name="Normal 3 2 2 2 2 2 20" xfId="29169" xr:uid="{DA793ED0-D645-480E-96B2-D811C590BCAC}"/>
    <cellStyle name="Normal 3 2 2 2 2 2 20 10" xfId="29170" xr:uid="{5D0EEAAC-9619-43E9-B075-64CA4892ECCE}"/>
    <cellStyle name="Normal 3 2 2 2 2 2 20 11" xfId="29171" xr:uid="{CF46F1A3-B985-46C9-AC89-C3DCFBFDE85A}"/>
    <cellStyle name="Normal 3 2 2 2 2 2 20 11 10" xfId="29172" xr:uid="{B60D2F9F-2F44-41BB-A2C5-B3A7DBF891DC}"/>
    <cellStyle name="Normal 3 2 2 2 2 2 20 11 11" xfId="29173" xr:uid="{0A56FC00-CA10-42B9-81D5-7D4234649383}"/>
    <cellStyle name="Normal 3 2 2 2 2 2 20 11 11 2" xfId="29174" xr:uid="{5C61508D-6E47-4366-AA72-1FED2778EF9B}"/>
    <cellStyle name="Normal 3 2 2 2 2 2 20 11 11 3" xfId="29175" xr:uid="{CBCA42CA-B7FC-4652-90D6-BA902A342026}"/>
    <cellStyle name="Normal 3 2 2 2 2 2 20 11 11 4" xfId="29176" xr:uid="{89D3B7D0-5659-461B-85A3-8BC57A6F1D4B}"/>
    <cellStyle name="Normal 3 2 2 2 2 2 20 11 12" xfId="29177" xr:uid="{2C3EF1DC-E740-4416-AFB7-3445A03D526F}"/>
    <cellStyle name="Normal 3 2 2 2 2 2 20 11 13" xfId="29178" xr:uid="{B6638C10-66D2-49F8-90DA-910CB0D1E8CA}"/>
    <cellStyle name="Normal 3 2 2 2 2 2 20 11 14" xfId="29179" xr:uid="{761C8EFC-5A2F-4FF2-8E0F-A6AB38D1871D}"/>
    <cellStyle name="Normal 3 2 2 2 2 2 20 11 2" xfId="29180" xr:uid="{B0D5EC4E-A654-443D-AA08-3DA87EECBE97}"/>
    <cellStyle name="Normal 3 2 2 2 2 2 20 11 2 10" xfId="29181" xr:uid="{E499DB84-DF56-4366-9A33-CDDA2187C4C6}"/>
    <cellStyle name="Normal 3 2 2 2 2 2 20 11 2 11" xfId="29182" xr:uid="{33348A72-56B3-427F-8D06-B0F3D92BD092}"/>
    <cellStyle name="Normal 3 2 2 2 2 2 20 11 2 2" xfId="29183" xr:uid="{F82FF1DA-F54D-4F4E-AAEF-3EF0AB20E0B4}"/>
    <cellStyle name="Normal 3 2 2 2 2 2 20 11 2 2 10" xfId="29184" xr:uid="{44141E2F-5CE6-42BC-9DB1-3D3190091CD6}"/>
    <cellStyle name="Normal 3 2 2 2 2 2 20 11 2 2 11" xfId="29185" xr:uid="{3B2BF87D-18E4-4FF3-863E-79690DAA1736}"/>
    <cellStyle name="Normal 3 2 2 2 2 2 20 11 2 2 2" xfId="29186" xr:uid="{993CA55C-107E-4541-A399-3304024F0085}"/>
    <cellStyle name="Normal 3 2 2 2 2 2 20 11 2 2 2 2" xfId="29187" xr:uid="{E6DD907C-1897-4710-9D25-7C4BB3B451C4}"/>
    <cellStyle name="Normal 3 2 2 2 2 2 20 11 2 2 2 2 2" xfId="29188" xr:uid="{D2A64AD1-E8E1-478B-9190-C218839F3271}"/>
    <cellStyle name="Normal 3 2 2 2 2 2 20 11 2 2 2 2 3" xfId="29189" xr:uid="{B7B923EF-B914-4D13-80BA-F65C47B87306}"/>
    <cellStyle name="Normal 3 2 2 2 2 2 20 11 2 2 2 2 4" xfId="29190" xr:uid="{303DBD88-B84D-410A-A760-20727735201F}"/>
    <cellStyle name="Normal 3 2 2 2 2 2 20 11 2 2 2 3" xfId="29191" xr:uid="{E0F5FD6A-A42F-49B5-8F3B-9D24EB74DA9C}"/>
    <cellStyle name="Normal 3 2 2 2 2 2 20 11 2 2 2 4" xfId="29192" xr:uid="{464AB8E9-BC3D-40CA-A501-4CF9BF972FD1}"/>
    <cellStyle name="Normal 3 2 2 2 2 2 20 11 2 2 2 5" xfId="29193" xr:uid="{32491D91-BCEB-48AE-AF81-35C7059BC409}"/>
    <cellStyle name="Normal 3 2 2 2 2 2 20 11 2 2 2 6" xfId="29194" xr:uid="{77CA0059-4C29-470B-8F0D-FB071EBA5213}"/>
    <cellStyle name="Normal 3 2 2 2 2 2 20 11 2 2 3" xfId="29195" xr:uid="{CDED989A-900A-4F52-B32E-289089C2C8CF}"/>
    <cellStyle name="Normal 3 2 2 2 2 2 20 11 2 2 4" xfId="29196" xr:uid="{2EDDA19E-2298-4355-B806-69D145A1D982}"/>
    <cellStyle name="Normal 3 2 2 2 2 2 20 11 2 2 5" xfId="29197" xr:uid="{AE3D384B-52AD-4C11-AB1D-26146DFC8DFF}"/>
    <cellStyle name="Normal 3 2 2 2 2 2 20 11 2 2 6" xfId="29198" xr:uid="{CC8A28D7-9AF8-44EB-9031-E2BB4EBDCAC7}"/>
    <cellStyle name="Normal 3 2 2 2 2 2 20 11 2 2 7" xfId="29199" xr:uid="{70ADD508-AF83-4DBB-8619-5B06A11BA57C}"/>
    <cellStyle name="Normal 3 2 2 2 2 2 20 11 2 2 8" xfId="29200" xr:uid="{262EEEDC-CCB5-4250-BD21-EF377B4DA546}"/>
    <cellStyle name="Normal 3 2 2 2 2 2 20 11 2 2 8 2" xfId="29201" xr:uid="{53C04B65-1762-4C97-9AC3-5B26B8351D28}"/>
    <cellStyle name="Normal 3 2 2 2 2 2 20 11 2 2 8 3" xfId="29202" xr:uid="{33F09151-82DF-40AB-8CDB-C1A016A490B1}"/>
    <cellStyle name="Normal 3 2 2 2 2 2 20 11 2 2 8 4" xfId="29203" xr:uid="{624B754F-847D-4BAA-8D1A-F37306C7D4A9}"/>
    <cellStyle name="Normal 3 2 2 2 2 2 20 11 2 2 9" xfId="29204" xr:uid="{1D7F4ED2-BCBC-41E3-AA7B-5703EFC0F911}"/>
    <cellStyle name="Normal 3 2 2 2 2 2 20 11 2 3" xfId="29205" xr:uid="{589937B8-A49F-407F-9FDE-63E20D6A23AB}"/>
    <cellStyle name="Normal 3 2 2 2 2 2 20 11 2 3 2" xfId="29206" xr:uid="{6E3458A4-EEA9-4B7B-8D5B-67C58271E3C5}"/>
    <cellStyle name="Normal 3 2 2 2 2 2 20 11 2 3 2 2" xfId="29207" xr:uid="{5C80FD04-1032-4EE3-9E3A-9F4C6EC02B0A}"/>
    <cellStyle name="Normal 3 2 2 2 2 2 20 11 2 3 2 3" xfId="29208" xr:uid="{2B458E7D-EA92-496E-93D2-2666AFC590C5}"/>
    <cellStyle name="Normal 3 2 2 2 2 2 20 11 2 3 2 4" xfId="29209" xr:uid="{80A029CC-429B-437A-94E3-A5E224122610}"/>
    <cellStyle name="Normal 3 2 2 2 2 2 20 11 2 3 3" xfId="29210" xr:uid="{2686B77A-465D-485D-A2BD-C8B38DDB9E2B}"/>
    <cellStyle name="Normal 3 2 2 2 2 2 20 11 2 3 4" xfId="29211" xr:uid="{968DCF73-2A00-4FD7-9D25-A33C342AF58F}"/>
    <cellStyle name="Normal 3 2 2 2 2 2 20 11 2 3 5" xfId="29212" xr:uid="{F9170E1D-739A-417A-AF5F-D89C3CBA7A3F}"/>
    <cellStyle name="Normal 3 2 2 2 2 2 20 11 2 3 6" xfId="29213" xr:uid="{4DB264E9-0008-4B94-A5FA-12F9F5BAC58B}"/>
    <cellStyle name="Normal 3 2 2 2 2 2 20 11 2 4" xfId="29214" xr:uid="{2372B01D-B941-4890-8758-20223CE67EF1}"/>
    <cellStyle name="Normal 3 2 2 2 2 2 20 11 2 5" xfId="29215" xr:uid="{6983D948-56D4-4497-9F0C-25D4AE41FE27}"/>
    <cellStyle name="Normal 3 2 2 2 2 2 20 11 2 6" xfId="29216" xr:uid="{A8C3BF11-C81D-474C-B31C-4E9271706A63}"/>
    <cellStyle name="Normal 3 2 2 2 2 2 20 11 2 7" xfId="29217" xr:uid="{D340D652-29C1-47D9-B2B7-9F8B17D8D46B}"/>
    <cellStyle name="Normal 3 2 2 2 2 2 20 11 2 8" xfId="29218" xr:uid="{E03E5940-2065-42CA-BABB-A04342A980EE}"/>
    <cellStyle name="Normal 3 2 2 2 2 2 20 11 2 8 2" xfId="29219" xr:uid="{E54E1C4C-A136-4505-B856-2DCDFD423881}"/>
    <cellStyle name="Normal 3 2 2 2 2 2 20 11 2 8 3" xfId="29220" xr:uid="{651A8025-5883-4755-BF9E-D2A00C44DFF6}"/>
    <cellStyle name="Normal 3 2 2 2 2 2 20 11 2 8 4" xfId="29221" xr:uid="{25291C7B-25E2-48A9-8243-38DE82A9394C}"/>
    <cellStyle name="Normal 3 2 2 2 2 2 20 11 2 9" xfId="29222" xr:uid="{2FBAA0DE-C339-4729-8E6E-0F147F0B85C9}"/>
    <cellStyle name="Normal 3 2 2 2 2 2 20 11 3" xfId="29223" xr:uid="{90188FCF-0059-44C3-8C95-8D60D41A93D8}"/>
    <cellStyle name="Normal 3 2 2 2 2 2 20 11 4" xfId="29224" xr:uid="{CC59236B-5C51-41C9-B6EC-0C9149D9C4B6}"/>
    <cellStyle name="Normal 3 2 2 2 2 2 20 11 5" xfId="29225" xr:uid="{699DEA4A-2A91-49B6-A270-3457B2F02A32}"/>
    <cellStyle name="Normal 3 2 2 2 2 2 20 11 5 2" xfId="29226" xr:uid="{D0B1B55C-3F5A-4458-9C86-4014027CFA87}"/>
    <cellStyle name="Normal 3 2 2 2 2 2 20 11 5 2 2" xfId="29227" xr:uid="{A41061C1-8309-4E36-BF33-FC57D3A81BF1}"/>
    <cellStyle name="Normal 3 2 2 2 2 2 20 11 5 2 3" xfId="29228" xr:uid="{BF51BFB3-56F9-4381-8EF4-25897D511C82}"/>
    <cellStyle name="Normal 3 2 2 2 2 2 20 11 5 2 4" xfId="29229" xr:uid="{9AF3F92B-1AE8-4769-8B2F-1ECB3D787AEB}"/>
    <cellStyle name="Normal 3 2 2 2 2 2 20 11 5 3" xfId="29230" xr:uid="{C38BE0F5-D1A9-4DFE-AAF7-CC6C0081C9AD}"/>
    <cellStyle name="Normal 3 2 2 2 2 2 20 11 5 4" xfId="29231" xr:uid="{7A16EE3C-4580-4E61-A73B-A60001EBB3A5}"/>
    <cellStyle name="Normal 3 2 2 2 2 2 20 11 5 5" xfId="29232" xr:uid="{078D8015-B9F0-488C-B3D2-13439838B8EC}"/>
    <cellStyle name="Normal 3 2 2 2 2 2 20 11 5 6" xfId="29233" xr:uid="{2BB37056-CAE2-4022-BECA-60705DB3FBF7}"/>
    <cellStyle name="Normal 3 2 2 2 2 2 20 11 6" xfId="29234" xr:uid="{88792BDD-99F2-435F-91B1-D8A57F0045FC}"/>
    <cellStyle name="Normal 3 2 2 2 2 2 20 11 7" xfId="29235" xr:uid="{D18B1889-8C1B-4564-912B-A0F30AB24D50}"/>
    <cellStyle name="Normal 3 2 2 2 2 2 20 11 8" xfId="29236" xr:uid="{6AE0486B-0449-4FC6-A63A-6D1AF771DEC3}"/>
    <cellStyle name="Normal 3 2 2 2 2 2 20 11 9" xfId="29237" xr:uid="{199C3580-AC95-44F6-8A11-85114C788D9C}"/>
    <cellStyle name="Normal 3 2 2 2 2 2 20 12" xfId="29238" xr:uid="{47E4B840-0E95-4A7A-BE0A-0725BCDFEEA8}"/>
    <cellStyle name="Normal 3 2 2 2 2 2 20 13" xfId="29239" xr:uid="{54247AC6-968A-4697-AC09-66E307184E14}"/>
    <cellStyle name="Normal 3 2 2 2 2 2 20 13 10" xfId="29240" xr:uid="{39DC4BF2-2936-49F2-A402-E9C411642458}"/>
    <cellStyle name="Normal 3 2 2 2 2 2 20 13 11" xfId="29241" xr:uid="{599D0F5D-3360-4C48-840C-356C0BB132CB}"/>
    <cellStyle name="Normal 3 2 2 2 2 2 20 13 2" xfId="29242" xr:uid="{DF44231E-4E9A-4B5B-B48F-765F2405371B}"/>
    <cellStyle name="Normal 3 2 2 2 2 2 20 13 2 10" xfId="29243" xr:uid="{07241657-F5C1-4131-B6BE-4FA6CA7F9F53}"/>
    <cellStyle name="Normal 3 2 2 2 2 2 20 13 2 11" xfId="29244" xr:uid="{3DE54F52-3419-46B3-893B-1FC93447173E}"/>
    <cellStyle name="Normal 3 2 2 2 2 2 20 13 2 2" xfId="29245" xr:uid="{976917FA-3B69-42A1-8F8F-95C178DE5699}"/>
    <cellStyle name="Normal 3 2 2 2 2 2 20 13 2 2 2" xfId="29246" xr:uid="{01437BD6-794B-4AA6-9E37-C8A21EDF72AF}"/>
    <cellStyle name="Normal 3 2 2 2 2 2 20 13 2 2 2 2" xfId="29247" xr:uid="{095D0025-8C65-4F4E-9DDD-F32B9844ECD6}"/>
    <cellStyle name="Normal 3 2 2 2 2 2 20 13 2 2 2 3" xfId="29248" xr:uid="{EE6A2AD2-1F61-471F-A5CB-7A47C23B7180}"/>
    <cellStyle name="Normal 3 2 2 2 2 2 20 13 2 2 2 4" xfId="29249" xr:uid="{989A6454-8F7F-4D01-8DC2-3AB23BC24F8C}"/>
    <cellStyle name="Normal 3 2 2 2 2 2 20 13 2 2 3" xfId="29250" xr:uid="{872DF792-20F8-439A-A99B-A72C40141F51}"/>
    <cellStyle name="Normal 3 2 2 2 2 2 20 13 2 2 4" xfId="29251" xr:uid="{C0AD3E87-337A-4FFA-AF6E-DEF617725FF8}"/>
    <cellStyle name="Normal 3 2 2 2 2 2 20 13 2 2 5" xfId="29252" xr:uid="{1E5480E5-C985-48EA-BA15-D600E625F9E6}"/>
    <cellStyle name="Normal 3 2 2 2 2 2 20 13 2 2 6" xfId="29253" xr:uid="{7C6EA425-52BA-4914-8AA4-04039A41656F}"/>
    <cellStyle name="Normal 3 2 2 2 2 2 20 13 2 3" xfId="29254" xr:uid="{5A1D4EF5-B7A6-44C4-9975-07CBAEC0E1C9}"/>
    <cellStyle name="Normal 3 2 2 2 2 2 20 13 2 4" xfId="29255" xr:uid="{FCC78596-7EA0-4237-84B1-A851166C0C9E}"/>
    <cellStyle name="Normal 3 2 2 2 2 2 20 13 2 5" xfId="29256" xr:uid="{71071DEC-CCC2-475D-BB29-595BC768177F}"/>
    <cellStyle name="Normal 3 2 2 2 2 2 20 13 2 6" xfId="29257" xr:uid="{45C52156-20A5-42BB-8F3B-E0470461F1A5}"/>
    <cellStyle name="Normal 3 2 2 2 2 2 20 13 2 7" xfId="29258" xr:uid="{AB2834F2-0808-4566-B7DF-9CC426110459}"/>
    <cellStyle name="Normal 3 2 2 2 2 2 20 13 2 8" xfId="29259" xr:uid="{23E8BEAF-94E5-4C6F-9F80-5C7A66BE4279}"/>
    <cellStyle name="Normal 3 2 2 2 2 2 20 13 2 8 2" xfId="29260" xr:uid="{12444603-D702-4377-8F90-8E3B20AB64F5}"/>
    <cellStyle name="Normal 3 2 2 2 2 2 20 13 2 8 3" xfId="29261" xr:uid="{F681780F-A046-46F1-B249-507B4C183D04}"/>
    <cellStyle name="Normal 3 2 2 2 2 2 20 13 2 8 4" xfId="29262" xr:uid="{389398ED-9A75-4A98-97D9-55A5BE72330A}"/>
    <cellStyle name="Normal 3 2 2 2 2 2 20 13 2 9" xfId="29263" xr:uid="{C5AAD2F1-9DE3-47FB-84C3-2B16A12F25F4}"/>
    <cellStyle name="Normal 3 2 2 2 2 2 20 13 3" xfId="29264" xr:uid="{55411921-6E5E-49B8-8F0D-24C7505DFA15}"/>
    <cellStyle name="Normal 3 2 2 2 2 2 20 13 3 2" xfId="29265" xr:uid="{36C37930-2D62-42AA-8C72-9FE414CB3EF3}"/>
    <cellStyle name="Normal 3 2 2 2 2 2 20 13 3 2 2" xfId="29266" xr:uid="{098E4824-186F-4FB1-89FF-1A22CEE41EF0}"/>
    <cellStyle name="Normal 3 2 2 2 2 2 20 13 3 2 3" xfId="29267" xr:uid="{F26957AA-DDA4-4BF2-BC24-8D9728A31084}"/>
    <cellStyle name="Normal 3 2 2 2 2 2 20 13 3 2 4" xfId="29268" xr:uid="{8E57BB0C-B23A-4203-81D4-5F0C8277FACA}"/>
    <cellStyle name="Normal 3 2 2 2 2 2 20 13 3 3" xfId="29269" xr:uid="{BBED5F38-75A2-44B8-A905-73374A2363DD}"/>
    <cellStyle name="Normal 3 2 2 2 2 2 20 13 3 4" xfId="29270" xr:uid="{81F09C5F-08F2-45A3-B2A2-6B145C4657EB}"/>
    <cellStyle name="Normal 3 2 2 2 2 2 20 13 3 5" xfId="29271" xr:uid="{4507C0DE-DBBF-4EFC-8F52-9F8D57F845B9}"/>
    <cellStyle name="Normal 3 2 2 2 2 2 20 13 3 6" xfId="29272" xr:uid="{57D3D18D-F260-416C-AF13-D91A264913AA}"/>
    <cellStyle name="Normal 3 2 2 2 2 2 20 13 4" xfId="29273" xr:uid="{2F68ECBB-D5BE-4B4D-9830-EFE41E5055B3}"/>
    <cellStyle name="Normal 3 2 2 2 2 2 20 13 5" xfId="29274" xr:uid="{D6788379-9144-45C3-BB3A-394FDA5D0E9F}"/>
    <cellStyle name="Normal 3 2 2 2 2 2 20 13 6" xfId="29275" xr:uid="{FC49D4AD-8574-4A38-ABA2-9286D727A985}"/>
    <cellStyle name="Normal 3 2 2 2 2 2 20 13 7" xfId="29276" xr:uid="{6BE12E06-5D3E-4610-8729-D1B083ED7909}"/>
    <cellStyle name="Normal 3 2 2 2 2 2 20 13 8" xfId="29277" xr:uid="{2304FD3F-72C5-49B1-A604-CE08F2EB1498}"/>
    <cellStyle name="Normal 3 2 2 2 2 2 20 13 8 2" xfId="29278" xr:uid="{AD9D5C53-5895-43F0-BD56-0A5EC59338E1}"/>
    <cellStyle name="Normal 3 2 2 2 2 2 20 13 8 3" xfId="29279" xr:uid="{BFF4D2DC-71DF-4E60-8412-BEEF6DB9AECC}"/>
    <cellStyle name="Normal 3 2 2 2 2 2 20 13 8 4" xfId="29280" xr:uid="{C0F8D8AA-64F0-44E6-8B7C-02FAB35CA0AB}"/>
    <cellStyle name="Normal 3 2 2 2 2 2 20 13 9" xfId="29281" xr:uid="{2C6772AD-F4F7-4A0E-9D4E-267593BF9B2C}"/>
    <cellStyle name="Normal 3 2 2 2 2 2 20 14" xfId="29282" xr:uid="{4FBB0AB9-9786-440B-A76A-21DA5AF20393}"/>
    <cellStyle name="Normal 3 2 2 2 2 2 20 15" xfId="29283" xr:uid="{2B1B1D39-7A39-4104-A476-08700CCB8364}"/>
    <cellStyle name="Normal 3 2 2 2 2 2 20 15 2" xfId="29284" xr:uid="{428C50C8-7226-43C4-9660-1C7FAA3A84D7}"/>
    <cellStyle name="Normal 3 2 2 2 2 2 20 15 2 2" xfId="29285" xr:uid="{182C04EF-E362-415E-B4A7-FF7831162BF6}"/>
    <cellStyle name="Normal 3 2 2 2 2 2 20 15 2 3" xfId="29286" xr:uid="{88D57AFC-0341-4A18-89E8-C7E189FA3B56}"/>
    <cellStyle name="Normal 3 2 2 2 2 2 20 15 2 4" xfId="29287" xr:uid="{3EBD8E8F-0888-42F0-AE5B-07EFC758CBE5}"/>
    <cellStyle name="Normal 3 2 2 2 2 2 20 15 3" xfId="29288" xr:uid="{BDDDA580-1FE5-40DB-AA54-9840FC4BBA0D}"/>
    <cellStyle name="Normal 3 2 2 2 2 2 20 15 4" xfId="29289" xr:uid="{682A7CB1-B355-47D0-9CF4-CFA07F492C04}"/>
    <cellStyle name="Normal 3 2 2 2 2 2 20 15 5" xfId="29290" xr:uid="{793957EF-AED3-4A97-AFF7-F3DB5AF4712A}"/>
    <cellStyle name="Normal 3 2 2 2 2 2 20 15 6" xfId="29291" xr:uid="{30E46ABD-DF08-4F45-A534-E0CEB8E77A01}"/>
    <cellStyle name="Normal 3 2 2 2 2 2 20 16" xfId="29292" xr:uid="{3BF9CA2E-E1F2-4436-95F3-03DDF2AFF6F3}"/>
    <cellStyle name="Normal 3 2 2 2 2 2 20 17" xfId="29293" xr:uid="{4B9C69CB-33CB-4BE5-AE06-643D51DB1D18}"/>
    <cellStyle name="Normal 3 2 2 2 2 2 20 18" xfId="29294" xr:uid="{269543CC-3809-4D10-813D-F55C64FB886F}"/>
    <cellStyle name="Normal 3 2 2 2 2 2 20 19" xfId="29295" xr:uid="{7F66EF17-A0C5-4202-8905-F99DF1CEC60C}"/>
    <cellStyle name="Normal 3 2 2 2 2 2 20 2" xfId="29296" xr:uid="{3031314E-3061-4327-BE4F-EF8A683543C4}"/>
    <cellStyle name="Normal 3 2 2 2 2 2 20 2 10" xfId="29297" xr:uid="{083F7591-8609-4624-A6AD-9EF801E56F01}"/>
    <cellStyle name="Normal 3 2 2 2 2 2 20 2 11" xfId="29298" xr:uid="{0D861187-734F-4837-9ACB-5656C0CFA0B6}"/>
    <cellStyle name="Normal 3 2 2 2 2 2 20 2 12" xfId="29299" xr:uid="{FE45620D-388E-4374-B7AC-6BCC3454132A}"/>
    <cellStyle name="Normal 3 2 2 2 2 2 20 2 13" xfId="29300" xr:uid="{1683B865-78A7-4321-942D-84D3372E962F}"/>
    <cellStyle name="Normal 3 2 2 2 2 2 20 2 13 2" xfId="29301" xr:uid="{D6CB6799-5EF1-4194-930B-53D20A858E65}"/>
    <cellStyle name="Normal 3 2 2 2 2 2 20 2 13 3" xfId="29302" xr:uid="{A62098AA-2A22-43A6-AFD1-EE5CF98A1525}"/>
    <cellStyle name="Normal 3 2 2 2 2 2 20 2 13 4" xfId="29303" xr:uid="{8656F446-E9FA-45C9-91BF-FE4FB51CD22A}"/>
    <cellStyle name="Normal 3 2 2 2 2 2 20 2 14" xfId="29304" xr:uid="{EEB77E1B-D907-445F-BF03-EEA2489377A6}"/>
    <cellStyle name="Normal 3 2 2 2 2 2 20 2 15" xfId="29305" xr:uid="{1C4324EB-5C23-4567-A8EE-B5BA5ACC3B4C}"/>
    <cellStyle name="Normal 3 2 2 2 2 2 20 2 16" xfId="29306" xr:uid="{6C8768ED-353B-48F1-ABD7-B349F2D2A93D}"/>
    <cellStyle name="Normal 3 2 2 2 2 2 20 2 2" xfId="29307" xr:uid="{4143F4F4-3EE8-47C2-967C-6323A43C7E19}"/>
    <cellStyle name="Normal 3 2 2 2 2 2 20 2 2 10" xfId="29308" xr:uid="{D2533B7D-6D39-45A7-B5C2-97FA9DC8DF4B}"/>
    <cellStyle name="Normal 3 2 2 2 2 2 20 2 2 11" xfId="29309" xr:uid="{917C1D52-7D41-4E39-97E2-18BA157C27AD}"/>
    <cellStyle name="Normal 3 2 2 2 2 2 20 2 2 11 2" xfId="29310" xr:uid="{F6A156C0-D3FC-4414-B32E-1CB9D456A65B}"/>
    <cellStyle name="Normal 3 2 2 2 2 2 20 2 2 11 3" xfId="29311" xr:uid="{7D5B65AC-9D3A-4222-AEDC-CE30D6D3A881}"/>
    <cellStyle name="Normal 3 2 2 2 2 2 20 2 2 11 4" xfId="29312" xr:uid="{03AABC37-7EF5-48C7-9DAD-3178F7CC54BF}"/>
    <cellStyle name="Normal 3 2 2 2 2 2 20 2 2 12" xfId="29313" xr:uid="{3814FFB4-0520-4348-A5FB-347A2DC7BBD0}"/>
    <cellStyle name="Normal 3 2 2 2 2 2 20 2 2 13" xfId="29314" xr:uid="{E18C943C-908E-4166-9F77-C80657E3748F}"/>
    <cellStyle name="Normal 3 2 2 2 2 2 20 2 2 14" xfId="29315" xr:uid="{C23FAF64-70F4-466A-8797-E62695128E57}"/>
    <cellStyle name="Normal 3 2 2 2 2 2 20 2 2 2" xfId="29316" xr:uid="{BF6D1C89-C095-42DC-853E-926EB253FC50}"/>
    <cellStyle name="Normal 3 2 2 2 2 2 20 2 2 2 10" xfId="29317" xr:uid="{31CD444A-8C68-4996-9A89-5B2C2BF4E939}"/>
    <cellStyle name="Normal 3 2 2 2 2 2 20 2 2 2 11" xfId="29318" xr:uid="{2F74F5F9-94D5-4CFB-8FAE-9ABD3C1BBC6C}"/>
    <cellStyle name="Normal 3 2 2 2 2 2 20 2 2 2 2" xfId="29319" xr:uid="{CC2EB87E-5123-4229-B6C9-A1DFBBB806B7}"/>
    <cellStyle name="Normal 3 2 2 2 2 2 20 2 2 2 2 10" xfId="29320" xr:uid="{A8610B0D-3861-45C5-BEE0-0F75D9BE8C9E}"/>
    <cellStyle name="Normal 3 2 2 2 2 2 20 2 2 2 2 11" xfId="29321" xr:uid="{E16F4FED-C9CA-4674-AE72-054830540582}"/>
    <cellStyle name="Normal 3 2 2 2 2 2 20 2 2 2 2 2" xfId="29322" xr:uid="{CF98AAC8-C844-4C7F-ACA2-BB08E880B742}"/>
    <cellStyle name="Normal 3 2 2 2 2 2 20 2 2 2 2 2 2" xfId="29323" xr:uid="{E893C964-BECA-45AC-8CF3-436017A7B3A3}"/>
    <cellStyle name="Normal 3 2 2 2 2 2 20 2 2 2 2 2 2 2" xfId="29324" xr:uid="{A11D6849-410C-48E1-AED5-D5254DA7C0E7}"/>
    <cellStyle name="Normal 3 2 2 2 2 2 20 2 2 2 2 2 2 3" xfId="29325" xr:uid="{9387BFDA-1F20-47DA-A1D0-604CC106C540}"/>
    <cellStyle name="Normal 3 2 2 2 2 2 20 2 2 2 2 2 2 4" xfId="29326" xr:uid="{E148199B-C15E-4B12-B538-4815664815D9}"/>
    <cellStyle name="Normal 3 2 2 2 2 2 20 2 2 2 2 2 3" xfId="29327" xr:uid="{1FC472C4-4F42-4CE1-8171-AACC7119B3F5}"/>
    <cellStyle name="Normal 3 2 2 2 2 2 20 2 2 2 2 2 4" xfId="29328" xr:uid="{131B2B70-2FF1-4A4C-BF78-B2109769A0A7}"/>
    <cellStyle name="Normal 3 2 2 2 2 2 20 2 2 2 2 2 5" xfId="29329" xr:uid="{718C19AB-4F36-4B89-931A-A94AE82D0507}"/>
    <cellStyle name="Normal 3 2 2 2 2 2 20 2 2 2 2 2 6" xfId="29330" xr:uid="{85404BFD-5126-4650-9EFF-FDACF1171D93}"/>
    <cellStyle name="Normal 3 2 2 2 2 2 20 2 2 2 2 3" xfId="29331" xr:uid="{9A25C7FC-CE0D-4182-8900-22FB31B64456}"/>
    <cellStyle name="Normal 3 2 2 2 2 2 20 2 2 2 2 4" xfId="29332" xr:uid="{2ACE3925-9614-41B5-A0BF-B85534ADF659}"/>
    <cellStyle name="Normal 3 2 2 2 2 2 20 2 2 2 2 5" xfId="29333" xr:uid="{7CDBC444-0DA4-4559-AB3C-D696856DA5F4}"/>
    <cellStyle name="Normal 3 2 2 2 2 2 20 2 2 2 2 6" xfId="29334" xr:uid="{4F0CECFF-5182-4F24-9A9C-A67CB435296A}"/>
    <cellStyle name="Normal 3 2 2 2 2 2 20 2 2 2 2 7" xfId="29335" xr:uid="{0C1E790F-CD03-4930-AFE9-3374FCA69C2D}"/>
    <cellStyle name="Normal 3 2 2 2 2 2 20 2 2 2 2 8" xfId="29336" xr:uid="{AE82E3B0-1C0D-4FCA-B703-41570CC0136B}"/>
    <cellStyle name="Normal 3 2 2 2 2 2 20 2 2 2 2 8 2" xfId="29337" xr:uid="{1FBD5537-CC01-44A8-A518-FA0F8C4C533A}"/>
    <cellStyle name="Normal 3 2 2 2 2 2 20 2 2 2 2 8 3" xfId="29338" xr:uid="{D47AC71E-309A-4814-B08F-C56C07B413FB}"/>
    <cellStyle name="Normal 3 2 2 2 2 2 20 2 2 2 2 8 4" xfId="29339" xr:uid="{5335A7D4-7874-4299-BCF6-394509719579}"/>
    <cellStyle name="Normal 3 2 2 2 2 2 20 2 2 2 2 9" xfId="29340" xr:uid="{8316496A-4E26-4FBD-8CE7-32FE8C77D0D5}"/>
    <cellStyle name="Normal 3 2 2 2 2 2 20 2 2 2 3" xfId="29341" xr:uid="{8F43CE24-D676-4945-BB35-7AB0C54D03AF}"/>
    <cellStyle name="Normal 3 2 2 2 2 2 20 2 2 2 3 2" xfId="29342" xr:uid="{8AD98898-DDD7-4569-BD88-F04A9E0AC4D4}"/>
    <cellStyle name="Normal 3 2 2 2 2 2 20 2 2 2 3 2 2" xfId="29343" xr:uid="{DE28FAAF-956A-4514-8BC8-A75A7C97BFEF}"/>
    <cellStyle name="Normal 3 2 2 2 2 2 20 2 2 2 3 2 3" xfId="29344" xr:uid="{ADA75CB1-1083-472F-B988-B7E66C284DCE}"/>
    <cellStyle name="Normal 3 2 2 2 2 2 20 2 2 2 3 2 4" xfId="29345" xr:uid="{CC38AA46-8A70-44D9-A607-942276178C53}"/>
    <cellStyle name="Normal 3 2 2 2 2 2 20 2 2 2 3 3" xfId="29346" xr:uid="{68AAF246-8BB9-43E7-8D3A-F13D4DC4A667}"/>
    <cellStyle name="Normal 3 2 2 2 2 2 20 2 2 2 3 4" xfId="29347" xr:uid="{5291C5CD-B0C8-47A5-9042-EDB15E1F2425}"/>
    <cellStyle name="Normal 3 2 2 2 2 2 20 2 2 2 3 5" xfId="29348" xr:uid="{F3F9F447-E118-4D39-9ACC-2A9A4EF92F2C}"/>
    <cellStyle name="Normal 3 2 2 2 2 2 20 2 2 2 3 6" xfId="29349" xr:uid="{415DB324-15F4-4B29-B4BD-E5F0B31B5ACA}"/>
    <cellStyle name="Normal 3 2 2 2 2 2 20 2 2 2 4" xfId="29350" xr:uid="{75B27E54-A438-48A7-A6D8-0279C8EA2126}"/>
    <cellStyle name="Normal 3 2 2 2 2 2 20 2 2 2 5" xfId="29351" xr:uid="{75A901BA-9688-4988-B113-4343018A80F5}"/>
    <cellStyle name="Normal 3 2 2 2 2 2 20 2 2 2 6" xfId="29352" xr:uid="{98D78C19-41D5-464E-A1FA-48525729500A}"/>
    <cellStyle name="Normal 3 2 2 2 2 2 20 2 2 2 7" xfId="29353" xr:uid="{EBA632FE-53BB-42D2-B499-D1C649B873D9}"/>
    <cellStyle name="Normal 3 2 2 2 2 2 20 2 2 2 8" xfId="29354" xr:uid="{11CF2F64-371E-451D-9621-F73A23B87370}"/>
    <cellStyle name="Normal 3 2 2 2 2 2 20 2 2 2 8 2" xfId="29355" xr:uid="{B0ACBA30-41E8-43B3-943A-CFF63EE037EE}"/>
    <cellStyle name="Normal 3 2 2 2 2 2 20 2 2 2 8 3" xfId="29356" xr:uid="{263464D8-1D63-40AF-A2D5-D23EAFBC2705}"/>
    <cellStyle name="Normal 3 2 2 2 2 2 20 2 2 2 8 4" xfId="29357" xr:uid="{C6415BAD-D578-42A8-AB8C-DEB9541E756E}"/>
    <cellStyle name="Normal 3 2 2 2 2 2 20 2 2 2 9" xfId="29358" xr:uid="{84205EB2-2025-4F19-A2BA-B2DA4CE493FE}"/>
    <cellStyle name="Normal 3 2 2 2 2 2 20 2 2 3" xfId="29359" xr:uid="{B266021D-204E-448D-9E7E-58027EF6F795}"/>
    <cellStyle name="Normal 3 2 2 2 2 2 20 2 2 4" xfId="29360" xr:uid="{7B3DACDE-6F4E-4362-B740-78994543E679}"/>
    <cellStyle name="Normal 3 2 2 2 2 2 20 2 2 5" xfId="29361" xr:uid="{2796A05D-1644-44A6-B147-C1063E2AD937}"/>
    <cellStyle name="Normal 3 2 2 2 2 2 20 2 2 5 2" xfId="29362" xr:uid="{99B0C1A8-2E46-4328-B6CD-53068410072F}"/>
    <cellStyle name="Normal 3 2 2 2 2 2 20 2 2 5 2 2" xfId="29363" xr:uid="{22CE62B8-70C7-4A1E-A3EB-C183DF5F7156}"/>
    <cellStyle name="Normal 3 2 2 2 2 2 20 2 2 5 2 3" xfId="29364" xr:uid="{A911233B-D4FC-4642-9E81-3B2FE3B3783E}"/>
    <cellStyle name="Normal 3 2 2 2 2 2 20 2 2 5 2 4" xfId="29365" xr:uid="{7206807F-C01A-4317-AEA4-A03DB91AED45}"/>
    <cellStyle name="Normal 3 2 2 2 2 2 20 2 2 5 3" xfId="29366" xr:uid="{E640BF61-C4CF-44C7-993E-D0E464E7E551}"/>
    <cellStyle name="Normal 3 2 2 2 2 2 20 2 2 5 4" xfId="29367" xr:uid="{79147E55-E663-4A60-9E4C-00D1F2227525}"/>
    <cellStyle name="Normal 3 2 2 2 2 2 20 2 2 5 5" xfId="29368" xr:uid="{2E2D42D0-858C-43EE-9E80-60ABDED0A9F4}"/>
    <cellStyle name="Normal 3 2 2 2 2 2 20 2 2 5 6" xfId="29369" xr:uid="{A2C155F2-7DD7-4CAA-9072-715E40F74BE9}"/>
    <cellStyle name="Normal 3 2 2 2 2 2 20 2 2 6" xfId="29370" xr:uid="{BE04CCAB-E4D8-40A0-978E-7690BD6EB6BD}"/>
    <cellStyle name="Normal 3 2 2 2 2 2 20 2 2 7" xfId="29371" xr:uid="{6D7132E2-5259-4CA4-9665-65BDD6FD4739}"/>
    <cellStyle name="Normal 3 2 2 2 2 2 20 2 2 8" xfId="29372" xr:uid="{21E346E5-E1EE-466A-BE9C-3016C617ADD7}"/>
    <cellStyle name="Normal 3 2 2 2 2 2 20 2 2 9" xfId="29373" xr:uid="{562F834A-328F-4EBF-A41A-28F58ABA4B06}"/>
    <cellStyle name="Normal 3 2 2 2 2 2 20 2 3" xfId="29374" xr:uid="{8B8B0A06-B5D5-4D60-B0FB-58047DE9E7C8}"/>
    <cellStyle name="Normal 3 2 2 2 2 2 20 2 4" xfId="29375" xr:uid="{14F54AF0-068E-4AEA-9B52-9623E57ED574}"/>
    <cellStyle name="Normal 3 2 2 2 2 2 20 2 5" xfId="29376" xr:uid="{867BC8E9-2ADF-41BF-BC0F-C6C30FCA8DFB}"/>
    <cellStyle name="Normal 3 2 2 2 2 2 20 2 5 10" xfId="29377" xr:uid="{B04DA747-6C40-400F-B84F-27AB2097591B}"/>
    <cellStyle name="Normal 3 2 2 2 2 2 20 2 5 11" xfId="29378" xr:uid="{88E7DDB0-C28D-4A0A-AAE0-1101F91DCA9C}"/>
    <cellStyle name="Normal 3 2 2 2 2 2 20 2 5 2" xfId="29379" xr:uid="{CBA2C32E-B2D2-47A6-AB0C-D73D2CC67891}"/>
    <cellStyle name="Normal 3 2 2 2 2 2 20 2 5 2 10" xfId="29380" xr:uid="{C7390F9C-BCC1-4D69-B3AD-E27CCB710DCF}"/>
    <cellStyle name="Normal 3 2 2 2 2 2 20 2 5 2 11" xfId="29381" xr:uid="{68FD72F6-A406-496B-9D39-F5C27CACE278}"/>
    <cellStyle name="Normal 3 2 2 2 2 2 20 2 5 2 2" xfId="29382" xr:uid="{7BE6CE54-88FB-4587-9417-25FFD4CAEC1C}"/>
    <cellStyle name="Normal 3 2 2 2 2 2 20 2 5 2 2 2" xfId="29383" xr:uid="{5033C1A1-87EC-417D-A399-F815A369E1C9}"/>
    <cellStyle name="Normal 3 2 2 2 2 2 20 2 5 2 2 2 2" xfId="29384" xr:uid="{32DFEB3B-9DEE-490E-A4F1-79E4F586E65B}"/>
    <cellStyle name="Normal 3 2 2 2 2 2 20 2 5 2 2 2 3" xfId="29385" xr:uid="{0C4015DA-F761-4920-AFAE-12B38F165469}"/>
    <cellStyle name="Normal 3 2 2 2 2 2 20 2 5 2 2 2 4" xfId="29386" xr:uid="{AC6171D8-5083-48D8-BA47-DEA6DD6BF89A}"/>
    <cellStyle name="Normal 3 2 2 2 2 2 20 2 5 2 2 3" xfId="29387" xr:uid="{D779B9AF-62E0-4CEF-B85B-8FDAC30A6133}"/>
    <cellStyle name="Normal 3 2 2 2 2 2 20 2 5 2 2 4" xfId="29388" xr:uid="{87782667-EB7B-4CA1-986A-2F1FC43C9E87}"/>
    <cellStyle name="Normal 3 2 2 2 2 2 20 2 5 2 2 5" xfId="29389" xr:uid="{EF4F1AF4-E5F3-405B-8CBF-6D40DF13C8D9}"/>
    <cellStyle name="Normal 3 2 2 2 2 2 20 2 5 2 2 6" xfId="29390" xr:uid="{4EE063EB-1A47-41C7-9F20-09A43FE3E287}"/>
    <cellStyle name="Normal 3 2 2 2 2 2 20 2 5 2 3" xfId="29391" xr:uid="{BAC09F68-AE77-44CF-8D44-19C316D2AAFC}"/>
    <cellStyle name="Normal 3 2 2 2 2 2 20 2 5 2 4" xfId="29392" xr:uid="{88F29FED-8820-4DA6-846A-D5E159D4E068}"/>
    <cellStyle name="Normal 3 2 2 2 2 2 20 2 5 2 5" xfId="29393" xr:uid="{DFAB18AB-66E0-4DA8-977A-667AE23D28C3}"/>
    <cellStyle name="Normal 3 2 2 2 2 2 20 2 5 2 6" xfId="29394" xr:uid="{77B59BB8-13BC-4407-A7B7-DFDB514A22C5}"/>
    <cellStyle name="Normal 3 2 2 2 2 2 20 2 5 2 7" xfId="29395" xr:uid="{A0AA2479-F328-4AD5-B6F0-40CF8243AF68}"/>
    <cellStyle name="Normal 3 2 2 2 2 2 20 2 5 2 8" xfId="29396" xr:uid="{1D1E736F-8E3B-46D1-BFD5-3A8B446683AE}"/>
    <cellStyle name="Normal 3 2 2 2 2 2 20 2 5 2 8 2" xfId="29397" xr:uid="{665A7A56-D58D-4081-B8E5-0F4DB6110A56}"/>
    <cellStyle name="Normal 3 2 2 2 2 2 20 2 5 2 8 3" xfId="29398" xr:uid="{BCEDB615-E4EC-4553-A509-FDE6AA15981C}"/>
    <cellStyle name="Normal 3 2 2 2 2 2 20 2 5 2 8 4" xfId="29399" xr:uid="{4C6B7F69-8E01-4AF1-AB60-6A19A1E0456A}"/>
    <cellStyle name="Normal 3 2 2 2 2 2 20 2 5 2 9" xfId="29400" xr:uid="{9E73B381-507F-4E1F-AC29-538B5B1ECE27}"/>
    <cellStyle name="Normal 3 2 2 2 2 2 20 2 5 3" xfId="29401" xr:uid="{E3D5431F-AD28-43E5-9BC9-30DDD948E446}"/>
    <cellStyle name="Normal 3 2 2 2 2 2 20 2 5 3 2" xfId="29402" xr:uid="{4C9B2093-C46A-493B-8BF4-8CB981001B87}"/>
    <cellStyle name="Normal 3 2 2 2 2 2 20 2 5 3 2 2" xfId="29403" xr:uid="{E3D4D0EC-ADA1-415E-A748-373F46B3D58A}"/>
    <cellStyle name="Normal 3 2 2 2 2 2 20 2 5 3 2 3" xfId="29404" xr:uid="{07A660E1-E73E-4F3A-B0D5-F5A166B472F2}"/>
    <cellStyle name="Normal 3 2 2 2 2 2 20 2 5 3 2 4" xfId="29405" xr:uid="{7878EAE7-B4B8-466F-A063-10A457ABB764}"/>
    <cellStyle name="Normal 3 2 2 2 2 2 20 2 5 3 3" xfId="29406" xr:uid="{36EE9DF9-9A4D-4E9D-B928-A16012E75C62}"/>
    <cellStyle name="Normal 3 2 2 2 2 2 20 2 5 3 4" xfId="29407" xr:uid="{4686017D-1643-485E-BCEC-F79E179936C0}"/>
    <cellStyle name="Normal 3 2 2 2 2 2 20 2 5 3 5" xfId="29408" xr:uid="{BC288995-D36C-4414-AE45-3336DA9B39DE}"/>
    <cellStyle name="Normal 3 2 2 2 2 2 20 2 5 3 6" xfId="29409" xr:uid="{97B4C218-BCB7-4F26-9B8E-B6728C124AB9}"/>
    <cellStyle name="Normal 3 2 2 2 2 2 20 2 5 4" xfId="29410" xr:uid="{1091ACBB-B730-4A9E-9B83-8F89BDEA1349}"/>
    <cellStyle name="Normal 3 2 2 2 2 2 20 2 5 5" xfId="29411" xr:uid="{EAB269A5-7650-4D57-8F30-2B9594098226}"/>
    <cellStyle name="Normal 3 2 2 2 2 2 20 2 5 6" xfId="29412" xr:uid="{23621620-96A5-4AF9-A650-B26CD31D178E}"/>
    <cellStyle name="Normal 3 2 2 2 2 2 20 2 5 7" xfId="29413" xr:uid="{1706F397-8493-4893-8C27-BD4BB8D488D8}"/>
    <cellStyle name="Normal 3 2 2 2 2 2 20 2 5 8" xfId="29414" xr:uid="{293B123D-E3EA-4A91-BF02-A08F929DE4F3}"/>
    <cellStyle name="Normal 3 2 2 2 2 2 20 2 5 8 2" xfId="29415" xr:uid="{D23A4315-E94F-42F3-B366-4106F76990C0}"/>
    <cellStyle name="Normal 3 2 2 2 2 2 20 2 5 8 3" xfId="29416" xr:uid="{7850FCF1-F30F-43B5-AC7A-DBC0C42B5676}"/>
    <cellStyle name="Normal 3 2 2 2 2 2 20 2 5 8 4" xfId="29417" xr:uid="{F48B2D25-6201-4314-9DFF-C8FA08E91E0D}"/>
    <cellStyle name="Normal 3 2 2 2 2 2 20 2 5 9" xfId="29418" xr:uid="{D43B79D9-CC50-4B7E-BFCF-A0C0319A0B58}"/>
    <cellStyle name="Normal 3 2 2 2 2 2 20 2 6" xfId="29419" xr:uid="{39906871-77B6-4877-9DDE-EFD529E3BD3C}"/>
    <cellStyle name="Normal 3 2 2 2 2 2 20 2 7" xfId="29420" xr:uid="{D542E066-5A1D-420C-ABC9-D9E03B2156FC}"/>
    <cellStyle name="Normal 3 2 2 2 2 2 20 2 7 2" xfId="29421" xr:uid="{6A9D832F-8838-49A8-8F10-761D89B4A762}"/>
    <cellStyle name="Normal 3 2 2 2 2 2 20 2 7 2 2" xfId="29422" xr:uid="{92B99B53-E299-4F93-944F-5E05D554E5C0}"/>
    <cellStyle name="Normal 3 2 2 2 2 2 20 2 7 2 3" xfId="29423" xr:uid="{CF14C071-BC4E-4611-807E-8636DE89DF0D}"/>
    <cellStyle name="Normal 3 2 2 2 2 2 20 2 7 2 4" xfId="29424" xr:uid="{261BC3E6-723C-4D11-9805-006035A33487}"/>
    <cellStyle name="Normal 3 2 2 2 2 2 20 2 7 3" xfId="29425" xr:uid="{AF2493D3-73B0-4CC6-8FAF-4B1ACB0DA17E}"/>
    <cellStyle name="Normal 3 2 2 2 2 2 20 2 7 4" xfId="29426" xr:uid="{8C3E8B93-0749-4AA4-8017-B99F9CDC439A}"/>
    <cellStyle name="Normal 3 2 2 2 2 2 20 2 7 5" xfId="29427" xr:uid="{93876B3D-5B7D-436F-892B-C1DCA058E1B6}"/>
    <cellStyle name="Normal 3 2 2 2 2 2 20 2 7 6" xfId="29428" xr:uid="{9A1FAE1F-E7D8-43FD-A8EA-109BFF128B1C}"/>
    <cellStyle name="Normal 3 2 2 2 2 2 20 2 8" xfId="29429" xr:uid="{22063203-F164-4CCA-B68C-64E087AAF6C3}"/>
    <cellStyle name="Normal 3 2 2 2 2 2 20 2 9" xfId="29430" xr:uid="{D246F068-DD66-44C7-BC85-AF09CB0AEBE3}"/>
    <cellStyle name="Normal 3 2 2 2 2 2 20 20" xfId="29431" xr:uid="{30C91F95-FCC8-428B-9A0F-039F2F2C4297}"/>
    <cellStyle name="Normal 3 2 2 2 2 2 20 21" xfId="29432" xr:uid="{330E6A75-FB5D-4B6D-BEBD-9AF29C2CA962}"/>
    <cellStyle name="Normal 3 2 2 2 2 2 20 21 2" xfId="29433" xr:uid="{51E9FBA0-6ECD-4197-8462-31E40B93824E}"/>
    <cellStyle name="Normal 3 2 2 2 2 2 20 21 3" xfId="29434" xr:uid="{ED7AA5BF-B239-4219-B722-CDDF782FC097}"/>
    <cellStyle name="Normal 3 2 2 2 2 2 20 21 4" xfId="29435" xr:uid="{01E79525-2D10-4C9C-9E25-CC9F058AFF7B}"/>
    <cellStyle name="Normal 3 2 2 2 2 2 20 22" xfId="29436" xr:uid="{6EF3813C-750E-4EEC-8A42-7692D999B42C}"/>
    <cellStyle name="Normal 3 2 2 2 2 2 20 23" xfId="29437" xr:uid="{2457E5CE-3BAE-43BC-BD5E-927B92EAA9C2}"/>
    <cellStyle name="Normal 3 2 2 2 2 2 20 24" xfId="29438" xr:uid="{61D455AA-CE22-4A20-9A3D-73BF9DC3D14B}"/>
    <cellStyle name="Normal 3 2 2 2 2 2 20 3" xfId="29439" xr:uid="{13A9C48B-3ED3-4F97-AF9A-D27F521D30EC}"/>
    <cellStyle name="Normal 3 2 2 2 2 2 20 4" xfId="29440" xr:uid="{0C69BC8D-EF47-4AB4-BD88-439770E528C8}"/>
    <cellStyle name="Normal 3 2 2 2 2 2 20 5" xfId="29441" xr:uid="{279E7B78-6216-46D4-9BAB-ECC057AFC51E}"/>
    <cellStyle name="Normal 3 2 2 2 2 2 20 6" xfId="29442" xr:uid="{E068D64C-CB48-44A3-AB8F-D6188D9E026A}"/>
    <cellStyle name="Normal 3 2 2 2 2 2 20 7" xfId="29443" xr:uid="{96CF05B1-5296-4582-8766-A516C75F1F8B}"/>
    <cellStyle name="Normal 3 2 2 2 2 2 20 8" xfId="29444" xr:uid="{25BA389C-F371-4748-81BB-2A33F6077275}"/>
    <cellStyle name="Normal 3 2 2 2 2 2 20 9" xfId="29445" xr:uid="{1B4B79FB-5E78-4753-9A43-376BC5C5C96B}"/>
    <cellStyle name="Normal 3 2 2 2 2 2 21" xfId="29446" xr:uid="{D9C04B14-1160-4EC0-B591-AABEB695059B}"/>
    <cellStyle name="Normal 3 2 2 2 2 2 21 10" xfId="29447" xr:uid="{851F3D43-B7AB-4FA5-8BA1-6B71D124C145}"/>
    <cellStyle name="Normal 3 2 2 2 2 2 21 11" xfId="29448" xr:uid="{3D5D46F1-634B-4761-8EEB-DECFF2F47C28}"/>
    <cellStyle name="Normal 3 2 2 2 2 2 21 12" xfId="29449" xr:uid="{B07261F7-9979-4914-9B64-5134FBC7D562}"/>
    <cellStyle name="Normal 3 2 2 2 2 2 21 13" xfId="29450" xr:uid="{8D43BA87-F5A1-4945-9E46-C2CD79B9FA31}"/>
    <cellStyle name="Normal 3 2 2 2 2 2 21 13 2" xfId="29451" xr:uid="{494A1327-503C-498C-8A8F-0BBCC265D040}"/>
    <cellStyle name="Normal 3 2 2 2 2 2 21 13 3" xfId="29452" xr:uid="{6AC573AD-5DC9-4CF3-8AA4-2AB9C925F938}"/>
    <cellStyle name="Normal 3 2 2 2 2 2 21 13 4" xfId="29453" xr:uid="{C7AE0109-E730-4410-9D9B-37D1D36C251C}"/>
    <cellStyle name="Normal 3 2 2 2 2 2 21 14" xfId="29454" xr:uid="{4838BB00-F037-4B01-B4F3-765421F497D1}"/>
    <cellStyle name="Normal 3 2 2 2 2 2 21 15" xfId="29455" xr:uid="{597B3924-2C38-4333-BA09-4730F6985615}"/>
    <cellStyle name="Normal 3 2 2 2 2 2 21 16" xfId="29456" xr:uid="{DD411F73-F043-4029-BDE7-3A4BF33F515C}"/>
    <cellStyle name="Normal 3 2 2 2 2 2 21 2" xfId="29457" xr:uid="{8FA2A341-6E23-474D-A29A-6BC6B22DF855}"/>
    <cellStyle name="Normal 3 2 2 2 2 2 21 2 10" xfId="29458" xr:uid="{4630B318-2413-4188-8585-1132B7AB04BC}"/>
    <cellStyle name="Normal 3 2 2 2 2 2 21 2 11" xfId="29459" xr:uid="{53155486-9085-4760-B2AB-8FCA2368B17B}"/>
    <cellStyle name="Normal 3 2 2 2 2 2 21 2 11 2" xfId="29460" xr:uid="{0615C1D7-E298-4355-B391-BDC1A9B6CE0C}"/>
    <cellStyle name="Normal 3 2 2 2 2 2 21 2 11 3" xfId="29461" xr:uid="{89B0FC42-FA1E-4EDD-A0F0-0FA18A58B62F}"/>
    <cellStyle name="Normal 3 2 2 2 2 2 21 2 11 4" xfId="29462" xr:uid="{DEAC28D9-EBD3-4388-8D37-3F7D042A6627}"/>
    <cellStyle name="Normal 3 2 2 2 2 2 21 2 12" xfId="29463" xr:uid="{CB909EDB-5D09-494E-826C-BF6D7A4C10FE}"/>
    <cellStyle name="Normal 3 2 2 2 2 2 21 2 13" xfId="29464" xr:uid="{69ACEB78-8DDB-4236-9149-8CFD15FF6217}"/>
    <cellStyle name="Normal 3 2 2 2 2 2 21 2 14" xfId="29465" xr:uid="{C5B2413F-D32D-4C22-8153-87430904FE87}"/>
    <cellStyle name="Normal 3 2 2 2 2 2 21 2 2" xfId="29466" xr:uid="{DA8B9F9A-69FA-499C-BDE2-50F2D6D23EFF}"/>
    <cellStyle name="Normal 3 2 2 2 2 2 21 2 2 10" xfId="29467" xr:uid="{DD0D2EDD-890C-4FFE-888B-731FA91541E7}"/>
    <cellStyle name="Normal 3 2 2 2 2 2 21 2 2 11" xfId="29468" xr:uid="{61314A5E-85B7-4B21-88FF-615AB65DFE3D}"/>
    <cellStyle name="Normal 3 2 2 2 2 2 21 2 2 2" xfId="29469" xr:uid="{366163D2-FC14-4ED1-AA4B-254BDF4C39F4}"/>
    <cellStyle name="Normal 3 2 2 2 2 2 21 2 2 2 10" xfId="29470" xr:uid="{92730FA1-54BA-41F6-90BD-FFD651DCBC2D}"/>
    <cellStyle name="Normal 3 2 2 2 2 2 21 2 2 2 11" xfId="29471" xr:uid="{65AFADB5-7A35-48DE-B2B6-8919ED7DC041}"/>
    <cellStyle name="Normal 3 2 2 2 2 2 21 2 2 2 2" xfId="29472" xr:uid="{80642DE7-2F36-4B45-934C-2796C4945DDB}"/>
    <cellStyle name="Normal 3 2 2 2 2 2 21 2 2 2 2 2" xfId="29473" xr:uid="{8B290BD9-5504-438A-9E37-31AB8DFE0535}"/>
    <cellStyle name="Normal 3 2 2 2 2 2 21 2 2 2 2 2 2" xfId="29474" xr:uid="{C3FBAD2E-1E6B-41F3-B802-FFE6171766E3}"/>
    <cellStyle name="Normal 3 2 2 2 2 2 21 2 2 2 2 2 3" xfId="29475" xr:uid="{95438190-4D8E-4429-A223-68D66DF48EAF}"/>
    <cellStyle name="Normal 3 2 2 2 2 2 21 2 2 2 2 2 4" xfId="29476" xr:uid="{43B9E96E-362C-4845-98CC-8E5F6D8E9E4A}"/>
    <cellStyle name="Normal 3 2 2 2 2 2 21 2 2 2 2 3" xfId="29477" xr:uid="{F69BAC29-7ABA-41D4-8CB3-EC18B30F5DE3}"/>
    <cellStyle name="Normal 3 2 2 2 2 2 21 2 2 2 2 4" xfId="29478" xr:uid="{8AF284FC-09CF-49A0-81B6-1A7445A0A226}"/>
    <cellStyle name="Normal 3 2 2 2 2 2 21 2 2 2 2 5" xfId="29479" xr:uid="{20A54C38-4872-403B-A615-CE57511D2F5E}"/>
    <cellStyle name="Normal 3 2 2 2 2 2 21 2 2 2 2 6" xfId="29480" xr:uid="{F255526C-F56D-442A-9E62-1C4C62B53B25}"/>
    <cellStyle name="Normal 3 2 2 2 2 2 21 2 2 2 3" xfId="29481" xr:uid="{9DBC372B-0AC5-4B3E-A0AB-83F60159F256}"/>
    <cellStyle name="Normal 3 2 2 2 2 2 21 2 2 2 4" xfId="29482" xr:uid="{14618688-B373-4042-AA5D-589AFEA4B880}"/>
    <cellStyle name="Normal 3 2 2 2 2 2 21 2 2 2 5" xfId="29483" xr:uid="{6AC2865E-12A6-43D9-8D2F-94FE6696BD2E}"/>
    <cellStyle name="Normal 3 2 2 2 2 2 21 2 2 2 6" xfId="29484" xr:uid="{FAD16065-13B2-4417-87B7-E55BA7D5038C}"/>
    <cellStyle name="Normal 3 2 2 2 2 2 21 2 2 2 7" xfId="29485" xr:uid="{63BB18DE-0A02-4B23-A499-C5330451DB93}"/>
    <cellStyle name="Normal 3 2 2 2 2 2 21 2 2 2 8" xfId="29486" xr:uid="{EA3D92A3-B394-4CA7-BE7F-55DDD88947A8}"/>
    <cellStyle name="Normal 3 2 2 2 2 2 21 2 2 2 8 2" xfId="29487" xr:uid="{551241CC-938C-4A46-AE8F-5187B49EE0FB}"/>
    <cellStyle name="Normal 3 2 2 2 2 2 21 2 2 2 8 3" xfId="29488" xr:uid="{5E5A8E9C-CA9D-4147-B80D-78E53308A870}"/>
    <cellStyle name="Normal 3 2 2 2 2 2 21 2 2 2 8 4" xfId="29489" xr:uid="{613D190E-F1FC-4FC6-99B0-D4096BA53694}"/>
    <cellStyle name="Normal 3 2 2 2 2 2 21 2 2 2 9" xfId="29490" xr:uid="{E82F5277-8A37-4C41-90CA-848980195138}"/>
    <cellStyle name="Normal 3 2 2 2 2 2 21 2 2 3" xfId="29491" xr:uid="{596D7B7D-B6E8-485B-B7EF-071C981D80F3}"/>
    <cellStyle name="Normal 3 2 2 2 2 2 21 2 2 3 2" xfId="29492" xr:uid="{EFC94060-9E62-4633-9890-90FCF299513A}"/>
    <cellStyle name="Normal 3 2 2 2 2 2 21 2 2 3 2 2" xfId="29493" xr:uid="{6195C728-9668-42C9-B3BC-F691AABF646F}"/>
    <cellStyle name="Normal 3 2 2 2 2 2 21 2 2 3 2 3" xfId="29494" xr:uid="{A58403E8-8511-474B-A642-CEDB529F2E97}"/>
    <cellStyle name="Normal 3 2 2 2 2 2 21 2 2 3 2 4" xfId="29495" xr:uid="{34126C45-0B0D-4E3F-B7C5-2F96EA81BB82}"/>
    <cellStyle name="Normal 3 2 2 2 2 2 21 2 2 3 3" xfId="29496" xr:uid="{DA67445E-762F-40D4-8C5F-125FFE284C7F}"/>
    <cellStyle name="Normal 3 2 2 2 2 2 21 2 2 3 4" xfId="29497" xr:uid="{7F6F3A05-E302-46DA-90C6-D71BB8D2052F}"/>
    <cellStyle name="Normal 3 2 2 2 2 2 21 2 2 3 5" xfId="29498" xr:uid="{D3B08A25-5F6D-493A-B64E-357B0AB4359B}"/>
    <cellStyle name="Normal 3 2 2 2 2 2 21 2 2 3 6" xfId="29499" xr:uid="{2A03CBFB-339F-4B5B-9A34-6F36956508AC}"/>
    <cellStyle name="Normal 3 2 2 2 2 2 21 2 2 4" xfId="29500" xr:uid="{6F2C219B-C2B2-4601-A2A0-D41EF013820E}"/>
    <cellStyle name="Normal 3 2 2 2 2 2 21 2 2 5" xfId="29501" xr:uid="{19EC6C2D-74A1-476A-80FA-67EE1E96B363}"/>
    <cellStyle name="Normal 3 2 2 2 2 2 21 2 2 6" xfId="29502" xr:uid="{605BBFD9-4E7D-43EA-A205-BCFEB8538A39}"/>
    <cellStyle name="Normal 3 2 2 2 2 2 21 2 2 7" xfId="29503" xr:uid="{C63134B7-7516-4648-9EE7-8D6D96DC234E}"/>
    <cellStyle name="Normal 3 2 2 2 2 2 21 2 2 8" xfId="29504" xr:uid="{6488FEBA-C8E5-44C5-AAD1-4FC1BE7A492F}"/>
    <cellStyle name="Normal 3 2 2 2 2 2 21 2 2 8 2" xfId="29505" xr:uid="{58A660A0-4AD6-471A-96D2-40C2D7DC1117}"/>
    <cellStyle name="Normal 3 2 2 2 2 2 21 2 2 8 3" xfId="29506" xr:uid="{BB4742AF-106C-446A-A861-4FD57EEC3430}"/>
    <cellStyle name="Normal 3 2 2 2 2 2 21 2 2 8 4" xfId="29507" xr:uid="{6BCAFD9E-F105-4702-9F0D-05E1BA3AA1CD}"/>
    <cellStyle name="Normal 3 2 2 2 2 2 21 2 2 9" xfId="29508" xr:uid="{D201895D-7072-4429-B7C1-7DEFA02DA02F}"/>
    <cellStyle name="Normal 3 2 2 2 2 2 21 2 3" xfId="29509" xr:uid="{1A7C573B-D6DE-4399-AFC5-83EDCB791965}"/>
    <cellStyle name="Normal 3 2 2 2 2 2 21 2 4" xfId="29510" xr:uid="{2FEF5B12-E1FA-476F-91C3-5D448818C571}"/>
    <cellStyle name="Normal 3 2 2 2 2 2 21 2 5" xfId="29511" xr:uid="{E0D9C96C-D49D-4223-ABB7-47853DE60634}"/>
    <cellStyle name="Normal 3 2 2 2 2 2 21 2 5 2" xfId="29512" xr:uid="{0DCFEABD-986A-4604-A895-7ECC64BFBD64}"/>
    <cellStyle name="Normal 3 2 2 2 2 2 21 2 5 2 2" xfId="29513" xr:uid="{CEB69D78-2DF3-4571-A2B6-C14E5120F7C2}"/>
    <cellStyle name="Normal 3 2 2 2 2 2 21 2 5 2 3" xfId="29514" xr:uid="{000523DA-3334-4390-ACE3-AC8FDFB01378}"/>
    <cellStyle name="Normal 3 2 2 2 2 2 21 2 5 2 4" xfId="29515" xr:uid="{047364FB-A162-4ED9-AE52-46F9853C132B}"/>
    <cellStyle name="Normal 3 2 2 2 2 2 21 2 5 3" xfId="29516" xr:uid="{79E14872-EECA-45F7-A584-8CF66218FA72}"/>
    <cellStyle name="Normal 3 2 2 2 2 2 21 2 5 4" xfId="29517" xr:uid="{175BE23D-2EB8-44C1-B67B-196DF579E16D}"/>
    <cellStyle name="Normal 3 2 2 2 2 2 21 2 5 5" xfId="29518" xr:uid="{BA1C9D29-3A12-41BD-A9FC-1A40935FC58C}"/>
    <cellStyle name="Normal 3 2 2 2 2 2 21 2 5 6" xfId="29519" xr:uid="{C10E8193-8D1B-4BFB-8E32-6B844CA180C3}"/>
    <cellStyle name="Normal 3 2 2 2 2 2 21 2 6" xfId="29520" xr:uid="{5F9344C4-FD75-46FF-A5D3-9EB9F8AD6E4B}"/>
    <cellStyle name="Normal 3 2 2 2 2 2 21 2 7" xfId="29521" xr:uid="{483D3ACC-E1AA-41BE-A51D-CC738C6CCE1F}"/>
    <cellStyle name="Normal 3 2 2 2 2 2 21 2 8" xfId="29522" xr:uid="{C612DDA0-B895-456F-BEE3-36553D3AA265}"/>
    <cellStyle name="Normal 3 2 2 2 2 2 21 2 9" xfId="29523" xr:uid="{AEC8D6EC-7784-4862-AB24-7C1A1583B392}"/>
    <cellStyle name="Normal 3 2 2 2 2 2 21 3" xfId="29524" xr:uid="{68488789-B402-430D-A35F-9FF6AD5D43A6}"/>
    <cellStyle name="Normal 3 2 2 2 2 2 21 4" xfId="29525" xr:uid="{DB3A93DE-2382-4C80-BE81-DF204A66709A}"/>
    <cellStyle name="Normal 3 2 2 2 2 2 21 5" xfId="29526" xr:uid="{A8533DBA-0F69-4A98-956E-FFA53954A271}"/>
    <cellStyle name="Normal 3 2 2 2 2 2 21 5 10" xfId="29527" xr:uid="{83801E73-53EF-42C3-BACE-791873403521}"/>
    <cellStyle name="Normal 3 2 2 2 2 2 21 5 11" xfId="29528" xr:uid="{639351C6-3344-4990-B4FD-F18FB02CF9ED}"/>
    <cellStyle name="Normal 3 2 2 2 2 2 21 5 2" xfId="29529" xr:uid="{EC334C99-C750-460B-9861-CB05214B0D4D}"/>
    <cellStyle name="Normal 3 2 2 2 2 2 21 5 2 10" xfId="29530" xr:uid="{773D3B83-3424-488A-A2AB-B0CE3513A425}"/>
    <cellStyle name="Normal 3 2 2 2 2 2 21 5 2 11" xfId="29531" xr:uid="{48733780-1556-42FF-9595-66504C844026}"/>
    <cellStyle name="Normal 3 2 2 2 2 2 21 5 2 2" xfId="29532" xr:uid="{F2B61344-77D9-4355-872F-60C1ACDF575C}"/>
    <cellStyle name="Normal 3 2 2 2 2 2 21 5 2 2 2" xfId="29533" xr:uid="{9777059F-84C5-4EB3-B9CE-453335D5FA3E}"/>
    <cellStyle name="Normal 3 2 2 2 2 2 21 5 2 2 2 2" xfId="29534" xr:uid="{A61DDED4-FDF5-4677-BD03-D796A33C64AB}"/>
    <cellStyle name="Normal 3 2 2 2 2 2 21 5 2 2 2 3" xfId="29535" xr:uid="{7A92B91B-F900-48C8-A3CE-BB7B7BE0FEEF}"/>
    <cellStyle name="Normal 3 2 2 2 2 2 21 5 2 2 2 4" xfId="29536" xr:uid="{815639D5-4077-4EDF-8605-7136B8789FE2}"/>
    <cellStyle name="Normal 3 2 2 2 2 2 21 5 2 2 3" xfId="29537" xr:uid="{AC8A3C26-F5C1-465E-BF39-E27F163E965E}"/>
    <cellStyle name="Normal 3 2 2 2 2 2 21 5 2 2 4" xfId="29538" xr:uid="{8ACFE606-D169-425B-B512-D3E1CEC2390E}"/>
    <cellStyle name="Normal 3 2 2 2 2 2 21 5 2 2 5" xfId="29539" xr:uid="{FA5D1060-7CFF-496F-B204-1C588EEE8A4C}"/>
    <cellStyle name="Normal 3 2 2 2 2 2 21 5 2 2 6" xfId="29540" xr:uid="{833D0555-0F2C-4707-AF0D-EB133FD9A8A6}"/>
    <cellStyle name="Normal 3 2 2 2 2 2 21 5 2 3" xfId="29541" xr:uid="{2F542E60-3F50-41C6-925F-4619B4354434}"/>
    <cellStyle name="Normal 3 2 2 2 2 2 21 5 2 4" xfId="29542" xr:uid="{612ABF38-A7FF-436D-8A97-2171BA731650}"/>
    <cellStyle name="Normal 3 2 2 2 2 2 21 5 2 5" xfId="29543" xr:uid="{27F93354-525B-4BC0-9218-E36D6113AAFC}"/>
    <cellStyle name="Normal 3 2 2 2 2 2 21 5 2 6" xfId="29544" xr:uid="{6C26A588-9B5D-4D3E-8769-7E2824A3560F}"/>
    <cellStyle name="Normal 3 2 2 2 2 2 21 5 2 7" xfId="29545" xr:uid="{E103F854-0369-47B1-9D59-A39949E99AB2}"/>
    <cellStyle name="Normal 3 2 2 2 2 2 21 5 2 8" xfId="29546" xr:uid="{9B06493D-DEB1-47E8-B303-644DAF96ED13}"/>
    <cellStyle name="Normal 3 2 2 2 2 2 21 5 2 8 2" xfId="29547" xr:uid="{40E97858-AF11-4164-985B-EA097EFCF5BA}"/>
    <cellStyle name="Normal 3 2 2 2 2 2 21 5 2 8 3" xfId="29548" xr:uid="{E131563E-34CB-476F-9652-BC99B0D77F94}"/>
    <cellStyle name="Normal 3 2 2 2 2 2 21 5 2 8 4" xfId="29549" xr:uid="{02AA4BC1-4D85-4B5F-BF1F-A19123927C0A}"/>
    <cellStyle name="Normal 3 2 2 2 2 2 21 5 2 9" xfId="29550" xr:uid="{838EEF64-2E0B-426E-9A4D-D5E89E410D17}"/>
    <cellStyle name="Normal 3 2 2 2 2 2 21 5 3" xfId="29551" xr:uid="{479C43A6-8F16-4E71-AA6F-AFCD2057C7E3}"/>
    <cellStyle name="Normal 3 2 2 2 2 2 21 5 3 2" xfId="29552" xr:uid="{F3BAFD70-5C63-4D54-A522-D82E812551E1}"/>
    <cellStyle name="Normal 3 2 2 2 2 2 21 5 3 2 2" xfId="29553" xr:uid="{279CE5CC-8A13-444E-895E-0BB45B39984D}"/>
    <cellStyle name="Normal 3 2 2 2 2 2 21 5 3 2 3" xfId="29554" xr:uid="{16337020-9A13-4F12-BFB5-66874BB7587B}"/>
    <cellStyle name="Normal 3 2 2 2 2 2 21 5 3 2 4" xfId="29555" xr:uid="{4C23E600-104A-4978-B3BF-3288F82314A4}"/>
    <cellStyle name="Normal 3 2 2 2 2 2 21 5 3 3" xfId="29556" xr:uid="{3B79C6C7-91F4-497E-B2E0-264621514F45}"/>
    <cellStyle name="Normal 3 2 2 2 2 2 21 5 3 4" xfId="29557" xr:uid="{A9359570-021D-4CE0-8A8E-CF96619E92A8}"/>
    <cellStyle name="Normal 3 2 2 2 2 2 21 5 3 5" xfId="29558" xr:uid="{7F1D2317-93EA-42BB-AD96-949651328E8D}"/>
    <cellStyle name="Normal 3 2 2 2 2 2 21 5 3 6" xfId="29559" xr:uid="{E5E28022-392C-43B4-93EF-4CB0DE52CFCB}"/>
    <cellStyle name="Normal 3 2 2 2 2 2 21 5 4" xfId="29560" xr:uid="{6CFA97AE-E4F2-42C4-87AA-49CB06AD74D4}"/>
    <cellStyle name="Normal 3 2 2 2 2 2 21 5 5" xfId="29561" xr:uid="{85C0E30C-7A55-4DB3-AD14-744BB0A8BD15}"/>
    <cellStyle name="Normal 3 2 2 2 2 2 21 5 6" xfId="29562" xr:uid="{EDDE5CA7-D01C-40F2-BA6A-DA49BC259EEE}"/>
    <cellStyle name="Normal 3 2 2 2 2 2 21 5 7" xfId="29563" xr:uid="{54D67205-9923-4932-A705-7058FC42D6CE}"/>
    <cellStyle name="Normal 3 2 2 2 2 2 21 5 8" xfId="29564" xr:uid="{3B71A807-66F7-4E47-9CEC-A6803013B4A5}"/>
    <cellStyle name="Normal 3 2 2 2 2 2 21 5 8 2" xfId="29565" xr:uid="{13FF40D2-763F-4D5B-8137-6D254864A3D1}"/>
    <cellStyle name="Normal 3 2 2 2 2 2 21 5 8 3" xfId="29566" xr:uid="{AC52928A-545C-4DE5-8600-6C8C249CC59A}"/>
    <cellStyle name="Normal 3 2 2 2 2 2 21 5 8 4" xfId="29567" xr:uid="{69C614A8-27A5-43CA-8613-3353E4C0CC1E}"/>
    <cellStyle name="Normal 3 2 2 2 2 2 21 5 9" xfId="29568" xr:uid="{20D2098E-0772-4635-A256-5577B9A737E4}"/>
    <cellStyle name="Normal 3 2 2 2 2 2 21 6" xfId="29569" xr:uid="{DCFEDE3F-6023-4CFA-A114-3A716E5D9C98}"/>
    <cellStyle name="Normal 3 2 2 2 2 2 21 7" xfId="29570" xr:uid="{01B549C6-B0C0-4AB3-8852-D425F5E68B6D}"/>
    <cellStyle name="Normal 3 2 2 2 2 2 21 7 2" xfId="29571" xr:uid="{55EEB805-ABD9-46FC-8222-D08EA0CCFF02}"/>
    <cellStyle name="Normal 3 2 2 2 2 2 21 7 2 2" xfId="29572" xr:uid="{C8BBF2D2-8FDF-4204-9B5D-A28822EA7740}"/>
    <cellStyle name="Normal 3 2 2 2 2 2 21 7 2 3" xfId="29573" xr:uid="{09264BB8-5DDE-464E-8EB2-3F2049E45326}"/>
    <cellStyle name="Normal 3 2 2 2 2 2 21 7 2 4" xfId="29574" xr:uid="{1E800440-FE35-48CD-B5D4-05649EC8F62C}"/>
    <cellStyle name="Normal 3 2 2 2 2 2 21 7 3" xfId="29575" xr:uid="{9986D4E6-2145-44C4-B26A-50E13A48D29C}"/>
    <cellStyle name="Normal 3 2 2 2 2 2 21 7 4" xfId="29576" xr:uid="{0FF1674A-C38F-473E-812B-06F2B573A86C}"/>
    <cellStyle name="Normal 3 2 2 2 2 2 21 7 5" xfId="29577" xr:uid="{2002CEF7-8FE3-4646-9611-A59A6B293456}"/>
    <cellStyle name="Normal 3 2 2 2 2 2 21 7 6" xfId="29578" xr:uid="{7FB3B214-B181-4FE0-B9AA-4A0A77804B29}"/>
    <cellStyle name="Normal 3 2 2 2 2 2 21 8" xfId="29579" xr:uid="{C5587414-6AA7-46E0-811D-95DF0EB78E90}"/>
    <cellStyle name="Normal 3 2 2 2 2 2 21 9" xfId="29580" xr:uid="{513E1703-0103-47DB-B81D-1E8EC9E32142}"/>
    <cellStyle name="Normal 3 2 2 2 2 2 22" xfId="29581" xr:uid="{DEC71496-CB11-4406-974D-EB02E615DDBA}"/>
    <cellStyle name="Normal 3 2 2 2 2 2 23" xfId="29582" xr:uid="{F71826D4-70D2-4308-A74A-50EB7CCD23C5}"/>
    <cellStyle name="Normal 3 2 2 2 2 2 24" xfId="29583" xr:uid="{85F8C982-86E8-49EC-B504-1C94B472DA91}"/>
    <cellStyle name="Normal 3 2 2 2 2 2 25" xfId="29584" xr:uid="{D4459A33-AA41-4AC5-BE65-0CC8AC39626F}"/>
    <cellStyle name="Normal 3 2 2 2 2 2 26" xfId="29585" xr:uid="{284C6B78-6897-430A-9525-EDA4D8BF889B}"/>
    <cellStyle name="Normal 3 2 2 2 2 2 27" xfId="29586" xr:uid="{5AB8FE6E-9334-4062-8E52-323F07F351C2}"/>
    <cellStyle name="Normal 3 2 2 2 2 2 28" xfId="29587" xr:uid="{CF99AF3A-B218-4341-940F-1350E625D4D8}"/>
    <cellStyle name="Normal 3 2 2 2 2 2 29" xfId="29588" xr:uid="{CAC98188-8167-445E-BC44-0B27178C7A14}"/>
    <cellStyle name="Normal 3 2 2 2 2 2 29 10" xfId="29589" xr:uid="{179A5772-86BF-4A42-9700-B39DFA47234A}"/>
    <cellStyle name="Normal 3 2 2 2 2 2 29 11" xfId="29590" xr:uid="{2DB504DF-FCDF-431E-B62A-64217C8305CB}"/>
    <cellStyle name="Normal 3 2 2 2 2 2 29 11 2" xfId="29591" xr:uid="{81A40464-3AB8-4BC4-BF4B-9FCBE1C0B701}"/>
    <cellStyle name="Normal 3 2 2 2 2 2 29 11 3" xfId="29592" xr:uid="{052CEDE2-B986-4886-B8DE-8C6F1B5E6068}"/>
    <cellStyle name="Normal 3 2 2 2 2 2 29 11 4" xfId="29593" xr:uid="{40436B3F-449D-4BD0-85F6-F437EAA853F4}"/>
    <cellStyle name="Normal 3 2 2 2 2 2 29 12" xfId="29594" xr:uid="{4B7654D9-4A9C-4C4F-8ABF-73790B77877B}"/>
    <cellStyle name="Normal 3 2 2 2 2 2 29 13" xfId="29595" xr:uid="{EE249E25-A954-4AC0-AF5B-3906CFD860A6}"/>
    <cellStyle name="Normal 3 2 2 2 2 2 29 14" xfId="29596" xr:uid="{283267AA-B817-4ED7-8AD4-7B5491F67F7E}"/>
    <cellStyle name="Normal 3 2 2 2 2 2 29 2" xfId="29597" xr:uid="{67E9124C-59BA-40DE-B202-8E276B350ABC}"/>
    <cellStyle name="Normal 3 2 2 2 2 2 29 2 10" xfId="29598" xr:uid="{A662058F-07E0-42F3-BA9D-E066E2AAE380}"/>
    <cellStyle name="Normal 3 2 2 2 2 2 29 2 11" xfId="29599" xr:uid="{324AD440-E63C-4DD8-BCEF-74E3358C71C3}"/>
    <cellStyle name="Normal 3 2 2 2 2 2 29 2 2" xfId="29600" xr:uid="{CA9B3361-1B25-4D18-B8CF-6711A749748B}"/>
    <cellStyle name="Normal 3 2 2 2 2 2 29 2 2 10" xfId="29601" xr:uid="{871CDAD6-B67E-40B4-840E-502C0F70F3BA}"/>
    <cellStyle name="Normal 3 2 2 2 2 2 29 2 2 11" xfId="29602" xr:uid="{33F38681-AD33-4992-A162-9037C6F8D951}"/>
    <cellStyle name="Normal 3 2 2 2 2 2 29 2 2 2" xfId="29603" xr:uid="{F93A963A-9136-4741-AC48-AEDD580D9B1D}"/>
    <cellStyle name="Normal 3 2 2 2 2 2 29 2 2 2 2" xfId="29604" xr:uid="{3AC54589-ABF4-425C-895F-B34C63305BBA}"/>
    <cellStyle name="Normal 3 2 2 2 2 2 29 2 2 2 2 2" xfId="29605" xr:uid="{847B52AD-B323-4884-8614-4D94C2425C9F}"/>
    <cellStyle name="Normal 3 2 2 2 2 2 29 2 2 2 2 3" xfId="29606" xr:uid="{2C2A614A-4526-4065-A64F-451A359C1A1F}"/>
    <cellStyle name="Normal 3 2 2 2 2 2 29 2 2 2 2 4" xfId="29607" xr:uid="{B2D3FC6B-DC22-4542-810E-2F686381044F}"/>
    <cellStyle name="Normal 3 2 2 2 2 2 29 2 2 2 3" xfId="29608" xr:uid="{928034A8-2A59-4246-955D-CD3AEFA7DFFC}"/>
    <cellStyle name="Normal 3 2 2 2 2 2 29 2 2 2 4" xfId="29609" xr:uid="{E1A054B5-6173-427D-95FE-3DEB6B463D9B}"/>
    <cellStyle name="Normal 3 2 2 2 2 2 29 2 2 2 5" xfId="29610" xr:uid="{5AE50ABE-C350-4775-87DF-2E8A0FF1C849}"/>
    <cellStyle name="Normal 3 2 2 2 2 2 29 2 2 2 6" xfId="29611" xr:uid="{BC38BF11-FF0E-4BA5-819B-D22F655A8E01}"/>
    <cellStyle name="Normal 3 2 2 2 2 2 29 2 2 3" xfId="29612" xr:uid="{2C967DAF-E1EA-4EF0-80F6-D1ACB8D2A2F5}"/>
    <cellStyle name="Normal 3 2 2 2 2 2 29 2 2 4" xfId="29613" xr:uid="{C416B313-85E1-483C-B276-DE2ED523BA33}"/>
    <cellStyle name="Normal 3 2 2 2 2 2 29 2 2 5" xfId="29614" xr:uid="{7880C06E-1AF3-4DB4-810C-4D6B339D8AEC}"/>
    <cellStyle name="Normal 3 2 2 2 2 2 29 2 2 6" xfId="29615" xr:uid="{776C27AA-951B-4AF2-B5C9-E87EB8867ADB}"/>
    <cellStyle name="Normal 3 2 2 2 2 2 29 2 2 7" xfId="29616" xr:uid="{1C9C98A5-F1A7-477E-A2F6-F19DBEEACD4A}"/>
    <cellStyle name="Normal 3 2 2 2 2 2 29 2 2 8" xfId="29617" xr:uid="{329CE39C-DE3F-4B7E-A280-A5B43277407A}"/>
    <cellStyle name="Normal 3 2 2 2 2 2 29 2 2 8 2" xfId="29618" xr:uid="{9D94C905-656C-4E5E-A2E6-426F883873EC}"/>
    <cellStyle name="Normal 3 2 2 2 2 2 29 2 2 8 3" xfId="29619" xr:uid="{DDD98D43-5E22-4F51-9B6E-FD2AAE2CB1F7}"/>
    <cellStyle name="Normal 3 2 2 2 2 2 29 2 2 8 4" xfId="29620" xr:uid="{0A1E80AD-895A-45A1-BF97-A8349DEFCF7F}"/>
    <cellStyle name="Normal 3 2 2 2 2 2 29 2 2 9" xfId="29621" xr:uid="{7455C960-5CC1-476E-923F-E1B7D7C5F95C}"/>
    <cellStyle name="Normal 3 2 2 2 2 2 29 2 3" xfId="29622" xr:uid="{16B976C8-F00B-415E-A1B1-CA89026A220F}"/>
    <cellStyle name="Normal 3 2 2 2 2 2 29 2 3 2" xfId="29623" xr:uid="{2B0D94B8-2B1C-4710-A478-F715E3AE1136}"/>
    <cellStyle name="Normal 3 2 2 2 2 2 29 2 3 2 2" xfId="29624" xr:uid="{2FA8ECC9-B952-411D-BDE9-37306DFDAAA8}"/>
    <cellStyle name="Normal 3 2 2 2 2 2 29 2 3 2 3" xfId="29625" xr:uid="{BF737F74-5E5A-46FB-A735-9A83A61F732F}"/>
    <cellStyle name="Normal 3 2 2 2 2 2 29 2 3 2 4" xfId="29626" xr:uid="{33AC282A-C63F-4DFE-8AF8-8B7A6AC55575}"/>
    <cellStyle name="Normal 3 2 2 2 2 2 29 2 3 3" xfId="29627" xr:uid="{11C65A1E-D94E-48FA-838B-2A37D44DE0F4}"/>
    <cellStyle name="Normal 3 2 2 2 2 2 29 2 3 4" xfId="29628" xr:uid="{67C9D386-FD1C-4353-A8C7-80A187689C9F}"/>
    <cellStyle name="Normal 3 2 2 2 2 2 29 2 3 5" xfId="29629" xr:uid="{0454D543-B5CD-4579-8F6B-60C2E9EB768C}"/>
    <cellStyle name="Normal 3 2 2 2 2 2 29 2 3 6" xfId="29630" xr:uid="{40DF4899-E171-4F23-9F64-112B5301EAC9}"/>
    <cellStyle name="Normal 3 2 2 2 2 2 29 2 4" xfId="29631" xr:uid="{C70895B8-0DB9-40F4-B1B2-791803D15D57}"/>
    <cellStyle name="Normal 3 2 2 2 2 2 29 2 5" xfId="29632" xr:uid="{C33E9626-79A2-4F46-83BF-64AE647D089D}"/>
    <cellStyle name="Normal 3 2 2 2 2 2 29 2 6" xfId="29633" xr:uid="{7AE874A1-61C0-42D6-B397-373E24A12254}"/>
    <cellStyle name="Normal 3 2 2 2 2 2 29 2 7" xfId="29634" xr:uid="{15B9F7B1-BA60-43E1-A37D-F989BFA1ECC3}"/>
    <cellStyle name="Normal 3 2 2 2 2 2 29 2 8" xfId="29635" xr:uid="{0BE8CFA8-2FF6-43BF-A6DA-AE9CFEC96361}"/>
    <cellStyle name="Normal 3 2 2 2 2 2 29 2 8 2" xfId="29636" xr:uid="{252D9E51-DCD3-4830-9DD0-08DD0B500FDF}"/>
    <cellStyle name="Normal 3 2 2 2 2 2 29 2 8 3" xfId="29637" xr:uid="{B74FFB71-9CC4-4953-B8E6-AF24A2D5FF61}"/>
    <cellStyle name="Normal 3 2 2 2 2 2 29 2 8 4" xfId="29638" xr:uid="{DB4BD0AD-54BF-4819-9EA9-C9EE0F26D679}"/>
    <cellStyle name="Normal 3 2 2 2 2 2 29 2 9" xfId="29639" xr:uid="{28D79128-9360-47B8-A00B-9E813298528B}"/>
    <cellStyle name="Normal 3 2 2 2 2 2 29 3" xfId="29640" xr:uid="{CA0B2471-980A-45A0-9778-BAE876256E15}"/>
    <cellStyle name="Normal 3 2 2 2 2 2 29 4" xfId="29641" xr:uid="{AF8DDDEC-A283-4E1B-95F2-E41862660B31}"/>
    <cellStyle name="Normal 3 2 2 2 2 2 29 5" xfId="29642" xr:uid="{39508EA2-76E8-4C01-8662-F80922848D6B}"/>
    <cellStyle name="Normal 3 2 2 2 2 2 29 5 2" xfId="29643" xr:uid="{9778FC5E-BFA7-4B40-B783-0FA90EFA1848}"/>
    <cellStyle name="Normal 3 2 2 2 2 2 29 5 2 2" xfId="29644" xr:uid="{17C3CC52-E7D9-4D66-AE69-1A8A4467F60B}"/>
    <cellStyle name="Normal 3 2 2 2 2 2 29 5 2 3" xfId="29645" xr:uid="{9AB17142-94CC-4518-B4A3-106120326751}"/>
    <cellStyle name="Normal 3 2 2 2 2 2 29 5 2 4" xfId="29646" xr:uid="{595FC2F6-7D6F-415E-A665-69BACD0BD305}"/>
    <cellStyle name="Normal 3 2 2 2 2 2 29 5 3" xfId="29647" xr:uid="{4F332E7A-6A9A-4720-A681-8DD72BA2186D}"/>
    <cellStyle name="Normal 3 2 2 2 2 2 29 5 4" xfId="29648" xr:uid="{9ED3E60D-4BE9-4007-B948-7D8D77F27FCA}"/>
    <cellStyle name="Normal 3 2 2 2 2 2 29 5 5" xfId="29649" xr:uid="{0B87DEFA-51D5-451E-9D77-DF54B0C6AB8B}"/>
    <cellStyle name="Normal 3 2 2 2 2 2 29 5 6" xfId="29650" xr:uid="{AE7BDECA-5D00-4E5D-BFE3-766E5EDDFE3D}"/>
    <cellStyle name="Normal 3 2 2 2 2 2 29 6" xfId="29651" xr:uid="{54156268-1653-4AF1-A980-FD9505017A29}"/>
    <cellStyle name="Normal 3 2 2 2 2 2 29 7" xfId="29652" xr:uid="{9D3042FD-7D26-4CFB-A42F-59D858D20129}"/>
    <cellStyle name="Normal 3 2 2 2 2 2 29 8" xfId="29653" xr:uid="{FE19BFC5-FDE9-475C-8690-3B7A311075C0}"/>
    <cellStyle name="Normal 3 2 2 2 2 2 29 9" xfId="29654" xr:uid="{79C13026-0371-4674-9A56-376C88356A6D}"/>
    <cellStyle name="Normal 3 2 2 2 2 2 3" xfId="29655" xr:uid="{4F3CEAF0-C9A8-4F81-B098-FE90754A37C0}"/>
    <cellStyle name="Normal 3 2 2 2 2 2 3 10" xfId="29656" xr:uid="{2B0AE5A5-78AF-4810-A8B0-73C81C4EB0DE}"/>
    <cellStyle name="Normal 3 2 2 2 2 2 3 11" xfId="29657" xr:uid="{D567615C-5C22-449C-993F-104B5D83B066}"/>
    <cellStyle name="Normal 3 2 2 2 2 2 3 2" xfId="29658" xr:uid="{4BFE0E27-8C63-42F2-99D1-E9539C75DABE}"/>
    <cellStyle name="Normal 3 2 2 2 2 2 3 2 2" xfId="29659" xr:uid="{B968F76B-2762-4B59-BA56-8D3F36A6E9D3}"/>
    <cellStyle name="Normal 3 2 2 2 2 2 3 2 3" xfId="29660" xr:uid="{CF780065-5DF1-4F80-8667-9975ED7E4768}"/>
    <cellStyle name="Normal 3 2 2 2 2 2 3 2 4" xfId="29661" xr:uid="{0B4028F1-BF7C-46F3-98D0-9A29259A0A94}"/>
    <cellStyle name="Normal 3 2 2 2 2 2 3 2 5" xfId="29662" xr:uid="{41E1B3B8-6EF4-4EBF-8F67-1AD3CA81AB2A}"/>
    <cellStyle name="Normal 3 2 2 2 2 2 3 2 6" xfId="29663" xr:uid="{7F525E03-F472-42BD-AA56-6C125C8E5B6A}"/>
    <cellStyle name="Normal 3 2 2 2 2 2 3 3" xfId="29664" xr:uid="{8247C2C6-B135-4C14-890F-8842C75A690F}"/>
    <cellStyle name="Normal 3 2 2 2 2 2 3 3 2" xfId="29665" xr:uid="{4645EE24-CB7A-4C4E-9181-531313A94876}"/>
    <cellStyle name="Normal 3 2 2 2 2 2 3 3 3" xfId="29666" xr:uid="{4A65D11F-311B-43BD-A620-77911C90D03C}"/>
    <cellStyle name="Normal 3 2 2 2 2 2 3 3 4" xfId="29667" xr:uid="{AB495032-A8B4-4064-BAA3-3BDD22B83F2C}"/>
    <cellStyle name="Normal 3 2 2 2 2 2 3 3 5" xfId="29668" xr:uid="{503E21D7-F562-435F-90CF-7BA29B261A25}"/>
    <cellStyle name="Normal 3 2 2 2 2 2 3 3 6" xfId="29669" xr:uid="{E1F46427-B6A5-4867-9F90-ED9B8DC8CAFA}"/>
    <cellStyle name="Normal 3 2 2 2 2 2 3 4" xfId="29670" xr:uid="{08F75379-8F96-48F9-951B-1B74CCE0C544}"/>
    <cellStyle name="Normal 3 2 2 2 2 2 3 4 2" xfId="29671" xr:uid="{6C888531-9106-4182-B03E-6F1A639C62D4}"/>
    <cellStyle name="Normal 3 2 2 2 2 2 3 4 3" xfId="29672" xr:uid="{1BFA8B0E-14E4-4A1A-83DD-035ADBA2D0F5}"/>
    <cellStyle name="Normal 3 2 2 2 2 2 3 4 4" xfId="29673" xr:uid="{418A8F67-0CEB-45ED-BFC5-9B67260D145C}"/>
    <cellStyle name="Normal 3 2 2 2 2 2 3 4 5" xfId="29674" xr:uid="{2CACBF36-FE37-4C91-80C3-DEF83649225C}"/>
    <cellStyle name="Normal 3 2 2 2 2 2 3 4 6" xfId="29675" xr:uid="{AC585AC0-3464-4496-B4DC-29132E5A981F}"/>
    <cellStyle name="Normal 3 2 2 2 2 2 3 5" xfId="29676" xr:uid="{44830A81-E450-42D5-A30C-DD4E5744D0CF}"/>
    <cellStyle name="Normal 3 2 2 2 2 2 3 5 2" xfId="29677" xr:uid="{50BF9756-9C00-482A-B231-8F69332597B6}"/>
    <cellStyle name="Normal 3 2 2 2 2 2 3 5 3" xfId="29678" xr:uid="{92F507C5-648B-436E-A8CE-A1B2D613ED88}"/>
    <cellStyle name="Normal 3 2 2 2 2 2 3 5 4" xfId="29679" xr:uid="{4C7A6742-E8E3-4FDC-989D-1D3E60007B71}"/>
    <cellStyle name="Normal 3 2 2 2 2 2 3 5 5" xfId="29680" xr:uid="{E9083287-B4B8-42A2-BEF1-7AF3F172950B}"/>
    <cellStyle name="Normal 3 2 2 2 2 2 3 5 6" xfId="29681" xr:uid="{B8231146-8AD7-4CD8-AF1E-941B72FD865F}"/>
    <cellStyle name="Normal 3 2 2 2 2 2 3 6" xfId="29682" xr:uid="{AE9D1639-E651-4D51-A01B-BD8514033EB4}"/>
    <cellStyle name="Normal 3 2 2 2 2 2 3 6 2" xfId="29683" xr:uid="{69D78401-5442-438D-9560-5C095A438D22}"/>
    <cellStyle name="Normal 3 2 2 2 2 2 3 6 3" xfId="29684" xr:uid="{6F891F55-C9E7-4EE3-8489-A8B658B4B184}"/>
    <cellStyle name="Normal 3 2 2 2 2 2 3 6 4" xfId="29685" xr:uid="{5A91A3FA-FA4C-492E-8364-EB2B30E78492}"/>
    <cellStyle name="Normal 3 2 2 2 2 2 3 6 5" xfId="29686" xr:uid="{EE445654-DE77-429F-86FF-37E6CD9FB4E2}"/>
    <cellStyle name="Normal 3 2 2 2 2 2 3 6 6" xfId="29687" xr:uid="{7E17798D-BDDB-4312-9DDE-0E432A8E7E7D}"/>
    <cellStyle name="Normal 3 2 2 2 2 2 3 7" xfId="29688" xr:uid="{0A49BB4F-29EB-41CF-9434-8619271F8B9C}"/>
    <cellStyle name="Normal 3 2 2 2 2 2 3 8" xfId="29689" xr:uid="{C016D8B6-AD28-4E0B-8E11-CBB6EF15A817}"/>
    <cellStyle name="Normal 3 2 2 2 2 2 3 9" xfId="29690" xr:uid="{5605CEBF-5C1A-4954-AA0D-36B0ACC918B9}"/>
    <cellStyle name="Normal 3 2 2 2 2 2 30" xfId="29691" xr:uid="{E1F8FBF2-8F14-4012-BD02-59D5F7BAD524}"/>
    <cellStyle name="Normal 3 2 2 2 2 2 31" xfId="29692" xr:uid="{8216348F-726E-4542-989C-A1ECDDF999BD}"/>
    <cellStyle name="Normal 3 2 2 2 2 2 31 10" xfId="29693" xr:uid="{76E8F86D-DD09-4177-8810-4E06B3603E49}"/>
    <cellStyle name="Normal 3 2 2 2 2 2 31 11" xfId="29694" xr:uid="{65FED1C8-E5B1-4662-88FC-A88939A91D91}"/>
    <cellStyle name="Normal 3 2 2 2 2 2 31 2" xfId="29695" xr:uid="{DA2F9C55-0C92-4760-9C59-E44CD8CC10CF}"/>
    <cellStyle name="Normal 3 2 2 2 2 2 31 2 10" xfId="29696" xr:uid="{3ADAAF10-FB24-4A3B-BEEA-DADB98233BE2}"/>
    <cellStyle name="Normal 3 2 2 2 2 2 31 2 11" xfId="29697" xr:uid="{CDF2AA85-95E7-4A46-B4D0-951F0D01681C}"/>
    <cellStyle name="Normal 3 2 2 2 2 2 31 2 2" xfId="29698" xr:uid="{997602BB-A462-477E-B3F7-C966484DCC06}"/>
    <cellStyle name="Normal 3 2 2 2 2 2 31 2 2 2" xfId="29699" xr:uid="{99D22F77-F5AE-4958-A461-0306D77EBD85}"/>
    <cellStyle name="Normal 3 2 2 2 2 2 31 2 2 2 2" xfId="29700" xr:uid="{D84A6CB6-8A6E-4F3C-8B69-4AA7C296975B}"/>
    <cellStyle name="Normal 3 2 2 2 2 2 31 2 2 2 3" xfId="29701" xr:uid="{5F248474-E763-473D-A8EC-6282D333383F}"/>
    <cellStyle name="Normal 3 2 2 2 2 2 31 2 2 2 4" xfId="29702" xr:uid="{4814B728-DDC2-49D6-A0AA-28B537598F9E}"/>
    <cellStyle name="Normal 3 2 2 2 2 2 31 2 2 3" xfId="29703" xr:uid="{76F51A94-21A3-4076-A004-230A59C87F2C}"/>
    <cellStyle name="Normal 3 2 2 2 2 2 31 2 2 4" xfId="29704" xr:uid="{7837F838-B569-4C0A-980A-DFC437593F86}"/>
    <cellStyle name="Normal 3 2 2 2 2 2 31 2 2 5" xfId="29705" xr:uid="{98104AA6-02A5-42AC-8984-970EFE7FCFF1}"/>
    <cellStyle name="Normal 3 2 2 2 2 2 31 2 2 6" xfId="29706" xr:uid="{7868E34F-45C6-4D33-95FC-CFB51B7D644C}"/>
    <cellStyle name="Normal 3 2 2 2 2 2 31 2 3" xfId="29707" xr:uid="{40675506-8BAC-42D8-A7C9-D34660A28CCC}"/>
    <cellStyle name="Normal 3 2 2 2 2 2 31 2 4" xfId="29708" xr:uid="{0F5F0EF2-4930-4C4E-9B73-2480586158F1}"/>
    <cellStyle name="Normal 3 2 2 2 2 2 31 2 5" xfId="29709" xr:uid="{AD3F6979-E259-4FB0-B4EB-6388027B64A1}"/>
    <cellStyle name="Normal 3 2 2 2 2 2 31 2 6" xfId="29710" xr:uid="{D96B6BD7-C26C-420A-8617-A9622CFCDB65}"/>
    <cellStyle name="Normal 3 2 2 2 2 2 31 2 7" xfId="29711" xr:uid="{269B2E88-7111-41AE-BD94-E09547810FA1}"/>
    <cellStyle name="Normal 3 2 2 2 2 2 31 2 8" xfId="29712" xr:uid="{6AD47BB2-A590-4B44-BF83-79DEA48C344F}"/>
    <cellStyle name="Normal 3 2 2 2 2 2 31 2 8 2" xfId="29713" xr:uid="{B3BDFC8A-7032-4D98-8756-371621D2FBC8}"/>
    <cellStyle name="Normal 3 2 2 2 2 2 31 2 8 3" xfId="29714" xr:uid="{0FE152D7-7D09-4E08-AA8C-3563881280EE}"/>
    <cellStyle name="Normal 3 2 2 2 2 2 31 2 8 4" xfId="29715" xr:uid="{B95E711F-166D-417C-B54B-D0D65D3456A0}"/>
    <cellStyle name="Normal 3 2 2 2 2 2 31 2 9" xfId="29716" xr:uid="{9CD6CF45-CCA8-44C1-923D-0CE60DC7B72F}"/>
    <cellStyle name="Normal 3 2 2 2 2 2 31 3" xfId="29717" xr:uid="{6DB65782-BA1B-4A38-85DC-5C36F4E338DE}"/>
    <cellStyle name="Normal 3 2 2 2 2 2 31 3 2" xfId="29718" xr:uid="{28A5CB8F-9458-4698-B519-E8699E4626FD}"/>
    <cellStyle name="Normal 3 2 2 2 2 2 31 3 2 2" xfId="29719" xr:uid="{D2BF1705-66BC-4DB7-B84A-A28029E658F9}"/>
    <cellStyle name="Normal 3 2 2 2 2 2 31 3 2 3" xfId="29720" xr:uid="{C7FE20C5-3514-41A3-A418-35CBCF02FFC1}"/>
    <cellStyle name="Normal 3 2 2 2 2 2 31 3 2 4" xfId="29721" xr:uid="{9BDCBA60-CA00-4E4A-B06A-8B91C7C798F2}"/>
    <cellStyle name="Normal 3 2 2 2 2 2 31 3 3" xfId="29722" xr:uid="{74B42904-EB4D-465D-8043-2FCD5171BB13}"/>
    <cellStyle name="Normal 3 2 2 2 2 2 31 3 4" xfId="29723" xr:uid="{C935D218-7ED0-4177-B424-EA8F310E33A8}"/>
    <cellStyle name="Normal 3 2 2 2 2 2 31 3 5" xfId="29724" xr:uid="{29A694F7-EA70-449B-A073-11C8A9CD2563}"/>
    <cellStyle name="Normal 3 2 2 2 2 2 31 3 6" xfId="29725" xr:uid="{B0CFE06D-140B-4F25-92A8-4D222B885058}"/>
    <cellStyle name="Normal 3 2 2 2 2 2 31 4" xfId="29726" xr:uid="{DE667F92-625B-49AC-940C-5EE527E1747B}"/>
    <cellStyle name="Normal 3 2 2 2 2 2 31 5" xfId="29727" xr:uid="{AA2761BD-7C0C-4985-B775-89B5CE8A4D0A}"/>
    <cellStyle name="Normal 3 2 2 2 2 2 31 6" xfId="29728" xr:uid="{09B77442-D875-42A3-B2C6-5FD41739D41B}"/>
    <cellStyle name="Normal 3 2 2 2 2 2 31 7" xfId="29729" xr:uid="{1F7953D4-5E72-4B21-9CDA-2ED367FF02B2}"/>
    <cellStyle name="Normal 3 2 2 2 2 2 31 8" xfId="29730" xr:uid="{A485EBC7-C1BE-4838-A8B3-2685C1EA1ED1}"/>
    <cellStyle name="Normal 3 2 2 2 2 2 31 8 2" xfId="29731" xr:uid="{1051EA8C-45B1-4A68-8389-B357B9580988}"/>
    <cellStyle name="Normal 3 2 2 2 2 2 31 8 3" xfId="29732" xr:uid="{737CDEDB-7568-487B-83A0-D4C2CD31C551}"/>
    <cellStyle name="Normal 3 2 2 2 2 2 31 8 4" xfId="29733" xr:uid="{36E5B809-9160-47BB-90E9-BCDA23D1214D}"/>
    <cellStyle name="Normal 3 2 2 2 2 2 31 9" xfId="29734" xr:uid="{DD5A9E7C-4017-444E-99C0-16BC94D83E88}"/>
    <cellStyle name="Normal 3 2 2 2 2 2 32" xfId="29735" xr:uid="{FBC73B8C-6716-4092-8E83-F8494C8C6641}"/>
    <cellStyle name="Normal 3 2 2 2 2 2 33" xfId="29736" xr:uid="{26D52B90-0F71-46A2-913F-C5F1993129F9}"/>
    <cellStyle name="Normal 3 2 2 2 2 2 33 2" xfId="29737" xr:uid="{5592479C-F864-4904-A30A-E805C8FE4B30}"/>
    <cellStyle name="Normal 3 2 2 2 2 2 33 2 2" xfId="29738" xr:uid="{AE05B160-6EEE-4975-8D20-A90959AE309A}"/>
    <cellStyle name="Normal 3 2 2 2 2 2 33 2 3" xfId="29739" xr:uid="{A2EFDFBD-2446-40CE-ACB9-E292B588CF7A}"/>
    <cellStyle name="Normal 3 2 2 2 2 2 33 2 4" xfId="29740" xr:uid="{DD99183F-1C4F-402B-B400-568B5478641A}"/>
    <cellStyle name="Normal 3 2 2 2 2 2 33 3" xfId="29741" xr:uid="{0656B8AB-BABC-4785-B36F-161860EA69D3}"/>
    <cellStyle name="Normal 3 2 2 2 2 2 33 4" xfId="29742" xr:uid="{FBAA8A5E-10F2-43C8-BE77-A94DCA356B56}"/>
    <cellStyle name="Normal 3 2 2 2 2 2 33 5" xfId="29743" xr:uid="{71A7B452-2518-47B1-8C5B-0629B18707B4}"/>
    <cellStyle name="Normal 3 2 2 2 2 2 33 6" xfId="29744" xr:uid="{77AA2347-F8D9-468A-BF17-C9EDEF67FC65}"/>
    <cellStyle name="Normal 3 2 2 2 2 2 34" xfId="29745" xr:uid="{3760889D-30AF-461F-B28E-3BEC1AFA02AB}"/>
    <cellStyle name="Normal 3 2 2 2 2 2 35" xfId="29746" xr:uid="{D1C14346-1310-4E2A-91D2-16975B6B4D88}"/>
    <cellStyle name="Normal 3 2 2 2 2 2 36" xfId="29747" xr:uid="{B113451B-5ED7-4615-8174-5C9D0351E0B3}"/>
    <cellStyle name="Normal 3 2 2 2 2 2 37" xfId="29748" xr:uid="{3E6FD29D-559B-4F35-9E69-2C1024F58A26}"/>
    <cellStyle name="Normal 3 2 2 2 2 2 38" xfId="29749" xr:uid="{D4DC7A75-394E-4E99-ACF5-AC0D5D7B05FF}"/>
    <cellStyle name="Normal 3 2 2 2 2 2 39" xfId="29750" xr:uid="{E37FC7B9-2314-4221-80C4-6D1F2951649E}"/>
    <cellStyle name="Normal 3 2 2 2 2 2 39 2" xfId="29751" xr:uid="{F8083F23-9CE7-471B-A0C8-FB844A70C7D5}"/>
    <cellStyle name="Normal 3 2 2 2 2 2 39 3" xfId="29752" xr:uid="{B68F768C-95B9-497A-9CF8-2197D14FF741}"/>
    <cellStyle name="Normal 3 2 2 2 2 2 39 4" xfId="29753" xr:uid="{B2B0ADAE-BDAB-4A0D-85C6-A45B424E1EC7}"/>
    <cellStyle name="Normal 3 2 2 2 2 2 4" xfId="29754" xr:uid="{C85765B8-CF48-4892-A84F-D29F1457D193}"/>
    <cellStyle name="Normal 3 2 2 2 2 2 4 10" xfId="29755" xr:uid="{FCB1E6A7-744E-4F98-B7CF-587AA03239D2}"/>
    <cellStyle name="Normal 3 2 2 2 2 2 4 11" xfId="29756" xr:uid="{EC0EAB33-ED04-46D6-8BE4-63D576D86E46}"/>
    <cellStyle name="Normal 3 2 2 2 2 2 4 2" xfId="29757" xr:uid="{15A3AC65-A7BB-48D6-885C-AA9D68C0CBA0}"/>
    <cellStyle name="Normal 3 2 2 2 2 2 4 2 2" xfId="29758" xr:uid="{BF39CC6B-DE94-48C2-9769-47704FC9DD65}"/>
    <cellStyle name="Normal 3 2 2 2 2 2 4 2 3" xfId="29759" xr:uid="{3E7E2FB0-D696-44B8-87CC-1337BAAB855D}"/>
    <cellStyle name="Normal 3 2 2 2 2 2 4 2 4" xfId="29760" xr:uid="{E3953E3F-BF47-4A97-B161-075F6B2763B7}"/>
    <cellStyle name="Normal 3 2 2 2 2 2 4 2 5" xfId="29761" xr:uid="{DEC8F6E0-FF67-4B02-A2AD-7D96639159FD}"/>
    <cellStyle name="Normal 3 2 2 2 2 2 4 2 6" xfId="29762" xr:uid="{BAD644E0-6AAE-4B64-9E17-6087FFA59BD2}"/>
    <cellStyle name="Normal 3 2 2 2 2 2 4 3" xfId="29763" xr:uid="{C4FE28C3-279D-4A03-A432-8B95BF8EB997}"/>
    <cellStyle name="Normal 3 2 2 2 2 2 4 3 2" xfId="29764" xr:uid="{08C22310-6272-4B9C-BAB0-3707A446DE3D}"/>
    <cellStyle name="Normal 3 2 2 2 2 2 4 3 3" xfId="29765" xr:uid="{41198FC8-6DA3-411C-98C9-8043F9352FE4}"/>
    <cellStyle name="Normal 3 2 2 2 2 2 4 3 4" xfId="29766" xr:uid="{811A6CDF-2F5C-4A49-876F-669C65768228}"/>
    <cellStyle name="Normal 3 2 2 2 2 2 4 3 5" xfId="29767" xr:uid="{C32FE14B-3E85-40FE-AE70-A5D184BB03BA}"/>
    <cellStyle name="Normal 3 2 2 2 2 2 4 3 6" xfId="29768" xr:uid="{F1F9C904-C753-4CD5-9DA4-896DA0F134C4}"/>
    <cellStyle name="Normal 3 2 2 2 2 2 4 4" xfId="29769" xr:uid="{65755017-62F1-4C03-8B38-826335107CD9}"/>
    <cellStyle name="Normal 3 2 2 2 2 2 4 4 2" xfId="29770" xr:uid="{770886CF-A0D5-47F3-8DE6-6CFED439D873}"/>
    <cellStyle name="Normal 3 2 2 2 2 2 4 4 3" xfId="29771" xr:uid="{A7F3660A-1B78-4C91-BE66-636616551F9C}"/>
    <cellStyle name="Normal 3 2 2 2 2 2 4 4 4" xfId="29772" xr:uid="{EF784394-446C-49C5-9E90-492119B55458}"/>
    <cellStyle name="Normal 3 2 2 2 2 2 4 4 5" xfId="29773" xr:uid="{FB9A0483-CC9F-433A-85E0-619E2E524859}"/>
    <cellStyle name="Normal 3 2 2 2 2 2 4 4 6" xfId="29774" xr:uid="{9A620C9D-4A31-428D-85D4-248CAD3030BA}"/>
    <cellStyle name="Normal 3 2 2 2 2 2 4 5" xfId="29775" xr:uid="{10463386-05F5-45BF-9159-5B0C831051A6}"/>
    <cellStyle name="Normal 3 2 2 2 2 2 4 5 2" xfId="29776" xr:uid="{91ABCDCE-4C60-4B99-B29A-ECC2EE55C317}"/>
    <cellStyle name="Normal 3 2 2 2 2 2 4 5 3" xfId="29777" xr:uid="{A361F067-6C29-4843-9DC6-A2FB2A8AB733}"/>
    <cellStyle name="Normal 3 2 2 2 2 2 4 5 4" xfId="29778" xr:uid="{FF281C08-0473-46B6-936D-6FBF6E56E828}"/>
    <cellStyle name="Normal 3 2 2 2 2 2 4 5 5" xfId="29779" xr:uid="{4E9A703B-AF90-4282-A903-0B40B4951051}"/>
    <cellStyle name="Normal 3 2 2 2 2 2 4 5 6" xfId="29780" xr:uid="{F0F41D29-E318-45D6-92E2-266AC031FC2E}"/>
    <cellStyle name="Normal 3 2 2 2 2 2 4 6" xfId="29781" xr:uid="{CC20F4F5-D44C-4936-AC91-BE3E99582430}"/>
    <cellStyle name="Normal 3 2 2 2 2 2 4 6 2" xfId="29782" xr:uid="{D987D5D7-8808-45F4-A0E0-E60F755A5A90}"/>
    <cellStyle name="Normal 3 2 2 2 2 2 4 6 3" xfId="29783" xr:uid="{B2078A44-7909-4D7C-8F90-34F535F67D09}"/>
    <cellStyle name="Normal 3 2 2 2 2 2 4 6 4" xfId="29784" xr:uid="{F3BA564A-C590-45E9-B683-BEF1CF43A247}"/>
    <cellStyle name="Normal 3 2 2 2 2 2 4 6 5" xfId="29785" xr:uid="{927F406B-55F4-4F02-B27A-9D21798F7D05}"/>
    <cellStyle name="Normal 3 2 2 2 2 2 4 6 6" xfId="29786" xr:uid="{2B345E87-C298-4216-9920-147FFDD85457}"/>
    <cellStyle name="Normal 3 2 2 2 2 2 4 7" xfId="29787" xr:uid="{53FAEC63-8E8B-42AB-AD23-2CCBE7FFA01D}"/>
    <cellStyle name="Normal 3 2 2 2 2 2 4 8" xfId="29788" xr:uid="{7FB974D2-383F-4101-8EAF-76B2B6D2160F}"/>
    <cellStyle name="Normal 3 2 2 2 2 2 4 9" xfId="29789" xr:uid="{0F6B18D8-92EC-413C-8169-C17803D123FB}"/>
    <cellStyle name="Normal 3 2 2 2 2 2 40" xfId="29790" xr:uid="{DBB4695A-4A3C-43DB-A0C7-8771B0E99BE5}"/>
    <cellStyle name="Normal 3 2 2 2 2 2 41" xfId="29791" xr:uid="{BE7D2184-849E-4E82-943B-E8EC51DC4716}"/>
    <cellStyle name="Normal 3 2 2 2 2 2 42" xfId="29792" xr:uid="{8FBDB327-E4E8-44E4-8A70-281D0C15AB77}"/>
    <cellStyle name="Normal 3 2 2 2 2 2 43" xfId="29793" xr:uid="{0AF635E9-DF9C-4F87-B12D-19EC7383BD8A}"/>
    <cellStyle name="Normal 3 2 2 2 2 2 44" xfId="29794" xr:uid="{F1BEE4F7-03E2-4E7D-823F-54D98911BF5C}"/>
    <cellStyle name="Normal 3 2 2 2 2 2 45" xfId="29795" xr:uid="{980359A8-8386-4279-A6B1-6E92A69E2C6C}"/>
    <cellStyle name="Normal 3 2 2 2 2 2 46" xfId="29796" xr:uid="{6813FA11-7C4E-444B-9EEA-7964BB87E401}"/>
    <cellStyle name="Normal 3 2 2 2 2 2 47" xfId="29797" xr:uid="{F7CB8FC7-A152-41CE-B6A9-8030C9F9607F}"/>
    <cellStyle name="Normal 3 2 2 2 2 2 48" xfId="29798" xr:uid="{8D07A56C-9289-4F33-9742-DF1C142C26A7}"/>
    <cellStyle name="Normal 3 2 2 2 2 2 49" xfId="29799" xr:uid="{78E8AB5C-197C-4F7A-B75F-01B85141BA29}"/>
    <cellStyle name="Normal 3 2 2 2 2 2 5" xfId="29800" xr:uid="{0635B1A7-61E5-47A2-B250-F3DBE24900B7}"/>
    <cellStyle name="Normal 3 2 2 2 2 2 5 10" xfId="29801" xr:uid="{D33E8813-BF56-4255-BD23-5861070EEBC6}"/>
    <cellStyle name="Normal 3 2 2 2 2 2 5 11" xfId="29802" xr:uid="{47CABDF0-8561-4E9F-AA8E-40C9B0B40777}"/>
    <cellStyle name="Normal 3 2 2 2 2 2 5 2" xfId="29803" xr:uid="{C9E74686-7BE7-43E1-8895-D6D4F89879E3}"/>
    <cellStyle name="Normal 3 2 2 2 2 2 5 2 2" xfId="29804" xr:uid="{8BB4C0C2-9448-44DD-B22F-9055312C3A11}"/>
    <cellStyle name="Normal 3 2 2 2 2 2 5 2 3" xfId="29805" xr:uid="{E4930EAD-7334-456F-962E-644041D58E8E}"/>
    <cellStyle name="Normal 3 2 2 2 2 2 5 2 4" xfId="29806" xr:uid="{EAB15CA3-CBD5-4BB1-B806-F5B449D6728D}"/>
    <cellStyle name="Normal 3 2 2 2 2 2 5 2 5" xfId="29807" xr:uid="{3583FF66-AD74-4782-B5F1-6BEFA1DCBE2D}"/>
    <cellStyle name="Normal 3 2 2 2 2 2 5 2 6" xfId="29808" xr:uid="{46F29A78-55C3-4468-AE58-A67DAABAF69F}"/>
    <cellStyle name="Normal 3 2 2 2 2 2 5 3" xfId="29809" xr:uid="{2C802E4C-1AB8-4736-86A8-87B529B639AA}"/>
    <cellStyle name="Normal 3 2 2 2 2 2 5 3 2" xfId="29810" xr:uid="{86545622-9168-4839-94BA-C85EA6FFE31F}"/>
    <cellStyle name="Normal 3 2 2 2 2 2 5 3 3" xfId="29811" xr:uid="{F52C9103-89EF-4877-B4AF-B04487D1B0A1}"/>
    <cellStyle name="Normal 3 2 2 2 2 2 5 3 4" xfId="29812" xr:uid="{F228CB21-1E9F-4C3D-B2A7-95802AA5259E}"/>
    <cellStyle name="Normal 3 2 2 2 2 2 5 3 5" xfId="29813" xr:uid="{FAD05188-62BF-4455-97CE-A8DC6D9CE8AF}"/>
    <cellStyle name="Normal 3 2 2 2 2 2 5 3 6" xfId="29814" xr:uid="{4BC1F36E-44D9-4246-839C-AE2C03DEAFBE}"/>
    <cellStyle name="Normal 3 2 2 2 2 2 5 4" xfId="29815" xr:uid="{939875F8-A926-4244-BCB9-21AD64FE79F7}"/>
    <cellStyle name="Normal 3 2 2 2 2 2 5 4 2" xfId="29816" xr:uid="{99BE63A2-2332-43F7-897C-01B9C1C2127C}"/>
    <cellStyle name="Normal 3 2 2 2 2 2 5 4 3" xfId="29817" xr:uid="{765A2ACD-6EBB-4BE0-A9A1-1AFD5BC983B7}"/>
    <cellStyle name="Normal 3 2 2 2 2 2 5 4 4" xfId="29818" xr:uid="{EAE53E51-4694-4FB8-B88A-EF65630C2350}"/>
    <cellStyle name="Normal 3 2 2 2 2 2 5 4 5" xfId="29819" xr:uid="{CFBB6FCC-403D-49D4-A5B8-BA8930CA6340}"/>
    <cellStyle name="Normal 3 2 2 2 2 2 5 4 6" xfId="29820" xr:uid="{92BF6EC3-2100-4BFC-A4B3-087E0BECA296}"/>
    <cellStyle name="Normal 3 2 2 2 2 2 5 5" xfId="29821" xr:uid="{72B8DD60-ACC2-43E2-9A9D-6641A2A37AD6}"/>
    <cellStyle name="Normal 3 2 2 2 2 2 5 5 2" xfId="29822" xr:uid="{7F284BD4-7129-4387-81D2-F83090377B7F}"/>
    <cellStyle name="Normal 3 2 2 2 2 2 5 5 3" xfId="29823" xr:uid="{29750C76-6A53-4DE2-9D3B-6BF0960F1286}"/>
    <cellStyle name="Normal 3 2 2 2 2 2 5 5 4" xfId="29824" xr:uid="{F16DD04A-9D78-4E29-9CBD-5A2313344752}"/>
    <cellStyle name="Normal 3 2 2 2 2 2 5 5 5" xfId="29825" xr:uid="{B428D348-2B67-4A52-B17D-8EC5621D6424}"/>
    <cellStyle name="Normal 3 2 2 2 2 2 5 5 6" xfId="29826" xr:uid="{C67B1B2D-3EFE-4C57-9F92-40E394596BE5}"/>
    <cellStyle name="Normal 3 2 2 2 2 2 5 6" xfId="29827" xr:uid="{0B384ACE-96EA-429F-BB5E-341B8900C936}"/>
    <cellStyle name="Normal 3 2 2 2 2 2 5 6 2" xfId="29828" xr:uid="{230889EA-E5CB-4A7F-A12A-8EF0C91F502B}"/>
    <cellStyle name="Normal 3 2 2 2 2 2 5 6 3" xfId="29829" xr:uid="{271301BF-2214-4C57-B5CF-2F65F3C4DADA}"/>
    <cellStyle name="Normal 3 2 2 2 2 2 5 6 4" xfId="29830" xr:uid="{7085DDD4-9B37-4E83-A7B7-83B79361CF6B}"/>
    <cellStyle name="Normal 3 2 2 2 2 2 5 6 5" xfId="29831" xr:uid="{BC030BA8-0107-4394-9369-F8C805C57ED5}"/>
    <cellStyle name="Normal 3 2 2 2 2 2 5 6 6" xfId="29832" xr:uid="{88C1FDD9-FA33-4CCB-BEAE-BD80AB7CDAC3}"/>
    <cellStyle name="Normal 3 2 2 2 2 2 5 7" xfId="29833" xr:uid="{EC358F8E-42B5-4508-8A7C-16BF9C85EF2B}"/>
    <cellStyle name="Normal 3 2 2 2 2 2 5 8" xfId="29834" xr:uid="{75100543-4263-4DD2-8499-72A3754DC67E}"/>
    <cellStyle name="Normal 3 2 2 2 2 2 5 9" xfId="29835" xr:uid="{52F00C89-BC32-4398-ABD5-C7D5ACE95B45}"/>
    <cellStyle name="Normal 3 2 2 2 2 2 50" xfId="29836" xr:uid="{BD9F6A65-A509-4FA7-A421-9C7C404E25FA}"/>
    <cellStyle name="Normal 3 2 2 2 2 2 51" xfId="29837" xr:uid="{6B458744-A4E4-4996-8899-69828A13F8FA}"/>
    <cellStyle name="Normal 3 2 2 2 2 2 52" xfId="29838" xr:uid="{903500E1-E318-42FE-AC08-521B4E64E538}"/>
    <cellStyle name="Normal 3 2 2 2 2 2 53" xfId="29839" xr:uid="{9FCB7790-2B47-4BC0-9115-7AE4BDC6F20E}"/>
    <cellStyle name="Normal 3 2 2 2 2 2 54" xfId="29840" xr:uid="{8CCF43CB-373F-4C06-9647-298698468E67}"/>
    <cellStyle name="Normal 3 2 2 2 2 2 54 2" xfId="29841" xr:uid="{AA27A792-1E09-430C-B412-F7BCE43AC446}"/>
    <cellStyle name="Normal 3 2 2 2 2 2 54 3" xfId="29842" xr:uid="{7E128102-B5EB-4F8A-BA80-CE4585FFD2BD}"/>
    <cellStyle name="Normal 3 2 2 2 2 2 54 4" xfId="29843" xr:uid="{6CFA26F0-130F-4838-8AA0-90DFDD825335}"/>
    <cellStyle name="Normal 3 2 2 2 2 2 54 5" xfId="29844" xr:uid="{323631FC-F43D-4097-8C5B-471502129923}"/>
    <cellStyle name="Normal 3 2 2 2 2 2 54 6" xfId="29845" xr:uid="{73AB5C4E-B8E2-4F09-BB5E-92A1F8AF47F0}"/>
    <cellStyle name="Normal 3 2 2 2 2 2 54 7" xfId="29846" xr:uid="{ABB27964-3DAB-4041-BC44-BAE87BEFF529}"/>
    <cellStyle name="Normal 3 2 2 2 2 2 55" xfId="29847" xr:uid="{CC5B50C2-3E11-4423-AD98-5B0AB62C2429}"/>
    <cellStyle name="Normal 3 2 2 2 2 2 56" xfId="29848" xr:uid="{027209B9-E3A2-40BD-8BCA-6B5C92C10BFC}"/>
    <cellStyle name="Normal 3 2 2 2 2 2 57" xfId="29849" xr:uid="{D642303E-0D77-446E-9F79-2DF0E9CB0FDF}"/>
    <cellStyle name="Normal 3 2 2 2 2 2 58" xfId="29850" xr:uid="{9D22409F-EC13-4748-BD07-D1AA2A546EE1}"/>
    <cellStyle name="Normal 3 2 2 2 2 2 59" xfId="29851" xr:uid="{4DF348AA-D68C-4BDD-8862-01B13AA65CE0}"/>
    <cellStyle name="Normal 3 2 2 2 2 2 6" xfId="29852" xr:uid="{B91A3847-2A8D-4DE5-BFEA-EAE93DF55DBE}"/>
    <cellStyle name="Normal 3 2 2 2 2 2 6 10" xfId="29853" xr:uid="{E67250F9-BE76-42DB-A34B-D03528EC6F8B}"/>
    <cellStyle name="Normal 3 2 2 2 2 2 6 11" xfId="29854" xr:uid="{2262A3BD-4074-427F-BC68-466D2D302EAA}"/>
    <cellStyle name="Normal 3 2 2 2 2 2 6 2" xfId="29855" xr:uid="{CED4EE60-676C-4909-A320-19B3335C561A}"/>
    <cellStyle name="Normal 3 2 2 2 2 2 6 2 2" xfId="29856" xr:uid="{979D7AD9-5D1E-4706-8F90-56F7B6FD58D5}"/>
    <cellStyle name="Normal 3 2 2 2 2 2 6 2 3" xfId="29857" xr:uid="{C44ABF85-F35D-41C1-B4BF-D6000297504D}"/>
    <cellStyle name="Normal 3 2 2 2 2 2 6 2 4" xfId="29858" xr:uid="{53092112-226A-4425-84D0-CB4589C84997}"/>
    <cellStyle name="Normal 3 2 2 2 2 2 6 2 5" xfId="29859" xr:uid="{9E0C96E9-A4C2-42FB-A0E7-EE1515078830}"/>
    <cellStyle name="Normal 3 2 2 2 2 2 6 2 6" xfId="29860" xr:uid="{A0AA9634-8285-469D-8ED7-CFE9D45A1C1D}"/>
    <cellStyle name="Normal 3 2 2 2 2 2 6 3" xfId="29861" xr:uid="{3B41ABD8-6ABC-4B84-A58E-896B1A670F86}"/>
    <cellStyle name="Normal 3 2 2 2 2 2 6 3 2" xfId="29862" xr:uid="{020F6C46-DBB5-4CF7-B434-5B144EED277F}"/>
    <cellStyle name="Normal 3 2 2 2 2 2 6 3 3" xfId="29863" xr:uid="{088D69DA-3330-4594-928A-179B5E93E8F2}"/>
    <cellStyle name="Normal 3 2 2 2 2 2 6 3 4" xfId="29864" xr:uid="{A5C87723-7A32-4467-872E-7498037A8BCD}"/>
    <cellStyle name="Normal 3 2 2 2 2 2 6 3 5" xfId="29865" xr:uid="{58227B6E-019C-4614-B937-0371A7EFCAAB}"/>
    <cellStyle name="Normal 3 2 2 2 2 2 6 3 6" xfId="29866" xr:uid="{BEB206C3-2914-4FCF-982E-EB7F9919778D}"/>
    <cellStyle name="Normal 3 2 2 2 2 2 6 4" xfId="29867" xr:uid="{67F73DAB-A2CE-453C-8205-20919C843DF4}"/>
    <cellStyle name="Normal 3 2 2 2 2 2 6 4 2" xfId="29868" xr:uid="{78C4D69B-F1AE-4CFB-9F29-38A2E65BF58C}"/>
    <cellStyle name="Normal 3 2 2 2 2 2 6 4 3" xfId="29869" xr:uid="{B605B150-BB41-4BFC-A704-09C4C754C258}"/>
    <cellStyle name="Normal 3 2 2 2 2 2 6 4 4" xfId="29870" xr:uid="{75750285-9284-4CA5-9578-057033CCC0A6}"/>
    <cellStyle name="Normal 3 2 2 2 2 2 6 4 5" xfId="29871" xr:uid="{28139158-808C-475B-BAFE-F318BB10DDD3}"/>
    <cellStyle name="Normal 3 2 2 2 2 2 6 4 6" xfId="29872" xr:uid="{5B7812B5-A0C6-4D02-883E-68F2544B9B06}"/>
    <cellStyle name="Normal 3 2 2 2 2 2 6 5" xfId="29873" xr:uid="{537F05E9-8B0C-47C1-AAC2-DF2B0716D740}"/>
    <cellStyle name="Normal 3 2 2 2 2 2 6 5 2" xfId="29874" xr:uid="{AA1CAB3B-7F8B-4CB2-9CAF-EE6ADC78C560}"/>
    <cellStyle name="Normal 3 2 2 2 2 2 6 5 3" xfId="29875" xr:uid="{82B91693-82F1-425B-B23B-252BED0A12E2}"/>
    <cellStyle name="Normal 3 2 2 2 2 2 6 5 4" xfId="29876" xr:uid="{B07C4D35-9884-4655-8BC1-745745F67585}"/>
    <cellStyle name="Normal 3 2 2 2 2 2 6 5 5" xfId="29877" xr:uid="{3C128F2F-D206-44A9-9B7B-254D290D8218}"/>
    <cellStyle name="Normal 3 2 2 2 2 2 6 5 6" xfId="29878" xr:uid="{B47E9CC1-FDE3-4882-946B-5A47BD875787}"/>
    <cellStyle name="Normal 3 2 2 2 2 2 6 6" xfId="29879" xr:uid="{216A01D1-3851-45E3-A48F-FE83C2D17C80}"/>
    <cellStyle name="Normal 3 2 2 2 2 2 6 6 2" xfId="29880" xr:uid="{7DF34EF3-4148-4898-A71D-9B5DFE1BE0F4}"/>
    <cellStyle name="Normal 3 2 2 2 2 2 6 6 3" xfId="29881" xr:uid="{0B6EF026-3DB9-435E-A569-33FB4AA34AB4}"/>
    <cellStyle name="Normal 3 2 2 2 2 2 6 6 4" xfId="29882" xr:uid="{D302C5E4-C897-4653-8D34-7298DCAC15ED}"/>
    <cellStyle name="Normal 3 2 2 2 2 2 6 6 5" xfId="29883" xr:uid="{0667124B-F7A5-4928-A555-B73E0AC93F53}"/>
    <cellStyle name="Normal 3 2 2 2 2 2 6 6 6" xfId="29884" xr:uid="{5A51B0BF-EB7F-4FC8-9AD5-4194FA5DA51E}"/>
    <cellStyle name="Normal 3 2 2 2 2 2 6 7" xfId="29885" xr:uid="{2F38F5BB-459D-4253-8D75-265C734DB2F9}"/>
    <cellStyle name="Normal 3 2 2 2 2 2 6 8" xfId="29886" xr:uid="{77303282-C6BC-4A66-AE0A-F2C671470CB7}"/>
    <cellStyle name="Normal 3 2 2 2 2 2 6 9" xfId="29887" xr:uid="{0471DB8A-53CE-4002-B0AC-AE5CF8359FF5}"/>
    <cellStyle name="Normal 3 2 2 2 2 2 60" xfId="29888" xr:uid="{0319473C-66AF-4B0F-982B-25A691207B15}"/>
    <cellStyle name="Normal 3 2 2 2 2 2 61" xfId="29889" xr:uid="{87F46AD4-A387-4ABA-956C-DA1153FAC30F}"/>
    <cellStyle name="Normal 3 2 2 2 2 2 62" xfId="29890" xr:uid="{B01EA7DB-98C3-415B-A08B-D4E4D883CF23}"/>
    <cellStyle name="Normal 3 2 2 2 2 2 63" xfId="29891" xr:uid="{D57A548B-3B17-476E-AC8E-167A26ED306B}"/>
    <cellStyle name="Normal 3 2 2 2 2 2 64" xfId="29892" xr:uid="{6CF2BCC8-9FD8-4006-A48E-153464D990D5}"/>
    <cellStyle name="Normal 3 2 2 2 2 2 65" xfId="29893" xr:uid="{BFB66034-A042-4545-BC46-D397CA6EE7AE}"/>
    <cellStyle name="Normal 3 2 2 2 2 2 66" xfId="29894" xr:uid="{092D62D5-03C2-41A2-8852-C5A42FB56C88}"/>
    <cellStyle name="Normal 3 2 2 2 2 2 67" xfId="29895" xr:uid="{25E93D3B-96B7-4586-9751-8EACD277BA46}"/>
    <cellStyle name="Normal 3 2 2 2 2 2 68" xfId="29896" xr:uid="{1E3305AB-73F4-4720-B725-EA21841FE4F5}"/>
    <cellStyle name="Normal 3 2 2 2 2 2 69" xfId="29897" xr:uid="{FCAD397A-5EAE-4467-80D8-110234292761}"/>
    <cellStyle name="Normal 3 2 2 2 2 2 7" xfId="29898" xr:uid="{C43495D6-368F-45C9-A725-7092B602FC66}"/>
    <cellStyle name="Normal 3 2 2 2 2 2 7 10" xfId="29899" xr:uid="{A3FC9C3D-97D5-4F86-BF19-8B35BFFA41DD}"/>
    <cellStyle name="Normal 3 2 2 2 2 2 7 11" xfId="29900" xr:uid="{5BCA514C-D5C2-4662-8DAA-754959D41CDB}"/>
    <cellStyle name="Normal 3 2 2 2 2 2 7 2" xfId="29901" xr:uid="{9E81DB2F-E4EB-48A1-8107-96EB2118151C}"/>
    <cellStyle name="Normal 3 2 2 2 2 2 7 2 2" xfId="29902" xr:uid="{1D04302A-838E-4B1A-9827-83D8CCF387FC}"/>
    <cellStyle name="Normal 3 2 2 2 2 2 7 2 3" xfId="29903" xr:uid="{8A790105-0DE9-4284-84E5-9F6A0E94439C}"/>
    <cellStyle name="Normal 3 2 2 2 2 2 7 2 4" xfId="29904" xr:uid="{11FAE7B7-FFF7-4FB2-9E05-B78C6D8BCFE6}"/>
    <cellStyle name="Normal 3 2 2 2 2 2 7 2 5" xfId="29905" xr:uid="{8F7CFCEF-419A-4E0F-A33B-61D105AB7DCA}"/>
    <cellStyle name="Normal 3 2 2 2 2 2 7 2 6" xfId="29906" xr:uid="{12A54D61-370A-4B69-B28C-842A03A775BC}"/>
    <cellStyle name="Normal 3 2 2 2 2 2 7 3" xfId="29907" xr:uid="{8DA636FB-D4BF-4A58-9957-DA9336DF246D}"/>
    <cellStyle name="Normal 3 2 2 2 2 2 7 3 2" xfId="29908" xr:uid="{27639A3D-0DA4-4696-BAEC-EBC5DA30ED98}"/>
    <cellStyle name="Normal 3 2 2 2 2 2 7 3 3" xfId="29909" xr:uid="{BA418960-7C26-4C15-A508-43FB132CC65F}"/>
    <cellStyle name="Normal 3 2 2 2 2 2 7 3 4" xfId="29910" xr:uid="{78A2BD57-11F1-433D-8500-9DFFFE9D26BB}"/>
    <cellStyle name="Normal 3 2 2 2 2 2 7 3 5" xfId="29911" xr:uid="{2733AED2-8186-4E34-BDB8-5F4DCBE14407}"/>
    <cellStyle name="Normal 3 2 2 2 2 2 7 3 6" xfId="29912" xr:uid="{C4B1E7AF-A136-4ABA-8D96-E736C3A86EAB}"/>
    <cellStyle name="Normal 3 2 2 2 2 2 7 4" xfId="29913" xr:uid="{429DD9FF-11FC-4E49-B5A7-E4CADB3A1179}"/>
    <cellStyle name="Normal 3 2 2 2 2 2 7 4 2" xfId="29914" xr:uid="{F4EC9A96-B924-4A64-8016-5FFC4556736F}"/>
    <cellStyle name="Normal 3 2 2 2 2 2 7 4 3" xfId="29915" xr:uid="{B276A210-A513-4B78-AD98-DD03FD1A0F63}"/>
    <cellStyle name="Normal 3 2 2 2 2 2 7 4 4" xfId="29916" xr:uid="{803F8ADE-1FEC-491E-B2C4-800E67B220E7}"/>
    <cellStyle name="Normal 3 2 2 2 2 2 7 4 5" xfId="29917" xr:uid="{EACF4375-867B-4DB9-9050-717E87C0FB51}"/>
    <cellStyle name="Normal 3 2 2 2 2 2 7 4 6" xfId="29918" xr:uid="{F9EACE79-E097-4ECE-8A69-532A720AE3FD}"/>
    <cellStyle name="Normal 3 2 2 2 2 2 7 5" xfId="29919" xr:uid="{D49487A6-A775-425D-A36A-70AF31D6E596}"/>
    <cellStyle name="Normal 3 2 2 2 2 2 7 5 2" xfId="29920" xr:uid="{4ACCCCA1-374D-4092-81BB-27E7340A4629}"/>
    <cellStyle name="Normal 3 2 2 2 2 2 7 5 3" xfId="29921" xr:uid="{331CF3EB-40DA-4DA5-B9CD-69B14149E7A8}"/>
    <cellStyle name="Normal 3 2 2 2 2 2 7 5 4" xfId="29922" xr:uid="{33D2D329-0FC1-4D6A-AFEA-563ED95DAAE0}"/>
    <cellStyle name="Normal 3 2 2 2 2 2 7 5 5" xfId="29923" xr:uid="{785991D6-5EAC-439F-B1AC-38B599B8B799}"/>
    <cellStyle name="Normal 3 2 2 2 2 2 7 5 6" xfId="29924" xr:uid="{70980396-2DB9-4D21-B415-9DBECB0A432D}"/>
    <cellStyle name="Normal 3 2 2 2 2 2 7 6" xfId="29925" xr:uid="{510FD94B-F1AF-45E5-8F7A-A1C7EDBED24C}"/>
    <cellStyle name="Normal 3 2 2 2 2 2 7 6 2" xfId="29926" xr:uid="{784D39B3-1B5D-4FCA-BF5F-CC6836B3230D}"/>
    <cellStyle name="Normal 3 2 2 2 2 2 7 6 3" xfId="29927" xr:uid="{498F2CE1-5F1E-49E6-B348-D8D72085FE90}"/>
    <cellStyle name="Normal 3 2 2 2 2 2 7 6 4" xfId="29928" xr:uid="{1F75C99A-43CF-4574-9389-B2FDA486C473}"/>
    <cellStyle name="Normal 3 2 2 2 2 2 7 6 5" xfId="29929" xr:uid="{2D9A70E3-4625-4107-909A-82EF9A5BB279}"/>
    <cellStyle name="Normal 3 2 2 2 2 2 7 6 6" xfId="29930" xr:uid="{4260CB1C-12CD-4E7F-BFB8-C2F96E1AF2FA}"/>
    <cellStyle name="Normal 3 2 2 2 2 2 7 7" xfId="29931" xr:uid="{7DB5ACC9-425E-45C6-AC51-DA02EE75035F}"/>
    <cellStyle name="Normal 3 2 2 2 2 2 7 8" xfId="29932" xr:uid="{BC7CBA0A-141F-43DC-9F84-F5FC34630EEC}"/>
    <cellStyle name="Normal 3 2 2 2 2 2 7 9" xfId="29933" xr:uid="{8F22158B-B944-4F2A-97B7-DBC2A98EF72D}"/>
    <cellStyle name="Normal 3 2 2 2 2 2 70" xfId="29934" xr:uid="{85381E39-AC96-4669-AB3E-D84CF6EE0422}"/>
    <cellStyle name="Normal 3 2 2 2 2 2 71" xfId="29935" xr:uid="{C705D7E9-21C8-4E41-9DD6-5CC1F86B87B7}"/>
    <cellStyle name="Normal 3 2 2 2 2 2 72" xfId="29936" xr:uid="{9E751AB9-DC44-46DB-94ED-8CD7A839F32D}"/>
    <cellStyle name="Normal 3 2 2 2 2 2 73" xfId="29937" xr:uid="{A8FF9692-2136-4368-85FA-C591A86C4C19}"/>
    <cellStyle name="Normal 3 2 2 2 2 2 74" xfId="29938" xr:uid="{0F602D87-1BEA-4BF8-B70C-6839B3D7F855}"/>
    <cellStyle name="Normal 3 2 2 2 2 2 75" xfId="29939" xr:uid="{BC641B92-C442-449A-B86C-2736CA90A20A}"/>
    <cellStyle name="Normal 3 2 2 2 2 2 76" xfId="29940" xr:uid="{1F6FA0F2-DCC1-477B-B606-3710098E5FEB}"/>
    <cellStyle name="Normal 3 2 2 2 2 2 77" xfId="29941" xr:uid="{89DFA725-CFB7-40E6-A559-4DBBD17F3A77}"/>
    <cellStyle name="Normal 3 2 2 2 2 2 78" xfId="29942" xr:uid="{27348571-2746-46D6-99F1-1029E447D4EA}"/>
    <cellStyle name="Normal 3 2 2 2 2 2 79" xfId="29943" xr:uid="{A5AB3525-48F6-4754-BA90-4640EFE87D5F}"/>
    <cellStyle name="Normal 3 2 2 2 2 2 8" xfId="29944" xr:uid="{99F113CA-CB7F-4922-949F-EF0FB381904A}"/>
    <cellStyle name="Normal 3 2 2 2 2 2 8 10" xfId="29945" xr:uid="{87378FB2-D077-4825-9BD4-C89742DE2CD9}"/>
    <cellStyle name="Normal 3 2 2 2 2 2 8 11" xfId="29946" xr:uid="{AD59482F-0CB6-4BC6-BAFA-24EB4ACBD27C}"/>
    <cellStyle name="Normal 3 2 2 2 2 2 8 2" xfId="29947" xr:uid="{3C3DB33C-3A33-483F-8844-DAC97E93F6C2}"/>
    <cellStyle name="Normal 3 2 2 2 2 2 8 2 2" xfId="29948" xr:uid="{E2C0810B-1338-42DA-81F2-71CC6DEB7E64}"/>
    <cellStyle name="Normal 3 2 2 2 2 2 8 2 3" xfId="29949" xr:uid="{D4BFFFA9-477C-4385-B5A4-BB63BB8F1587}"/>
    <cellStyle name="Normal 3 2 2 2 2 2 8 2 4" xfId="29950" xr:uid="{7FC3DF41-F508-4E54-8E89-4B8057D62317}"/>
    <cellStyle name="Normal 3 2 2 2 2 2 8 2 5" xfId="29951" xr:uid="{B27DA094-6046-4744-8C5A-01BB93FC04E4}"/>
    <cellStyle name="Normal 3 2 2 2 2 2 8 2 6" xfId="29952" xr:uid="{8DCA67E1-066F-4F0F-ABDD-925B88E1997E}"/>
    <cellStyle name="Normal 3 2 2 2 2 2 8 3" xfId="29953" xr:uid="{7F96667C-D637-494B-A4CE-467EFC926B2D}"/>
    <cellStyle name="Normal 3 2 2 2 2 2 8 3 2" xfId="29954" xr:uid="{020B743E-BD9D-4368-A791-02773FB3750D}"/>
    <cellStyle name="Normal 3 2 2 2 2 2 8 3 3" xfId="29955" xr:uid="{B0D5A55C-2E5E-4C07-9D08-C29319D17B7D}"/>
    <cellStyle name="Normal 3 2 2 2 2 2 8 3 4" xfId="29956" xr:uid="{208DA5C0-9F00-4B9F-92DC-1DEBA5781AFA}"/>
    <cellStyle name="Normal 3 2 2 2 2 2 8 3 5" xfId="29957" xr:uid="{F5F802DD-83A4-4250-98C8-126EF5A381E5}"/>
    <cellStyle name="Normal 3 2 2 2 2 2 8 3 6" xfId="29958" xr:uid="{F602A39A-F7AE-4598-BDEF-D83410004FA4}"/>
    <cellStyle name="Normal 3 2 2 2 2 2 8 4" xfId="29959" xr:uid="{08FB342B-9E9E-4DA7-B6BB-CE14789E2686}"/>
    <cellStyle name="Normal 3 2 2 2 2 2 8 4 2" xfId="29960" xr:uid="{F5AC0E49-F68B-4800-B8ED-7C7921EA7942}"/>
    <cellStyle name="Normal 3 2 2 2 2 2 8 4 3" xfId="29961" xr:uid="{FB7B15A4-59D6-4498-9337-DBB416C22913}"/>
    <cellStyle name="Normal 3 2 2 2 2 2 8 4 4" xfId="29962" xr:uid="{7CCF4F8E-90E2-4A20-9D46-8B064DE5DAC8}"/>
    <cellStyle name="Normal 3 2 2 2 2 2 8 4 5" xfId="29963" xr:uid="{197A9A3D-BB71-4A6D-8685-FFF0FD6A6409}"/>
    <cellStyle name="Normal 3 2 2 2 2 2 8 4 6" xfId="29964" xr:uid="{63336033-D60B-4953-860B-2125C01E2C70}"/>
    <cellStyle name="Normal 3 2 2 2 2 2 8 5" xfId="29965" xr:uid="{1DD9AFB7-CF91-492E-B206-120BA7DEF377}"/>
    <cellStyle name="Normal 3 2 2 2 2 2 8 5 2" xfId="29966" xr:uid="{57BDB10C-FC9F-4CF6-93B8-899968260D04}"/>
    <cellStyle name="Normal 3 2 2 2 2 2 8 5 3" xfId="29967" xr:uid="{F9ABC947-C768-42C7-9226-0E2432366724}"/>
    <cellStyle name="Normal 3 2 2 2 2 2 8 5 4" xfId="29968" xr:uid="{EA52EACE-B1C4-488F-8195-D2CF5081E0DE}"/>
    <cellStyle name="Normal 3 2 2 2 2 2 8 5 5" xfId="29969" xr:uid="{251EE81A-41AE-4A2A-BF85-239FFE1C6146}"/>
    <cellStyle name="Normal 3 2 2 2 2 2 8 5 6" xfId="29970" xr:uid="{ED1CEDD1-6F69-4D3D-BDA6-8A3E573F037E}"/>
    <cellStyle name="Normal 3 2 2 2 2 2 8 6" xfId="29971" xr:uid="{C08ED3D6-3B65-4096-BC3F-EEB1BF944AEF}"/>
    <cellStyle name="Normal 3 2 2 2 2 2 8 6 2" xfId="29972" xr:uid="{71B0C970-DFE6-4ACC-BB10-499F93BCAF7E}"/>
    <cellStyle name="Normal 3 2 2 2 2 2 8 6 3" xfId="29973" xr:uid="{20348953-EE4A-44D8-9FCD-E08BCCAD63E0}"/>
    <cellStyle name="Normal 3 2 2 2 2 2 8 6 4" xfId="29974" xr:uid="{76123C82-4463-4C07-9948-BCC76F571DA3}"/>
    <cellStyle name="Normal 3 2 2 2 2 2 8 6 5" xfId="29975" xr:uid="{B1922254-6624-49E5-BE34-F264C4F44769}"/>
    <cellStyle name="Normal 3 2 2 2 2 2 8 6 6" xfId="29976" xr:uid="{E7FAF127-E6F2-4C98-AF13-D21C1E375CEC}"/>
    <cellStyle name="Normal 3 2 2 2 2 2 8 7" xfId="29977" xr:uid="{6ACE26A7-FF66-4E66-86C1-E48DE5F3A8D6}"/>
    <cellStyle name="Normal 3 2 2 2 2 2 8 8" xfId="29978" xr:uid="{95B92F4A-BE10-4034-9372-3752053A6FDF}"/>
    <cellStyle name="Normal 3 2 2 2 2 2 8 9" xfId="29979" xr:uid="{6650DE01-ED43-4298-A1DD-24265622F788}"/>
    <cellStyle name="Normal 3 2 2 2 2 2 80" xfId="29980" xr:uid="{69A55732-62B9-4C51-A827-3AD0DAB83290}"/>
    <cellStyle name="Normal 3 2 2 2 2 2 81" xfId="29981" xr:uid="{95384952-256D-4D36-B775-0BBFDF8F07CA}"/>
    <cellStyle name="Normal 3 2 2 2 2 2 82" xfId="29982" xr:uid="{82F81B77-653D-4282-B074-7FA7DE23CD4D}"/>
    <cellStyle name="Normal 3 2 2 2 2 2 83" xfId="29983" xr:uid="{E274E454-5A55-4584-A210-929BA7177746}"/>
    <cellStyle name="Normal 3 2 2 2 2 2 84" xfId="29984" xr:uid="{D0EF4688-765B-4D8B-A2E3-FB62F0F84B46}"/>
    <cellStyle name="Normal 3 2 2 2 2 2 85" xfId="29985" xr:uid="{A227C061-5528-4272-9E03-BBC75420161D}"/>
    <cellStyle name="Normal 3 2 2 2 2 2 86" xfId="29986" xr:uid="{0C9C2A9C-64AC-421F-A567-BE8D87492427}"/>
    <cellStyle name="Normal 3 2 2 2 2 2 86 2" xfId="29987" xr:uid="{1C93FB4E-C2F0-4EBD-9B97-E320E10CB73A}"/>
    <cellStyle name="Normal 3 2 2 2 2 2 86 3" xfId="29988" xr:uid="{CEFAB267-22D9-4081-AC7E-16DC53DEA7AB}"/>
    <cellStyle name="Normal 3 2 2 2 2 2 86 4" xfId="29989" xr:uid="{A8A9E79D-01AC-425F-BFCE-1C14D58D4C57}"/>
    <cellStyle name="Normal 3 2 2 2 2 2 87" xfId="29990" xr:uid="{6B543EA3-2D08-45CE-A72A-EA8DDA4E9C04}"/>
    <cellStyle name="Normal 3 2 2 2 2 2 88" xfId="29991" xr:uid="{3BB635BA-BDE5-43D9-9E3C-11612A39E377}"/>
    <cellStyle name="Normal 3 2 2 2 2 2 9" xfId="29992" xr:uid="{73468284-76A8-40AA-9390-82C71C62A1C4}"/>
    <cellStyle name="Normal 3 2 2 2 2 2 9 10" xfId="29993" xr:uid="{289A1E8E-7A3A-44D7-9CA2-EE97F622E97B}"/>
    <cellStyle name="Normal 3 2 2 2 2 2 9 11" xfId="29994" xr:uid="{69A62A10-1290-429A-9F56-0241DF2A6D8B}"/>
    <cellStyle name="Normal 3 2 2 2 2 2 9 2" xfId="29995" xr:uid="{62142B2E-719B-4A1E-BD5C-557756AC2E69}"/>
    <cellStyle name="Normal 3 2 2 2 2 2 9 2 2" xfId="29996" xr:uid="{F041C091-FE2B-4851-9E9F-EC5B82DD83B6}"/>
    <cellStyle name="Normal 3 2 2 2 2 2 9 2 3" xfId="29997" xr:uid="{ED3F97C3-6177-43B4-A966-F3D9E6A28D8C}"/>
    <cellStyle name="Normal 3 2 2 2 2 2 9 2 4" xfId="29998" xr:uid="{2969DDED-E9B0-47B0-A598-92C9533AE3DF}"/>
    <cellStyle name="Normal 3 2 2 2 2 2 9 2 5" xfId="29999" xr:uid="{3907CD48-C2B2-42B0-9180-77DDD5886E80}"/>
    <cellStyle name="Normal 3 2 2 2 2 2 9 2 6" xfId="30000" xr:uid="{86D1F349-DA8B-416C-92A0-193C856C261A}"/>
    <cellStyle name="Normal 3 2 2 2 2 2 9 3" xfId="30001" xr:uid="{25152C7F-9810-491D-9D36-074D160EFBC0}"/>
    <cellStyle name="Normal 3 2 2 2 2 2 9 3 2" xfId="30002" xr:uid="{C7716975-2E2C-45D3-BC87-10C3457B92F3}"/>
    <cellStyle name="Normal 3 2 2 2 2 2 9 3 3" xfId="30003" xr:uid="{C516A6A6-7D66-4675-972D-0CB5BD90C994}"/>
    <cellStyle name="Normal 3 2 2 2 2 2 9 3 4" xfId="30004" xr:uid="{4B32C857-DD4A-4123-B6B6-C9ABD6A0671C}"/>
    <cellStyle name="Normal 3 2 2 2 2 2 9 3 5" xfId="30005" xr:uid="{10035A69-07B7-4D15-A850-3582A303D8D6}"/>
    <cellStyle name="Normal 3 2 2 2 2 2 9 3 6" xfId="30006" xr:uid="{D36FD24C-5116-4E60-9183-108A92360CD7}"/>
    <cellStyle name="Normal 3 2 2 2 2 2 9 4" xfId="30007" xr:uid="{03A9D9E6-5626-457D-BFDF-6A8AA38591C8}"/>
    <cellStyle name="Normal 3 2 2 2 2 2 9 4 2" xfId="30008" xr:uid="{1A3EA440-3520-4B2D-94F8-588343CCBE0C}"/>
    <cellStyle name="Normal 3 2 2 2 2 2 9 4 3" xfId="30009" xr:uid="{589A69EF-147E-4D9D-976C-F2902F5D159C}"/>
    <cellStyle name="Normal 3 2 2 2 2 2 9 4 4" xfId="30010" xr:uid="{B359807F-271F-46F3-8167-3F7BE84D575C}"/>
    <cellStyle name="Normal 3 2 2 2 2 2 9 4 5" xfId="30011" xr:uid="{12B56373-0585-4E62-B9DC-022A6531AF37}"/>
    <cellStyle name="Normal 3 2 2 2 2 2 9 4 6" xfId="30012" xr:uid="{EFDB7B06-0E40-4159-B580-841529B9846F}"/>
    <cellStyle name="Normal 3 2 2 2 2 2 9 5" xfId="30013" xr:uid="{968980DE-1490-44D3-86CB-4C0791582769}"/>
    <cellStyle name="Normal 3 2 2 2 2 2 9 5 2" xfId="30014" xr:uid="{0649F0AA-5D6F-48ED-B2A4-CF4872904CDC}"/>
    <cellStyle name="Normal 3 2 2 2 2 2 9 5 3" xfId="30015" xr:uid="{444498C1-8343-4266-95DD-DA76B199C624}"/>
    <cellStyle name="Normal 3 2 2 2 2 2 9 5 4" xfId="30016" xr:uid="{82FBBED8-BC76-4BB0-871D-700FE0902A91}"/>
    <cellStyle name="Normal 3 2 2 2 2 2 9 5 5" xfId="30017" xr:uid="{9930F9A7-9462-423E-95BC-259E2D1564E9}"/>
    <cellStyle name="Normal 3 2 2 2 2 2 9 5 6" xfId="30018" xr:uid="{65920BB4-1B8D-47CC-9B0D-C90522B679E9}"/>
    <cellStyle name="Normal 3 2 2 2 2 2 9 6" xfId="30019" xr:uid="{FA6C4ED9-96C9-46A3-B5D6-DAFD17787711}"/>
    <cellStyle name="Normal 3 2 2 2 2 2 9 6 2" xfId="30020" xr:uid="{23A1C743-1FB8-4A65-93C2-EE83156FE323}"/>
    <cellStyle name="Normal 3 2 2 2 2 2 9 6 3" xfId="30021" xr:uid="{3D00C44B-85F8-4194-8D0E-57C6291B41EE}"/>
    <cellStyle name="Normal 3 2 2 2 2 2 9 6 4" xfId="30022" xr:uid="{77134EC5-9415-4F86-9D35-B21579BEF1AB}"/>
    <cellStyle name="Normal 3 2 2 2 2 2 9 6 5" xfId="30023" xr:uid="{6E440B46-373D-4273-9825-2C93228EC562}"/>
    <cellStyle name="Normal 3 2 2 2 2 2 9 6 6" xfId="30024" xr:uid="{9FDB6101-ABAE-44E7-8E2D-C37B956B4864}"/>
    <cellStyle name="Normal 3 2 2 2 2 2 9 7" xfId="30025" xr:uid="{26D89E5A-CAD6-41C9-BE1C-51C4B696E269}"/>
    <cellStyle name="Normal 3 2 2 2 2 2 9 8" xfId="30026" xr:uid="{5C125D40-AA38-49CF-8764-874E23280961}"/>
    <cellStyle name="Normal 3 2 2 2 2 2 9 9" xfId="30027" xr:uid="{FCBA6EC1-AC77-4679-A80C-87F2DFE1DA38}"/>
    <cellStyle name="Normal 3 2 2 2 2 20" xfId="30028" xr:uid="{E8A75263-6A9B-4897-B82D-DD83821D1A11}"/>
    <cellStyle name="Normal 3 2 2 2 2 20 10" xfId="30029" xr:uid="{F9316D1B-08D6-4B23-9F95-459EE68C04F2}"/>
    <cellStyle name="Normal 3 2 2 2 2 20 11" xfId="30030" xr:uid="{A8DBEDFB-214D-4E52-9E08-3999D2574D54}"/>
    <cellStyle name="Normal 3 2 2 2 2 20 11 10" xfId="30031" xr:uid="{30233826-22E4-41CE-A8A8-C97A081F95AA}"/>
    <cellStyle name="Normal 3 2 2 2 2 20 11 11" xfId="30032" xr:uid="{DFB0F4BC-8502-45C3-A624-BA268E3BCE65}"/>
    <cellStyle name="Normal 3 2 2 2 2 20 11 11 2" xfId="30033" xr:uid="{20C53951-37C4-4A63-95D5-62EC4013EB23}"/>
    <cellStyle name="Normal 3 2 2 2 2 20 11 11 3" xfId="30034" xr:uid="{12AE0DD1-275C-4CF3-89FF-57079A002DAB}"/>
    <cellStyle name="Normal 3 2 2 2 2 20 11 11 4" xfId="30035" xr:uid="{DB50EF56-2736-43C8-9B8A-69D85C855742}"/>
    <cellStyle name="Normal 3 2 2 2 2 20 11 12" xfId="30036" xr:uid="{E3FF737E-E7A0-404B-9AA4-93A674AA6D8D}"/>
    <cellStyle name="Normal 3 2 2 2 2 20 11 13" xfId="30037" xr:uid="{8EDE2052-3366-442B-BBA4-D8106F1CED43}"/>
    <cellStyle name="Normal 3 2 2 2 2 20 11 14" xfId="30038" xr:uid="{12ADDEBD-2B64-4076-A2FC-AD63B8DD567D}"/>
    <cellStyle name="Normal 3 2 2 2 2 20 11 2" xfId="30039" xr:uid="{CA622A3D-4AA4-4951-8E8A-814A508FC5D4}"/>
    <cellStyle name="Normal 3 2 2 2 2 20 11 2 10" xfId="30040" xr:uid="{C4727F11-9AAF-4BFD-BAC8-071BB8AF74BC}"/>
    <cellStyle name="Normal 3 2 2 2 2 20 11 2 11" xfId="30041" xr:uid="{92FC23CD-2D64-400A-A4E0-8CDD6CDD8AED}"/>
    <cellStyle name="Normal 3 2 2 2 2 20 11 2 2" xfId="30042" xr:uid="{722178D9-07A9-4E8D-BEEC-8598773AB17C}"/>
    <cellStyle name="Normal 3 2 2 2 2 20 11 2 2 10" xfId="30043" xr:uid="{5569D62A-0653-4A12-8802-FF1512B0CDFF}"/>
    <cellStyle name="Normal 3 2 2 2 2 20 11 2 2 11" xfId="30044" xr:uid="{4DB98A05-175F-47D6-B1AE-A43D873DC0D1}"/>
    <cellStyle name="Normal 3 2 2 2 2 20 11 2 2 2" xfId="30045" xr:uid="{78EB799A-A315-49BA-B5EF-3AC25509731B}"/>
    <cellStyle name="Normal 3 2 2 2 2 20 11 2 2 2 2" xfId="30046" xr:uid="{BCA6F458-5574-4277-9733-C2182D28E8E7}"/>
    <cellStyle name="Normal 3 2 2 2 2 20 11 2 2 2 2 2" xfId="30047" xr:uid="{0658EBEB-3FBF-482C-AD9C-74D8815F201E}"/>
    <cellStyle name="Normal 3 2 2 2 2 20 11 2 2 2 2 3" xfId="30048" xr:uid="{094C328B-1DED-41BA-A398-4C8E23EDCEA3}"/>
    <cellStyle name="Normal 3 2 2 2 2 20 11 2 2 2 2 4" xfId="30049" xr:uid="{BEB02C12-9088-40D5-9F53-5F13FF7CD4E5}"/>
    <cellStyle name="Normal 3 2 2 2 2 20 11 2 2 2 3" xfId="30050" xr:uid="{BC686E11-1746-418B-B036-695CD5E4057E}"/>
    <cellStyle name="Normal 3 2 2 2 2 20 11 2 2 2 4" xfId="30051" xr:uid="{BCECB5F3-22C5-4345-AC56-6D9F73B2A3FC}"/>
    <cellStyle name="Normal 3 2 2 2 2 20 11 2 2 2 5" xfId="30052" xr:uid="{3053909D-64E0-4085-A5AB-B430D0593649}"/>
    <cellStyle name="Normal 3 2 2 2 2 20 11 2 2 2 6" xfId="30053" xr:uid="{C9D34B64-F32A-464C-A590-B5EDFAC41909}"/>
    <cellStyle name="Normal 3 2 2 2 2 20 11 2 2 3" xfId="30054" xr:uid="{213B79EB-AF57-4276-99BB-D2F6FDEDDD82}"/>
    <cellStyle name="Normal 3 2 2 2 2 20 11 2 2 4" xfId="30055" xr:uid="{C8C1A984-413C-4CFD-9F01-42384EEEC7B5}"/>
    <cellStyle name="Normal 3 2 2 2 2 20 11 2 2 5" xfId="30056" xr:uid="{93165609-0B12-4DE4-9C63-D6858E776305}"/>
    <cellStyle name="Normal 3 2 2 2 2 20 11 2 2 6" xfId="30057" xr:uid="{E44C3A7A-0C6F-4CE0-995C-C2ADD122DDE7}"/>
    <cellStyle name="Normal 3 2 2 2 2 20 11 2 2 7" xfId="30058" xr:uid="{8CFF6AFF-1311-4952-AAFF-B6D69126A977}"/>
    <cellStyle name="Normal 3 2 2 2 2 20 11 2 2 8" xfId="30059" xr:uid="{7C2A826B-F984-4286-B4F8-819F3A5E5723}"/>
    <cellStyle name="Normal 3 2 2 2 2 20 11 2 2 8 2" xfId="30060" xr:uid="{B422361E-0C6D-4D25-946B-42E036AE3B33}"/>
    <cellStyle name="Normal 3 2 2 2 2 20 11 2 2 8 3" xfId="30061" xr:uid="{CC4F8F9C-FECE-474E-AD81-20AFFC400CF8}"/>
    <cellStyle name="Normal 3 2 2 2 2 20 11 2 2 8 4" xfId="30062" xr:uid="{1212DDDA-D7B1-4AD3-B84A-4665869CB13A}"/>
    <cellStyle name="Normal 3 2 2 2 2 20 11 2 2 9" xfId="30063" xr:uid="{954320BF-9210-4213-8EFA-52FD00986287}"/>
    <cellStyle name="Normal 3 2 2 2 2 20 11 2 3" xfId="30064" xr:uid="{57426889-E7A1-4C45-B72C-75832F6F7A8F}"/>
    <cellStyle name="Normal 3 2 2 2 2 20 11 2 3 2" xfId="30065" xr:uid="{7DCD529B-27FB-458D-8885-776A6759A7C9}"/>
    <cellStyle name="Normal 3 2 2 2 2 20 11 2 3 2 2" xfId="30066" xr:uid="{458DCE07-2E09-4B30-B4BF-22F8A83C3108}"/>
    <cellStyle name="Normal 3 2 2 2 2 20 11 2 3 2 3" xfId="30067" xr:uid="{BDAF3E79-2C0E-4B8F-8012-26EFA840D7ED}"/>
    <cellStyle name="Normal 3 2 2 2 2 20 11 2 3 2 4" xfId="30068" xr:uid="{9CD663CC-4595-4977-8E08-D01E8F60BE81}"/>
    <cellStyle name="Normal 3 2 2 2 2 20 11 2 3 3" xfId="30069" xr:uid="{1EB2C1BC-B0D5-4944-BCC9-88B8C7E3C62E}"/>
    <cellStyle name="Normal 3 2 2 2 2 20 11 2 3 4" xfId="30070" xr:uid="{541DABB6-C5FA-48DD-BC73-65E0D06C85AD}"/>
    <cellStyle name="Normal 3 2 2 2 2 20 11 2 3 5" xfId="30071" xr:uid="{6488A16F-990E-492D-BE84-4CB65A50E40C}"/>
    <cellStyle name="Normal 3 2 2 2 2 20 11 2 3 6" xfId="30072" xr:uid="{2D4D6BE2-EEAF-43D3-855F-D0A20C438928}"/>
    <cellStyle name="Normal 3 2 2 2 2 20 11 2 4" xfId="30073" xr:uid="{830897C0-0AE9-4609-81DA-3F6E09EC808B}"/>
    <cellStyle name="Normal 3 2 2 2 2 20 11 2 5" xfId="30074" xr:uid="{EF02136B-86FF-4B50-A06A-530F2BD0B589}"/>
    <cellStyle name="Normal 3 2 2 2 2 20 11 2 6" xfId="30075" xr:uid="{3620EC45-A878-476D-87E8-7DDAC705B835}"/>
    <cellStyle name="Normal 3 2 2 2 2 20 11 2 7" xfId="30076" xr:uid="{715D5152-B08E-426B-AE08-4A1B8C312491}"/>
    <cellStyle name="Normal 3 2 2 2 2 20 11 2 8" xfId="30077" xr:uid="{52666714-CB1B-4682-BCB4-243E28D5277A}"/>
    <cellStyle name="Normal 3 2 2 2 2 20 11 2 8 2" xfId="30078" xr:uid="{0A1D35B8-9C84-4B3D-8726-79AC37BD21E2}"/>
    <cellStyle name="Normal 3 2 2 2 2 20 11 2 8 3" xfId="30079" xr:uid="{290354B9-2D12-47E8-9ED3-34A0019836BA}"/>
    <cellStyle name="Normal 3 2 2 2 2 20 11 2 8 4" xfId="30080" xr:uid="{F10507A6-EF0A-4AE6-A585-EDBD7044130C}"/>
    <cellStyle name="Normal 3 2 2 2 2 20 11 2 9" xfId="30081" xr:uid="{32535CDD-C3C7-4FF6-BF8F-D2463697AF40}"/>
    <cellStyle name="Normal 3 2 2 2 2 20 11 3" xfId="30082" xr:uid="{A6A843F7-72B8-4757-81BE-13AFFF7C2D91}"/>
    <cellStyle name="Normal 3 2 2 2 2 20 11 4" xfId="30083" xr:uid="{3078442D-ABFA-4400-B5C7-B51733CE6E09}"/>
    <cellStyle name="Normal 3 2 2 2 2 20 11 5" xfId="30084" xr:uid="{6661FCFE-AAF7-4B04-97F0-B08D57D199C4}"/>
    <cellStyle name="Normal 3 2 2 2 2 20 11 5 2" xfId="30085" xr:uid="{7DE43812-46FD-4DE7-AD11-CBB19555EB6C}"/>
    <cellStyle name="Normal 3 2 2 2 2 20 11 5 2 2" xfId="30086" xr:uid="{2A134951-ED06-4DFE-8EEF-2E171897D0B5}"/>
    <cellStyle name="Normal 3 2 2 2 2 20 11 5 2 3" xfId="30087" xr:uid="{23A764FF-4AB4-4309-B16D-F44FB4F6256B}"/>
    <cellStyle name="Normal 3 2 2 2 2 20 11 5 2 4" xfId="30088" xr:uid="{63A2D111-F1A8-4302-86A3-3DF443541DAC}"/>
    <cellStyle name="Normal 3 2 2 2 2 20 11 5 3" xfId="30089" xr:uid="{186C0A44-3F03-430C-8032-995797720699}"/>
    <cellStyle name="Normal 3 2 2 2 2 20 11 5 4" xfId="30090" xr:uid="{7E61320F-C43C-4F9E-A926-18DC45497F33}"/>
    <cellStyle name="Normal 3 2 2 2 2 20 11 5 5" xfId="30091" xr:uid="{F57132B4-5DD4-4304-BA6D-320384E9E425}"/>
    <cellStyle name="Normal 3 2 2 2 2 20 11 5 6" xfId="30092" xr:uid="{28925458-A1F3-4818-97C7-8B79AB00DC4B}"/>
    <cellStyle name="Normal 3 2 2 2 2 20 11 6" xfId="30093" xr:uid="{EDA79D2F-DA49-466A-9B61-67C9B4185EED}"/>
    <cellStyle name="Normal 3 2 2 2 2 20 11 7" xfId="30094" xr:uid="{1B0400D6-98DB-41DF-9008-30D40F8F7BE6}"/>
    <cellStyle name="Normal 3 2 2 2 2 20 11 8" xfId="30095" xr:uid="{295F3B0B-A575-4153-8FDD-21F98CBE762F}"/>
    <cellStyle name="Normal 3 2 2 2 2 20 11 9" xfId="30096" xr:uid="{170D5E59-F843-4745-8349-9F33729F0ED4}"/>
    <cellStyle name="Normal 3 2 2 2 2 20 12" xfId="30097" xr:uid="{FE6CF502-8DEA-4E1C-ACCC-C10D0532C3DF}"/>
    <cellStyle name="Normal 3 2 2 2 2 20 13" xfId="30098" xr:uid="{75BE413F-B7DD-4D49-8C01-3B32101730F6}"/>
    <cellStyle name="Normal 3 2 2 2 2 20 13 10" xfId="30099" xr:uid="{9F07C6BF-D2C2-41AE-90CA-105888035221}"/>
    <cellStyle name="Normal 3 2 2 2 2 20 13 11" xfId="30100" xr:uid="{57088A43-0F0C-4816-ACC0-A27C93A93C2C}"/>
    <cellStyle name="Normal 3 2 2 2 2 20 13 2" xfId="30101" xr:uid="{4C505CDB-7F7A-45E9-BD66-D14260DF38D4}"/>
    <cellStyle name="Normal 3 2 2 2 2 20 13 2 10" xfId="30102" xr:uid="{7C6ACCD8-F8FB-4D3B-B49B-BCEFDC3285BA}"/>
    <cellStyle name="Normal 3 2 2 2 2 20 13 2 11" xfId="30103" xr:uid="{6DF3CEF3-64C5-4C22-9F6D-55032860DD07}"/>
    <cellStyle name="Normal 3 2 2 2 2 20 13 2 2" xfId="30104" xr:uid="{9C42F413-ACAB-4B3E-A77B-B763E74B984D}"/>
    <cellStyle name="Normal 3 2 2 2 2 20 13 2 2 2" xfId="30105" xr:uid="{A5E25114-443C-444F-BF0F-AFBFEED8C34E}"/>
    <cellStyle name="Normal 3 2 2 2 2 20 13 2 2 2 2" xfId="30106" xr:uid="{79E5E6D9-9390-4D02-BFB7-9707237DEF58}"/>
    <cellStyle name="Normal 3 2 2 2 2 20 13 2 2 2 3" xfId="30107" xr:uid="{81484BE2-5030-4CB2-9C92-FD4CDEB95C0A}"/>
    <cellStyle name="Normal 3 2 2 2 2 20 13 2 2 2 4" xfId="30108" xr:uid="{B6BBF285-E44C-4297-992F-B489DB92BC2A}"/>
    <cellStyle name="Normal 3 2 2 2 2 20 13 2 2 3" xfId="30109" xr:uid="{B6F78D69-37AA-431E-972A-0A9F16ABDF6F}"/>
    <cellStyle name="Normal 3 2 2 2 2 20 13 2 2 4" xfId="30110" xr:uid="{870374B8-C44E-456B-9B1E-96FBF98844DF}"/>
    <cellStyle name="Normal 3 2 2 2 2 20 13 2 2 5" xfId="30111" xr:uid="{D6E9367E-9155-4075-A4C5-7FADCBA62404}"/>
    <cellStyle name="Normal 3 2 2 2 2 20 13 2 2 6" xfId="30112" xr:uid="{3F1695B8-1BF6-4F38-9623-A9C30CE72B6F}"/>
    <cellStyle name="Normal 3 2 2 2 2 20 13 2 3" xfId="30113" xr:uid="{F5BC4A16-4968-4ADB-9189-EB685C349573}"/>
    <cellStyle name="Normal 3 2 2 2 2 20 13 2 4" xfId="30114" xr:uid="{4734FD05-BB42-434C-B6E9-77FE274E23D7}"/>
    <cellStyle name="Normal 3 2 2 2 2 20 13 2 5" xfId="30115" xr:uid="{0E36F6A7-311B-4AFB-BE21-80C5DAF841F4}"/>
    <cellStyle name="Normal 3 2 2 2 2 20 13 2 6" xfId="30116" xr:uid="{E49EF6AC-D57B-43C8-BB4F-76E66CD0F4B6}"/>
    <cellStyle name="Normal 3 2 2 2 2 20 13 2 7" xfId="30117" xr:uid="{34C2E136-A2D7-4D47-8AB9-FF3BEDF37905}"/>
    <cellStyle name="Normal 3 2 2 2 2 20 13 2 8" xfId="30118" xr:uid="{07512CA6-5E0B-47A1-B0B4-CD124AF64612}"/>
    <cellStyle name="Normal 3 2 2 2 2 20 13 2 8 2" xfId="30119" xr:uid="{7C5F9946-DF82-495C-8C55-CB4ED9E379B5}"/>
    <cellStyle name="Normal 3 2 2 2 2 20 13 2 8 3" xfId="30120" xr:uid="{9B55FB44-2821-4C6D-A47D-4A3728421BE8}"/>
    <cellStyle name="Normal 3 2 2 2 2 20 13 2 8 4" xfId="30121" xr:uid="{FA88105B-7FB0-4F09-8C39-08F30838AD0B}"/>
    <cellStyle name="Normal 3 2 2 2 2 20 13 2 9" xfId="30122" xr:uid="{8DE89D42-11BB-4159-BBF9-9DAEE914DF79}"/>
    <cellStyle name="Normal 3 2 2 2 2 20 13 3" xfId="30123" xr:uid="{904EEF2E-8F33-45BB-A5D2-733EE90A1BB5}"/>
    <cellStyle name="Normal 3 2 2 2 2 20 13 3 2" xfId="30124" xr:uid="{E0C19D34-F4CC-479A-BC4C-61E67B2EB188}"/>
    <cellStyle name="Normal 3 2 2 2 2 20 13 3 2 2" xfId="30125" xr:uid="{0691F89F-7E27-429E-A4F4-1A97538BF671}"/>
    <cellStyle name="Normal 3 2 2 2 2 20 13 3 2 3" xfId="30126" xr:uid="{60BB020C-BD9D-42E7-8A97-373E0B4BD44E}"/>
    <cellStyle name="Normal 3 2 2 2 2 20 13 3 2 4" xfId="30127" xr:uid="{CBE63E7A-D7D0-45AE-82C1-717181390EBC}"/>
    <cellStyle name="Normal 3 2 2 2 2 20 13 3 3" xfId="30128" xr:uid="{B202AE4F-A52B-41E2-812E-230C4A5E2A56}"/>
    <cellStyle name="Normal 3 2 2 2 2 20 13 3 4" xfId="30129" xr:uid="{C59C837D-E683-4B0F-AC33-3D06C55CCBA6}"/>
    <cellStyle name="Normal 3 2 2 2 2 20 13 3 5" xfId="30130" xr:uid="{696A0A66-358F-4073-83A5-432291D5511F}"/>
    <cellStyle name="Normal 3 2 2 2 2 20 13 3 6" xfId="30131" xr:uid="{B624ED3C-6AC7-4D2B-8A14-9B1788F26532}"/>
    <cellStyle name="Normal 3 2 2 2 2 20 13 4" xfId="30132" xr:uid="{C0CA7DB2-1048-4C89-BE50-5409023D4BF6}"/>
    <cellStyle name="Normal 3 2 2 2 2 20 13 5" xfId="30133" xr:uid="{0216A3D0-6742-4090-9A8F-E0C19C0210F0}"/>
    <cellStyle name="Normal 3 2 2 2 2 20 13 6" xfId="30134" xr:uid="{C5B4C4BF-265E-49BE-BE0A-DD4746E4AAF7}"/>
    <cellStyle name="Normal 3 2 2 2 2 20 13 7" xfId="30135" xr:uid="{25217F3E-5151-4039-998F-8D34468322CA}"/>
    <cellStyle name="Normal 3 2 2 2 2 20 13 8" xfId="30136" xr:uid="{6B6AC7AC-1CE2-4195-9DFE-5E5FB25879AF}"/>
    <cellStyle name="Normal 3 2 2 2 2 20 13 8 2" xfId="30137" xr:uid="{F699EB3E-4BCD-4A42-AAE1-2194AE92D6A9}"/>
    <cellStyle name="Normal 3 2 2 2 2 20 13 8 3" xfId="30138" xr:uid="{8BF8FDAB-DFAF-427C-9EFD-C58587BAE6D4}"/>
    <cellStyle name="Normal 3 2 2 2 2 20 13 8 4" xfId="30139" xr:uid="{597EA2EA-31A1-4503-82D1-E7C7A4B08C96}"/>
    <cellStyle name="Normal 3 2 2 2 2 20 13 9" xfId="30140" xr:uid="{1BA372E6-3733-47EE-8B44-1C7134415C3C}"/>
    <cellStyle name="Normal 3 2 2 2 2 20 14" xfId="30141" xr:uid="{336979DF-48CA-4777-90ED-FCDFFD776EE3}"/>
    <cellStyle name="Normal 3 2 2 2 2 20 15" xfId="30142" xr:uid="{76163DDD-1EDC-4EC5-9F26-00BCDB52089B}"/>
    <cellStyle name="Normal 3 2 2 2 2 20 15 2" xfId="30143" xr:uid="{08DA7A68-7453-4F47-B341-9C2AAD505A96}"/>
    <cellStyle name="Normal 3 2 2 2 2 20 15 2 2" xfId="30144" xr:uid="{D59E1307-C4E9-43C8-8422-BF84F8CBB3FB}"/>
    <cellStyle name="Normal 3 2 2 2 2 20 15 2 3" xfId="30145" xr:uid="{38CAD310-BAB8-41EB-B8EA-90AA18B77141}"/>
    <cellStyle name="Normal 3 2 2 2 2 20 15 2 4" xfId="30146" xr:uid="{2189077E-8E6A-4741-AEC0-7BE350DAA244}"/>
    <cellStyle name="Normal 3 2 2 2 2 20 15 3" xfId="30147" xr:uid="{8102ABA9-5167-4179-9B50-DC7A6F65D1F2}"/>
    <cellStyle name="Normal 3 2 2 2 2 20 15 4" xfId="30148" xr:uid="{651DD811-D4D6-4A64-8BF4-B9E86928B1BC}"/>
    <cellStyle name="Normal 3 2 2 2 2 20 15 5" xfId="30149" xr:uid="{90A7127F-1900-459C-B69F-3D0D5742FB00}"/>
    <cellStyle name="Normal 3 2 2 2 2 20 15 6" xfId="30150" xr:uid="{FB246923-1C75-4D0E-84DA-77654B7A8F74}"/>
    <cellStyle name="Normal 3 2 2 2 2 20 16" xfId="30151" xr:uid="{6310D40C-66A4-4EBA-B760-6F2FE0B0B328}"/>
    <cellStyle name="Normal 3 2 2 2 2 20 17" xfId="30152" xr:uid="{AD6515B6-9CBF-45C4-80BF-8AD02498EBA2}"/>
    <cellStyle name="Normal 3 2 2 2 2 20 18" xfId="30153" xr:uid="{A4E2D3C7-8457-4EEF-9AF9-D4C99D772C9B}"/>
    <cellStyle name="Normal 3 2 2 2 2 20 19" xfId="30154" xr:uid="{D52C43FE-8BAE-4B99-AE6F-BFB4EECD44AA}"/>
    <cellStyle name="Normal 3 2 2 2 2 20 2" xfId="30155" xr:uid="{60502F1C-8D0F-407F-A06A-3E8D7A68B089}"/>
    <cellStyle name="Normal 3 2 2 2 2 20 2 10" xfId="30156" xr:uid="{8AE68B4B-49A3-4959-BC07-476C802E203A}"/>
    <cellStyle name="Normal 3 2 2 2 2 20 2 11" xfId="30157" xr:uid="{C766084A-9C0B-493F-968B-7FCF2F2AA87A}"/>
    <cellStyle name="Normal 3 2 2 2 2 20 2 12" xfId="30158" xr:uid="{3495A61B-9E09-48C2-97FE-E296D6E4A015}"/>
    <cellStyle name="Normal 3 2 2 2 2 20 2 13" xfId="30159" xr:uid="{80E4B8B9-BBF5-422C-93C1-A6461B0C864B}"/>
    <cellStyle name="Normal 3 2 2 2 2 20 2 13 2" xfId="30160" xr:uid="{4D991CBA-6FCD-48B2-A4FB-FA44BAFE5E44}"/>
    <cellStyle name="Normal 3 2 2 2 2 20 2 13 3" xfId="30161" xr:uid="{D38EA1A7-606F-4B9C-B63F-E220E2A4E73E}"/>
    <cellStyle name="Normal 3 2 2 2 2 20 2 13 4" xfId="30162" xr:uid="{D461D144-301D-436A-9AA1-C91DA268BED6}"/>
    <cellStyle name="Normal 3 2 2 2 2 20 2 14" xfId="30163" xr:uid="{0D60ACF7-5FC6-45C5-9CCF-99B1A00E9AA9}"/>
    <cellStyle name="Normal 3 2 2 2 2 20 2 15" xfId="30164" xr:uid="{5E364136-F876-4E65-B5E3-1AA3F9264E82}"/>
    <cellStyle name="Normal 3 2 2 2 2 20 2 16" xfId="30165" xr:uid="{043FA176-B43C-4E2E-AB40-D1EC923E4E0C}"/>
    <cellStyle name="Normal 3 2 2 2 2 20 2 2" xfId="30166" xr:uid="{4CE1E1BD-E001-4080-9D38-2C6266710B24}"/>
    <cellStyle name="Normal 3 2 2 2 2 20 2 2 10" xfId="30167" xr:uid="{A715F1E2-988D-45E4-800B-2E4AACD4A6FD}"/>
    <cellStyle name="Normal 3 2 2 2 2 20 2 2 11" xfId="30168" xr:uid="{2357EF59-40AE-4094-B9D5-2E60ABD3A9E5}"/>
    <cellStyle name="Normal 3 2 2 2 2 20 2 2 11 2" xfId="30169" xr:uid="{BC2F8796-8DCE-4FC8-84A1-5BC1A2D57800}"/>
    <cellStyle name="Normal 3 2 2 2 2 20 2 2 11 3" xfId="30170" xr:uid="{99DEF1D2-C4CA-498E-9A86-7571B884CFBE}"/>
    <cellStyle name="Normal 3 2 2 2 2 20 2 2 11 4" xfId="30171" xr:uid="{BB690EA7-36F1-4132-91D0-B6689D28D80A}"/>
    <cellStyle name="Normal 3 2 2 2 2 20 2 2 12" xfId="30172" xr:uid="{A2568BA0-E7BE-4E8B-933E-E69A100229F5}"/>
    <cellStyle name="Normal 3 2 2 2 2 20 2 2 13" xfId="30173" xr:uid="{43725FEF-F04C-4758-AF9D-D5FC443FDBF0}"/>
    <cellStyle name="Normal 3 2 2 2 2 20 2 2 14" xfId="30174" xr:uid="{E9E57D3A-115C-491E-98CB-E7E4C3DC47A3}"/>
    <cellStyle name="Normal 3 2 2 2 2 20 2 2 2" xfId="30175" xr:uid="{0D12A4A3-DA5B-4C18-8FA3-B45DE096E21A}"/>
    <cellStyle name="Normal 3 2 2 2 2 20 2 2 2 10" xfId="30176" xr:uid="{9B332BA2-570B-4AA5-8A48-02329AEBDB31}"/>
    <cellStyle name="Normal 3 2 2 2 2 20 2 2 2 11" xfId="30177" xr:uid="{F4490170-B394-4157-90B2-A838349D5859}"/>
    <cellStyle name="Normal 3 2 2 2 2 20 2 2 2 2" xfId="30178" xr:uid="{5F1D3659-74C4-4607-BA3F-86DF7ADC4414}"/>
    <cellStyle name="Normal 3 2 2 2 2 20 2 2 2 2 10" xfId="30179" xr:uid="{BB724D4F-347B-465E-AA7D-48B5AF6C78D8}"/>
    <cellStyle name="Normal 3 2 2 2 2 20 2 2 2 2 11" xfId="30180" xr:uid="{0E8DD7F7-F645-4010-99BB-DEA5A20BBF99}"/>
    <cellStyle name="Normal 3 2 2 2 2 20 2 2 2 2 2" xfId="30181" xr:uid="{7A3D9136-9B45-469A-A038-0B7A4FBB0E43}"/>
    <cellStyle name="Normal 3 2 2 2 2 20 2 2 2 2 2 2" xfId="30182" xr:uid="{6845B366-8940-4181-82BB-2874E4DE1884}"/>
    <cellStyle name="Normal 3 2 2 2 2 20 2 2 2 2 2 2 2" xfId="30183" xr:uid="{66AC61D7-07AB-4FD6-8A2D-B14935EEFF6A}"/>
    <cellStyle name="Normal 3 2 2 2 2 20 2 2 2 2 2 2 3" xfId="30184" xr:uid="{4FD66B82-8722-4222-92B4-A0008853461B}"/>
    <cellStyle name="Normal 3 2 2 2 2 20 2 2 2 2 2 2 4" xfId="30185" xr:uid="{32099AB3-3BCC-47A6-A961-49DB98286700}"/>
    <cellStyle name="Normal 3 2 2 2 2 20 2 2 2 2 2 3" xfId="30186" xr:uid="{6111CFA4-E78A-4971-8775-309D377A23F7}"/>
    <cellStyle name="Normal 3 2 2 2 2 20 2 2 2 2 2 4" xfId="30187" xr:uid="{68099F4D-02FE-4B03-AF2B-D43EF91C7C72}"/>
    <cellStyle name="Normal 3 2 2 2 2 20 2 2 2 2 2 5" xfId="30188" xr:uid="{8BE7F0F4-5E21-468C-8CD5-F78F8FF4220D}"/>
    <cellStyle name="Normal 3 2 2 2 2 20 2 2 2 2 2 6" xfId="30189" xr:uid="{7CDC5D89-65E5-4800-AE2F-DF996809CA48}"/>
    <cellStyle name="Normal 3 2 2 2 2 20 2 2 2 2 3" xfId="30190" xr:uid="{72FFDB31-659B-4BC2-80E0-87A8D42E00D8}"/>
    <cellStyle name="Normal 3 2 2 2 2 20 2 2 2 2 4" xfId="30191" xr:uid="{8F341148-55DC-4113-A4F3-701F004E2A42}"/>
    <cellStyle name="Normal 3 2 2 2 2 20 2 2 2 2 5" xfId="30192" xr:uid="{BCFA9004-67C7-4A9B-85A7-943C34E10AA0}"/>
    <cellStyle name="Normal 3 2 2 2 2 20 2 2 2 2 6" xfId="30193" xr:uid="{963F8886-E68E-4A67-8DD1-10484ED04D98}"/>
    <cellStyle name="Normal 3 2 2 2 2 20 2 2 2 2 7" xfId="30194" xr:uid="{97C33E28-A531-4B43-B722-D83B522DC00C}"/>
    <cellStyle name="Normal 3 2 2 2 2 20 2 2 2 2 8" xfId="30195" xr:uid="{4990BDC3-7D90-4FDC-8E6F-1BF25D9A9C1F}"/>
    <cellStyle name="Normal 3 2 2 2 2 20 2 2 2 2 8 2" xfId="30196" xr:uid="{B4D5D1BC-B818-43DC-AC37-C77EBAFD573B}"/>
    <cellStyle name="Normal 3 2 2 2 2 20 2 2 2 2 8 3" xfId="30197" xr:uid="{39623C13-20C0-4862-A19E-5593C82DCAB9}"/>
    <cellStyle name="Normal 3 2 2 2 2 20 2 2 2 2 8 4" xfId="30198" xr:uid="{0BDADAEC-AD4A-4E8E-BF17-0CD4065FDA7E}"/>
    <cellStyle name="Normal 3 2 2 2 2 20 2 2 2 2 9" xfId="30199" xr:uid="{2A4A1059-C1EC-4505-9FE9-D7D734456F01}"/>
    <cellStyle name="Normal 3 2 2 2 2 20 2 2 2 3" xfId="30200" xr:uid="{409E619A-4656-4D92-9E18-BE1EB6A759F4}"/>
    <cellStyle name="Normal 3 2 2 2 2 20 2 2 2 3 2" xfId="30201" xr:uid="{5B6FD591-09C7-46BB-A5E1-6660245CFFC6}"/>
    <cellStyle name="Normal 3 2 2 2 2 20 2 2 2 3 2 2" xfId="30202" xr:uid="{C8FB076F-B8C6-4423-BBFF-7CB119FF97C7}"/>
    <cellStyle name="Normal 3 2 2 2 2 20 2 2 2 3 2 3" xfId="30203" xr:uid="{56161B03-4792-4C1C-85C2-0376150727EE}"/>
    <cellStyle name="Normal 3 2 2 2 2 20 2 2 2 3 2 4" xfId="30204" xr:uid="{C951B2A9-F039-45EB-B8E8-5CB38EA77B39}"/>
    <cellStyle name="Normal 3 2 2 2 2 20 2 2 2 3 3" xfId="30205" xr:uid="{548A2145-6B7B-42FA-8CBE-693BA4E103D5}"/>
    <cellStyle name="Normal 3 2 2 2 2 20 2 2 2 3 4" xfId="30206" xr:uid="{E5CC4D37-E80D-4485-86A0-8E75D8952D5F}"/>
    <cellStyle name="Normal 3 2 2 2 2 20 2 2 2 3 5" xfId="30207" xr:uid="{773FC43D-BCB6-449F-8ED1-28284C069F82}"/>
    <cellStyle name="Normal 3 2 2 2 2 20 2 2 2 3 6" xfId="30208" xr:uid="{1AAF6C03-8993-4E94-AEEB-45717B11BC75}"/>
    <cellStyle name="Normal 3 2 2 2 2 20 2 2 2 4" xfId="30209" xr:uid="{B5205916-9629-4099-9F85-01154A2B31B6}"/>
    <cellStyle name="Normal 3 2 2 2 2 20 2 2 2 5" xfId="30210" xr:uid="{108196BC-3D61-4641-B340-C88414B7910A}"/>
    <cellStyle name="Normal 3 2 2 2 2 20 2 2 2 6" xfId="30211" xr:uid="{C54B9C83-44A7-4605-A712-065F016097E3}"/>
    <cellStyle name="Normal 3 2 2 2 2 20 2 2 2 7" xfId="30212" xr:uid="{844B1792-5EB0-4B68-9885-D5282F77F929}"/>
    <cellStyle name="Normal 3 2 2 2 2 20 2 2 2 8" xfId="30213" xr:uid="{B4DC7872-D158-4FE2-8FD4-1981D024F74B}"/>
    <cellStyle name="Normal 3 2 2 2 2 20 2 2 2 8 2" xfId="30214" xr:uid="{84C57CA8-6535-40A7-B466-37E55C192140}"/>
    <cellStyle name="Normal 3 2 2 2 2 20 2 2 2 8 3" xfId="30215" xr:uid="{BAE9CD46-B5A1-4413-9847-84FDC9B2C839}"/>
    <cellStyle name="Normal 3 2 2 2 2 20 2 2 2 8 4" xfId="30216" xr:uid="{9E895158-DF94-424B-AFD9-C63EE0BCBBF7}"/>
    <cellStyle name="Normal 3 2 2 2 2 20 2 2 2 9" xfId="30217" xr:uid="{A7FFA0E9-6EAE-443C-9FCA-B4468B92B2BD}"/>
    <cellStyle name="Normal 3 2 2 2 2 20 2 2 3" xfId="30218" xr:uid="{8F16E515-0995-4DED-8E96-B9E44740EA69}"/>
    <cellStyle name="Normal 3 2 2 2 2 20 2 2 4" xfId="30219" xr:uid="{0BC9D6C8-98CF-4BC8-9AD6-5864B2D7B115}"/>
    <cellStyle name="Normal 3 2 2 2 2 20 2 2 5" xfId="30220" xr:uid="{0B525A98-D202-4700-B18C-615092F5964B}"/>
    <cellStyle name="Normal 3 2 2 2 2 20 2 2 5 2" xfId="30221" xr:uid="{3489651B-34C9-4414-8CF0-16F0D19CFB1B}"/>
    <cellStyle name="Normal 3 2 2 2 2 20 2 2 5 2 2" xfId="30222" xr:uid="{84C12A9F-F4CD-46F9-A998-96316E20F8CE}"/>
    <cellStyle name="Normal 3 2 2 2 2 20 2 2 5 2 3" xfId="30223" xr:uid="{75721A39-74BD-4B75-9DE4-ADABE37ACE2F}"/>
    <cellStyle name="Normal 3 2 2 2 2 20 2 2 5 2 4" xfId="30224" xr:uid="{887B8EB6-574B-45AC-AED6-BD709A4E51AE}"/>
    <cellStyle name="Normal 3 2 2 2 2 20 2 2 5 3" xfId="30225" xr:uid="{2280DAA0-7943-4DBD-9291-0088481037CA}"/>
    <cellStyle name="Normal 3 2 2 2 2 20 2 2 5 4" xfId="30226" xr:uid="{A4806DE4-6DEF-43A1-B487-66F5C934BCC7}"/>
    <cellStyle name="Normal 3 2 2 2 2 20 2 2 5 5" xfId="30227" xr:uid="{DA8C52C1-F0DD-4C1D-BB65-DB2FE8CD9658}"/>
    <cellStyle name="Normal 3 2 2 2 2 20 2 2 5 6" xfId="30228" xr:uid="{EC939075-D55C-4B43-883B-7FBF1322CE0B}"/>
    <cellStyle name="Normal 3 2 2 2 2 20 2 2 6" xfId="30229" xr:uid="{E665E02D-3FA1-4D8E-8DA5-F80AE89FC7B3}"/>
    <cellStyle name="Normal 3 2 2 2 2 20 2 2 7" xfId="30230" xr:uid="{5C685564-983E-42B5-BC9E-32087A495C8E}"/>
    <cellStyle name="Normal 3 2 2 2 2 20 2 2 8" xfId="30231" xr:uid="{B6F2EA39-506C-4DE5-9AC9-9BD275A72A56}"/>
    <cellStyle name="Normal 3 2 2 2 2 20 2 2 9" xfId="30232" xr:uid="{2B0C5183-9F74-488F-9141-9AFF5E2CA73B}"/>
    <cellStyle name="Normal 3 2 2 2 2 20 2 3" xfId="30233" xr:uid="{FAB355C6-30C2-4E4C-9748-BA6280CB8B05}"/>
    <cellStyle name="Normal 3 2 2 2 2 20 2 4" xfId="30234" xr:uid="{8DF023E0-FC83-4F5E-8E19-29062AF6A51E}"/>
    <cellStyle name="Normal 3 2 2 2 2 20 2 5" xfId="30235" xr:uid="{0325CC90-53DA-4C38-83CE-974F6DEE452F}"/>
    <cellStyle name="Normal 3 2 2 2 2 20 2 5 10" xfId="30236" xr:uid="{C7ED0E70-B19D-43ED-933E-8214228A629C}"/>
    <cellStyle name="Normal 3 2 2 2 2 20 2 5 11" xfId="30237" xr:uid="{ADECA18D-63EC-4069-A2E8-098C132F837D}"/>
    <cellStyle name="Normal 3 2 2 2 2 20 2 5 2" xfId="30238" xr:uid="{BB0D181D-D248-4E17-A0E5-A8E75C90B155}"/>
    <cellStyle name="Normal 3 2 2 2 2 20 2 5 2 10" xfId="30239" xr:uid="{DE38675C-9F00-4613-8BC2-60AF42E7E55E}"/>
    <cellStyle name="Normal 3 2 2 2 2 20 2 5 2 11" xfId="30240" xr:uid="{2BFE5C22-BB29-4C29-9255-9F40AFC27668}"/>
    <cellStyle name="Normal 3 2 2 2 2 20 2 5 2 2" xfId="30241" xr:uid="{0BA73101-21E9-46B7-B214-F2A9180BC225}"/>
    <cellStyle name="Normal 3 2 2 2 2 20 2 5 2 2 2" xfId="30242" xr:uid="{7CAB6A15-E4EE-46EC-8F97-B32C0B94FC83}"/>
    <cellStyle name="Normal 3 2 2 2 2 20 2 5 2 2 2 2" xfId="30243" xr:uid="{521110DF-AE1B-4719-8CD9-921086BB9441}"/>
    <cellStyle name="Normal 3 2 2 2 2 20 2 5 2 2 2 3" xfId="30244" xr:uid="{CC67215D-D70F-4B83-8525-8C80C8FCFCC8}"/>
    <cellStyle name="Normal 3 2 2 2 2 20 2 5 2 2 2 4" xfId="30245" xr:uid="{67C328B2-1B44-4630-8861-3C87635CFE7D}"/>
    <cellStyle name="Normal 3 2 2 2 2 20 2 5 2 2 3" xfId="30246" xr:uid="{6F83C488-8191-4311-A11D-D0119DA18A11}"/>
    <cellStyle name="Normal 3 2 2 2 2 20 2 5 2 2 4" xfId="30247" xr:uid="{812D4704-24B7-4DAD-9AE6-2973EC914ACF}"/>
    <cellStyle name="Normal 3 2 2 2 2 20 2 5 2 2 5" xfId="30248" xr:uid="{90C76AD5-4DBA-464E-9F1D-6A954EC3E194}"/>
    <cellStyle name="Normal 3 2 2 2 2 20 2 5 2 2 6" xfId="30249" xr:uid="{C1886BE3-3C16-4D5A-B5A8-2FA3913AAA13}"/>
    <cellStyle name="Normal 3 2 2 2 2 20 2 5 2 3" xfId="30250" xr:uid="{A6755A2E-5D7C-42F4-B5D4-43179C08A8DD}"/>
    <cellStyle name="Normal 3 2 2 2 2 20 2 5 2 4" xfId="30251" xr:uid="{59A19DD3-C313-4083-8436-08E65D56D985}"/>
    <cellStyle name="Normal 3 2 2 2 2 20 2 5 2 5" xfId="30252" xr:uid="{7B04996C-E556-4D68-9738-04FB5F37AD76}"/>
    <cellStyle name="Normal 3 2 2 2 2 20 2 5 2 6" xfId="30253" xr:uid="{D817B95C-01DC-455D-8871-40CFC7463465}"/>
    <cellStyle name="Normal 3 2 2 2 2 20 2 5 2 7" xfId="30254" xr:uid="{BD5FEF5F-43D9-4571-87AA-FE2A5E7BDC92}"/>
    <cellStyle name="Normal 3 2 2 2 2 20 2 5 2 8" xfId="30255" xr:uid="{E5A025D5-2EAC-40A2-8059-97BD6811092E}"/>
    <cellStyle name="Normal 3 2 2 2 2 20 2 5 2 8 2" xfId="30256" xr:uid="{8A6CD5D8-CF81-4883-B2AA-040180DC24BA}"/>
    <cellStyle name="Normal 3 2 2 2 2 20 2 5 2 8 3" xfId="30257" xr:uid="{7045339A-F7A6-4566-9AD0-06D2C5C4BF1C}"/>
    <cellStyle name="Normal 3 2 2 2 2 20 2 5 2 8 4" xfId="30258" xr:uid="{DA412986-51CA-4257-BFCD-268FA6472D8A}"/>
    <cellStyle name="Normal 3 2 2 2 2 20 2 5 2 9" xfId="30259" xr:uid="{BADD70A5-1226-438C-BF17-62CE53C54487}"/>
    <cellStyle name="Normal 3 2 2 2 2 20 2 5 3" xfId="30260" xr:uid="{B09AF39F-48F5-40CC-901B-290EAB4B664D}"/>
    <cellStyle name="Normal 3 2 2 2 2 20 2 5 3 2" xfId="30261" xr:uid="{9013F78D-CF61-4F08-8EC3-81C0B49D1B52}"/>
    <cellStyle name="Normal 3 2 2 2 2 20 2 5 3 2 2" xfId="30262" xr:uid="{41232B5E-62D1-4B9D-A3DF-D279B8F91E1A}"/>
    <cellStyle name="Normal 3 2 2 2 2 20 2 5 3 2 3" xfId="30263" xr:uid="{231A0C7F-6DCE-44DC-9BAD-2E44525ED4EB}"/>
    <cellStyle name="Normal 3 2 2 2 2 20 2 5 3 2 4" xfId="30264" xr:uid="{52346145-FF53-481B-9D79-36C2EAC06452}"/>
    <cellStyle name="Normal 3 2 2 2 2 20 2 5 3 3" xfId="30265" xr:uid="{3CD70776-09E5-49C5-B2B5-526B41A699AD}"/>
    <cellStyle name="Normal 3 2 2 2 2 20 2 5 3 4" xfId="30266" xr:uid="{2B40D1C8-16AA-45C3-AA62-730BD45ABDFA}"/>
    <cellStyle name="Normal 3 2 2 2 2 20 2 5 3 5" xfId="30267" xr:uid="{E0A0D223-CE2B-4A39-89DF-2EDDF5EAC891}"/>
    <cellStyle name="Normal 3 2 2 2 2 20 2 5 3 6" xfId="30268" xr:uid="{DA565B1C-AFE8-4BEF-B736-6DAA8160CA06}"/>
    <cellStyle name="Normal 3 2 2 2 2 20 2 5 4" xfId="30269" xr:uid="{5F1DCE02-E311-47E3-891E-4DC9C8AE4854}"/>
    <cellStyle name="Normal 3 2 2 2 2 20 2 5 5" xfId="30270" xr:uid="{75A25042-4974-4AFA-806A-100EAE0341DB}"/>
    <cellStyle name="Normal 3 2 2 2 2 20 2 5 6" xfId="30271" xr:uid="{205F4FC6-4CF3-4198-8A90-B36D8BBF5F49}"/>
    <cellStyle name="Normal 3 2 2 2 2 20 2 5 7" xfId="30272" xr:uid="{FF6A4FF9-894D-40E0-8AEA-385C49C3293F}"/>
    <cellStyle name="Normal 3 2 2 2 2 20 2 5 8" xfId="30273" xr:uid="{1691CDCA-57CB-49B8-AAED-5296D573E4AA}"/>
    <cellStyle name="Normal 3 2 2 2 2 20 2 5 8 2" xfId="30274" xr:uid="{27D4AB30-A8D6-475F-AA5D-4686CFAAB424}"/>
    <cellStyle name="Normal 3 2 2 2 2 20 2 5 8 3" xfId="30275" xr:uid="{647DC88A-C5BB-4B97-B1BD-B7F66D4A3DD8}"/>
    <cellStyle name="Normal 3 2 2 2 2 20 2 5 8 4" xfId="30276" xr:uid="{4833F121-A9AD-488E-8A51-F3CE5AEC1974}"/>
    <cellStyle name="Normal 3 2 2 2 2 20 2 5 9" xfId="30277" xr:uid="{4C4D94B6-DAAA-4D90-9A4A-707C3E334B50}"/>
    <cellStyle name="Normal 3 2 2 2 2 20 2 6" xfId="30278" xr:uid="{DD21AA14-A138-434E-86E2-40D5F3482192}"/>
    <cellStyle name="Normal 3 2 2 2 2 20 2 7" xfId="30279" xr:uid="{87FB7391-FB79-4A74-9B41-8C6A339B0B74}"/>
    <cellStyle name="Normal 3 2 2 2 2 20 2 7 2" xfId="30280" xr:uid="{CA2DBB3B-C83B-4028-8CCD-E3105DF8F519}"/>
    <cellStyle name="Normal 3 2 2 2 2 20 2 7 2 2" xfId="30281" xr:uid="{8C5EA093-3C6D-4B5C-B1F1-4EC9CB97D2B9}"/>
    <cellStyle name="Normal 3 2 2 2 2 20 2 7 2 3" xfId="30282" xr:uid="{895140E0-4D6B-480F-9469-EDE2CAEAAB9F}"/>
    <cellStyle name="Normal 3 2 2 2 2 20 2 7 2 4" xfId="30283" xr:uid="{E716EAFD-3D5E-4514-9A4C-1EC892EC22CF}"/>
    <cellStyle name="Normal 3 2 2 2 2 20 2 7 3" xfId="30284" xr:uid="{A1E75F6B-5F97-4A7B-B8FC-8CBB9DFDECFD}"/>
    <cellStyle name="Normal 3 2 2 2 2 20 2 7 4" xfId="30285" xr:uid="{F3801B27-5402-4595-8E78-C7E7F54D1C78}"/>
    <cellStyle name="Normal 3 2 2 2 2 20 2 7 5" xfId="30286" xr:uid="{FCB82E10-A47E-4CD0-87DA-5C0D4C47497B}"/>
    <cellStyle name="Normal 3 2 2 2 2 20 2 7 6" xfId="30287" xr:uid="{9FDA7B7E-5C79-42AC-8CC0-2127785A95A4}"/>
    <cellStyle name="Normal 3 2 2 2 2 20 2 8" xfId="30288" xr:uid="{AF64A16C-EA40-41B9-9B63-7E19080A0877}"/>
    <cellStyle name="Normal 3 2 2 2 2 20 2 9" xfId="30289" xr:uid="{69DCD72A-E79C-4736-A919-8D5710B74B1F}"/>
    <cellStyle name="Normal 3 2 2 2 2 20 20" xfId="30290" xr:uid="{9F456727-8B0C-4259-850B-E80C02A5ACCE}"/>
    <cellStyle name="Normal 3 2 2 2 2 20 21" xfId="30291" xr:uid="{B8C67CD5-3875-4A06-AF32-88E4CB6E165E}"/>
    <cellStyle name="Normal 3 2 2 2 2 20 21 2" xfId="30292" xr:uid="{87161605-1B3B-459B-BF45-B0CED5C470D8}"/>
    <cellStyle name="Normal 3 2 2 2 2 20 21 3" xfId="30293" xr:uid="{1E73CF55-C60D-44C7-B9E8-BAA4DE3B0B96}"/>
    <cellStyle name="Normal 3 2 2 2 2 20 21 4" xfId="30294" xr:uid="{2307A6DA-1CEE-4496-824B-7AB3E9C27F92}"/>
    <cellStyle name="Normal 3 2 2 2 2 20 22" xfId="30295" xr:uid="{D3548330-3BC1-41E0-8EF5-47B6ECAF8F37}"/>
    <cellStyle name="Normal 3 2 2 2 2 20 23" xfId="30296" xr:uid="{747C9784-9FB7-433C-9FB3-D0E2EE101DE9}"/>
    <cellStyle name="Normal 3 2 2 2 2 20 24" xfId="30297" xr:uid="{C4B1838F-41F7-4544-A6CB-CA332C2F857A}"/>
    <cellStyle name="Normal 3 2 2 2 2 20 3" xfId="30298" xr:uid="{1117FC41-79D2-4EC7-B3C4-7668B9EA154F}"/>
    <cellStyle name="Normal 3 2 2 2 2 20 4" xfId="30299" xr:uid="{60B2DB89-B00F-4BFF-B713-D8CD7C278444}"/>
    <cellStyle name="Normal 3 2 2 2 2 20 5" xfId="30300" xr:uid="{A57A008D-5460-4449-B80C-4F4C9E105C90}"/>
    <cellStyle name="Normal 3 2 2 2 2 20 6" xfId="30301" xr:uid="{1576B240-C22D-4125-8647-56D52707DAAB}"/>
    <cellStyle name="Normal 3 2 2 2 2 20 7" xfId="30302" xr:uid="{C8C3FF4E-7B5B-476A-9EFF-DA4D9F92C534}"/>
    <cellStyle name="Normal 3 2 2 2 2 20 8" xfId="30303" xr:uid="{554D0828-21BE-435F-91E2-8874B6E653F5}"/>
    <cellStyle name="Normal 3 2 2 2 2 20 9" xfId="30304" xr:uid="{44451772-0F5B-43E6-A487-E45342A83225}"/>
    <cellStyle name="Normal 3 2 2 2 2 21" xfId="30305" xr:uid="{33162D45-95A6-4736-8E45-81CB84A005CA}"/>
    <cellStyle name="Normal 3 2 2 2 2 21 10" xfId="30306" xr:uid="{E40210F6-C420-4D35-820E-F4FFEBE4A2CB}"/>
    <cellStyle name="Normal 3 2 2 2 2 21 11" xfId="30307" xr:uid="{D2B7CBC7-CC0C-49D3-9FD2-93178DE5A765}"/>
    <cellStyle name="Normal 3 2 2 2 2 21 12" xfId="30308" xr:uid="{2C970B71-2378-40C0-8FB3-BC59FEF62502}"/>
    <cellStyle name="Normal 3 2 2 2 2 21 13" xfId="30309" xr:uid="{7731D70D-C8DB-45BF-8EBC-F0C95F30C6E0}"/>
    <cellStyle name="Normal 3 2 2 2 2 21 13 2" xfId="30310" xr:uid="{E34440B0-8704-467E-92AA-BEF6150A6977}"/>
    <cellStyle name="Normal 3 2 2 2 2 21 13 3" xfId="30311" xr:uid="{17DE26AB-01F1-44CB-BF18-D45F9AAF855A}"/>
    <cellStyle name="Normal 3 2 2 2 2 21 13 4" xfId="30312" xr:uid="{861538DE-1238-4F30-9084-AB13FAE0C227}"/>
    <cellStyle name="Normal 3 2 2 2 2 21 14" xfId="30313" xr:uid="{2171A0AA-A38D-4242-A088-F262D5F6BD13}"/>
    <cellStyle name="Normal 3 2 2 2 2 21 15" xfId="30314" xr:uid="{C7C224B0-CCA0-47B5-AF72-FEC77EA01E3F}"/>
    <cellStyle name="Normal 3 2 2 2 2 21 16" xfId="30315" xr:uid="{ECBA745A-6E5B-4DC9-BAE1-AE639EECE092}"/>
    <cellStyle name="Normal 3 2 2 2 2 21 2" xfId="30316" xr:uid="{EA1EB2F3-0BCD-4423-8451-1F07B4226286}"/>
    <cellStyle name="Normal 3 2 2 2 2 21 2 10" xfId="30317" xr:uid="{D0882875-DB1E-4430-ABAE-026248E8FFDB}"/>
    <cellStyle name="Normal 3 2 2 2 2 21 2 11" xfId="30318" xr:uid="{FBD6C23E-271B-4AFA-BD50-2964A42FA4D2}"/>
    <cellStyle name="Normal 3 2 2 2 2 21 2 11 2" xfId="30319" xr:uid="{2290BF0C-83CF-4AD9-ACC4-CF1FFA6AD199}"/>
    <cellStyle name="Normal 3 2 2 2 2 21 2 11 3" xfId="30320" xr:uid="{A62535E5-7613-4403-84A2-396B53B24475}"/>
    <cellStyle name="Normal 3 2 2 2 2 21 2 11 4" xfId="30321" xr:uid="{4DD35D92-5467-42A1-94B1-AA7C195F9061}"/>
    <cellStyle name="Normal 3 2 2 2 2 21 2 12" xfId="30322" xr:uid="{67762D5C-FB32-44F8-B60D-B6CDCE55A254}"/>
    <cellStyle name="Normal 3 2 2 2 2 21 2 13" xfId="30323" xr:uid="{F0D2792F-F4D0-4499-AA11-2A6E700C6523}"/>
    <cellStyle name="Normal 3 2 2 2 2 21 2 14" xfId="30324" xr:uid="{A398DB47-3C6B-42CB-BB17-60C736B81330}"/>
    <cellStyle name="Normal 3 2 2 2 2 21 2 2" xfId="30325" xr:uid="{0864F599-9826-48AE-A51C-ABD3823EF1EF}"/>
    <cellStyle name="Normal 3 2 2 2 2 21 2 2 10" xfId="30326" xr:uid="{41E527EA-4566-432C-97F6-7A786140B690}"/>
    <cellStyle name="Normal 3 2 2 2 2 21 2 2 11" xfId="30327" xr:uid="{CBB53B36-6F09-4734-BCEB-25FEC868AED3}"/>
    <cellStyle name="Normal 3 2 2 2 2 21 2 2 2" xfId="30328" xr:uid="{7621624C-C7A1-471E-9C53-A605ABAA40D8}"/>
    <cellStyle name="Normal 3 2 2 2 2 21 2 2 2 10" xfId="30329" xr:uid="{4E520D83-2ACB-4DCE-91C6-A3F6D0A31612}"/>
    <cellStyle name="Normal 3 2 2 2 2 21 2 2 2 11" xfId="30330" xr:uid="{69B799BF-F46D-425A-83C9-703C4B2E2E48}"/>
    <cellStyle name="Normal 3 2 2 2 2 21 2 2 2 2" xfId="30331" xr:uid="{56D39B68-508C-42DE-B375-219BCB0E1900}"/>
    <cellStyle name="Normal 3 2 2 2 2 21 2 2 2 2 2" xfId="30332" xr:uid="{2D3CF822-BA3E-41A2-87D3-12EB0D57970B}"/>
    <cellStyle name="Normal 3 2 2 2 2 21 2 2 2 2 2 2" xfId="30333" xr:uid="{0C84456A-03A6-4617-87E2-02129163A65D}"/>
    <cellStyle name="Normal 3 2 2 2 2 21 2 2 2 2 2 3" xfId="30334" xr:uid="{385ECBA3-064E-466D-B766-D2862A71F9D1}"/>
    <cellStyle name="Normal 3 2 2 2 2 21 2 2 2 2 2 4" xfId="30335" xr:uid="{FF36A88D-4878-46CD-85CF-ACCADB2CC205}"/>
    <cellStyle name="Normal 3 2 2 2 2 21 2 2 2 2 3" xfId="30336" xr:uid="{78749BFF-A77C-4775-B5EF-D1D2EC2D741E}"/>
    <cellStyle name="Normal 3 2 2 2 2 21 2 2 2 2 4" xfId="30337" xr:uid="{9B3811F8-DD6C-4A20-AA7A-EE8D3423204A}"/>
    <cellStyle name="Normal 3 2 2 2 2 21 2 2 2 2 5" xfId="30338" xr:uid="{1E48941C-9886-4575-ADF5-0DFB509D7CF3}"/>
    <cellStyle name="Normal 3 2 2 2 2 21 2 2 2 2 6" xfId="30339" xr:uid="{6931185B-1597-4EAC-B8C2-DB3BB36E3CE1}"/>
    <cellStyle name="Normal 3 2 2 2 2 21 2 2 2 3" xfId="30340" xr:uid="{C05E19DC-D6EF-43C9-9B65-CB3AB6A424A0}"/>
    <cellStyle name="Normal 3 2 2 2 2 21 2 2 2 4" xfId="30341" xr:uid="{8A4086BB-0E38-4D53-AC5E-F78960A8D4BB}"/>
    <cellStyle name="Normal 3 2 2 2 2 21 2 2 2 5" xfId="30342" xr:uid="{19D45B1F-0800-4573-A0F5-F839B6664100}"/>
    <cellStyle name="Normal 3 2 2 2 2 21 2 2 2 6" xfId="30343" xr:uid="{EE8ECEA4-F0C4-45E3-A220-9AB62B070CE5}"/>
    <cellStyle name="Normal 3 2 2 2 2 21 2 2 2 7" xfId="30344" xr:uid="{7FAF4F49-26C6-41B5-A45F-7C91C6603863}"/>
    <cellStyle name="Normal 3 2 2 2 2 21 2 2 2 8" xfId="30345" xr:uid="{8B16A659-BAD5-4DE4-8EB2-D8B9E7D3976F}"/>
    <cellStyle name="Normal 3 2 2 2 2 21 2 2 2 8 2" xfId="30346" xr:uid="{D6F86A63-3156-4D0E-A003-C4A3F5A370D4}"/>
    <cellStyle name="Normal 3 2 2 2 2 21 2 2 2 8 3" xfId="30347" xr:uid="{4D9432FD-9BDF-4E66-A867-A0F04862E395}"/>
    <cellStyle name="Normal 3 2 2 2 2 21 2 2 2 8 4" xfId="30348" xr:uid="{BD6CA61B-DDF8-43BD-AA98-74F1800DB834}"/>
    <cellStyle name="Normal 3 2 2 2 2 21 2 2 2 9" xfId="30349" xr:uid="{A97FA609-0D05-4941-9A40-0FD0EFC6C2C6}"/>
    <cellStyle name="Normal 3 2 2 2 2 21 2 2 3" xfId="30350" xr:uid="{116A7636-71ED-447D-8565-6A1B2885FC50}"/>
    <cellStyle name="Normal 3 2 2 2 2 21 2 2 3 2" xfId="30351" xr:uid="{F9EBDB4E-457A-4B27-A04D-9BF284093578}"/>
    <cellStyle name="Normal 3 2 2 2 2 21 2 2 3 2 2" xfId="30352" xr:uid="{6DDCFDAC-343F-4D02-9929-FA403C8D3FEF}"/>
    <cellStyle name="Normal 3 2 2 2 2 21 2 2 3 2 3" xfId="30353" xr:uid="{CC78EF69-B43F-4318-AADB-0F592D1C3E0A}"/>
    <cellStyle name="Normal 3 2 2 2 2 21 2 2 3 2 4" xfId="30354" xr:uid="{C10C0173-0BD2-4BEA-9764-C738D9BA54EC}"/>
    <cellStyle name="Normal 3 2 2 2 2 21 2 2 3 3" xfId="30355" xr:uid="{CCDC3186-D3E6-40CA-9216-AA9E46B7F772}"/>
    <cellStyle name="Normal 3 2 2 2 2 21 2 2 3 4" xfId="30356" xr:uid="{67DEBF6D-AAB8-4D96-9B4B-DEDDC12E3024}"/>
    <cellStyle name="Normal 3 2 2 2 2 21 2 2 3 5" xfId="30357" xr:uid="{AD7B0F6B-2040-4653-B849-B0EEDEF61A1E}"/>
    <cellStyle name="Normal 3 2 2 2 2 21 2 2 3 6" xfId="30358" xr:uid="{04B47FAA-58AD-45C8-A3BE-C1034FFF34C9}"/>
    <cellStyle name="Normal 3 2 2 2 2 21 2 2 4" xfId="30359" xr:uid="{D172B440-6DF8-4B6F-AF23-0CEA21B5EEC1}"/>
    <cellStyle name="Normal 3 2 2 2 2 21 2 2 5" xfId="30360" xr:uid="{2D978DBE-50B7-4674-B0CC-420A12CD8177}"/>
    <cellStyle name="Normal 3 2 2 2 2 21 2 2 6" xfId="30361" xr:uid="{1C37EA5C-6916-4AC3-A067-B868BE3E8ABA}"/>
    <cellStyle name="Normal 3 2 2 2 2 21 2 2 7" xfId="30362" xr:uid="{F72CA8BD-3E10-4F5E-B917-8DC55CF12597}"/>
    <cellStyle name="Normal 3 2 2 2 2 21 2 2 8" xfId="30363" xr:uid="{80BE29DF-87A8-4F45-AEAB-5117139FBD9F}"/>
    <cellStyle name="Normal 3 2 2 2 2 21 2 2 8 2" xfId="30364" xr:uid="{BBE47C75-68C4-4B0F-B77B-386634B37AC0}"/>
    <cellStyle name="Normal 3 2 2 2 2 21 2 2 8 3" xfId="30365" xr:uid="{A5674DD5-8879-4DF3-82F5-00EB69555075}"/>
    <cellStyle name="Normal 3 2 2 2 2 21 2 2 8 4" xfId="30366" xr:uid="{86EC8F2E-7ACA-4460-9549-F0B6848C6D09}"/>
    <cellStyle name="Normal 3 2 2 2 2 21 2 2 9" xfId="30367" xr:uid="{A7D2A04A-9BF7-4CFA-A8B6-E24669CB92E5}"/>
    <cellStyle name="Normal 3 2 2 2 2 21 2 3" xfId="30368" xr:uid="{85F845AA-3822-4435-A648-A1C20C51B941}"/>
    <cellStyle name="Normal 3 2 2 2 2 21 2 4" xfId="30369" xr:uid="{DCAE823E-19B3-44F5-9824-FF1005234E46}"/>
    <cellStyle name="Normal 3 2 2 2 2 21 2 5" xfId="30370" xr:uid="{87820727-E093-4C4E-8E98-9E7B8FA60B4C}"/>
    <cellStyle name="Normal 3 2 2 2 2 21 2 5 2" xfId="30371" xr:uid="{521E45D1-9A60-4028-9D41-0740A2C5AB95}"/>
    <cellStyle name="Normal 3 2 2 2 2 21 2 5 2 2" xfId="30372" xr:uid="{76B06BE8-D9E0-4AF1-8F49-079160AE1D16}"/>
    <cellStyle name="Normal 3 2 2 2 2 21 2 5 2 3" xfId="30373" xr:uid="{999711ED-7951-4E3A-973F-03842B1831E7}"/>
    <cellStyle name="Normal 3 2 2 2 2 21 2 5 2 4" xfId="30374" xr:uid="{36FBF8D0-1587-4497-B888-BC49946AF7F5}"/>
    <cellStyle name="Normal 3 2 2 2 2 21 2 5 3" xfId="30375" xr:uid="{C196ABDE-8A61-4187-9FB4-26215A43E5F7}"/>
    <cellStyle name="Normal 3 2 2 2 2 21 2 5 4" xfId="30376" xr:uid="{678BE748-1B8F-4A42-8838-35C6C71D6C7D}"/>
    <cellStyle name="Normal 3 2 2 2 2 21 2 5 5" xfId="30377" xr:uid="{11B182AE-E5CF-491E-B424-0747256B6B95}"/>
    <cellStyle name="Normal 3 2 2 2 2 21 2 5 6" xfId="30378" xr:uid="{677E7369-32DE-45FE-9714-C115E98E366D}"/>
    <cellStyle name="Normal 3 2 2 2 2 21 2 6" xfId="30379" xr:uid="{2B2BD8A3-CA43-4700-B81B-7F5B39F87991}"/>
    <cellStyle name="Normal 3 2 2 2 2 21 2 7" xfId="30380" xr:uid="{D35AF7FA-655A-4C84-9E0A-B2DFB8180E47}"/>
    <cellStyle name="Normal 3 2 2 2 2 21 2 8" xfId="30381" xr:uid="{315A6EAB-0F5A-46C5-B94C-11474A4CC7C8}"/>
    <cellStyle name="Normal 3 2 2 2 2 21 2 9" xfId="30382" xr:uid="{6A3D0566-7FB8-4860-9155-F91A321EC3D8}"/>
    <cellStyle name="Normal 3 2 2 2 2 21 3" xfId="30383" xr:uid="{2F6DB933-11E6-4BE9-A311-0DE0452B1D5B}"/>
    <cellStyle name="Normal 3 2 2 2 2 21 4" xfId="30384" xr:uid="{7A8155C6-A6A9-42AB-8319-014FC961056B}"/>
    <cellStyle name="Normal 3 2 2 2 2 21 5" xfId="30385" xr:uid="{D8164136-F4D6-4A84-B163-BA0790A2BC90}"/>
    <cellStyle name="Normal 3 2 2 2 2 21 5 10" xfId="30386" xr:uid="{D85554D2-8194-4B9A-B2D9-50BD3D5A1C27}"/>
    <cellStyle name="Normal 3 2 2 2 2 21 5 11" xfId="30387" xr:uid="{EF916CA3-E8D6-4F1E-816D-A4A55E149FC1}"/>
    <cellStyle name="Normal 3 2 2 2 2 21 5 2" xfId="30388" xr:uid="{52DAAB6D-3B17-4A39-A5A4-D5246B1FEFE8}"/>
    <cellStyle name="Normal 3 2 2 2 2 21 5 2 10" xfId="30389" xr:uid="{9CFFFAA3-77A1-4734-A95E-5A68DCCB46C5}"/>
    <cellStyle name="Normal 3 2 2 2 2 21 5 2 11" xfId="30390" xr:uid="{FB4EE334-2108-4714-8D41-B52FC14A380B}"/>
    <cellStyle name="Normal 3 2 2 2 2 21 5 2 2" xfId="30391" xr:uid="{0228DA17-32AF-46B7-9A01-E87800631086}"/>
    <cellStyle name="Normal 3 2 2 2 2 21 5 2 2 2" xfId="30392" xr:uid="{4EEB34B6-001B-4FC2-8FFE-6002F3876223}"/>
    <cellStyle name="Normal 3 2 2 2 2 21 5 2 2 2 2" xfId="30393" xr:uid="{820B7718-C53C-4383-9EE4-B4AD50E5AD28}"/>
    <cellStyle name="Normal 3 2 2 2 2 21 5 2 2 2 3" xfId="30394" xr:uid="{30C2C2D4-486E-4C9A-9BDD-6F9DFD69466B}"/>
    <cellStyle name="Normal 3 2 2 2 2 21 5 2 2 2 4" xfId="30395" xr:uid="{EEAF88AF-8BA6-468F-8A6A-4A4A718EC5FF}"/>
    <cellStyle name="Normal 3 2 2 2 2 21 5 2 2 3" xfId="30396" xr:uid="{CD5F97C5-6B7F-4139-9282-92F324F8EAA0}"/>
    <cellStyle name="Normal 3 2 2 2 2 21 5 2 2 4" xfId="30397" xr:uid="{6D63320E-95D4-4ADF-A0DC-8FADBA991B8C}"/>
    <cellStyle name="Normal 3 2 2 2 2 21 5 2 2 5" xfId="30398" xr:uid="{25751C4B-0355-498D-B77D-94FF607F8E46}"/>
    <cellStyle name="Normal 3 2 2 2 2 21 5 2 2 6" xfId="30399" xr:uid="{B2D2BB43-6B84-4237-9B7A-49AC3BA5B180}"/>
    <cellStyle name="Normal 3 2 2 2 2 21 5 2 3" xfId="30400" xr:uid="{3367B4CD-C9D6-499C-BA7A-C4E97F8920CD}"/>
    <cellStyle name="Normal 3 2 2 2 2 21 5 2 4" xfId="30401" xr:uid="{BD214F6C-C8E2-4144-B831-68A4F1B731EC}"/>
    <cellStyle name="Normal 3 2 2 2 2 21 5 2 5" xfId="30402" xr:uid="{282C47CF-9A60-4489-BD6F-9B3B8F6B6DC0}"/>
    <cellStyle name="Normal 3 2 2 2 2 21 5 2 6" xfId="30403" xr:uid="{1C8AAA5E-BD1A-4CF5-B306-E188486D2926}"/>
    <cellStyle name="Normal 3 2 2 2 2 21 5 2 7" xfId="30404" xr:uid="{0F6A9BC3-EEC4-407B-B973-EEB007178DE1}"/>
    <cellStyle name="Normal 3 2 2 2 2 21 5 2 8" xfId="30405" xr:uid="{5A2298C7-C467-4E04-9DE6-DE10B084ACA8}"/>
    <cellStyle name="Normal 3 2 2 2 2 21 5 2 8 2" xfId="30406" xr:uid="{B21B4B9D-BE94-4BB3-B9CC-DC96FC7CE58C}"/>
    <cellStyle name="Normal 3 2 2 2 2 21 5 2 8 3" xfId="30407" xr:uid="{A4086799-F7E4-420E-8C0A-856793139775}"/>
    <cellStyle name="Normal 3 2 2 2 2 21 5 2 8 4" xfId="30408" xr:uid="{5257B87D-2CC0-48A8-95EB-12675695F432}"/>
    <cellStyle name="Normal 3 2 2 2 2 21 5 2 9" xfId="30409" xr:uid="{CD019FAC-9B67-49BF-AFC5-F87888F5F685}"/>
    <cellStyle name="Normal 3 2 2 2 2 21 5 3" xfId="30410" xr:uid="{2AD9E39F-B325-4EC9-9B0D-B6BCF53297A6}"/>
    <cellStyle name="Normal 3 2 2 2 2 21 5 3 2" xfId="30411" xr:uid="{66D37C9F-112E-4166-A238-B510A36407B9}"/>
    <cellStyle name="Normal 3 2 2 2 2 21 5 3 2 2" xfId="30412" xr:uid="{121580ED-78E6-44EE-B550-A2568BCD0DE6}"/>
    <cellStyle name="Normal 3 2 2 2 2 21 5 3 2 3" xfId="30413" xr:uid="{11AC00E6-F232-4A35-9DE6-DF42087A0E18}"/>
    <cellStyle name="Normal 3 2 2 2 2 21 5 3 2 4" xfId="30414" xr:uid="{8EF42DFF-23DA-4463-84ED-F278ABC5F418}"/>
    <cellStyle name="Normal 3 2 2 2 2 21 5 3 3" xfId="30415" xr:uid="{CAD6F3A8-B636-4EB6-B1FA-90E55FCB3B60}"/>
    <cellStyle name="Normal 3 2 2 2 2 21 5 3 4" xfId="30416" xr:uid="{D572CCD4-09DF-4083-8F2A-BF79C037E4FA}"/>
    <cellStyle name="Normal 3 2 2 2 2 21 5 3 5" xfId="30417" xr:uid="{A7E2740C-3FEC-4F50-B542-888C3D717010}"/>
    <cellStyle name="Normal 3 2 2 2 2 21 5 3 6" xfId="30418" xr:uid="{95D4B5D8-F936-41B4-820C-D905DEFEDF8B}"/>
    <cellStyle name="Normal 3 2 2 2 2 21 5 4" xfId="30419" xr:uid="{D0833AC7-114C-4425-B2C9-B7B6E6610108}"/>
    <cellStyle name="Normal 3 2 2 2 2 21 5 5" xfId="30420" xr:uid="{9F8086FE-04EC-4661-ADF3-D2B2DB829224}"/>
    <cellStyle name="Normal 3 2 2 2 2 21 5 6" xfId="30421" xr:uid="{26CDC0BB-CB62-487B-B803-6150B2B39F67}"/>
    <cellStyle name="Normal 3 2 2 2 2 21 5 7" xfId="30422" xr:uid="{8B24C244-8453-4CC9-9C13-AE418D929FCA}"/>
    <cellStyle name="Normal 3 2 2 2 2 21 5 8" xfId="30423" xr:uid="{6F37890E-A840-4F3B-9217-CC0DB1CB2873}"/>
    <cellStyle name="Normal 3 2 2 2 2 21 5 8 2" xfId="30424" xr:uid="{6F3938FA-DD74-4882-A436-70A357741E47}"/>
    <cellStyle name="Normal 3 2 2 2 2 21 5 8 3" xfId="30425" xr:uid="{6173AF2E-6EC3-406F-B74D-8BDE1A960B71}"/>
    <cellStyle name="Normal 3 2 2 2 2 21 5 8 4" xfId="30426" xr:uid="{EB01B2FF-EF41-4BFE-B4CD-0C7AECEEC596}"/>
    <cellStyle name="Normal 3 2 2 2 2 21 5 9" xfId="30427" xr:uid="{94B1B9D6-8DAF-43A4-ABAA-B4DFDCC631FD}"/>
    <cellStyle name="Normal 3 2 2 2 2 21 6" xfId="30428" xr:uid="{EF3DE54C-04AB-4814-A103-79E4C7912230}"/>
    <cellStyle name="Normal 3 2 2 2 2 21 7" xfId="30429" xr:uid="{70BD1FC8-D29C-4984-9F5E-A1740CE9CA3A}"/>
    <cellStyle name="Normal 3 2 2 2 2 21 7 2" xfId="30430" xr:uid="{B59B9D13-23E2-47A1-A30C-39F40B6A67B8}"/>
    <cellStyle name="Normal 3 2 2 2 2 21 7 2 2" xfId="30431" xr:uid="{E8625A2C-8A37-44C8-B915-0870A3C92F89}"/>
    <cellStyle name="Normal 3 2 2 2 2 21 7 2 3" xfId="30432" xr:uid="{39A1FCD6-21E3-43FF-96AE-3B977D490A64}"/>
    <cellStyle name="Normal 3 2 2 2 2 21 7 2 4" xfId="30433" xr:uid="{28F0DBA8-60F5-4CB0-875E-7436242CE9A7}"/>
    <cellStyle name="Normal 3 2 2 2 2 21 7 3" xfId="30434" xr:uid="{840EC95D-D28E-41A8-AFDA-F9BA4D1953BE}"/>
    <cellStyle name="Normal 3 2 2 2 2 21 7 4" xfId="30435" xr:uid="{617B960E-413A-4078-954B-0257481D6FEF}"/>
    <cellStyle name="Normal 3 2 2 2 2 21 7 5" xfId="30436" xr:uid="{F9F725A9-393D-4F80-A2D9-91BA3F82ECF0}"/>
    <cellStyle name="Normal 3 2 2 2 2 21 7 6" xfId="30437" xr:uid="{D18D68F5-9E21-47DD-93D2-8E0E304571C7}"/>
    <cellStyle name="Normal 3 2 2 2 2 21 8" xfId="30438" xr:uid="{CDEB05EC-3E00-4941-8865-243C98CED781}"/>
    <cellStyle name="Normal 3 2 2 2 2 21 9" xfId="30439" xr:uid="{1AF31B8F-A5F0-42A9-82E6-705F23B1A624}"/>
    <cellStyle name="Normal 3 2 2 2 2 22" xfId="30440" xr:uid="{936C4616-E4F5-473F-B039-B5EE580945F8}"/>
    <cellStyle name="Normal 3 2 2 2 2 23" xfId="30441" xr:uid="{FCE84B5B-BCD1-426B-8E8A-696E3FFF820D}"/>
    <cellStyle name="Normal 3 2 2 2 2 24" xfId="30442" xr:uid="{D23FDDE6-9BE3-42D9-A144-074933FFC092}"/>
    <cellStyle name="Normal 3 2 2 2 2 25" xfId="30443" xr:uid="{52957920-6D0A-4E29-8CC4-74EFB2150C21}"/>
    <cellStyle name="Normal 3 2 2 2 2 26" xfId="30444" xr:uid="{2AF64601-6B0A-4F34-991E-DC516CA0057E}"/>
    <cellStyle name="Normal 3 2 2 2 2 27" xfId="30445" xr:uid="{5ED9D855-72EF-4581-A92C-6B06B07BAC4B}"/>
    <cellStyle name="Normal 3 2 2 2 2 28" xfId="30446" xr:uid="{24D37A5F-2C62-43FB-951F-1CBDD0D6E720}"/>
    <cellStyle name="Normal 3 2 2 2 2 29" xfId="30447" xr:uid="{94FEC381-0072-4429-B72D-FFC2861CC1DF}"/>
    <cellStyle name="Normal 3 2 2 2 2 29 10" xfId="30448" xr:uid="{9828B604-6B78-4799-AADA-BC399761D746}"/>
    <cellStyle name="Normal 3 2 2 2 2 29 11" xfId="30449" xr:uid="{ED8DE43C-786B-4005-98B7-A04D198AE71E}"/>
    <cellStyle name="Normal 3 2 2 2 2 29 11 2" xfId="30450" xr:uid="{ECE16F31-8863-41C0-991D-77CB3F682446}"/>
    <cellStyle name="Normal 3 2 2 2 2 29 11 3" xfId="30451" xr:uid="{3484AA19-6302-4185-8978-57E407B028B9}"/>
    <cellStyle name="Normal 3 2 2 2 2 29 11 4" xfId="30452" xr:uid="{B1322BCF-91C0-4F7C-8AE0-F47301F1DD6B}"/>
    <cellStyle name="Normal 3 2 2 2 2 29 12" xfId="30453" xr:uid="{F6F11B76-7796-409D-AC7C-1B9CB78D14DA}"/>
    <cellStyle name="Normal 3 2 2 2 2 29 13" xfId="30454" xr:uid="{6E87360A-FD27-4718-8714-A4588793A945}"/>
    <cellStyle name="Normal 3 2 2 2 2 29 14" xfId="30455" xr:uid="{D80F853A-65B4-488A-BBE7-F4F39EB6C3F7}"/>
    <cellStyle name="Normal 3 2 2 2 2 29 2" xfId="30456" xr:uid="{E6ADE292-5FCE-414F-8F90-0EA4F7268B10}"/>
    <cellStyle name="Normal 3 2 2 2 2 29 2 10" xfId="30457" xr:uid="{A2D17107-FC42-4F52-9FBD-3BEF514F1EF0}"/>
    <cellStyle name="Normal 3 2 2 2 2 29 2 11" xfId="30458" xr:uid="{6A91AEEB-84AF-4F44-AE59-613B0561046E}"/>
    <cellStyle name="Normal 3 2 2 2 2 29 2 2" xfId="30459" xr:uid="{06C03984-1046-425F-9C29-D23EC0F575B3}"/>
    <cellStyle name="Normal 3 2 2 2 2 29 2 2 10" xfId="30460" xr:uid="{B383AC6B-FF47-4161-AA57-B2E49D432856}"/>
    <cellStyle name="Normal 3 2 2 2 2 29 2 2 11" xfId="30461" xr:uid="{E0033B7E-C455-42B6-9CBC-EC1E830217CA}"/>
    <cellStyle name="Normal 3 2 2 2 2 29 2 2 2" xfId="30462" xr:uid="{3815099A-52FF-4B05-AD29-D159B17E2889}"/>
    <cellStyle name="Normal 3 2 2 2 2 29 2 2 2 2" xfId="30463" xr:uid="{F5D15A65-4DE2-4BA2-B4EF-1A6364C6F9CA}"/>
    <cellStyle name="Normal 3 2 2 2 2 29 2 2 2 2 2" xfId="30464" xr:uid="{780F2A6A-8B9F-4212-BFC8-79EF7548BD35}"/>
    <cellStyle name="Normal 3 2 2 2 2 29 2 2 2 2 3" xfId="30465" xr:uid="{FA5D3EE4-F426-4C7A-B334-3423A34038B6}"/>
    <cellStyle name="Normal 3 2 2 2 2 29 2 2 2 2 4" xfId="30466" xr:uid="{88ECD0BC-0B7F-4751-884E-E1047785B0EB}"/>
    <cellStyle name="Normal 3 2 2 2 2 29 2 2 2 3" xfId="30467" xr:uid="{C6BCB2C0-58B6-4244-A729-AD3D7EF2E1BE}"/>
    <cellStyle name="Normal 3 2 2 2 2 29 2 2 2 4" xfId="30468" xr:uid="{6C4AA682-8B29-45EC-BB09-9885CF845E3B}"/>
    <cellStyle name="Normal 3 2 2 2 2 29 2 2 2 5" xfId="30469" xr:uid="{13BB62A9-08B4-44A3-9F8E-16AFE90A71D6}"/>
    <cellStyle name="Normal 3 2 2 2 2 29 2 2 2 6" xfId="30470" xr:uid="{E3F75442-18CE-4486-B828-37B282E0F859}"/>
    <cellStyle name="Normal 3 2 2 2 2 29 2 2 3" xfId="30471" xr:uid="{CDAFF32C-F908-4380-BDDB-237CBDD0B8ED}"/>
    <cellStyle name="Normal 3 2 2 2 2 29 2 2 4" xfId="30472" xr:uid="{CF6254FA-FA9D-4841-9FB0-5F5BEFDB3B40}"/>
    <cellStyle name="Normal 3 2 2 2 2 29 2 2 5" xfId="30473" xr:uid="{72EA111F-31A3-4ECF-B3B5-059987E32AC9}"/>
    <cellStyle name="Normal 3 2 2 2 2 29 2 2 6" xfId="30474" xr:uid="{7AA1FC31-5E40-44F4-A1D9-9EB72CD7A730}"/>
    <cellStyle name="Normal 3 2 2 2 2 29 2 2 7" xfId="30475" xr:uid="{8B73B5F1-BB8C-4B31-A201-6ADE44CF4FC7}"/>
    <cellStyle name="Normal 3 2 2 2 2 29 2 2 8" xfId="30476" xr:uid="{46212359-40F7-4C6D-89DC-4065DDD05009}"/>
    <cellStyle name="Normal 3 2 2 2 2 29 2 2 8 2" xfId="30477" xr:uid="{BB6EA476-E04F-4693-A343-F97F1F02C953}"/>
    <cellStyle name="Normal 3 2 2 2 2 29 2 2 8 3" xfId="30478" xr:uid="{85C40BEC-9CCD-4F34-9377-CBB5266B8E12}"/>
    <cellStyle name="Normal 3 2 2 2 2 29 2 2 8 4" xfId="30479" xr:uid="{1E99BD69-582F-4368-8BBB-F25B02A95A93}"/>
    <cellStyle name="Normal 3 2 2 2 2 29 2 2 9" xfId="30480" xr:uid="{20245C8E-FF8A-4AC4-99E0-CA9D52FEB35C}"/>
    <cellStyle name="Normal 3 2 2 2 2 29 2 3" xfId="30481" xr:uid="{3A590C5B-2275-49C2-98BC-A3E001C5E362}"/>
    <cellStyle name="Normal 3 2 2 2 2 29 2 3 2" xfId="30482" xr:uid="{8C212097-777C-421F-93E5-4EF94530F9A7}"/>
    <cellStyle name="Normal 3 2 2 2 2 29 2 3 2 2" xfId="30483" xr:uid="{AEA3E710-0B74-486C-87DA-29079BFCF817}"/>
    <cellStyle name="Normal 3 2 2 2 2 29 2 3 2 3" xfId="30484" xr:uid="{E1D2E975-7162-40E1-BE32-98E9AC51492F}"/>
    <cellStyle name="Normal 3 2 2 2 2 29 2 3 2 4" xfId="30485" xr:uid="{D1461C10-145E-47A6-939C-E3B798F8CAF6}"/>
    <cellStyle name="Normal 3 2 2 2 2 29 2 3 3" xfId="30486" xr:uid="{1B2B1EFA-F2D0-4ECB-8279-09C5929C233F}"/>
    <cellStyle name="Normal 3 2 2 2 2 29 2 3 4" xfId="30487" xr:uid="{31D1EBC1-2C5A-41E7-A531-19CD9EFA9CC3}"/>
    <cellStyle name="Normal 3 2 2 2 2 29 2 3 5" xfId="30488" xr:uid="{4231F13A-B9A3-450B-BEEE-53849281AB15}"/>
    <cellStyle name="Normal 3 2 2 2 2 29 2 3 6" xfId="30489" xr:uid="{3542D717-6AF1-44FC-9780-0615F930FE23}"/>
    <cellStyle name="Normal 3 2 2 2 2 29 2 4" xfId="30490" xr:uid="{2243A3B5-9290-492E-8FDB-8D7C57093DBE}"/>
    <cellStyle name="Normal 3 2 2 2 2 29 2 5" xfId="30491" xr:uid="{FB7D63EC-A3A8-4AA5-8984-ADBF93C0ACE2}"/>
    <cellStyle name="Normal 3 2 2 2 2 29 2 6" xfId="30492" xr:uid="{78011FC5-8057-441F-AB56-D89D91BB5672}"/>
    <cellStyle name="Normal 3 2 2 2 2 29 2 7" xfId="30493" xr:uid="{FA2D9130-25AB-4991-9EAC-7C8A4B7976E6}"/>
    <cellStyle name="Normal 3 2 2 2 2 29 2 8" xfId="30494" xr:uid="{3810C98E-BA0F-488E-B960-060D0A6F123D}"/>
    <cellStyle name="Normal 3 2 2 2 2 29 2 8 2" xfId="30495" xr:uid="{0590CAEF-2D46-4C25-83BD-69BFDEFB9D1B}"/>
    <cellStyle name="Normal 3 2 2 2 2 29 2 8 3" xfId="30496" xr:uid="{9842C1DF-D13A-4C9E-8BC2-0E21DBA34D81}"/>
    <cellStyle name="Normal 3 2 2 2 2 29 2 8 4" xfId="30497" xr:uid="{CAA293D5-E29F-42CD-ABB6-9423310C7A47}"/>
    <cellStyle name="Normal 3 2 2 2 2 29 2 9" xfId="30498" xr:uid="{7416FD90-45BD-4071-B688-CAD156D4E9D1}"/>
    <cellStyle name="Normal 3 2 2 2 2 29 3" xfId="30499" xr:uid="{F21810C2-F942-47BA-9E7C-4A89C3CC9B46}"/>
    <cellStyle name="Normal 3 2 2 2 2 29 4" xfId="30500" xr:uid="{EE7D4C5E-D810-425A-B62C-565D3C06BA8B}"/>
    <cellStyle name="Normal 3 2 2 2 2 29 5" xfId="30501" xr:uid="{DC11BD95-EBCD-4821-AD70-36BBEFC51FD3}"/>
    <cellStyle name="Normal 3 2 2 2 2 29 5 2" xfId="30502" xr:uid="{74CB7C75-A367-40D7-91FD-A592EAE4B22F}"/>
    <cellStyle name="Normal 3 2 2 2 2 29 5 2 2" xfId="30503" xr:uid="{58CC051C-C661-4F66-AFA1-76D3CA12D348}"/>
    <cellStyle name="Normal 3 2 2 2 2 29 5 2 3" xfId="30504" xr:uid="{91A6E7CC-3457-43A5-8177-7E6BA1078BCE}"/>
    <cellStyle name="Normal 3 2 2 2 2 29 5 2 4" xfId="30505" xr:uid="{910E9592-7059-4996-A5B7-BC38BC0F34D5}"/>
    <cellStyle name="Normal 3 2 2 2 2 29 5 3" xfId="30506" xr:uid="{0386A8B9-87BB-4136-BA58-4B5EA70AF861}"/>
    <cellStyle name="Normal 3 2 2 2 2 29 5 4" xfId="30507" xr:uid="{918FF605-116E-4A30-BC47-9AD286573339}"/>
    <cellStyle name="Normal 3 2 2 2 2 29 5 5" xfId="30508" xr:uid="{63FB84BF-1A65-4091-9007-48411398E89E}"/>
    <cellStyle name="Normal 3 2 2 2 2 29 5 6" xfId="30509" xr:uid="{5BCE9409-707D-43BB-B796-FBAB7E1F2400}"/>
    <cellStyle name="Normal 3 2 2 2 2 29 6" xfId="30510" xr:uid="{AEDEFF06-D90A-431F-88FD-F28C441CE57C}"/>
    <cellStyle name="Normal 3 2 2 2 2 29 7" xfId="30511" xr:uid="{2C90AEE4-476C-476C-9FFB-4FF326D81565}"/>
    <cellStyle name="Normal 3 2 2 2 2 29 8" xfId="30512" xr:uid="{1C39EAD4-BB65-4EB6-9F19-EA8918ECD877}"/>
    <cellStyle name="Normal 3 2 2 2 2 29 9" xfId="30513" xr:uid="{880567D8-EF78-49F7-B944-2EF6F1078611}"/>
    <cellStyle name="Normal 3 2 2 2 2 3" xfId="30514" xr:uid="{325644EB-1384-40DE-96BD-7EFF8228E96D}"/>
    <cellStyle name="Normal 3 2 2 2 2 30" xfId="30515" xr:uid="{04DA27F6-0C9F-4510-BEDB-67E8AE886C25}"/>
    <cellStyle name="Normal 3 2 2 2 2 31" xfId="30516" xr:uid="{06C37F1B-D269-4DA1-938A-68CD414906C5}"/>
    <cellStyle name="Normal 3 2 2 2 2 31 10" xfId="30517" xr:uid="{45E49E8C-6566-489B-B90E-CF2A54D0C429}"/>
    <cellStyle name="Normal 3 2 2 2 2 31 11" xfId="30518" xr:uid="{BA6F8794-3DE5-4FD3-B295-6BE12F0F99B4}"/>
    <cellStyle name="Normal 3 2 2 2 2 31 2" xfId="30519" xr:uid="{7F793989-04B2-4948-B4AA-37998F678E8C}"/>
    <cellStyle name="Normal 3 2 2 2 2 31 2 10" xfId="30520" xr:uid="{C02F6593-A9E6-4999-9946-7B405433E7FE}"/>
    <cellStyle name="Normal 3 2 2 2 2 31 2 11" xfId="30521" xr:uid="{0A970464-69F7-4B18-BB34-FD794C673AF0}"/>
    <cellStyle name="Normal 3 2 2 2 2 31 2 2" xfId="30522" xr:uid="{44D54493-7F34-4A8A-B07D-78FF22E86C5C}"/>
    <cellStyle name="Normal 3 2 2 2 2 31 2 2 2" xfId="30523" xr:uid="{BF435288-9DBC-4F64-9EC2-294F9EA8576D}"/>
    <cellStyle name="Normal 3 2 2 2 2 31 2 2 2 2" xfId="30524" xr:uid="{5A3A63DE-7147-4AB3-872D-C84F96163E85}"/>
    <cellStyle name="Normal 3 2 2 2 2 31 2 2 2 3" xfId="30525" xr:uid="{4678BF4B-BE6C-4C95-9AD8-7E2DF21FFA8C}"/>
    <cellStyle name="Normal 3 2 2 2 2 31 2 2 2 4" xfId="30526" xr:uid="{7E0D7EB2-BDCA-49BF-9292-B4489B3AC66E}"/>
    <cellStyle name="Normal 3 2 2 2 2 31 2 2 3" xfId="30527" xr:uid="{228AFDEB-E334-48A3-9D5C-94949EE17A45}"/>
    <cellStyle name="Normal 3 2 2 2 2 31 2 2 4" xfId="30528" xr:uid="{CF77D3B1-C662-4CBF-81A8-A8F1BE9F5C36}"/>
    <cellStyle name="Normal 3 2 2 2 2 31 2 2 5" xfId="30529" xr:uid="{84BA1A96-59D0-46C5-9EBD-44A836EF6817}"/>
    <cellStyle name="Normal 3 2 2 2 2 31 2 2 6" xfId="30530" xr:uid="{DB06A542-44C6-4A0E-A261-188221355B27}"/>
    <cellStyle name="Normal 3 2 2 2 2 31 2 3" xfId="30531" xr:uid="{F81475FB-BA07-473F-80B3-A65AD87A6EE2}"/>
    <cellStyle name="Normal 3 2 2 2 2 31 2 4" xfId="30532" xr:uid="{30D3E9F5-CE6B-45DA-93A5-9D45BAF0EE1E}"/>
    <cellStyle name="Normal 3 2 2 2 2 31 2 5" xfId="30533" xr:uid="{EF2A3B76-A6D9-4F24-B848-DED09E201226}"/>
    <cellStyle name="Normal 3 2 2 2 2 31 2 6" xfId="30534" xr:uid="{91653A00-4FD9-4E59-AB73-038C4C1C1AFC}"/>
    <cellStyle name="Normal 3 2 2 2 2 31 2 7" xfId="30535" xr:uid="{1E208AF7-0182-4E77-A017-C19DEF4DA843}"/>
    <cellStyle name="Normal 3 2 2 2 2 31 2 8" xfId="30536" xr:uid="{F4AD4908-F569-405D-91EE-B01A9D91D17D}"/>
    <cellStyle name="Normal 3 2 2 2 2 31 2 8 2" xfId="30537" xr:uid="{5D01A63F-757C-4B7E-BB53-2274FEB4F3D4}"/>
    <cellStyle name="Normal 3 2 2 2 2 31 2 8 3" xfId="30538" xr:uid="{3ADAB6C5-943D-4AAB-B9E1-FFB82FBA2EE9}"/>
    <cellStyle name="Normal 3 2 2 2 2 31 2 8 4" xfId="30539" xr:uid="{CC293E67-25E6-47C2-B099-F1E3AAC1C45B}"/>
    <cellStyle name="Normal 3 2 2 2 2 31 2 9" xfId="30540" xr:uid="{BCD8A244-8422-4305-B868-93BF559F052E}"/>
    <cellStyle name="Normal 3 2 2 2 2 31 3" xfId="30541" xr:uid="{C8FC4B8F-D137-47EA-A145-B16B2B63EAD6}"/>
    <cellStyle name="Normal 3 2 2 2 2 31 3 2" xfId="30542" xr:uid="{AB0CEC26-3463-4EDD-B514-E526D39D3D0A}"/>
    <cellStyle name="Normal 3 2 2 2 2 31 3 2 2" xfId="30543" xr:uid="{FCDC4973-CA04-4AFF-B28E-67EBBA68D8F5}"/>
    <cellStyle name="Normal 3 2 2 2 2 31 3 2 3" xfId="30544" xr:uid="{4845984D-C435-41F0-8D8A-D956E2AC622E}"/>
    <cellStyle name="Normal 3 2 2 2 2 31 3 2 4" xfId="30545" xr:uid="{0C9B9AAB-D868-4A48-8605-28C5FDCB1E19}"/>
    <cellStyle name="Normal 3 2 2 2 2 31 3 3" xfId="30546" xr:uid="{3F4D1C8E-8CAB-4899-9140-F641C484757F}"/>
    <cellStyle name="Normal 3 2 2 2 2 31 3 4" xfId="30547" xr:uid="{8C555CAD-73A7-41B8-8EE7-DE0BCCA8A9CF}"/>
    <cellStyle name="Normal 3 2 2 2 2 31 3 5" xfId="30548" xr:uid="{C11035C7-B4A0-4757-88D9-645EC56EA67B}"/>
    <cellStyle name="Normal 3 2 2 2 2 31 3 6" xfId="30549" xr:uid="{4D6CAC1A-8C24-4E37-A500-E6463CBDEC4C}"/>
    <cellStyle name="Normal 3 2 2 2 2 31 4" xfId="30550" xr:uid="{011CF45D-21CB-4AAC-89E8-845D903E4901}"/>
    <cellStyle name="Normal 3 2 2 2 2 31 5" xfId="30551" xr:uid="{D895017E-F002-454A-9DAD-06F30A1393E4}"/>
    <cellStyle name="Normal 3 2 2 2 2 31 6" xfId="30552" xr:uid="{ACABBE04-3051-48C0-B918-D6D271C3F2BE}"/>
    <cellStyle name="Normal 3 2 2 2 2 31 7" xfId="30553" xr:uid="{EEAD4F9A-B783-4071-A782-E065E68971E0}"/>
    <cellStyle name="Normal 3 2 2 2 2 31 8" xfId="30554" xr:uid="{DD96DEFD-E5DC-4D74-82CC-990CF4AA04BE}"/>
    <cellStyle name="Normal 3 2 2 2 2 31 8 2" xfId="30555" xr:uid="{A143F886-947B-4A27-8876-D74B6E71EE50}"/>
    <cellStyle name="Normal 3 2 2 2 2 31 8 3" xfId="30556" xr:uid="{D51EEC15-5014-4D57-BE1A-E6F4FA1916EC}"/>
    <cellStyle name="Normal 3 2 2 2 2 31 8 4" xfId="30557" xr:uid="{62F7FD4A-206C-445D-AB49-0026C104058E}"/>
    <cellStyle name="Normal 3 2 2 2 2 31 9" xfId="30558" xr:uid="{DA911970-9ADC-4159-BF15-97CA58EAF3EA}"/>
    <cellStyle name="Normal 3 2 2 2 2 32" xfId="30559" xr:uid="{15DD7BF1-7B92-461F-A41F-E1D0694F2DEF}"/>
    <cellStyle name="Normal 3 2 2 2 2 33" xfId="30560" xr:uid="{B0C76F81-FC52-400E-B7E9-7C5450CF695C}"/>
    <cellStyle name="Normal 3 2 2 2 2 33 2" xfId="30561" xr:uid="{8443ABF3-EC93-4233-927A-F58464FEC8D7}"/>
    <cellStyle name="Normal 3 2 2 2 2 33 2 2" xfId="30562" xr:uid="{BCE1B1DF-4BF6-4D43-B5E5-2FDB7A58A996}"/>
    <cellStyle name="Normal 3 2 2 2 2 33 2 3" xfId="30563" xr:uid="{6015EC4E-056A-4888-A5EF-EDB02D67AFB7}"/>
    <cellStyle name="Normal 3 2 2 2 2 33 2 4" xfId="30564" xr:uid="{B0B541A6-5443-4C16-A4C4-5774B41B40E2}"/>
    <cellStyle name="Normal 3 2 2 2 2 33 3" xfId="30565" xr:uid="{74C02744-E99E-4565-B0E6-94B3AFF34097}"/>
    <cellStyle name="Normal 3 2 2 2 2 33 4" xfId="30566" xr:uid="{BCADF7BD-82E7-4610-8950-9E012E92CC3B}"/>
    <cellStyle name="Normal 3 2 2 2 2 33 5" xfId="30567" xr:uid="{28AF1F05-80D0-4CAF-9487-C336E1C98E3E}"/>
    <cellStyle name="Normal 3 2 2 2 2 33 6" xfId="30568" xr:uid="{4D31732C-4F78-47CC-A054-17D4319161AA}"/>
    <cellStyle name="Normal 3 2 2 2 2 34" xfId="30569" xr:uid="{7D0ACD30-A83B-4D06-929C-9760FDD6498E}"/>
    <cellStyle name="Normal 3 2 2 2 2 35" xfId="30570" xr:uid="{859253B5-062D-4A61-B8C2-57C1C60A60FD}"/>
    <cellStyle name="Normal 3 2 2 2 2 36" xfId="30571" xr:uid="{7685BAAB-C69D-46BB-8D5A-E5F2ACCCFD7B}"/>
    <cellStyle name="Normal 3 2 2 2 2 37" xfId="30572" xr:uid="{2C580786-8C0F-4C90-90C6-6B2AD75CC34B}"/>
    <cellStyle name="Normal 3 2 2 2 2 38" xfId="30573" xr:uid="{0AB6C980-D312-478E-AF5D-EF58DBA12FD7}"/>
    <cellStyle name="Normal 3 2 2 2 2 39" xfId="30574" xr:uid="{7D7E1A3E-04BE-4C6F-9805-79A3A4CB8AB6}"/>
    <cellStyle name="Normal 3 2 2 2 2 39 2" xfId="30575" xr:uid="{F6B734C3-E5F5-4849-81E6-9E20BA2A1804}"/>
    <cellStyle name="Normal 3 2 2 2 2 39 3" xfId="30576" xr:uid="{F67732AB-5D45-4ACB-A9A1-65C18B728695}"/>
    <cellStyle name="Normal 3 2 2 2 2 39 4" xfId="30577" xr:uid="{972B20CC-3556-4BEF-89A6-514D6A6C4FD8}"/>
    <cellStyle name="Normal 3 2 2 2 2 4" xfId="30578" xr:uid="{622458A4-B3A5-4F22-8409-6CFC059914C3}"/>
    <cellStyle name="Normal 3 2 2 2 2 40" xfId="30579" xr:uid="{BB9FDF1C-81E5-424B-BC82-C60D4851EBDD}"/>
    <cellStyle name="Normal 3 2 2 2 2 41" xfId="30580" xr:uid="{8BFBBE00-F3C4-40E6-B9DB-AA936BA2E038}"/>
    <cellStyle name="Normal 3 2 2 2 2 42" xfId="30581" xr:uid="{A3E051C4-3F42-4B4E-B0F5-67F09BC5ECCD}"/>
    <cellStyle name="Normal 3 2 2 2 2 43" xfId="30582" xr:uid="{59D7574A-A3D8-4B60-8DED-ED20B853013B}"/>
    <cellStyle name="Normal 3 2 2 2 2 44" xfId="30583" xr:uid="{1E4163C8-796B-46D5-A10A-6867381095D7}"/>
    <cellStyle name="Normal 3 2 2 2 2 45" xfId="30584" xr:uid="{E5990683-B3AF-4EED-9560-7DA697C50B28}"/>
    <cellStyle name="Normal 3 2 2 2 2 46" xfId="30585" xr:uid="{1EB8C483-5893-4DD1-B5EA-40A7FE98CB6A}"/>
    <cellStyle name="Normal 3 2 2 2 2 47" xfId="30586" xr:uid="{5678E6BD-A566-4789-8F43-FFEB0A47D02D}"/>
    <cellStyle name="Normal 3 2 2 2 2 48" xfId="30587" xr:uid="{7604E7AA-BD87-4D2A-94BF-D56D27AE7389}"/>
    <cellStyle name="Normal 3 2 2 2 2 49" xfId="30588" xr:uid="{A78B26D9-93C4-4D12-8B32-5AC31F17F2C6}"/>
    <cellStyle name="Normal 3 2 2 2 2 5" xfId="30589" xr:uid="{A992AB21-44ED-4AC2-919A-BBBB841B3626}"/>
    <cellStyle name="Normal 3 2 2 2 2 50" xfId="30590" xr:uid="{636BFDA3-46B5-478C-A37B-0AADEE1BECF5}"/>
    <cellStyle name="Normal 3 2 2 2 2 51" xfId="30591" xr:uid="{6F116371-D089-40CE-9A70-2952768FDC63}"/>
    <cellStyle name="Normal 3 2 2 2 2 52" xfId="30592" xr:uid="{C45F7A89-D665-44AF-B64D-DDBA0595A291}"/>
    <cellStyle name="Normal 3 2 2 2 2 53" xfId="30593" xr:uid="{7685764B-F104-48B7-A9B1-8AC3EE62D088}"/>
    <cellStyle name="Normal 3 2 2 2 2 54" xfId="30594" xr:uid="{17034D05-864D-42A9-B0E2-269E31A2D9BD}"/>
    <cellStyle name="Normal 3 2 2 2 2 54 2" xfId="30595" xr:uid="{BA3E1669-2865-47DB-8A77-50F17E238F73}"/>
    <cellStyle name="Normal 3 2 2 2 2 54 3" xfId="30596" xr:uid="{1CC6DC33-358D-480B-B1B9-71518346E6E3}"/>
    <cellStyle name="Normal 3 2 2 2 2 54 4" xfId="30597" xr:uid="{E6089CD6-DB05-4500-AB6B-85321577AC59}"/>
    <cellStyle name="Normal 3 2 2 2 2 54 5" xfId="30598" xr:uid="{860D441D-DDD8-4569-BF30-59E64EA54496}"/>
    <cellStyle name="Normal 3 2 2 2 2 54 6" xfId="30599" xr:uid="{1104E757-55C4-43D6-9F4D-9C32609FD52C}"/>
    <cellStyle name="Normal 3 2 2 2 2 54 7" xfId="30600" xr:uid="{155D9671-CFE8-4A0B-936A-A8D415C4544D}"/>
    <cellStyle name="Normal 3 2 2 2 2 55" xfId="30601" xr:uid="{33596555-AB84-4F26-A62E-01A0269195A7}"/>
    <cellStyle name="Normal 3 2 2 2 2 56" xfId="30602" xr:uid="{85A72027-6201-4250-BC62-B392C32C7570}"/>
    <cellStyle name="Normal 3 2 2 2 2 57" xfId="30603" xr:uid="{816A7389-011A-48FB-AC86-3C6DB8F64A2F}"/>
    <cellStyle name="Normal 3 2 2 2 2 58" xfId="30604" xr:uid="{A7F6BAFD-446A-4A65-ADFD-A0B0003DFC3A}"/>
    <cellStyle name="Normal 3 2 2 2 2 59" xfId="30605" xr:uid="{996EF285-4DEA-425E-A7B6-1D3CF779DC69}"/>
    <cellStyle name="Normal 3 2 2 2 2 6" xfId="30606" xr:uid="{867061C9-42B0-4367-B93F-383103717270}"/>
    <cellStyle name="Normal 3 2 2 2 2 60" xfId="30607" xr:uid="{2A5728AB-7FBD-4DCA-9832-347B10E66041}"/>
    <cellStyle name="Normal 3 2 2 2 2 61" xfId="30608" xr:uid="{193A98BA-1352-4878-ADFC-7AF1B437FB8F}"/>
    <cellStyle name="Normal 3 2 2 2 2 62" xfId="30609" xr:uid="{C12285EE-86D3-45C9-AB06-9A47FDAC5F10}"/>
    <cellStyle name="Normal 3 2 2 2 2 63" xfId="30610" xr:uid="{0203EEA7-057D-4828-950E-85423946A368}"/>
    <cellStyle name="Normal 3 2 2 2 2 64" xfId="30611" xr:uid="{655AA621-4C55-4197-BDA5-012E86FBAA9A}"/>
    <cellStyle name="Normal 3 2 2 2 2 65" xfId="30612" xr:uid="{52571EF5-5734-442D-B4C8-3299198B0F04}"/>
    <cellStyle name="Normal 3 2 2 2 2 66" xfId="30613" xr:uid="{206540AF-5BB7-4C09-B3DB-D57B203FA61F}"/>
    <cellStyle name="Normal 3 2 2 2 2 67" xfId="30614" xr:uid="{F78B8190-0E31-4315-845B-CD3A275DF5FF}"/>
    <cellStyle name="Normal 3 2 2 2 2 68" xfId="30615" xr:uid="{A7913153-2744-407C-9C45-2B495E4C6744}"/>
    <cellStyle name="Normal 3 2 2 2 2 69" xfId="30616" xr:uid="{50877ED1-D80E-4AE1-9FF0-33941C8B4455}"/>
    <cellStyle name="Normal 3 2 2 2 2 7" xfId="30617" xr:uid="{A82A01A1-C473-4540-9642-B891F2F4D9B0}"/>
    <cellStyle name="Normal 3 2 2 2 2 70" xfId="30618" xr:uid="{28B20971-3150-4367-BC4C-01D228521F87}"/>
    <cellStyle name="Normal 3 2 2 2 2 71" xfId="30619" xr:uid="{D441618D-6D33-4D5B-8E73-92B821CB278F}"/>
    <cellStyle name="Normal 3 2 2 2 2 72" xfId="30620" xr:uid="{51B86D79-3955-4482-A266-832DF571155F}"/>
    <cellStyle name="Normal 3 2 2 2 2 73" xfId="30621" xr:uid="{686B73AE-D563-441C-8C00-4FBFC2D865CE}"/>
    <cellStyle name="Normal 3 2 2 2 2 74" xfId="30622" xr:uid="{24A55D63-AC80-49DA-AE1C-17613F20C6F3}"/>
    <cellStyle name="Normal 3 2 2 2 2 75" xfId="30623" xr:uid="{118F82E8-F686-49B2-AC3B-D4DBAF5293CB}"/>
    <cellStyle name="Normal 3 2 2 2 2 76" xfId="30624" xr:uid="{C8DABEDA-1ECF-4104-9CB1-1D2968DFA87D}"/>
    <cellStyle name="Normal 3 2 2 2 2 77" xfId="30625" xr:uid="{74054E35-94A2-4F94-A045-5FC8A7B8567E}"/>
    <cellStyle name="Normal 3 2 2 2 2 78" xfId="30626" xr:uid="{ABEB4540-C717-46C7-A66E-2D5CAC9867C5}"/>
    <cellStyle name="Normal 3 2 2 2 2 79" xfId="30627" xr:uid="{039D7BDE-DD7B-4CC6-AECD-6756A2FF9453}"/>
    <cellStyle name="Normal 3 2 2 2 2 8" xfId="30628" xr:uid="{0FAC4FDC-B5CF-4F05-A191-8C69123A9A46}"/>
    <cellStyle name="Normal 3 2 2 2 2 80" xfId="30629" xr:uid="{E1EEDA7E-7085-4347-BDC5-8E2219546EEC}"/>
    <cellStyle name="Normal 3 2 2 2 2 81" xfId="30630" xr:uid="{3D83FEF9-16ED-462A-B73C-FDA2F875CBCD}"/>
    <cellStyle name="Normal 3 2 2 2 2 82" xfId="30631" xr:uid="{56843FDE-2695-4BE7-899D-9E86936ED89C}"/>
    <cellStyle name="Normal 3 2 2 2 2 83" xfId="30632" xr:uid="{C93B4B60-B2D8-41F0-8C4A-747796A67E3D}"/>
    <cellStyle name="Normal 3 2 2 2 2 84" xfId="30633" xr:uid="{E889028A-C014-42B8-9C14-56998A4F6640}"/>
    <cellStyle name="Normal 3 2 2 2 2 85" xfId="30634" xr:uid="{1A1198AC-C6A3-4283-BEB6-2AB4168C8649}"/>
    <cellStyle name="Normal 3 2 2 2 2 86" xfId="30635" xr:uid="{3AF77B98-9834-4E81-96AE-ED1CEA78CDDC}"/>
    <cellStyle name="Normal 3 2 2 2 2 86 2" xfId="30636" xr:uid="{209B678E-5642-44D3-A39B-0907093B428A}"/>
    <cellStyle name="Normal 3 2 2 2 2 86 3" xfId="30637" xr:uid="{D19331EE-46B1-4C89-91A6-862A2C208F10}"/>
    <cellStyle name="Normal 3 2 2 2 2 86 4" xfId="30638" xr:uid="{BBBF0603-DE40-44D7-84D9-EA8A309A72AD}"/>
    <cellStyle name="Normal 3 2 2 2 2 87" xfId="30639" xr:uid="{1A8DF8AA-277E-43B3-9D49-38FADD80E979}"/>
    <cellStyle name="Normal 3 2 2 2 2 88" xfId="30640" xr:uid="{8563C59A-5E3C-4667-A9CB-8DED196CE833}"/>
    <cellStyle name="Normal 3 2 2 2 2 89" xfId="30641" xr:uid="{4A9B7137-171E-4758-BF80-B6778EA4B4E2}"/>
    <cellStyle name="Normal 3 2 2 2 2 9" xfId="30642" xr:uid="{CC65BD0D-32D5-49BE-8B40-35D617FEB0B3}"/>
    <cellStyle name="Normal 3 2 2 2 20" xfId="30643" xr:uid="{9885332C-C541-4424-B011-B62250251187}"/>
    <cellStyle name="Normal 3 2 2 2 20 2" xfId="30644" xr:uid="{EE0163D7-B1F9-4FDA-BF91-ADD5DB0B4B88}"/>
    <cellStyle name="Normal 3 2 2 2 20 3" xfId="30645" xr:uid="{3AECF35F-68B5-4E65-8AD4-D440CA2A7E7E}"/>
    <cellStyle name="Normal 3 2 2 2 20 4" xfId="30646" xr:uid="{DAF51A94-76CA-4B69-B090-87C8F7811614}"/>
    <cellStyle name="Normal 3 2 2 2 20 5" xfId="30647" xr:uid="{5E667C0B-91CF-48F0-94F3-0D358A4ECBE0}"/>
    <cellStyle name="Normal 3 2 2 2 20 6" xfId="30648" xr:uid="{9B3C47C7-A452-42F0-9165-A9C4BD764EF6}"/>
    <cellStyle name="Normal 3 2 2 2 21" xfId="30649" xr:uid="{E893C28A-8EA1-4AC8-84C6-2E7091702A69}"/>
    <cellStyle name="Normal 3 2 2 2 21 2" xfId="30650" xr:uid="{7A7FFEAB-5E19-4C12-921A-CD5305F0DD83}"/>
    <cellStyle name="Normal 3 2 2 2 21 3" xfId="30651" xr:uid="{694710BE-AC64-4D11-9448-813F5991002F}"/>
    <cellStyle name="Normal 3 2 2 2 21 4" xfId="30652" xr:uid="{84E1534B-19D0-44C9-BC85-9648D9071EC4}"/>
    <cellStyle name="Normal 3 2 2 2 21 5" xfId="30653" xr:uid="{38C5A5F9-FFE8-4EF2-B111-626AC1F024A6}"/>
    <cellStyle name="Normal 3 2 2 2 21 6" xfId="30654" xr:uid="{FBC031B5-66CC-4F64-AFF9-EF34D1922BBE}"/>
    <cellStyle name="Normal 3 2 2 2 22" xfId="30655" xr:uid="{7498D487-8E19-4882-8175-9624DA518528}"/>
    <cellStyle name="Normal 3 2 2 2 22 2" xfId="30656" xr:uid="{789FD958-F537-4DE3-B5BB-0F60167FF493}"/>
    <cellStyle name="Normal 3 2 2 2 22 3" xfId="30657" xr:uid="{4AA494D6-F9B5-4150-B436-A8B3331DE329}"/>
    <cellStyle name="Normal 3 2 2 2 22 4" xfId="30658" xr:uid="{DE803FA8-9BC9-4CCC-A839-2DDAEF3EAA52}"/>
    <cellStyle name="Normal 3 2 2 2 22 5" xfId="30659" xr:uid="{3E802B29-4640-41B6-AA49-5B4992EC2909}"/>
    <cellStyle name="Normal 3 2 2 2 22 6" xfId="30660" xr:uid="{DA0C9E0C-E82B-49F2-8E5F-349F3DEDCF36}"/>
    <cellStyle name="Normal 3 2 2 2 23" xfId="30661" xr:uid="{4E0EDBE3-EBA4-4B16-9D28-D4ED4388A07E}"/>
    <cellStyle name="Normal 3 2 2 2 24" xfId="30662" xr:uid="{634F0D43-DC2D-4CCC-8484-19A44725DDBF}"/>
    <cellStyle name="Normal 3 2 2 2 25" xfId="30663" xr:uid="{1D96206F-9D8A-43BA-8AF3-3922FBEA2827}"/>
    <cellStyle name="Normal 3 2 2 2 26" xfId="30664" xr:uid="{023A6BA4-D685-4BBE-8519-6E0C8E16F325}"/>
    <cellStyle name="Normal 3 2 2 2 27" xfId="30665" xr:uid="{75E85D9B-8B3E-4AFB-BEE2-FDBE7E4DC4DE}"/>
    <cellStyle name="Normal 3 2 2 2 28" xfId="30666" xr:uid="{8FDA030F-AFA0-4C86-A465-2ACA415D8D4A}"/>
    <cellStyle name="Normal 3 2 2 2 28 10" xfId="30667" xr:uid="{34F6FDEA-37A1-4C17-946B-EF4A95D4C9D0}"/>
    <cellStyle name="Normal 3 2 2 2 28 11" xfId="30668" xr:uid="{DC9FC42B-E4EF-4441-B848-80C44464C44A}"/>
    <cellStyle name="Normal 3 2 2 2 28 11 10" xfId="30669" xr:uid="{57815A98-21F2-45BD-8490-290D1BB4B8E5}"/>
    <cellStyle name="Normal 3 2 2 2 28 11 11" xfId="30670" xr:uid="{A062633A-A751-4686-8280-7FA470588507}"/>
    <cellStyle name="Normal 3 2 2 2 28 11 11 2" xfId="30671" xr:uid="{D5D22C84-C84B-426B-A38F-AF0CB750B7F2}"/>
    <cellStyle name="Normal 3 2 2 2 28 11 11 3" xfId="30672" xr:uid="{A6F863A2-D182-4B23-9043-ADB928B0D181}"/>
    <cellStyle name="Normal 3 2 2 2 28 11 11 4" xfId="30673" xr:uid="{CBA99A09-2BA7-40B9-8EAB-D28AC445163C}"/>
    <cellStyle name="Normal 3 2 2 2 28 11 12" xfId="30674" xr:uid="{63B2E78B-0E6D-4192-B3F7-BB1553629DFF}"/>
    <cellStyle name="Normal 3 2 2 2 28 11 13" xfId="30675" xr:uid="{D587CD0F-9A15-468A-B58F-E5BCB49B9FBD}"/>
    <cellStyle name="Normal 3 2 2 2 28 11 14" xfId="30676" xr:uid="{94A97972-AE59-48BF-BB9B-D21570BAFF77}"/>
    <cellStyle name="Normal 3 2 2 2 28 11 2" xfId="30677" xr:uid="{E08231B8-DA18-4BAF-B3DF-9EBC88C60586}"/>
    <cellStyle name="Normal 3 2 2 2 28 11 2 10" xfId="30678" xr:uid="{D809C363-7144-4D6E-A8F8-08ED497B9DA7}"/>
    <cellStyle name="Normal 3 2 2 2 28 11 2 11" xfId="30679" xr:uid="{05EC11DF-79F0-4310-8D34-BE30F609B25F}"/>
    <cellStyle name="Normal 3 2 2 2 28 11 2 2" xfId="30680" xr:uid="{FFFB1AB4-67C3-4D57-B8CC-D41E8E6C8018}"/>
    <cellStyle name="Normal 3 2 2 2 28 11 2 2 10" xfId="30681" xr:uid="{6C5F712D-0164-4E90-AC78-B92B89B97BAE}"/>
    <cellStyle name="Normal 3 2 2 2 28 11 2 2 11" xfId="30682" xr:uid="{99BB440C-1452-4B42-8A90-38E6902DFECF}"/>
    <cellStyle name="Normal 3 2 2 2 28 11 2 2 2" xfId="30683" xr:uid="{BF1B0883-ED07-427B-8142-5DE727B3AD5A}"/>
    <cellStyle name="Normal 3 2 2 2 28 11 2 2 2 2" xfId="30684" xr:uid="{70D99D34-717F-4FAD-9BBF-09A3E2DA77ED}"/>
    <cellStyle name="Normal 3 2 2 2 28 11 2 2 2 2 2" xfId="30685" xr:uid="{5AAFFB4E-3A25-487B-A7E9-6D4C037174FA}"/>
    <cellStyle name="Normal 3 2 2 2 28 11 2 2 2 2 3" xfId="30686" xr:uid="{AB072EA8-C621-4F8C-82AE-EB2619622D8D}"/>
    <cellStyle name="Normal 3 2 2 2 28 11 2 2 2 2 4" xfId="30687" xr:uid="{34807320-FCD9-4FE8-AA3A-E69761BC2E76}"/>
    <cellStyle name="Normal 3 2 2 2 28 11 2 2 2 3" xfId="30688" xr:uid="{BDEF7A9D-C1DB-4A1B-9C1B-B7FF6B4C3889}"/>
    <cellStyle name="Normal 3 2 2 2 28 11 2 2 2 4" xfId="30689" xr:uid="{8F6C99F1-5CC9-472C-A69B-AB1B421086CC}"/>
    <cellStyle name="Normal 3 2 2 2 28 11 2 2 2 5" xfId="30690" xr:uid="{D7A3E9CB-738E-4C9C-9B9D-25CA4E9B2C0F}"/>
    <cellStyle name="Normal 3 2 2 2 28 11 2 2 2 6" xfId="30691" xr:uid="{AA635EBC-3CF0-4AF4-85E9-97ED42A2BC85}"/>
    <cellStyle name="Normal 3 2 2 2 28 11 2 2 3" xfId="30692" xr:uid="{73086C6B-C232-448A-B7DA-B684CD7DF763}"/>
    <cellStyle name="Normal 3 2 2 2 28 11 2 2 4" xfId="30693" xr:uid="{B6BAEB50-EEFA-434A-A9F3-3D550B399D6C}"/>
    <cellStyle name="Normal 3 2 2 2 28 11 2 2 5" xfId="30694" xr:uid="{AD104D0A-4B9D-47E9-BD67-E5D29D421F37}"/>
    <cellStyle name="Normal 3 2 2 2 28 11 2 2 6" xfId="30695" xr:uid="{CC002F11-AA49-41FD-91F4-910E3D6FF323}"/>
    <cellStyle name="Normal 3 2 2 2 28 11 2 2 7" xfId="30696" xr:uid="{4166FF78-769A-4973-89AE-A92062599CDA}"/>
    <cellStyle name="Normal 3 2 2 2 28 11 2 2 8" xfId="30697" xr:uid="{78CC910F-A1EC-46B1-8A7D-E677C7AC8565}"/>
    <cellStyle name="Normal 3 2 2 2 28 11 2 2 8 2" xfId="30698" xr:uid="{733EBCBF-DEC6-4525-ABBE-BC1E7D8936C6}"/>
    <cellStyle name="Normal 3 2 2 2 28 11 2 2 8 3" xfId="30699" xr:uid="{1E454044-D1E2-4DF8-920F-46FC20B7F83C}"/>
    <cellStyle name="Normal 3 2 2 2 28 11 2 2 8 4" xfId="30700" xr:uid="{73F9C92C-204A-4BA7-8E93-C564E4A1F0D2}"/>
    <cellStyle name="Normal 3 2 2 2 28 11 2 2 9" xfId="30701" xr:uid="{DE29FF1E-D891-4BB3-A539-1C4BFC0CB1FB}"/>
    <cellStyle name="Normal 3 2 2 2 28 11 2 3" xfId="30702" xr:uid="{A17D61E6-0A4F-4DE0-87E8-0C74EA70DC4F}"/>
    <cellStyle name="Normal 3 2 2 2 28 11 2 3 2" xfId="30703" xr:uid="{811C8058-B96A-4EAE-9CEE-967AD9D3C4C5}"/>
    <cellStyle name="Normal 3 2 2 2 28 11 2 3 2 2" xfId="30704" xr:uid="{D576A70E-8629-485A-BDD0-F890F42C4098}"/>
    <cellStyle name="Normal 3 2 2 2 28 11 2 3 2 3" xfId="30705" xr:uid="{CF80B854-A97C-4081-896E-46241897DFDD}"/>
    <cellStyle name="Normal 3 2 2 2 28 11 2 3 2 4" xfId="30706" xr:uid="{D7B18046-E6AB-4EB9-ADDA-B025F2518B22}"/>
    <cellStyle name="Normal 3 2 2 2 28 11 2 3 3" xfId="30707" xr:uid="{FD91B802-E6D3-4380-89CE-3318BC0825DC}"/>
    <cellStyle name="Normal 3 2 2 2 28 11 2 3 4" xfId="30708" xr:uid="{CFD0200A-FD55-45EF-935A-96E08256F6A9}"/>
    <cellStyle name="Normal 3 2 2 2 28 11 2 3 5" xfId="30709" xr:uid="{2879A811-62BF-45F8-AA96-DB780118F337}"/>
    <cellStyle name="Normal 3 2 2 2 28 11 2 3 6" xfId="30710" xr:uid="{51A773B9-51F0-4EDD-8045-BDD494E3B72B}"/>
    <cellStyle name="Normal 3 2 2 2 28 11 2 4" xfId="30711" xr:uid="{E763B2BC-B386-4D19-A95F-A3F42FF5678A}"/>
    <cellStyle name="Normal 3 2 2 2 28 11 2 5" xfId="30712" xr:uid="{64377653-EBA1-4E59-80D6-369CFB1C51AF}"/>
    <cellStyle name="Normal 3 2 2 2 28 11 2 6" xfId="30713" xr:uid="{B52DB05C-CC9E-4808-85A3-FCCB6D9FE0F6}"/>
    <cellStyle name="Normal 3 2 2 2 28 11 2 7" xfId="30714" xr:uid="{58DCF50F-767B-4E31-904D-3B1324612BEB}"/>
    <cellStyle name="Normal 3 2 2 2 28 11 2 8" xfId="30715" xr:uid="{43D1D266-BB5C-427E-B898-56165508B9DA}"/>
    <cellStyle name="Normal 3 2 2 2 28 11 2 8 2" xfId="30716" xr:uid="{BE8549C7-B809-4758-831E-1B0537C70806}"/>
    <cellStyle name="Normal 3 2 2 2 28 11 2 8 3" xfId="30717" xr:uid="{360C6727-A775-4FEB-91E6-703887A314C8}"/>
    <cellStyle name="Normal 3 2 2 2 28 11 2 8 4" xfId="30718" xr:uid="{61D2AF6F-72EB-426F-960C-014931500C00}"/>
    <cellStyle name="Normal 3 2 2 2 28 11 2 9" xfId="30719" xr:uid="{42D10478-3F83-4B72-8554-C7342C509518}"/>
    <cellStyle name="Normal 3 2 2 2 28 11 3" xfId="30720" xr:uid="{9BEA985C-BC40-4C5E-A209-F97CB9D474FD}"/>
    <cellStyle name="Normal 3 2 2 2 28 11 4" xfId="30721" xr:uid="{CC59B79C-04B2-49A0-A15F-FAF066AAB582}"/>
    <cellStyle name="Normal 3 2 2 2 28 11 5" xfId="30722" xr:uid="{67313AF6-6438-4D14-847F-0B67ED96F828}"/>
    <cellStyle name="Normal 3 2 2 2 28 11 5 2" xfId="30723" xr:uid="{48F22B54-804E-4157-B134-F00311FFA67E}"/>
    <cellStyle name="Normal 3 2 2 2 28 11 5 2 2" xfId="30724" xr:uid="{5237B26C-2BDF-4F70-A670-8AE51C31E849}"/>
    <cellStyle name="Normal 3 2 2 2 28 11 5 2 3" xfId="30725" xr:uid="{6C6BFA80-36E0-4082-8585-377DCB960950}"/>
    <cellStyle name="Normal 3 2 2 2 28 11 5 2 4" xfId="30726" xr:uid="{6C4CE7AF-4204-4FA9-92D2-45351B889B36}"/>
    <cellStyle name="Normal 3 2 2 2 28 11 5 3" xfId="30727" xr:uid="{3C3CF831-BBC4-4A75-BCA2-320A68C780DD}"/>
    <cellStyle name="Normal 3 2 2 2 28 11 5 4" xfId="30728" xr:uid="{FD207534-0A2F-4617-89C0-06232DB927E4}"/>
    <cellStyle name="Normal 3 2 2 2 28 11 5 5" xfId="30729" xr:uid="{C6C35FDD-6EF4-4A6F-81D9-22B5EA80DB47}"/>
    <cellStyle name="Normal 3 2 2 2 28 11 5 6" xfId="30730" xr:uid="{0EF44589-1297-45E8-95C1-43348B6FC1DF}"/>
    <cellStyle name="Normal 3 2 2 2 28 11 6" xfId="30731" xr:uid="{919E633F-756B-4203-9F31-D33B857669FD}"/>
    <cellStyle name="Normal 3 2 2 2 28 11 7" xfId="30732" xr:uid="{AB62B717-5704-4057-8542-690B26588CA0}"/>
    <cellStyle name="Normal 3 2 2 2 28 11 8" xfId="30733" xr:uid="{455712AC-948F-4AAB-A799-8EBEDE635552}"/>
    <cellStyle name="Normal 3 2 2 2 28 11 9" xfId="30734" xr:uid="{5B923380-1200-4BC0-B566-90514981E888}"/>
    <cellStyle name="Normal 3 2 2 2 28 12" xfId="30735" xr:uid="{E90E7071-9AEC-4C2A-BB96-B291806D32BB}"/>
    <cellStyle name="Normal 3 2 2 2 28 13" xfId="30736" xr:uid="{1D9E6302-C96E-46C1-922F-80CCF1B4C993}"/>
    <cellStyle name="Normal 3 2 2 2 28 13 10" xfId="30737" xr:uid="{F055B050-AC88-4A82-8F4C-2AD204C5872E}"/>
    <cellStyle name="Normal 3 2 2 2 28 13 11" xfId="30738" xr:uid="{0A11C409-FFC4-4575-9A55-4AC10021EA2F}"/>
    <cellStyle name="Normal 3 2 2 2 28 13 2" xfId="30739" xr:uid="{65D21511-E2BC-437E-AB6D-C43E560530CC}"/>
    <cellStyle name="Normal 3 2 2 2 28 13 2 10" xfId="30740" xr:uid="{E6A0B0FE-F86D-488A-A02B-704C2017B603}"/>
    <cellStyle name="Normal 3 2 2 2 28 13 2 11" xfId="30741" xr:uid="{5C8AC338-D6C9-49D9-841F-F54DB8251888}"/>
    <cellStyle name="Normal 3 2 2 2 28 13 2 2" xfId="30742" xr:uid="{121CF363-8854-4A3E-9A33-CB0963B06466}"/>
    <cellStyle name="Normal 3 2 2 2 28 13 2 2 2" xfId="30743" xr:uid="{16D2E0CC-9235-48E8-B9B2-8FDAC96B81E9}"/>
    <cellStyle name="Normal 3 2 2 2 28 13 2 2 2 2" xfId="30744" xr:uid="{147CEB17-12DF-487D-BCA6-CA1A0A92658A}"/>
    <cellStyle name="Normal 3 2 2 2 28 13 2 2 2 3" xfId="30745" xr:uid="{D39CF07B-E6F6-418D-96AA-694F6ACA30E9}"/>
    <cellStyle name="Normal 3 2 2 2 28 13 2 2 2 4" xfId="30746" xr:uid="{51527BCC-C625-41DD-990C-B2637EA67328}"/>
    <cellStyle name="Normal 3 2 2 2 28 13 2 2 3" xfId="30747" xr:uid="{47B67CA3-111F-49DC-A2F7-15C5099246EB}"/>
    <cellStyle name="Normal 3 2 2 2 28 13 2 2 4" xfId="30748" xr:uid="{5CC026C2-63A5-4B79-AFAB-FFC590DAB91E}"/>
    <cellStyle name="Normal 3 2 2 2 28 13 2 2 5" xfId="30749" xr:uid="{6893E088-6953-45ED-9625-2DA14872A627}"/>
    <cellStyle name="Normal 3 2 2 2 28 13 2 2 6" xfId="30750" xr:uid="{C80564E5-7C50-49A1-AA17-A39467DD8A7F}"/>
    <cellStyle name="Normal 3 2 2 2 28 13 2 3" xfId="30751" xr:uid="{01538858-2935-4A14-B386-713322941B69}"/>
    <cellStyle name="Normal 3 2 2 2 28 13 2 4" xfId="30752" xr:uid="{61556F46-1B36-4EC5-BA4A-C1FC78B92732}"/>
    <cellStyle name="Normal 3 2 2 2 28 13 2 5" xfId="30753" xr:uid="{99B8775C-A024-4167-A51B-5F0507A1BA07}"/>
    <cellStyle name="Normal 3 2 2 2 28 13 2 6" xfId="30754" xr:uid="{F73491C7-A92F-4601-A3A0-A0189ACF5C66}"/>
    <cellStyle name="Normal 3 2 2 2 28 13 2 7" xfId="30755" xr:uid="{025FAECF-FA1D-41C3-ADE5-8584DA76EA12}"/>
    <cellStyle name="Normal 3 2 2 2 28 13 2 8" xfId="30756" xr:uid="{BFD5D94D-9A26-4822-B6EA-1067045BC888}"/>
    <cellStyle name="Normal 3 2 2 2 28 13 2 8 2" xfId="30757" xr:uid="{61800B25-E05C-42BD-A2E8-7C8704CFC233}"/>
    <cellStyle name="Normal 3 2 2 2 28 13 2 8 3" xfId="30758" xr:uid="{52246F68-1694-49F1-A74D-7E0DDEDAE24B}"/>
    <cellStyle name="Normal 3 2 2 2 28 13 2 8 4" xfId="30759" xr:uid="{1744F383-D640-472C-A61C-7A3AC320A253}"/>
    <cellStyle name="Normal 3 2 2 2 28 13 2 9" xfId="30760" xr:uid="{D8FA91E1-E91E-4660-A408-09BACF667E0A}"/>
    <cellStyle name="Normal 3 2 2 2 28 13 3" xfId="30761" xr:uid="{36323D5C-7971-49D7-A29F-A1228047F0EF}"/>
    <cellStyle name="Normal 3 2 2 2 28 13 3 2" xfId="30762" xr:uid="{FB4BB496-D0A8-415D-8971-B380A2AF2542}"/>
    <cellStyle name="Normal 3 2 2 2 28 13 3 2 2" xfId="30763" xr:uid="{19A8DA71-E9BA-433E-895E-313CEE2BC1EA}"/>
    <cellStyle name="Normal 3 2 2 2 28 13 3 2 3" xfId="30764" xr:uid="{18BAC673-E18D-4256-B041-3E7F0C4F0E63}"/>
    <cellStyle name="Normal 3 2 2 2 28 13 3 2 4" xfId="30765" xr:uid="{EF6768F6-0DA3-476D-81FE-DAE2AF5FF059}"/>
    <cellStyle name="Normal 3 2 2 2 28 13 3 3" xfId="30766" xr:uid="{0DB2A52A-6784-4C6B-AA3E-C265DB2582D0}"/>
    <cellStyle name="Normal 3 2 2 2 28 13 3 4" xfId="30767" xr:uid="{13FF3939-1E03-45AD-AEF7-D37902403805}"/>
    <cellStyle name="Normal 3 2 2 2 28 13 3 5" xfId="30768" xr:uid="{27943005-3CB5-411A-BF61-F6D32BEFC179}"/>
    <cellStyle name="Normal 3 2 2 2 28 13 3 6" xfId="30769" xr:uid="{A02FCAE4-20E9-48C6-8BD9-EDBC8C0F5142}"/>
    <cellStyle name="Normal 3 2 2 2 28 13 4" xfId="30770" xr:uid="{C3BFB3CD-D036-4716-8954-B8C6B04DB74C}"/>
    <cellStyle name="Normal 3 2 2 2 28 13 5" xfId="30771" xr:uid="{6B71F933-BE7E-4F0A-8427-AB37337FB577}"/>
    <cellStyle name="Normal 3 2 2 2 28 13 6" xfId="30772" xr:uid="{F0DB0FB1-8F1A-4743-B2CC-08A5F91924C1}"/>
    <cellStyle name="Normal 3 2 2 2 28 13 7" xfId="30773" xr:uid="{E8CFB39F-78EB-4333-AFAB-602ECE085B40}"/>
    <cellStyle name="Normal 3 2 2 2 28 13 8" xfId="30774" xr:uid="{76557B7E-B7C5-452E-AE7D-90899EB48C78}"/>
    <cellStyle name="Normal 3 2 2 2 28 13 8 2" xfId="30775" xr:uid="{3D7AC7C8-30CA-4638-9166-7FA3DB3427EE}"/>
    <cellStyle name="Normal 3 2 2 2 28 13 8 3" xfId="30776" xr:uid="{3BE39BD2-2E79-43EF-91E3-E3B8BCD7E486}"/>
    <cellStyle name="Normal 3 2 2 2 28 13 8 4" xfId="30777" xr:uid="{ED803F91-892C-4E60-B68B-8692D20D0224}"/>
    <cellStyle name="Normal 3 2 2 2 28 13 9" xfId="30778" xr:uid="{471CC993-912E-4D76-B77B-9B930D607ED4}"/>
    <cellStyle name="Normal 3 2 2 2 28 14" xfId="30779" xr:uid="{098A14DF-6463-4168-A946-4DD4CBAA532C}"/>
    <cellStyle name="Normal 3 2 2 2 28 15" xfId="30780" xr:uid="{C7B4DE49-DF28-4525-84B7-C66621ED2E45}"/>
    <cellStyle name="Normal 3 2 2 2 28 15 2" xfId="30781" xr:uid="{D37F815D-3751-480E-B1BB-61E2ACF432A1}"/>
    <cellStyle name="Normal 3 2 2 2 28 15 2 2" xfId="30782" xr:uid="{F9431E5A-FEB3-4307-8528-A43680FB6972}"/>
    <cellStyle name="Normal 3 2 2 2 28 15 2 3" xfId="30783" xr:uid="{65200688-B12D-4BA0-8B8B-F67D546D5A9D}"/>
    <cellStyle name="Normal 3 2 2 2 28 15 2 4" xfId="30784" xr:uid="{DE037097-3CF8-496C-BE26-363123B0ED84}"/>
    <cellStyle name="Normal 3 2 2 2 28 15 3" xfId="30785" xr:uid="{DE25FAD4-9A53-4CDE-A9B6-F6B502F8289E}"/>
    <cellStyle name="Normal 3 2 2 2 28 15 4" xfId="30786" xr:uid="{97A818EE-257E-4FD6-8C30-45E81F4DA115}"/>
    <cellStyle name="Normal 3 2 2 2 28 15 5" xfId="30787" xr:uid="{BA3836E8-429F-464A-990B-FD4C6EE98246}"/>
    <cellStyle name="Normal 3 2 2 2 28 15 6" xfId="30788" xr:uid="{4E29019C-2459-4897-9589-713F1C252327}"/>
    <cellStyle name="Normal 3 2 2 2 28 16" xfId="30789" xr:uid="{652609CA-793F-4F7C-847E-4352E8F87264}"/>
    <cellStyle name="Normal 3 2 2 2 28 17" xfId="30790" xr:uid="{60E9C113-7851-4302-B316-78BA57B7F9A2}"/>
    <cellStyle name="Normal 3 2 2 2 28 18" xfId="30791" xr:uid="{7731AED6-D5FD-43F1-ACC5-D23926568141}"/>
    <cellStyle name="Normal 3 2 2 2 28 19" xfId="30792" xr:uid="{ED7BA9E3-0F3F-4806-A987-E57FFC1B4A9D}"/>
    <cellStyle name="Normal 3 2 2 2 28 2" xfId="30793" xr:uid="{93B8FB4A-2F84-413A-AE9B-46E80FAD9063}"/>
    <cellStyle name="Normal 3 2 2 2 28 2 10" xfId="30794" xr:uid="{FB1CFFDD-6CD8-4CFB-B20F-21A787EAFFB5}"/>
    <cellStyle name="Normal 3 2 2 2 28 2 11" xfId="30795" xr:uid="{06512BF4-2034-4065-B334-EF1F73D931A3}"/>
    <cellStyle name="Normal 3 2 2 2 28 2 12" xfId="30796" xr:uid="{5BFE5BED-F9AF-4859-9421-9716729B5E7E}"/>
    <cellStyle name="Normal 3 2 2 2 28 2 13" xfId="30797" xr:uid="{4E2FCD0A-703C-473F-937E-9999A559A1DD}"/>
    <cellStyle name="Normal 3 2 2 2 28 2 13 2" xfId="30798" xr:uid="{B57DAA3F-CCB1-4867-A573-5E983453CA44}"/>
    <cellStyle name="Normal 3 2 2 2 28 2 13 3" xfId="30799" xr:uid="{3AB7E031-B6E6-4B52-862F-3A23D41CFA81}"/>
    <cellStyle name="Normal 3 2 2 2 28 2 13 4" xfId="30800" xr:uid="{D9C8B2B8-01E2-42CD-B183-A29B9626A6B3}"/>
    <cellStyle name="Normal 3 2 2 2 28 2 14" xfId="30801" xr:uid="{84C42524-EFE5-4B81-86CC-435D8DB9837F}"/>
    <cellStyle name="Normal 3 2 2 2 28 2 15" xfId="30802" xr:uid="{E18FF768-9C68-4EC3-BD91-7AC7F3582A85}"/>
    <cellStyle name="Normal 3 2 2 2 28 2 16" xfId="30803" xr:uid="{4488222C-50AC-4890-997B-26298BC4B331}"/>
    <cellStyle name="Normal 3 2 2 2 28 2 2" xfId="30804" xr:uid="{7116B494-C013-41E4-96C2-49A16D7EF151}"/>
    <cellStyle name="Normal 3 2 2 2 28 2 2 10" xfId="30805" xr:uid="{B6AFA2DB-F1AE-40BA-82F2-BD7A97434624}"/>
    <cellStyle name="Normal 3 2 2 2 28 2 2 11" xfId="30806" xr:uid="{C85864F1-9632-4FEE-B73A-D7FB908AB569}"/>
    <cellStyle name="Normal 3 2 2 2 28 2 2 11 2" xfId="30807" xr:uid="{A76F23E5-EAFA-4D29-90E8-AB1ACD41690A}"/>
    <cellStyle name="Normal 3 2 2 2 28 2 2 11 3" xfId="30808" xr:uid="{3CCCACEE-A097-4FB5-BEE9-7A46BD64C0F9}"/>
    <cellStyle name="Normal 3 2 2 2 28 2 2 11 4" xfId="30809" xr:uid="{7B47689B-B46D-4808-8A1A-F52456CC9ED6}"/>
    <cellStyle name="Normal 3 2 2 2 28 2 2 12" xfId="30810" xr:uid="{C9D0D1EC-8608-4B6E-AE5C-FC6F1A4E3614}"/>
    <cellStyle name="Normal 3 2 2 2 28 2 2 13" xfId="30811" xr:uid="{638D6F00-AFF7-450E-BBF0-5198C950FE4C}"/>
    <cellStyle name="Normal 3 2 2 2 28 2 2 14" xfId="30812" xr:uid="{1D81E420-D341-4C33-9E59-3B50794021EF}"/>
    <cellStyle name="Normal 3 2 2 2 28 2 2 2" xfId="30813" xr:uid="{AD367F20-E499-4FF8-95C6-3A96EBDB68A1}"/>
    <cellStyle name="Normal 3 2 2 2 28 2 2 2 10" xfId="30814" xr:uid="{041664E4-2294-4FA8-8751-C89C13F56F6F}"/>
    <cellStyle name="Normal 3 2 2 2 28 2 2 2 11" xfId="30815" xr:uid="{A2B12954-47AA-4EBA-A1D5-BEA1CD1BA657}"/>
    <cellStyle name="Normal 3 2 2 2 28 2 2 2 2" xfId="30816" xr:uid="{005A23D8-9DC8-44A8-A9E0-97539DB3317A}"/>
    <cellStyle name="Normal 3 2 2 2 28 2 2 2 2 10" xfId="30817" xr:uid="{53E904FB-57F4-4917-9AF4-630016DAAA96}"/>
    <cellStyle name="Normal 3 2 2 2 28 2 2 2 2 11" xfId="30818" xr:uid="{E55DA2FD-3D90-4236-A3AE-BFAD896027C4}"/>
    <cellStyle name="Normal 3 2 2 2 28 2 2 2 2 2" xfId="30819" xr:uid="{4563A9C2-EDF3-43D7-9196-27F5EC0F1B77}"/>
    <cellStyle name="Normal 3 2 2 2 28 2 2 2 2 2 2" xfId="30820" xr:uid="{8E3D5E8D-C3BD-4120-8744-93475A935EB1}"/>
    <cellStyle name="Normal 3 2 2 2 28 2 2 2 2 2 2 2" xfId="30821" xr:uid="{21ADC8A3-5F1F-4ED1-96F1-C31381888BE4}"/>
    <cellStyle name="Normal 3 2 2 2 28 2 2 2 2 2 2 3" xfId="30822" xr:uid="{ABB8BF26-522D-469A-815C-ECDFE6A357B1}"/>
    <cellStyle name="Normal 3 2 2 2 28 2 2 2 2 2 2 4" xfId="30823" xr:uid="{E69ACE97-4B35-478A-B8B7-557AE23F2765}"/>
    <cellStyle name="Normal 3 2 2 2 28 2 2 2 2 2 3" xfId="30824" xr:uid="{A00920AF-6B04-418C-843B-260F82131523}"/>
    <cellStyle name="Normal 3 2 2 2 28 2 2 2 2 2 4" xfId="30825" xr:uid="{4D53DF1C-8D25-4240-B72F-C6D81D21CCC8}"/>
    <cellStyle name="Normal 3 2 2 2 28 2 2 2 2 2 5" xfId="30826" xr:uid="{B1755DBD-D7DC-4079-824F-9638270AB232}"/>
    <cellStyle name="Normal 3 2 2 2 28 2 2 2 2 2 6" xfId="30827" xr:uid="{B5830E91-2F25-4001-8581-8609417BA482}"/>
    <cellStyle name="Normal 3 2 2 2 28 2 2 2 2 3" xfId="30828" xr:uid="{7B678A36-94ED-4A6E-9FB8-E97FBDAEE511}"/>
    <cellStyle name="Normal 3 2 2 2 28 2 2 2 2 4" xfId="30829" xr:uid="{2AFE3644-0118-4FC8-A60A-D4F3A5BA3677}"/>
    <cellStyle name="Normal 3 2 2 2 28 2 2 2 2 5" xfId="30830" xr:uid="{95B6A086-4E53-4F99-83DA-31BBC7EA67E5}"/>
    <cellStyle name="Normal 3 2 2 2 28 2 2 2 2 6" xfId="30831" xr:uid="{9997D82F-8EB6-40FC-9DC3-2B19C08A03E7}"/>
    <cellStyle name="Normal 3 2 2 2 28 2 2 2 2 7" xfId="30832" xr:uid="{DFA51AED-7191-4AC8-B73B-EDCA2DA72265}"/>
    <cellStyle name="Normal 3 2 2 2 28 2 2 2 2 8" xfId="30833" xr:uid="{3F96CE9E-6155-42CD-9032-CBBF62786560}"/>
    <cellStyle name="Normal 3 2 2 2 28 2 2 2 2 8 2" xfId="30834" xr:uid="{2055A0A4-ADC9-410A-B11E-124616C53443}"/>
    <cellStyle name="Normal 3 2 2 2 28 2 2 2 2 8 3" xfId="30835" xr:uid="{45038BCD-058E-4961-85EE-452AFE78603C}"/>
    <cellStyle name="Normal 3 2 2 2 28 2 2 2 2 8 4" xfId="30836" xr:uid="{96A25DFC-45FE-4A05-9512-4E3E95556401}"/>
    <cellStyle name="Normal 3 2 2 2 28 2 2 2 2 9" xfId="30837" xr:uid="{AC52D970-D0A0-45B6-8354-C977495A0407}"/>
    <cellStyle name="Normal 3 2 2 2 28 2 2 2 3" xfId="30838" xr:uid="{569F2D1D-07C4-498B-8C7E-314BAA2170A3}"/>
    <cellStyle name="Normal 3 2 2 2 28 2 2 2 3 2" xfId="30839" xr:uid="{E7160163-06FB-4717-8208-5B0F7EF60510}"/>
    <cellStyle name="Normal 3 2 2 2 28 2 2 2 3 2 2" xfId="30840" xr:uid="{F504589D-A84B-4A11-9F8B-E6B853F84DE4}"/>
    <cellStyle name="Normal 3 2 2 2 28 2 2 2 3 2 3" xfId="30841" xr:uid="{32B8FCDE-F94A-4369-B162-AE4DFA8160CB}"/>
    <cellStyle name="Normal 3 2 2 2 28 2 2 2 3 2 4" xfId="30842" xr:uid="{262213F7-4E69-4B3F-9137-FA6819EBFEEB}"/>
    <cellStyle name="Normal 3 2 2 2 28 2 2 2 3 3" xfId="30843" xr:uid="{07BAED9E-DAA6-4CEA-B6AF-86EC5DEA7261}"/>
    <cellStyle name="Normal 3 2 2 2 28 2 2 2 3 4" xfId="30844" xr:uid="{37D23CE4-C48B-4F02-AE2B-63610A8AE5BF}"/>
    <cellStyle name="Normal 3 2 2 2 28 2 2 2 3 5" xfId="30845" xr:uid="{29DC68B3-DAF0-4C16-980E-07B4329E34F9}"/>
    <cellStyle name="Normal 3 2 2 2 28 2 2 2 3 6" xfId="30846" xr:uid="{2900AFAB-A01F-4EC7-A6E3-84CCA4A9D0A8}"/>
    <cellStyle name="Normal 3 2 2 2 28 2 2 2 4" xfId="30847" xr:uid="{991EF5AD-50BF-47F8-870A-4A7AA756BA03}"/>
    <cellStyle name="Normal 3 2 2 2 28 2 2 2 5" xfId="30848" xr:uid="{2C12922E-E68F-4F3C-AA2D-087F8E80F63E}"/>
    <cellStyle name="Normal 3 2 2 2 28 2 2 2 6" xfId="30849" xr:uid="{D8A085F9-4221-46D1-B09B-485DA813134C}"/>
    <cellStyle name="Normal 3 2 2 2 28 2 2 2 7" xfId="30850" xr:uid="{C5C3731C-F8F1-47D0-B91C-24AD56AAC76A}"/>
    <cellStyle name="Normal 3 2 2 2 28 2 2 2 8" xfId="30851" xr:uid="{645B1E65-5085-4552-AE70-120D61E379B4}"/>
    <cellStyle name="Normal 3 2 2 2 28 2 2 2 8 2" xfId="30852" xr:uid="{103D0975-3112-404F-A289-6B3A4B8B6313}"/>
    <cellStyle name="Normal 3 2 2 2 28 2 2 2 8 3" xfId="30853" xr:uid="{A91FB9D7-9058-4D04-AB8D-0BF54EE2C6A1}"/>
    <cellStyle name="Normal 3 2 2 2 28 2 2 2 8 4" xfId="30854" xr:uid="{82899DC5-73C0-499D-B75D-6C9CC903F88E}"/>
    <cellStyle name="Normal 3 2 2 2 28 2 2 2 9" xfId="30855" xr:uid="{02FF81B4-BBD6-4141-80D5-6876A5E07F25}"/>
    <cellStyle name="Normal 3 2 2 2 28 2 2 3" xfId="30856" xr:uid="{C406517B-3A37-4C7D-9D11-7687142CD9E9}"/>
    <cellStyle name="Normal 3 2 2 2 28 2 2 4" xfId="30857" xr:uid="{D8F718F0-D982-477B-9EAA-C5D6E4BCCF91}"/>
    <cellStyle name="Normal 3 2 2 2 28 2 2 5" xfId="30858" xr:uid="{B0DBE896-895A-4FD7-8282-B80E0B253E69}"/>
    <cellStyle name="Normal 3 2 2 2 28 2 2 5 2" xfId="30859" xr:uid="{E9A88B09-F322-4140-BE1F-71383751C7A4}"/>
    <cellStyle name="Normal 3 2 2 2 28 2 2 5 2 2" xfId="30860" xr:uid="{B8933F42-2824-4112-94F4-BA23B12FCBC0}"/>
    <cellStyle name="Normal 3 2 2 2 28 2 2 5 2 3" xfId="30861" xr:uid="{95177441-DCCC-4558-A7BF-E33F474112D8}"/>
    <cellStyle name="Normal 3 2 2 2 28 2 2 5 2 4" xfId="30862" xr:uid="{D469D719-E392-4E78-AFD4-71FAECF176A0}"/>
    <cellStyle name="Normal 3 2 2 2 28 2 2 5 3" xfId="30863" xr:uid="{DABD17CA-7C3A-457D-8301-1D95E72CA0E4}"/>
    <cellStyle name="Normal 3 2 2 2 28 2 2 5 4" xfId="30864" xr:uid="{0A56BE6C-08EE-4FA7-86EA-4345422F598E}"/>
    <cellStyle name="Normal 3 2 2 2 28 2 2 5 5" xfId="30865" xr:uid="{769DF54C-4D30-4E9C-AC15-D0B334ED6C90}"/>
    <cellStyle name="Normal 3 2 2 2 28 2 2 5 6" xfId="30866" xr:uid="{0F504F44-C800-4FCE-B036-C9D981A43840}"/>
    <cellStyle name="Normal 3 2 2 2 28 2 2 6" xfId="30867" xr:uid="{6E2CA10B-3F80-4345-AD26-2667AA48F508}"/>
    <cellStyle name="Normal 3 2 2 2 28 2 2 7" xfId="30868" xr:uid="{032F46F9-948F-4062-8804-AC83107FBCD8}"/>
    <cellStyle name="Normal 3 2 2 2 28 2 2 8" xfId="30869" xr:uid="{9502C588-D094-4415-BD81-E0B661E46002}"/>
    <cellStyle name="Normal 3 2 2 2 28 2 2 9" xfId="30870" xr:uid="{5B92478B-F9F9-461D-9517-C263A4A8F019}"/>
    <cellStyle name="Normal 3 2 2 2 28 2 3" xfId="30871" xr:uid="{0F27E943-4FC6-4869-A4F0-BDCFA5348196}"/>
    <cellStyle name="Normal 3 2 2 2 28 2 4" xfId="30872" xr:uid="{C8605DF5-A4B7-4CEE-B591-860B02AD05C3}"/>
    <cellStyle name="Normal 3 2 2 2 28 2 5" xfId="30873" xr:uid="{2CC95AA8-B0DF-41AE-8EC4-F7041DC710F5}"/>
    <cellStyle name="Normal 3 2 2 2 28 2 5 10" xfId="30874" xr:uid="{91BB0BAE-AE14-40FE-8A5A-0FCCE215244C}"/>
    <cellStyle name="Normal 3 2 2 2 28 2 5 11" xfId="30875" xr:uid="{AC94AFC6-8328-42F7-948D-736BE09768F6}"/>
    <cellStyle name="Normal 3 2 2 2 28 2 5 2" xfId="30876" xr:uid="{C84C2610-023F-40C2-8995-D15D0617DA26}"/>
    <cellStyle name="Normal 3 2 2 2 28 2 5 2 10" xfId="30877" xr:uid="{FF8186F4-E01B-4650-98BE-ECD415FA3783}"/>
    <cellStyle name="Normal 3 2 2 2 28 2 5 2 11" xfId="30878" xr:uid="{FF0EBB48-4006-4C12-A59E-3B585F52F9F9}"/>
    <cellStyle name="Normal 3 2 2 2 28 2 5 2 2" xfId="30879" xr:uid="{48E852FF-91DB-4660-BA64-E52DD645179C}"/>
    <cellStyle name="Normal 3 2 2 2 28 2 5 2 2 2" xfId="30880" xr:uid="{A723C6A5-815D-48EE-9456-DB2D07B8D9A1}"/>
    <cellStyle name="Normal 3 2 2 2 28 2 5 2 2 2 2" xfId="30881" xr:uid="{EE7181D2-2283-41B4-A30C-4B59406435F2}"/>
    <cellStyle name="Normal 3 2 2 2 28 2 5 2 2 2 3" xfId="30882" xr:uid="{93EF44CE-3644-4D27-A7C3-2302677352F1}"/>
    <cellStyle name="Normal 3 2 2 2 28 2 5 2 2 2 4" xfId="30883" xr:uid="{620952BC-D23B-453B-B5B2-42DCAFA269E7}"/>
    <cellStyle name="Normal 3 2 2 2 28 2 5 2 2 3" xfId="30884" xr:uid="{A543787F-DD29-485B-8DE4-09D93378BF2A}"/>
    <cellStyle name="Normal 3 2 2 2 28 2 5 2 2 4" xfId="30885" xr:uid="{3D439B26-8652-412D-A8EE-1015C3729B3B}"/>
    <cellStyle name="Normal 3 2 2 2 28 2 5 2 2 5" xfId="30886" xr:uid="{82144F55-C0DD-46B1-8D13-C609E0683E61}"/>
    <cellStyle name="Normal 3 2 2 2 28 2 5 2 2 6" xfId="30887" xr:uid="{5A238123-86E2-46B6-AACD-EA2C05D3BEA4}"/>
    <cellStyle name="Normal 3 2 2 2 28 2 5 2 3" xfId="30888" xr:uid="{7F6E2DA5-5019-4F7B-AA7B-3B2A356357B2}"/>
    <cellStyle name="Normal 3 2 2 2 28 2 5 2 4" xfId="30889" xr:uid="{E5541782-0790-4966-94C2-A6B2EFE7771E}"/>
    <cellStyle name="Normal 3 2 2 2 28 2 5 2 5" xfId="30890" xr:uid="{BCF73A14-7F01-4B7A-86CF-4CD8BB0AC411}"/>
    <cellStyle name="Normal 3 2 2 2 28 2 5 2 6" xfId="30891" xr:uid="{D13DB3DA-C315-4E91-AB0F-3F54DB9F5F9D}"/>
    <cellStyle name="Normal 3 2 2 2 28 2 5 2 7" xfId="30892" xr:uid="{1BAA444D-84C1-4881-B61C-B917310CDDEC}"/>
    <cellStyle name="Normal 3 2 2 2 28 2 5 2 8" xfId="30893" xr:uid="{D7B58F2F-2AEF-4BF9-BDDB-A0EA82838C05}"/>
    <cellStyle name="Normal 3 2 2 2 28 2 5 2 8 2" xfId="30894" xr:uid="{7A6F4A3B-D3BC-46A2-AEC6-F60ACCD209B8}"/>
    <cellStyle name="Normal 3 2 2 2 28 2 5 2 8 3" xfId="30895" xr:uid="{2419543C-8306-497C-A3AC-9223367C707A}"/>
    <cellStyle name="Normal 3 2 2 2 28 2 5 2 8 4" xfId="30896" xr:uid="{3C382CA6-E62D-4FF1-917C-C111175BAC6E}"/>
    <cellStyle name="Normal 3 2 2 2 28 2 5 2 9" xfId="30897" xr:uid="{5649A360-0029-4F56-A602-C26D9EC3BA81}"/>
    <cellStyle name="Normal 3 2 2 2 28 2 5 3" xfId="30898" xr:uid="{1508C6CC-AFBE-4B82-8EAE-4B0485F76AD9}"/>
    <cellStyle name="Normal 3 2 2 2 28 2 5 3 2" xfId="30899" xr:uid="{930CF560-D218-451A-A5D1-4D6696334F30}"/>
    <cellStyle name="Normal 3 2 2 2 28 2 5 3 2 2" xfId="30900" xr:uid="{86594BF4-D627-4AAA-8523-6F8D0F80CEFF}"/>
    <cellStyle name="Normal 3 2 2 2 28 2 5 3 2 3" xfId="30901" xr:uid="{BDD893A2-489D-4E0C-B9A4-B60BB569FEE2}"/>
    <cellStyle name="Normal 3 2 2 2 28 2 5 3 2 4" xfId="30902" xr:uid="{09076202-899D-4309-B4A4-7B261452BD1A}"/>
    <cellStyle name="Normal 3 2 2 2 28 2 5 3 3" xfId="30903" xr:uid="{97EB7826-13F3-4177-88AD-ED01F67DE76B}"/>
    <cellStyle name="Normal 3 2 2 2 28 2 5 3 4" xfId="30904" xr:uid="{5660C426-FB86-48F4-AB80-AA10CF9B68AE}"/>
    <cellStyle name="Normal 3 2 2 2 28 2 5 3 5" xfId="30905" xr:uid="{ABE61BDA-0D61-4E10-855D-B22C3C918704}"/>
    <cellStyle name="Normal 3 2 2 2 28 2 5 3 6" xfId="30906" xr:uid="{C1BB96E6-F77A-4ECE-ACBA-3F8C6405E270}"/>
    <cellStyle name="Normal 3 2 2 2 28 2 5 4" xfId="30907" xr:uid="{3D9968BB-405C-4E9D-A580-191C19577970}"/>
    <cellStyle name="Normal 3 2 2 2 28 2 5 5" xfId="30908" xr:uid="{F3DA9FE6-DF60-423E-9F5E-BFAA4C4CCFA5}"/>
    <cellStyle name="Normal 3 2 2 2 28 2 5 6" xfId="30909" xr:uid="{78E3BBE1-CB20-4C4C-948C-E8FB509EE729}"/>
    <cellStyle name="Normal 3 2 2 2 28 2 5 7" xfId="30910" xr:uid="{2B4F5133-FA07-4E7A-8039-B4A57A467A88}"/>
    <cellStyle name="Normal 3 2 2 2 28 2 5 8" xfId="30911" xr:uid="{ED7FBE31-35B9-488F-94AF-DF598E54DFFC}"/>
    <cellStyle name="Normal 3 2 2 2 28 2 5 8 2" xfId="30912" xr:uid="{FD40BB34-1310-4D11-A3EA-4D29809C08F7}"/>
    <cellStyle name="Normal 3 2 2 2 28 2 5 8 3" xfId="30913" xr:uid="{422579AF-9CF6-4458-A9CF-596C5045D969}"/>
    <cellStyle name="Normal 3 2 2 2 28 2 5 8 4" xfId="30914" xr:uid="{9C5F91B9-7B1B-4797-B39F-89E5CD644A58}"/>
    <cellStyle name="Normal 3 2 2 2 28 2 5 9" xfId="30915" xr:uid="{5C5541CD-A9BC-4750-8B72-DF52AF845CA4}"/>
    <cellStyle name="Normal 3 2 2 2 28 2 6" xfId="30916" xr:uid="{B6605C3E-A2B3-49B0-B777-24BF92F1AC67}"/>
    <cellStyle name="Normal 3 2 2 2 28 2 7" xfId="30917" xr:uid="{1B75D363-11CB-4FC0-AB2B-2A19053D04FD}"/>
    <cellStyle name="Normal 3 2 2 2 28 2 7 2" xfId="30918" xr:uid="{25E76784-E4D7-4288-88FF-7F2527C16D13}"/>
    <cellStyle name="Normal 3 2 2 2 28 2 7 2 2" xfId="30919" xr:uid="{09EF800F-F071-4EAE-B24B-490103947B88}"/>
    <cellStyle name="Normal 3 2 2 2 28 2 7 2 3" xfId="30920" xr:uid="{8F8FFF13-F6F5-45D7-B346-710C688F58D7}"/>
    <cellStyle name="Normal 3 2 2 2 28 2 7 2 4" xfId="30921" xr:uid="{88C09821-78C5-45EA-8D61-F9EE83AC01E8}"/>
    <cellStyle name="Normal 3 2 2 2 28 2 7 3" xfId="30922" xr:uid="{D8884B80-0043-47ED-B32A-FF0C7662ED9B}"/>
    <cellStyle name="Normal 3 2 2 2 28 2 7 4" xfId="30923" xr:uid="{A99AB3E0-4ADC-41BE-9872-1A0948844D1E}"/>
    <cellStyle name="Normal 3 2 2 2 28 2 7 5" xfId="30924" xr:uid="{44A83965-BD21-4DA5-8F36-641931B6B6ED}"/>
    <cellStyle name="Normal 3 2 2 2 28 2 7 6" xfId="30925" xr:uid="{8DC54032-F619-49E1-A998-F7F45D07A9CA}"/>
    <cellStyle name="Normal 3 2 2 2 28 2 8" xfId="30926" xr:uid="{90D805F7-EC21-4920-8C0B-F6B3139473F0}"/>
    <cellStyle name="Normal 3 2 2 2 28 2 9" xfId="30927" xr:uid="{5F1B0295-98B1-4DAD-AF5F-DBF63329BF89}"/>
    <cellStyle name="Normal 3 2 2 2 28 20" xfId="30928" xr:uid="{14F806F2-58C7-4D17-AE7E-AACE31C3CCB1}"/>
    <cellStyle name="Normal 3 2 2 2 28 21" xfId="30929" xr:uid="{F2B8AA38-276F-4C15-B0B7-C2E02717771D}"/>
    <cellStyle name="Normal 3 2 2 2 28 21 2" xfId="30930" xr:uid="{CAEA9E90-E204-4F07-B93B-5B3802C3C99D}"/>
    <cellStyle name="Normal 3 2 2 2 28 21 3" xfId="30931" xr:uid="{5D8C9F5C-63C5-4527-B846-3E74E58A2589}"/>
    <cellStyle name="Normal 3 2 2 2 28 21 4" xfId="30932" xr:uid="{DE21E81A-DEE8-41BD-8A20-D1531C9C864A}"/>
    <cellStyle name="Normal 3 2 2 2 28 22" xfId="30933" xr:uid="{2D374662-DCDB-4F33-98B6-A73556D1024D}"/>
    <cellStyle name="Normal 3 2 2 2 28 23" xfId="30934" xr:uid="{F75D33A2-6C1A-4825-AB23-097A4A19D3C5}"/>
    <cellStyle name="Normal 3 2 2 2 28 24" xfId="30935" xr:uid="{2E31500B-0E6E-4B60-8D73-96A09EF56D7D}"/>
    <cellStyle name="Normal 3 2 2 2 28 3" xfId="30936" xr:uid="{26B0FB56-B353-401F-A948-E684A1EB25C2}"/>
    <cellStyle name="Normal 3 2 2 2 28 4" xfId="30937" xr:uid="{69B65315-0E45-4505-B862-0308CD1F957C}"/>
    <cellStyle name="Normal 3 2 2 2 28 5" xfId="30938" xr:uid="{0891FC8C-0D24-4F9B-9568-5BBDB8E62C99}"/>
    <cellStyle name="Normal 3 2 2 2 28 6" xfId="30939" xr:uid="{1522B079-31B5-49D4-821C-DB65A6DB02F1}"/>
    <cellStyle name="Normal 3 2 2 2 28 7" xfId="30940" xr:uid="{8E1B1619-967E-431F-B5C7-E7197F9136A8}"/>
    <cellStyle name="Normal 3 2 2 2 28 8" xfId="30941" xr:uid="{F5E24ED6-F1BD-4A60-AFC7-0439FF95DAF4}"/>
    <cellStyle name="Normal 3 2 2 2 28 9" xfId="30942" xr:uid="{C650FCA6-7F87-45D8-831C-00D8F5534210}"/>
    <cellStyle name="Normal 3 2 2 2 29" xfId="30943" xr:uid="{AB4E7453-6F19-4B98-BD9D-C7328FEC2E40}"/>
    <cellStyle name="Normal 3 2 2 2 29 10" xfId="30944" xr:uid="{D3419734-6D7C-461E-8EA6-DE24C2B59C2F}"/>
    <cellStyle name="Normal 3 2 2 2 29 11" xfId="30945" xr:uid="{12D2E056-175B-482D-A7F6-3E7F4271490A}"/>
    <cellStyle name="Normal 3 2 2 2 29 12" xfId="30946" xr:uid="{D15F0080-98C4-4C75-BA57-4EF495044033}"/>
    <cellStyle name="Normal 3 2 2 2 29 13" xfId="30947" xr:uid="{256E1817-5E64-4A53-8214-12026C827F4F}"/>
    <cellStyle name="Normal 3 2 2 2 29 13 2" xfId="30948" xr:uid="{CB8723A5-102C-406C-A267-893334FEED24}"/>
    <cellStyle name="Normal 3 2 2 2 29 13 3" xfId="30949" xr:uid="{23E4FD77-A811-4482-B96A-C2A710FCF643}"/>
    <cellStyle name="Normal 3 2 2 2 29 13 4" xfId="30950" xr:uid="{1753DEC2-D709-4BAF-9B08-95F96E68414A}"/>
    <cellStyle name="Normal 3 2 2 2 29 14" xfId="30951" xr:uid="{4AB6B165-2498-45BF-A6BE-DD20668B5F2E}"/>
    <cellStyle name="Normal 3 2 2 2 29 15" xfId="30952" xr:uid="{4D92374E-EE1A-4D0C-ABB6-AB9735472876}"/>
    <cellStyle name="Normal 3 2 2 2 29 16" xfId="30953" xr:uid="{3B7A2506-962A-4AFC-A647-E50D6B049EA8}"/>
    <cellStyle name="Normal 3 2 2 2 29 2" xfId="30954" xr:uid="{43498435-DBE4-4B71-B848-57C86E36918E}"/>
    <cellStyle name="Normal 3 2 2 2 29 2 10" xfId="30955" xr:uid="{7B3D5B25-EE95-490D-9096-A8D867B96433}"/>
    <cellStyle name="Normal 3 2 2 2 29 2 11" xfId="30956" xr:uid="{A9D3A360-8CE5-4F9D-95BC-7DAD39D4399D}"/>
    <cellStyle name="Normal 3 2 2 2 29 2 11 2" xfId="30957" xr:uid="{9F5041E6-D56E-4990-8308-FD41D4A96BEA}"/>
    <cellStyle name="Normal 3 2 2 2 29 2 11 3" xfId="30958" xr:uid="{B4EA1216-E3A1-449D-A399-95EAA878FE79}"/>
    <cellStyle name="Normal 3 2 2 2 29 2 11 4" xfId="30959" xr:uid="{6DF9776E-F06D-4F2C-AA19-E145BA30E438}"/>
    <cellStyle name="Normal 3 2 2 2 29 2 12" xfId="30960" xr:uid="{FE43B45B-697D-4180-A260-742742FF99F8}"/>
    <cellStyle name="Normal 3 2 2 2 29 2 13" xfId="30961" xr:uid="{34BF72C7-29BC-4F1B-910B-A6B4982592EE}"/>
    <cellStyle name="Normal 3 2 2 2 29 2 14" xfId="30962" xr:uid="{7899EBB5-E3FF-4170-BD53-B4FA8952B38A}"/>
    <cellStyle name="Normal 3 2 2 2 29 2 2" xfId="30963" xr:uid="{C6511E34-3B98-42E4-8233-50A39D7E8345}"/>
    <cellStyle name="Normal 3 2 2 2 29 2 2 10" xfId="30964" xr:uid="{434BE86C-1ADF-445A-96D4-3CFA4114FE33}"/>
    <cellStyle name="Normal 3 2 2 2 29 2 2 11" xfId="30965" xr:uid="{817F111A-CF87-4986-A1A5-F96D4CB54C9A}"/>
    <cellStyle name="Normal 3 2 2 2 29 2 2 2" xfId="30966" xr:uid="{1E9CA9F9-EA90-4562-82FC-6F4C5CF1B6C4}"/>
    <cellStyle name="Normal 3 2 2 2 29 2 2 2 10" xfId="30967" xr:uid="{30618F27-A9AC-4184-9978-D0A74EB491AA}"/>
    <cellStyle name="Normal 3 2 2 2 29 2 2 2 11" xfId="30968" xr:uid="{A75AEA73-B65F-40D6-8AE6-85F306DF3429}"/>
    <cellStyle name="Normal 3 2 2 2 29 2 2 2 2" xfId="30969" xr:uid="{68202B44-E01C-49B6-9675-A204D159A87B}"/>
    <cellStyle name="Normal 3 2 2 2 29 2 2 2 2 2" xfId="30970" xr:uid="{3E1079F6-B177-4171-A185-9473F4E3C43E}"/>
    <cellStyle name="Normal 3 2 2 2 29 2 2 2 2 2 2" xfId="30971" xr:uid="{46A6F984-DA07-49FC-812C-5DDC420908C9}"/>
    <cellStyle name="Normal 3 2 2 2 29 2 2 2 2 2 3" xfId="30972" xr:uid="{198229C8-DF52-421B-AA2B-A29853755B37}"/>
    <cellStyle name="Normal 3 2 2 2 29 2 2 2 2 2 4" xfId="30973" xr:uid="{9F731D8E-F35D-45D1-BDDC-6FF9CE97C4B6}"/>
    <cellStyle name="Normal 3 2 2 2 29 2 2 2 2 3" xfId="30974" xr:uid="{E14373AD-A13D-47EF-90D6-5F65DEE246A4}"/>
    <cellStyle name="Normal 3 2 2 2 29 2 2 2 2 4" xfId="30975" xr:uid="{B35FA91E-2E65-4ECE-9CAD-FCB173689E95}"/>
    <cellStyle name="Normal 3 2 2 2 29 2 2 2 2 5" xfId="30976" xr:uid="{48548221-6576-487E-8205-98464CA213E1}"/>
    <cellStyle name="Normal 3 2 2 2 29 2 2 2 2 6" xfId="30977" xr:uid="{9E5F9772-CEBC-46BA-8BDC-BECF87ADF051}"/>
    <cellStyle name="Normal 3 2 2 2 29 2 2 2 3" xfId="30978" xr:uid="{E39D3AF7-D0BD-4B62-B2E3-0BD9899C24BD}"/>
    <cellStyle name="Normal 3 2 2 2 29 2 2 2 4" xfId="30979" xr:uid="{4B699F28-AC58-4DB8-AF8C-3647A9602909}"/>
    <cellStyle name="Normal 3 2 2 2 29 2 2 2 5" xfId="30980" xr:uid="{4922688B-6D8D-48FF-841E-F80C1C6833F0}"/>
    <cellStyle name="Normal 3 2 2 2 29 2 2 2 6" xfId="30981" xr:uid="{37F2F1A3-80FE-4510-8B68-E3F8AD69BD38}"/>
    <cellStyle name="Normal 3 2 2 2 29 2 2 2 7" xfId="30982" xr:uid="{7A78FCDF-15C5-4195-B4FF-47470AE7D98D}"/>
    <cellStyle name="Normal 3 2 2 2 29 2 2 2 8" xfId="30983" xr:uid="{21D1B2FB-5853-42AD-AD4C-C2194EE54166}"/>
    <cellStyle name="Normal 3 2 2 2 29 2 2 2 8 2" xfId="30984" xr:uid="{C3D191B4-075A-4A8F-B47E-95B7E56281FC}"/>
    <cellStyle name="Normal 3 2 2 2 29 2 2 2 8 3" xfId="30985" xr:uid="{A60ECC61-2288-4757-824A-6525FBE50C14}"/>
    <cellStyle name="Normal 3 2 2 2 29 2 2 2 8 4" xfId="30986" xr:uid="{971A9D0F-0029-4B87-809B-FB198DAA819F}"/>
    <cellStyle name="Normal 3 2 2 2 29 2 2 2 9" xfId="30987" xr:uid="{4767CA3D-1049-4850-8147-E4B31F497E40}"/>
    <cellStyle name="Normal 3 2 2 2 29 2 2 3" xfId="30988" xr:uid="{16CA95D0-074B-40BE-B24F-3E0B306D775E}"/>
    <cellStyle name="Normal 3 2 2 2 29 2 2 3 2" xfId="30989" xr:uid="{216DF71F-9959-4D03-9B42-CAF5A3976465}"/>
    <cellStyle name="Normal 3 2 2 2 29 2 2 3 2 2" xfId="30990" xr:uid="{18B7A209-D975-4F3B-84BF-91B193FE51C2}"/>
    <cellStyle name="Normal 3 2 2 2 29 2 2 3 2 3" xfId="30991" xr:uid="{C8BBAC64-3714-48D1-8520-C64C701BB7B4}"/>
    <cellStyle name="Normal 3 2 2 2 29 2 2 3 2 4" xfId="30992" xr:uid="{D6169A49-1FC1-48FA-B50F-654AD516A877}"/>
    <cellStyle name="Normal 3 2 2 2 29 2 2 3 3" xfId="30993" xr:uid="{D1644B4D-7E4B-4DCF-B715-6DDC52E52EA4}"/>
    <cellStyle name="Normal 3 2 2 2 29 2 2 3 4" xfId="30994" xr:uid="{9ED8F1B6-69DA-4788-93E6-09335DC7D54B}"/>
    <cellStyle name="Normal 3 2 2 2 29 2 2 3 5" xfId="30995" xr:uid="{EED81D79-1A90-4428-8C29-3F4B6C262B93}"/>
    <cellStyle name="Normal 3 2 2 2 29 2 2 3 6" xfId="30996" xr:uid="{B47C880D-BC5D-4BB4-959D-AF5BF041E385}"/>
    <cellStyle name="Normal 3 2 2 2 29 2 2 4" xfId="30997" xr:uid="{F010D676-231C-4E33-B510-9D7B2C735B7A}"/>
    <cellStyle name="Normal 3 2 2 2 29 2 2 5" xfId="30998" xr:uid="{30471414-3440-4CA5-87FC-2046D679AC88}"/>
    <cellStyle name="Normal 3 2 2 2 29 2 2 6" xfId="30999" xr:uid="{3E6C77F1-0DB9-4EA5-A1FB-60D1936E6F70}"/>
    <cellStyle name="Normal 3 2 2 2 29 2 2 7" xfId="31000" xr:uid="{AAEDCDA5-D9BF-4426-AEAE-EC2C46ADC577}"/>
    <cellStyle name="Normal 3 2 2 2 29 2 2 8" xfId="31001" xr:uid="{66BCAAB9-7C99-479B-A566-8793ECC88E2D}"/>
    <cellStyle name="Normal 3 2 2 2 29 2 2 8 2" xfId="31002" xr:uid="{674E8FE2-D718-47BA-B36E-603A9CB8BDDA}"/>
    <cellStyle name="Normal 3 2 2 2 29 2 2 8 3" xfId="31003" xr:uid="{4078FC78-A426-4902-B1AA-2B3632A5F66B}"/>
    <cellStyle name="Normal 3 2 2 2 29 2 2 8 4" xfId="31004" xr:uid="{FD4D70DF-688A-4BC1-A553-344E2A34925F}"/>
    <cellStyle name="Normal 3 2 2 2 29 2 2 9" xfId="31005" xr:uid="{7C53C7FF-093E-4EF3-B272-D78123C38B84}"/>
    <cellStyle name="Normal 3 2 2 2 29 2 3" xfId="31006" xr:uid="{16AD2F23-BAB5-4EC2-A838-B9B795D1AE80}"/>
    <cellStyle name="Normal 3 2 2 2 29 2 4" xfId="31007" xr:uid="{6316E601-006B-4585-B5D8-7B5230264201}"/>
    <cellStyle name="Normal 3 2 2 2 29 2 5" xfId="31008" xr:uid="{BC75FD5D-756A-44EF-B7FF-2A162F5F65A8}"/>
    <cellStyle name="Normal 3 2 2 2 29 2 5 2" xfId="31009" xr:uid="{0ABACE64-7CCE-4B72-BFE5-EFC906316877}"/>
    <cellStyle name="Normal 3 2 2 2 29 2 5 2 2" xfId="31010" xr:uid="{ADA41306-DD6A-492A-80AA-A6D6D189F924}"/>
    <cellStyle name="Normal 3 2 2 2 29 2 5 2 3" xfId="31011" xr:uid="{390DD8D5-7F1A-4883-8BBF-1A0466C4EB0A}"/>
    <cellStyle name="Normal 3 2 2 2 29 2 5 2 4" xfId="31012" xr:uid="{D12C125B-C240-4A29-B937-58642C494919}"/>
    <cellStyle name="Normal 3 2 2 2 29 2 5 3" xfId="31013" xr:uid="{0046B9EE-01B0-4DDD-8158-11AA99C2DC06}"/>
    <cellStyle name="Normal 3 2 2 2 29 2 5 4" xfId="31014" xr:uid="{99506FE2-35EA-47D6-9ACE-3EE630A69D80}"/>
    <cellStyle name="Normal 3 2 2 2 29 2 5 5" xfId="31015" xr:uid="{DBB1F750-3DB3-4B21-83AB-5965CA408E8A}"/>
    <cellStyle name="Normal 3 2 2 2 29 2 5 6" xfId="31016" xr:uid="{439E92C3-73D9-4249-927A-2AC5FADA73E8}"/>
    <cellStyle name="Normal 3 2 2 2 29 2 6" xfId="31017" xr:uid="{E204D9A0-F419-40A2-9709-BD8971656568}"/>
    <cellStyle name="Normal 3 2 2 2 29 2 7" xfId="31018" xr:uid="{843669BE-DFF0-4B9E-AFD1-39F5D4969766}"/>
    <cellStyle name="Normal 3 2 2 2 29 2 8" xfId="31019" xr:uid="{9279B2A0-1877-4053-A024-4893BC5B8A25}"/>
    <cellStyle name="Normal 3 2 2 2 29 2 9" xfId="31020" xr:uid="{A5901730-CB82-4EC7-A877-441C42AAF51F}"/>
    <cellStyle name="Normal 3 2 2 2 29 3" xfId="31021" xr:uid="{275FE108-371C-43BF-8C45-78DB210F1491}"/>
    <cellStyle name="Normal 3 2 2 2 29 4" xfId="31022" xr:uid="{7F78EB79-C3D0-4155-8096-7CC71AD63FFA}"/>
    <cellStyle name="Normal 3 2 2 2 29 5" xfId="31023" xr:uid="{F6648DE7-114E-45AD-99CC-3ECD586F6833}"/>
    <cellStyle name="Normal 3 2 2 2 29 5 10" xfId="31024" xr:uid="{3B855FE5-336E-412A-AF31-649E0D9DCA7B}"/>
    <cellStyle name="Normal 3 2 2 2 29 5 11" xfId="31025" xr:uid="{D8FB7562-8258-4DD4-9756-01CC50362DDE}"/>
    <cellStyle name="Normal 3 2 2 2 29 5 2" xfId="31026" xr:uid="{624EF13A-BF0A-4D55-9764-D133380B5694}"/>
    <cellStyle name="Normal 3 2 2 2 29 5 2 10" xfId="31027" xr:uid="{CEA0D0BB-20D6-4BF1-8346-2F9C09D25677}"/>
    <cellStyle name="Normal 3 2 2 2 29 5 2 11" xfId="31028" xr:uid="{CDA846E6-23ED-412C-881D-4A11AC95B1BA}"/>
    <cellStyle name="Normal 3 2 2 2 29 5 2 2" xfId="31029" xr:uid="{910BD2C7-E087-48C0-9160-92AF99182D53}"/>
    <cellStyle name="Normal 3 2 2 2 29 5 2 2 2" xfId="31030" xr:uid="{496BBCBA-D9D8-49E0-B69E-BD92C4ACA616}"/>
    <cellStyle name="Normal 3 2 2 2 29 5 2 2 2 2" xfId="31031" xr:uid="{B4C960FB-27E1-42CB-931C-B5DE6FD2EBF1}"/>
    <cellStyle name="Normal 3 2 2 2 29 5 2 2 2 3" xfId="31032" xr:uid="{6D3A8756-5DCA-4DC2-AC86-3413D7E2AEB2}"/>
    <cellStyle name="Normal 3 2 2 2 29 5 2 2 2 4" xfId="31033" xr:uid="{3C927941-5031-4003-92A2-82E3D422F361}"/>
    <cellStyle name="Normal 3 2 2 2 29 5 2 2 3" xfId="31034" xr:uid="{9436589C-9E7D-4765-B80F-75798B054D6B}"/>
    <cellStyle name="Normal 3 2 2 2 29 5 2 2 4" xfId="31035" xr:uid="{DDE0E687-AF92-4B53-8BB7-35575A73E341}"/>
    <cellStyle name="Normal 3 2 2 2 29 5 2 2 5" xfId="31036" xr:uid="{A385196B-96AE-4796-8208-142758E2A377}"/>
    <cellStyle name="Normal 3 2 2 2 29 5 2 2 6" xfId="31037" xr:uid="{CD67CFD5-031D-453A-B742-9E2E0CD29443}"/>
    <cellStyle name="Normal 3 2 2 2 29 5 2 3" xfId="31038" xr:uid="{2286AE99-6E15-4A15-B18E-C30F435713D0}"/>
    <cellStyle name="Normal 3 2 2 2 29 5 2 4" xfId="31039" xr:uid="{4054ADD8-CD39-49BA-B701-839CE88F9283}"/>
    <cellStyle name="Normal 3 2 2 2 29 5 2 5" xfId="31040" xr:uid="{03F9E25F-06AC-4401-9FE7-4A7B0A6AEE7C}"/>
    <cellStyle name="Normal 3 2 2 2 29 5 2 6" xfId="31041" xr:uid="{74071233-C415-40B3-9922-069EB5334DDB}"/>
    <cellStyle name="Normal 3 2 2 2 29 5 2 7" xfId="31042" xr:uid="{BEDDF325-B0BF-4755-9769-75BEF74075FF}"/>
    <cellStyle name="Normal 3 2 2 2 29 5 2 8" xfId="31043" xr:uid="{56B0B7CF-C135-4FB2-9E81-033CB4426802}"/>
    <cellStyle name="Normal 3 2 2 2 29 5 2 8 2" xfId="31044" xr:uid="{17C26E9D-D144-45C3-8FDC-150374783521}"/>
    <cellStyle name="Normal 3 2 2 2 29 5 2 8 3" xfId="31045" xr:uid="{10A1F039-D0A2-415A-9711-9FD2BDEA5486}"/>
    <cellStyle name="Normal 3 2 2 2 29 5 2 8 4" xfId="31046" xr:uid="{780D43A1-1882-4CC1-B2F9-7D260A6605DC}"/>
    <cellStyle name="Normal 3 2 2 2 29 5 2 9" xfId="31047" xr:uid="{F1B63555-B99E-490E-8D8E-62D05BBDADB5}"/>
    <cellStyle name="Normal 3 2 2 2 29 5 3" xfId="31048" xr:uid="{FC273B3A-E350-462B-A1F1-7B098D7DDECA}"/>
    <cellStyle name="Normal 3 2 2 2 29 5 3 2" xfId="31049" xr:uid="{C269F1EA-C09E-4350-BBF8-B56830AC2C02}"/>
    <cellStyle name="Normal 3 2 2 2 29 5 3 2 2" xfId="31050" xr:uid="{F1D9AD4B-4A09-468E-9E0B-E6702A698E7E}"/>
    <cellStyle name="Normal 3 2 2 2 29 5 3 2 3" xfId="31051" xr:uid="{3150AE09-B7FC-4335-A7A9-59F604C6E503}"/>
    <cellStyle name="Normal 3 2 2 2 29 5 3 2 4" xfId="31052" xr:uid="{323CFFE8-C299-46B9-B017-6FE3CBB55D6A}"/>
    <cellStyle name="Normal 3 2 2 2 29 5 3 3" xfId="31053" xr:uid="{66402296-2CFA-4FCD-84F1-77C239AF3D79}"/>
    <cellStyle name="Normal 3 2 2 2 29 5 3 4" xfId="31054" xr:uid="{AB52326D-1680-47A1-8880-F703989730B1}"/>
    <cellStyle name="Normal 3 2 2 2 29 5 3 5" xfId="31055" xr:uid="{04F7EA58-E4C6-4297-8EDB-BB559D6BC9F2}"/>
    <cellStyle name="Normal 3 2 2 2 29 5 3 6" xfId="31056" xr:uid="{1ADE9E11-D94B-4AB3-A23F-79BDA75007B8}"/>
    <cellStyle name="Normal 3 2 2 2 29 5 4" xfId="31057" xr:uid="{B8137121-0618-419A-84C3-DB414D71FA7D}"/>
    <cellStyle name="Normal 3 2 2 2 29 5 5" xfId="31058" xr:uid="{93D25BE4-6D4F-45CF-9756-0056C45FE563}"/>
    <cellStyle name="Normal 3 2 2 2 29 5 6" xfId="31059" xr:uid="{0D2DD0F7-8A82-4CFB-989A-56ABE8AA62C1}"/>
    <cellStyle name="Normal 3 2 2 2 29 5 7" xfId="31060" xr:uid="{B503B5F2-53F0-4DC1-81C9-A8B786ED0E82}"/>
    <cellStyle name="Normal 3 2 2 2 29 5 8" xfId="31061" xr:uid="{FEC62760-D364-4797-9623-7AD3E4BB997D}"/>
    <cellStyle name="Normal 3 2 2 2 29 5 8 2" xfId="31062" xr:uid="{2D2E7939-C72A-42AC-B751-6117889FCCAE}"/>
    <cellStyle name="Normal 3 2 2 2 29 5 8 3" xfId="31063" xr:uid="{74B38B87-E44B-4AB9-8827-9824A83BD998}"/>
    <cellStyle name="Normal 3 2 2 2 29 5 8 4" xfId="31064" xr:uid="{A2DC4DA5-BB8F-43B6-997B-3D266E7C0645}"/>
    <cellStyle name="Normal 3 2 2 2 29 5 9" xfId="31065" xr:uid="{CBA8D83B-D0EE-4E74-B687-7A565B92A352}"/>
    <cellStyle name="Normal 3 2 2 2 29 6" xfId="31066" xr:uid="{AFD8E87B-202A-4CF4-8D75-979E8508D242}"/>
    <cellStyle name="Normal 3 2 2 2 29 7" xfId="31067" xr:uid="{3C4084B7-4CA4-4641-8DC3-CCD3952655B7}"/>
    <cellStyle name="Normal 3 2 2 2 29 7 2" xfId="31068" xr:uid="{C8C9A400-8C1A-482A-B143-E65F70C98463}"/>
    <cellStyle name="Normal 3 2 2 2 29 7 2 2" xfId="31069" xr:uid="{9CE53367-C67A-4A0D-82FA-3A7885FA3D27}"/>
    <cellStyle name="Normal 3 2 2 2 29 7 2 3" xfId="31070" xr:uid="{62EC50A2-E1AB-4575-9173-0C26AEE12E36}"/>
    <cellStyle name="Normal 3 2 2 2 29 7 2 4" xfId="31071" xr:uid="{00023D02-B28F-45E0-AD4C-D6485C91527B}"/>
    <cellStyle name="Normal 3 2 2 2 29 7 3" xfId="31072" xr:uid="{286F3749-DF45-4DC3-B47B-3531C0BAAAEB}"/>
    <cellStyle name="Normal 3 2 2 2 29 7 4" xfId="31073" xr:uid="{91E5EA0C-037C-4678-A99A-B0E46C599425}"/>
    <cellStyle name="Normal 3 2 2 2 29 7 5" xfId="31074" xr:uid="{830BE1CF-224F-4664-BEBF-219F983EFCB6}"/>
    <cellStyle name="Normal 3 2 2 2 29 7 6" xfId="31075" xr:uid="{04BEBAC3-B534-4F56-ACC5-97504697A6BD}"/>
    <cellStyle name="Normal 3 2 2 2 29 8" xfId="31076" xr:uid="{3B964F61-FECC-4460-961A-5442E9AC2B4D}"/>
    <cellStyle name="Normal 3 2 2 2 29 9" xfId="31077" xr:uid="{2109DE25-CF3C-4B11-8538-C470F3385D56}"/>
    <cellStyle name="Normal 3 2 2 2 3" xfId="31078" xr:uid="{22FF074B-9F0D-4816-8FDA-87E00343E3E0}"/>
    <cellStyle name="Normal 3 2 2 2 3 10" xfId="31079" xr:uid="{5D775438-6C25-4C97-82BE-7686F12DD98E}"/>
    <cellStyle name="Normal 3 2 2 2 3 11" xfId="31080" xr:uid="{0278F19B-455A-4FE0-BC6C-CF0CF8D10E2C}"/>
    <cellStyle name="Normal 3 2 2 2 3 2" xfId="31081" xr:uid="{BA961E62-F6D7-47E7-9ED0-0E32116DCA80}"/>
    <cellStyle name="Normal 3 2 2 2 3 2 2" xfId="31082" xr:uid="{3D09D539-0546-4B7D-BC4F-B128D97F6D2D}"/>
    <cellStyle name="Normal 3 2 2 2 3 2 3" xfId="31083" xr:uid="{55E0360C-FDCE-463E-88BF-489E7609F3FE}"/>
    <cellStyle name="Normal 3 2 2 2 3 2 4" xfId="31084" xr:uid="{F380CDDC-EBC4-49BC-A752-03B502CB05C3}"/>
    <cellStyle name="Normal 3 2 2 2 3 2 5" xfId="31085" xr:uid="{5186D7D2-83A3-46CB-ACE0-938ED9F400D4}"/>
    <cellStyle name="Normal 3 2 2 2 3 2 6" xfId="31086" xr:uid="{FE50CFBB-3D8C-45D4-B335-1A2365A29370}"/>
    <cellStyle name="Normal 3 2 2 2 3 3" xfId="31087" xr:uid="{DE013C09-95DD-4D79-86EA-5592CD919189}"/>
    <cellStyle name="Normal 3 2 2 2 3 3 2" xfId="31088" xr:uid="{6CCAF0F1-C26D-44CE-A9B4-9856027A8B3A}"/>
    <cellStyle name="Normal 3 2 2 2 3 3 3" xfId="31089" xr:uid="{289557F2-5239-42DD-81BA-A96DC2F330DA}"/>
    <cellStyle name="Normal 3 2 2 2 3 3 4" xfId="31090" xr:uid="{824E5B80-6C7F-4BFE-9647-F991CA3E880F}"/>
    <cellStyle name="Normal 3 2 2 2 3 3 5" xfId="31091" xr:uid="{F069446E-89A0-4039-B931-4E435EF8A6AC}"/>
    <cellStyle name="Normal 3 2 2 2 3 3 6" xfId="31092" xr:uid="{C522B986-A101-4481-9F01-A09C868E6869}"/>
    <cellStyle name="Normal 3 2 2 2 3 4" xfId="31093" xr:uid="{E7EED002-CB32-412A-8FB4-4890012FD857}"/>
    <cellStyle name="Normal 3 2 2 2 3 4 2" xfId="31094" xr:uid="{52D50315-304D-4BF3-82DD-B3EB2C694CCB}"/>
    <cellStyle name="Normal 3 2 2 2 3 4 3" xfId="31095" xr:uid="{3D95578D-B1F8-4D36-ABBF-71A3AFB4C655}"/>
    <cellStyle name="Normal 3 2 2 2 3 4 4" xfId="31096" xr:uid="{EE552320-42D2-462B-B5A0-E6B02104A5D5}"/>
    <cellStyle name="Normal 3 2 2 2 3 4 5" xfId="31097" xr:uid="{C8E8FB9A-E82A-48D3-9FF4-33C3C79B7E04}"/>
    <cellStyle name="Normal 3 2 2 2 3 4 6" xfId="31098" xr:uid="{DE2ECFFA-5B96-4A1F-8550-A03A6B078653}"/>
    <cellStyle name="Normal 3 2 2 2 3 5" xfId="31099" xr:uid="{D71FD2B3-F58C-4834-8542-9A44F0764242}"/>
    <cellStyle name="Normal 3 2 2 2 3 5 2" xfId="31100" xr:uid="{CFFD7A3E-398D-4CAA-AFD2-D01914B9FFDF}"/>
    <cellStyle name="Normal 3 2 2 2 3 5 3" xfId="31101" xr:uid="{7A7299D2-12DE-4D6B-B3EE-76E1DBEDAD2D}"/>
    <cellStyle name="Normal 3 2 2 2 3 5 4" xfId="31102" xr:uid="{348CBC36-8C0D-4400-ADFF-B937CDA746C3}"/>
    <cellStyle name="Normal 3 2 2 2 3 5 5" xfId="31103" xr:uid="{C567A712-6E5E-420D-8B29-986196D8D8B0}"/>
    <cellStyle name="Normal 3 2 2 2 3 5 6" xfId="31104" xr:uid="{DEE39EB8-3539-4625-B055-720A53458424}"/>
    <cellStyle name="Normal 3 2 2 2 3 6" xfId="31105" xr:uid="{FCE65DA9-8FFF-4F00-BD8B-1C32A65AF9C6}"/>
    <cellStyle name="Normal 3 2 2 2 3 6 2" xfId="31106" xr:uid="{3BFA67A5-0300-46C2-94CA-5FB528ED81F1}"/>
    <cellStyle name="Normal 3 2 2 2 3 6 3" xfId="31107" xr:uid="{1718C82E-7283-4FE3-9A14-00E1D6957B11}"/>
    <cellStyle name="Normal 3 2 2 2 3 6 4" xfId="31108" xr:uid="{D7314618-4D1B-48CF-9B30-AF6754447008}"/>
    <cellStyle name="Normal 3 2 2 2 3 6 5" xfId="31109" xr:uid="{F0E9F384-9377-485C-B414-C7B5C39EF930}"/>
    <cellStyle name="Normal 3 2 2 2 3 6 6" xfId="31110" xr:uid="{49D0FFF8-6C13-4A6E-9FA7-9F6240E0515B}"/>
    <cellStyle name="Normal 3 2 2 2 3 7" xfId="31111" xr:uid="{C7BD6335-C5F2-4FF7-BF2C-BAD3CD1A7973}"/>
    <cellStyle name="Normal 3 2 2 2 3 8" xfId="31112" xr:uid="{A35FDB27-0D50-4FD6-B4C6-37CFC57159C1}"/>
    <cellStyle name="Normal 3 2 2 2 3 9" xfId="31113" xr:uid="{8FF469C8-B6E4-4D89-BEAC-FE672917ADC8}"/>
    <cellStyle name="Normal 3 2 2 2 30" xfId="31114" xr:uid="{9B07AA10-90BE-4FC5-A72E-5FE9D859C0AE}"/>
    <cellStyle name="Normal 3 2 2 2 31" xfId="31115" xr:uid="{D1A83D6B-7BA3-4C60-A69A-63244D4EF004}"/>
    <cellStyle name="Normal 3 2 2 2 32" xfId="31116" xr:uid="{5D02A747-9E7E-4FF3-810B-AB61D6696961}"/>
    <cellStyle name="Normal 3 2 2 2 33" xfId="31117" xr:uid="{88B27CC8-74FB-4611-AE38-3A1B67AC16D1}"/>
    <cellStyle name="Normal 3 2 2 2 34" xfId="31118" xr:uid="{FEF6F2BB-112E-4D2B-AA21-9119C70865F9}"/>
    <cellStyle name="Normal 3 2 2 2 35" xfId="31119" xr:uid="{E5183216-0E8A-4657-BD9E-C7E39C73BDFA}"/>
    <cellStyle name="Normal 3 2 2 2 36" xfId="31120" xr:uid="{80E4285E-2A12-4EC5-B8B3-CD4D25DFEAD0}"/>
    <cellStyle name="Normal 3 2 2 2 37" xfId="31121" xr:uid="{47701658-DC1C-4E3C-97CD-E2C8D4715A9E}"/>
    <cellStyle name="Normal 3 2 2 2 37 10" xfId="31122" xr:uid="{1652D711-BC41-4291-956B-99F908713C32}"/>
    <cellStyle name="Normal 3 2 2 2 37 11" xfId="31123" xr:uid="{62E94F1F-6EF2-418D-A87A-D9EC8015AAE9}"/>
    <cellStyle name="Normal 3 2 2 2 37 11 2" xfId="31124" xr:uid="{8B198983-EBF2-4088-BA28-9FE80176FD9A}"/>
    <cellStyle name="Normal 3 2 2 2 37 11 3" xfId="31125" xr:uid="{B6E0B4F9-C5F3-44A3-AF2D-4EC4BF17E202}"/>
    <cellStyle name="Normal 3 2 2 2 37 11 4" xfId="31126" xr:uid="{11275683-A8CC-427E-9ABD-E7C2769F1E7E}"/>
    <cellStyle name="Normal 3 2 2 2 37 12" xfId="31127" xr:uid="{25D8F92F-9634-4B6B-B39C-90B83BDE6A09}"/>
    <cellStyle name="Normal 3 2 2 2 37 13" xfId="31128" xr:uid="{065D0A8D-AEA4-4E62-A7E9-8D8A77994C93}"/>
    <cellStyle name="Normal 3 2 2 2 37 14" xfId="31129" xr:uid="{637DA0AF-257B-4AF1-B4BC-5715FEBB6041}"/>
    <cellStyle name="Normal 3 2 2 2 37 2" xfId="31130" xr:uid="{FED077A4-3D53-435F-8EAF-845B93E8B4BB}"/>
    <cellStyle name="Normal 3 2 2 2 37 2 10" xfId="31131" xr:uid="{360F4154-03ED-43EF-AA2B-89A876AAEF5C}"/>
    <cellStyle name="Normal 3 2 2 2 37 2 11" xfId="31132" xr:uid="{49F8845E-DEE6-4659-84C2-5DDA3BEEF671}"/>
    <cellStyle name="Normal 3 2 2 2 37 2 2" xfId="31133" xr:uid="{D1188798-2B45-4632-9A75-2572607ADB22}"/>
    <cellStyle name="Normal 3 2 2 2 37 2 2 10" xfId="31134" xr:uid="{9D3EBBEC-1B4C-4D74-BB6B-CFA4A4DC7AC8}"/>
    <cellStyle name="Normal 3 2 2 2 37 2 2 11" xfId="31135" xr:uid="{304B7341-761D-4128-B5F8-37928FA60640}"/>
    <cellStyle name="Normal 3 2 2 2 37 2 2 2" xfId="31136" xr:uid="{9A8641D3-B3CC-4B17-BC90-83C2A2A7B1C1}"/>
    <cellStyle name="Normal 3 2 2 2 37 2 2 2 2" xfId="31137" xr:uid="{EAC7FB4D-EC6F-43CC-A9D5-A3B1484A0A43}"/>
    <cellStyle name="Normal 3 2 2 2 37 2 2 2 2 2" xfId="31138" xr:uid="{8C4B7DDF-8BE3-4C80-A8DB-C3DC39771CDD}"/>
    <cellStyle name="Normal 3 2 2 2 37 2 2 2 2 3" xfId="31139" xr:uid="{FD8ECE1F-4A74-4FBE-8369-B0B3043AFB24}"/>
    <cellStyle name="Normal 3 2 2 2 37 2 2 2 2 4" xfId="31140" xr:uid="{EF439C86-003A-4CCB-9F46-249F9C1751F3}"/>
    <cellStyle name="Normal 3 2 2 2 37 2 2 2 3" xfId="31141" xr:uid="{48457F9F-C7A7-4589-821D-D862A124BF5A}"/>
    <cellStyle name="Normal 3 2 2 2 37 2 2 2 4" xfId="31142" xr:uid="{596D1080-1258-49DF-BBF6-962AEE0C8239}"/>
    <cellStyle name="Normal 3 2 2 2 37 2 2 2 5" xfId="31143" xr:uid="{B8077859-2205-494D-8557-5EEB61D21D9D}"/>
    <cellStyle name="Normal 3 2 2 2 37 2 2 2 6" xfId="31144" xr:uid="{852B5514-EB4D-45ED-91DB-D635181C6894}"/>
    <cellStyle name="Normal 3 2 2 2 37 2 2 3" xfId="31145" xr:uid="{2B80A8D1-4223-4FA0-A904-F630BADBCBB2}"/>
    <cellStyle name="Normal 3 2 2 2 37 2 2 4" xfId="31146" xr:uid="{FBAF3E04-7A26-4E6C-BA51-748349FF415B}"/>
    <cellStyle name="Normal 3 2 2 2 37 2 2 5" xfId="31147" xr:uid="{C3506F2E-860B-4875-B57F-78FEAC78BA78}"/>
    <cellStyle name="Normal 3 2 2 2 37 2 2 6" xfId="31148" xr:uid="{6B1CCE65-D37B-4938-B79F-FB4D083C4977}"/>
    <cellStyle name="Normal 3 2 2 2 37 2 2 7" xfId="31149" xr:uid="{76FF1F68-3D1B-4FE7-B06C-4160C5F39E6F}"/>
    <cellStyle name="Normal 3 2 2 2 37 2 2 8" xfId="31150" xr:uid="{458F71D8-07A1-4ABD-BC74-41E203F35E07}"/>
    <cellStyle name="Normal 3 2 2 2 37 2 2 8 2" xfId="31151" xr:uid="{B3341E9F-EA59-4EC4-8151-2107EC6D48AC}"/>
    <cellStyle name="Normal 3 2 2 2 37 2 2 8 3" xfId="31152" xr:uid="{A4AA4085-B1ED-4FCB-BB69-8DC79EC53101}"/>
    <cellStyle name="Normal 3 2 2 2 37 2 2 8 4" xfId="31153" xr:uid="{23CBECC9-B7E8-423E-A995-079C10BDC77F}"/>
    <cellStyle name="Normal 3 2 2 2 37 2 2 9" xfId="31154" xr:uid="{66E45863-1831-4CBF-A0F8-DBCEAF9A4510}"/>
    <cellStyle name="Normal 3 2 2 2 37 2 3" xfId="31155" xr:uid="{F6319D66-C7C4-41AF-81CD-ED5595B9E94C}"/>
    <cellStyle name="Normal 3 2 2 2 37 2 3 2" xfId="31156" xr:uid="{BA87EAFD-D29F-4401-93CC-260697EFEC38}"/>
    <cellStyle name="Normal 3 2 2 2 37 2 3 2 2" xfId="31157" xr:uid="{14A39A85-1B29-4A9B-BFE3-5E28AC8A061E}"/>
    <cellStyle name="Normal 3 2 2 2 37 2 3 2 3" xfId="31158" xr:uid="{9DE0137B-10F9-49FD-BCDE-C928DB788B1C}"/>
    <cellStyle name="Normal 3 2 2 2 37 2 3 2 4" xfId="31159" xr:uid="{1FEE878E-932B-4982-8DD4-94FAAC57CF35}"/>
    <cellStyle name="Normal 3 2 2 2 37 2 3 3" xfId="31160" xr:uid="{F64B42E8-0E57-4717-9F32-1678CDF782CB}"/>
    <cellStyle name="Normal 3 2 2 2 37 2 3 4" xfId="31161" xr:uid="{976CBD17-897F-4ABA-B980-F22A1AB57B1E}"/>
    <cellStyle name="Normal 3 2 2 2 37 2 3 5" xfId="31162" xr:uid="{3788C398-4BFF-4749-A82D-27645687EE62}"/>
    <cellStyle name="Normal 3 2 2 2 37 2 3 6" xfId="31163" xr:uid="{A26D9B53-EF92-424B-BAB4-BE9F5FE1E56C}"/>
    <cellStyle name="Normal 3 2 2 2 37 2 4" xfId="31164" xr:uid="{60962C7C-1F02-468F-9320-51D6182D848D}"/>
    <cellStyle name="Normal 3 2 2 2 37 2 5" xfId="31165" xr:uid="{D2038D28-EE03-45D7-9E08-BFA3375D7107}"/>
    <cellStyle name="Normal 3 2 2 2 37 2 6" xfId="31166" xr:uid="{02A83EE3-7874-4B31-8BC1-4CDC6668E10E}"/>
    <cellStyle name="Normal 3 2 2 2 37 2 7" xfId="31167" xr:uid="{BC517A41-49F2-41B8-8F2E-17117E348164}"/>
    <cellStyle name="Normal 3 2 2 2 37 2 8" xfId="31168" xr:uid="{3C219A0E-C4BA-44F4-952B-7320DF740C65}"/>
    <cellStyle name="Normal 3 2 2 2 37 2 8 2" xfId="31169" xr:uid="{03A2EAC7-1279-4791-AE34-71BD298177BE}"/>
    <cellStyle name="Normal 3 2 2 2 37 2 8 3" xfId="31170" xr:uid="{B35D48E5-F8D1-4829-8CE0-69F7B6DEE2C8}"/>
    <cellStyle name="Normal 3 2 2 2 37 2 8 4" xfId="31171" xr:uid="{222FCA56-2DEC-480B-8A30-AE09DBC4D4B5}"/>
    <cellStyle name="Normal 3 2 2 2 37 2 9" xfId="31172" xr:uid="{21989978-454D-4965-B5F4-E11E8979C641}"/>
    <cellStyle name="Normal 3 2 2 2 37 3" xfId="31173" xr:uid="{908CA008-FB54-4D0F-A7CE-FBF3E611798D}"/>
    <cellStyle name="Normal 3 2 2 2 37 4" xfId="31174" xr:uid="{E5DCB6B5-82E2-472E-9929-93350743EAB2}"/>
    <cellStyle name="Normal 3 2 2 2 37 5" xfId="31175" xr:uid="{BFF2DAF1-CBA5-48FD-9E7A-E35DEC75C17C}"/>
    <cellStyle name="Normal 3 2 2 2 37 5 2" xfId="31176" xr:uid="{0E96D069-FE6E-4A8E-8048-103B5C3FBDE8}"/>
    <cellStyle name="Normal 3 2 2 2 37 5 2 2" xfId="31177" xr:uid="{1447763E-089A-4DE1-98AC-3456EB69F9D7}"/>
    <cellStyle name="Normal 3 2 2 2 37 5 2 3" xfId="31178" xr:uid="{3BF002C5-C5BF-4533-8E7F-4FBAB9366E23}"/>
    <cellStyle name="Normal 3 2 2 2 37 5 2 4" xfId="31179" xr:uid="{AC85AF2C-4164-4D32-8C19-D1EC0F811216}"/>
    <cellStyle name="Normal 3 2 2 2 37 5 3" xfId="31180" xr:uid="{23B5EB5B-98EC-4F22-ADA0-EE0CA801747D}"/>
    <cellStyle name="Normal 3 2 2 2 37 5 4" xfId="31181" xr:uid="{425D5478-02E9-46BA-9CF1-64DEE1BDA131}"/>
    <cellStyle name="Normal 3 2 2 2 37 5 5" xfId="31182" xr:uid="{860E49F6-7C7E-415A-A79A-885522D5730B}"/>
    <cellStyle name="Normal 3 2 2 2 37 5 6" xfId="31183" xr:uid="{291C9485-E334-481F-838A-B03D485013B6}"/>
    <cellStyle name="Normal 3 2 2 2 37 6" xfId="31184" xr:uid="{4ED39A14-A4D5-4B21-A434-B5EE3E814231}"/>
    <cellStyle name="Normal 3 2 2 2 37 7" xfId="31185" xr:uid="{78607D3D-A0E3-425E-86A5-A3F4DDC6B75B}"/>
    <cellStyle name="Normal 3 2 2 2 37 8" xfId="31186" xr:uid="{DCD150C4-8643-451C-8D57-8778C4D8535B}"/>
    <cellStyle name="Normal 3 2 2 2 37 9" xfId="31187" xr:uid="{5D0E5279-88CF-4012-8FA9-6C3BCC216B2C}"/>
    <cellStyle name="Normal 3 2 2 2 38" xfId="31188" xr:uid="{03090CB0-C6DD-4987-93CB-75E2E8275A8A}"/>
    <cellStyle name="Normal 3 2 2 2 39" xfId="31189" xr:uid="{82DB2254-EEF8-4E80-AD01-A802464D041C}"/>
    <cellStyle name="Normal 3 2 2 2 39 10" xfId="31190" xr:uid="{A3C9CC9F-7DAE-4F90-A00A-70979E11AC0A}"/>
    <cellStyle name="Normal 3 2 2 2 39 11" xfId="31191" xr:uid="{BDC94E43-74A5-404C-8B6C-D9D010A0B4A1}"/>
    <cellStyle name="Normal 3 2 2 2 39 2" xfId="31192" xr:uid="{08FD390A-2E76-4EE1-9C9F-5629EBE4E9A6}"/>
    <cellStyle name="Normal 3 2 2 2 39 2 10" xfId="31193" xr:uid="{A3EFB3F0-D1A6-4067-9605-B5DBBBBD5330}"/>
    <cellStyle name="Normal 3 2 2 2 39 2 11" xfId="31194" xr:uid="{F2E10D9E-9AA1-472B-A8A0-B8CC21D7C0A5}"/>
    <cellStyle name="Normal 3 2 2 2 39 2 2" xfId="31195" xr:uid="{FA5D41B1-29EA-47A9-9023-2949F2264E34}"/>
    <cellStyle name="Normal 3 2 2 2 39 2 2 2" xfId="31196" xr:uid="{600EE9EF-20CF-40E2-881A-4F9021CD2918}"/>
    <cellStyle name="Normal 3 2 2 2 39 2 2 2 2" xfId="31197" xr:uid="{F22FB3D2-24FB-466E-A785-9B7CD4F42B11}"/>
    <cellStyle name="Normal 3 2 2 2 39 2 2 2 3" xfId="31198" xr:uid="{EF786D92-E870-4DB8-A327-A8C8935BAD59}"/>
    <cellStyle name="Normal 3 2 2 2 39 2 2 2 4" xfId="31199" xr:uid="{48568F47-91CF-44A3-8144-D61A1518F134}"/>
    <cellStyle name="Normal 3 2 2 2 39 2 2 3" xfId="31200" xr:uid="{A39ED7B6-C51B-4656-B02C-8D8347CB9E18}"/>
    <cellStyle name="Normal 3 2 2 2 39 2 2 4" xfId="31201" xr:uid="{377D644C-AF52-4264-A997-63B9B185B1B0}"/>
    <cellStyle name="Normal 3 2 2 2 39 2 2 5" xfId="31202" xr:uid="{8B9243EE-C8B4-4BF7-97D0-12BD5D539BFB}"/>
    <cellStyle name="Normal 3 2 2 2 39 2 2 6" xfId="31203" xr:uid="{29B10E31-E57A-4FEC-A0FB-CC779DEE5676}"/>
    <cellStyle name="Normal 3 2 2 2 39 2 3" xfId="31204" xr:uid="{61FF0A69-DE36-423D-B8FC-3E02C6F02641}"/>
    <cellStyle name="Normal 3 2 2 2 39 2 4" xfId="31205" xr:uid="{52BB692C-757B-4BB7-B306-0D900270B27F}"/>
    <cellStyle name="Normal 3 2 2 2 39 2 5" xfId="31206" xr:uid="{E9F784EB-A0EF-43AA-ADDE-919D8CB305A2}"/>
    <cellStyle name="Normal 3 2 2 2 39 2 6" xfId="31207" xr:uid="{D099D352-AD79-4AA9-A7B0-0937645DA56B}"/>
    <cellStyle name="Normal 3 2 2 2 39 2 7" xfId="31208" xr:uid="{998C9935-4185-4EFE-8300-E482353C8547}"/>
    <cellStyle name="Normal 3 2 2 2 39 2 8" xfId="31209" xr:uid="{8127459A-CD42-49E5-990A-882DFD3618F1}"/>
    <cellStyle name="Normal 3 2 2 2 39 2 8 2" xfId="31210" xr:uid="{41925EB0-48E0-473A-AC0D-0E3C597AE53D}"/>
    <cellStyle name="Normal 3 2 2 2 39 2 8 3" xfId="31211" xr:uid="{6F17787C-FFF7-4CDB-B23C-C13403DCB386}"/>
    <cellStyle name="Normal 3 2 2 2 39 2 8 4" xfId="31212" xr:uid="{04AFCC33-77A0-4A68-AD12-6F40E0614E24}"/>
    <cellStyle name="Normal 3 2 2 2 39 2 9" xfId="31213" xr:uid="{EA715E5A-AD7F-42F7-A6C7-2D6D8F28D086}"/>
    <cellStyle name="Normal 3 2 2 2 39 3" xfId="31214" xr:uid="{A93308C6-F711-4A84-852D-08C45448D50C}"/>
    <cellStyle name="Normal 3 2 2 2 39 3 2" xfId="31215" xr:uid="{C625F093-31E9-4A55-A90B-5EDBB3C07DAB}"/>
    <cellStyle name="Normal 3 2 2 2 39 3 2 2" xfId="31216" xr:uid="{7F1BB90D-999D-4ACD-99DC-CEF2A8E04F76}"/>
    <cellStyle name="Normal 3 2 2 2 39 3 2 3" xfId="31217" xr:uid="{77E630F1-5BA9-4F53-AFE6-57CBCF152827}"/>
    <cellStyle name="Normal 3 2 2 2 39 3 2 4" xfId="31218" xr:uid="{097563FE-966A-4437-AF52-B89D4FAF398F}"/>
    <cellStyle name="Normal 3 2 2 2 39 3 3" xfId="31219" xr:uid="{7293BB61-84A7-45EE-9360-4026015B8B21}"/>
    <cellStyle name="Normal 3 2 2 2 39 3 4" xfId="31220" xr:uid="{AA0FF17F-7C60-4682-BC00-E4E10F949C5C}"/>
    <cellStyle name="Normal 3 2 2 2 39 3 5" xfId="31221" xr:uid="{72391141-C4B2-4CDA-BA60-94ADF413A319}"/>
    <cellStyle name="Normal 3 2 2 2 39 3 6" xfId="31222" xr:uid="{78D164FA-3C45-4446-B324-24D85762E6DF}"/>
    <cellStyle name="Normal 3 2 2 2 39 4" xfId="31223" xr:uid="{8E978F8B-BCD1-4F3C-A01E-B9B050658CA6}"/>
    <cellStyle name="Normal 3 2 2 2 39 5" xfId="31224" xr:uid="{8F84B3E2-18ED-4266-97F8-98ABA74C4FBA}"/>
    <cellStyle name="Normal 3 2 2 2 39 6" xfId="31225" xr:uid="{75758E28-13C0-4CB5-A0C7-9D1EE3B26666}"/>
    <cellStyle name="Normal 3 2 2 2 39 7" xfId="31226" xr:uid="{46EB10C9-7ABD-483D-BF26-64646C4698AB}"/>
    <cellStyle name="Normal 3 2 2 2 39 8" xfId="31227" xr:uid="{B8B3D0EB-6CDD-433F-B1F3-792A3C209A4B}"/>
    <cellStyle name="Normal 3 2 2 2 39 8 2" xfId="31228" xr:uid="{0E1C76FA-4B28-4FF9-9B99-BB230DF21D49}"/>
    <cellStyle name="Normal 3 2 2 2 39 8 3" xfId="31229" xr:uid="{D183BE28-D403-4D7A-81E8-1E1EB635BC81}"/>
    <cellStyle name="Normal 3 2 2 2 39 8 4" xfId="31230" xr:uid="{6D557299-95E7-47AC-8224-3A59CD29A504}"/>
    <cellStyle name="Normal 3 2 2 2 39 9" xfId="31231" xr:uid="{3C478F62-D637-40A9-8A64-B4A4D5D052FF}"/>
    <cellStyle name="Normal 3 2 2 2 4" xfId="31232" xr:uid="{5FB8ADE2-E080-47ED-AF49-03E0ED011C1F}"/>
    <cellStyle name="Normal 3 2 2 2 4 10" xfId="31233" xr:uid="{47599265-8A72-440A-8210-F4205D8AE9B7}"/>
    <cellStyle name="Normal 3 2 2 2 4 11" xfId="31234" xr:uid="{B89AF64A-D5D1-47A3-BB70-6AF26667A480}"/>
    <cellStyle name="Normal 3 2 2 2 4 2" xfId="31235" xr:uid="{2E0F2F21-BEAB-4171-BEF1-857B3FBBDCD6}"/>
    <cellStyle name="Normal 3 2 2 2 4 2 2" xfId="31236" xr:uid="{9CB74005-69A1-4DE2-B87D-0F8ECA90AC92}"/>
    <cellStyle name="Normal 3 2 2 2 4 2 3" xfId="31237" xr:uid="{5DB90F82-4465-4101-A5A0-186EF0DBB79C}"/>
    <cellStyle name="Normal 3 2 2 2 4 2 4" xfId="31238" xr:uid="{E2222406-1660-4BB6-B3DF-5FEE08572705}"/>
    <cellStyle name="Normal 3 2 2 2 4 2 5" xfId="31239" xr:uid="{D00BC119-6A8B-4E1A-81C3-7A39B228241A}"/>
    <cellStyle name="Normal 3 2 2 2 4 2 6" xfId="31240" xr:uid="{6196C3E0-4196-4586-A088-D5C4E7226F57}"/>
    <cellStyle name="Normal 3 2 2 2 4 3" xfId="31241" xr:uid="{37FCC8EE-5C55-41A6-951C-C7CE88B7A19B}"/>
    <cellStyle name="Normal 3 2 2 2 4 3 2" xfId="31242" xr:uid="{0121A5C6-6D3B-43EA-8760-A3A19E5F6290}"/>
    <cellStyle name="Normal 3 2 2 2 4 3 3" xfId="31243" xr:uid="{D0A56712-D941-4CDB-8B1C-8B0DA1C7E2D2}"/>
    <cellStyle name="Normal 3 2 2 2 4 3 4" xfId="31244" xr:uid="{32C6F59B-9246-4873-B15B-0A78067D3733}"/>
    <cellStyle name="Normal 3 2 2 2 4 3 5" xfId="31245" xr:uid="{200F75DE-3395-4733-96B7-247F2F3E9056}"/>
    <cellStyle name="Normal 3 2 2 2 4 3 6" xfId="31246" xr:uid="{744A7E8C-1CAB-44C7-AE24-DD75E8A18C36}"/>
    <cellStyle name="Normal 3 2 2 2 4 4" xfId="31247" xr:uid="{C78BEC15-43C1-4F41-BA5A-40AE18ACFF3A}"/>
    <cellStyle name="Normal 3 2 2 2 4 4 2" xfId="31248" xr:uid="{52D24B7A-93CE-45D7-8EE9-B1C97E17F3EF}"/>
    <cellStyle name="Normal 3 2 2 2 4 4 3" xfId="31249" xr:uid="{76454222-1D43-480B-8B86-21A6D8460BB9}"/>
    <cellStyle name="Normal 3 2 2 2 4 4 4" xfId="31250" xr:uid="{3CA9F48D-3F6C-4475-81F8-AD0485FA30C0}"/>
    <cellStyle name="Normal 3 2 2 2 4 4 5" xfId="31251" xr:uid="{F158687C-1220-4D5A-B753-F7449A72C696}"/>
    <cellStyle name="Normal 3 2 2 2 4 4 6" xfId="31252" xr:uid="{B9325B5C-14C4-4B6C-AF3E-6D7BBDB544DA}"/>
    <cellStyle name="Normal 3 2 2 2 4 5" xfId="31253" xr:uid="{AF90893F-539A-41C3-AC86-9FC9EACF45AF}"/>
    <cellStyle name="Normal 3 2 2 2 4 5 2" xfId="31254" xr:uid="{5C75CDFC-A7E6-4E5D-A905-3A62BC3DB277}"/>
    <cellStyle name="Normal 3 2 2 2 4 5 3" xfId="31255" xr:uid="{663F56F9-768A-442B-961B-789559001048}"/>
    <cellStyle name="Normal 3 2 2 2 4 5 4" xfId="31256" xr:uid="{D3BE00E0-E68B-4E9F-9F91-4D04CD417023}"/>
    <cellStyle name="Normal 3 2 2 2 4 5 5" xfId="31257" xr:uid="{92122A2D-C0F1-473F-BEC7-67A7F4DC5102}"/>
    <cellStyle name="Normal 3 2 2 2 4 5 6" xfId="31258" xr:uid="{35E6E4CA-F165-48D0-BB7A-9E8BAFABF859}"/>
    <cellStyle name="Normal 3 2 2 2 4 6" xfId="31259" xr:uid="{11FDAF5D-2D16-4023-A83A-FBE4BD0D76DC}"/>
    <cellStyle name="Normal 3 2 2 2 4 6 2" xfId="31260" xr:uid="{D2D8B56D-99B6-493F-A26F-5F9C8F0ADAA1}"/>
    <cellStyle name="Normal 3 2 2 2 4 6 3" xfId="31261" xr:uid="{798C5152-A44F-42B9-A463-6C033249DC11}"/>
    <cellStyle name="Normal 3 2 2 2 4 6 4" xfId="31262" xr:uid="{EB661785-8025-4A85-8D3B-DAB5D95D3653}"/>
    <cellStyle name="Normal 3 2 2 2 4 6 5" xfId="31263" xr:uid="{53697CA1-23EF-4962-99F4-E0BBA295CC78}"/>
    <cellStyle name="Normal 3 2 2 2 4 6 6" xfId="31264" xr:uid="{B44A7933-3EF0-41C7-A2D4-D5D87995172B}"/>
    <cellStyle name="Normal 3 2 2 2 4 7" xfId="31265" xr:uid="{709B350B-68FC-4FAF-B3B4-166C2D707080}"/>
    <cellStyle name="Normal 3 2 2 2 4 8" xfId="31266" xr:uid="{5C7196C3-499F-4B5A-854B-2939BA4AE15A}"/>
    <cellStyle name="Normal 3 2 2 2 4 9" xfId="31267" xr:uid="{4F5CB2EE-7A77-427C-BD3A-817DA23B017B}"/>
    <cellStyle name="Normal 3 2 2 2 40" xfId="31268" xr:uid="{7C3887A6-62EC-40A2-808F-AA8B6789F1C9}"/>
    <cellStyle name="Normal 3 2 2 2 41" xfId="31269" xr:uid="{214B0664-CC18-491A-81F9-38096A7A68B3}"/>
    <cellStyle name="Normal 3 2 2 2 41 2" xfId="31270" xr:uid="{E5E281EF-D180-4ED7-9D57-E62381471E57}"/>
    <cellStyle name="Normal 3 2 2 2 41 2 2" xfId="31271" xr:uid="{2AF6E616-C5EC-4CAD-99D7-683C57F646CB}"/>
    <cellStyle name="Normal 3 2 2 2 41 2 3" xfId="31272" xr:uid="{1A7BC0F8-02F5-4867-9017-CB5BE65A2828}"/>
    <cellStyle name="Normal 3 2 2 2 41 2 4" xfId="31273" xr:uid="{23EAFCB4-2CA9-413A-BAD2-E084782F7A43}"/>
    <cellStyle name="Normal 3 2 2 2 41 3" xfId="31274" xr:uid="{3115A972-6429-499F-8DEC-A150C0621A94}"/>
    <cellStyle name="Normal 3 2 2 2 41 4" xfId="31275" xr:uid="{9552EF79-86C9-4D4E-9EA9-847A6D609A88}"/>
    <cellStyle name="Normal 3 2 2 2 41 5" xfId="31276" xr:uid="{6CEDE265-5801-4EF6-A0B1-9D1C61552585}"/>
    <cellStyle name="Normal 3 2 2 2 41 6" xfId="31277" xr:uid="{6655AB98-22CC-455A-B2F8-08B1D920C03E}"/>
    <cellStyle name="Normal 3 2 2 2 42" xfId="31278" xr:uid="{B4041654-B9CA-43E9-BA72-4E4EF784C6E4}"/>
    <cellStyle name="Normal 3 2 2 2 43" xfId="31279" xr:uid="{979D0993-FC6F-4AB5-8E1D-F4958F9FB353}"/>
    <cellStyle name="Normal 3 2 2 2 44" xfId="31280" xr:uid="{554ECB16-1C2D-47AB-AF6E-B0DA4FE94037}"/>
    <cellStyle name="Normal 3 2 2 2 45" xfId="31281" xr:uid="{F9D7A7CA-6DE5-422A-8518-4097EF7F0399}"/>
    <cellStyle name="Normal 3 2 2 2 46" xfId="31282" xr:uid="{AEA7C0B9-55FD-4765-AE9C-06AEE72A6584}"/>
    <cellStyle name="Normal 3 2 2 2 47" xfId="31283" xr:uid="{9ACE31BE-6DB9-4928-8C5B-C488C52E3F19}"/>
    <cellStyle name="Normal 3 2 2 2 47 2" xfId="31284" xr:uid="{09E81F8D-2193-49B7-9EB8-48F0BC98CCB8}"/>
    <cellStyle name="Normal 3 2 2 2 47 3" xfId="31285" xr:uid="{CC631EC2-8EFA-49D7-8818-5D21CF9B9C9B}"/>
    <cellStyle name="Normal 3 2 2 2 47 4" xfId="31286" xr:uid="{8AFEF83F-ADAC-43E1-BC39-CD9A2CA0A987}"/>
    <cellStyle name="Normal 3 2 2 2 48" xfId="31287" xr:uid="{1BF4BF3B-9A16-4F1A-8388-4D069AB93D5C}"/>
    <cellStyle name="Normal 3 2 2 2 49" xfId="31288" xr:uid="{A3F6EE59-D7D1-4AAF-894D-846443008EC1}"/>
    <cellStyle name="Normal 3 2 2 2 5" xfId="31289" xr:uid="{68C1E550-5FC2-4691-9B04-F983128941E6}"/>
    <cellStyle name="Normal 3 2 2 2 5 10" xfId="31290" xr:uid="{B7DF9DD1-EAA4-4900-AC60-9DF1EDB97CFC}"/>
    <cellStyle name="Normal 3 2 2 2 5 11" xfId="31291" xr:uid="{8D52C666-6CA3-467C-A86E-43CE1E856B00}"/>
    <cellStyle name="Normal 3 2 2 2 5 2" xfId="31292" xr:uid="{4919A1F8-EC38-4C8E-B012-F664A04BC2FD}"/>
    <cellStyle name="Normal 3 2 2 2 5 2 2" xfId="31293" xr:uid="{09EBEB5E-37A2-4ADE-8EC7-82A1F654E095}"/>
    <cellStyle name="Normal 3 2 2 2 5 2 3" xfId="31294" xr:uid="{AC9BE632-7193-4E4D-947A-FE7F784B0314}"/>
    <cellStyle name="Normal 3 2 2 2 5 2 4" xfId="31295" xr:uid="{22C56F15-2395-4F7E-833E-30BD4D6E6CF8}"/>
    <cellStyle name="Normal 3 2 2 2 5 2 5" xfId="31296" xr:uid="{548DF388-EEE1-4AAB-A02D-38B1C88BA5D0}"/>
    <cellStyle name="Normal 3 2 2 2 5 2 6" xfId="31297" xr:uid="{469B4F31-5B86-4AA3-B2D8-27C80EDC7BF4}"/>
    <cellStyle name="Normal 3 2 2 2 5 3" xfId="31298" xr:uid="{CDBA2478-CE90-493C-B0D6-0A10D3FB0257}"/>
    <cellStyle name="Normal 3 2 2 2 5 3 2" xfId="31299" xr:uid="{995D219A-2334-413D-8300-4B5750514FE2}"/>
    <cellStyle name="Normal 3 2 2 2 5 3 3" xfId="31300" xr:uid="{FE599A66-B9F2-41A1-B078-96F579D7CCDA}"/>
    <cellStyle name="Normal 3 2 2 2 5 3 4" xfId="31301" xr:uid="{0DF9235A-5E9D-4286-8C73-AB34829E4F2F}"/>
    <cellStyle name="Normal 3 2 2 2 5 3 5" xfId="31302" xr:uid="{1A10E39E-44A5-420D-AD8A-056A53F383CD}"/>
    <cellStyle name="Normal 3 2 2 2 5 3 6" xfId="31303" xr:uid="{67CAC3C5-F1EF-43D2-87A5-493FD56F0619}"/>
    <cellStyle name="Normal 3 2 2 2 5 4" xfId="31304" xr:uid="{AB6306CF-FE7A-44AB-A4BD-6B28A5C50830}"/>
    <cellStyle name="Normal 3 2 2 2 5 4 2" xfId="31305" xr:uid="{C6FF2512-D1C5-4C55-B806-7A7A3676C85E}"/>
    <cellStyle name="Normal 3 2 2 2 5 4 3" xfId="31306" xr:uid="{DCCB3018-46C0-458A-909E-553B7D7F2AB7}"/>
    <cellStyle name="Normal 3 2 2 2 5 4 4" xfId="31307" xr:uid="{5E59AB27-0856-447A-A148-0F8B709E2CDE}"/>
    <cellStyle name="Normal 3 2 2 2 5 4 5" xfId="31308" xr:uid="{43F07788-DCB6-44B7-9B21-53E4FEC4B893}"/>
    <cellStyle name="Normal 3 2 2 2 5 4 6" xfId="31309" xr:uid="{5B744E65-BFEF-4F0B-95B2-020418C7A4F1}"/>
    <cellStyle name="Normal 3 2 2 2 5 5" xfId="31310" xr:uid="{132FF4D0-939E-40DF-99E0-2FFAB7BD304C}"/>
    <cellStyle name="Normal 3 2 2 2 5 5 2" xfId="31311" xr:uid="{971DA812-ABD4-4A52-BCF1-295946E58B64}"/>
    <cellStyle name="Normal 3 2 2 2 5 5 3" xfId="31312" xr:uid="{90BD1B10-695C-450E-BB81-894BBA1E2FD7}"/>
    <cellStyle name="Normal 3 2 2 2 5 5 4" xfId="31313" xr:uid="{2B74691A-A713-4A2C-901F-B81C8DEBF720}"/>
    <cellStyle name="Normal 3 2 2 2 5 5 5" xfId="31314" xr:uid="{4504944C-3EBC-4EA7-B6ED-6A5DE29111AD}"/>
    <cellStyle name="Normal 3 2 2 2 5 5 6" xfId="31315" xr:uid="{D46B44E5-C7EE-4CB5-96F3-F8954A7261EA}"/>
    <cellStyle name="Normal 3 2 2 2 5 6" xfId="31316" xr:uid="{32692482-4DAC-44A5-B020-66DC9216EA58}"/>
    <cellStyle name="Normal 3 2 2 2 5 6 2" xfId="31317" xr:uid="{C7AB4C40-E1B5-4C4F-BA52-B35A3D5D4533}"/>
    <cellStyle name="Normal 3 2 2 2 5 6 3" xfId="31318" xr:uid="{E870D2B2-5750-4183-AE34-44E60317D4A5}"/>
    <cellStyle name="Normal 3 2 2 2 5 6 4" xfId="31319" xr:uid="{D27033B0-AE47-4687-81E2-87CDF531F0DE}"/>
    <cellStyle name="Normal 3 2 2 2 5 6 5" xfId="31320" xr:uid="{4822C2BB-DC21-4B2E-89E9-2DB4C6340035}"/>
    <cellStyle name="Normal 3 2 2 2 5 6 6" xfId="31321" xr:uid="{D53C9EC8-AA2F-4B6B-9687-8095494ACCAF}"/>
    <cellStyle name="Normal 3 2 2 2 5 7" xfId="31322" xr:uid="{96EF193B-93D5-4BC6-A863-B40A82FB4633}"/>
    <cellStyle name="Normal 3 2 2 2 5 8" xfId="31323" xr:uid="{BC4CB97D-8420-4E68-9AC3-4452610A726C}"/>
    <cellStyle name="Normal 3 2 2 2 5 9" xfId="31324" xr:uid="{CC283284-B805-4F45-AF68-9E4D3EFED56F}"/>
    <cellStyle name="Normal 3 2 2 2 50" xfId="31325" xr:uid="{BA313E4D-3790-4D49-B1D9-BE5293C98A26}"/>
    <cellStyle name="Normal 3 2 2 2 51" xfId="31326" xr:uid="{BC12079F-EFA3-44C0-9B19-BB2CDD466F0E}"/>
    <cellStyle name="Normal 3 2 2 2 52" xfId="31327" xr:uid="{C079D5A5-E7B6-4DA1-845B-3030CFF738CA}"/>
    <cellStyle name="Normal 3 2 2 2 53" xfId="31328" xr:uid="{D93B95D9-F8F7-44EA-A12C-A4506052EF61}"/>
    <cellStyle name="Normal 3 2 2 2 54" xfId="31329" xr:uid="{E0B11203-82EF-459D-B8B5-2A871E1035FA}"/>
    <cellStyle name="Normal 3 2 2 2 55" xfId="31330" xr:uid="{AF1AF617-CC4A-4DC4-A04B-9438BE2E5A23}"/>
    <cellStyle name="Normal 3 2 2 2 56" xfId="31331" xr:uid="{CC655641-C650-4BBD-94B4-8277A76AF5FD}"/>
    <cellStyle name="Normal 3 2 2 2 57" xfId="31332" xr:uid="{BB24F9FE-C68A-44E1-817B-E339D76634ED}"/>
    <cellStyle name="Normal 3 2 2 2 58" xfId="31333" xr:uid="{9977BE2F-8D41-4764-9946-3A203DFC2B02}"/>
    <cellStyle name="Normal 3 2 2 2 59" xfId="31334" xr:uid="{348A0031-A2A5-4F3F-8BFD-D5586BE3EB56}"/>
    <cellStyle name="Normal 3 2 2 2 6" xfId="31335" xr:uid="{DE3D79D1-14D1-40E6-ACDF-19D8BB40C2B8}"/>
    <cellStyle name="Normal 3 2 2 2 6 10" xfId="31336" xr:uid="{F5045460-3C92-40A3-8618-E539F75237CB}"/>
    <cellStyle name="Normal 3 2 2 2 6 11" xfId="31337" xr:uid="{9D0B9549-F6F9-4FB2-851B-0815AF56AE2E}"/>
    <cellStyle name="Normal 3 2 2 2 6 2" xfId="31338" xr:uid="{C67A1B16-3CD9-4607-AE78-9CD5F6245E9B}"/>
    <cellStyle name="Normal 3 2 2 2 6 2 2" xfId="31339" xr:uid="{209E104A-CF36-4B08-931B-8CE20F1A8015}"/>
    <cellStyle name="Normal 3 2 2 2 6 2 3" xfId="31340" xr:uid="{1F854075-A289-4A98-8A87-EB0A4AE78580}"/>
    <cellStyle name="Normal 3 2 2 2 6 2 4" xfId="31341" xr:uid="{0C2C9E37-4B06-41E8-8E29-ABC9FD57F45D}"/>
    <cellStyle name="Normal 3 2 2 2 6 2 5" xfId="31342" xr:uid="{93B23AA5-F4A5-4C5B-8301-3B867770EA18}"/>
    <cellStyle name="Normal 3 2 2 2 6 2 6" xfId="31343" xr:uid="{F0954963-867C-4AD3-94FF-573AAB1A1DD9}"/>
    <cellStyle name="Normal 3 2 2 2 6 3" xfId="31344" xr:uid="{16632DAE-840D-4AF7-8C00-2F82AB4F7877}"/>
    <cellStyle name="Normal 3 2 2 2 6 3 2" xfId="31345" xr:uid="{FDBF39DD-BFD0-442E-9C6D-92FF8D0BB9FF}"/>
    <cellStyle name="Normal 3 2 2 2 6 3 3" xfId="31346" xr:uid="{14F138BD-3905-4D7F-88AB-F5C26FB0D5C5}"/>
    <cellStyle name="Normal 3 2 2 2 6 3 4" xfId="31347" xr:uid="{07C571F2-3215-441F-A1C8-C8A0998804B1}"/>
    <cellStyle name="Normal 3 2 2 2 6 3 5" xfId="31348" xr:uid="{CB135995-FFF3-435F-8D04-8E7CF00FB4C0}"/>
    <cellStyle name="Normal 3 2 2 2 6 3 6" xfId="31349" xr:uid="{3E3EF2AE-2526-4ECF-8A51-3B4A04D4C0E0}"/>
    <cellStyle name="Normal 3 2 2 2 6 4" xfId="31350" xr:uid="{12A70193-7469-451E-BF35-99F01C52B0A1}"/>
    <cellStyle name="Normal 3 2 2 2 6 4 2" xfId="31351" xr:uid="{4C849D7C-DE86-42E3-9342-07A023F7352A}"/>
    <cellStyle name="Normal 3 2 2 2 6 4 3" xfId="31352" xr:uid="{706BEF37-7F9E-4E9F-A5D8-4913874C7682}"/>
    <cellStyle name="Normal 3 2 2 2 6 4 4" xfId="31353" xr:uid="{B140009F-584E-4E80-8852-FF1275052627}"/>
    <cellStyle name="Normal 3 2 2 2 6 4 5" xfId="31354" xr:uid="{ECBE6500-9DA4-4C79-BB13-2952BE62A02C}"/>
    <cellStyle name="Normal 3 2 2 2 6 4 6" xfId="31355" xr:uid="{8CAA2EB0-5981-46C3-9023-AA99FF7A090E}"/>
    <cellStyle name="Normal 3 2 2 2 6 5" xfId="31356" xr:uid="{27647E55-B607-4EDE-A950-E5B04B9094EF}"/>
    <cellStyle name="Normal 3 2 2 2 6 5 2" xfId="31357" xr:uid="{B3FB4FC5-05D2-4709-B869-73819841820D}"/>
    <cellStyle name="Normal 3 2 2 2 6 5 3" xfId="31358" xr:uid="{4EE39D39-F309-4490-9502-255AD8F995C1}"/>
    <cellStyle name="Normal 3 2 2 2 6 5 4" xfId="31359" xr:uid="{82408FB8-2BEA-4362-BB09-7C53E395395F}"/>
    <cellStyle name="Normal 3 2 2 2 6 5 5" xfId="31360" xr:uid="{F5689EAD-E438-4F1C-8DEB-E2B0275A0E91}"/>
    <cellStyle name="Normal 3 2 2 2 6 5 6" xfId="31361" xr:uid="{C8E3F838-9D50-4262-938D-D4B040E08A99}"/>
    <cellStyle name="Normal 3 2 2 2 6 6" xfId="31362" xr:uid="{73B0D8F0-36BE-410B-B501-0BF86C7BD671}"/>
    <cellStyle name="Normal 3 2 2 2 6 6 2" xfId="31363" xr:uid="{A64B0CD3-7EC9-46B1-B8BF-E7B26367CDDD}"/>
    <cellStyle name="Normal 3 2 2 2 6 6 3" xfId="31364" xr:uid="{419404C6-6855-4788-A2E1-FAADD1E0E122}"/>
    <cellStyle name="Normal 3 2 2 2 6 6 4" xfId="31365" xr:uid="{A97C74E1-ED4F-49C2-9EAB-8A940F41376D}"/>
    <cellStyle name="Normal 3 2 2 2 6 6 5" xfId="31366" xr:uid="{DD83E96D-7BBE-46DE-BC27-75A62A63B687}"/>
    <cellStyle name="Normal 3 2 2 2 6 6 6" xfId="31367" xr:uid="{8B7CCDF6-9CB0-48BF-A21D-EC170BE6CC25}"/>
    <cellStyle name="Normal 3 2 2 2 6 7" xfId="31368" xr:uid="{150D8210-26ED-4D1D-A796-CE7454457D85}"/>
    <cellStyle name="Normal 3 2 2 2 6 8" xfId="31369" xr:uid="{A311570D-DD03-42A7-9A05-8411877D7EED}"/>
    <cellStyle name="Normal 3 2 2 2 6 9" xfId="31370" xr:uid="{C4D0113D-80A5-480A-A33D-D20FDC44ABC1}"/>
    <cellStyle name="Normal 3 2 2 2 60" xfId="31371" xr:uid="{1769CCC1-A096-4634-A533-A713C42496E2}"/>
    <cellStyle name="Normal 3 2 2 2 61" xfId="31372" xr:uid="{A8C36885-1E04-4632-986A-D573A6A30E29}"/>
    <cellStyle name="Normal 3 2 2 2 62" xfId="31373" xr:uid="{9B665A0C-F51C-4B36-ADAA-2F454A9802EA}"/>
    <cellStyle name="Normal 3 2 2 2 62 2" xfId="31374" xr:uid="{D3C9BFE0-6536-4A5A-9DA1-9B4486BCDAB9}"/>
    <cellStyle name="Normal 3 2 2 2 62 3" xfId="31375" xr:uid="{8B1F4F86-54B9-407C-8F84-52D19A042F83}"/>
    <cellStyle name="Normal 3 2 2 2 62 4" xfId="31376" xr:uid="{214B54E9-484D-4754-98E5-C0908900859B}"/>
    <cellStyle name="Normal 3 2 2 2 62 5" xfId="31377" xr:uid="{2E50AB14-B4DD-495B-9C05-45DDCA5B002C}"/>
    <cellStyle name="Normal 3 2 2 2 62 6" xfId="31378" xr:uid="{65FC1F2F-171C-4EF3-AC88-15A9DB8FC711}"/>
    <cellStyle name="Normal 3 2 2 2 62 7" xfId="31379" xr:uid="{18569A1B-C342-45F2-8C50-4D6B929CE516}"/>
    <cellStyle name="Normal 3 2 2 2 63" xfId="31380" xr:uid="{59A9049A-F16E-4CEC-8520-D4D6C3DD4D64}"/>
    <cellStyle name="Normal 3 2 2 2 64" xfId="31381" xr:uid="{478E5444-363C-46C8-BFAD-F86C813881D6}"/>
    <cellStyle name="Normal 3 2 2 2 65" xfId="31382" xr:uid="{50A07A95-0E8B-4129-A63F-526509B148E4}"/>
    <cellStyle name="Normal 3 2 2 2 66" xfId="31383" xr:uid="{B4D9ED28-1B96-45EC-B52E-BC53E4AD7135}"/>
    <cellStyle name="Normal 3 2 2 2 67" xfId="31384" xr:uid="{0F885149-C20D-4BCF-80B0-197B69BDA4B7}"/>
    <cellStyle name="Normal 3 2 2 2 68" xfId="31385" xr:uid="{1FB815CF-84B5-4980-A63F-385BB352EA5D}"/>
    <cellStyle name="Normal 3 2 2 2 69" xfId="31386" xr:uid="{AA27FE23-2471-4CFE-B85C-7D84CEE37164}"/>
    <cellStyle name="Normal 3 2 2 2 7" xfId="31387" xr:uid="{77A5724C-AC91-41B3-BCF4-C798416B4A5E}"/>
    <cellStyle name="Normal 3 2 2 2 7 10" xfId="31388" xr:uid="{29F696CA-37B5-4B4B-98F5-CAC8F2B53A7F}"/>
    <cellStyle name="Normal 3 2 2 2 7 11" xfId="31389" xr:uid="{F68F57A7-DD3F-4E97-BB68-62C418EA8CB2}"/>
    <cellStyle name="Normal 3 2 2 2 7 2" xfId="31390" xr:uid="{FD5611F9-388E-4DD6-8745-9A9D38A21569}"/>
    <cellStyle name="Normal 3 2 2 2 7 2 2" xfId="31391" xr:uid="{5250E9EE-C608-4AA6-B6F8-CADA0884F733}"/>
    <cellStyle name="Normal 3 2 2 2 7 2 3" xfId="31392" xr:uid="{1C5BDF38-D578-436A-9041-56D5F25E9E42}"/>
    <cellStyle name="Normal 3 2 2 2 7 2 4" xfId="31393" xr:uid="{B3F17111-6DC3-4054-BB6B-342511BD0C40}"/>
    <cellStyle name="Normal 3 2 2 2 7 2 5" xfId="31394" xr:uid="{0B3421FE-D98B-4C4F-A03B-ED2C67C6C49E}"/>
    <cellStyle name="Normal 3 2 2 2 7 2 6" xfId="31395" xr:uid="{20C4F2F8-CEEF-4AE4-9E66-D10357C6F896}"/>
    <cellStyle name="Normal 3 2 2 2 7 3" xfId="31396" xr:uid="{8487837A-BF72-42DD-AAB6-250D70E64451}"/>
    <cellStyle name="Normal 3 2 2 2 7 3 2" xfId="31397" xr:uid="{3D261ADC-2016-4839-B571-5CA79DDDEDC9}"/>
    <cellStyle name="Normal 3 2 2 2 7 3 3" xfId="31398" xr:uid="{012D832B-E33D-4AF6-9640-DCFB61116DC6}"/>
    <cellStyle name="Normal 3 2 2 2 7 3 4" xfId="31399" xr:uid="{3B5F7201-1011-4734-B605-52D439A4F12A}"/>
    <cellStyle name="Normal 3 2 2 2 7 3 5" xfId="31400" xr:uid="{39F3CE76-8241-4A23-A053-6FCF7016EFC8}"/>
    <cellStyle name="Normal 3 2 2 2 7 3 6" xfId="31401" xr:uid="{7DFAEA1C-FF8C-40E7-88C0-8F7B22EB06DB}"/>
    <cellStyle name="Normal 3 2 2 2 7 4" xfId="31402" xr:uid="{DD30A2F9-59A3-4A14-963A-7079418D1D7F}"/>
    <cellStyle name="Normal 3 2 2 2 7 4 2" xfId="31403" xr:uid="{DDEEA9E2-4706-4584-B4AC-A3D1BC5388BB}"/>
    <cellStyle name="Normal 3 2 2 2 7 4 3" xfId="31404" xr:uid="{8FA5940A-85DF-4AB5-98FB-94DB282AE9A8}"/>
    <cellStyle name="Normal 3 2 2 2 7 4 4" xfId="31405" xr:uid="{92B19C45-46DF-42F3-A41C-C78DF37371D9}"/>
    <cellStyle name="Normal 3 2 2 2 7 4 5" xfId="31406" xr:uid="{788FA292-BEAD-42CA-AB3B-F4467EF7CD10}"/>
    <cellStyle name="Normal 3 2 2 2 7 4 6" xfId="31407" xr:uid="{8E119BA2-3B67-48BA-9B09-099B95ED9133}"/>
    <cellStyle name="Normal 3 2 2 2 7 5" xfId="31408" xr:uid="{0C341F6E-A800-4BBD-88EC-37089501BB59}"/>
    <cellStyle name="Normal 3 2 2 2 7 5 2" xfId="31409" xr:uid="{4C82D9C9-D050-45F3-A288-35A9A5093C18}"/>
    <cellStyle name="Normal 3 2 2 2 7 5 3" xfId="31410" xr:uid="{565248D2-D090-4A75-AEF8-78881EABE3F0}"/>
    <cellStyle name="Normal 3 2 2 2 7 5 4" xfId="31411" xr:uid="{86979EE7-35D1-4472-8A29-4D4ED10A83E9}"/>
    <cellStyle name="Normal 3 2 2 2 7 5 5" xfId="31412" xr:uid="{59CC9274-243B-4D40-B345-3866D5A063DF}"/>
    <cellStyle name="Normal 3 2 2 2 7 5 6" xfId="31413" xr:uid="{DDF6E19A-85DF-452E-B293-495503983D45}"/>
    <cellStyle name="Normal 3 2 2 2 7 6" xfId="31414" xr:uid="{00CF581D-73BB-4D59-AD02-890CC9651922}"/>
    <cellStyle name="Normal 3 2 2 2 7 6 2" xfId="31415" xr:uid="{B36F09EA-AAF6-45E8-9327-2961763B9230}"/>
    <cellStyle name="Normal 3 2 2 2 7 6 3" xfId="31416" xr:uid="{78ED02EE-B06D-4D97-8635-E20F1660E490}"/>
    <cellStyle name="Normal 3 2 2 2 7 6 4" xfId="31417" xr:uid="{71BCB9AD-8012-48CB-93C7-2C566CABEE45}"/>
    <cellStyle name="Normal 3 2 2 2 7 6 5" xfId="31418" xr:uid="{28C0E983-1830-4F51-9232-7FCFBC73BC31}"/>
    <cellStyle name="Normal 3 2 2 2 7 6 6" xfId="31419" xr:uid="{015C0C7C-546D-4251-B37C-B6F8CAA83E0F}"/>
    <cellStyle name="Normal 3 2 2 2 7 7" xfId="31420" xr:uid="{D93EC365-E52B-4EA5-A51E-B764CE04B999}"/>
    <cellStyle name="Normal 3 2 2 2 7 8" xfId="31421" xr:uid="{EC2E0035-5FEF-4C80-A7FE-A2B8D170C0D5}"/>
    <cellStyle name="Normal 3 2 2 2 7 9" xfId="31422" xr:uid="{78EB8DC5-846F-46D0-B269-E05771055227}"/>
    <cellStyle name="Normal 3 2 2 2 70" xfId="31423" xr:uid="{5EA9919D-FAEF-4EF8-B91A-6F9902C007B0}"/>
    <cellStyle name="Normal 3 2 2 2 71" xfId="31424" xr:uid="{B03AF726-8909-4E43-9FE6-09ECA2A4D4C9}"/>
    <cellStyle name="Normal 3 2 2 2 72" xfId="31425" xr:uid="{18CA40D9-FD79-4410-9FED-F2F3B1E782D2}"/>
    <cellStyle name="Normal 3 2 2 2 73" xfId="31426" xr:uid="{9BFCB0D0-9F18-4EE4-9F35-BEBE5BEDB9AE}"/>
    <cellStyle name="Normal 3 2 2 2 74" xfId="31427" xr:uid="{FB7DC666-DF66-4F0E-A012-1B6E5A42584A}"/>
    <cellStyle name="Normal 3 2 2 2 75" xfId="31428" xr:uid="{022B2F65-0A35-4344-AF29-211F674F4E9F}"/>
    <cellStyle name="Normal 3 2 2 2 76" xfId="31429" xr:uid="{C075599B-8B8B-43EC-A698-4E971A040619}"/>
    <cellStyle name="Normal 3 2 2 2 77" xfId="31430" xr:uid="{665468AD-D9E8-43CB-9195-2E8FCC65E692}"/>
    <cellStyle name="Normal 3 2 2 2 78" xfId="31431" xr:uid="{CA776D47-B7EF-4D6F-AB04-FD5F37E50D03}"/>
    <cellStyle name="Normal 3 2 2 2 79" xfId="31432" xr:uid="{00241749-91C0-4A78-AAFB-B8B9175BCCCE}"/>
    <cellStyle name="Normal 3 2 2 2 8" xfId="31433" xr:uid="{D61A437B-AD60-4E17-A72F-B3E032AB01B4}"/>
    <cellStyle name="Normal 3 2 2 2 8 10" xfId="31434" xr:uid="{0241D4BE-8947-4AF2-8C7A-E3A637773088}"/>
    <cellStyle name="Normal 3 2 2 2 8 11" xfId="31435" xr:uid="{72D9A70C-971D-4839-9CB4-B79F842824A4}"/>
    <cellStyle name="Normal 3 2 2 2 8 2" xfId="31436" xr:uid="{408917CA-8574-44AF-ADCF-4AE5A077DF74}"/>
    <cellStyle name="Normal 3 2 2 2 8 2 2" xfId="31437" xr:uid="{ABF4805B-51CF-4901-9755-0DC86E1E7FAF}"/>
    <cellStyle name="Normal 3 2 2 2 8 2 3" xfId="31438" xr:uid="{C1BA08DA-50C1-4955-87CA-3EB4B2F110E6}"/>
    <cellStyle name="Normal 3 2 2 2 8 2 4" xfId="31439" xr:uid="{0F14A232-2D8E-4481-9ECE-4A8C7DE51CEE}"/>
    <cellStyle name="Normal 3 2 2 2 8 2 5" xfId="31440" xr:uid="{CFF8D828-5A31-4BD0-A3D7-68A5DAE50E9D}"/>
    <cellStyle name="Normal 3 2 2 2 8 2 6" xfId="31441" xr:uid="{90DEAC23-43FE-4A77-8538-71E4496446A7}"/>
    <cellStyle name="Normal 3 2 2 2 8 3" xfId="31442" xr:uid="{51B978F2-E6A2-43FF-8E42-D016B63C0616}"/>
    <cellStyle name="Normal 3 2 2 2 8 3 2" xfId="31443" xr:uid="{542A3D86-DFA8-4F7E-B903-DE5F328F747E}"/>
    <cellStyle name="Normal 3 2 2 2 8 3 3" xfId="31444" xr:uid="{1A6DF0A0-818D-41BC-9DB9-7F03BAC1F698}"/>
    <cellStyle name="Normal 3 2 2 2 8 3 4" xfId="31445" xr:uid="{705814AA-D07F-469B-AAD8-B4C6354AEB42}"/>
    <cellStyle name="Normal 3 2 2 2 8 3 5" xfId="31446" xr:uid="{ACC28F81-F894-42AC-B523-68DDD6375948}"/>
    <cellStyle name="Normal 3 2 2 2 8 3 6" xfId="31447" xr:uid="{FD38971E-5E24-4EDA-B20E-BA8794A16FA5}"/>
    <cellStyle name="Normal 3 2 2 2 8 4" xfId="31448" xr:uid="{39FB524A-5B8A-4C0F-A114-8D63536EE6CA}"/>
    <cellStyle name="Normal 3 2 2 2 8 4 2" xfId="31449" xr:uid="{4D97B360-2DF5-4B7A-AAA1-892CABC16291}"/>
    <cellStyle name="Normal 3 2 2 2 8 4 3" xfId="31450" xr:uid="{F032E149-1484-45D5-82F7-CBFF1EA4EE10}"/>
    <cellStyle name="Normal 3 2 2 2 8 4 4" xfId="31451" xr:uid="{182A7CFB-788E-4924-8B1C-188C7E5A35F9}"/>
    <cellStyle name="Normal 3 2 2 2 8 4 5" xfId="31452" xr:uid="{BD5CEEF8-2587-40E8-8646-9EAE9433FE72}"/>
    <cellStyle name="Normal 3 2 2 2 8 4 6" xfId="31453" xr:uid="{2D4F2557-2D0B-4E8C-B0B3-A54E89AC925B}"/>
    <cellStyle name="Normal 3 2 2 2 8 5" xfId="31454" xr:uid="{B7711651-D8D9-4D5C-B043-B24818E40FBE}"/>
    <cellStyle name="Normal 3 2 2 2 8 5 2" xfId="31455" xr:uid="{47EE401F-5126-4780-AE8C-D50F586E5F74}"/>
    <cellStyle name="Normal 3 2 2 2 8 5 3" xfId="31456" xr:uid="{B79BB187-83EE-4F2F-A36C-A5136F3403F4}"/>
    <cellStyle name="Normal 3 2 2 2 8 5 4" xfId="31457" xr:uid="{85A3564B-7969-4697-B224-76A7CE6CF6A9}"/>
    <cellStyle name="Normal 3 2 2 2 8 5 5" xfId="31458" xr:uid="{78970561-A40F-422B-BEFD-E2C1F1EC4B41}"/>
    <cellStyle name="Normal 3 2 2 2 8 5 6" xfId="31459" xr:uid="{4AB309EE-0055-4D80-9087-35A3A2609761}"/>
    <cellStyle name="Normal 3 2 2 2 8 6" xfId="31460" xr:uid="{9DFAE277-5BCF-435B-8026-CECECA873897}"/>
    <cellStyle name="Normal 3 2 2 2 8 6 2" xfId="31461" xr:uid="{4B1349E9-2E8C-4FA2-831C-B6078CA4D6BA}"/>
    <cellStyle name="Normal 3 2 2 2 8 6 3" xfId="31462" xr:uid="{27D100D6-33E6-4DA4-A1D4-C089A5A460B6}"/>
    <cellStyle name="Normal 3 2 2 2 8 6 4" xfId="31463" xr:uid="{F3F38A2A-EE07-4481-9DE7-5155AF4FF61E}"/>
    <cellStyle name="Normal 3 2 2 2 8 6 5" xfId="31464" xr:uid="{F7780005-2E9C-45A7-BA5A-5003B95F3AA6}"/>
    <cellStyle name="Normal 3 2 2 2 8 6 6" xfId="31465" xr:uid="{84C462CC-D6C0-4452-9D66-064C0B0ACA9B}"/>
    <cellStyle name="Normal 3 2 2 2 8 7" xfId="31466" xr:uid="{1F05BEAA-82B1-4B11-95EF-BE4A6C6C12D9}"/>
    <cellStyle name="Normal 3 2 2 2 8 8" xfId="31467" xr:uid="{69ECFCC8-4D90-4F65-BE7B-48897AFD96F9}"/>
    <cellStyle name="Normal 3 2 2 2 8 9" xfId="31468" xr:uid="{BB04647A-5D41-4AF4-8484-082BEE42F0B4}"/>
    <cellStyle name="Normal 3 2 2 2 80" xfId="31469" xr:uid="{ED4E3D65-5092-40A0-81F8-C15D324233D9}"/>
    <cellStyle name="Normal 3 2 2 2 81" xfId="31470" xr:uid="{5A1ADFE9-12E2-4FFC-9CF0-C416861A3744}"/>
    <cellStyle name="Normal 3 2 2 2 82" xfId="31471" xr:uid="{47FAA31F-87AB-41A9-8F02-B34F5A2EF96A}"/>
    <cellStyle name="Normal 3 2 2 2 83" xfId="31472" xr:uid="{E787AB9A-7274-4D4E-99E5-B51D98332279}"/>
    <cellStyle name="Normal 3 2 2 2 84" xfId="31473" xr:uid="{3B57E8D1-8AC8-48B9-B6AA-6AA48E6AFA43}"/>
    <cellStyle name="Normal 3 2 2 2 85" xfId="31474" xr:uid="{B89E7A33-DD71-46E1-95AA-0EE71CFCDC84}"/>
    <cellStyle name="Normal 3 2 2 2 86" xfId="31475" xr:uid="{3CD85CDD-E851-44D3-B46A-B3338A8F0ACE}"/>
    <cellStyle name="Normal 3 2 2 2 87" xfId="31476" xr:uid="{35CD54B0-BDCD-493A-BB77-9772A230D06B}"/>
    <cellStyle name="Normal 3 2 2 2 88" xfId="31477" xr:uid="{0CAABADC-7531-4E8C-B6CE-2029F8B4D69A}"/>
    <cellStyle name="Normal 3 2 2 2 89" xfId="31478" xr:uid="{A4AD42A7-D18D-4748-8FCB-1A026A4C2AB7}"/>
    <cellStyle name="Normal 3 2 2 2 9" xfId="31479" xr:uid="{D4B3DE7F-591C-4185-AB11-CE42625C4671}"/>
    <cellStyle name="Normal 3 2 2 2 9 10" xfId="31480" xr:uid="{9D5F2FD7-D04A-43E1-A33D-DED54F21581F}"/>
    <cellStyle name="Normal 3 2 2 2 9 11" xfId="31481" xr:uid="{9094C0F0-FF01-4B48-80B8-44446A9C977C}"/>
    <cellStyle name="Normal 3 2 2 2 9 2" xfId="31482" xr:uid="{BC610578-1BAD-4148-85F0-3163C0B98322}"/>
    <cellStyle name="Normal 3 2 2 2 9 2 2" xfId="31483" xr:uid="{957B6F01-DCAF-4B94-A31D-1C4056356D80}"/>
    <cellStyle name="Normal 3 2 2 2 9 2 3" xfId="31484" xr:uid="{E89B194B-A835-4F90-A70B-837D31E50E8B}"/>
    <cellStyle name="Normal 3 2 2 2 9 2 4" xfId="31485" xr:uid="{4A4762FB-132D-4214-AAC0-5B7DEEC05C31}"/>
    <cellStyle name="Normal 3 2 2 2 9 2 5" xfId="31486" xr:uid="{FA1EDAE7-13A0-4427-A270-945796922066}"/>
    <cellStyle name="Normal 3 2 2 2 9 2 6" xfId="31487" xr:uid="{384A853C-D188-4189-8844-CEBF98E6D60E}"/>
    <cellStyle name="Normal 3 2 2 2 9 3" xfId="31488" xr:uid="{5C9C1D3A-4F34-4871-BC89-04FB7836ACFC}"/>
    <cellStyle name="Normal 3 2 2 2 9 3 2" xfId="31489" xr:uid="{E68503FA-1382-4F95-B588-3905CE2F80BE}"/>
    <cellStyle name="Normal 3 2 2 2 9 3 3" xfId="31490" xr:uid="{99FF616D-6887-4399-9CB4-429ACCAAAF72}"/>
    <cellStyle name="Normal 3 2 2 2 9 3 4" xfId="31491" xr:uid="{F68F34F3-D33D-4B1B-B198-0C39D1E86BB2}"/>
    <cellStyle name="Normal 3 2 2 2 9 3 5" xfId="31492" xr:uid="{13E76521-1EB7-477B-879A-08D117274473}"/>
    <cellStyle name="Normal 3 2 2 2 9 3 6" xfId="31493" xr:uid="{618A1672-EE68-4928-A03E-9D10727020E7}"/>
    <cellStyle name="Normal 3 2 2 2 9 4" xfId="31494" xr:uid="{21768390-E674-4087-9886-DEFBFFC9C7AC}"/>
    <cellStyle name="Normal 3 2 2 2 9 4 2" xfId="31495" xr:uid="{DDBCBE46-26A9-4861-9149-989A8F8C6485}"/>
    <cellStyle name="Normal 3 2 2 2 9 4 3" xfId="31496" xr:uid="{FD3D44C0-2B14-4FB4-9A10-C39AD745E763}"/>
    <cellStyle name="Normal 3 2 2 2 9 4 4" xfId="31497" xr:uid="{1137790D-FDCF-4BCD-B713-B2F75E9333B1}"/>
    <cellStyle name="Normal 3 2 2 2 9 4 5" xfId="31498" xr:uid="{7CC8B213-A8B0-4A5F-8D1D-D385E8B8170E}"/>
    <cellStyle name="Normal 3 2 2 2 9 4 6" xfId="31499" xr:uid="{4DD718F7-45EC-4F67-92AC-74FFD3443783}"/>
    <cellStyle name="Normal 3 2 2 2 9 5" xfId="31500" xr:uid="{426F41CA-8010-40EA-BA86-E3BB9808EE43}"/>
    <cellStyle name="Normal 3 2 2 2 9 5 2" xfId="31501" xr:uid="{6B719B29-E6AE-45E6-9C73-6952BFD5A937}"/>
    <cellStyle name="Normal 3 2 2 2 9 5 3" xfId="31502" xr:uid="{EE9E336D-D821-44DA-8594-0D523A41A9C3}"/>
    <cellStyle name="Normal 3 2 2 2 9 5 4" xfId="31503" xr:uid="{87AF5CEC-AFAC-4D1B-AE3E-E61964A11993}"/>
    <cellStyle name="Normal 3 2 2 2 9 5 5" xfId="31504" xr:uid="{82E69DF6-E024-40B0-A52C-652389376F0A}"/>
    <cellStyle name="Normal 3 2 2 2 9 5 6" xfId="31505" xr:uid="{1FF88F77-865B-48BF-97A7-CE44CA2457C3}"/>
    <cellStyle name="Normal 3 2 2 2 9 6" xfId="31506" xr:uid="{C78DB14E-38D8-4EDE-A955-D66959173264}"/>
    <cellStyle name="Normal 3 2 2 2 9 6 2" xfId="31507" xr:uid="{0F476B61-3A74-47BC-80F3-D168CD75B4C6}"/>
    <cellStyle name="Normal 3 2 2 2 9 6 3" xfId="31508" xr:uid="{B0323237-AC36-4E5E-9D49-9D66F4FDD08D}"/>
    <cellStyle name="Normal 3 2 2 2 9 6 4" xfId="31509" xr:uid="{4BD6A17A-88A1-4B34-A796-84387AD62EC3}"/>
    <cellStyle name="Normal 3 2 2 2 9 6 5" xfId="31510" xr:uid="{9957144A-A0EB-47B0-B669-D14EF0B9E292}"/>
    <cellStyle name="Normal 3 2 2 2 9 6 6" xfId="31511" xr:uid="{824E5FBA-BACB-4C69-8343-723D24F9B8E2}"/>
    <cellStyle name="Normal 3 2 2 2 9 7" xfId="31512" xr:uid="{E2A05392-73F1-412B-A1C8-4CB67A01524E}"/>
    <cellStyle name="Normal 3 2 2 2 9 8" xfId="31513" xr:uid="{E5089FFE-F3D3-45F4-B5C0-A630593A42C1}"/>
    <cellStyle name="Normal 3 2 2 2 9 9" xfId="31514" xr:uid="{B5E3B75D-EF43-42BF-A7D5-5FDCA0295E53}"/>
    <cellStyle name="Normal 3 2 2 2 90" xfId="31515" xr:uid="{88083CA9-6279-41E4-877F-2465F2CEA5FB}"/>
    <cellStyle name="Normal 3 2 2 2 91" xfId="31516" xr:uid="{06679439-4DC0-44EC-8ADD-2CADAB55DC18}"/>
    <cellStyle name="Normal 3 2 2 2 92" xfId="31517" xr:uid="{B99B048E-9795-4729-AE95-4F495405C239}"/>
    <cellStyle name="Normal 3 2 2 2 93" xfId="31518" xr:uid="{D07D606B-DD5D-4901-A625-E50116AFA5D5}"/>
    <cellStyle name="Normal 3 2 2 2 94" xfId="31519" xr:uid="{EB25170D-7649-4598-B988-1CCC1B589D0D}"/>
    <cellStyle name="Normal 3 2 2 2 94 2" xfId="31520" xr:uid="{5BB30091-4198-4882-B491-AF9BCA488521}"/>
    <cellStyle name="Normal 3 2 2 2 94 3" xfId="31521" xr:uid="{D7242291-E21D-4965-BC16-4CAE8FB8D244}"/>
    <cellStyle name="Normal 3 2 2 2 94 4" xfId="31522" xr:uid="{9B000C5F-5DA7-4558-A1A0-CBC5443E2E44}"/>
    <cellStyle name="Normal 3 2 2 2 95" xfId="31523" xr:uid="{26AC10AC-2A04-4DCC-A3D3-4232B4E852CC}"/>
    <cellStyle name="Normal 3 2 2 2 96" xfId="31524" xr:uid="{B357F16D-6264-442A-8C09-C8E536618AAB}"/>
    <cellStyle name="Normal 3 2 2 2 97" xfId="31525" xr:uid="{943C7DEB-C8F6-4A3A-AA64-7BF5BDB1FEFE}"/>
    <cellStyle name="Normal 3 2 2 20" xfId="31526" xr:uid="{D291AB97-EC2E-4DD5-985E-4F9E9335D586}"/>
    <cellStyle name="Normal 3 2 2 21" xfId="31527" xr:uid="{1966BC3A-F7E3-48C6-BE20-E75B63A1A14F}"/>
    <cellStyle name="Normal 3 2 2 22" xfId="31528" xr:uid="{6B99D7AE-9F30-4B2F-9111-768D1CE3D543}"/>
    <cellStyle name="Normal 3 2 2 23" xfId="31529" xr:uid="{27E0F2A3-8904-4C06-AC1C-89E8FB4680A6}"/>
    <cellStyle name="Normal 3 2 2 24" xfId="31530" xr:uid="{2D74FF52-D150-43BC-9EA0-AF9C8D88DAFC}"/>
    <cellStyle name="Normal 3 2 2 25" xfId="31531" xr:uid="{3DB417EE-9B8B-4112-89C5-3D9134EF958D}"/>
    <cellStyle name="Normal 3 2 2 26" xfId="31532" xr:uid="{426D210A-9636-4132-BF94-A39393A071A6}"/>
    <cellStyle name="Normal 3 2 2 27" xfId="31533" xr:uid="{78D70D4C-40B0-46EF-9766-8FD9B5F10F8B}"/>
    <cellStyle name="Normal 3 2 2 28" xfId="31534" xr:uid="{78142770-8BB0-49D4-AB47-FC540E1892C7}"/>
    <cellStyle name="Normal 3 2 2 28 10" xfId="31535" xr:uid="{074C0548-5F4D-49BA-95AD-48B6BFA6B8F2}"/>
    <cellStyle name="Normal 3 2 2 28 11" xfId="31536" xr:uid="{7475D247-9FB4-4E83-B97D-555A2F3D12DC}"/>
    <cellStyle name="Normal 3 2 2 28 11 10" xfId="31537" xr:uid="{E93AECAA-2EDA-4197-9021-9470D9C0328A}"/>
    <cellStyle name="Normal 3 2 2 28 11 11" xfId="31538" xr:uid="{CA581CA7-614B-4585-B3E8-76EC989AF3F7}"/>
    <cellStyle name="Normal 3 2 2 28 11 11 2" xfId="31539" xr:uid="{28FEFC65-9805-4DED-9290-EE22196E46C4}"/>
    <cellStyle name="Normal 3 2 2 28 11 11 3" xfId="31540" xr:uid="{9D2E9EDD-D94C-4294-9B1C-2618FB1BF281}"/>
    <cellStyle name="Normal 3 2 2 28 11 11 4" xfId="31541" xr:uid="{5F4E9922-70D9-4D1E-8A40-C3046ED00AB7}"/>
    <cellStyle name="Normal 3 2 2 28 11 12" xfId="31542" xr:uid="{E34D0E6F-3433-4A20-B81E-8FCB3E17F029}"/>
    <cellStyle name="Normal 3 2 2 28 11 13" xfId="31543" xr:uid="{43515383-C0D1-4552-AFB2-13E7F7677570}"/>
    <cellStyle name="Normal 3 2 2 28 11 14" xfId="31544" xr:uid="{00764A2D-2010-4E29-85E8-6F6E2440C36D}"/>
    <cellStyle name="Normal 3 2 2 28 11 2" xfId="31545" xr:uid="{D98B808D-31E7-4B43-BC8D-FE34B426F87B}"/>
    <cellStyle name="Normal 3 2 2 28 11 2 10" xfId="31546" xr:uid="{49A73E04-C393-4089-B7E8-F45E2BD3E7A9}"/>
    <cellStyle name="Normal 3 2 2 28 11 2 11" xfId="31547" xr:uid="{BB67CFD7-9BCC-47ED-AFC4-167E50B46108}"/>
    <cellStyle name="Normal 3 2 2 28 11 2 2" xfId="31548" xr:uid="{A38E91B0-8A4F-4B9C-92FD-C30CB68C1232}"/>
    <cellStyle name="Normal 3 2 2 28 11 2 2 10" xfId="31549" xr:uid="{61DA8680-C1EE-42D5-8081-0104F27D37E6}"/>
    <cellStyle name="Normal 3 2 2 28 11 2 2 11" xfId="31550" xr:uid="{7D898649-B452-4222-AFB4-7A01154C0D07}"/>
    <cellStyle name="Normal 3 2 2 28 11 2 2 2" xfId="31551" xr:uid="{4ECEB848-478A-465B-A88D-0C2980C0768B}"/>
    <cellStyle name="Normal 3 2 2 28 11 2 2 2 2" xfId="31552" xr:uid="{778F9ABA-7A57-4C09-90BD-459231A95123}"/>
    <cellStyle name="Normal 3 2 2 28 11 2 2 2 2 2" xfId="31553" xr:uid="{054C00BD-C6C0-4989-B9A7-FC2554855193}"/>
    <cellStyle name="Normal 3 2 2 28 11 2 2 2 2 3" xfId="31554" xr:uid="{CE3F220F-9540-4C20-8B63-6117D8AD76D4}"/>
    <cellStyle name="Normal 3 2 2 28 11 2 2 2 2 4" xfId="31555" xr:uid="{8CED5E71-F5CD-4094-AB02-8D54D35825B6}"/>
    <cellStyle name="Normal 3 2 2 28 11 2 2 2 3" xfId="31556" xr:uid="{FA8E0FB4-828A-4FF4-82B7-0FE837CED04F}"/>
    <cellStyle name="Normal 3 2 2 28 11 2 2 2 4" xfId="31557" xr:uid="{4A846A5B-5431-4FD2-BB60-B688E06C55D6}"/>
    <cellStyle name="Normal 3 2 2 28 11 2 2 2 5" xfId="31558" xr:uid="{E5B50C2B-45E3-4CC2-B091-97620A96F263}"/>
    <cellStyle name="Normal 3 2 2 28 11 2 2 2 6" xfId="31559" xr:uid="{2A416493-551F-4369-BC85-C9DECF544FFF}"/>
    <cellStyle name="Normal 3 2 2 28 11 2 2 3" xfId="31560" xr:uid="{0B7EB8F2-4545-499C-9E4B-CBB0DA72D749}"/>
    <cellStyle name="Normal 3 2 2 28 11 2 2 4" xfId="31561" xr:uid="{9913C17D-2B13-4346-8762-7805DA8C70DC}"/>
    <cellStyle name="Normal 3 2 2 28 11 2 2 5" xfId="31562" xr:uid="{C5DD5E2D-8771-4121-A74C-E573E379E2E7}"/>
    <cellStyle name="Normal 3 2 2 28 11 2 2 6" xfId="31563" xr:uid="{0E0DB0EB-B78D-478F-B420-8CDB89D3FF4B}"/>
    <cellStyle name="Normal 3 2 2 28 11 2 2 7" xfId="31564" xr:uid="{7CD1D3F4-DD58-4975-97CB-B85C555AD1D5}"/>
    <cellStyle name="Normal 3 2 2 28 11 2 2 8" xfId="31565" xr:uid="{579D27DA-8092-4891-A89A-C6121379AB85}"/>
    <cellStyle name="Normal 3 2 2 28 11 2 2 8 2" xfId="31566" xr:uid="{CC3D3994-61E9-497D-B709-16C6C2000740}"/>
    <cellStyle name="Normal 3 2 2 28 11 2 2 8 3" xfId="31567" xr:uid="{A47A73F6-3838-4673-BB66-111CECDE5375}"/>
    <cellStyle name="Normal 3 2 2 28 11 2 2 8 4" xfId="31568" xr:uid="{2FD87C2F-8301-4341-B470-EA9FE1F27281}"/>
    <cellStyle name="Normal 3 2 2 28 11 2 2 9" xfId="31569" xr:uid="{3576B062-1E78-4671-A8E8-812BF0C9BEA1}"/>
    <cellStyle name="Normal 3 2 2 28 11 2 3" xfId="31570" xr:uid="{6CD56A36-0C50-4646-B0A8-711CA7405109}"/>
    <cellStyle name="Normal 3 2 2 28 11 2 3 2" xfId="31571" xr:uid="{21F089E1-A6C0-4B73-A26A-5FDA135685D0}"/>
    <cellStyle name="Normal 3 2 2 28 11 2 3 2 2" xfId="31572" xr:uid="{93AE9D95-FB83-4922-B9D0-1EA8A352C268}"/>
    <cellStyle name="Normal 3 2 2 28 11 2 3 2 3" xfId="31573" xr:uid="{609281E9-FA57-4460-863C-D274757B9A69}"/>
    <cellStyle name="Normal 3 2 2 28 11 2 3 2 4" xfId="31574" xr:uid="{DC3C1690-7F33-40A1-ABCC-D86CC52C9BAF}"/>
    <cellStyle name="Normal 3 2 2 28 11 2 3 3" xfId="31575" xr:uid="{3513140C-069B-42C2-870B-F7248DA9561B}"/>
    <cellStyle name="Normal 3 2 2 28 11 2 3 4" xfId="31576" xr:uid="{E0C6ADCB-AA1C-4AB0-9FF8-4B64BA1E2502}"/>
    <cellStyle name="Normal 3 2 2 28 11 2 3 5" xfId="31577" xr:uid="{2BFBC401-8F4B-4382-A2CC-FDDE55901D7F}"/>
    <cellStyle name="Normal 3 2 2 28 11 2 3 6" xfId="31578" xr:uid="{22C76E48-E845-4BB3-98A4-63405C9D02BC}"/>
    <cellStyle name="Normal 3 2 2 28 11 2 4" xfId="31579" xr:uid="{C51CCFD3-6DE7-4002-8C35-18BB7C9B6B6E}"/>
    <cellStyle name="Normal 3 2 2 28 11 2 5" xfId="31580" xr:uid="{6A4FFFFC-A4DA-471D-BF8B-5B1EE3C3A567}"/>
    <cellStyle name="Normal 3 2 2 28 11 2 6" xfId="31581" xr:uid="{84A58883-099A-4169-82FA-A8657C5D682F}"/>
    <cellStyle name="Normal 3 2 2 28 11 2 7" xfId="31582" xr:uid="{1E091B62-8B56-4F37-BC35-7F37C991DCF8}"/>
    <cellStyle name="Normal 3 2 2 28 11 2 8" xfId="31583" xr:uid="{1A8E5F85-9A8A-4DEE-BBC4-3C73CD38C611}"/>
    <cellStyle name="Normal 3 2 2 28 11 2 8 2" xfId="31584" xr:uid="{2938D887-6707-4113-ADD8-67701722CFFB}"/>
    <cellStyle name="Normal 3 2 2 28 11 2 8 3" xfId="31585" xr:uid="{3C4CD59C-CAF2-4499-907B-98589999E899}"/>
    <cellStyle name="Normal 3 2 2 28 11 2 8 4" xfId="31586" xr:uid="{10E8D8E7-20A9-43C3-ADB6-0B691198BA42}"/>
    <cellStyle name="Normal 3 2 2 28 11 2 9" xfId="31587" xr:uid="{D01F7BF6-9381-4D0E-9EE3-34CACFECCB6A}"/>
    <cellStyle name="Normal 3 2 2 28 11 3" xfId="31588" xr:uid="{0A9829D7-ECE9-427A-B83D-7EF7E6255F31}"/>
    <cellStyle name="Normal 3 2 2 28 11 4" xfId="31589" xr:uid="{B33E6A14-3E95-4598-9C4C-A801E7D3F668}"/>
    <cellStyle name="Normal 3 2 2 28 11 5" xfId="31590" xr:uid="{BDEE3165-624A-4F1B-967B-EF0B96FA0FC9}"/>
    <cellStyle name="Normal 3 2 2 28 11 5 2" xfId="31591" xr:uid="{CE548F65-CB65-47B6-865A-99458E5C0E2A}"/>
    <cellStyle name="Normal 3 2 2 28 11 5 2 2" xfId="31592" xr:uid="{AA210B23-E35D-4C30-9813-9B2C93EAACA4}"/>
    <cellStyle name="Normal 3 2 2 28 11 5 2 3" xfId="31593" xr:uid="{01528BB1-1E05-45FE-B7B4-E5239B78C8B0}"/>
    <cellStyle name="Normal 3 2 2 28 11 5 2 4" xfId="31594" xr:uid="{3E98926C-744D-483D-9DDD-C81CE8F08A8D}"/>
    <cellStyle name="Normal 3 2 2 28 11 5 3" xfId="31595" xr:uid="{B19209EA-EC8D-4E6A-AED2-5C489BBC79DD}"/>
    <cellStyle name="Normal 3 2 2 28 11 5 4" xfId="31596" xr:uid="{F71F7C5C-4B00-4713-BEDF-EAD900A1F5AF}"/>
    <cellStyle name="Normal 3 2 2 28 11 5 5" xfId="31597" xr:uid="{4EF6522C-28DF-4921-863C-891D8917D96B}"/>
    <cellStyle name="Normal 3 2 2 28 11 5 6" xfId="31598" xr:uid="{A2CEF893-5C0C-47BA-A65C-0741ED8C1598}"/>
    <cellStyle name="Normal 3 2 2 28 11 6" xfId="31599" xr:uid="{294B71E0-A692-413E-A2F8-BFDCE61347FF}"/>
    <cellStyle name="Normal 3 2 2 28 11 7" xfId="31600" xr:uid="{A0EB7FBC-9FD9-47FE-8B7A-2F383D5ED8C7}"/>
    <cellStyle name="Normal 3 2 2 28 11 8" xfId="31601" xr:uid="{A67CEA33-42B0-4D37-8E42-24B4DFFE3394}"/>
    <cellStyle name="Normal 3 2 2 28 11 9" xfId="31602" xr:uid="{09CBE38F-C366-410B-8637-AE042DF258ED}"/>
    <cellStyle name="Normal 3 2 2 28 12" xfId="31603" xr:uid="{9F44EECE-EFA1-41DF-B69F-1B1FA99FD57F}"/>
    <cellStyle name="Normal 3 2 2 28 13" xfId="31604" xr:uid="{93536BFE-0F1A-4F44-867B-35BF75E603D4}"/>
    <cellStyle name="Normal 3 2 2 28 13 10" xfId="31605" xr:uid="{C7BBEC0E-10CB-4D97-9736-BB6A9BBE8288}"/>
    <cellStyle name="Normal 3 2 2 28 13 11" xfId="31606" xr:uid="{61A51858-D7A7-4A12-A644-0B3F655726CF}"/>
    <cellStyle name="Normal 3 2 2 28 13 2" xfId="31607" xr:uid="{76B58238-A5BD-4015-8EA7-A1099BDF9CBB}"/>
    <cellStyle name="Normal 3 2 2 28 13 2 10" xfId="31608" xr:uid="{9637F663-70AC-4EF9-BFC2-0FB49DB4BEBD}"/>
    <cellStyle name="Normal 3 2 2 28 13 2 11" xfId="31609" xr:uid="{140EF54F-6F83-4E02-902B-758F7A89FC97}"/>
    <cellStyle name="Normal 3 2 2 28 13 2 2" xfId="31610" xr:uid="{C25F2796-1A42-4788-9B93-C136D00E5698}"/>
    <cellStyle name="Normal 3 2 2 28 13 2 2 2" xfId="31611" xr:uid="{E6EA12CC-2F94-4DBB-8EFE-C45EBC207D4E}"/>
    <cellStyle name="Normal 3 2 2 28 13 2 2 2 2" xfId="31612" xr:uid="{184194F0-EAE2-4309-BC3A-2DE334C47833}"/>
    <cellStyle name="Normal 3 2 2 28 13 2 2 2 3" xfId="31613" xr:uid="{53EDF273-FC1B-4B90-8F99-C3410BA72A40}"/>
    <cellStyle name="Normal 3 2 2 28 13 2 2 2 4" xfId="31614" xr:uid="{CB213D58-81C4-42FD-89E3-DE89A2703F22}"/>
    <cellStyle name="Normal 3 2 2 28 13 2 2 3" xfId="31615" xr:uid="{856F3F9E-24C9-4F34-BB81-ED2A2BE779C9}"/>
    <cellStyle name="Normal 3 2 2 28 13 2 2 4" xfId="31616" xr:uid="{DEF5CA78-1FAF-488B-91E8-B64818F8BE0B}"/>
    <cellStyle name="Normal 3 2 2 28 13 2 2 5" xfId="31617" xr:uid="{4D8ECF8B-B69C-4E1C-8B5E-8D733AC89A9E}"/>
    <cellStyle name="Normal 3 2 2 28 13 2 2 6" xfId="31618" xr:uid="{7FC6326F-3599-4152-BF51-E9D090AB56C5}"/>
    <cellStyle name="Normal 3 2 2 28 13 2 3" xfId="31619" xr:uid="{0A59C166-135E-4360-B845-BC0E111E03AD}"/>
    <cellStyle name="Normal 3 2 2 28 13 2 4" xfId="31620" xr:uid="{20323530-9AFB-4FD8-A487-D9F8F48C2076}"/>
    <cellStyle name="Normal 3 2 2 28 13 2 5" xfId="31621" xr:uid="{A7B51D05-A984-412B-ABD8-A0E4AB07DE7F}"/>
    <cellStyle name="Normal 3 2 2 28 13 2 6" xfId="31622" xr:uid="{44CB22F3-9415-4763-BA45-3921F8D78B3F}"/>
    <cellStyle name="Normal 3 2 2 28 13 2 7" xfId="31623" xr:uid="{BA344F55-FA6A-417C-B746-AC798634E9FC}"/>
    <cellStyle name="Normal 3 2 2 28 13 2 8" xfId="31624" xr:uid="{CE6708CF-7748-4142-9371-EBC2B1838C2C}"/>
    <cellStyle name="Normal 3 2 2 28 13 2 8 2" xfId="31625" xr:uid="{C4457F15-3B04-4133-9A2B-4C7713525238}"/>
    <cellStyle name="Normal 3 2 2 28 13 2 8 3" xfId="31626" xr:uid="{3FB30658-C193-462B-AA83-A6C3AFF62269}"/>
    <cellStyle name="Normal 3 2 2 28 13 2 8 4" xfId="31627" xr:uid="{5B9FDD4D-49D1-4369-AE02-1204347B5CB5}"/>
    <cellStyle name="Normal 3 2 2 28 13 2 9" xfId="31628" xr:uid="{B82032FD-5B41-4C63-8FEB-BADA1A72D1AC}"/>
    <cellStyle name="Normal 3 2 2 28 13 3" xfId="31629" xr:uid="{546A0152-6984-4127-8970-0657C9515759}"/>
    <cellStyle name="Normal 3 2 2 28 13 3 2" xfId="31630" xr:uid="{99A96486-CECA-4492-9417-2B5E1AA7E5B9}"/>
    <cellStyle name="Normal 3 2 2 28 13 3 2 2" xfId="31631" xr:uid="{9BC5BE34-A0F3-4C0C-8467-465E88E3BC9A}"/>
    <cellStyle name="Normal 3 2 2 28 13 3 2 3" xfId="31632" xr:uid="{C9F3A022-999F-4226-B474-A73E2540EDFF}"/>
    <cellStyle name="Normal 3 2 2 28 13 3 2 4" xfId="31633" xr:uid="{D720A58E-C525-4BD9-9E28-E13A365160F1}"/>
    <cellStyle name="Normal 3 2 2 28 13 3 3" xfId="31634" xr:uid="{C5FCCD14-9FED-4EA0-9EA4-ED9740717F0D}"/>
    <cellStyle name="Normal 3 2 2 28 13 3 4" xfId="31635" xr:uid="{DF2E4F8C-B30D-430F-814F-D113D23A1BDC}"/>
    <cellStyle name="Normal 3 2 2 28 13 3 5" xfId="31636" xr:uid="{379FC291-F039-433C-AFEC-B5BAC0F20F50}"/>
    <cellStyle name="Normal 3 2 2 28 13 3 6" xfId="31637" xr:uid="{6F3F601F-5EDE-4CF1-AC0E-2327DA8B94CB}"/>
    <cellStyle name="Normal 3 2 2 28 13 4" xfId="31638" xr:uid="{D171F8D0-D234-42C3-8AF6-790D043FF053}"/>
    <cellStyle name="Normal 3 2 2 28 13 5" xfId="31639" xr:uid="{1B74B900-C83A-46E7-9A8A-7B5CFF612285}"/>
    <cellStyle name="Normal 3 2 2 28 13 6" xfId="31640" xr:uid="{024D5F75-FF0A-469A-86F6-C55B9E0A10D5}"/>
    <cellStyle name="Normal 3 2 2 28 13 7" xfId="31641" xr:uid="{3DADA2E0-B779-4351-9CD4-83AB72A4DAF7}"/>
    <cellStyle name="Normal 3 2 2 28 13 8" xfId="31642" xr:uid="{6570368B-1E58-480A-8489-2A6E95A36BD7}"/>
    <cellStyle name="Normal 3 2 2 28 13 8 2" xfId="31643" xr:uid="{9232F8FC-C728-475D-86CF-E1ECAB7AE91C}"/>
    <cellStyle name="Normal 3 2 2 28 13 8 3" xfId="31644" xr:uid="{483FFE3D-6476-494A-86EC-EA30843B71D6}"/>
    <cellStyle name="Normal 3 2 2 28 13 8 4" xfId="31645" xr:uid="{D3F899EF-631E-4567-8887-BD9F9D719543}"/>
    <cellStyle name="Normal 3 2 2 28 13 9" xfId="31646" xr:uid="{1B0E03C8-3B11-42A9-8F11-7D70F6B29950}"/>
    <cellStyle name="Normal 3 2 2 28 14" xfId="31647" xr:uid="{2618A38A-8E70-4538-9128-07EF355744B4}"/>
    <cellStyle name="Normal 3 2 2 28 15" xfId="31648" xr:uid="{7DD700B0-33DE-4559-BF0D-595810F5E7A4}"/>
    <cellStyle name="Normal 3 2 2 28 15 2" xfId="31649" xr:uid="{A51BF79C-2C23-4FF9-8E4A-6EA45F582214}"/>
    <cellStyle name="Normal 3 2 2 28 15 2 2" xfId="31650" xr:uid="{80165A3E-7F3D-47C9-8736-E1FB3C319F85}"/>
    <cellStyle name="Normal 3 2 2 28 15 2 3" xfId="31651" xr:uid="{08396361-06E9-42DA-AF89-AD0A06C0977A}"/>
    <cellStyle name="Normal 3 2 2 28 15 2 4" xfId="31652" xr:uid="{6D496014-C548-4EA4-89FD-AA79A5655093}"/>
    <cellStyle name="Normal 3 2 2 28 15 3" xfId="31653" xr:uid="{67110B37-61D1-4073-969D-FC37EA135D6E}"/>
    <cellStyle name="Normal 3 2 2 28 15 4" xfId="31654" xr:uid="{C6AD1724-A5A3-41F6-B24C-3D124CF83275}"/>
    <cellStyle name="Normal 3 2 2 28 15 5" xfId="31655" xr:uid="{237A55AE-D47D-4D26-844C-76E1E734AF06}"/>
    <cellStyle name="Normal 3 2 2 28 15 6" xfId="31656" xr:uid="{3FAA1FD4-9EF0-4778-A5E1-A4A724918B4D}"/>
    <cellStyle name="Normal 3 2 2 28 16" xfId="31657" xr:uid="{373EC0F6-7727-432D-9B4E-889DB612A360}"/>
    <cellStyle name="Normal 3 2 2 28 17" xfId="31658" xr:uid="{C100504D-9D2D-4F4B-A49A-32A4D6521DAC}"/>
    <cellStyle name="Normal 3 2 2 28 18" xfId="31659" xr:uid="{FB3F32AB-F023-4005-897B-4A6999D6DF23}"/>
    <cellStyle name="Normal 3 2 2 28 19" xfId="31660" xr:uid="{C14FA5AD-1E18-41D0-BDCE-82D1ECAA39D0}"/>
    <cellStyle name="Normal 3 2 2 28 2" xfId="31661" xr:uid="{70F85642-8FDD-418F-8E71-821066F168A8}"/>
    <cellStyle name="Normal 3 2 2 28 2 10" xfId="31662" xr:uid="{F108E2CA-3B81-4596-8E36-9CD427DE17B0}"/>
    <cellStyle name="Normal 3 2 2 28 2 11" xfId="31663" xr:uid="{40455DD0-7D7B-4A2D-92B9-BBF53E09CC18}"/>
    <cellStyle name="Normal 3 2 2 28 2 12" xfId="31664" xr:uid="{28EE2E72-84FB-4B71-9F20-9C8863B332AA}"/>
    <cellStyle name="Normal 3 2 2 28 2 13" xfId="31665" xr:uid="{6285459B-80B2-49CD-A071-0FC03ECD297F}"/>
    <cellStyle name="Normal 3 2 2 28 2 13 2" xfId="31666" xr:uid="{1538DFFE-54A2-426D-A82D-D05B7B90B4E4}"/>
    <cellStyle name="Normal 3 2 2 28 2 13 3" xfId="31667" xr:uid="{C0EF143C-1DF0-49E9-BBBB-E013E72AF67C}"/>
    <cellStyle name="Normal 3 2 2 28 2 13 4" xfId="31668" xr:uid="{C7AF49D3-52B7-4E1E-BC00-BCE015E2812C}"/>
    <cellStyle name="Normal 3 2 2 28 2 14" xfId="31669" xr:uid="{AD619BC2-6B57-435C-AA31-68975CFA3F27}"/>
    <cellStyle name="Normal 3 2 2 28 2 15" xfId="31670" xr:uid="{309C48E6-07B0-4131-A29E-0C822C478E66}"/>
    <cellStyle name="Normal 3 2 2 28 2 16" xfId="31671" xr:uid="{744017C5-3745-4CE2-9FEF-C65454E3BB29}"/>
    <cellStyle name="Normal 3 2 2 28 2 2" xfId="31672" xr:uid="{AC883C10-AB44-44EF-B828-25CA956391AC}"/>
    <cellStyle name="Normal 3 2 2 28 2 2 10" xfId="31673" xr:uid="{B6D2CE15-AA7E-40C7-83ED-608409B254F0}"/>
    <cellStyle name="Normal 3 2 2 28 2 2 11" xfId="31674" xr:uid="{B8F8B273-544A-4594-92A7-C2BA0B62DA66}"/>
    <cellStyle name="Normal 3 2 2 28 2 2 11 2" xfId="31675" xr:uid="{6BC52853-1344-4802-9C3C-C4D9B23D0791}"/>
    <cellStyle name="Normal 3 2 2 28 2 2 11 3" xfId="31676" xr:uid="{7066F097-D75F-4AE6-9FCE-78CC645BF205}"/>
    <cellStyle name="Normal 3 2 2 28 2 2 11 4" xfId="31677" xr:uid="{A0751481-4529-40FC-A7CB-436302A87081}"/>
    <cellStyle name="Normal 3 2 2 28 2 2 12" xfId="31678" xr:uid="{32CEE92F-752D-44D8-9257-39A76451209E}"/>
    <cellStyle name="Normal 3 2 2 28 2 2 13" xfId="31679" xr:uid="{F331494E-308A-4C5A-8719-5021939ABC6D}"/>
    <cellStyle name="Normal 3 2 2 28 2 2 14" xfId="31680" xr:uid="{B286DB0F-B664-476A-84BC-B994B92B6056}"/>
    <cellStyle name="Normal 3 2 2 28 2 2 2" xfId="31681" xr:uid="{6979C4C0-2A49-442D-8FDB-0AAB8415560D}"/>
    <cellStyle name="Normal 3 2 2 28 2 2 2 10" xfId="31682" xr:uid="{5B9D6917-00D0-40EE-8E36-F98F50B31456}"/>
    <cellStyle name="Normal 3 2 2 28 2 2 2 11" xfId="31683" xr:uid="{18470371-BF9A-4A56-8F05-8C0BD63E1EF2}"/>
    <cellStyle name="Normal 3 2 2 28 2 2 2 2" xfId="31684" xr:uid="{E9B43707-4B62-4BC4-9BA5-A9B016166F76}"/>
    <cellStyle name="Normal 3 2 2 28 2 2 2 2 10" xfId="31685" xr:uid="{5E464A4A-D15D-47CF-915C-93A306E7FB46}"/>
    <cellStyle name="Normal 3 2 2 28 2 2 2 2 11" xfId="31686" xr:uid="{119C69CC-9187-4309-BEEC-23C62FB46694}"/>
    <cellStyle name="Normal 3 2 2 28 2 2 2 2 2" xfId="31687" xr:uid="{0E65D882-2DBF-4C2D-A059-494FEC7CCFC3}"/>
    <cellStyle name="Normal 3 2 2 28 2 2 2 2 2 2" xfId="31688" xr:uid="{9688992C-A5B5-430A-92D9-A1D13712CEE8}"/>
    <cellStyle name="Normal 3 2 2 28 2 2 2 2 2 2 2" xfId="31689" xr:uid="{34DB1766-9B8B-48C7-BF0E-82FDA01AE440}"/>
    <cellStyle name="Normal 3 2 2 28 2 2 2 2 2 2 3" xfId="31690" xr:uid="{4698472E-5AC2-4293-8F61-DC1A99D16418}"/>
    <cellStyle name="Normal 3 2 2 28 2 2 2 2 2 2 4" xfId="31691" xr:uid="{9A9F7176-3A49-43D4-8369-4F6E19918B9D}"/>
    <cellStyle name="Normal 3 2 2 28 2 2 2 2 2 3" xfId="31692" xr:uid="{64A98A7F-4B33-4F9D-8E8C-3BB848F04E4A}"/>
    <cellStyle name="Normal 3 2 2 28 2 2 2 2 2 4" xfId="31693" xr:uid="{FF711F9D-2F1C-44E0-80AA-8B80EA003680}"/>
    <cellStyle name="Normal 3 2 2 28 2 2 2 2 2 5" xfId="31694" xr:uid="{0365C8F4-79E1-4C83-B709-02A869D29DA7}"/>
    <cellStyle name="Normal 3 2 2 28 2 2 2 2 2 6" xfId="31695" xr:uid="{B75F35EA-664D-400D-8442-E6A9E5E55586}"/>
    <cellStyle name="Normal 3 2 2 28 2 2 2 2 3" xfId="31696" xr:uid="{452FB594-42DE-402B-8D3D-3A30F284C256}"/>
    <cellStyle name="Normal 3 2 2 28 2 2 2 2 4" xfId="31697" xr:uid="{ACEE26CB-BA5B-43AA-A6C6-B8FA2A0D9304}"/>
    <cellStyle name="Normal 3 2 2 28 2 2 2 2 5" xfId="31698" xr:uid="{2CBBEB58-64DD-4D8B-8000-E926E29CB87B}"/>
    <cellStyle name="Normal 3 2 2 28 2 2 2 2 6" xfId="31699" xr:uid="{28EF79C4-746D-4412-B2C8-43037A6D46E5}"/>
    <cellStyle name="Normal 3 2 2 28 2 2 2 2 7" xfId="31700" xr:uid="{E7DF8432-B3A3-4DB4-9984-B0D8EE19554E}"/>
    <cellStyle name="Normal 3 2 2 28 2 2 2 2 8" xfId="31701" xr:uid="{D4F19744-2D56-4595-BB1F-8248442E2D82}"/>
    <cellStyle name="Normal 3 2 2 28 2 2 2 2 8 2" xfId="31702" xr:uid="{8728CB9D-EF3B-427A-887E-50FB2C466120}"/>
    <cellStyle name="Normal 3 2 2 28 2 2 2 2 8 3" xfId="31703" xr:uid="{63A73061-449E-48C8-8C88-F460F9E240B5}"/>
    <cellStyle name="Normal 3 2 2 28 2 2 2 2 8 4" xfId="31704" xr:uid="{2D79707B-700E-48EC-90C8-8AB404A49301}"/>
    <cellStyle name="Normal 3 2 2 28 2 2 2 2 9" xfId="31705" xr:uid="{2ABD8FED-1D65-4A86-83A0-3A2AFA2AAC60}"/>
    <cellStyle name="Normal 3 2 2 28 2 2 2 3" xfId="31706" xr:uid="{7E7AA065-FC4F-49F9-9C50-406089EC4886}"/>
    <cellStyle name="Normal 3 2 2 28 2 2 2 3 2" xfId="31707" xr:uid="{308EC34A-8B1A-41D6-8581-0A5B01E9814E}"/>
    <cellStyle name="Normal 3 2 2 28 2 2 2 3 2 2" xfId="31708" xr:uid="{8777CC0B-24DC-4643-AE2F-037AD91EACCB}"/>
    <cellStyle name="Normal 3 2 2 28 2 2 2 3 2 3" xfId="31709" xr:uid="{C22D1122-E520-4F71-BDC7-B5D661341E92}"/>
    <cellStyle name="Normal 3 2 2 28 2 2 2 3 2 4" xfId="31710" xr:uid="{90372A85-F060-48A6-87FB-B22BA2A0D836}"/>
    <cellStyle name="Normal 3 2 2 28 2 2 2 3 3" xfId="31711" xr:uid="{037F0F49-EFE5-4816-B6CF-AB6AA4F588B9}"/>
    <cellStyle name="Normal 3 2 2 28 2 2 2 3 4" xfId="31712" xr:uid="{80DE84CB-7BEC-4CDB-99FB-C211E8AC68B1}"/>
    <cellStyle name="Normal 3 2 2 28 2 2 2 3 5" xfId="31713" xr:uid="{61B2C887-59B2-4203-81AE-B1A85AE48B9F}"/>
    <cellStyle name="Normal 3 2 2 28 2 2 2 3 6" xfId="31714" xr:uid="{326E89EA-12C7-45F4-A276-AF20A90E066C}"/>
    <cellStyle name="Normal 3 2 2 28 2 2 2 4" xfId="31715" xr:uid="{527B7CFD-D142-4DEE-9B64-EB15FEAB9F93}"/>
    <cellStyle name="Normal 3 2 2 28 2 2 2 5" xfId="31716" xr:uid="{6635C8D0-D572-4A0F-949E-246CA94D3C10}"/>
    <cellStyle name="Normal 3 2 2 28 2 2 2 6" xfId="31717" xr:uid="{841A4045-A8AE-4F37-8112-829A35504CC7}"/>
    <cellStyle name="Normal 3 2 2 28 2 2 2 7" xfId="31718" xr:uid="{BA13865E-5FC4-4243-86DF-956E882342CF}"/>
    <cellStyle name="Normal 3 2 2 28 2 2 2 8" xfId="31719" xr:uid="{25A78411-25FC-4654-B412-8DA6D46621CF}"/>
    <cellStyle name="Normal 3 2 2 28 2 2 2 8 2" xfId="31720" xr:uid="{5C8B2536-4D4F-4A4F-97D5-15FCBA836DE6}"/>
    <cellStyle name="Normal 3 2 2 28 2 2 2 8 3" xfId="31721" xr:uid="{F19B6C72-F6F2-4DDE-A5B9-311DFBB71B84}"/>
    <cellStyle name="Normal 3 2 2 28 2 2 2 8 4" xfId="31722" xr:uid="{947FC96E-3430-46CF-BCAF-AAE0B9371466}"/>
    <cellStyle name="Normal 3 2 2 28 2 2 2 9" xfId="31723" xr:uid="{11309FD2-C462-4903-9D51-4847C7A001AC}"/>
    <cellStyle name="Normal 3 2 2 28 2 2 3" xfId="31724" xr:uid="{00B15EBA-2E18-4C3F-9E5A-869DAC3911CC}"/>
    <cellStyle name="Normal 3 2 2 28 2 2 4" xfId="31725" xr:uid="{2557C126-44DE-4CB5-AC85-7B66AC5C968A}"/>
    <cellStyle name="Normal 3 2 2 28 2 2 5" xfId="31726" xr:uid="{20C2A27A-0839-4F3C-B0BD-A8243E6C5D57}"/>
    <cellStyle name="Normal 3 2 2 28 2 2 5 2" xfId="31727" xr:uid="{0C23D563-3380-44EF-A06F-75DCA9547522}"/>
    <cellStyle name="Normal 3 2 2 28 2 2 5 2 2" xfId="31728" xr:uid="{65BD7990-66E6-4DC5-B467-58E55BEDAB6F}"/>
    <cellStyle name="Normal 3 2 2 28 2 2 5 2 3" xfId="31729" xr:uid="{63D4C6AD-876B-4D93-A102-985E2DC81FDE}"/>
    <cellStyle name="Normal 3 2 2 28 2 2 5 2 4" xfId="31730" xr:uid="{61560421-EBBB-4F0B-9428-53B9EB6AEDD4}"/>
    <cellStyle name="Normal 3 2 2 28 2 2 5 3" xfId="31731" xr:uid="{75128DFF-7495-4565-A6CB-A51FCDCE8252}"/>
    <cellStyle name="Normal 3 2 2 28 2 2 5 4" xfId="31732" xr:uid="{5DB55467-DC8E-4662-BBC1-5FF8D98CEAA5}"/>
    <cellStyle name="Normal 3 2 2 28 2 2 5 5" xfId="31733" xr:uid="{2302C812-9A68-41DE-BFC7-6DA06411E704}"/>
    <cellStyle name="Normal 3 2 2 28 2 2 5 6" xfId="31734" xr:uid="{274C39B3-3641-4B9D-ABD3-2538963CF4C4}"/>
    <cellStyle name="Normal 3 2 2 28 2 2 6" xfId="31735" xr:uid="{4820E9BB-DE9F-4F31-8FCE-1A46F98368D5}"/>
    <cellStyle name="Normal 3 2 2 28 2 2 7" xfId="31736" xr:uid="{826442B6-8EED-4244-BD36-FC7A888EE2E3}"/>
    <cellStyle name="Normal 3 2 2 28 2 2 8" xfId="31737" xr:uid="{6BF196EE-F1B2-41A0-BF04-D3093A685477}"/>
    <cellStyle name="Normal 3 2 2 28 2 2 9" xfId="31738" xr:uid="{89AFEB27-7458-469C-BBAE-B3AE5E982D53}"/>
    <cellStyle name="Normal 3 2 2 28 2 3" xfId="31739" xr:uid="{1D324145-E139-48AC-A789-1999F0B85BF7}"/>
    <cellStyle name="Normal 3 2 2 28 2 4" xfId="31740" xr:uid="{3F47F879-1A0F-47C4-9E97-0DF150A14B09}"/>
    <cellStyle name="Normal 3 2 2 28 2 5" xfId="31741" xr:uid="{C3EE00AD-7E7B-4236-AF7C-EF6213EF205C}"/>
    <cellStyle name="Normal 3 2 2 28 2 5 10" xfId="31742" xr:uid="{BAECEBC2-8F51-4015-A77D-2987D671B322}"/>
    <cellStyle name="Normal 3 2 2 28 2 5 11" xfId="31743" xr:uid="{FB104207-2F89-4692-8BB0-6D4302E8FC83}"/>
    <cellStyle name="Normal 3 2 2 28 2 5 2" xfId="31744" xr:uid="{7A440A2D-D49E-47D7-AE9F-372CF739AB06}"/>
    <cellStyle name="Normal 3 2 2 28 2 5 2 10" xfId="31745" xr:uid="{D6ED14D2-5DF1-4743-8E69-79A919A0ADBA}"/>
    <cellStyle name="Normal 3 2 2 28 2 5 2 11" xfId="31746" xr:uid="{FC66AE70-C015-40CF-800A-AF3F9AB94416}"/>
    <cellStyle name="Normal 3 2 2 28 2 5 2 2" xfId="31747" xr:uid="{592AB836-2A84-4B2D-8D03-18B6AAB8DFF0}"/>
    <cellStyle name="Normal 3 2 2 28 2 5 2 2 2" xfId="31748" xr:uid="{6A38F3FA-E15E-42E0-9A3F-F4A2D404A98A}"/>
    <cellStyle name="Normal 3 2 2 28 2 5 2 2 2 2" xfId="31749" xr:uid="{30ABF6C9-75B2-485B-A37C-36343FEFD392}"/>
    <cellStyle name="Normal 3 2 2 28 2 5 2 2 2 3" xfId="31750" xr:uid="{20ED198A-BB61-4A60-B2F4-E1F63FE77D18}"/>
    <cellStyle name="Normal 3 2 2 28 2 5 2 2 2 4" xfId="31751" xr:uid="{9ED41861-1A8F-4136-8D61-5B8618AADB5B}"/>
    <cellStyle name="Normal 3 2 2 28 2 5 2 2 3" xfId="31752" xr:uid="{4D5A095B-5E5B-42DD-B7C2-6823E9B595A8}"/>
    <cellStyle name="Normal 3 2 2 28 2 5 2 2 4" xfId="31753" xr:uid="{4AC4CB15-3072-4F7B-866F-13421CFDBDB5}"/>
    <cellStyle name="Normal 3 2 2 28 2 5 2 2 5" xfId="31754" xr:uid="{85B9D96E-0B9B-4AED-8FB6-191C89AA7595}"/>
    <cellStyle name="Normal 3 2 2 28 2 5 2 2 6" xfId="31755" xr:uid="{4958523D-AEEE-4A64-8EFB-EED0A5B57D33}"/>
    <cellStyle name="Normal 3 2 2 28 2 5 2 3" xfId="31756" xr:uid="{46136BC4-8A60-4567-BC2E-C0396DF5B960}"/>
    <cellStyle name="Normal 3 2 2 28 2 5 2 4" xfId="31757" xr:uid="{D71CFE7D-3C1C-4E88-9E6C-1B79A052C2B0}"/>
    <cellStyle name="Normal 3 2 2 28 2 5 2 5" xfId="31758" xr:uid="{4E877109-0C5A-457F-A1A6-AC5BEFDF6AF0}"/>
    <cellStyle name="Normal 3 2 2 28 2 5 2 6" xfId="31759" xr:uid="{69CA9DC9-F949-4D72-9508-291847C05159}"/>
    <cellStyle name="Normal 3 2 2 28 2 5 2 7" xfId="31760" xr:uid="{14BF282B-7101-47C7-954D-456DBCF6B871}"/>
    <cellStyle name="Normal 3 2 2 28 2 5 2 8" xfId="31761" xr:uid="{F17ED7A8-4E65-4EDA-A833-9672A4B56887}"/>
    <cellStyle name="Normal 3 2 2 28 2 5 2 8 2" xfId="31762" xr:uid="{6DCA502F-7BDA-4102-991E-5D23B938A653}"/>
    <cellStyle name="Normal 3 2 2 28 2 5 2 8 3" xfId="31763" xr:uid="{8F686D09-EDE0-43B8-B669-BE1DFF96F706}"/>
    <cellStyle name="Normal 3 2 2 28 2 5 2 8 4" xfId="31764" xr:uid="{76A499E0-2E76-4A77-8F59-8072E089FE89}"/>
    <cellStyle name="Normal 3 2 2 28 2 5 2 9" xfId="31765" xr:uid="{15E012BF-8423-4BD8-8D0B-CCE0F063821B}"/>
    <cellStyle name="Normal 3 2 2 28 2 5 3" xfId="31766" xr:uid="{7F890F9C-0C12-427A-A931-256414959EB1}"/>
    <cellStyle name="Normal 3 2 2 28 2 5 3 2" xfId="31767" xr:uid="{0036EDE5-1BB1-4038-B372-D9257F18A2B2}"/>
    <cellStyle name="Normal 3 2 2 28 2 5 3 2 2" xfId="31768" xr:uid="{EEF0FF0C-31F2-4301-B176-EB42B4C073CE}"/>
    <cellStyle name="Normal 3 2 2 28 2 5 3 2 3" xfId="31769" xr:uid="{7E09D658-8E78-4C6F-8E04-A4ABC57B99B4}"/>
    <cellStyle name="Normal 3 2 2 28 2 5 3 2 4" xfId="31770" xr:uid="{86143123-3AE2-48BC-BF4A-5B9F17C205C5}"/>
    <cellStyle name="Normal 3 2 2 28 2 5 3 3" xfId="31771" xr:uid="{8D200BF1-6E08-4A73-AA49-2252919704BF}"/>
    <cellStyle name="Normal 3 2 2 28 2 5 3 4" xfId="31772" xr:uid="{1CD44AE0-A326-4B88-B3D2-ADCC1143115C}"/>
    <cellStyle name="Normal 3 2 2 28 2 5 3 5" xfId="31773" xr:uid="{CAE0FC0B-AB32-4EEF-B496-0AA6F23F86C9}"/>
    <cellStyle name="Normal 3 2 2 28 2 5 3 6" xfId="31774" xr:uid="{09A0B39C-0502-4FC3-908A-782D56A1573C}"/>
    <cellStyle name="Normal 3 2 2 28 2 5 4" xfId="31775" xr:uid="{6DF5961B-B1DA-4026-8515-4DA343BEDE6C}"/>
    <cellStyle name="Normal 3 2 2 28 2 5 5" xfId="31776" xr:uid="{F03B5AF2-AE79-42D4-A901-C0BF3B24CB5A}"/>
    <cellStyle name="Normal 3 2 2 28 2 5 6" xfId="31777" xr:uid="{E9D41CD1-AAAF-491D-BDDA-DFCCB99F0335}"/>
    <cellStyle name="Normal 3 2 2 28 2 5 7" xfId="31778" xr:uid="{A5E7BDAF-AC14-44C8-93B7-3FB3D834C03E}"/>
    <cellStyle name="Normal 3 2 2 28 2 5 8" xfId="31779" xr:uid="{16E134A4-A633-40FD-B36E-B3C81DF873D1}"/>
    <cellStyle name="Normal 3 2 2 28 2 5 8 2" xfId="31780" xr:uid="{DF5788A6-111F-4574-A6C8-F4FE80E3F9D1}"/>
    <cellStyle name="Normal 3 2 2 28 2 5 8 3" xfId="31781" xr:uid="{08670CDA-9EEC-4B8D-A7AD-7EEE4C6C718F}"/>
    <cellStyle name="Normal 3 2 2 28 2 5 8 4" xfId="31782" xr:uid="{07580949-81FA-43F5-A74D-762558B98EA9}"/>
    <cellStyle name="Normal 3 2 2 28 2 5 9" xfId="31783" xr:uid="{D559A6F1-5699-4940-A1CF-ABC1287CCD71}"/>
    <cellStyle name="Normal 3 2 2 28 2 6" xfId="31784" xr:uid="{FA25CA6B-E039-4478-B535-A3C355BB4390}"/>
    <cellStyle name="Normal 3 2 2 28 2 7" xfId="31785" xr:uid="{B938CBDC-9AD8-4211-A30F-FE9F8AD848E4}"/>
    <cellStyle name="Normal 3 2 2 28 2 7 2" xfId="31786" xr:uid="{15F1C2B5-BAFB-4AFC-B5E5-09AB90E8FE43}"/>
    <cellStyle name="Normal 3 2 2 28 2 7 2 2" xfId="31787" xr:uid="{66527059-D2A5-4443-AB7B-862DDD33F096}"/>
    <cellStyle name="Normal 3 2 2 28 2 7 2 3" xfId="31788" xr:uid="{8A4821E0-5CB9-4DB2-A2B8-78BBFF707894}"/>
    <cellStyle name="Normal 3 2 2 28 2 7 2 4" xfId="31789" xr:uid="{522AFE35-9CDF-436E-A7A7-1725865DB026}"/>
    <cellStyle name="Normal 3 2 2 28 2 7 3" xfId="31790" xr:uid="{91025C7C-643D-41D6-90AF-B04C20DC992D}"/>
    <cellStyle name="Normal 3 2 2 28 2 7 4" xfId="31791" xr:uid="{A93A3AB9-BE2C-4914-9B83-6EB6155FE208}"/>
    <cellStyle name="Normal 3 2 2 28 2 7 5" xfId="31792" xr:uid="{BF6457BC-99A6-4F80-B625-21FAF9C42586}"/>
    <cellStyle name="Normal 3 2 2 28 2 7 6" xfId="31793" xr:uid="{32360598-83CD-4BC3-B721-8ADC8B033581}"/>
    <cellStyle name="Normal 3 2 2 28 2 8" xfId="31794" xr:uid="{5B1CD930-4214-4F92-AA48-429EA7359B4C}"/>
    <cellStyle name="Normal 3 2 2 28 2 9" xfId="31795" xr:uid="{5B0B197A-9F94-410A-8404-AA1BEEA428BE}"/>
    <cellStyle name="Normal 3 2 2 28 20" xfId="31796" xr:uid="{1A214D0F-9843-4589-8338-DB413111D888}"/>
    <cellStyle name="Normal 3 2 2 28 21" xfId="31797" xr:uid="{70E67C72-19F1-4F88-B5C7-93C95412515D}"/>
    <cellStyle name="Normal 3 2 2 28 21 2" xfId="31798" xr:uid="{CB9BCCE3-ACCC-419E-8683-CBDD25371FB5}"/>
    <cellStyle name="Normal 3 2 2 28 21 3" xfId="31799" xr:uid="{CA5387DE-1293-494B-B1EC-69393FE3A5AE}"/>
    <cellStyle name="Normal 3 2 2 28 21 4" xfId="31800" xr:uid="{0EEEC4F3-83B6-4EF5-8F42-D77B33FFD172}"/>
    <cellStyle name="Normal 3 2 2 28 22" xfId="31801" xr:uid="{5002E74A-B218-498D-85E1-24BDD24446CE}"/>
    <cellStyle name="Normal 3 2 2 28 23" xfId="31802" xr:uid="{BEFE0D9E-4B0D-4D2E-B6EE-369646AB01F0}"/>
    <cellStyle name="Normal 3 2 2 28 24" xfId="31803" xr:uid="{56694880-164C-414C-9454-B8341CF9A248}"/>
    <cellStyle name="Normal 3 2 2 28 3" xfId="31804" xr:uid="{5ED2200F-9FFB-45CC-92C3-201A55C2FCE3}"/>
    <cellStyle name="Normal 3 2 2 28 4" xfId="31805" xr:uid="{933052E8-C0CA-4900-B652-7593DEE84136}"/>
    <cellStyle name="Normal 3 2 2 28 5" xfId="31806" xr:uid="{04167701-4805-4A6E-A329-452CE95C9D11}"/>
    <cellStyle name="Normal 3 2 2 28 6" xfId="31807" xr:uid="{E14C93BC-A4B9-4D79-B617-83B463E5F4F2}"/>
    <cellStyle name="Normal 3 2 2 28 7" xfId="31808" xr:uid="{06DC51F1-1928-422C-82B7-8CF5988A4161}"/>
    <cellStyle name="Normal 3 2 2 28 8" xfId="31809" xr:uid="{1FEEDB0E-DD0A-422C-987F-2899849A385B}"/>
    <cellStyle name="Normal 3 2 2 28 9" xfId="31810" xr:uid="{A927337B-A2B9-44B9-8E76-F644D40A970D}"/>
    <cellStyle name="Normal 3 2 2 29" xfId="31811" xr:uid="{EF406694-900D-4D30-9F44-80DBC767E296}"/>
    <cellStyle name="Normal 3 2 2 29 10" xfId="31812" xr:uid="{9D081745-C729-49E9-A173-7B0D8B7241DD}"/>
    <cellStyle name="Normal 3 2 2 29 11" xfId="31813" xr:uid="{62F4032B-7372-4F9F-9D2A-FF4887733AE2}"/>
    <cellStyle name="Normal 3 2 2 29 12" xfId="31814" xr:uid="{FA4EFE6F-9C3E-41B0-9FFF-CB1135929F4F}"/>
    <cellStyle name="Normal 3 2 2 29 13" xfId="31815" xr:uid="{FEDFBD76-DD55-4457-9148-7D6751C3406D}"/>
    <cellStyle name="Normal 3 2 2 29 13 2" xfId="31816" xr:uid="{9F4C8279-DDCB-4723-A8BD-1DEF37E8B929}"/>
    <cellStyle name="Normal 3 2 2 29 13 3" xfId="31817" xr:uid="{E02B8F07-6811-413C-B467-2E7A5A4CAFDE}"/>
    <cellStyle name="Normal 3 2 2 29 13 4" xfId="31818" xr:uid="{6547CA80-3ED4-4AC4-A414-3FD777514F39}"/>
    <cellStyle name="Normal 3 2 2 29 14" xfId="31819" xr:uid="{4315B285-17E3-4A67-A159-A11199A7EECD}"/>
    <cellStyle name="Normal 3 2 2 29 15" xfId="31820" xr:uid="{08FC04DB-0094-45CF-A65E-FF7279CC733E}"/>
    <cellStyle name="Normal 3 2 2 29 16" xfId="31821" xr:uid="{D9D8DE4D-4D24-444A-BF5C-2E8FDEC9A3C4}"/>
    <cellStyle name="Normal 3 2 2 29 2" xfId="31822" xr:uid="{41F84007-586B-4806-8B1C-6EFA176461BA}"/>
    <cellStyle name="Normal 3 2 2 29 2 10" xfId="31823" xr:uid="{A2CE82FA-10CA-4BB6-A4DF-D0E19B334AB5}"/>
    <cellStyle name="Normal 3 2 2 29 2 11" xfId="31824" xr:uid="{52AB2CE2-38B5-43D1-A923-6ABC86895CAA}"/>
    <cellStyle name="Normal 3 2 2 29 2 11 2" xfId="31825" xr:uid="{479AB34F-4514-479C-A9D1-A7EAF81C3F62}"/>
    <cellStyle name="Normal 3 2 2 29 2 11 3" xfId="31826" xr:uid="{C6426D68-D530-4480-AE1E-23A7E5278625}"/>
    <cellStyle name="Normal 3 2 2 29 2 11 4" xfId="31827" xr:uid="{FE925CB5-5326-4677-B657-DDD301383A1D}"/>
    <cellStyle name="Normal 3 2 2 29 2 12" xfId="31828" xr:uid="{C7290132-5AF0-42C5-B6D6-019441FE28C6}"/>
    <cellStyle name="Normal 3 2 2 29 2 13" xfId="31829" xr:uid="{AEF3FDAF-B986-43EE-8966-8B0CBD4F127B}"/>
    <cellStyle name="Normal 3 2 2 29 2 14" xfId="31830" xr:uid="{B99A3F80-A05E-43F8-B5AB-600079445C56}"/>
    <cellStyle name="Normal 3 2 2 29 2 2" xfId="31831" xr:uid="{92BE03DB-3B9D-4525-9CCE-6EDE1EAEECBC}"/>
    <cellStyle name="Normal 3 2 2 29 2 2 10" xfId="31832" xr:uid="{E473AAE7-FE33-47CB-A59F-2D26B4A4E030}"/>
    <cellStyle name="Normal 3 2 2 29 2 2 11" xfId="31833" xr:uid="{85D0806A-2662-41BF-8A9B-744DB8B894F4}"/>
    <cellStyle name="Normal 3 2 2 29 2 2 2" xfId="31834" xr:uid="{5468344A-3B42-4B36-A486-83387F73568E}"/>
    <cellStyle name="Normal 3 2 2 29 2 2 2 10" xfId="31835" xr:uid="{FD0F08C0-C744-48C1-B5D2-4A04B3806CC7}"/>
    <cellStyle name="Normal 3 2 2 29 2 2 2 11" xfId="31836" xr:uid="{61680503-7A10-46C3-BB32-12D931E7DC30}"/>
    <cellStyle name="Normal 3 2 2 29 2 2 2 2" xfId="31837" xr:uid="{D2F171AD-3597-45EC-AE63-4BA8B1B1667A}"/>
    <cellStyle name="Normal 3 2 2 29 2 2 2 2 2" xfId="31838" xr:uid="{33058DA3-6E19-49C1-9F1A-C8D6E047EC3B}"/>
    <cellStyle name="Normal 3 2 2 29 2 2 2 2 2 2" xfId="31839" xr:uid="{E9DFDEB9-01CD-4E3C-A135-93A1E6F6A2AC}"/>
    <cellStyle name="Normal 3 2 2 29 2 2 2 2 2 3" xfId="31840" xr:uid="{C03D53FC-00E0-45C0-8136-8C7CD8222371}"/>
    <cellStyle name="Normal 3 2 2 29 2 2 2 2 2 4" xfId="31841" xr:uid="{ED49867B-828D-499D-B3F3-634D8FCB119C}"/>
    <cellStyle name="Normal 3 2 2 29 2 2 2 2 3" xfId="31842" xr:uid="{FE1EA562-DFEC-4E8E-8C93-18F3FABBD79C}"/>
    <cellStyle name="Normal 3 2 2 29 2 2 2 2 4" xfId="31843" xr:uid="{3138C363-426F-4DD6-990D-D6D9639711AC}"/>
    <cellStyle name="Normal 3 2 2 29 2 2 2 2 5" xfId="31844" xr:uid="{B9A7422F-6C6B-41E5-A8BF-92CF4E2C9BF4}"/>
    <cellStyle name="Normal 3 2 2 29 2 2 2 2 6" xfId="31845" xr:uid="{6A0BCD21-8FA6-420D-9FF3-D12963AEF824}"/>
    <cellStyle name="Normal 3 2 2 29 2 2 2 3" xfId="31846" xr:uid="{3F67AEF5-E6D5-4926-94AE-555950243A5F}"/>
    <cellStyle name="Normal 3 2 2 29 2 2 2 4" xfId="31847" xr:uid="{A2E4A782-0F06-45B8-BC04-F2C722886D28}"/>
    <cellStyle name="Normal 3 2 2 29 2 2 2 5" xfId="31848" xr:uid="{F0ED7676-24EF-4DB9-ACA2-31C9EE5F0663}"/>
    <cellStyle name="Normal 3 2 2 29 2 2 2 6" xfId="31849" xr:uid="{E244C097-4760-47CE-BA2F-6FFFE3BB6E4D}"/>
    <cellStyle name="Normal 3 2 2 29 2 2 2 7" xfId="31850" xr:uid="{6B4077D5-F518-487F-824A-D40D18D3A93D}"/>
    <cellStyle name="Normal 3 2 2 29 2 2 2 8" xfId="31851" xr:uid="{0BC2FE43-377E-4417-8774-E070E94F25CB}"/>
    <cellStyle name="Normal 3 2 2 29 2 2 2 8 2" xfId="31852" xr:uid="{D66A3B00-8A08-46C1-B3FD-6C816F4A43B5}"/>
    <cellStyle name="Normal 3 2 2 29 2 2 2 8 3" xfId="31853" xr:uid="{6DA27130-005D-49BB-82AE-10AE4DD1A193}"/>
    <cellStyle name="Normal 3 2 2 29 2 2 2 8 4" xfId="31854" xr:uid="{CB693368-4EE8-4789-B75E-7A6C4FB198B3}"/>
    <cellStyle name="Normal 3 2 2 29 2 2 2 9" xfId="31855" xr:uid="{7C192927-2DF6-407E-A9C2-D991642C7BF6}"/>
    <cellStyle name="Normal 3 2 2 29 2 2 3" xfId="31856" xr:uid="{836A6A29-69F2-4DD1-8B93-D8EDAF52F52C}"/>
    <cellStyle name="Normal 3 2 2 29 2 2 3 2" xfId="31857" xr:uid="{3F7E97FE-7E0F-4011-BFD5-E5B3374AE2B7}"/>
    <cellStyle name="Normal 3 2 2 29 2 2 3 2 2" xfId="31858" xr:uid="{1A56ACB6-6791-4992-9287-53B853EA9917}"/>
    <cellStyle name="Normal 3 2 2 29 2 2 3 2 3" xfId="31859" xr:uid="{14909DBF-50F6-4A64-9C4D-086A0EFD65DE}"/>
    <cellStyle name="Normal 3 2 2 29 2 2 3 2 4" xfId="31860" xr:uid="{68540495-C590-4543-9817-B9E1509EB6C0}"/>
    <cellStyle name="Normal 3 2 2 29 2 2 3 3" xfId="31861" xr:uid="{EA17E6A0-417A-4028-B94F-D5E8C85EB932}"/>
    <cellStyle name="Normal 3 2 2 29 2 2 3 4" xfId="31862" xr:uid="{57A85C81-BE29-4D20-BAC4-61068EE18C66}"/>
    <cellStyle name="Normal 3 2 2 29 2 2 3 5" xfId="31863" xr:uid="{A96446D5-6984-4498-8797-051CCCD98CFC}"/>
    <cellStyle name="Normal 3 2 2 29 2 2 3 6" xfId="31864" xr:uid="{7783B2AA-21BC-47D3-B8FD-A93B7D6A5EEF}"/>
    <cellStyle name="Normal 3 2 2 29 2 2 4" xfId="31865" xr:uid="{DDA63190-0DEB-447B-AEAB-2D2CEE171986}"/>
    <cellStyle name="Normal 3 2 2 29 2 2 5" xfId="31866" xr:uid="{7081E9B7-4401-4A7C-818B-5E1B3439ABD7}"/>
    <cellStyle name="Normal 3 2 2 29 2 2 6" xfId="31867" xr:uid="{BD9B6BE3-A465-43D3-9E7F-D378DE6DB2BF}"/>
    <cellStyle name="Normal 3 2 2 29 2 2 7" xfId="31868" xr:uid="{DD780D6A-FCA9-471C-8B14-54C05DBB65A8}"/>
    <cellStyle name="Normal 3 2 2 29 2 2 8" xfId="31869" xr:uid="{5D5AFFEC-032C-402D-BF44-F7121BE53748}"/>
    <cellStyle name="Normal 3 2 2 29 2 2 8 2" xfId="31870" xr:uid="{EEC9CAD4-E68C-4288-AC83-5A41B78AE1F8}"/>
    <cellStyle name="Normal 3 2 2 29 2 2 8 3" xfId="31871" xr:uid="{11A0B9F6-AF1A-4F86-B297-0301DECBA02D}"/>
    <cellStyle name="Normal 3 2 2 29 2 2 8 4" xfId="31872" xr:uid="{E877F519-929C-4DF8-884C-A02E8DCCF838}"/>
    <cellStyle name="Normal 3 2 2 29 2 2 9" xfId="31873" xr:uid="{65371CCC-EC08-4B86-A4E0-294F255FA7F8}"/>
    <cellStyle name="Normal 3 2 2 29 2 3" xfId="31874" xr:uid="{7CCEAC35-1CDF-45C7-8FB4-4B002F362FA5}"/>
    <cellStyle name="Normal 3 2 2 29 2 4" xfId="31875" xr:uid="{787A0670-5DAA-44C8-8003-DCC0EF265450}"/>
    <cellStyle name="Normal 3 2 2 29 2 5" xfId="31876" xr:uid="{D7ABC3D8-7FD9-42A1-A4EA-F34A1EF7FF77}"/>
    <cellStyle name="Normal 3 2 2 29 2 5 2" xfId="31877" xr:uid="{FE34BAEF-E92C-49DE-895E-2E9AF18F295D}"/>
    <cellStyle name="Normal 3 2 2 29 2 5 2 2" xfId="31878" xr:uid="{507EE1A6-DD27-4CD8-ABEE-54BF901CC401}"/>
    <cellStyle name="Normal 3 2 2 29 2 5 2 3" xfId="31879" xr:uid="{8DC693A2-DFF1-4F43-9D7F-F05281E249F6}"/>
    <cellStyle name="Normal 3 2 2 29 2 5 2 4" xfId="31880" xr:uid="{B6EB4C63-18E3-4F2B-B5C4-C28F4ECE49E8}"/>
    <cellStyle name="Normal 3 2 2 29 2 5 3" xfId="31881" xr:uid="{1948EEFD-F12C-4CBA-99FE-20CA5FBA2BC3}"/>
    <cellStyle name="Normal 3 2 2 29 2 5 4" xfId="31882" xr:uid="{A0E509F5-3639-4F0A-9691-2B1FFF51FA7D}"/>
    <cellStyle name="Normal 3 2 2 29 2 5 5" xfId="31883" xr:uid="{F5781CFB-0D21-48B3-B585-E2EE8BC18657}"/>
    <cellStyle name="Normal 3 2 2 29 2 5 6" xfId="31884" xr:uid="{5298FE65-E908-4675-B982-26C90C89A7EA}"/>
    <cellStyle name="Normal 3 2 2 29 2 6" xfId="31885" xr:uid="{A9FF38D0-9854-483C-949C-89267CBEF009}"/>
    <cellStyle name="Normal 3 2 2 29 2 7" xfId="31886" xr:uid="{A8FF628F-65F6-49A2-8FC3-A25C588B44D5}"/>
    <cellStyle name="Normal 3 2 2 29 2 8" xfId="31887" xr:uid="{64DBBCDD-B90E-43A4-B2B4-EC719DACA679}"/>
    <cellStyle name="Normal 3 2 2 29 2 9" xfId="31888" xr:uid="{9AFF7B54-8085-4E0D-9822-1898A336F81B}"/>
    <cellStyle name="Normal 3 2 2 29 3" xfId="31889" xr:uid="{DBDB9F9A-7F2E-44E5-B74B-EB9F982A0C75}"/>
    <cellStyle name="Normal 3 2 2 29 4" xfId="31890" xr:uid="{0C410E73-0377-445D-B63B-97F7793FD0C4}"/>
    <cellStyle name="Normal 3 2 2 29 5" xfId="31891" xr:uid="{A74F4DB9-E542-4D8E-9844-4ED72BD2098D}"/>
    <cellStyle name="Normal 3 2 2 29 5 10" xfId="31892" xr:uid="{FD174771-FA17-4AD7-9092-CD5DA8A9F7B9}"/>
    <cellStyle name="Normal 3 2 2 29 5 11" xfId="31893" xr:uid="{2B65177F-2EE5-4AE2-BF8E-0C290BF6D60C}"/>
    <cellStyle name="Normal 3 2 2 29 5 2" xfId="31894" xr:uid="{42F069EE-E427-413D-94DB-D90B47DF4C6E}"/>
    <cellStyle name="Normal 3 2 2 29 5 2 10" xfId="31895" xr:uid="{EA1C368E-FB77-4C09-B597-E41F91EA3DDF}"/>
    <cellStyle name="Normal 3 2 2 29 5 2 11" xfId="31896" xr:uid="{135C7DE7-A631-4700-8509-FFBBD7233797}"/>
    <cellStyle name="Normal 3 2 2 29 5 2 2" xfId="31897" xr:uid="{F4A1EB91-A2DD-44F4-AF54-3DF22CEC8479}"/>
    <cellStyle name="Normal 3 2 2 29 5 2 2 2" xfId="31898" xr:uid="{3FDAE424-77E6-4ACA-8A54-C60C4BB3E800}"/>
    <cellStyle name="Normal 3 2 2 29 5 2 2 2 2" xfId="31899" xr:uid="{AE7722E0-F81F-46CB-8D09-714217B2C37E}"/>
    <cellStyle name="Normal 3 2 2 29 5 2 2 2 3" xfId="31900" xr:uid="{90E3AA8B-696D-44E9-B71D-97192FDAB4DA}"/>
    <cellStyle name="Normal 3 2 2 29 5 2 2 2 4" xfId="31901" xr:uid="{2B0E56B1-A1E3-4B5F-8E4F-D46A6255C629}"/>
    <cellStyle name="Normal 3 2 2 29 5 2 2 3" xfId="31902" xr:uid="{8717AAEB-4958-4014-AD1C-7B79E710B930}"/>
    <cellStyle name="Normal 3 2 2 29 5 2 2 4" xfId="31903" xr:uid="{DAF938D8-68AA-452A-84F2-5E1DED20A53E}"/>
    <cellStyle name="Normal 3 2 2 29 5 2 2 5" xfId="31904" xr:uid="{3314671C-CF52-4DB3-AE84-82AE853B4BBF}"/>
    <cellStyle name="Normal 3 2 2 29 5 2 2 6" xfId="31905" xr:uid="{C98064DE-8C77-405D-8541-AA79D88BDF19}"/>
    <cellStyle name="Normal 3 2 2 29 5 2 3" xfId="31906" xr:uid="{E70DC6A8-38C1-4ACC-A636-778846F68E75}"/>
    <cellStyle name="Normal 3 2 2 29 5 2 4" xfId="31907" xr:uid="{C8C90CE5-4150-471E-ACD6-C88B6623DCD2}"/>
    <cellStyle name="Normal 3 2 2 29 5 2 5" xfId="31908" xr:uid="{536FAECA-E27B-4742-B28D-C9D9035E74FF}"/>
    <cellStyle name="Normal 3 2 2 29 5 2 6" xfId="31909" xr:uid="{383E6758-0214-4E51-A48D-71F04CAC36CA}"/>
    <cellStyle name="Normal 3 2 2 29 5 2 7" xfId="31910" xr:uid="{DAA064ED-2556-4F49-88AF-E553EC4ED2A4}"/>
    <cellStyle name="Normal 3 2 2 29 5 2 8" xfId="31911" xr:uid="{18941001-601C-47FD-88F4-4FAFE30E930B}"/>
    <cellStyle name="Normal 3 2 2 29 5 2 8 2" xfId="31912" xr:uid="{635269F0-0087-45EE-B009-C7975788BB84}"/>
    <cellStyle name="Normal 3 2 2 29 5 2 8 3" xfId="31913" xr:uid="{717C2E66-B914-439D-BAEC-812348748116}"/>
    <cellStyle name="Normal 3 2 2 29 5 2 8 4" xfId="31914" xr:uid="{573C3073-A1DE-4787-BFB5-01D3B1E9E07B}"/>
    <cellStyle name="Normal 3 2 2 29 5 2 9" xfId="31915" xr:uid="{ABF71B9B-2271-4FD8-A2D6-85F41B2D992D}"/>
    <cellStyle name="Normal 3 2 2 29 5 3" xfId="31916" xr:uid="{B2424A9D-8625-49DA-9497-7DE5CD6E737D}"/>
    <cellStyle name="Normal 3 2 2 29 5 3 2" xfId="31917" xr:uid="{B8132FBD-7D64-44F5-A173-6F3A644DC735}"/>
    <cellStyle name="Normal 3 2 2 29 5 3 2 2" xfId="31918" xr:uid="{F9BEA1D3-10E6-40B9-8B9F-38F48181D0F1}"/>
    <cellStyle name="Normal 3 2 2 29 5 3 2 3" xfId="31919" xr:uid="{A9E5A0E8-37C7-4D84-B887-FA8237DAC3AA}"/>
    <cellStyle name="Normal 3 2 2 29 5 3 2 4" xfId="31920" xr:uid="{FC4BB238-9A1A-41ED-8C6F-6346F36A73BC}"/>
    <cellStyle name="Normal 3 2 2 29 5 3 3" xfId="31921" xr:uid="{A1F5D1A6-D3AE-4D4B-B755-AEEDC12B5641}"/>
    <cellStyle name="Normal 3 2 2 29 5 3 4" xfId="31922" xr:uid="{9E77A973-A819-418F-948F-B7EE494B5D17}"/>
    <cellStyle name="Normal 3 2 2 29 5 3 5" xfId="31923" xr:uid="{83BA72EA-2FC4-4885-A5B4-3A318B0B9D4A}"/>
    <cellStyle name="Normal 3 2 2 29 5 3 6" xfId="31924" xr:uid="{18DE7824-2594-496A-BE27-9EC62FD9D443}"/>
    <cellStyle name="Normal 3 2 2 29 5 4" xfId="31925" xr:uid="{803FA3B9-F571-4DD4-8A12-38243EFA0CFF}"/>
    <cellStyle name="Normal 3 2 2 29 5 5" xfId="31926" xr:uid="{254625A0-AC59-4FAA-A6ED-3E690D11FDCC}"/>
    <cellStyle name="Normal 3 2 2 29 5 6" xfId="31927" xr:uid="{86C36DDE-CCBA-4CDB-8C41-EF653634EFF8}"/>
    <cellStyle name="Normal 3 2 2 29 5 7" xfId="31928" xr:uid="{965E3014-1492-49E4-BDF4-7AFB6176D96B}"/>
    <cellStyle name="Normal 3 2 2 29 5 8" xfId="31929" xr:uid="{722E73FB-A59F-449F-976D-33020F360D5D}"/>
    <cellStyle name="Normal 3 2 2 29 5 8 2" xfId="31930" xr:uid="{86E9BC44-9F4A-4463-9010-7FE5C1606F4E}"/>
    <cellStyle name="Normal 3 2 2 29 5 8 3" xfId="31931" xr:uid="{BA0704FD-0FF9-4200-9551-2DEA9C1981AE}"/>
    <cellStyle name="Normal 3 2 2 29 5 8 4" xfId="31932" xr:uid="{E3118A00-F8D3-4FA4-8A4D-E30C5F3D93B6}"/>
    <cellStyle name="Normal 3 2 2 29 5 9" xfId="31933" xr:uid="{FB0BFAA1-7A90-4F36-91AC-D2FCDFA5CAA3}"/>
    <cellStyle name="Normal 3 2 2 29 6" xfId="31934" xr:uid="{E5E6893E-5A6D-4818-A777-AF20B46AEF21}"/>
    <cellStyle name="Normal 3 2 2 29 7" xfId="31935" xr:uid="{102211C1-6EF0-4A1F-98E3-E23F6BA670BE}"/>
    <cellStyle name="Normal 3 2 2 29 7 2" xfId="31936" xr:uid="{8C8CE64A-FB12-410A-8D77-602EEE114B1F}"/>
    <cellStyle name="Normal 3 2 2 29 7 2 2" xfId="31937" xr:uid="{87ADFA64-86D6-40C4-A6F4-DF53E4E7C1E8}"/>
    <cellStyle name="Normal 3 2 2 29 7 2 3" xfId="31938" xr:uid="{1FD13400-FEE6-4F90-AE6D-9F819561EFEF}"/>
    <cellStyle name="Normal 3 2 2 29 7 2 4" xfId="31939" xr:uid="{7F0BC9EA-51C7-4864-B2CF-F922509B955F}"/>
    <cellStyle name="Normal 3 2 2 29 7 3" xfId="31940" xr:uid="{E2568116-49F3-4942-921F-1CC09DDA021C}"/>
    <cellStyle name="Normal 3 2 2 29 7 4" xfId="31941" xr:uid="{538C95EB-49C2-40DF-82F2-E9A8F229A2D0}"/>
    <cellStyle name="Normal 3 2 2 29 7 5" xfId="31942" xr:uid="{CA122779-77FA-45D6-B02D-14BBB7438D8A}"/>
    <cellStyle name="Normal 3 2 2 29 7 6" xfId="31943" xr:uid="{732A1A0A-2B75-4CE2-9BAD-4FC6C7A5A11F}"/>
    <cellStyle name="Normal 3 2 2 29 8" xfId="31944" xr:uid="{2F02B08F-DACF-4C57-B658-27E6887DF2D7}"/>
    <cellStyle name="Normal 3 2 2 29 9" xfId="31945" xr:uid="{CB63FD01-01D6-4995-8B3E-DA9BC91239E7}"/>
    <cellStyle name="Normal 3 2 2 3" xfId="31946" xr:uid="{33305AD1-8F6E-4165-944C-ABE44BC679A1}"/>
    <cellStyle name="Normal 3 2 2 3 2" xfId="31947" xr:uid="{9A142B85-BB16-40FE-BFBD-A06DF7572691}"/>
    <cellStyle name="Normal 3 2 2 3 2 10" xfId="31948" xr:uid="{ACFB21E4-7987-47A7-BCAB-B3F82CB3CD9E}"/>
    <cellStyle name="Normal 3 2 2 3 2 10 2" xfId="31949" xr:uid="{18A83594-2CB9-440B-B5D1-AB70831A117D}"/>
    <cellStyle name="Normal 3 2 2 3 2 10 3" xfId="31950" xr:uid="{BACD36F9-E9B0-49FD-A44D-0B213A83C6C5}"/>
    <cellStyle name="Normal 3 2 2 3 2 10 4" xfId="31951" xr:uid="{70F07C3D-597A-4BB3-AE1D-3C04EECC2862}"/>
    <cellStyle name="Normal 3 2 2 3 2 10 5" xfId="31952" xr:uid="{B4DCB9D3-C6EB-4D77-9FDF-9CB358CDDAD0}"/>
    <cellStyle name="Normal 3 2 2 3 2 10 6" xfId="31953" xr:uid="{8ABAD1EC-D178-44F0-B3D9-471C46D052B7}"/>
    <cellStyle name="Normal 3 2 2 3 2 11" xfId="31954" xr:uid="{7860732F-C9E7-4832-8B20-D8E91F5CCA8D}"/>
    <cellStyle name="Normal 3 2 2 3 2 11 2" xfId="31955" xr:uid="{086DDF5E-0F2B-436B-81F3-085498B25AD2}"/>
    <cellStyle name="Normal 3 2 2 3 2 11 3" xfId="31956" xr:uid="{E9E4277F-A3F0-4DA4-931B-A2587FC1EA00}"/>
    <cellStyle name="Normal 3 2 2 3 2 11 4" xfId="31957" xr:uid="{B4414060-83E7-4AB1-87F7-87500362B6F9}"/>
    <cellStyle name="Normal 3 2 2 3 2 11 5" xfId="31958" xr:uid="{532636EA-BC03-4627-95DF-4C30EA611C41}"/>
    <cellStyle name="Normal 3 2 2 3 2 11 6" xfId="31959" xr:uid="{AC217B64-BEAC-4305-96EB-25AD4E908142}"/>
    <cellStyle name="Normal 3 2 2 3 2 12" xfId="31960" xr:uid="{E2C88CD7-5D5E-40B8-814C-5E49F9859716}"/>
    <cellStyle name="Normal 3 2 2 3 2 12 2" xfId="31961" xr:uid="{C12EF88B-D22C-427C-94F3-112543F0E93B}"/>
    <cellStyle name="Normal 3 2 2 3 2 12 3" xfId="31962" xr:uid="{F9CF50AF-FBAB-4335-8BE4-7EFB0A7285CE}"/>
    <cellStyle name="Normal 3 2 2 3 2 12 4" xfId="31963" xr:uid="{FD156D00-F42B-4B42-B736-4BB59F16BF69}"/>
    <cellStyle name="Normal 3 2 2 3 2 12 5" xfId="31964" xr:uid="{98B91341-26A7-402B-BDFE-A6ED1821ECB8}"/>
    <cellStyle name="Normal 3 2 2 3 2 12 6" xfId="31965" xr:uid="{F82052F5-2A74-416A-9F6E-6C7372F61450}"/>
    <cellStyle name="Normal 3 2 2 3 2 13" xfId="31966" xr:uid="{EFB296BA-7EBC-4B40-9EAE-ADA0AABE7C4F}"/>
    <cellStyle name="Normal 3 2 2 3 2 13 2" xfId="31967" xr:uid="{A66DE6C5-EC12-47F6-99AF-8E1CBB081BA7}"/>
    <cellStyle name="Normal 3 2 2 3 2 13 3" xfId="31968" xr:uid="{D589AEB9-A356-4B09-8A46-C6CF635EDE96}"/>
    <cellStyle name="Normal 3 2 2 3 2 13 4" xfId="31969" xr:uid="{7B22BF14-37D0-4CEB-8411-673562F6546C}"/>
    <cellStyle name="Normal 3 2 2 3 2 13 5" xfId="31970" xr:uid="{4DE8E1CE-3BF2-4651-9D67-A4DC7F19C62F}"/>
    <cellStyle name="Normal 3 2 2 3 2 13 6" xfId="31971" xr:uid="{49470EA3-7DE8-42BD-A3F2-DDCD55FAB8C9}"/>
    <cellStyle name="Normal 3 2 2 3 2 14" xfId="31972" xr:uid="{2A89DFCB-E7DB-400E-8DC7-75BC541FF7A1}"/>
    <cellStyle name="Normal 3 2 2 3 2 14 2" xfId="31973" xr:uid="{8F8B8B80-1CB9-4040-880E-69BDAF4D4930}"/>
    <cellStyle name="Normal 3 2 2 3 2 14 3" xfId="31974" xr:uid="{F5E6AB0D-8199-4962-A6EB-5F7EC3920905}"/>
    <cellStyle name="Normal 3 2 2 3 2 14 4" xfId="31975" xr:uid="{7C52B1C7-6715-44A7-B1A3-A1CB2EAB8FAF}"/>
    <cellStyle name="Normal 3 2 2 3 2 14 5" xfId="31976" xr:uid="{B268A1C7-1259-417E-B4DF-05E06F0B23F7}"/>
    <cellStyle name="Normal 3 2 2 3 2 14 6" xfId="31977" xr:uid="{FC437E52-0841-4053-BED7-96829CB58AB2}"/>
    <cellStyle name="Normal 3 2 2 3 2 15" xfId="31978" xr:uid="{DDA9B453-08A0-4D71-8A78-11C83CC4D430}"/>
    <cellStyle name="Normal 3 2 2 3 2 16" xfId="31979" xr:uid="{3F15ED60-B754-4F4B-8F41-6A6F474BEAAB}"/>
    <cellStyle name="Normal 3 2 2 3 2 17" xfId="31980" xr:uid="{E814D3ED-5128-4769-AD01-B1F9C9DED16A}"/>
    <cellStyle name="Normal 3 2 2 3 2 18" xfId="31981" xr:uid="{8FC7A570-6069-4580-BF7C-6CB246678EDD}"/>
    <cellStyle name="Normal 3 2 2 3 2 19" xfId="31982" xr:uid="{59B8BA34-0F94-4E14-B418-9B37BAD6A4FA}"/>
    <cellStyle name="Normal 3 2 2 3 2 2" xfId="31983" xr:uid="{C3175D63-3154-4872-BC24-C07F6B077ADE}"/>
    <cellStyle name="Normal 3 2 2 3 2 3" xfId="31984" xr:uid="{F9F78CE1-851F-4BA8-9F7E-3B34A86DEC0B}"/>
    <cellStyle name="Normal 3 2 2 3 2 4" xfId="31985" xr:uid="{6AE5335A-1948-4A05-9B28-299B8061F585}"/>
    <cellStyle name="Normal 3 2 2 3 2 5" xfId="31986" xr:uid="{6C98F55A-C3E7-403A-8B8D-06D6D71689A8}"/>
    <cellStyle name="Normal 3 2 2 3 2 6" xfId="31987" xr:uid="{0E76D5A8-9027-4E30-84B2-A7EA3690DD6E}"/>
    <cellStyle name="Normal 3 2 2 3 2 7" xfId="31988" xr:uid="{50EDE28F-86F7-4622-8EB5-B4E08BFFC8AF}"/>
    <cellStyle name="Normal 3 2 2 3 2 8" xfId="31989" xr:uid="{506F88E4-0951-4C07-8C31-861C0D093329}"/>
    <cellStyle name="Normal 3 2 2 3 2 9" xfId="31990" xr:uid="{9B34EFDA-AFE2-4103-8E9F-2A37705A478D}"/>
    <cellStyle name="Normal 3 2 2 3 3" xfId="31991" xr:uid="{D981794B-CFB7-420E-8B77-8DBA82A0E6DA}"/>
    <cellStyle name="Normal 3 2 2 3 3 10" xfId="31992" xr:uid="{87FFCFE6-38EB-48C6-9EF6-647081664C1E}"/>
    <cellStyle name="Normal 3 2 2 3 3 11" xfId="31993" xr:uid="{DF1A0849-A905-4650-8648-0C305D32F86D}"/>
    <cellStyle name="Normal 3 2 2 3 3 2" xfId="31994" xr:uid="{C178157A-7773-41F1-83B4-A1A61493B520}"/>
    <cellStyle name="Normal 3 2 2 3 3 2 2" xfId="31995" xr:uid="{333D3441-04FB-471E-9ACD-E8FAEBE57E74}"/>
    <cellStyle name="Normal 3 2 2 3 3 2 3" xfId="31996" xr:uid="{CF9640DA-51E3-49A0-8C5E-F4B354415AFA}"/>
    <cellStyle name="Normal 3 2 2 3 3 2 4" xfId="31997" xr:uid="{C4E9ECE4-7F24-4B5B-9492-386F395B1572}"/>
    <cellStyle name="Normal 3 2 2 3 3 2 5" xfId="31998" xr:uid="{B20F4C14-CE4D-43F5-83FC-B7485D031192}"/>
    <cellStyle name="Normal 3 2 2 3 3 2 6" xfId="31999" xr:uid="{1BA960BF-2F97-483F-84DC-40797A6D5010}"/>
    <cellStyle name="Normal 3 2 2 3 3 3" xfId="32000" xr:uid="{303F161D-F6E6-4F3C-B719-5AD14DE8CD1B}"/>
    <cellStyle name="Normal 3 2 2 3 3 3 2" xfId="32001" xr:uid="{8D809D81-803A-44C2-A556-7CCCF1B07F45}"/>
    <cellStyle name="Normal 3 2 2 3 3 3 3" xfId="32002" xr:uid="{0A3A5D01-BEE4-4F12-9886-1B535BBDEADF}"/>
    <cellStyle name="Normal 3 2 2 3 3 3 4" xfId="32003" xr:uid="{E5F2643C-9146-4F45-8C3E-B4DD5F1BCC9A}"/>
    <cellStyle name="Normal 3 2 2 3 3 3 5" xfId="32004" xr:uid="{488FDF5C-2A5B-4F90-95A6-1C21B06BDF2A}"/>
    <cellStyle name="Normal 3 2 2 3 3 3 6" xfId="32005" xr:uid="{E4DCE129-D6C7-4E58-A810-3E84AE9A2E4D}"/>
    <cellStyle name="Normal 3 2 2 3 3 4" xfId="32006" xr:uid="{CE2C08D6-564A-481B-8364-99A5CFFC5054}"/>
    <cellStyle name="Normal 3 2 2 3 3 4 2" xfId="32007" xr:uid="{F9DC7610-A24E-4D62-9F12-E634BF1AE808}"/>
    <cellStyle name="Normal 3 2 2 3 3 4 3" xfId="32008" xr:uid="{6EC1AEED-2D3F-473B-A85E-2E3BC90EC203}"/>
    <cellStyle name="Normal 3 2 2 3 3 4 4" xfId="32009" xr:uid="{CCE0B1D3-8098-4766-896D-87A004257AA7}"/>
    <cellStyle name="Normal 3 2 2 3 3 4 5" xfId="32010" xr:uid="{D119724A-31F1-4EBA-9557-6D14CC359252}"/>
    <cellStyle name="Normal 3 2 2 3 3 4 6" xfId="32011" xr:uid="{51A58723-6573-4429-A8EF-E1B55D1A7FD6}"/>
    <cellStyle name="Normal 3 2 2 3 3 5" xfId="32012" xr:uid="{9C426C13-967E-4B0F-B0AD-65415CA76F1B}"/>
    <cellStyle name="Normal 3 2 2 3 3 5 2" xfId="32013" xr:uid="{FF6066BA-E95E-4A48-9B86-AB2519720B1E}"/>
    <cellStyle name="Normal 3 2 2 3 3 5 3" xfId="32014" xr:uid="{3ACE64EC-BE59-4042-9114-656E8D41EDAE}"/>
    <cellStyle name="Normal 3 2 2 3 3 5 4" xfId="32015" xr:uid="{F6F0F686-F6D6-4275-969A-D4755CD1EC9B}"/>
    <cellStyle name="Normal 3 2 2 3 3 5 5" xfId="32016" xr:uid="{8AD97AAF-832E-433C-854B-691C552B51AF}"/>
    <cellStyle name="Normal 3 2 2 3 3 5 6" xfId="32017" xr:uid="{E9AFDA50-4AEF-41F9-9138-082B05A9DB2E}"/>
    <cellStyle name="Normal 3 2 2 3 3 6" xfId="32018" xr:uid="{C52FD000-9282-41DB-BFDC-2CAA16E17E45}"/>
    <cellStyle name="Normal 3 2 2 3 3 6 2" xfId="32019" xr:uid="{5A72C874-07F3-43E8-952C-3F1C5E97A79E}"/>
    <cellStyle name="Normal 3 2 2 3 3 6 3" xfId="32020" xr:uid="{7A50FBA8-911C-411D-8856-481A2C7BC20D}"/>
    <cellStyle name="Normal 3 2 2 3 3 6 4" xfId="32021" xr:uid="{C4AD9D19-0229-4F43-8B53-36454D1CB107}"/>
    <cellStyle name="Normal 3 2 2 3 3 6 5" xfId="32022" xr:uid="{B9521EB9-EFEC-4170-BC5C-3BD49B17CC65}"/>
    <cellStyle name="Normal 3 2 2 3 3 6 6" xfId="32023" xr:uid="{36461AF1-1B91-404F-8500-FCC26F4CC739}"/>
    <cellStyle name="Normal 3 2 2 3 3 7" xfId="32024" xr:uid="{4561F2CA-383B-4962-A617-F9CB55AB954B}"/>
    <cellStyle name="Normal 3 2 2 3 3 8" xfId="32025" xr:uid="{856D2650-E1AC-4FDD-B261-36FAEF7165B3}"/>
    <cellStyle name="Normal 3 2 2 3 3 9" xfId="32026" xr:uid="{CCF77998-47D1-419E-A0E1-F1A3E17DD444}"/>
    <cellStyle name="Normal 3 2 2 3 4" xfId="32027" xr:uid="{522FC0BF-3B23-45CB-9A84-CA16054C55AE}"/>
    <cellStyle name="Normal 3 2 2 3 4 10" xfId="32028" xr:uid="{EBA54C34-6F7D-4168-A81B-CFFDB8E8F597}"/>
    <cellStyle name="Normal 3 2 2 3 4 11" xfId="32029" xr:uid="{2A4371D2-2597-41A1-9FC4-66890E4E778C}"/>
    <cellStyle name="Normal 3 2 2 3 4 2" xfId="32030" xr:uid="{8EBD7FFE-1AB3-4051-95F7-6673C25D5335}"/>
    <cellStyle name="Normal 3 2 2 3 4 2 2" xfId="32031" xr:uid="{25D2D528-495F-42F6-8565-8E801EB08B67}"/>
    <cellStyle name="Normal 3 2 2 3 4 2 3" xfId="32032" xr:uid="{40CEB450-A6A3-4011-93EC-5379E35C3E49}"/>
    <cellStyle name="Normal 3 2 2 3 4 2 4" xfId="32033" xr:uid="{06BAFC0F-47E4-47E8-9F11-2B55F93E13B9}"/>
    <cellStyle name="Normal 3 2 2 3 4 2 5" xfId="32034" xr:uid="{42938498-2269-4A20-9A9B-7E1C799F42C0}"/>
    <cellStyle name="Normal 3 2 2 3 4 2 6" xfId="32035" xr:uid="{94D277DA-FF80-4583-A0F9-FE8B7E5146D2}"/>
    <cellStyle name="Normal 3 2 2 3 4 3" xfId="32036" xr:uid="{CD0AAAD3-3EE4-43A7-82C7-0C1986D9F789}"/>
    <cellStyle name="Normal 3 2 2 3 4 3 2" xfId="32037" xr:uid="{E61A6A82-31B7-4384-9515-364E14AD4F2C}"/>
    <cellStyle name="Normal 3 2 2 3 4 3 3" xfId="32038" xr:uid="{5567C8F5-2B7B-440F-A414-AE449849CE6E}"/>
    <cellStyle name="Normal 3 2 2 3 4 3 4" xfId="32039" xr:uid="{8B2FED69-AD4D-4738-A49D-89DD0DFBD038}"/>
    <cellStyle name="Normal 3 2 2 3 4 3 5" xfId="32040" xr:uid="{71D14C18-B651-4B5F-9140-446A9D36728A}"/>
    <cellStyle name="Normal 3 2 2 3 4 3 6" xfId="32041" xr:uid="{BEB34455-5CA2-426A-903D-DCAFB45F503B}"/>
    <cellStyle name="Normal 3 2 2 3 4 4" xfId="32042" xr:uid="{AAE934A9-CF6B-4494-B68D-6439DB721DAB}"/>
    <cellStyle name="Normal 3 2 2 3 4 4 2" xfId="32043" xr:uid="{E9E84D17-966E-46D4-9794-C3D1B93A72EF}"/>
    <cellStyle name="Normal 3 2 2 3 4 4 3" xfId="32044" xr:uid="{F9D56FDE-09AE-42AC-9032-2304CA55E932}"/>
    <cellStyle name="Normal 3 2 2 3 4 4 4" xfId="32045" xr:uid="{9BEFDC09-7E17-4AB1-8134-2D99F2ACDD60}"/>
    <cellStyle name="Normal 3 2 2 3 4 4 5" xfId="32046" xr:uid="{76F11979-0179-4E17-A7E2-BDEB87A6DEE6}"/>
    <cellStyle name="Normal 3 2 2 3 4 4 6" xfId="32047" xr:uid="{CA5FFEA5-2BD8-400D-94EF-EB7D2FAC71F2}"/>
    <cellStyle name="Normal 3 2 2 3 4 5" xfId="32048" xr:uid="{AF1818D4-9E68-4F31-8AF9-431F1C066A17}"/>
    <cellStyle name="Normal 3 2 2 3 4 5 2" xfId="32049" xr:uid="{1D3D1AD4-3794-4CF9-88F3-3CC78081E6EC}"/>
    <cellStyle name="Normal 3 2 2 3 4 5 3" xfId="32050" xr:uid="{05E116E6-4FB1-4CA0-9133-28892DD629A3}"/>
    <cellStyle name="Normal 3 2 2 3 4 5 4" xfId="32051" xr:uid="{0BCF50F8-5FC3-40B7-AEC0-89B5C0308521}"/>
    <cellStyle name="Normal 3 2 2 3 4 5 5" xfId="32052" xr:uid="{CE0A24A9-9713-4F8F-A48D-AF5ACEFF975D}"/>
    <cellStyle name="Normal 3 2 2 3 4 5 6" xfId="32053" xr:uid="{1594E935-9063-41C6-B4C8-FE6DCF564999}"/>
    <cellStyle name="Normal 3 2 2 3 4 6" xfId="32054" xr:uid="{2EC0FE9E-BDD2-4B04-B142-ECB0CC2DDDC9}"/>
    <cellStyle name="Normal 3 2 2 3 4 6 2" xfId="32055" xr:uid="{5246C660-26DD-4180-B113-182F568A51F7}"/>
    <cellStyle name="Normal 3 2 2 3 4 6 3" xfId="32056" xr:uid="{24DC86FD-2D19-431C-8732-5F7BB96E8FF1}"/>
    <cellStyle name="Normal 3 2 2 3 4 6 4" xfId="32057" xr:uid="{CB91DAEF-817C-43E6-BC0A-87AB8BF4FD91}"/>
    <cellStyle name="Normal 3 2 2 3 4 6 5" xfId="32058" xr:uid="{77480DD4-0A2C-49D0-B36F-E64E97D6E870}"/>
    <cellStyle name="Normal 3 2 2 3 4 6 6" xfId="32059" xr:uid="{43D4834E-84BC-4ED1-A4AF-0FC5D9D807B6}"/>
    <cellStyle name="Normal 3 2 2 3 4 7" xfId="32060" xr:uid="{3B882C7C-4E5B-4EBD-80F3-8F2CA99C33FF}"/>
    <cellStyle name="Normal 3 2 2 3 4 8" xfId="32061" xr:uid="{8D061FA1-12A5-4B7F-82F2-88469586B43A}"/>
    <cellStyle name="Normal 3 2 2 3 4 9" xfId="32062" xr:uid="{E2852F10-685E-4E27-9938-D020ED803481}"/>
    <cellStyle name="Normal 3 2 2 3 5" xfId="32063" xr:uid="{FEB5D9A3-1A7A-41CB-962D-1EE4862B8878}"/>
    <cellStyle name="Normal 3 2 2 3 5 10" xfId="32064" xr:uid="{2C52B3D2-56E5-4B7E-8C6D-EB1B1526B08C}"/>
    <cellStyle name="Normal 3 2 2 3 5 11" xfId="32065" xr:uid="{73310AD6-0AD0-4CE9-846C-1E710B7400EB}"/>
    <cellStyle name="Normal 3 2 2 3 5 2" xfId="32066" xr:uid="{0180137F-043A-486D-BEE6-2785C34BF34B}"/>
    <cellStyle name="Normal 3 2 2 3 5 2 2" xfId="32067" xr:uid="{63410688-3807-4B73-A54E-5651CD6B0902}"/>
    <cellStyle name="Normal 3 2 2 3 5 2 3" xfId="32068" xr:uid="{05755C01-A20C-466C-873B-A663FD0C5C90}"/>
    <cellStyle name="Normal 3 2 2 3 5 2 4" xfId="32069" xr:uid="{8120C480-C595-461C-81D3-1E0E0AB26BF8}"/>
    <cellStyle name="Normal 3 2 2 3 5 2 5" xfId="32070" xr:uid="{BA4E4D1C-4392-41DE-9C6B-38284DC963D7}"/>
    <cellStyle name="Normal 3 2 2 3 5 2 6" xfId="32071" xr:uid="{CC92EF6E-A3B3-467A-8681-F1787285CE2C}"/>
    <cellStyle name="Normal 3 2 2 3 5 3" xfId="32072" xr:uid="{2D68088D-4406-41C6-9D43-7DE19DC889E9}"/>
    <cellStyle name="Normal 3 2 2 3 5 3 2" xfId="32073" xr:uid="{6AE1AD59-0E5D-42E2-8C87-D8A5ECF0B185}"/>
    <cellStyle name="Normal 3 2 2 3 5 3 3" xfId="32074" xr:uid="{CDCAE943-744E-45EE-A3A9-4A3EE7B61227}"/>
    <cellStyle name="Normal 3 2 2 3 5 3 4" xfId="32075" xr:uid="{974DC932-7FEC-4223-AFD0-BD3A1CF01859}"/>
    <cellStyle name="Normal 3 2 2 3 5 3 5" xfId="32076" xr:uid="{F3909880-B252-4AE8-AE0E-6571070E29D6}"/>
    <cellStyle name="Normal 3 2 2 3 5 3 6" xfId="32077" xr:uid="{1F328107-D25E-47A8-82D2-1BF66AD94BEC}"/>
    <cellStyle name="Normal 3 2 2 3 5 4" xfId="32078" xr:uid="{55350AB7-8BDC-4471-99A6-2BC6663B17C6}"/>
    <cellStyle name="Normal 3 2 2 3 5 4 2" xfId="32079" xr:uid="{6F651692-2F19-4822-A42B-5667D76E47F5}"/>
    <cellStyle name="Normal 3 2 2 3 5 4 3" xfId="32080" xr:uid="{199BACA5-3C02-4D53-855D-1DA955A6EAC3}"/>
    <cellStyle name="Normal 3 2 2 3 5 4 4" xfId="32081" xr:uid="{E35078CA-6241-4183-8C32-C30B85D0D7DD}"/>
    <cellStyle name="Normal 3 2 2 3 5 4 5" xfId="32082" xr:uid="{33977CAE-59E8-4DCD-8262-29AB25DD6A1C}"/>
    <cellStyle name="Normal 3 2 2 3 5 4 6" xfId="32083" xr:uid="{DF2D52D2-4747-4182-A96F-E5053E75822B}"/>
    <cellStyle name="Normal 3 2 2 3 5 5" xfId="32084" xr:uid="{D4B29B9B-BA89-47F9-9775-922A73440AA3}"/>
    <cellStyle name="Normal 3 2 2 3 5 5 2" xfId="32085" xr:uid="{9A662953-89A4-4F9B-AA7D-A68166255ADA}"/>
    <cellStyle name="Normal 3 2 2 3 5 5 3" xfId="32086" xr:uid="{F02841FF-4B5D-44B8-97F7-2DFE918A4EEF}"/>
    <cellStyle name="Normal 3 2 2 3 5 5 4" xfId="32087" xr:uid="{D28D0134-42BE-4227-B713-47EE99E8E188}"/>
    <cellStyle name="Normal 3 2 2 3 5 5 5" xfId="32088" xr:uid="{2E17003A-47AF-4438-B5E4-DE08D164F721}"/>
    <cellStyle name="Normal 3 2 2 3 5 5 6" xfId="32089" xr:uid="{0DCDDFED-F3A4-476B-9DE2-8312EC3A1664}"/>
    <cellStyle name="Normal 3 2 2 3 5 6" xfId="32090" xr:uid="{1BECED04-ECD5-4E6A-BC5C-6EBEE93C46EA}"/>
    <cellStyle name="Normal 3 2 2 3 5 6 2" xfId="32091" xr:uid="{465EEEEC-020A-4FB3-816E-387159654396}"/>
    <cellStyle name="Normal 3 2 2 3 5 6 3" xfId="32092" xr:uid="{E0D55AAA-933F-4F32-8B4E-A6F61FF143FE}"/>
    <cellStyle name="Normal 3 2 2 3 5 6 4" xfId="32093" xr:uid="{053B5396-BF8E-4341-B33E-E661CD637921}"/>
    <cellStyle name="Normal 3 2 2 3 5 6 5" xfId="32094" xr:uid="{C2EAF60F-A14B-49B6-B903-7EB47316896B}"/>
    <cellStyle name="Normal 3 2 2 3 5 6 6" xfId="32095" xr:uid="{D4318713-4B46-42CA-9DAB-22D488972B15}"/>
    <cellStyle name="Normal 3 2 2 3 5 7" xfId="32096" xr:uid="{34CD5694-1ACD-4F19-A459-677BBA3F1923}"/>
    <cellStyle name="Normal 3 2 2 3 5 8" xfId="32097" xr:uid="{374FA7C3-016D-408C-93DE-7BF425D34D4D}"/>
    <cellStyle name="Normal 3 2 2 3 5 9" xfId="32098" xr:uid="{B7F701D3-582E-46F9-9CAC-B377C9BAF8BD}"/>
    <cellStyle name="Normal 3 2 2 3 6" xfId="32099" xr:uid="{42C206F0-D806-46F2-8785-79E1226C92C6}"/>
    <cellStyle name="Normal 3 2 2 3 6 10" xfId="32100" xr:uid="{E5D28D08-2ECD-4DE5-A494-338F99BA85C0}"/>
    <cellStyle name="Normal 3 2 2 3 6 11" xfId="32101" xr:uid="{CF73C536-1323-4886-B03E-5AE9323248F4}"/>
    <cellStyle name="Normal 3 2 2 3 6 2" xfId="32102" xr:uid="{2BA88A14-37CF-494F-A39B-B4C4320E0968}"/>
    <cellStyle name="Normal 3 2 2 3 6 2 2" xfId="32103" xr:uid="{BB2C5409-CD84-4D62-9768-6F6A59424DF1}"/>
    <cellStyle name="Normal 3 2 2 3 6 2 3" xfId="32104" xr:uid="{CC24644C-E93D-4881-8B6A-5098BDAEDA6A}"/>
    <cellStyle name="Normal 3 2 2 3 6 2 4" xfId="32105" xr:uid="{C44C7029-2115-4028-BC72-A165FB5F77A2}"/>
    <cellStyle name="Normal 3 2 2 3 6 2 5" xfId="32106" xr:uid="{B06DF8C9-50A6-4E7F-81D2-99D3B43FD04E}"/>
    <cellStyle name="Normal 3 2 2 3 6 2 6" xfId="32107" xr:uid="{C07B6837-333C-4114-8F7B-0F223E24FAFB}"/>
    <cellStyle name="Normal 3 2 2 3 6 3" xfId="32108" xr:uid="{231DCEC9-07C7-40B3-9428-25CDB2781C15}"/>
    <cellStyle name="Normal 3 2 2 3 6 3 2" xfId="32109" xr:uid="{5C72F70F-19A6-45E7-BA4B-9EA619872F7E}"/>
    <cellStyle name="Normal 3 2 2 3 6 3 3" xfId="32110" xr:uid="{67DE563A-812A-44DC-8B4D-FFAD7D175EBD}"/>
    <cellStyle name="Normal 3 2 2 3 6 3 4" xfId="32111" xr:uid="{E2CB9ED4-B67A-4BC8-95E3-1EBB120A27D0}"/>
    <cellStyle name="Normal 3 2 2 3 6 3 5" xfId="32112" xr:uid="{28AADD6B-3418-494E-AD2C-5A06B30E90E7}"/>
    <cellStyle name="Normal 3 2 2 3 6 3 6" xfId="32113" xr:uid="{A8B6CFF3-C47D-4D31-A931-C0FFC8685394}"/>
    <cellStyle name="Normal 3 2 2 3 6 4" xfId="32114" xr:uid="{32A8C7D8-4B51-43E2-A103-EC616B914FA5}"/>
    <cellStyle name="Normal 3 2 2 3 6 4 2" xfId="32115" xr:uid="{65A0C019-00E0-4C9A-8134-F23302F2EE8D}"/>
    <cellStyle name="Normal 3 2 2 3 6 4 3" xfId="32116" xr:uid="{05A5CCBF-A595-4678-928F-F65BCC31CFD9}"/>
    <cellStyle name="Normal 3 2 2 3 6 4 4" xfId="32117" xr:uid="{11D91F5B-DAB1-4A5F-A8EF-761DBE618C54}"/>
    <cellStyle name="Normal 3 2 2 3 6 4 5" xfId="32118" xr:uid="{4C749666-9485-4DD8-87D2-8FF2FB8E887A}"/>
    <cellStyle name="Normal 3 2 2 3 6 4 6" xfId="32119" xr:uid="{AD6AF3AC-D8B4-43B0-B9E0-9789B783B1FC}"/>
    <cellStyle name="Normal 3 2 2 3 6 5" xfId="32120" xr:uid="{07EFCADB-5AA5-42BF-8F00-B14916D5EDBE}"/>
    <cellStyle name="Normal 3 2 2 3 6 5 2" xfId="32121" xr:uid="{8B78D54F-2AC2-42FE-A3C7-BC024D69EB14}"/>
    <cellStyle name="Normal 3 2 2 3 6 5 3" xfId="32122" xr:uid="{D03FAE43-2EE2-4875-BE2D-E579FB9043BC}"/>
    <cellStyle name="Normal 3 2 2 3 6 5 4" xfId="32123" xr:uid="{F8A4E5E5-DF4D-4472-9668-221278D5166B}"/>
    <cellStyle name="Normal 3 2 2 3 6 5 5" xfId="32124" xr:uid="{4C2AD13A-533B-465C-A5BE-787070925474}"/>
    <cellStyle name="Normal 3 2 2 3 6 5 6" xfId="32125" xr:uid="{31D190B1-2A12-4437-BB74-48CB402D884F}"/>
    <cellStyle name="Normal 3 2 2 3 6 6" xfId="32126" xr:uid="{4E0ED088-18BA-48A1-ADEF-9EF32000B4E8}"/>
    <cellStyle name="Normal 3 2 2 3 6 6 2" xfId="32127" xr:uid="{CDF8907B-FC42-468C-9114-2589137C9B6A}"/>
    <cellStyle name="Normal 3 2 2 3 6 6 3" xfId="32128" xr:uid="{A3B33B59-51BC-481E-9727-28211A356101}"/>
    <cellStyle name="Normal 3 2 2 3 6 6 4" xfId="32129" xr:uid="{AA9D83F5-EF15-4A3D-91A1-E826883975F4}"/>
    <cellStyle name="Normal 3 2 2 3 6 6 5" xfId="32130" xr:uid="{6C811EC9-DFF1-45E4-9F78-C7761B8D143F}"/>
    <cellStyle name="Normal 3 2 2 3 6 6 6" xfId="32131" xr:uid="{38BA5CB0-46FA-4869-B0EE-BD315206D74B}"/>
    <cellStyle name="Normal 3 2 2 3 6 7" xfId="32132" xr:uid="{C88BF66A-CD62-49C7-A4E6-8CB1A945D25E}"/>
    <cellStyle name="Normal 3 2 2 3 6 8" xfId="32133" xr:uid="{A610F261-87A3-4BA6-84AA-3621E9021218}"/>
    <cellStyle name="Normal 3 2 2 3 6 9" xfId="32134" xr:uid="{B4F80FD8-A197-4DFD-A02C-BAAC032670B5}"/>
    <cellStyle name="Normal 3 2 2 3 7" xfId="32135" xr:uid="{A67A09FB-D66E-42C5-BE32-D0178313BB11}"/>
    <cellStyle name="Normal 3 2 2 3 7 10" xfId="32136" xr:uid="{C521A8A9-96A0-4E7A-9F4B-2E5BB8F2F71F}"/>
    <cellStyle name="Normal 3 2 2 3 7 11" xfId="32137" xr:uid="{F33BB8D8-64D8-4FED-BB28-903A7805D1A3}"/>
    <cellStyle name="Normal 3 2 2 3 7 2" xfId="32138" xr:uid="{6B988AA7-A7FA-4E3C-AA21-77BFC56E6567}"/>
    <cellStyle name="Normal 3 2 2 3 7 2 2" xfId="32139" xr:uid="{4355C763-5C13-4F4C-9451-0B1A22787CDF}"/>
    <cellStyle name="Normal 3 2 2 3 7 2 3" xfId="32140" xr:uid="{7D35956A-49C8-4F2E-B2DF-A9B6981A1317}"/>
    <cellStyle name="Normal 3 2 2 3 7 2 4" xfId="32141" xr:uid="{D055089B-6CF5-4968-9F51-5D7431333C20}"/>
    <cellStyle name="Normal 3 2 2 3 7 2 5" xfId="32142" xr:uid="{4FD477C0-4658-48B0-B9A6-A7BB6D2C342F}"/>
    <cellStyle name="Normal 3 2 2 3 7 2 6" xfId="32143" xr:uid="{7BF4D64F-6BAF-490B-B68D-89782831D5DD}"/>
    <cellStyle name="Normal 3 2 2 3 7 3" xfId="32144" xr:uid="{3F1B384D-E03F-4719-9D28-AAF7B9E3643B}"/>
    <cellStyle name="Normal 3 2 2 3 7 3 2" xfId="32145" xr:uid="{A557BE1B-C370-49D9-AB24-0DD0DC3338CB}"/>
    <cellStyle name="Normal 3 2 2 3 7 3 3" xfId="32146" xr:uid="{F62C5AC6-2A23-4B1D-B6DC-627550280815}"/>
    <cellStyle name="Normal 3 2 2 3 7 3 4" xfId="32147" xr:uid="{4781713A-830F-41AD-9D97-7BE6B1C052BE}"/>
    <cellStyle name="Normal 3 2 2 3 7 3 5" xfId="32148" xr:uid="{A9EC371E-CB30-4238-A3E6-C06C53BEE100}"/>
    <cellStyle name="Normal 3 2 2 3 7 3 6" xfId="32149" xr:uid="{3DC8061A-E623-4BD9-8425-D2D47B9235FE}"/>
    <cellStyle name="Normal 3 2 2 3 7 4" xfId="32150" xr:uid="{1CD118BE-C203-4F14-9B2C-D7C89C581866}"/>
    <cellStyle name="Normal 3 2 2 3 7 4 2" xfId="32151" xr:uid="{B7351C4A-AE79-4CE8-8264-1015FC9259C3}"/>
    <cellStyle name="Normal 3 2 2 3 7 4 3" xfId="32152" xr:uid="{FB84DCDB-70E0-4774-8590-16310CA830E8}"/>
    <cellStyle name="Normal 3 2 2 3 7 4 4" xfId="32153" xr:uid="{66B54B67-E3D9-417C-ADF8-D90733351B62}"/>
    <cellStyle name="Normal 3 2 2 3 7 4 5" xfId="32154" xr:uid="{CD381420-6B1F-464D-A9EE-B43447B280F5}"/>
    <cellStyle name="Normal 3 2 2 3 7 4 6" xfId="32155" xr:uid="{4E3C381F-41EE-4DA9-9C6E-A6593FFBFA55}"/>
    <cellStyle name="Normal 3 2 2 3 7 5" xfId="32156" xr:uid="{243BD95E-5FB8-4BBA-ADEB-ACDC51FEAD8A}"/>
    <cellStyle name="Normal 3 2 2 3 7 5 2" xfId="32157" xr:uid="{0E5EE57A-1468-4CF2-88A7-E9A0A3C3DBB4}"/>
    <cellStyle name="Normal 3 2 2 3 7 5 3" xfId="32158" xr:uid="{1FF4D924-46BC-465F-A40F-8DA105BEB72A}"/>
    <cellStyle name="Normal 3 2 2 3 7 5 4" xfId="32159" xr:uid="{873DCF25-864E-4F39-BCF0-E801EC5AF062}"/>
    <cellStyle name="Normal 3 2 2 3 7 5 5" xfId="32160" xr:uid="{A27BD590-CE06-4E66-B900-0194050CD966}"/>
    <cellStyle name="Normal 3 2 2 3 7 5 6" xfId="32161" xr:uid="{CCBFEBB1-E439-4AAB-BD9E-6E16F14AA75D}"/>
    <cellStyle name="Normal 3 2 2 3 7 6" xfId="32162" xr:uid="{907ED9BD-FE51-44B5-B8CF-8A858D2A8453}"/>
    <cellStyle name="Normal 3 2 2 3 7 6 2" xfId="32163" xr:uid="{E8F7D999-2007-428A-8E96-9B291EF1012A}"/>
    <cellStyle name="Normal 3 2 2 3 7 6 3" xfId="32164" xr:uid="{BAC1E5F2-2416-4955-A470-0AD0A2461693}"/>
    <cellStyle name="Normal 3 2 2 3 7 6 4" xfId="32165" xr:uid="{756018D6-C122-498A-BEDA-822300BEA09E}"/>
    <cellStyle name="Normal 3 2 2 3 7 6 5" xfId="32166" xr:uid="{7E04FCFD-D207-4563-8E5A-9550D2DBEF7B}"/>
    <cellStyle name="Normal 3 2 2 3 7 6 6" xfId="32167" xr:uid="{6AD80725-5850-46B6-B3A9-82AD3186974A}"/>
    <cellStyle name="Normal 3 2 2 3 7 7" xfId="32168" xr:uid="{68551275-8A0B-4767-8F24-0F0A6376C382}"/>
    <cellStyle name="Normal 3 2 2 3 7 8" xfId="32169" xr:uid="{7BF367A5-C3D4-4A06-9B92-A8586CAA4335}"/>
    <cellStyle name="Normal 3 2 2 3 7 9" xfId="32170" xr:uid="{7D142F44-1C82-45A8-B9C2-6F9770C23E2A}"/>
    <cellStyle name="Normal 3 2 2 3 8" xfId="32171" xr:uid="{0B52EFDD-20A8-47DC-B036-FF6A7FF2AB09}"/>
    <cellStyle name="Normal 3 2 2 3 8 10" xfId="32172" xr:uid="{2B0E005C-CA0C-45BC-B7D6-5611CE1D7EF6}"/>
    <cellStyle name="Normal 3 2 2 3 8 11" xfId="32173" xr:uid="{8AAB3E8B-34A1-4813-85B8-3CE2D8408F85}"/>
    <cellStyle name="Normal 3 2 2 3 8 2" xfId="32174" xr:uid="{6B98250F-E005-4F6C-AE0B-9F3F61184346}"/>
    <cellStyle name="Normal 3 2 2 3 8 2 2" xfId="32175" xr:uid="{0A97BB3F-5E45-48E2-8055-E44A67D29FFD}"/>
    <cellStyle name="Normal 3 2 2 3 8 2 3" xfId="32176" xr:uid="{478C82B3-627A-4AA1-B7E2-9270D945BFB6}"/>
    <cellStyle name="Normal 3 2 2 3 8 2 4" xfId="32177" xr:uid="{3D2EC7BE-4838-4E34-A917-BCD62C134753}"/>
    <cellStyle name="Normal 3 2 2 3 8 2 5" xfId="32178" xr:uid="{F16D597D-0CBA-40D9-99A1-08450E58FBF7}"/>
    <cellStyle name="Normal 3 2 2 3 8 2 6" xfId="32179" xr:uid="{0B1A5173-679F-4F71-9C79-EC6C64473826}"/>
    <cellStyle name="Normal 3 2 2 3 8 3" xfId="32180" xr:uid="{FFA8EB59-BB75-4B96-AC0A-79B9BCA5D621}"/>
    <cellStyle name="Normal 3 2 2 3 8 3 2" xfId="32181" xr:uid="{4627B744-65F1-4B5F-B55D-D0A1BFB3ED9B}"/>
    <cellStyle name="Normal 3 2 2 3 8 3 3" xfId="32182" xr:uid="{5353B918-597F-4A5D-835F-65C63DBC3780}"/>
    <cellStyle name="Normal 3 2 2 3 8 3 4" xfId="32183" xr:uid="{5C213F96-0090-42F3-A0A2-8BC00AB60777}"/>
    <cellStyle name="Normal 3 2 2 3 8 3 5" xfId="32184" xr:uid="{0A8EA79B-9D3D-4CB3-8C49-4EAD82308315}"/>
    <cellStyle name="Normal 3 2 2 3 8 3 6" xfId="32185" xr:uid="{718A6A3B-817B-44CD-AB06-87281DBC3E1F}"/>
    <cellStyle name="Normal 3 2 2 3 8 4" xfId="32186" xr:uid="{CCF4B440-9AD4-4E36-B586-F8F282B72B5F}"/>
    <cellStyle name="Normal 3 2 2 3 8 4 2" xfId="32187" xr:uid="{3727B715-8E10-4FA4-AF65-C38CA038F4DA}"/>
    <cellStyle name="Normal 3 2 2 3 8 4 3" xfId="32188" xr:uid="{15B2D177-B529-4080-A7E6-BC123CC9BAA4}"/>
    <cellStyle name="Normal 3 2 2 3 8 4 4" xfId="32189" xr:uid="{657E3975-5B24-4E2F-959B-BF7287CC9630}"/>
    <cellStyle name="Normal 3 2 2 3 8 4 5" xfId="32190" xr:uid="{505C0307-151B-44A4-8F6F-DE13A1C4C9E9}"/>
    <cellStyle name="Normal 3 2 2 3 8 4 6" xfId="32191" xr:uid="{C6308069-999F-487A-A66C-70258E73D90A}"/>
    <cellStyle name="Normal 3 2 2 3 8 5" xfId="32192" xr:uid="{F732F8BD-2987-4264-B1E2-3947B8E80D17}"/>
    <cellStyle name="Normal 3 2 2 3 8 5 2" xfId="32193" xr:uid="{AD8A845C-E532-4F39-9429-FF47332E456E}"/>
    <cellStyle name="Normal 3 2 2 3 8 5 3" xfId="32194" xr:uid="{6446B983-4122-4AFF-8797-2AC6B0EA8044}"/>
    <cellStyle name="Normal 3 2 2 3 8 5 4" xfId="32195" xr:uid="{52BD794A-3F18-4C63-99C9-A7D2C606D20E}"/>
    <cellStyle name="Normal 3 2 2 3 8 5 5" xfId="32196" xr:uid="{8CC7E27D-A4E4-41C9-9B31-BB8532996BFF}"/>
    <cellStyle name="Normal 3 2 2 3 8 5 6" xfId="32197" xr:uid="{2CD5173C-E712-4D50-B2B6-C579C2F1DDBB}"/>
    <cellStyle name="Normal 3 2 2 3 8 6" xfId="32198" xr:uid="{E55226C5-973E-4E43-AE21-0E4222093257}"/>
    <cellStyle name="Normal 3 2 2 3 8 6 2" xfId="32199" xr:uid="{F4437585-CBB7-4F28-9484-416BD3B6B58D}"/>
    <cellStyle name="Normal 3 2 2 3 8 6 3" xfId="32200" xr:uid="{85864B20-E4CB-4766-942E-0D16EE327BB2}"/>
    <cellStyle name="Normal 3 2 2 3 8 6 4" xfId="32201" xr:uid="{DCEA8B18-957B-4DC8-9C2E-9E4E7B98D928}"/>
    <cellStyle name="Normal 3 2 2 3 8 6 5" xfId="32202" xr:uid="{EFAA0A91-5062-46D5-895B-71603162C993}"/>
    <cellStyle name="Normal 3 2 2 3 8 6 6" xfId="32203" xr:uid="{E4A37EE0-4FA9-468E-B820-0FE5DDD2922E}"/>
    <cellStyle name="Normal 3 2 2 3 8 7" xfId="32204" xr:uid="{954E41F8-3A07-48DE-97AC-05D1D3257208}"/>
    <cellStyle name="Normal 3 2 2 3 8 8" xfId="32205" xr:uid="{5CB8FEC4-D866-4A6C-AEDF-CB3239DBFB51}"/>
    <cellStyle name="Normal 3 2 2 3 8 9" xfId="32206" xr:uid="{00DB63AC-F504-4DCA-81F9-1E1EC5917FCC}"/>
    <cellStyle name="Normal 3 2 2 3 9" xfId="32207" xr:uid="{C868DBEB-44A1-4F9D-9F76-1E212C7218AD}"/>
    <cellStyle name="Normal 3 2 2 3 9 10" xfId="32208" xr:uid="{3979DD30-D861-438E-981A-938531091624}"/>
    <cellStyle name="Normal 3 2 2 3 9 11" xfId="32209" xr:uid="{ACB484B8-FB04-4453-A44A-064E27FA6228}"/>
    <cellStyle name="Normal 3 2 2 3 9 2" xfId="32210" xr:uid="{411BAEB5-592B-4BFF-8821-B534A3E8F5CC}"/>
    <cellStyle name="Normal 3 2 2 3 9 2 2" xfId="32211" xr:uid="{171CD55B-C35A-415D-B2F6-B49A4E483F20}"/>
    <cellStyle name="Normal 3 2 2 3 9 2 3" xfId="32212" xr:uid="{5EEE0161-3FC7-4E17-AB6C-C74061FE9ABB}"/>
    <cellStyle name="Normal 3 2 2 3 9 2 4" xfId="32213" xr:uid="{15761A24-AEC9-4348-BA72-C6A70F8C5442}"/>
    <cellStyle name="Normal 3 2 2 3 9 2 5" xfId="32214" xr:uid="{436D3B33-5FE0-4726-B934-B8C66C4E1A82}"/>
    <cellStyle name="Normal 3 2 2 3 9 2 6" xfId="32215" xr:uid="{62B93954-D05C-46D0-BDC4-50265BA020AE}"/>
    <cellStyle name="Normal 3 2 2 3 9 3" xfId="32216" xr:uid="{D56AA5AF-464D-4CE3-BBF2-4CC0B1B7D3A2}"/>
    <cellStyle name="Normal 3 2 2 3 9 3 2" xfId="32217" xr:uid="{501D7605-4F5E-451E-AB2A-4FA6EABF7EA2}"/>
    <cellStyle name="Normal 3 2 2 3 9 3 3" xfId="32218" xr:uid="{DF93E36C-566E-4D09-826D-AF33CCE53F2E}"/>
    <cellStyle name="Normal 3 2 2 3 9 3 4" xfId="32219" xr:uid="{C03CB277-A694-4345-AEFF-5CD53E652EE9}"/>
    <cellStyle name="Normal 3 2 2 3 9 3 5" xfId="32220" xr:uid="{A43EF6CB-00AE-4E4B-832A-34E347E67CD6}"/>
    <cellStyle name="Normal 3 2 2 3 9 3 6" xfId="32221" xr:uid="{07ACEB19-E25D-4E2A-AD6A-E26BFE7EF6DA}"/>
    <cellStyle name="Normal 3 2 2 3 9 4" xfId="32222" xr:uid="{19D9D161-2A32-4F7F-B57D-5D7BACBA0679}"/>
    <cellStyle name="Normal 3 2 2 3 9 4 2" xfId="32223" xr:uid="{EBC411D0-ED8C-4FA3-8766-9977C0C55894}"/>
    <cellStyle name="Normal 3 2 2 3 9 4 3" xfId="32224" xr:uid="{AF9A5DE4-A0E7-4D02-81F8-A58B2A5A02F9}"/>
    <cellStyle name="Normal 3 2 2 3 9 4 4" xfId="32225" xr:uid="{100BFD21-8B06-438A-8D7B-A4DEB8A8A9AA}"/>
    <cellStyle name="Normal 3 2 2 3 9 4 5" xfId="32226" xr:uid="{82BD7124-1D48-4BC1-A7DF-20CE1D6EA84A}"/>
    <cellStyle name="Normal 3 2 2 3 9 4 6" xfId="32227" xr:uid="{F88ECA67-3619-46CA-8E66-4642C3F5E2CE}"/>
    <cellStyle name="Normal 3 2 2 3 9 5" xfId="32228" xr:uid="{2B23B078-1A2B-41E7-908C-427520A9C462}"/>
    <cellStyle name="Normal 3 2 2 3 9 5 2" xfId="32229" xr:uid="{3DD80F0D-76AD-4D7F-A7FC-6AD5F1C80B1D}"/>
    <cellStyle name="Normal 3 2 2 3 9 5 3" xfId="32230" xr:uid="{7122FBCE-CB44-45F3-856B-301741535665}"/>
    <cellStyle name="Normal 3 2 2 3 9 5 4" xfId="32231" xr:uid="{FE7F907D-2FF6-40EC-8E6C-DFC2BBDFB945}"/>
    <cellStyle name="Normal 3 2 2 3 9 5 5" xfId="32232" xr:uid="{EBC1DBDE-1FA7-4243-B648-7DE1D8AC1E05}"/>
    <cellStyle name="Normal 3 2 2 3 9 5 6" xfId="32233" xr:uid="{F60F6EA7-7505-44FF-A589-327903A3158E}"/>
    <cellStyle name="Normal 3 2 2 3 9 6" xfId="32234" xr:uid="{ED36BC82-C2E7-4DD9-97DC-701A162562AD}"/>
    <cellStyle name="Normal 3 2 2 3 9 6 2" xfId="32235" xr:uid="{32E7A3B9-B86E-4EF7-A192-A06AB0ABFA9D}"/>
    <cellStyle name="Normal 3 2 2 3 9 6 3" xfId="32236" xr:uid="{ECEB5DBB-326F-495B-ADB3-AB2B0A8BE127}"/>
    <cellStyle name="Normal 3 2 2 3 9 6 4" xfId="32237" xr:uid="{46225495-B843-4AA4-84D3-E035B7BDA15B}"/>
    <cellStyle name="Normal 3 2 2 3 9 6 5" xfId="32238" xr:uid="{6FD55393-83F8-4FD7-897F-5FBD5FE80385}"/>
    <cellStyle name="Normal 3 2 2 3 9 6 6" xfId="32239" xr:uid="{166957EE-C8F5-49B5-828C-39028BAA6F85}"/>
    <cellStyle name="Normal 3 2 2 3 9 7" xfId="32240" xr:uid="{E622FAB1-1A1D-447B-A080-198EE9D16133}"/>
    <cellStyle name="Normal 3 2 2 3 9 8" xfId="32241" xr:uid="{815F536A-F844-4D37-913D-1097A9BD6755}"/>
    <cellStyle name="Normal 3 2 2 3 9 9" xfId="32242" xr:uid="{8B7AC855-8FCE-4BF9-9544-81F79952AC1B}"/>
    <cellStyle name="Normal 3 2 2 30" xfId="32243" xr:uid="{909F423A-8886-4590-90A6-2BB69026F2F6}"/>
    <cellStyle name="Normal 3 2 2 31" xfId="32244" xr:uid="{3107D199-F5F4-45AE-9068-9E0750A11525}"/>
    <cellStyle name="Normal 3 2 2 32" xfId="32245" xr:uid="{FB9990FB-5884-4944-92E9-59461CB1F778}"/>
    <cellStyle name="Normal 3 2 2 33" xfId="32246" xr:uid="{0CE5DD83-9D54-4C0F-9227-507B724521F6}"/>
    <cellStyle name="Normal 3 2 2 34" xfId="32247" xr:uid="{4EBCE94B-A3B0-4FF5-95BD-2E3BCE10CD9E}"/>
    <cellStyle name="Normal 3 2 2 35" xfId="32248" xr:uid="{9135E23E-305A-43F4-B976-163DA9D349D4}"/>
    <cellStyle name="Normal 3 2 2 36" xfId="32249" xr:uid="{9B2C2052-274A-4A45-84C4-3EA714F22EB4}"/>
    <cellStyle name="Normal 3 2 2 37" xfId="32250" xr:uid="{708026C1-D868-4D41-B564-8A710127A25D}"/>
    <cellStyle name="Normal 3 2 2 37 10" xfId="32251" xr:uid="{1BF61B22-7049-4200-8954-2F747C5D61F2}"/>
    <cellStyle name="Normal 3 2 2 37 11" xfId="32252" xr:uid="{097C73B4-655D-47FD-A558-26079D5909B9}"/>
    <cellStyle name="Normal 3 2 2 37 11 2" xfId="32253" xr:uid="{612B57A4-C7B9-489B-937B-1A947D012C25}"/>
    <cellStyle name="Normal 3 2 2 37 11 3" xfId="32254" xr:uid="{02A054C4-9A59-4407-AB75-3268F4D46865}"/>
    <cellStyle name="Normal 3 2 2 37 11 4" xfId="32255" xr:uid="{EC1FCFE8-4ED9-4073-A71D-BD81E741B75B}"/>
    <cellStyle name="Normal 3 2 2 37 12" xfId="32256" xr:uid="{EAF9D3EA-2BAF-4DDB-B836-D0817A1F41A5}"/>
    <cellStyle name="Normal 3 2 2 37 13" xfId="32257" xr:uid="{9C71BE50-80AF-4660-9D26-82F0006F3AA4}"/>
    <cellStyle name="Normal 3 2 2 37 14" xfId="32258" xr:uid="{38A0FE59-7285-4DE7-BADC-C4F9D9290C6A}"/>
    <cellStyle name="Normal 3 2 2 37 2" xfId="32259" xr:uid="{9167ABF5-7CF7-4844-8BD3-FAB99425B73F}"/>
    <cellStyle name="Normal 3 2 2 37 2 10" xfId="32260" xr:uid="{85E74ADC-4DBC-4A1C-A009-F7694A9A8761}"/>
    <cellStyle name="Normal 3 2 2 37 2 11" xfId="32261" xr:uid="{6895FA49-4905-448E-860F-8B18088D3F8D}"/>
    <cellStyle name="Normal 3 2 2 37 2 2" xfId="32262" xr:uid="{70EB8A60-C9CC-40C4-AD85-159EEE490329}"/>
    <cellStyle name="Normal 3 2 2 37 2 2 10" xfId="32263" xr:uid="{915D9DA1-A601-4DF1-BFF2-30D35CCDC841}"/>
    <cellStyle name="Normal 3 2 2 37 2 2 11" xfId="32264" xr:uid="{A3FBA780-5CA0-4CB5-98DA-A261237F8CC6}"/>
    <cellStyle name="Normal 3 2 2 37 2 2 2" xfId="32265" xr:uid="{CE805C2B-EB24-47FF-B0F7-6E6E53E662EF}"/>
    <cellStyle name="Normal 3 2 2 37 2 2 2 2" xfId="32266" xr:uid="{1E9E4BB5-A195-4E58-AFB8-3AF05F40EF30}"/>
    <cellStyle name="Normal 3 2 2 37 2 2 2 2 2" xfId="32267" xr:uid="{93A11363-4461-4670-BE3D-6326EAFC7215}"/>
    <cellStyle name="Normal 3 2 2 37 2 2 2 2 3" xfId="32268" xr:uid="{4F8C1BAA-8A39-44B7-A875-67B056EE636C}"/>
    <cellStyle name="Normal 3 2 2 37 2 2 2 2 4" xfId="32269" xr:uid="{14BDA3E2-192E-41F9-8994-11163DC48CD4}"/>
    <cellStyle name="Normal 3 2 2 37 2 2 2 3" xfId="32270" xr:uid="{3CC49DBC-6C48-4CC3-B4FE-1CEA479ABC32}"/>
    <cellStyle name="Normal 3 2 2 37 2 2 2 4" xfId="32271" xr:uid="{F15856CC-169A-4BE2-AFD2-9D29EA747AB8}"/>
    <cellStyle name="Normal 3 2 2 37 2 2 2 5" xfId="32272" xr:uid="{19C5A495-495A-4B61-85A0-F24FF529420A}"/>
    <cellStyle name="Normal 3 2 2 37 2 2 2 6" xfId="32273" xr:uid="{CB8B555E-6CDA-425B-AE49-6569A347B9E9}"/>
    <cellStyle name="Normal 3 2 2 37 2 2 3" xfId="32274" xr:uid="{84A823F1-93AC-4AD9-9C1B-81D14C6DC5CA}"/>
    <cellStyle name="Normal 3 2 2 37 2 2 4" xfId="32275" xr:uid="{70F1F739-A466-4DD3-B54D-1CEA9972A170}"/>
    <cellStyle name="Normal 3 2 2 37 2 2 5" xfId="32276" xr:uid="{9CA7C848-6809-47A5-AEBC-DC4DB75941A6}"/>
    <cellStyle name="Normal 3 2 2 37 2 2 6" xfId="32277" xr:uid="{D748C229-B148-4BF1-9B1A-AD99683D0C69}"/>
    <cellStyle name="Normal 3 2 2 37 2 2 7" xfId="32278" xr:uid="{9FBC3F0F-A707-457E-A12F-66EDF7ADEAA9}"/>
    <cellStyle name="Normal 3 2 2 37 2 2 8" xfId="32279" xr:uid="{59329AAB-DF74-4DBD-AF1F-1F44D8F6AB6B}"/>
    <cellStyle name="Normal 3 2 2 37 2 2 8 2" xfId="32280" xr:uid="{B45B5E75-6346-4E81-9B56-37B47D0BB602}"/>
    <cellStyle name="Normal 3 2 2 37 2 2 8 3" xfId="32281" xr:uid="{59912437-5915-4B4D-82FC-2CDBF71B47B6}"/>
    <cellStyle name="Normal 3 2 2 37 2 2 8 4" xfId="32282" xr:uid="{98CD47B0-ABFC-4430-B908-350FF294AA07}"/>
    <cellStyle name="Normal 3 2 2 37 2 2 9" xfId="32283" xr:uid="{97019E5F-F0D3-4D9F-A580-71CA57ADFD16}"/>
    <cellStyle name="Normal 3 2 2 37 2 3" xfId="32284" xr:uid="{FA1EE847-C7E8-4842-8063-A6BFCD2A6EE7}"/>
    <cellStyle name="Normal 3 2 2 37 2 3 2" xfId="32285" xr:uid="{BF839A30-8B65-4C7E-8A3E-03CAB752935E}"/>
    <cellStyle name="Normal 3 2 2 37 2 3 2 2" xfId="32286" xr:uid="{ECC2DE59-694E-4C97-9591-7F55214236A4}"/>
    <cellStyle name="Normal 3 2 2 37 2 3 2 3" xfId="32287" xr:uid="{CEBB5640-B6BA-4BB6-A3B2-B7569624F9AE}"/>
    <cellStyle name="Normal 3 2 2 37 2 3 2 4" xfId="32288" xr:uid="{D55D8525-3EA6-4625-8A94-E3F797A8E0A2}"/>
    <cellStyle name="Normal 3 2 2 37 2 3 3" xfId="32289" xr:uid="{C6000B92-47F1-4685-8E78-DE295521C315}"/>
    <cellStyle name="Normal 3 2 2 37 2 3 4" xfId="32290" xr:uid="{B08E0C49-9CA7-4F60-B5C4-47B573B51226}"/>
    <cellStyle name="Normal 3 2 2 37 2 3 5" xfId="32291" xr:uid="{17EFBEFF-05C8-4845-9A60-7430F3B76218}"/>
    <cellStyle name="Normal 3 2 2 37 2 3 6" xfId="32292" xr:uid="{5EBA2109-029E-4AF3-9B78-D29F9FEF9188}"/>
    <cellStyle name="Normal 3 2 2 37 2 4" xfId="32293" xr:uid="{9A7B515C-8202-426E-AB5A-313A478B50EB}"/>
    <cellStyle name="Normal 3 2 2 37 2 5" xfId="32294" xr:uid="{0252165C-15C5-450A-9899-3AE123BA7A1D}"/>
    <cellStyle name="Normal 3 2 2 37 2 6" xfId="32295" xr:uid="{6DB9808F-9541-411D-B10D-65A2836B5BB7}"/>
    <cellStyle name="Normal 3 2 2 37 2 7" xfId="32296" xr:uid="{AFFA6E57-8357-4A44-BBF7-722BA4E8196B}"/>
    <cellStyle name="Normal 3 2 2 37 2 8" xfId="32297" xr:uid="{E669846B-BD51-46A4-9AFE-F485E7314743}"/>
    <cellStyle name="Normal 3 2 2 37 2 8 2" xfId="32298" xr:uid="{26010CEF-19A0-46CF-B220-D0B6DDDEEBAD}"/>
    <cellStyle name="Normal 3 2 2 37 2 8 3" xfId="32299" xr:uid="{460A0813-5FD7-4CF0-834C-D8087BEE7213}"/>
    <cellStyle name="Normal 3 2 2 37 2 8 4" xfId="32300" xr:uid="{69F8B7A3-FBB7-416A-B484-2CECAA58FE0F}"/>
    <cellStyle name="Normal 3 2 2 37 2 9" xfId="32301" xr:uid="{30D9332A-B21F-4766-B0B4-0AF7D098D6BF}"/>
    <cellStyle name="Normal 3 2 2 37 3" xfId="32302" xr:uid="{D8B96BB3-0E08-45E5-ADCA-75AD96514BD0}"/>
    <cellStyle name="Normal 3 2 2 37 4" xfId="32303" xr:uid="{ED50EC86-0C87-4076-8C26-569544BA7B63}"/>
    <cellStyle name="Normal 3 2 2 37 5" xfId="32304" xr:uid="{0C408CC7-316F-4A0D-B6E4-EF6B24724206}"/>
    <cellStyle name="Normal 3 2 2 37 5 2" xfId="32305" xr:uid="{15F4E4DF-35FC-4DA1-9A0C-D76E92CA1013}"/>
    <cellStyle name="Normal 3 2 2 37 5 2 2" xfId="32306" xr:uid="{58CFD1E4-7767-4BA3-85E1-AF6F0C150039}"/>
    <cellStyle name="Normal 3 2 2 37 5 2 3" xfId="32307" xr:uid="{D2C20CA9-5FC2-40DA-9B33-7F7A35E89FD3}"/>
    <cellStyle name="Normal 3 2 2 37 5 2 4" xfId="32308" xr:uid="{6D3DD199-9838-448A-905F-75DF92465D8B}"/>
    <cellStyle name="Normal 3 2 2 37 5 3" xfId="32309" xr:uid="{19F5401E-C044-434B-B18A-7972AF0980FE}"/>
    <cellStyle name="Normal 3 2 2 37 5 4" xfId="32310" xr:uid="{42DB8DB1-AF98-4600-927C-0F68AD889E7F}"/>
    <cellStyle name="Normal 3 2 2 37 5 5" xfId="32311" xr:uid="{72A879F4-9453-40C8-A7D0-6B78DDEE8BB8}"/>
    <cellStyle name="Normal 3 2 2 37 5 6" xfId="32312" xr:uid="{AD48492D-23C1-4459-BF2E-D78B507DB9FD}"/>
    <cellStyle name="Normal 3 2 2 37 6" xfId="32313" xr:uid="{280BECDC-B355-4BDE-80E4-285938A88F09}"/>
    <cellStyle name="Normal 3 2 2 37 7" xfId="32314" xr:uid="{F7F2522B-C59C-442A-985C-1748A3DBB51C}"/>
    <cellStyle name="Normal 3 2 2 37 8" xfId="32315" xr:uid="{9FBB4F7C-5123-4EAB-8786-749D3E88DEF8}"/>
    <cellStyle name="Normal 3 2 2 37 9" xfId="32316" xr:uid="{5AAE9A9C-5271-409C-98EE-5686AB86DC0B}"/>
    <cellStyle name="Normal 3 2 2 38" xfId="32317" xr:uid="{0989A1B7-314B-44BC-91A4-9AE81F1823B0}"/>
    <cellStyle name="Normal 3 2 2 39" xfId="32318" xr:uid="{C29219C1-6630-485B-B88E-05D40EE57FF6}"/>
    <cellStyle name="Normal 3 2 2 39 10" xfId="32319" xr:uid="{B58DC082-8651-4B07-A197-C526F071A21D}"/>
    <cellStyle name="Normal 3 2 2 39 11" xfId="32320" xr:uid="{18BF279C-04C7-4E8D-BF2F-EE38FDBD78EE}"/>
    <cellStyle name="Normal 3 2 2 39 2" xfId="32321" xr:uid="{CBCD15E1-0654-4B05-AC1F-100AAC81D4CA}"/>
    <cellStyle name="Normal 3 2 2 39 2 10" xfId="32322" xr:uid="{FB9E26EE-DAF1-47F3-BF37-C78CEE246177}"/>
    <cellStyle name="Normal 3 2 2 39 2 11" xfId="32323" xr:uid="{46532601-56EF-46F2-AC34-5E21787B0ABF}"/>
    <cellStyle name="Normal 3 2 2 39 2 2" xfId="32324" xr:uid="{7C31718C-504D-4D4C-B36A-F2609B06D21B}"/>
    <cellStyle name="Normal 3 2 2 39 2 2 2" xfId="32325" xr:uid="{EF79C51F-8201-4BCB-94DC-FA7FD9358C57}"/>
    <cellStyle name="Normal 3 2 2 39 2 2 2 2" xfId="32326" xr:uid="{91150867-E332-40F4-91A7-16E13FF32BA6}"/>
    <cellStyle name="Normal 3 2 2 39 2 2 2 3" xfId="32327" xr:uid="{31BEC99B-05A6-476B-A8EB-A052F4B8FF59}"/>
    <cellStyle name="Normal 3 2 2 39 2 2 2 4" xfId="32328" xr:uid="{F068BFEF-3EC0-490D-881D-66D38D50519F}"/>
    <cellStyle name="Normal 3 2 2 39 2 2 3" xfId="32329" xr:uid="{B19069CB-A9B6-4CC7-BC1C-76ABE02ED78B}"/>
    <cellStyle name="Normal 3 2 2 39 2 2 4" xfId="32330" xr:uid="{965251CD-3613-4425-86F8-EE4020AF1A89}"/>
    <cellStyle name="Normal 3 2 2 39 2 2 5" xfId="32331" xr:uid="{52F7C813-D005-4728-9218-52DBFB6DBE73}"/>
    <cellStyle name="Normal 3 2 2 39 2 2 6" xfId="32332" xr:uid="{FAC7130A-4AD5-4959-B559-5BC43EAE8BB0}"/>
    <cellStyle name="Normal 3 2 2 39 2 3" xfId="32333" xr:uid="{2BF3B149-0222-4043-91B7-0451234E79B0}"/>
    <cellStyle name="Normal 3 2 2 39 2 4" xfId="32334" xr:uid="{5A396F76-8348-4172-A570-66102C04BE5F}"/>
    <cellStyle name="Normal 3 2 2 39 2 5" xfId="32335" xr:uid="{0AE89C21-0146-4AFF-BE09-FE2100E92524}"/>
    <cellStyle name="Normal 3 2 2 39 2 6" xfId="32336" xr:uid="{BE92761C-463F-4253-AA01-0B37A78D0937}"/>
    <cellStyle name="Normal 3 2 2 39 2 7" xfId="32337" xr:uid="{C2ADB3B6-E8F1-4BFA-8CEA-6683AEECD43C}"/>
    <cellStyle name="Normal 3 2 2 39 2 8" xfId="32338" xr:uid="{1240FE25-3D78-44B0-B659-7761E39F3671}"/>
    <cellStyle name="Normal 3 2 2 39 2 8 2" xfId="32339" xr:uid="{99B33A9C-41EC-4B55-8684-2B863FB622F4}"/>
    <cellStyle name="Normal 3 2 2 39 2 8 3" xfId="32340" xr:uid="{D1C6D569-1EDB-44EF-AC7C-415F83DDA6D8}"/>
    <cellStyle name="Normal 3 2 2 39 2 8 4" xfId="32341" xr:uid="{CD329F2A-2B9C-4AA2-A6E3-2DFDEA3D35A5}"/>
    <cellStyle name="Normal 3 2 2 39 2 9" xfId="32342" xr:uid="{C7BE38E4-E176-4044-B0FD-095F9588844E}"/>
    <cellStyle name="Normal 3 2 2 39 3" xfId="32343" xr:uid="{E80616B7-31CE-48E3-B925-A34D152553AF}"/>
    <cellStyle name="Normal 3 2 2 39 3 2" xfId="32344" xr:uid="{33350C02-1964-4F22-B2A8-6ECD3F343AC7}"/>
    <cellStyle name="Normal 3 2 2 39 3 2 2" xfId="32345" xr:uid="{41A320F3-D359-4D09-B697-2BECA8BA11E5}"/>
    <cellStyle name="Normal 3 2 2 39 3 2 3" xfId="32346" xr:uid="{9E8E6253-7CD3-4102-85A4-5B84B9656669}"/>
    <cellStyle name="Normal 3 2 2 39 3 2 4" xfId="32347" xr:uid="{91607F76-EF16-4C66-A070-D829DCB56BC1}"/>
    <cellStyle name="Normal 3 2 2 39 3 3" xfId="32348" xr:uid="{BB30518C-B5CB-4D82-AD6A-93CE6FEBA168}"/>
    <cellStyle name="Normal 3 2 2 39 3 4" xfId="32349" xr:uid="{2A352204-79F8-4C25-ABF1-FEA5FA265F4D}"/>
    <cellStyle name="Normal 3 2 2 39 3 5" xfId="32350" xr:uid="{1E4F5BF6-5157-4251-8FFF-B13ED5D5E7B9}"/>
    <cellStyle name="Normal 3 2 2 39 3 6" xfId="32351" xr:uid="{383F7569-A462-4BEC-B326-829CBEFF02BE}"/>
    <cellStyle name="Normal 3 2 2 39 4" xfId="32352" xr:uid="{68B0211C-ABFE-4690-8D85-A62FEA3D3A6B}"/>
    <cellStyle name="Normal 3 2 2 39 5" xfId="32353" xr:uid="{7BC7B936-BFBF-445A-9432-DF6FD3217B74}"/>
    <cellStyle name="Normal 3 2 2 39 6" xfId="32354" xr:uid="{B057D8CD-0C63-47CA-9651-C0DB3B52D8C2}"/>
    <cellStyle name="Normal 3 2 2 39 7" xfId="32355" xr:uid="{E4B8BFE1-E71C-4523-B53A-1C3B91CCD222}"/>
    <cellStyle name="Normal 3 2 2 39 8" xfId="32356" xr:uid="{51CC800A-5F37-43C9-B177-969464D375C6}"/>
    <cellStyle name="Normal 3 2 2 39 8 2" xfId="32357" xr:uid="{6F0C1CE9-5F6F-46DB-9EC5-B9C03DA3B34C}"/>
    <cellStyle name="Normal 3 2 2 39 8 3" xfId="32358" xr:uid="{88F3E843-C931-4DC8-BB8B-A7316CA41EC4}"/>
    <cellStyle name="Normal 3 2 2 39 8 4" xfId="32359" xr:uid="{52D16074-07C6-44DA-BA00-C7775588FD92}"/>
    <cellStyle name="Normal 3 2 2 39 9" xfId="32360" xr:uid="{5ECBCC9E-0771-4BD6-8336-09B3AA28B7EF}"/>
    <cellStyle name="Normal 3 2 2 4" xfId="32361" xr:uid="{CC61F668-5B05-48E2-B93E-227DD4B877F3}"/>
    <cellStyle name="Normal 3 2 2 40" xfId="32362" xr:uid="{137FDDD4-F19D-4EDB-91D3-8364ABC0BBAF}"/>
    <cellStyle name="Normal 3 2 2 41" xfId="32363" xr:uid="{8AE260FD-088A-44C0-BD6D-BF2DD9B9D8D1}"/>
    <cellStyle name="Normal 3 2 2 41 2" xfId="32364" xr:uid="{81139CED-B9B8-47EF-818B-05F50F1EA1A3}"/>
    <cellStyle name="Normal 3 2 2 41 2 2" xfId="32365" xr:uid="{4A9F68D7-E4D7-4EFA-91F8-6D59F3676D19}"/>
    <cellStyle name="Normal 3 2 2 41 2 3" xfId="32366" xr:uid="{08A5892D-9EBF-48C8-ADE9-A08349F44942}"/>
    <cellStyle name="Normal 3 2 2 41 2 4" xfId="32367" xr:uid="{CE2D48F3-2F04-4593-93BB-E254E4195CD3}"/>
    <cellStyle name="Normal 3 2 2 41 3" xfId="32368" xr:uid="{2337879E-FC49-458C-A49E-1055CCF64241}"/>
    <cellStyle name="Normal 3 2 2 41 4" xfId="32369" xr:uid="{4A96B7B6-F01D-437A-84B4-6CA677070A9D}"/>
    <cellStyle name="Normal 3 2 2 41 5" xfId="32370" xr:uid="{BA7D6E95-078D-4016-943E-E330B799EB90}"/>
    <cellStyle name="Normal 3 2 2 41 6" xfId="32371" xr:uid="{18AADF5A-5CB9-4DB8-B9AD-B312BCFB8599}"/>
    <cellStyle name="Normal 3 2 2 42" xfId="32372" xr:uid="{8BF58E56-1059-4330-98A8-618E94CB12F3}"/>
    <cellStyle name="Normal 3 2 2 43" xfId="32373" xr:uid="{F575BD46-EE56-4636-AD32-668DC3D20A5D}"/>
    <cellStyle name="Normal 3 2 2 44" xfId="32374" xr:uid="{5185F376-7E07-42B6-9862-3F203F97A219}"/>
    <cellStyle name="Normal 3 2 2 45" xfId="32375" xr:uid="{3B71FC4A-A062-4E9A-ADE9-19066C521C35}"/>
    <cellStyle name="Normal 3 2 2 46" xfId="32376" xr:uid="{2D51A093-049B-4301-9961-E4D3A1816ADF}"/>
    <cellStyle name="Normal 3 2 2 47" xfId="32377" xr:uid="{056B485A-924D-4C9E-A908-711DE762620F}"/>
    <cellStyle name="Normal 3 2 2 47 2" xfId="32378" xr:uid="{785F252D-C49C-4606-B737-732C88F978FD}"/>
    <cellStyle name="Normal 3 2 2 47 3" xfId="32379" xr:uid="{DCCF0903-4579-4F6A-81A5-8989B47CE504}"/>
    <cellStyle name="Normal 3 2 2 47 4" xfId="32380" xr:uid="{3C321993-0F1A-4B41-8E92-38F6D1B2F020}"/>
    <cellStyle name="Normal 3 2 2 48" xfId="32381" xr:uid="{7E45D69D-9B48-4DCF-AAAF-74B6233925C8}"/>
    <cellStyle name="Normal 3 2 2 49" xfId="32382" xr:uid="{41E4F990-7AA9-405A-8563-DBD62BB04437}"/>
    <cellStyle name="Normal 3 2 2 5" xfId="32383" xr:uid="{76F60234-5A94-4F49-AB1E-A031C1F89645}"/>
    <cellStyle name="Normal 3 2 2 50" xfId="32384" xr:uid="{18CB03AD-580F-4FFB-824F-CA5FEACEEF35}"/>
    <cellStyle name="Normal 3 2 2 51" xfId="32385" xr:uid="{F500788C-FF1E-446D-AD15-6064EDDED99F}"/>
    <cellStyle name="Normal 3 2 2 52" xfId="32386" xr:uid="{0D6E3AC1-EC86-4312-9DE5-CD66F19270AB}"/>
    <cellStyle name="Normal 3 2 2 53" xfId="32387" xr:uid="{41FF991B-D1A9-410C-9428-6F978D5EAA44}"/>
    <cellStyle name="Normal 3 2 2 54" xfId="32388" xr:uid="{A3539D9E-1494-4BFD-AF17-E78190506A04}"/>
    <cellStyle name="Normal 3 2 2 55" xfId="32389" xr:uid="{974FB1B3-C65D-4C13-895F-4508159E7B85}"/>
    <cellStyle name="Normal 3 2 2 56" xfId="32390" xr:uid="{5FB906FA-C308-477E-83EC-6B1F3A293E2E}"/>
    <cellStyle name="Normal 3 2 2 57" xfId="32391" xr:uid="{0BB20287-5F6F-47C2-9729-1B003DF4C0F7}"/>
    <cellStyle name="Normal 3 2 2 58" xfId="32392" xr:uid="{C2695640-5EFD-4B82-9203-4493AAAA3AA6}"/>
    <cellStyle name="Normal 3 2 2 59" xfId="32393" xr:uid="{00157A14-9C6A-42BD-8607-37427EA47708}"/>
    <cellStyle name="Normal 3 2 2 6" xfId="32394" xr:uid="{E07E7912-D5BF-41C0-8F86-DF6EE8909B40}"/>
    <cellStyle name="Normal 3 2 2 60" xfId="32395" xr:uid="{BD3854A0-8F7A-4938-A2A1-15D0089E809A}"/>
    <cellStyle name="Normal 3 2 2 61" xfId="32396" xr:uid="{C2BB830D-3A2E-4C7E-9DE1-32CF20BC33F5}"/>
    <cellStyle name="Normal 3 2 2 62" xfId="32397" xr:uid="{C68341F2-ACDD-45A6-B30A-7718877C08C6}"/>
    <cellStyle name="Normal 3 2 2 62 2" xfId="32398" xr:uid="{2C5B4AC9-8786-4CFC-AE40-61694311671B}"/>
    <cellStyle name="Normal 3 2 2 62 3" xfId="32399" xr:uid="{376E721B-B46C-4E55-9B31-97A637219A2F}"/>
    <cellStyle name="Normal 3 2 2 62 4" xfId="32400" xr:uid="{0B55ADDA-0D6A-4197-8EC4-FCD5F284D50A}"/>
    <cellStyle name="Normal 3 2 2 62 5" xfId="32401" xr:uid="{571D39C9-4D18-4828-907D-72387BCFB093}"/>
    <cellStyle name="Normal 3 2 2 62 6" xfId="32402" xr:uid="{A6202B2F-CB47-4F0C-94A1-0EC6709831D0}"/>
    <cellStyle name="Normal 3 2 2 62 7" xfId="32403" xr:uid="{7E068827-D0F2-4331-8601-7546DEF9E69B}"/>
    <cellStyle name="Normal 3 2 2 63" xfId="32404" xr:uid="{9AC97BCD-8552-4A6A-AB6D-0E6F81F46F33}"/>
    <cellStyle name="Normal 3 2 2 64" xfId="32405" xr:uid="{F7228875-9215-4ED4-824A-C69CDAF72202}"/>
    <cellStyle name="Normal 3 2 2 65" xfId="32406" xr:uid="{0644D16D-E4E2-461C-8023-AFCD43BEA951}"/>
    <cellStyle name="Normal 3 2 2 66" xfId="32407" xr:uid="{4F350D7B-4F67-477C-8AF5-0C1C8212E523}"/>
    <cellStyle name="Normal 3 2 2 67" xfId="32408" xr:uid="{07E69BA2-2EDA-4127-8BDB-78B28997C5F7}"/>
    <cellStyle name="Normal 3 2 2 68" xfId="32409" xr:uid="{11CC5FE4-5FFE-4C5B-AA67-4A542D6E655F}"/>
    <cellStyle name="Normal 3 2 2 69" xfId="32410" xr:uid="{508B3616-248C-429C-A04D-4EA2133387A2}"/>
    <cellStyle name="Normal 3 2 2 7" xfId="32411" xr:uid="{2B6EF14D-FF43-4C0F-8E1C-1D0A4D15F2DB}"/>
    <cellStyle name="Normal 3 2 2 70" xfId="32412" xr:uid="{EDF7056E-5502-4B1A-B9AF-06778724A181}"/>
    <cellStyle name="Normal 3 2 2 71" xfId="32413" xr:uid="{A7635280-E861-4D5D-8683-D5B74C1FBBBA}"/>
    <cellStyle name="Normal 3 2 2 72" xfId="32414" xr:uid="{90484C23-2C5D-4F2B-9EE5-8521C61A8976}"/>
    <cellStyle name="Normal 3 2 2 73" xfId="32415" xr:uid="{4FD96461-B9FF-448B-9442-2678931D7B06}"/>
    <cellStyle name="Normal 3 2 2 74" xfId="32416" xr:uid="{C9E0FDEF-61E9-4B29-A2DB-67A3FAFD4474}"/>
    <cellStyle name="Normal 3 2 2 75" xfId="32417" xr:uid="{3383205C-719C-48DE-8A29-2F251C2BC893}"/>
    <cellStyle name="Normal 3 2 2 76" xfId="32418" xr:uid="{32FFF588-71B5-4BD5-8740-D7F96A148B3C}"/>
    <cellStyle name="Normal 3 2 2 77" xfId="32419" xr:uid="{5B83CC19-D8A6-45A0-8220-6ADE0DE0C691}"/>
    <cellStyle name="Normal 3 2 2 78" xfId="32420" xr:uid="{BDA73A10-00FD-4F66-B0D7-E57B872A9141}"/>
    <cellStyle name="Normal 3 2 2 79" xfId="32421" xr:uid="{1DCBBC71-C4BD-4996-BB48-D1D9EE195FA6}"/>
    <cellStyle name="Normal 3 2 2 8" xfId="32422" xr:uid="{4A6AED23-1C1F-49B7-A7A3-CB26888A6CDF}"/>
    <cellStyle name="Normal 3 2 2 80" xfId="32423" xr:uid="{62C561B6-0ED6-45B7-9747-2FE8928181D7}"/>
    <cellStyle name="Normal 3 2 2 81" xfId="32424" xr:uid="{3EDF2FFE-0FBC-47B5-AB89-65BD6D8728A2}"/>
    <cellStyle name="Normal 3 2 2 82" xfId="32425" xr:uid="{23403C8B-9C5F-430C-9DAA-58655670C909}"/>
    <cellStyle name="Normal 3 2 2 83" xfId="32426" xr:uid="{3AC9C62B-777A-4C10-B9EF-B3E383DA0DD4}"/>
    <cellStyle name="Normal 3 2 2 84" xfId="32427" xr:uid="{E0F5B7B2-BB83-4B67-B242-BD957640271F}"/>
    <cellStyle name="Normal 3 2 2 85" xfId="32428" xr:uid="{1F1E7F60-B7EE-43C5-84EC-B1E9BBDFD9F8}"/>
    <cellStyle name="Normal 3 2 2 86" xfId="32429" xr:uid="{34AC7CC7-0069-4784-B9AC-ACDAC1704110}"/>
    <cellStyle name="Normal 3 2 2 87" xfId="32430" xr:uid="{6AB8D285-DE15-41DC-ACA1-01091E72D56D}"/>
    <cellStyle name="Normal 3 2 2 88" xfId="32431" xr:uid="{F5C7595C-C7C3-4C8B-B234-8A399D8E7CCE}"/>
    <cellStyle name="Normal 3 2 2 89" xfId="32432" xr:uid="{511BA547-1644-4ECA-8636-718651B511FF}"/>
    <cellStyle name="Normal 3 2 2 9" xfId="32433" xr:uid="{D8891B40-7D63-48D2-BC5C-C68BD3FD9904}"/>
    <cellStyle name="Normal 3 2 2 90" xfId="32434" xr:uid="{890EA8FE-F55C-4B46-8BAD-CA6408DEDC39}"/>
    <cellStyle name="Normal 3 2 2 91" xfId="32435" xr:uid="{A6BB852B-FAFB-4366-8076-131A677C6177}"/>
    <cellStyle name="Normal 3 2 2 92" xfId="32436" xr:uid="{44FEAC85-6064-4771-AE99-E8E616DFBC96}"/>
    <cellStyle name="Normal 3 2 2 93" xfId="32437" xr:uid="{F5C09DFF-992F-431F-B2AD-099C8458D764}"/>
    <cellStyle name="Normal 3 2 2 94" xfId="32438" xr:uid="{E646EBF8-8ED3-4562-BFB6-0A85567FA31A}"/>
    <cellStyle name="Normal 3 2 2 94 2" xfId="32439" xr:uid="{0744F08B-E0B1-4E2B-B035-A757597896EC}"/>
    <cellStyle name="Normal 3 2 2 94 3" xfId="32440" xr:uid="{7F68C1D8-B699-464C-AC11-31F1D977397D}"/>
    <cellStyle name="Normal 3 2 2 94 4" xfId="32441" xr:uid="{E8C450AC-E5DA-4087-9521-8BE0C24981D2}"/>
    <cellStyle name="Normal 3 2 2 95" xfId="32442" xr:uid="{3F6AB2EF-3970-4891-A007-7C83331702FE}"/>
    <cellStyle name="Normal 3 2 2 96" xfId="32443" xr:uid="{72B3E360-3548-46E1-9C2D-E2D8EE8BE656}"/>
    <cellStyle name="Normal 3 2 2 97" xfId="32444" xr:uid="{324E0D8C-E63D-4366-9DCF-137607C31928}"/>
    <cellStyle name="Normal 3 2 2 98" xfId="32445" xr:uid="{CDDD5471-358D-409F-B1F3-E0454E5D7683}"/>
    <cellStyle name="Normal 3 2 20" xfId="32446" xr:uid="{13CD0C53-A6CB-4FF7-90D5-919670FF580F}"/>
    <cellStyle name="Normal 3 2 20 10" xfId="32447" xr:uid="{66EDA8B1-FBC0-4729-ADDA-1BD3ECD6FCFF}"/>
    <cellStyle name="Normal 3 2 20 11" xfId="32448" xr:uid="{8505D8DB-572B-4780-B0CA-0F30A36B1B01}"/>
    <cellStyle name="Normal 3 2 20 2" xfId="32449" xr:uid="{D0715328-7070-431C-848E-5E60B6B57BD5}"/>
    <cellStyle name="Normal 3 2 20 2 2" xfId="32450" xr:uid="{C8B86E4F-68C3-4F78-AC6D-9994E8AC7F2B}"/>
    <cellStyle name="Normal 3 2 20 2 3" xfId="32451" xr:uid="{4478002C-84E7-47A9-B99C-C09453E9EED2}"/>
    <cellStyle name="Normal 3 2 20 2 4" xfId="32452" xr:uid="{41F266DF-DD4F-4E13-A6BF-AE263217B661}"/>
    <cellStyle name="Normal 3 2 20 2 5" xfId="32453" xr:uid="{726E67A6-AB63-482D-A117-ADBACF844BBF}"/>
    <cellStyle name="Normal 3 2 20 2 6" xfId="32454" xr:uid="{E7D5EA00-7348-4586-9971-902C8B8379BF}"/>
    <cellStyle name="Normal 3 2 20 3" xfId="32455" xr:uid="{F381D34C-94C8-4E2B-ADC4-CE2A898873B2}"/>
    <cellStyle name="Normal 3 2 20 3 2" xfId="32456" xr:uid="{D0C3ECB4-65C1-4372-9DFE-D0F217126E18}"/>
    <cellStyle name="Normal 3 2 20 3 3" xfId="32457" xr:uid="{43A35F21-78BA-445E-AB91-DE2EF2E383E4}"/>
    <cellStyle name="Normal 3 2 20 3 4" xfId="32458" xr:uid="{0D077FC0-327B-4B7B-95A6-1DC7A0E0898E}"/>
    <cellStyle name="Normal 3 2 20 3 5" xfId="32459" xr:uid="{C91E9FFA-B3EC-405B-BC5E-1D6D215DDAE6}"/>
    <cellStyle name="Normal 3 2 20 3 6" xfId="32460" xr:uid="{8B1F011A-1378-4BAD-A49B-624354490770}"/>
    <cellStyle name="Normal 3 2 20 4" xfId="32461" xr:uid="{657AC278-BE66-452D-9485-F99D71EDE215}"/>
    <cellStyle name="Normal 3 2 20 4 2" xfId="32462" xr:uid="{B9B941B4-D3B6-4EA9-9566-149E44EB7A15}"/>
    <cellStyle name="Normal 3 2 20 4 3" xfId="32463" xr:uid="{1DF44699-ACE8-4C59-B6F0-307A79D82B2B}"/>
    <cellStyle name="Normal 3 2 20 4 4" xfId="32464" xr:uid="{96ACBEB5-3B67-4096-9892-6700FCAA95F7}"/>
    <cellStyle name="Normal 3 2 20 4 5" xfId="32465" xr:uid="{011B821E-30EE-406D-9696-054ACB715D8C}"/>
    <cellStyle name="Normal 3 2 20 4 6" xfId="32466" xr:uid="{DAB0CA1D-F897-43F1-AE9F-63115157C0ED}"/>
    <cellStyle name="Normal 3 2 20 5" xfId="32467" xr:uid="{285FEDAF-B7D8-46ED-B1C8-12072100F576}"/>
    <cellStyle name="Normal 3 2 20 5 2" xfId="32468" xr:uid="{7478B252-85C0-4E80-BEDF-BD0DA1A66E03}"/>
    <cellStyle name="Normal 3 2 20 5 3" xfId="32469" xr:uid="{DE0B4119-5690-4F8B-AD66-44F8FD365FB0}"/>
    <cellStyle name="Normal 3 2 20 5 4" xfId="32470" xr:uid="{832A2129-20F0-48B4-B7C9-012700AD8FBD}"/>
    <cellStyle name="Normal 3 2 20 5 5" xfId="32471" xr:uid="{3A7EEC58-851A-4EDC-9E1A-3888F669D5C1}"/>
    <cellStyle name="Normal 3 2 20 5 6" xfId="32472" xr:uid="{7F2641F0-7109-4E59-895B-37B32E776624}"/>
    <cellStyle name="Normal 3 2 20 6" xfId="32473" xr:uid="{EF1FE6B8-9382-483D-A01A-91A8A24F8BC7}"/>
    <cellStyle name="Normal 3 2 20 6 2" xfId="32474" xr:uid="{4AA10C42-5BC4-412B-98B2-20CFDC05DFB8}"/>
    <cellStyle name="Normal 3 2 20 6 3" xfId="32475" xr:uid="{D21EB1C4-8341-4C1F-9350-ED153C134690}"/>
    <cellStyle name="Normal 3 2 20 6 4" xfId="32476" xr:uid="{2AAB62C7-A299-4511-A037-E11BA7358BE3}"/>
    <cellStyle name="Normal 3 2 20 6 5" xfId="32477" xr:uid="{B9BABACB-1848-4720-A7AA-7E60B95A9192}"/>
    <cellStyle name="Normal 3 2 20 6 6" xfId="32478" xr:uid="{DAD194D9-32BC-40E1-92A9-CDCF4C65E37A}"/>
    <cellStyle name="Normal 3 2 20 7" xfId="32479" xr:uid="{4305F227-51B1-456F-B79B-787A9D80A22B}"/>
    <cellStyle name="Normal 3 2 20 8" xfId="32480" xr:uid="{348B5271-5CD0-47ED-835A-4C2BC69F987E}"/>
    <cellStyle name="Normal 3 2 20 9" xfId="32481" xr:uid="{B42F9FB9-732A-4742-910A-64DE215CE023}"/>
    <cellStyle name="Normal 3 2 21" xfId="32482" xr:uid="{CA1625AC-ECDA-4AEF-9257-3B3D667BC4B6}"/>
    <cellStyle name="Normal 3 2 21 10" xfId="32483" xr:uid="{451CF823-B3C5-4BD7-9F5F-D92A205ED984}"/>
    <cellStyle name="Normal 3 2 21 11" xfId="32484" xr:uid="{2DA36070-7E0A-4833-AAFC-9284977BABE5}"/>
    <cellStyle name="Normal 3 2 21 2" xfId="32485" xr:uid="{FCEF57E5-93A6-47B9-8181-9E34FA562FC9}"/>
    <cellStyle name="Normal 3 2 21 2 2" xfId="32486" xr:uid="{11C0837B-44B1-4F6F-A35E-E4B51C45844F}"/>
    <cellStyle name="Normal 3 2 21 2 3" xfId="32487" xr:uid="{FC7283F5-8F05-4043-BFEA-D45C1FA1C7B8}"/>
    <cellStyle name="Normal 3 2 21 2 4" xfId="32488" xr:uid="{A6A29F93-1FB7-4AB7-BB09-A8DB5E4BE6AE}"/>
    <cellStyle name="Normal 3 2 21 2 5" xfId="32489" xr:uid="{4F0A1634-F895-4DC5-A4FC-9F9C41591D35}"/>
    <cellStyle name="Normal 3 2 21 2 6" xfId="32490" xr:uid="{ECAD921C-6974-44AB-AA34-17F63F1FA57E}"/>
    <cellStyle name="Normal 3 2 21 3" xfId="32491" xr:uid="{BFDC5679-194A-42B3-A32A-ED76F7A9233C}"/>
    <cellStyle name="Normal 3 2 21 3 2" xfId="32492" xr:uid="{41F806F4-687B-4A43-8872-D5D4495AA795}"/>
    <cellStyle name="Normal 3 2 21 3 3" xfId="32493" xr:uid="{5BBEE60E-661A-4C9E-9EDC-22B578C3B502}"/>
    <cellStyle name="Normal 3 2 21 3 4" xfId="32494" xr:uid="{FBC65DBB-A228-47F5-BBC9-1C76E631E12C}"/>
    <cellStyle name="Normal 3 2 21 3 5" xfId="32495" xr:uid="{7D69CB83-FFD8-4AAA-9B29-5B45313F5D25}"/>
    <cellStyle name="Normal 3 2 21 3 6" xfId="32496" xr:uid="{6582046F-51D6-4EE2-9EA5-2DC09DE8F58B}"/>
    <cellStyle name="Normal 3 2 21 4" xfId="32497" xr:uid="{58383143-CBF5-4554-8757-E82C23F59DEA}"/>
    <cellStyle name="Normal 3 2 21 4 2" xfId="32498" xr:uid="{2E443256-AEBF-41EB-9679-354E66A8EB04}"/>
    <cellStyle name="Normal 3 2 21 4 3" xfId="32499" xr:uid="{95A26DD8-8E9D-42B2-B092-DAE20DF2BD93}"/>
    <cellStyle name="Normal 3 2 21 4 4" xfId="32500" xr:uid="{4414D002-CD39-4F39-ACBE-245552A26662}"/>
    <cellStyle name="Normal 3 2 21 4 5" xfId="32501" xr:uid="{7A18FA73-1FBA-4DD9-A6CC-B074BB6893A4}"/>
    <cellStyle name="Normal 3 2 21 4 6" xfId="32502" xr:uid="{65ABA365-31ED-4A7E-96C5-F54ECEF3B741}"/>
    <cellStyle name="Normal 3 2 21 5" xfId="32503" xr:uid="{8C8271B8-2FC8-47C5-B331-66C85E83696D}"/>
    <cellStyle name="Normal 3 2 21 5 2" xfId="32504" xr:uid="{1ABB7F92-2765-4A93-BDA9-F93657CB37A2}"/>
    <cellStyle name="Normal 3 2 21 5 3" xfId="32505" xr:uid="{A208F2E4-4F68-4AAA-807D-8AE41697F8E7}"/>
    <cellStyle name="Normal 3 2 21 5 4" xfId="32506" xr:uid="{C31A17AE-CFE7-483F-B82A-8BA676383E17}"/>
    <cellStyle name="Normal 3 2 21 5 5" xfId="32507" xr:uid="{81AFE2A1-41F2-44B0-8A14-040C6DCF8F84}"/>
    <cellStyle name="Normal 3 2 21 5 6" xfId="32508" xr:uid="{6AC8F12F-59C6-4FD6-B9CC-5C1C43B44A00}"/>
    <cellStyle name="Normal 3 2 21 6" xfId="32509" xr:uid="{5C2BA356-BC2A-4277-853C-E1D4979620CF}"/>
    <cellStyle name="Normal 3 2 21 6 2" xfId="32510" xr:uid="{35376635-5B6A-4FC9-9B64-89812926D1CD}"/>
    <cellStyle name="Normal 3 2 21 6 3" xfId="32511" xr:uid="{AE977CC2-5AB7-43C6-9459-A7541C5757DD}"/>
    <cellStyle name="Normal 3 2 21 6 4" xfId="32512" xr:uid="{E834A56C-1B99-4050-8973-E0F22BECDB10}"/>
    <cellStyle name="Normal 3 2 21 6 5" xfId="32513" xr:uid="{20EBA03B-E343-4CA9-9296-E9C3E8BDE365}"/>
    <cellStyle name="Normal 3 2 21 6 6" xfId="32514" xr:uid="{553E67B2-171F-40E9-9E41-E38CA34927E1}"/>
    <cellStyle name="Normal 3 2 21 7" xfId="32515" xr:uid="{20848176-FF02-4DCA-8994-4CE3B4310F2F}"/>
    <cellStyle name="Normal 3 2 21 8" xfId="32516" xr:uid="{8C5ED339-4CCE-4A08-910B-D792760A8DCD}"/>
    <cellStyle name="Normal 3 2 21 9" xfId="32517" xr:uid="{D4EA6EB4-F6E4-46E9-AFD9-B071F8B78EBD}"/>
    <cellStyle name="Normal 3 2 22" xfId="32518" xr:uid="{E1E50928-7E6D-4467-8B5F-52EE43C2B928}"/>
    <cellStyle name="Normal 3 2 22 10" xfId="32519" xr:uid="{9B2AEFAC-B5A9-4C93-91A8-32982AF94751}"/>
    <cellStyle name="Normal 3 2 22 11" xfId="32520" xr:uid="{67C94583-2626-4750-A52F-2445E3ACE1AE}"/>
    <cellStyle name="Normal 3 2 22 2" xfId="32521" xr:uid="{E19F6636-F064-4420-9641-24ACDED4B700}"/>
    <cellStyle name="Normal 3 2 22 2 2" xfId="32522" xr:uid="{009E30DD-B374-4FCB-A415-E3BEBF854DA9}"/>
    <cellStyle name="Normal 3 2 22 2 3" xfId="32523" xr:uid="{3CBF2E74-229E-48EB-9C31-CBEF6FA0A07A}"/>
    <cellStyle name="Normal 3 2 22 2 4" xfId="32524" xr:uid="{AFCB31D3-6890-43B1-B426-CF194671992A}"/>
    <cellStyle name="Normal 3 2 22 2 5" xfId="32525" xr:uid="{26A42555-B022-402C-8CCC-FFD94D844EB5}"/>
    <cellStyle name="Normal 3 2 22 2 6" xfId="32526" xr:uid="{73B7CC83-BD89-4092-AF6F-595E94BBBF6F}"/>
    <cellStyle name="Normal 3 2 22 3" xfId="32527" xr:uid="{ACBB9450-F8BC-4D74-B3C8-FF2DD5BAD78D}"/>
    <cellStyle name="Normal 3 2 22 3 2" xfId="32528" xr:uid="{C0D5459E-FB53-4687-9D2B-DC70D77BD771}"/>
    <cellStyle name="Normal 3 2 22 3 3" xfId="32529" xr:uid="{CDE8ED28-4CBC-4C74-BAD2-CF7261493E4D}"/>
    <cellStyle name="Normal 3 2 22 3 4" xfId="32530" xr:uid="{60EB2E91-4A32-48CF-B7B4-9805FCB3821C}"/>
    <cellStyle name="Normal 3 2 22 3 5" xfId="32531" xr:uid="{91093929-BBE9-4F2C-8034-8E25847C2164}"/>
    <cellStyle name="Normal 3 2 22 3 6" xfId="32532" xr:uid="{763302C2-0FD6-448B-A46F-BF75479B8130}"/>
    <cellStyle name="Normal 3 2 22 4" xfId="32533" xr:uid="{F8FEA410-0176-478A-9BF8-17FFF1394970}"/>
    <cellStyle name="Normal 3 2 22 4 2" xfId="32534" xr:uid="{E227B632-111E-4B57-A1B9-EB5531B7359D}"/>
    <cellStyle name="Normal 3 2 22 4 3" xfId="32535" xr:uid="{BB21F3D1-1768-446D-826F-ECB7E62042F5}"/>
    <cellStyle name="Normal 3 2 22 4 4" xfId="32536" xr:uid="{1A5A4806-F1A6-403F-88E1-B473CE6B3A9C}"/>
    <cellStyle name="Normal 3 2 22 4 5" xfId="32537" xr:uid="{F050797A-4107-49D2-8627-4EB15C9F74F1}"/>
    <cellStyle name="Normal 3 2 22 4 6" xfId="32538" xr:uid="{860B699E-3A4A-4C09-B17E-2B507F88DBB1}"/>
    <cellStyle name="Normal 3 2 22 5" xfId="32539" xr:uid="{7A0F685D-E2AF-4CD1-8D85-E52F583F760D}"/>
    <cellStyle name="Normal 3 2 22 5 2" xfId="32540" xr:uid="{ED0DED88-5651-4304-BC9B-0B112231C9A5}"/>
    <cellStyle name="Normal 3 2 22 5 3" xfId="32541" xr:uid="{ADDCB4C8-E20B-41D5-9C63-CD16DEA547E3}"/>
    <cellStyle name="Normal 3 2 22 5 4" xfId="32542" xr:uid="{D57B2564-FF2E-4EC5-9D7E-DAA7D4A84E5D}"/>
    <cellStyle name="Normal 3 2 22 5 5" xfId="32543" xr:uid="{5A58E998-0A5B-4EEF-AF72-821B5265A063}"/>
    <cellStyle name="Normal 3 2 22 5 6" xfId="32544" xr:uid="{351E71B8-71B3-4430-B3C0-67DB69626300}"/>
    <cellStyle name="Normal 3 2 22 6" xfId="32545" xr:uid="{94FEAF86-B7D3-445E-8F16-4972F23BD2D4}"/>
    <cellStyle name="Normal 3 2 22 6 2" xfId="32546" xr:uid="{B15BD785-0263-4A15-8C1E-8889C566F056}"/>
    <cellStyle name="Normal 3 2 22 6 3" xfId="32547" xr:uid="{7088FE49-BBF9-436A-B3E0-CAA292EEA567}"/>
    <cellStyle name="Normal 3 2 22 6 4" xfId="32548" xr:uid="{DAB5C37B-1FD1-4A51-B0CA-A7B7FDC6EEA4}"/>
    <cellStyle name="Normal 3 2 22 6 5" xfId="32549" xr:uid="{27957C29-9228-4C50-820E-CC2F484EF801}"/>
    <cellStyle name="Normal 3 2 22 6 6" xfId="32550" xr:uid="{1D63CE93-F5FF-40E2-B75B-2B94012091CA}"/>
    <cellStyle name="Normal 3 2 22 7" xfId="32551" xr:uid="{97B16BAE-8C70-48B3-A702-328FC0371662}"/>
    <cellStyle name="Normal 3 2 22 8" xfId="32552" xr:uid="{1EE63A2F-ADF7-44E4-8DA7-8D7F6816C097}"/>
    <cellStyle name="Normal 3 2 22 9" xfId="32553" xr:uid="{27FE70AC-36FE-4277-8F74-B90D11CBDB2E}"/>
    <cellStyle name="Normal 3 2 23" xfId="32554" xr:uid="{CB40BCE0-2AB7-499D-9663-4ECEFFDB338E}"/>
    <cellStyle name="Normal 3 2 23 10" xfId="32555" xr:uid="{7B503F4B-BB58-4642-953A-18790FC16E5F}"/>
    <cellStyle name="Normal 3 2 23 11" xfId="32556" xr:uid="{4BD5278B-8A7E-448F-97F0-15FEE8092ADD}"/>
    <cellStyle name="Normal 3 2 23 2" xfId="32557" xr:uid="{29818A4D-0699-4DAA-BEFF-806F65AF761B}"/>
    <cellStyle name="Normal 3 2 23 2 2" xfId="32558" xr:uid="{6E439D24-6793-46B1-916C-A761A9C4449A}"/>
    <cellStyle name="Normal 3 2 23 2 3" xfId="32559" xr:uid="{46270E81-BBA7-46B3-BB75-8938CBCE52EC}"/>
    <cellStyle name="Normal 3 2 23 2 4" xfId="32560" xr:uid="{334C2E1C-D7A8-48B1-B788-B76B007E7C84}"/>
    <cellStyle name="Normal 3 2 23 2 5" xfId="32561" xr:uid="{CA4EFFE4-09B9-4063-9FB8-88C07E5CFBF5}"/>
    <cellStyle name="Normal 3 2 23 2 6" xfId="32562" xr:uid="{C7D3DB1A-722F-48F8-936E-E3A133782530}"/>
    <cellStyle name="Normal 3 2 23 3" xfId="32563" xr:uid="{9686E4D8-C421-4AF8-9367-31012B4F38AA}"/>
    <cellStyle name="Normal 3 2 23 3 2" xfId="32564" xr:uid="{B0A15D14-A8BB-4B7E-8D06-75793FA5FDFF}"/>
    <cellStyle name="Normal 3 2 23 3 3" xfId="32565" xr:uid="{4A2B1EDB-E14C-4C79-9770-82C2D6B2D63F}"/>
    <cellStyle name="Normal 3 2 23 3 4" xfId="32566" xr:uid="{B82E48FD-23FD-4B2E-B5CF-1688987EA7A5}"/>
    <cellStyle name="Normal 3 2 23 3 5" xfId="32567" xr:uid="{ABE2C747-5FA7-40A0-B4A8-4391641249D8}"/>
    <cellStyle name="Normal 3 2 23 3 6" xfId="32568" xr:uid="{F6F70431-A740-470A-B67D-83C76FEA7FB0}"/>
    <cellStyle name="Normal 3 2 23 4" xfId="32569" xr:uid="{C6E52F5A-D39D-4727-B24D-2E69A7F24143}"/>
    <cellStyle name="Normal 3 2 23 4 2" xfId="32570" xr:uid="{BD81C47E-F5D5-4319-8235-D04A3D8EBEDF}"/>
    <cellStyle name="Normal 3 2 23 4 3" xfId="32571" xr:uid="{5107C738-CFC7-4832-87DE-3DA8A413C0F7}"/>
    <cellStyle name="Normal 3 2 23 4 4" xfId="32572" xr:uid="{AFEBD756-4CF3-4E83-B9EC-AF02E85150B6}"/>
    <cellStyle name="Normal 3 2 23 4 5" xfId="32573" xr:uid="{1848CB99-D7FD-4312-B06E-A9A04E641515}"/>
    <cellStyle name="Normal 3 2 23 4 6" xfId="32574" xr:uid="{FA6B6FD9-B684-4482-BDEB-64296CBA1AB3}"/>
    <cellStyle name="Normal 3 2 23 5" xfId="32575" xr:uid="{4BA0B1CE-40CF-47DB-A48A-3401F7E5317F}"/>
    <cellStyle name="Normal 3 2 23 5 2" xfId="32576" xr:uid="{3547A095-C010-49E4-BB0A-DC9FBC80A514}"/>
    <cellStyle name="Normal 3 2 23 5 3" xfId="32577" xr:uid="{1B03A3C4-D475-444E-88A8-55B20D595785}"/>
    <cellStyle name="Normal 3 2 23 5 4" xfId="32578" xr:uid="{82EDBE7E-C9BC-4AC7-9814-C5747AF167FD}"/>
    <cellStyle name="Normal 3 2 23 5 5" xfId="32579" xr:uid="{295CF526-6922-4261-96E9-BA04B9CE30C9}"/>
    <cellStyle name="Normal 3 2 23 5 6" xfId="32580" xr:uid="{62155D9A-2487-4ED9-9C5F-628659E7BB33}"/>
    <cellStyle name="Normal 3 2 23 6" xfId="32581" xr:uid="{35DCEDC6-0112-4593-8927-D5BBC19FE7F1}"/>
    <cellStyle name="Normal 3 2 23 6 2" xfId="32582" xr:uid="{3874B257-5F7E-4C51-9A33-268A24B4C7F9}"/>
    <cellStyle name="Normal 3 2 23 6 3" xfId="32583" xr:uid="{8B1A6CE7-1AB7-41C0-97C8-7060F8BCE3A8}"/>
    <cellStyle name="Normal 3 2 23 6 4" xfId="32584" xr:uid="{D36E876A-622C-440A-81C2-64944C52EDF3}"/>
    <cellStyle name="Normal 3 2 23 6 5" xfId="32585" xr:uid="{31225F3E-74D6-49F8-ABE9-618F6D4E00B6}"/>
    <cellStyle name="Normal 3 2 23 6 6" xfId="32586" xr:uid="{B0F333C1-377B-4F6C-8328-67EA2B53F926}"/>
    <cellStyle name="Normal 3 2 23 7" xfId="32587" xr:uid="{8656885A-DCA0-476C-9710-BAE6A0B1E1D6}"/>
    <cellStyle name="Normal 3 2 23 8" xfId="32588" xr:uid="{DAAAA2C9-4E44-48AA-B52B-D4721C95BE34}"/>
    <cellStyle name="Normal 3 2 23 9" xfId="32589" xr:uid="{E4B13EDA-32CA-4ABA-AC29-332FA37A274A}"/>
    <cellStyle name="Normal 3 2 24" xfId="32590" xr:uid="{82EE1E08-B49A-4EC4-83C3-24D8A171351C}"/>
    <cellStyle name="Normal 3 2 24 10" xfId="32591" xr:uid="{F8C98347-8099-4264-8B79-1679EC71949A}"/>
    <cellStyle name="Normal 3 2 24 11" xfId="32592" xr:uid="{52652AFE-75C5-4CC3-8D89-52C1B56EFBCD}"/>
    <cellStyle name="Normal 3 2 24 2" xfId="32593" xr:uid="{0963031D-DCFE-4813-92D0-8A85A205F57C}"/>
    <cellStyle name="Normal 3 2 24 2 2" xfId="32594" xr:uid="{78A425CF-6BAD-4A98-ABA3-F60A2D76866C}"/>
    <cellStyle name="Normal 3 2 24 2 3" xfId="32595" xr:uid="{9DC06767-06C8-44A0-B74E-A837BB74A63E}"/>
    <cellStyle name="Normal 3 2 24 2 4" xfId="32596" xr:uid="{0D72A4B9-4992-4BDD-A90B-F65722A80BEF}"/>
    <cellStyle name="Normal 3 2 24 2 5" xfId="32597" xr:uid="{6AA51DDF-ADD8-4A0A-9F0E-B3EE902A732D}"/>
    <cellStyle name="Normal 3 2 24 2 6" xfId="32598" xr:uid="{30A19545-AAEF-45D6-817C-C7C0D46834E3}"/>
    <cellStyle name="Normal 3 2 24 3" xfId="32599" xr:uid="{8AE4C045-4DC9-4602-96D4-CA74BD0B0495}"/>
    <cellStyle name="Normal 3 2 24 3 2" xfId="32600" xr:uid="{3FED1CEA-9AAF-48E6-ACC1-A7018BE52EEF}"/>
    <cellStyle name="Normal 3 2 24 3 3" xfId="32601" xr:uid="{736927DE-298A-436F-9AAD-5E776C7F7B0A}"/>
    <cellStyle name="Normal 3 2 24 3 4" xfId="32602" xr:uid="{F035F00C-6ECD-4C48-8464-ACAD0C56EF4B}"/>
    <cellStyle name="Normal 3 2 24 3 5" xfId="32603" xr:uid="{5476AA46-A11D-4912-8246-3B5502309538}"/>
    <cellStyle name="Normal 3 2 24 3 6" xfId="32604" xr:uid="{9C960E27-0A92-44E0-9371-30131E93539F}"/>
    <cellStyle name="Normal 3 2 24 4" xfId="32605" xr:uid="{13E9AB5E-BFCA-4491-9D8A-602AC6CE7F4E}"/>
    <cellStyle name="Normal 3 2 24 4 2" xfId="32606" xr:uid="{BD7AA2B0-57F4-4D39-8D41-F355192978FC}"/>
    <cellStyle name="Normal 3 2 24 4 3" xfId="32607" xr:uid="{AC911FDE-D8EE-428E-8F3E-029159039D57}"/>
    <cellStyle name="Normal 3 2 24 4 4" xfId="32608" xr:uid="{1A288CDE-E7B2-4293-BA64-AC9B61C34862}"/>
    <cellStyle name="Normal 3 2 24 4 5" xfId="32609" xr:uid="{A5824BAB-87C2-4789-80C9-60B4897C374F}"/>
    <cellStyle name="Normal 3 2 24 4 6" xfId="32610" xr:uid="{C795A18D-1890-4FB6-BD35-60497C860440}"/>
    <cellStyle name="Normal 3 2 24 5" xfId="32611" xr:uid="{02855088-04AE-406D-AD06-742D163B0828}"/>
    <cellStyle name="Normal 3 2 24 5 2" xfId="32612" xr:uid="{8D98E141-A837-4F2B-BEDD-4AA0411E4686}"/>
    <cellStyle name="Normal 3 2 24 5 3" xfId="32613" xr:uid="{1C67410A-44B6-44A1-B130-85EB590F4893}"/>
    <cellStyle name="Normal 3 2 24 5 4" xfId="32614" xr:uid="{28C4259B-1B05-4B9D-B63F-485988DE5EF1}"/>
    <cellStyle name="Normal 3 2 24 5 5" xfId="32615" xr:uid="{61A9A204-68DE-44DA-9E5A-0828CB2348CE}"/>
    <cellStyle name="Normal 3 2 24 5 6" xfId="32616" xr:uid="{F11DD3BD-BA5D-45DA-9C24-C6602E616F3A}"/>
    <cellStyle name="Normal 3 2 24 6" xfId="32617" xr:uid="{F3576877-1918-4681-B4A8-E7AA4A640865}"/>
    <cellStyle name="Normal 3 2 24 6 2" xfId="32618" xr:uid="{EA76C319-DDAB-4D05-8CF6-805BDAB68394}"/>
    <cellStyle name="Normal 3 2 24 6 3" xfId="32619" xr:uid="{92094F7F-F294-4348-B381-C4F77CC1E040}"/>
    <cellStyle name="Normal 3 2 24 6 4" xfId="32620" xr:uid="{08E10B23-D560-48D1-A32D-1F5213D685E6}"/>
    <cellStyle name="Normal 3 2 24 6 5" xfId="32621" xr:uid="{9D537333-2067-4595-8BB3-8180E7466FCF}"/>
    <cellStyle name="Normal 3 2 24 6 6" xfId="32622" xr:uid="{498182A3-47D4-4734-B527-626D167C572F}"/>
    <cellStyle name="Normal 3 2 24 7" xfId="32623" xr:uid="{FD3E0738-C877-4C25-904D-CDE228FFC68D}"/>
    <cellStyle name="Normal 3 2 24 8" xfId="32624" xr:uid="{9D8DB253-2AF8-40D4-960C-48696A7D6F31}"/>
    <cellStyle name="Normal 3 2 24 9" xfId="32625" xr:uid="{9CB3A919-CBAB-4AA2-9C3F-8FDA9EC2D757}"/>
    <cellStyle name="Normal 3 2 25" xfId="32626" xr:uid="{9BA0C420-7200-4DCC-9B2C-79A05015690A}"/>
    <cellStyle name="Normal 3 2 25 10" xfId="32627" xr:uid="{EC6CD31D-4C1F-44A2-93C7-F0DFE6AF1D11}"/>
    <cellStyle name="Normal 3 2 25 11" xfId="32628" xr:uid="{0FA3BBBB-FA3A-4A8B-B60C-0810B3F06A61}"/>
    <cellStyle name="Normal 3 2 25 2" xfId="32629" xr:uid="{D4326CF5-DAAE-4C84-ABCE-607A4136AA6F}"/>
    <cellStyle name="Normal 3 2 25 2 2" xfId="32630" xr:uid="{B803E819-54D6-42DE-B470-815094C2FA9F}"/>
    <cellStyle name="Normal 3 2 25 2 3" xfId="32631" xr:uid="{FA44F3A9-4E6B-4AD1-82FA-A10C690F605E}"/>
    <cellStyle name="Normal 3 2 25 2 4" xfId="32632" xr:uid="{E67401AC-75B0-46A0-A270-FD0E4CA86724}"/>
    <cellStyle name="Normal 3 2 25 2 5" xfId="32633" xr:uid="{DA79F59C-E95A-4E75-9EAA-EE9948D6688F}"/>
    <cellStyle name="Normal 3 2 25 2 6" xfId="32634" xr:uid="{14D7E99F-3D3B-4937-93BB-39C13058185B}"/>
    <cellStyle name="Normal 3 2 25 3" xfId="32635" xr:uid="{355BD94E-2E29-4D94-9751-EF6562441198}"/>
    <cellStyle name="Normal 3 2 25 3 2" xfId="32636" xr:uid="{7C6D1F02-ADD1-4600-82CA-B5275DF66763}"/>
    <cellStyle name="Normal 3 2 25 3 3" xfId="32637" xr:uid="{328B4B3C-3621-43AC-92D3-6C15AF63F17E}"/>
    <cellStyle name="Normal 3 2 25 3 4" xfId="32638" xr:uid="{E8ADC8AB-CCA5-48AF-BCDA-B8CEFBA6A4AE}"/>
    <cellStyle name="Normal 3 2 25 3 5" xfId="32639" xr:uid="{7E2D0B22-F630-43D9-BE9A-328AF787C64A}"/>
    <cellStyle name="Normal 3 2 25 3 6" xfId="32640" xr:uid="{D1CC5B49-7E9E-46DA-B4DD-1E35F425DAC0}"/>
    <cellStyle name="Normal 3 2 25 4" xfId="32641" xr:uid="{99EAC84E-0A19-432C-A15A-367C88779719}"/>
    <cellStyle name="Normal 3 2 25 4 2" xfId="32642" xr:uid="{0BDF439E-57F7-41DD-BC3E-FDD88332DC05}"/>
    <cellStyle name="Normal 3 2 25 4 3" xfId="32643" xr:uid="{1FA9FE09-1C1F-4B68-8DA0-69587BE8A675}"/>
    <cellStyle name="Normal 3 2 25 4 4" xfId="32644" xr:uid="{136B0257-8B6F-4842-8EF5-8ACDB7F14A8F}"/>
    <cellStyle name="Normal 3 2 25 4 5" xfId="32645" xr:uid="{FF898C0A-5182-4C59-B9A5-FB637CABFF26}"/>
    <cellStyle name="Normal 3 2 25 4 6" xfId="32646" xr:uid="{7424BE96-A925-418C-98E2-CD7AD1104BA6}"/>
    <cellStyle name="Normal 3 2 25 5" xfId="32647" xr:uid="{A6C55304-DA82-4806-89E7-F5718FB6DC0A}"/>
    <cellStyle name="Normal 3 2 25 5 2" xfId="32648" xr:uid="{54B557C7-A898-4E3B-9BB8-780EFD06FC45}"/>
    <cellStyle name="Normal 3 2 25 5 3" xfId="32649" xr:uid="{C64C9006-0024-43A7-982F-02445176878B}"/>
    <cellStyle name="Normal 3 2 25 5 4" xfId="32650" xr:uid="{236848B9-BA9F-4589-90D1-646523C54194}"/>
    <cellStyle name="Normal 3 2 25 5 5" xfId="32651" xr:uid="{1EFEFFC5-2BC9-4836-BA36-DB5ACC444903}"/>
    <cellStyle name="Normal 3 2 25 5 6" xfId="32652" xr:uid="{D6361D2E-2019-42BA-B1F0-EE8235810709}"/>
    <cellStyle name="Normal 3 2 25 6" xfId="32653" xr:uid="{46341FD2-732E-413D-A556-8E8A20F12479}"/>
    <cellStyle name="Normal 3 2 25 6 2" xfId="32654" xr:uid="{AB817FDD-B683-44F7-8795-A050AAA29CC4}"/>
    <cellStyle name="Normal 3 2 25 6 3" xfId="32655" xr:uid="{AD14BDFC-84E0-4949-AE1D-2A12691073E5}"/>
    <cellStyle name="Normal 3 2 25 6 4" xfId="32656" xr:uid="{EB4D788D-B11F-44B0-91FF-16DA83771238}"/>
    <cellStyle name="Normal 3 2 25 6 5" xfId="32657" xr:uid="{2BB44DF2-B4D7-4C94-AE96-F7C4D36D8ADF}"/>
    <cellStyle name="Normal 3 2 25 6 6" xfId="32658" xr:uid="{02DE67B8-D8D4-4B3B-BE21-098D2C4D8A98}"/>
    <cellStyle name="Normal 3 2 25 7" xfId="32659" xr:uid="{4BB8E970-4E29-435A-8DCF-C97AEE96C491}"/>
    <cellStyle name="Normal 3 2 25 8" xfId="32660" xr:uid="{4DCD2C5B-7BC4-4581-B5E3-135531B65B9B}"/>
    <cellStyle name="Normal 3 2 25 9" xfId="32661" xr:uid="{2CD9E39F-53E8-44DE-9189-55AA31359FA8}"/>
    <cellStyle name="Normal 3 2 26" xfId="32662" xr:uid="{38E20DA3-162E-4C41-A455-485B446BAC32}"/>
    <cellStyle name="Normal 3 2 26 10" xfId="32663" xr:uid="{5286F0AE-1561-482C-AAA4-13ED4F8DB467}"/>
    <cellStyle name="Normal 3 2 26 11" xfId="32664" xr:uid="{2FD485CD-F53B-4C5D-A247-0AE02BC8D069}"/>
    <cellStyle name="Normal 3 2 26 2" xfId="32665" xr:uid="{E6AA8E39-8097-4ACD-96A2-FCAF50E353B1}"/>
    <cellStyle name="Normal 3 2 26 2 2" xfId="32666" xr:uid="{B695285C-59BA-4074-BB09-C8091131495D}"/>
    <cellStyle name="Normal 3 2 26 2 3" xfId="32667" xr:uid="{043C2A42-A06B-4CE7-8786-C481C48337E5}"/>
    <cellStyle name="Normal 3 2 26 2 4" xfId="32668" xr:uid="{B59FD5F3-4704-4284-8377-7BB4477DB6E1}"/>
    <cellStyle name="Normal 3 2 26 2 5" xfId="32669" xr:uid="{9B20CF66-222B-4D86-9F07-32EF4885599D}"/>
    <cellStyle name="Normal 3 2 26 2 6" xfId="32670" xr:uid="{B6D0004E-DC58-4EB0-B265-C9575B4D5C7B}"/>
    <cellStyle name="Normal 3 2 26 3" xfId="32671" xr:uid="{20BBFEBE-9F67-409A-A54E-7FD7A8919A92}"/>
    <cellStyle name="Normal 3 2 26 3 2" xfId="32672" xr:uid="{50E2FBCA-AEB6-45F3-B316-AF8245FCED0B}"/>
    <cellStyle name="Normal 3 2 26 3 3" xfId="32673" xr:uid="{474AE550-67F3-495D-B807-802942993287}"/>
    <cellStyle name="Normal 3 2 26 3 4" xfId="32674" xr:uid="{040D83FA-2C9D-4228-B1AB-E26987D41706}"/>
    <cellStyle name="Normal 3 2 26 3 5" xfId="32675" xr:uid="{EF5EB348-D9AE-4DF8-A150-DDFC6B4D18BA}"/>
    <cellStyle name="Normal 3 2 26 3 6" xfId="32676" xr:uid="{1EA70C13-4FBB-44A3-AA2B-AD69C7CEAFC1}"/>
    <cellStyle name="Normal 3 2 26 4" xfId="32677" xr:uid="{4FBF836E-3FDE-476F-8E93-59760D6DE6E5}"/>
    <cellStyle name="Normal 3 2 26 4 2" xfId="32678" xr:uid="{48321AC8-A650-48E1-A7AF-C984A537F637}"/>
    <cellStyle name="Normal 3 2 26 4 3" xfId="32679" xr:uid="{A326DFC1-011B-4891-9235-8A92968BC147}"/>
    <cellStyle name="Normal 3 2 26 4 4" xfId="32680" xr:uid="{180D0CB3-73C7-4FAC-AC60-B966906C2291}"/>
    <cellStyle name="Normal 3 2 26 4 5" xfId="32681" xr:uid="{D61F45B6-4BFA-43A2-B118-EB9A8ABD6D04}"/>
    <cellStyle name="Normal 3 2 26 4 6" xfId="32682" xr:uid="{C84859E7-348C-4DE6-A95E-6873B39CBA16}"/>
    <cellStyle name="Normal 3 2 26 5" xfId="32683" xr:uid="{3BCCD0EA-7054-4A5B-AD7E-92AFAF1669FD}"/>
    <cellStyle name="Normal 3 2 26 5 2" xfId="32684" xr:uid="{B3DA7D62-F40A-4328-B093-B98DA733C345}"/>
    <cellStyle name="Normal 3 2 26 5 3" xfId="32685" xr:uid="{E64771E4-6B80-4ED8-A665-00416A586E8F}"/>
    <cellStyle name="Normal 3 2 26 5 4" xfId="32686" xr:uid="{DB632E1F-C242-477B-B54B-86D491DA7E5D}"/>
    <cellStyle name="Normal 3 2 26 5 5" xfId="32687" xr:uid="{84E58819-ABA6-4DA0-8CD7-5C1DA394E245}"/>
    <cellStyle name="Normal 3 2 26 5 6" xfId="32688" xr:uid="{046C2AE3-2EF0-4215-8784-8560B8EDC8F5}"/>
    <cellStyle name="Normal 3 2 26 6" xfId="32689" xr:uid="{18C80F28-0A81-4652-BF38-CD086661DDAE}"/>
    <cellStyle name="Normal 3 2 26 6 2" xfId="32690" xr:uid="{52050090-7BFE-4325-B905-AB0DC424B4BC}"/>
    <cellStyle name="Normal 3 2 26 6 3" xfId="32691" xr:uid="{1EABED2E-1BD4-4511-A4B9-AAFFC0A2B528}"/>
    <cellStyle name="Normal 3 2 26 6 4" xfId="32692" xr:uid="{12FF0163-7408-4C3B-AF33-5040E4C5736A}"/>
    <cellStyle name="Normal 3 2 26 6 5" xfId="32693" xr:uid="{6C0212BB-8279-4286-9530-1B7BB35F89C7}"/>
    <cellStyle name="Normal 3 2 26 6 6" xfId="32694" xr:uid="{DB0602EC-CB92-42F8-978A-EA552C845194}"/>
    <cellStyle name="Normal 3 2 26 7" xfId="32695" xr:uid="{A4556D4B-D1E7-48A2-B15E-FF7C64CAC251}"/>
    <cellStyle name="Normal 3 2 26 8" xfId="32696" xr:uid="{7651A913-511B-4830-A902-3D2C46D9716C}"/>
    <cellStyle name="Normal 3 2 26 9" xfId="32697" xr:uid="{AC38D9A1-0EC3-406C-A64C-A7DA77F4C752}"/>
    <cellStyle name="Normal 3 2 27" xfId="32698" xr:uid="{8691DDCD-56C0-41DD-B11E-33765F63EB4E}"/>
    <cellStyle name="Normal 3 2 27 10" xfId="32699" xr:uid="{8639D0F5-03BB-413B-9B3D-F890521FE5AA}"/>
    <cellStyle name="Normal 3 2 27 11" xfId="32700" xr:uid="{A9EA4181-9298-4FC7-B03A-4693561E335C}"/>
    <cellStyle name="Normal 3 2 27 2" xfId="32701" xr:uid="{CE39389C-913D-454A-9C40-F96270EB1CEE}"/>
    <cellStyle name="Normal 3 2 27 2 2" xfId="32702" xr:uid="{5CD3B10C-CC8A-4676-9037-B14FF1335183}"/>
    <cellStyle name="Normal 3 2 27 2 3" xfId="32703" xr:uid="{F67978E1-76B7-4F6E-BE8B-5A86B37F59CB}"/>
    <cellStyle name="Normal 3 2 27 2 4" xfId="32704" xr:uid="{68789E5C-F3EF-4D7B-857C-93991BFE428D}"/>
    <cellStyle name="Normal 3 2 27 2 5" xfId="32705" xr:uid="{6367B816-702C-4675-87A3-DE680C6A1D93}"/>
    <cellStyle name="Normal 3 2 27 2 6" xfId="32706" xr:uid="{7EA8DD7A-C048-4DCB-AE5C-28EEF416666D}"/>
    <cellStyle name="Normal 3 2 27 3" xfId="32707" xr:uid="{06BBC31C-5404-4012-A432-874EFF47BAC3}"/>
    <cellStyle name="Normal 3 2 27 3 2" xfId="32708" xr:uid="{86D53151-6F81-494D-B747-0D1C8ABD183E}"/>
    <cellStyle name="Normal 3 2 27 3 3" xfId="32709" xr:uid="{2C56929A-B93C-47D8-9295-D83F9F743F5A}"/>
    <cellStyle name="Normal 3 2 27 3 4" xfId="32710" xr:uid="{8E68A0FD-DBA4-46A9-A4B6-BD5722B5C0D4}"/>
    <cellStyle name="Normal 3 2 27 3 5" xfId="32711" xr:uid="{F1924E74-11C3-49B5-80B0-5EF09862D672}"/>
    <cellStyle name="Normal 3 2 27 3 6" xfId="32712" xr:uid="{12152BA9-BE2E-4744-9BFD-E3CA1F4741DD}"/>
    <cellStyle name="Normal 3 2 27 4" xfId="32713" xr:uid="{EDDAA3FB-7D56-4EC5-861E-C4A7CC194C25}"/>
    <cellStyle name="Normal 3 2 27 4 2" xfId="32714" xr:uid="{8B16DD38-C451-4C68-9175-D2ADDA522256}"/>
    <cellStyle name="Normal 3 2 27 4 3" xfId="32715" xr:uid="{3766B123-8965-429B-9994-37EE51402307}"/>
    <cellStyle name="Normal 3 2 27 4 4" xfId="32716" xr:uid="{E122DE37-6945-4F89-A8BF-BD8C368877B6}"/>
    <cellStyle name="Normal 3 2 27 4 5" xfId="32717" xr:uid="{8C1B7071-CD7A-49A3-9D6A-9AB665E2B948}"/>
    <cellStyle name="Normal 3 2 27 4 6" xfId="32718" xr:uid="{52C436C2-8F54-4EBB-8467-F3F4E60E6693}"/>
    <cellStyle name="Normal 3 2 27 5" xfId="32719" xr:uid="{7890FD82-FF33-47EF-BE17-6174EB7584E1}"/>
    <cellStyle name="Normal 3 2 27 5 2" xfId="32720" xr:uid="{90CD18AD-99A8-474C-B78A-B8E75C202676}"/>
    <cellStyle name="Normal 3 2 27 5 3" xfId="32721" xr:uid="{0E931D39-A5E0-4053-BC14-D140B02D255A}"/>
    <cellStyle name="Normal 3 2 27 5 4" xfId="32722" xr:uid="{F8AC2C10-967A-43ED-A761-F2C65CCEEC32}"/>
    <cellStyle name="Normal 3 2 27 5 5" xfId="32723" xr:uid="{30CDEC62-D398-4288-8196-B284ED47504A}"/>
    <cellStyle name="Normal 3 2 27 5 6" xfId="32724" xr:uid="{1CADC2F3-E86B-4F3F-8DA7-8589D57C91FB}"/>
    <cellStyle name="Normal 3 2 27 6" xfId="32725" xr:uid="{B67D20CF-C31A-41E8-B4B9-FB5AD917AFE7}"/>
    <cellStyle name="Normal 3 2 27 6 2" xfId="32726" xr:uid="{6DB645D7-B328-43BD-8A16-007900C05F22}"/>
    <cellStyle name="Normal 3 2 27 6 3" xfId="32727" xr:uid="{C9C05473-0324-41D8-8D85-73568049C23B}"/>
    <cellStyle name="Normal 3 2 27 6 4" xfId="32728" xr:uid="{E02B8D7B-F5ED-460B-B497-C7162947A062}"/>
    <cellStyle name="Normal 3 2 27 6 5" xfId="32729" xr:uid="{715048CB-8064-49EF-AF34-3C451112F64A}"/>
    <cellStyle name="Normal 3 2 27 6 6" xfId="32730" xr:uid="{3768F1F5-C882-4FA8-8CE5-0F65ED4A2D25}"/>
    <cellStyle name="Normal 3 2 27 7" xfId="32731" xr:uid="{75708D4E-A88D-4D7F-A661-1D039212B2F2}"/>
    <cellStyle name="Normal 3 2 27 8" xfId="32732" xr:uid="{DA9193E2-011F-4240-9F25-B3E36B4E4BF9}"/>
    <cellStyle name="Normal 3 2 27 9" xfId="32733" xr:uid="{C8381C7A-5F4F-4EC8-A7FB-6D712A24589F}"/>
    <cellStyle name="Normal 3 2 28" xfId="32734" xr:uid="{B2FF549F-D770-4BE5-9167-36BE93AC5A03}"/>
    <cellStyle name="Normal 3 2 28 10" xfId="32735" xr:uid="{5E9E03FA-4413-4FB5-B4E2-82D88DFDE4BB}"/>
    <cellStyle name="Normal 3 2 28 11" xfId="32736" xr:uid="{A2D0FA8B-5727-48E1-A3C6-7C1CD4588B85}"/>
    <cellStyle name="Normal 3 2 28 2" xfId="32737" xr:uid="{0977B6E5-E0E9-4F7C-BFA6-0D607B1DB314}"/>
    <cellStyle name="Normal 3 2 28 2 2" xfId="32738" xr:uid="{D6351773-48FD-4814-B0FE-FBB9E52D54C3}"/>
    <cellStyle name="Normal 3 2 28 2 2 2" xfId="32739" xr:uid="{BB671CF1-8B54-4EFF-96A8-5B2E95E9BB40}"/>
    <cellStyle name="Normal 3 2 28 2 2 3" xfId="32740" xr:uid="{64022DC0-A873-4B6E-ABAD-ADFEAEBAF95C}"/>
    <cellStyle name="Normal 3 2 28 2 2 4" xfId="32741" xr:uid="{3DD75E7B-7F9E-4289-A5F1-D6B660CD7CB2}"/>
    <cellStyle name="Normal 3 2 28 2 2 5" xfId="32742" xr:uid="{D385FC22-3CCE-4C22-93EA-BC9CD289D0BE}"/>
    <cellStyle name="Normal 3 2 28 2 2 6" xfId="32743" xr:uid="{6BA6000F-E725-427F-AD36-993A0422B902}"/>
    <cellStyle name="Normal 3 2 28 2 2 7" xfId="32744" xr:uid="{146BFBD0-5DB8-4C98-BA10-83C53069484D}"/>
    <cellStyle name="Normal 3 2 28 3" xfId="32745" xr:uid="{E37B5711-27E4-433B-A7A8-2CDFA7146BFC}"/>
    <cellStyle name="Normal 3 2 28 4" xfId="32746" xr:uid="{712A8AE4-6BDE-48B8-BDF3-23BD1AB1700C}"/>
    <cellStyle name="Normal 3 2 28 5" xfId="32747" xr:uid="{F75F27BB-8110-4F4B-A5F1-654C2FDD6479}"/>
    <cellStyle name="Normal 3 2 28 6" xfId="32748" xr:uid="{42F2BD30-28E3-43D1-B7A0-C17AF4540E5B}"/>
    <cellStyle name="Normal 3 2 28 7" xfId="32749" xr:uid="{B01EAFD5-D55F-4BC0-9710-42B765741CDF}"/>
    <cellStyle name="Normal 3 2 28 8" xfId="32750" xr:uid="{B729C90E-6415-4DE2-913F-78B548B7160F}"/>
    <cellStyle name="Normal 3 2 28 9" xfId="32751" xr:uid="{7E768F7B-F999-4D47-B0D9-FEB64396816C}"/>
    <cellStyle name="Normal 3 2 29" xfId="32752" xr:uid="{7EED1706-04FA-4BEF-85F9-8879D78C90F8}"/>
    <cellStyle name="Normal 3 2 29 2" xfId="32753" xr:uid="{DB392894-6B54-45E7-AB54-303BFC714988}"/>
    <cellStyle name="Normal 3 2 29 2 2" xfId="32754" xr:uid="{CC257BB0-38DB-4596-B2E8-5A892E061C94}"/>
    <cellStyle name="Normal 3 2 29 2 2 2" xfId="32755" xr:uid="{56E02F1D-9743-49D3-A940-AAF6EDBF7DCD}"/>
    <cellStyle name="Normal 3 2 29 2 2 3" xfId="32756" xr:uid="{F1BBD646-B2ED-40ED-AD37-4B55943EEF69}"/>
    <cellStyle name="Normal 3 2 29 2 2 4" xfId="32757" xr:uid="{63B53C3A-7191-4135-A997-2A1DE478CF3D}"/>
    <cellStyle name="Normal 3 2 29 2 2 5" xfId="32758" xr:uid="{9236CDFB-7D01-40F9-B1BD-36B8C3873215}"/>
    <cellStyle name="Normal 3 2 29 2 2 6" xfId="32759" xr:uid="{9C52FAF8-E395-40D0-BB93-91FA23CB9AC0}"/>
    <cellStyle name="Normal 3 2 29 3" xfId="32760" xr:uid="{C4F9093C-CD98-4CC5-9615-7163E10D2C67}"/>
    <cellStyle name="Normal 3 2 29 4" xfId="32761" xr:uid="{7A9F8BE0-9C77-41D1-BAB5-3333231BC3F7}"/>
    <cellStyle name="Normal 3 2 29 5" xfId="32762" xr:uid="{93AB5827-E9E2-44B2-ABD2-412CCF66860C}"/>
    <cellStyle name="Normal 3 2 29 6" xfId="32763" xr:uid="{E6326376-37EE-4908-948E-0A1C87EEFAF6}"/>
    <cellStyle name="Normal 3 2 29 7" xfId="32764" xr:uid="{6048C998-C5F9-4824-9BF4-212F7AED4F38}"/>
    <cellStyle name="Normal 3 2 3" xfId="32765" xr:uid="{BEC75E95-F25D-4DC2-B448-A4F2758CE8AD}"/>
    <cellStyle name="Normal 3 2 3 10" xfId="32766" xr:uid="{4F8ABEEA-D422-47C3-96A4-3D33E7B79B2D}"/>
    <cellStyle name="Normal 3 2 3 11" xfId="32767" xr:uid="{C0BA65DE-84F1-439E-8DB3-67D6DD3600B5}"/>
    <cellStyle name="Normal 3 2 3 12" xfId="32768" xr:uid="{6A69D96E-DDFC-4A9F-951F-B8C1E3955ED8}"/>
    <cellStyle name="Normal 3 2 3 2" xfId="32769" xr:uid="{F3C5BB76-7868-4251-A5C0-A864CF469D13}"/>
    <cellStyle name="Normal 3 2 3 2 2" xfId="32770" xr:uid="{F5B53278-3D36-4E7F-BD1F-50ACC797365E}"/>
    <cellStyle name="Normal 3 2 3 2 3" xfId="32771" xr:uid="{55926E71-24B7-4B87-AAEF-B1E19F17A277}"/>
    <cellStyle name="Normal 3 2 3 2 4" xfId="32772" xr:uid="{167E0A56-5117-4F9C-9121-908F62A2A10C}"/>
    <cellStyle name="Normal 3 2 3 2 5" xfId="32773" xr:uid="{EC2673E9-1F5F-4FE1-901E-782C569FACA7}"/>
    <cellStyle name="Normal 3 2 3 2 6" xfId="32774" xr:uid="{791E1258-D5E3-45C8-8D6B-66727859CD18}"/>
    <cellStyle name="Normal 3 2 3 3" xfId="32775" xr:uid="{D8729047-2022-45B0-A74F-E1CB14977973}"/>
    <cellStyle name="Normal 3 2 3 3 2" xfId="32776" xr:uid="{1590CB65-8732-4865-B752-8BCA5B6512D8}"/>
    <cellStyle name="Normal 3 2 3 3 3" xfId="32777" xr:uid="{29D82385-D56E-4C98-9D52-16C780509D15}"/>
    <cellStyle name="Normal 3 2 3 3 4" xfId="32778" xr:uid="{3DCB2426-C285-44B5-A3AB-73A6AAB5F12E}"/>
    <cellStyle name="Normal 3 2 3 3 5" xfId="32779" xr:uid="{CA50CC42-3F7A-481D-858B-3590DE672955}"/>
    <cellStyle name="Normal 3 2 3 3 6" xfId="32780" xr:uid="{96F55FC0-E3C4-483B-8578-A6E086A1F3A6}"/>
    <cellStyle name="Normal 3 2 3 4" xfId="32781" xr:uid="{A7D738BF-BD42-4F52-946A-6E28F8251E17}"/>
    <cellStyle name="Normal 3 2 3 4 2" xfId="32782" xr:uid="{86FFD84E-357A-4A6D-89B6-E38965A6230F}"/>
    <cellStyle name="Normal 3 2 3 4 3" xfId="32783" xr:uid="{40ABC974-7679-4B62-9AC0-F5D0FE339DCA}"/>
    <cellStyle name="Normal 3 2 3 4 4" xfId="32784" xr:uid="{C18E3B8C-8C88-4329-B91D-EEA8E3AEF4CF}"/>
    <cellStyle name="Normal 3 2 3 4 5" xfId="32785" xr:uid="{D2B07CFB-D6E4-4B3B-9C18-AC4A6669801F}"/>
    <cellStyle name="Normal 3 2 3 4 6" xfId="32786" xr:uid="{D82E76A4-42D9-4D53-AEF8-F1AA919D10BE}"/>
    <cellStyle name="Normal 3 2 3 5" xfId="32787" xr:uid="{6E977F0D-67D5-42EF-A2DA-9D2E94FB699A}"/>
    <cellStyle name="Normal 3 2 3 5 2" xfId="32788" xr:uid="{DA9CB5E9-A8EA-48D7-97C4-40B702E90F80}"/>
    <cellStyle name="Normal 3 2 3 5 3" xfId="32789" xr:uid="{220C3915-A96F-456A-89E2-1001105EAB81}"/>
    <cellStyle name="Normal 3 2 3 5 4" xfId="32790" xr:uid="{60E04BCA-F1AE-4366-BE2C-7721B68A9B5A}"/>
    <cellStyle name="Normal 3 2 3 5 5" xfId="32791" xr:uid="{4EDD5BD5-7464-470A-A43D-475494372616}"/>
    <cellStyle name="Normal 3 2 3 5 6" xfId="32792" xr:uid="{EFBD3C82-9AA8-4F32-B2EA-2E8D8B40959D}"/>
    <cellStyle name="Normal 3 2 3 6" xfId="32793" xr:uid="{7B54BE80-C28A-470F-B2E1-AF1DBF0018C0}"/>
    <cellStyle name="Normal 3 2 3 6 2" xfId="32794" xr:uid="{49818DEC-FDAE-42B5-AAE2-C4140A5F2159}"/>
    <cellStyle name="Normal 3 2 3 6 3" xfId="32795" xr:uid="{30330001-885A-4802-AB9D-999BA6D79DD1}"/>
    <cellStyle name="Normal 3 2 3 6 4" xfId="32796" xr:uid="{7D41F7B9-E532-4251-B9DC-F80CA0920541}"/>
    <cellStyle name="Normal 3 2 3 6 5" xfId="32797" xr:uid="{346939F6-D76B-494F-A70C-FEE229816255}"/>
    <cellStyle name="Normal 3 2 3 6 6" xfId="32798" xr:uid="{7B1212CE-940F-4346-AC98-47388B582A64}"/>
    <cellStyle name="Normal 3 2 3 7" xfId="32799" xr:uid="{CC2969B3-D2B4-4AD8-A407-8CDD3DBE5C5F}"/>
    <cellStyle name="Normal 3 2 3 8" xfId="32800" xr:uid="{33EFF770-7013-4C19-8734-86F231DBD6EE}"/>
    <cellStyle name="Normal 3 2 3 9" xfId="32801" xr:uid="{193D0C2C-584D-42DF-B047-D289A5A03792}"/>
    <cellStyle name="Normal 3 2 30" xfId="32802" xr:uid="{45989440-3872-4B0F-9EC7-B527DB089EBC}"/>
    <cellStyle name="Normal 3 2 30 2" xfId="32803" xr:uid="{F0A8FDC2-2E51-4ACF-A3D7-C528C134348A}"/>
    <cellStyle name="Normal 3 2 30 3" xfId="32804" xr:uid="{ED031224-7017-443B-B326-17EC8B7F684A}"/>
    <cellStyle name="Normal 3 2 30 4" xfId="32805" xr:uid="{225F37E8-998A-4C45-BAE0-ADB6335FED69}"/>
    <cellStyle name="Normal 3 2 30 5" xfId="32806" xr:uid="{DC017DB0-F95A-4BEA-9807-BA469FA42E22}"/>
    <cellStyle name="Normal 3 2 30 6" xfId="32807" xr:uid="{6A80A43F-FA62-484D-9BE8-7327B0E3A263}"/>
    <cellStyle name="Normal 3 2 31" xfId="32808" xr:uid="{CB4E68E5-E8CD-4592-9A37-7F6F3E3851EF}"/>
    <cellStyle name="Normal 3 2 31 2" xfId="32809" xr:uid="{A007E0F7-C1F5-4201-84EB-906E1EF00CD6}"/>
    <cellStyle name="Normal 3 2 31 3" xfId="32810" xr:uid="{210DB4AA-8AB8-4FD8-AB4B-7AF2B9ECE029}"/>
    <cellStyle name="Normal 3 2 31 4" xfId="32811" xr:uid="{39373428-33C8-4C5A-AEA6-B5695B9100A2}"/>
    <cellStyle name="Normal 3 2 31 5" xfId="32812" xr:uid="{09719CD7-DCC7-4562-A8B2-45E5532AA501}"/>
    <cellStyle name="Normal 3 2 31 6" xfId="32813" xr:uid="{8134AF77-D556-4943-9D92-DE12AE34ED63}"/>
    <cellStyle name="Normal 3 2 32" xfId="32814" xr:uid="{3B498EAF-F189-4399-B65C-A10596A9CD13}"/>
    <cellStyle name="Normal 3 2 32 2" xfId="32815" xr:uid="{6354D297-1535-459C-89B5-59C2E82E24D1}"/>
    <cellStyle name="Normal 3 2 32 3" xfId="32816" xr:uid="{79D6CA14-0DA5-4E83-BACD-2264EAC2A79E}"/>
    <cellStyle name="Normal 3 2 32 4" xfId="32817" xr:uid="{547F058F-9888-46C2-B119-B1CF722D370E}"/>
    <cellStyle name="Normal 3 2 32 5" xfId="32818" xr:uid="{BC2BD923-14F3-4580-B74D-DDEEA673114A}"/>
    <cellStyle name="Normal 3 2 32 6" xfId="32819" xr:uid="{626FDAC1-37F1-4743-A6A9-478ECD1312C0}"/>
    <cellStyle name="Normal 3 2 33" xfId="32820" xr:uid="{AA2C96E2-1A86-4236-BE84-4D28F2A75798}"/>
    <cellStyle name="Normal 3 2 34" xfId="32821" xr:uid="{83E5DC24-86D0-4375-BC74-62A4A05ED1AA}"/>
    <cellStyle name="Normal 3 2 35" xfId="32822" xr:uid="{9C137A46-4F9C-49E8-81D9-2E3D1D2F5D68}"/>
    <cellStyle name="Normal 3 2 36" xfId="32823" xr:uid="{EA132E9C-40D2-4FE9-AE1B-E99471B38152}"/>
    <cellStyle name="Normal 3 2 37" xfId="32824" xr:uid="{954C227F-E393-4FC3-8560-059EED7BA246}"/>
    <cellStyle name="Normal 3 2 38" xfId="32825" xr:uid="{0BF3E5D7-4B2C-4B22-855A-8459068934D4}"/>
    <cellStyle name="Normal 3 2 38 10" xfId="32826" xr:uid="{C76EF14B-3A08-4950-B75B-9ADD1FA60068}"/>
    <cellStyle name="Normal 3 2 38 11" xfId="32827" xr:uid="{49EB2647-8207-4D6F-8E84-A66B9D1A2429}"/>
    <cellStyle name="Normal 3 2 38 11 10" xfId="32828" xr:uid="{D08CCCED-14CF-4A58-9E8B-E5A2F3D43D3E}"/>
    <cellStyle name="Normal 3 2 38 11 11" xfId="32829" xr:uid="{B8012757-F743-46B9-93C0-1EFC5E5B672F}"/>
    <cellStyle name="Normal 3 2 38 11 11 2" xfId="32830" xr:uid="{7382AFF3-F42E-4091-8E0A-5DA75F3DAC71}"/>
    <cellStyle name="Normal 3 2 38 11 11 3" xfId="32831" xr:uid="{EAB44197-6AF4-484D-80D8-706AA5D52224}"/>
    <cellStyle name="Normal 3 2 38 11 11 4" xfId="32832" xr:uid="{74B55698-C04F-44D4-88E0-5F283375DE3B}"/>
    <cellStyle name="Normal 3 2 38 11 12" xfId="32833" xr:uid="{AAAE918A-5F36-47E0-877F-B5AC4CA4B963}"/>
    <cellStyle name="Normal 3 2 38 11 13" xfId="32834" xr:uid="{2CC74120-D815-419C-A4A4-49C2703AC673}"/>
    <cellStyle name="Normal 3 2 38 11 14" xfId="32835" xr:uid="{7540E19B-EF27-436F-A573-4A48D16F95ED}"/>
    <cellStyle name="Normal 3 2 38 11 2" xfId="32836" xr:uid="{AD2070F7-EB66-435B-9640-F55029011671}"/>
    <cellStyle name="Normal 3 2 38 11 2 10" xfId="32837" xr:uid="{EC6A2A9F-1F97-4F65-8114-B7B0A9C4757D}"/>
    <cellStyle name="Normal 3 2 38 11 2 11" xfId="32838" xr:uid="{71D80CCD-AA09-4815-9115-08155181B247}"/>
    <cellStyle name="Normal 3 2 38 11 2 2" xfId="32839" xr:uid="{53ACAD20-767A-4FBF-9303-830E059954FD}"/>
    <cellStyle name="Normal 3 2 38 11 2 2 10" xfId="32840" xr:uid="{0B6BCDF5-44AE-442B-B032-A6DB7389AB14}"/>
    <cellStyle name="Normal 3 2 38 11 2 2 11" xfId="32841" xr:uid="{47519A5C-5707-4192-954E-30BE5804D6DB}"/>
    <cellStyle name="Normal 3 2 38 11 2 2 2" xfId="32842" xr:uid="{44F989CD-55DA-4F48-BB7F-BDD1FDA48295}"/>
    <cellStyle name="Normal 3 2 38 11 2 2 2 2" xfId="32843" xr:uid="{4530540D-EEED-40B5-BA70-2FDFA1D3F15F}"/>
    <cellStyle name="Normal 3 2 38 11 2 2 2 2 2" xfId="32844" xr:uid="{BD9D06E8-82E6-42CE-9F1F-74B5B00B5298}"/>
    <cellStyle name="Normal 3 2 38 11 2 2 2 2 3" xfId="32845" xr:uid="{1F9B8DC1-A982-4F98-ADB9-998ED722A4AA}"/>
    <cellStyle name="Normal 3 2 38 11 2 2 2 2 4" xfId="32846" xr:uid="{30B06FF0-418D-4C71-90FA-019D91BBAA14}"/>
    <cellStyle name="Normal 3 2 38 11 2 2 2 3" xfId="32847" xr:uid="{1FA34634-8F9F-4F32-8D03-FAA29713C5E3}"/>
    <cellStyle name="Normal 3 2 38 11 2 2 2 4" xfId="32848" xr:uid="{8BC09635-3BFC-4C12-B079-D9029048D98A}"/>
    <cellStyle name="Normal 3 2 38 11 2 2 2 5" xfId="32849" xr:uid="{FF55FC58-1984-440A-9FE4-36C4FB2BDE92}"/>
    <cellStyle name="Normal 3 2 38 11 2 2 2 6" xfId="32850" xr:uid="{C327C8A2-F87F-4CBD-AE13-B022D421CA9F}"/>
    <cellStyle name="Normal 3 2 38 11 2 2 3" xfId="32851" xr:uid="{C99EC9E1-3DDB-4AF7-8C36-0EAA7AD2A53A}"/>
    <cellStyle name="Normal 3 2 38 11 2 2 4" xfId="32852" xr:uid="{2572BAE9-BE4A-40A5-9092-8DECA8CEFAB3}"/>
    <cellStyle name="Normal 3 2 38 11 2 2 5" xfId="32853" xr:uid="{A64C5237-D6C8-40AC-9760-11FB623F4231}"/>
    <cellStyle name="Normal 3 2 38 11 2 2 6" xfId="32854" xr:uid="{2968E5A1-AE3A-4761-AB6F-B1164B0ADAF2}"/>
    <cellStyle name="Normal 3 2 38 11 2 2 7" xfId="32855" xr:uid="{60E3DC12-88B0-47E8-A9A9-A089B409ABAB}"/>
    <cellStyle name="Normal 3 2 38 11 2 2 8" xfId="32856" xr:uid="{E032F4E2-9955-413A-9403-2DE954E92355}"/>
    <cellStyle name="Normal 3 2 38 11 2 2 8 2" xfId="32857" xr:uid="{9219FEEF-E662-4BA9-91AC-D2D1BE69AD1F}"/>
    <cellStyle name="Normal 3 2 38 11 2 2 8 3" xfId="32858" xr:uid="{F9408829-6056-4987-877E-C08F064F1C46}"/>
    <cellStyle name="Normal 3 2 38 11 2 2 8 4" xfId="32859" xr:uid="{93D56430-C983-4FB3-96BC-647BB1615A9F}"/>
    <cellStyle name="Normal 3 2 38 11 2 2 9" xfId="32860" xr:uid="{41E5085F-5EB3-4928-BB61-D55B3F21BBE2}"/>
    <cellStyle name="Normal 3 2 38 11 2 3" xfId="32861" xr:uid="{6516358E-8159-49E4-BC75-71A3D00247F7}"/>
    <cellStyle name="Normal 3 2 38 11 2 3 2" xfId="32862" xr:uid="{F015CF59-F83E-46BD-B34A-1F997F071BD7}"/>
    <cellStyle name="Normal 3 2 38 11 2 3 2 2" xfId="32863" xr:uid="{85DE4BE7-A4FE-421A-A7CA-78C46DB1372C}"/>
    <cellStyle name="Normal 3 2 38 11 2 3 2 3" xfId="32864" xr:uid="{E72D8D24-AD94-4965-9905-626CC66C31B8}"/>
    <cellStyle name="Normal 3 2 38 11 2 3 2 4" xfId="32865" xr:uid="{B29B7A9C-9782-4294-96F8-4572A92DAD71}"/>
    <cellStyle name="Normal 3 2 38 11 2 3 3" xfId="32866" xr:uid="{773E2976-5288-42D2-A3E6-0F8E679C3C06}"/>
    <cellStyle name="Normal 3 2 38 11 2 3 4" xfId="32867" xr:uid="{45ABE49F-D2F6-4376-B99D-D99F237E242A}"/>
    <cellStyle name="Normal 3 2 38 11 2 3 5" xfId="32868" xr:uid="{5E725CD5-E630-4177-9460-79AD2E45323C}"/>
    <cellStyle name="Normal 3 2 38 11 2 3 6" xfId="32869" xr:uid="{C3B129E4-A10C-4129-BC4A-B18CD085A534}"/>
    <cellStyle name="Normal 3 2 38 11 2 4" xfId="32870" xr:uid="{7F670D92-E9C3-4F65-B132-A6B3D8E968BF}"/>
    <cellStyle name="Normal 3 2 38 11 2 5" xfId="32871" xr:uid="{A6F4C755-1594-4723-9E4A-33E0A056EC02}"/>
    <cellStyle name="Normal 3 2 38 11 2 6" xfId="32872" xr:uid="{A8199FB9-ECEC-4A0A-B1EC-C3B76B4C6EAC}"/>
    <cellStyle name="Normal 3 2 38 11 2 7" xfId="32873" xr:uid="{9A848FFD-017A-49CB-B5D6-AC6931C31922}"/>
    <cellStyle name="Normal 3 2 38 11 2 8" xfId="32874" xr:uid="{5F105998-3445-429F-AE13-198F04F625B6}"/>
    <cellStyle name="Normal 3 2 38 11 2 8 2" xfId="32875" xr:uid="{DD8542E3-E5B0-484C-8D0B-A704F37AC5F0}"/>
    <cellStyle name="Normal 3 2 38 11 2 8 3" xfId="32876" xr:uid="{4A04AC99-2EDD-40ED-862B-7F5C870D9CF2}"/>
    <cellStyle name="Normal 3 2 38 11 2 8 4" xfId="32877" xr:uid="{1B364C8C-9A39-4BFA-8D41-1CA91F93E1FF}"/>
    <cellStyle name="Normal 3 2 38 11 2 9" xfId="32878" xr:uid="{0CA2D786-696E-47C1-8395-B32E22552C2C}"/>
    <cellStyle name="Normal 3 2 38 11 3" xfId="32879" xr:uid="{96B8A0D3-0408-4289-B607-E469147633C0}"/>
    <cellStyle name="Normal 3 2 38 11 4" xfId="32880" xr:uid="{BDEBF26F-DE7B-4B11-8188-0748D0EA0896}"/>
    <cellStyle name="Normal 3 2 38 11 5" xfId="32881" xr:uid="{F743DA1C-6CB5-4804-BA64-4FE3574357F7}"/>
    <cellStyle name="Normal 3 2 38 11 5 2" xfId="32882" xr:uid="{BBD05165-76FD-4B59-9167-B8DFC9115519}"/>
    <cellStyle name="Normal 3 2 38 11 5 2 2" xfId="32883" xr:uid="{D1A045C5-D2B3-489B-B467-E18D9375E3FD}"/>
    <cellStyle name="Normal 3 2 38 11 5 2 3" xfId="32884" xr:uid="{AE8BF20C-2E03-4927-A3D4-759A4736DF71}"/>
    <cellStyle name="Normal 3 2 38 11 5 2 4" xfId="32885" xr:uid="{28CCF254-543C-4C41-B8C8-1E297724C7FC}"/>
    <cellStyle name="Normal 3 2 38 11 5 3" xfId="32886" xr:uid="{59665604-1429-46B1-A74F-16C118513FFD}"/>
    <cellStyle name="Normal 3 2 38 11 5 4" xfId="32887" xr:uid="{B67C7911-BE61-4D98-B56D-F4AEA5518281}"/>
    <cellStyle name="Normal 3 2 38 11 5 5" xfId="32888" xr:uid="{C382CE5B-16A4-4185-9ACA-DC9B4B66DE33}"/>
    <cellStyle name="Normal 3 2 38 11 5 6" xfId="32889" xr:uid="{F240F0FA-F396-43B6-833C-797E1A47EBF5}"/>
    <cellStyle name="Normal 3 2 38 11 6" xfId="32890" xr:uid="{BAA3EE72-57E4-4EE0-BC80-0551ADC14A24}"/>
    <cellStyle name="Normal 3 2 38 11 7" xfId="32891" xr:uid="{8EDC410D-8E9F-4B45-82BE-8A920E8C4089}"/>
    <cellStyle name="Normal 3 2 38 11 8" xfId="32892" xr:uid="{3C564BF9-68FE-4544-BD47-EA844F9D214C}"/>
    <cellStyle name="Normal 3 2 38 11 9" xfId="32893" xr:uid="{6C7C3325-871A-4938-BE78-C375D777D963}"/>
    <cellStyle name="Normal 3 2 38 12" xfId="32894" xr:uid="{3601DCC0-1D66-433A-8994-4374B636C8D5}"/>
    <cellStyle name="Normal 3 2 38 13" xfId="32895" xr:uid="{8F242C9F-4DAD-4839-931B-F7A0B308A80C}"/>
    <cellStyle name="Normal 3 2 38 13 10" xfId="32896" xr:uid="{98C35803-B4EE-4331-B71A-0299527B642E}"/>
    <cellStyle name="Normal 3 2 38 13 11" xfId="32897" xr:uid="{0F60957F-F65E-4605-8BA7-E697EDC7A501}"/>
    <cellStyle name="Normal 3 2 38 13 2" xfId="32898" xr:uid="{BFDFC399-36CE-4A2A-9A0A-28B6682CE03A}"/>
    <cellStyle name="Normal 3 2 38 13 2 10" xfId="32899" xr:uid="{3BCE6B97-4A50-464E-9A1B-89C79A94DE45}"/>
    <cellStyle name="Normal 3 2 38 13 2 11" xfId="32900" xr:uid="{DC9ACCC0-E7F4-489A-AC9B-D2FC1B7DC520}"/>
    <cellStyle name="Normal 3 2 38 13 2 2" xfId="32901" xr:uid="{0168D891-A44D-45B8-A49E-169A00E46F6A}"/>
    <cellStyle name="Normal 3 2 38 13 2 2 2" xfId="32902" xr:uid="{525006FC-278A-4986-9B73-9612DC246A2A}"/>
    <cellStyle name="Normal 3 2 38 13 2 2 2 2" xfId="32903" xr:uid="{FB0B8D7F-9C55-4A3C-89D0-7F1DFB520B00}"/>
    <cellStyle name="Normal 3 2 38 13 2 2 2 3" xfId="32904" xr:uid="{755708EF-8BE7-4BAA-B322-DBC57031C8AB}"/>
    <cellStyle name="Normal 3 2 38 13 2 2 2 4" xfId="32905" xr:uid="{CF3CD3DB-BCC0-412D-903B-FC67E5A0E901}"/>
    <cellStyle name="Normal 3 2 38 13 2 2 3" xfId="32906" xr:uid="{8F0C4B45-8D9D-4D80-991D-F274B03792AA}"/>
    <cellStyle name="Normal 3 2 38 13 2 2 4" xfId="32907" xr:uid="{C660A116-5314-4D4A-B869-3FE2E28A5F5C}"/>
    <cellStyle name="Normal 3 2 38 13 2 2 5" xfId="32908" xr:uid="{45002665-9368-4CCE-B27E-FBBE8700E6A5}"/>
    <cellStyle name="Normal 3 2 38 13 2 2 6" xfId="32909" xr:uid="{C544C774-6CB8-4A49-8F7F-5EF68ADD328F}"/>
    <cellStyle name="Normal 3 2 38 13 2 3" xfId="32910" xr:uid="{152B4F3A-25DF-4F67-9ABC-0191156235F2}"/>
    <cellStyle name="Normal 3 2 38 13 2 4" xfId="32911" xr:uid="{A8DCF5D3-CD1A-44B1-B472-D90C3085C141}"/>
    <cellStyle name="Normal 3 2 38 13 2 5" xfId="32912" xr:uid="{CC0150A8-BA8B-4753-87EA-49C4F2703BDA}"/>
    <cellStyle name="Normal 3 2 38 13 2 6" xfId="32913" xr:uid="{61A6FB5D-D43C-4CD4-98A0-919860DB48EF}"/>
    <cellStyle name="Normal 3 2 38 13 2 7" xfId="32914" xr:uid="{C2E3D31F-F8C3-4F7F-8BB9-D0A626DCBB33}"/>
    <cellStyle name="Normal 3 2 38 13 2 8" xfId="32915" xr:uid="{1EEC182D-11C3-4522-B524-DC9C5D5FA09E}"/>
    <cellStyle name="Normal 3 2 38 13 2 8 2" xfId="32916" xr:uid="{ECFC5EE2-3107-446C-B096-E3F6846CB95E}"/>
    <cellStyle name="Normal 3 2 38 13 2 8 3" xfId="32917" xr:uid="{2CABD31B-1277-401B-8203-E679986CEDCC}"/>
    <cellStyle name="Normal 3 2 38 13 2 8 4" xfId="32918" xr:uid="{36BD8687-1F15-49FD-884D-C779F572CFFC}"/>
    <cellStyle name="Normal 3 2 38 13 2 9" xfId="32919" xr:uid="{DD5972BD-0CD5-4543-B49C-62D2BD10CD78}"/>
    <cellStyle name="Normal 3 2 38 13 3" xfId="32920" xr:uid="{F8B09B59-DF86-41CC-8020-6CD7149C9D66}"/>
    <cellStyle name="Normal 3 2 38 13 3 2" xfId="32921" xr:uid="{D6230B0D-14E1-48D7-9579-D90AECB7251D}"/>
    <cellStyle name="Normal 3 2 38 13 3 2 2" xfId="32922" xr:uid="{8C18B2B7-0122-4D2D-A725-2331A91E2297}"/>
    <cellStyle name="Normal 3 2 38 13 3 2 3" xfId="32923" xr:uid="{623A1C9C-6043-448F-8FF1-AAAF3A31A731}"/>
    <cellStyle name="Normal 3 2 38 13 3 2 4" xfId="32924" xr:uid="{79BFDCEA-D8CC-467D-A415-A3B459B39C19}"/>
    <cellStyle name="Normal 3 2 38 13 3 3" xfId="32925" xr:uid="{343461B9-397A-4724-B752-0BE48C4E7CE0}"/>
    <cellStyle name="Normal 3 2 38 13 3 4" xfId="32926" xr:uid="{B538544B-C302-4147-8FAE-E29BB8CEBB92}"/>
    <cellStyle name="Normal 3 2 38 13 3 5" xfId="32927" xr:uid="{8A5BDA5F-874F-4763-9608-BE3ADCF0C371}"/>
    <cellStyle name="Normal 3 2 38 13 3 6" xfId="32928" xr:uid="{D8794DCD-E902-45D8-BD17-CBA5001B615B}"/>
    <cellStyle name="Normal 3 2 38 13 4" xfId="32929" xr:uid="{0B2F1B97-F1DD-4D7C-A60D-2F0C8DF2397D}"/>
    <cellStyle name="Normal 3 2 38 13 5" xfId="32930" xr:uid="{7DBF50E9-F7F2-4F95-A655-54FB5DEE0374}"/>
    <cellStyle name="Normal 3 2 38 13 6" xfId="32931" xr:uid="{2EC5F508-58A5-481F-AF7C-354A48384283}"/>
    <cellStyle name="Normal 3 2 38 13 7" xfId="32932" xr:uid="{6E5A9BA8-3215-4576-94AD-A3660FCFDBA2}"/>
    <cellStyle name="Normal 3 2 38 13 8" xfId="32933" xr:uid="{24629B91-A46D-4638-B329-81CD6EE4E912}"/>
    <cellStyle name="Normal 3 2 38 13 8 2" xfId="32934" xr:uid="{67B59AC9-CDF1-40F6-BD44-D35B26F9C03B}"/>
    <cellStyle name="Normal 3 2 38 13 8 3" xfId="32935" xr:uid="{6BA6C043-F884-4812-8913-6F922ED5CE0F}"/>
    <cellStyle name="Normal 3 2 38 13 8 4" xfId="32936" xr:uid="{25B5C231-B6F8-4FF5-AC20-8134A9B475FF}"/>
    <cellStyle name="Normal 3 2 38 13 9" xfId="32937" xr:uid="{436AEFD2-44BB-411C-8487-FF49857FBDF6}"/>
    <cellStyle name="Normal 3 2 38 14" xfId="32938" xr:uid="{A4A7D991-A030-43C4-8633-5B9AB1BEE82B}"/>
    <cellStyle name="Normal 3 2 38 15" xfId="32939" xr:uid="{7F340BEA-9641-4EAA-AD56-5C9BE8552EE7}"/>
    <cellStyle name="Normal 3 2 38 15 2" xfId="32940" xr:uid="{876F4E79-1D5C-4DC7-AE33-EF8E6781678A}"/>
    <cellStyle name="Normal 3 2 38 15 2 2" xfId="32941" xr:uid="{F4D95168-E846-4C60-811B-9003FBE6A257}"/>
    <cellStyle name="Normal 3 2 38 15 2 3" xfId="32942" xr:uid="{48A23B8B-01F5-4E84-8F09-72A0FF06AE7C}"/>
    <cellStyle name="Normal 3 2 38 15 2 4" xfId="32943" xr:uid="{164FE4F7-FA5A-4B3E-820F-57BF2AA4AA8D}"/>
    <cellStyle name="Normal 3 2 38 15 3" xfId="32944" xr:uid="{CF55FA5B-97E0-49DE-9F33-CB91C70DE7BA}"/>
    <cellStyle name="Normal 3 2 38 15 4" xfId="32945" xr:uid="{5CE552D6-285C-4616-BA1B-29C396EA0037}"/>
    <cellStyle name="Normal 3 2 38 15 5" xfId="32946" xr:uid="{B91E3018-440A-4CD1-81F1-52B9BD874D0D}"/>
    <cellStyle name="Normal 3 2 38 15 6" xfId="32947" xr:uid="{C4C3868C-73E0-4E27-B8D7-9C29B17327D1}"/>
    <cellStyle name="Normal 3 2 38 16" xfId="32948" xr:uid="{6D901BC5-FD48-45E7-B2E0-3C52E1D44F3B}"/>
    <cellStyle name="Normal 3 2 38 17" xfId="32949" xr:uid="{FE9BBC10-3D48-4FD1-ACE4-1EB441995DC8}"/>
    <cellStyle name="Normal 3 2 38 18" xfId="32950" xr:uid="{B207B79E-4CF5-416B-85EE-90BCEB82141A}"/>
    <cellStyle name="Normal 3 2 38 19" xfId="32951" xr:uid="{06C0B94D-5F51-46A1-8623-CDD7F12F00D0}"/>
    <cellStyle name="Normal 3 2 38 2" xfId="32952" xr:uid="{88F2ED2A-ED46-4927-B4B9-6349D095DD30}"/>
    <cellStyle name="Normal 3 2 38 2 10" xfId="32953" xr:uid="{19317043-BA66-4C97-9B48-9941A0862B3F}"/>
    <cellStyle name="Normal 3 2 38 2 11" xfId="32954" xr:uid="{4D5A30D0-8B7F-4D7F-B511-16E39EE20382}"/>
    <cellStyle name="Normal 3 2 38 2 12" xfId="32955" xr:uid="{7AE0D669-034C-4698-B764-77AC07F7B7E9}"/>
    <cellStyle name="Normal 3 2 38 2 13" xfId="32956" xr:uid="{1CE1EA3C-702A-4215-B06A-1708DE71A06D}"/>
    <cellStyle name="Normal 3 2 38 2 13 2" xfId="32957" xr:uid="{332AA83C-4061-4647-A57D-A287775FD5C6}"/>
    <cellStyle name="Normal 3 2 38 2 13 3" xfId="32958" xr:uid="{2E7A1754-376D-449B-BBAB-40A79D9D2C3E}"/>
    <cellStyle name="Normal 3 2 38 2 13 4" xfId="32959" xr:uid="{B156387D-782F-424C-8AEE-604E1E909E22}"/>
    <cellStyle name="Normal 3 2 38 2 14" xfId="32960" xr:uid="{5A48210E-F364-4EE5-A7F8-A553893E04D6}"/>
    <cellStyle name="Normal 3 2 38 2 15" xfId="32961" xr:uid="{62814EFC-FA36-4E8F-94D8-235D4D9EF029}"/>
    <cellStyle name="Normal 3 2 38 2 16" xfId="32962" xr:uid="{7E763FF9-FD0B-41DF-AFF8-32D7FCBFD5D9}"/>
    <cellStyle name="Normal 3 2 38 2 2" xfId="32963" xr:uid="{D77591DF-DDF4-4262-8EE8-1836A8892D7D}"/>
    <cellStyle name="Normal 3 2 38 2 2 10" xfId="32964" xr:uid="{082DFA2F-9E9B-466A-B8AD-8E0B8F458CCD}"/>
    <cellStyle name="Normal 3 2 38 2 2 11" xfId="32965" xr:uid="{E6B26683-7C4E-47A2-B07A-DDC219994937}"/>
    <cellStyle name="Normal 3 2 38 2 2 11 2" xfId="32966" xr:uid="{8ED1C618-B1DC-484A-AB14-4336E80979CF}"/>
    <cellStyle name="Normal 3 2 38 2 2 11 3" xfId="32967" xr:uid="{3D52BF04-9D91-4261-AFD8-FDFC8E6DAB87}"/>
    <cellStyle name="Normal 3 2 38 2 2 11 4" xfId="32968" xr:uid="{633E2778-D072-4817-BFEC-756840D37CD8}"/>
    <cellStyle name="Normal 3 2 38 2 2 12" xfId="32969" xr:uid="{29039721-F30F-4C42-B4B4-684EA574B144}"/>
    <cellStyle name="Normal 3 2 38 2 2 13" xfId="32970" xr:uid="{4160F99F-8D5B-4DC9-8837-3AE163D785CE}"/>
    <cellStyle name="Normal 3 2 38 2 2 14" xfId="32971" xr:uid="{60A82398-AF26-469C-B596-3BCD252BC9C0}"/>
    <cellStyle name="Normal 3 2 38 2 2 2" xfId="32972" xr:uid="{7C5A871A-4229-4E4F-86AA-DF9ED7970152}"/>
    <cellStyle name="Normal 3 2 38 2 2 2 10" xfId="32973" xr:uid="{E22F2414-7C8F-4509-93BC-15A4B9A8470D}"/>
    <cellStyle name="Normal 3 2 38 2 2 2 11" xfId="32974" xr:uid="{91F49E36-9A89-4093-AF19-D4FAC863B036}"/>
    <cellStyle name="Normal 3 2 38 2 2 2 2" xfId="32975" xr:uid="{E8B2F496-8D25-4C2E-B030-4A13251FBE61}"/>
    <cellStyle name="Normal 3 2 38 2 2 2 2 10" xfId="32976" xr:uid="{EE1EE16D-0603-46EB-AF84-CC1F61230179}"/>
    <cellStyle name="Normal 3 2 38 2 2 2 2 11" xfId="32977" xr:uid="{CFBF1995-FF68-4C16-A4BF-DE339C7D8CD0}"/>
    <cellStyle name="Normal 3 2 38 2 2 2 2 2" xfId="32978" xr:uid="{8BBAA7CF-0E61-4C02-9B42-4AAC9AF0488D}"/>
    <cellStyle name="Normal 3 2 38 2 2 2 2 2 2" xfId="32979" xr:uid="{1CBEA1F4-C7BA-4126-8745-885239A697E3}"/>
    <cellStyle name="Normal 3 2 38 2 2 2 2 2 2 2" xfId="32980" xr:uid="{9011C38D-3937-4BD9-8449-E940D5FC7405}"/>
    <cellStyle name="Normal 3 2 38 2 2 2 2 2 2 3" xfId="32981" xr:uid="{A77A7476-0CD3-4B08-B052-0CF8D139B490}"/>
    <cellStyle name="Normal 3 2 38 2 2 2 2 2 2 4" xfId="32982" xr:uid="{6FF8ABB1-FE2A-4D74-92D4-F599192DAA5E}"/>
    <cellStyle name="Normal 3 2 38 2 2 2 2 2 3" xfId="32983" xr:uid="{005BECF3-3DC2-408F-9A02-D26ED0CF22C2}"/>
    <cellStyle name="Normal 3 2 38 2 2 2 2 2 4" xfId="32984" xr:uid="{8EEB45C0-14E1-4545-841A-E11E02E03D4B}"/>
    <cellStyle name="Normal 3 2 38 2 2 2 2 2 5" xfId="32985" xr:uid="{DDB0D37A-15AE-4582-AD2D-E0132FE4E766}"/>
    <cellStyle name="Normal 3 2 38 2 2 2 2 2 6" xfId="32986" xr:uid="{0612D4D4-A55D-4AA2-A10D-488788032024}"/>
    <cellStyle name="Normal 3 2 38 2 2 2 2 3" xfId="32987" xr:uid="{0946315C-8F14-4398-8F1A-2C584A9EF201}"/>
    <cellStyle name="Normal 3 2 38 2 2 2 2 4" xfId="32988" xr:uid="{2433EB14-E283-4BAB-B026-4B61EBE4536E}"/>
    <cellStyle name="Normal 3 2 38 2 2 2 2 5" xfId="32989" xr:uid="{27782158-D9CD-440F-B446-851058732C01}"/>
    <cellStyle name="Normal 3 2 38 2 2 2 2 6" xfId="32990" xr:uid="{FD70C0D3-B5EB-4BE2-AA1D-260B9FF763FA}"/>
    <cellStyle name="Normal 3 2 38 2 2 2 2 7" xfId="32991" xr:uid="{75A7D091-CCD4-429C-A2E4-6F3983ABC81D}"/>
    <cellStyle name="Normal 3 2 38 2 2 2 2 8" xfId="32992" xr:uid="{A8BA8EE3-1589-4C00-8566-C73C505D0996}"/>
    <cellStyle name="Normal 3 2 38 2 2 2 2 8 2" xfId="32993" xr:uid="{0477491D-9E94-4D85-8567-0629C6F0607E}"/>
    <cellStyle name="Normal 3 2 38 2 2 2 2 8 3" xfId="32994" xr:uid="{A5609456-40B6-4C64-923A-B6FF821363A8}"/>
    <cellStyle name="Normal 3 2 38 2 2 2 2 8 4" xfId="32995" xr:uid="{B032BD5A-30CB-46D5-864B-A14D94C901C2}"/>
    <cellStyle name="Normal 3 2 38 2 2 2 2 9" xfId="32996" xr:uid="{1CFA8DEB-9067-44D4-92F8-F3E71898AD92}"/>
    <cellStyle name="Normal 3 2 38 2 2 2 3" xfId="32997" xr:uid="{194EDE30-9402-479D-B850-8A9A3C2F4456}"/>
    <cellStyle name="Normal 3 2 38 2 2 2 3 2" xfId="32998" xr:uid="{47FE7069-D62F-4033-9F01-4659FCB9535D}"/>
    <cellStyle name="Normal 3 2 38 2 2 2 3 2 2" xfId="32999" xr:uid="{DF347A43-59EB-490A-91D0-B2CA4EF7182F}"/>
    <cellStyle name="Normal 3 2 38 2 2 2 3 2 3" xfId="33000" xr:uid="{61C5CBDE-845C-4A60-95E6-8BE5047F8E8A}"/>
    <cellStyle name="Normal 3 2 38 2 2 2 3 2 4" xfId="33001" xr:uid="{F5F209B3-8545-4A5C-84A6-DD059FF73BF7}"/>
    <cellStyle name="Normal 3 2 38 2 2 2 3 3" xfId="33002" xr:uid="{8D531770-C1D3-4CEE-895B-BBAAE8BC1846}"/>
    <cellStyle name="Normal 3 2 38 2 2 2 3 4" xfId="33003" xr:uid="{4AE6D676-4344-40AA-882D-608566F86440}"/>
    <cellStyle name="Normal 3 2 38 2 2 2 3 5" xfId="33004" xr:uid="{092DD13C-52CE-4EE3-B9E6-6CD0A2600892}"/>
    <cellStyle name="Normal 3 2 38 2 2 2 3 6" xfId="33005" xr:uid="{4A7DEEC0-EA4F-453E-AD38-B2463F890795}"/>
    <cellStyle name="Normal 3 2 38 2 2 2 4" xfId="33006" xr:uid="{0D2AFA9F-AA6D-4691-AB8E-AE4F81D40493}"/>
    <cellStyle name="Normal 3 2 38 2 2 2 5" xfId="33007" xr:uid="{9A599722-1AE1-4FE3-ADA9-0788DEAC4CD2}"/>
    <cellStyle name="Normal 3 2 38 2 2 2 6" xfId="33008" xr:uid="{B79F7D10-B3C0-445D-A997-99EBD7E03537}"/>
    <cellStyle name="Normal 3 2 38 2 2 2 7" xfId="33009" xr:uid="{AFCE1B66-50FE-45ED-B5FA-F9CD6830E553}"/>
    <cellStyle name="Normal 3 2 38 2 2 2 8" xfId="33010" xr:uid="{638590A0-524A-4D44-A5F8-0236D7676180}"/>
    <cellStyle name="Normal 3 2 38 2 2 2 8 2" xfId="33011" xr:uid="{4C0F579B-DB70-480F-B1AE-7BA8C4C03E92}"/>
    <cellStyle name="Normal 3 2 38 2 2 2 8 3" xfId="33012" xr:uid="{DCDBE532-7C36-46F4-91D0-8CFC0DF2BEED}"/>
    <cellStyle name="Normal 3 2 38 2 2 2 8 4" xfId="33013" xr:uid="{E4C49A03-A9A8-48EF-BB13-EC0D515F292B}"/>
    <cellStyle name="Normal 3 2 38 2 2 2 9" xfId="33014" xr:uid="{1BEE191B-91BD-451C-A271-3293E01917C9}"/>
    <cellStyle name="Normal 3 2 38 2 2 3" xfId="33015" xr:uid="{DE3959AE-8070-438C-B461-6798E3CAFB88}"/>
    <cellStyle name="Normal 3 2 38 2 2 4" xfId="33016" xr:uid="{02524E52-B374-46C9-9E24-E2859DC71F60}"/>
    <cellStyle name="Normal 3 2 38 2 2 5" xfId="33017" xr:uid="{94308E93-1A5F-40A3-B6FF-75F8E7CA0B70}"/>
    <cellStyle name="Normal 3 2 38 2 2 5 2" xfId="33018" xr:uid="{63C61B82-09E8-4DD5-96D6-54AE5ABAC7D9}"/>
    <cellStyle name="Normal 3 2 38 2 2 5 2 2" xfId="33019" xr:uid="{A82CB021-D550-48A9-8594-AD3A979B0146}"/>
    <cellStyle name="Normal 3 2 38 2 2 5 2 3" xfId="33020" xr:uid="{61C0C20F-BDBC-40B0-8C95-2715B9E7DD2A}"/>
    <cellStyle name="Normal 3 2 38 2 2 5 2 4" xfId="33021" xr:uid="{E137BAB6-F094-4956-9A8D-F04FD8E78A12}"/>
    <cellStyle name="Normal 3 2 38 2 2 5 3" xfId="33022" xr:uid="{2032BBA7-7411-4791-B62F-9E54A8EC9A94}"/>
    <cellStyle name="Normal 3 2 38 2 2 5 4" xfId="33023" xr:uid="{57932123-48D5-4480-A303-092D22C336B8}"/>
    <cellStyle name="Normal 3 2 38 2 2 5 5" xfId="33024" xr:uid="{9FED1F7E-12A4-4A3C-956A-DEDB5B508C74}"/>
    <cellStyle name="Normal 3 2 38 2 2 5 6" xfId="33025" xr:uid="{24B07536-CDA2-4023-8CFB-BA818220092F}"/>
    <cellStyle name="Normal 3 2 38 2 2 6" xfId="33026" xr:uid="{48C65498-D720-4497-ACCD-4A9B86024117}"/>
    <cellStyle name="Normal 3 2 38 2 2 7" xfId="33027" xr:uid="{DB81FED1-9524-4176-9EF5-3028573B444A}"/>
    <cellStyle name="Normal 3 2 38 2 2 8" xfId="33028" xr:uid="{E35161E4-A0F7-471C-970A-3E071F7863CA}"/>
    <cellStyle name="Normal 3 2 38 2 2 9" xfId="33029" xr:uid="{87F656C4-F7D3-4F86-9A08-F74957684A26}"/>
    <cellStyle name="Normal 3 2 38 2 3" xfId="33030" xr:uid="{6E488BCF-0B3D-40E9-8CFA-9725510CFA49}"/>
    <cellStyle name="Normal 3 2 38 2 4" xfId="33031" xr:uid="{52AEE233-36F1-4C45-B27C-7D45E962DBBF}"/>
    <cellStyle name="Normal 3 2 38 2 5" xfId="33032" xr:uid="{CD050585-5B08-49DE-A117-EC44A08904E7}"/>
    <cellStyle name="Normal 3 2 38 2 5 10" xfId="33033" xr:uid="{2BAF6070-6754-4774-BB90-D2C7679EC10A}"/>
    <cellStyle name="Normal 3 2 38 2 5 11" xfId="33034" xr:uid="{F8F90858-250A-414E-8320-EDB942E88B69}"/>
    <cellStyle name="Normal 3 2 38 2 5 2" xfId="33035" xr:uid="{A886DC84-AE6F-4B46-9E2D-05E7ECB54167}"/>
    <cellStyle name="Normal 3 2 38 2 5 2 10" xfId="33036" xr:uid="{4C999A0A-60D2-42D6-AB8F-E2A9177AA9C4}"/>
    <cellStyle name="Normal 3 2 38 2 5 2 11" xfId="33037" xr:uid="{EC73C9C3-6D0C-4BFE-A3F6-786B3E3A3479}"/>
    <cellStyle name="Normal 3 2 38 2 5 2 2" xfId="33038" xr:uid="{B59F5C67-960D-4EB6-8C70-A1700D082169}"/>
    <cellStyle name="Normal 3 2 38 2 5 2 2 2" xfId="33039" xr:uid="{82EA2ADD-BB8E-44FC-B37E-3F5EDE8BC135}"/>
    <cellStyle name="Normal 3 2 38 2 5 2 2 2 2" xfId="33040" xr:uid="{1DBA056D-F470-4F19-80BC-315ADEB64888}"/>
    <cellStyle name="Normal 3 2 38 2 5 2 2 2 3" xfId="33041" xr:uid="{1160118B-10C5-48ED-9D02-A680732CEDBA}"/>
    <cellStyle name="Normal 3 2 38 2 5 2 2 2 4" xfId="33042" xr:uid="{3573555C-A74F-426D-BA84-CF094F3CF97F}"/>
    <cellStyle name="Normal 3 2 38 2 5 2 2 3" xfId="33043" xr:uid="{A458457B-CB84-4CED-9F25-527723F28DD3}"/>
    <cellStyle name="Normal 3 2 38 2 5 2 2 4" xfId="33044" xr:uid="{03586DA7-D3F7-4630-AC6B-9F1224F2C7AA}"/>
    <cellStyle name="Normal 3 2 38 2 5 2 2 5" xfId="33045" xr:uid="{CCE3C110-D906-44FB-A14F-E86470A71AA6}"/>
    <cellStyle name="Normal 3 2 38 2 5 2 2 6" xfId="33046" xr:uid="{E4AF1A2C-7E08-46FD-935C-09FFB3412030}"/>
    <cellStyle name="Normal 3 2 38 2 5 2 3" xfId="33047" xr:uid="{C46C0551-BBFC-4EB5-B3CD-410FD7C7C239}"/>
    <cellStyle name="Normal 3 2 38 2 5 2 4" xfId="33048" xr:uid="{19E5A926-2A97-4B33-9540-F92481FB4892}"/>
    <cellStyle name="Normal 3 2 38 2 5 2 5" xfId="33049" xr:uid="{733C4E02-343C-4738-A5C5-CDC154689268}"/>
    <cellStyle name="Normal 3 2 38 2 5 2 6" xfId="33050" xr:uid="{B285881A-F5C3-488E-A086-20A04DA42609}"/>
    <cellStyle name="Normal 3 2 38 2 5 2 7" xfId="33051" xr:uid="{98F794CE-1B23-44F8-BA6D-78EACE89F2DC}"/>
    <cellStyle name="Normal 3 2 38 2 5 2 8" xfId="33052" xr:uid="{94377676-2A31-4AC2-934E-9FADA1F3269D}"/>
    <cellStyle name="Normal 3 2 38 2 5 2 8 2" xfId="33053" xr:uid="{9D3ED6EE-2F27-4AB7-A11B-9286CF9EFCEF}"/>
    <cellStyle name="Normal 3 2 38 2 5 2 8 3" xfId="33054" xr:uid="{555CC7E9-8753-4CA5-8BFF-9F15A19CC939}"/>
    <cellStyle name="Normal 3 2 38 2 5 2 8 4" xfId="33055" xr:uid="{6CF31B34-9C18-4AC0-99E3-C8BF3F54E3D5}"/>
    <cellStyle name="Normal 3 2 38 2 5 2 9" xfId="33056" xr:uid="{5B39CB79-46E7-4B11-9541-42A51519C617}"/>
    <cellStyle name="Normal 3 2 38 2 5 3" xfId="33057" xr:uid="{8D754EC8-0AEC-447F-BA38-D4F0435A6530}"/>
    <cellStyle name="Normal 3 2 38 2 5 3 2" xfId="33058" xr:uid="{C1BE08A7-015C-4F6E-9700-A67B64F6F5E5}"/>
    <cellStyle name="Normal 3 2 38 2 5 3 2 2" xfId="33059" xr:uid="{F8E066BE-7CA7-4134-A470-B07361F3D0A1}"/>
    <cellStyle name="Normal 3 2 38 2 5 3 2 3" xfId="33060" xr:uid="{A9C34BFD-A24C-4DB4-9FE4-7F5D0CC7E24F}"/>
    <cellStyle name="Normal 3 2 38 2 5 3 2 4" xfId="33061" xr:uid="{BA47FAE7-35E6-4BC1-9132-4D4EA9D79591}"/>
    <cellStyle name="Normal 3 2 38 2 5 3 3" xfId="33062" xr:uid="{29E16CAE-AD04-45A9-AA74-2BE0F4A24806}"/>
    <cellStyle name="Normal 3 2 38 2 5 3 4" xfId="33063" xr:uid="{AD58F158-B7ED-4CA2-9867-E73BC5FA974C}"/>
    <cellStyle name="Normal 3 2 38 2 5 3 5" xfId="33064" xr:uid="{0D128B49-8CD7-4178-8033-1C5A004CE91D}"/>
    <cellStyle name="Normal 3 2 38 2 5 3 6" xfId="33065" xr:uid="{898F8D44-25D3-47F1-8CC2-1A6E8DD24187}"/>
    <cellStyle name="Normal 3 2 38 2 5 4" xfId="33066" xr:uid="{79BA1E5A-A460-40EA-B1EE-613822352640}"/>
    <cellStyle name="Normal 3 2 38 2 5 5" xfId="33067" xr:uid="{A7A67539-2772-4021-A4B3-E2181A0CFC32}"/>
    <cellStyle name="Normal 3 2 38 2 5 6" xfId="33068" xr:uid="{ED74EDBC-0574-48BC-B5F1-0E186930C869}"/>
    <cellStyle name="Normal 3 2 38 2 5 7" xfId="33069" xr:uid="{1DD56E6B-01CA-48C6-A908-7A209656F667}"/>
    <cellStyle name="Normal 3 2 38 2 5 8" xfId="33070" xr:uid="{F82CE300-7017-4EC2-A30F-28D104E3549A}"/>
    <cellStyle name="Normal 3 2 38 2 5 8 2" xfId="33071" xr:uid="{9B18A266-016E-4178-B947-BCC367BB647B}"/>
    <cellStyle name="Normal 3 2 38 2 5 8 3" xfId="33072" xr:uid="{0D1D7812-42B4-4D2D-81C4-2882C6C550CE}"/>
    <cellStyle name="Normal 3 2 38 2 5 8 4" xfId="33073" xr:uid="{808ED9D3-C773-4624-A042-E49BC88160DC}"/>
    <cellStyle name="Normal 3 2 38 2 5 9" xfId="33074" xr:uid="{08D0992D-662D-4CCB-9735-B1CD785B6A38}"/>
    <cellStyle name="Normal 3 2 38 2 6" xfId="33075" xr:uid="{9A7623F3-A91F-4BF3-82F8-EFF03D8BE3A1}"/>
    <cellStyle name="Normal 3 2 38 2 7" xfId="33076" xr:uid="{495C2C95-582D-472F-8EAF-7E23A42D0319}"/>
    <cellStyle name="Normal 3 2 38 2 7 2" xfId="33077" xr:uid="{1BF2FF72-0398-4867-8CA6-D33D7799B279}"/>
    <cellStyle name="Normal 3 2 38 2 7 2 2" xfId="33078" xr:uid="{5B5BF270-ED8C-4147-8F9B-8D00318A8238}"/>
    <cellStyle name="Normal 3 2 38 2 7 2 3" xfId="33079" xr:uid="{3A6E33A0-5F4F-418F-B2D8-5A5A1D577775}"/>
    <cellStyle name="Normal 3 2 38 2 7 2 4" xfId="33080" xr:uid="{210B8105-80E3-43E3-8F11-E4832B84E471}"/>
    <cellStyle name="Normal 3 2 38 2 7 3" xfId="33081" xr:uid="{4A25D794-1DB8-47CF-AC4B-2E1EBF0B43B1}"/>
    <cellStyle name="Normal 3 2 38 2 7 4" xfId="33082" xr:uid="{EABA5141-7AAE-46BC-8F7B-65D0E2C77CA9}"/>
    <cellStyle name="Normal 3 2 38 2 7 5" xfId="33083" xr:uid="{6CD5BF35-25B5-4E57-AD9A-F9DAF5903596}"/>
    <cellStyle name="Normal 3 2 38 2 7 6" xfId="33084" xr:uid="{9CC66CD2-8F62-41E2-8CA1-CD3AEA316AEB}"/>
    <cellStyle name="Normal 3 2 38 2 8" xfId="33085" xr:uid="{3E8889F8-6A6A-4B73-8279-F751E4A51C77}"/>
    <cellStyle name="Normal 3 2 38 2 9" xfId="33086" xr:uid="{BC323908-21B6-4D66-9D84-0E5DDFCD2EC2}"/>
    <cellStyle name="Normal 3 2 38 20" xfId="33087" xr:uid="{F13A5DCE-05CF-4209-8CA8-1C8983C15328}"/>
    <cellStyle name="Normal 3 2 38 21" xfId="33088" xr:uid="{FD35628D-73BB-4E5C-A6FA-9F4CC1AA0D53}"/>
    <cellStyle name="Normal 3 2 38 21 2" xfId="33089" xr:uid="{34CCFAFE-B0D2-41D2-92FD-6002B85307A5}"/>
    <cellStyle name="Normal 3 2 38 21 3" xfId="33090" xr:uid="{7296DD20-EF63-40CD-849F-460B71B55EDA}"/>
    <cellStyle name="Normal 3 2 38 21 4" xfId="33091" xr:uid="{2590311F-8EF4-4FF6-8861-5D6741BF3E3C}"/>
    <cellStyle name="Normal 3 2 38 22" xfId="33092" xr:uid="{B1C84D77-DB63-489F-B5E9-E5EDD6C4D964}"/>
    <cellStyle name="Normal 3 2 38 23" xfId="33093" xr:uid="{EE5C1414-5430-4F1F-A1CF-E758ED77E5ED}"/>
    <cellStyle name="Normal 3 2 38 24" xfId="33094" xr:uid="{21F59F6D-F4F8-4ACA-AD3F-1540165B568B}"/>
    <cellStyle name="Normal 3 2 38 3" xfId="33095" xr:uid="{0EE69FE7-CD8F-47D1-B347-99A2AB2FBBD2}"/>
    <cellStyle name="Normal 3 2 38 4" xfId="33096" xr:uid="{C39ADF80-BB7F-4564-B423-B758F3580632}"/>
    <cellStyle name="Normal 3 2 38 5" xfId="33097" xr:uid="{B7EFCFEE-E117-4E61-8BB5-30D83F454C80}"/>
    <cellStyle name="Normal 3 2 38 6" xfId="33098" xr:uid="{9CFB3C0B-A4D8-4EFA-854F-319BCE6D3AD3}"/>
    <cellStyle name="Normal 3 2 38 7" xfId="33099" xr:uid="{39BC8E70-021F-4663-AED8-F6D130B566ED}"/>
    <cellStyle name="Normal 3 2 38 8" xfId="33100" xr:uid="{4EBFF4A6-5552-4A75-9533-958D7C6C73D0}"/>
    <cellStyle name="Normal 3 2 38 9" xfId="33101" xr:uid="{5C032DA8-84FB-46FD-B7DF-6B696D19328F}"/>
    <cellStyle name="Normal 3 2 39" xfId="33102" xr:uid="{551B2C33-748B-4D5A-BB53-4F41EBA2C500}"/>
    <cellStyle name="Normal 3 2 39 10" xfId="33103" xr:uid="{26374627-9C7A-4E79-A0CB-A4066435ACAA}"/>
    <cellStyle name="Normal 3 2 39 11" xfId="33104" xr:uid="{068D9177-69FA-44E0-B500-196AD4D8B1EF}"/>
    <cellStyle name="Normal 3 2 39 12" xfId="33105" xr:uid="{94434EC0-A3E5-4C1C-87D5-569AF59EA0C1}"/>
    <cellStyle name="Normal 3 2 39 13" xfId="33106" xr:uid="{983B0125-6F6B-4B7E-B285-155E3512BF93}"/>
    <cellStyle name="Normal 3 2 39 13 2" xfId="33107" xr:uid="{AEF973F9-7086-4BDD-A877-4C025C15AD3D}"/>
    <cellStyle name="Normal 3 2 39 13 3" xfId="33108" xr:uid="{5A2593E3-884D-4B74-A6BB-8C0D87D36CF3}"/>
    <cellStyle name="Normal 3 2 39 13 4" xfId="33109" xr:uid="{07D4BFAF-D4DE-4DD1-81A1-D74D1F9BEBDC}"/>
    <cellStyle name="Normal 3 2 39 14" xfId="33110" xr:uid="{A57057EF-DECA-41F8-A437-EA367CAFCA07}"/>
    <cellStyle name="Normal 3 2 39 15" xfId="33111" xr:uid="{6C611DE9-6D1E-4E0D-9C20-F8D1CD055375}"/>
    <cellStyle name="Normal 3 2 39 16" xfId="33112" xr:uid="{1432FB05-3E8C-49ED-8C8A-6F573480DF05}"/>
    <cellStyle name="Normal 3 2 39 2" xfId="33113" xr:uid="{FECF4F95-61F2-45FB-9FC3-40F54CC74AE5}"/>
    <cellStyle name="Normal 3 2 39 2 10" xfId="33114" xr:uid="{3EEDE27E-9ACB-48A8-8BA2-626B47291B65}"/>
    <cellStyle name="Normal 3 2 39 2 11" xfId="33115" xr:uid="{7861046A-646F-41F9-B1E0-FF46C4745016}"/>
    <cellStyle name="Normal 3 2 39 2 11 2" xfId="33116" xr:uid="{344758D2-1B26-4427-8A1D-782F97F86274}"/>
    <cellStyle name="Normal 3 2 39 2 11 3" xfId="33117" xr:uid="{72588507-969E-4CE5-AF43-BBFFA2FEEAED}"/>
    <cellStyle name="Normal 3 2 39 2 11 4" xfId="33118" xr:uid="{A2004130-F1DC-4F02-8692-622563BB4F11}"/>
    <cellStyle name="Normal 3 2 39 2 12" xfId="33119" xr:uid="{EE9865B6-C35B-4697-8500-2B75E06186DB}"/>
    <cellStyle name="Normal 3 2 39 2 13" xfId="33120" xr:uid="{2F9C9475-7840-4543-B5A1-8F32A11E6AF1}"/>
    <cellStyle name="Normal 3 2 39 2 14" xfId="33121" xr:uid="{589406B4-AB98-4BDE-992C-7F4683918DA1}"/>
    <cellStyle name="Normal 3 2 39 2 2" xfId="33122" xr:uid="{38E9FEA9-C1D9-469A-A043-3A008236C599}"/>
    <cellStyle name="Normal 3 2 39 2 2 10" xfId="33123" xr:uid="{A8F78792-C5B0-45A2-BCEB-82C19D0C230B}"/>
    <cellStyle name="Normal 3 2 39 2 2 11" xfId="33124" xr:uid="{50AAB4E5-4115-4ACD-8A1D-EC88AA07E5C7}"/>
    <cellStyle name="Normal 3 2 39 2 2 2" xfId="33125" xr:uid="{AD67652A-252F-4893-BF67-945465551E55}"/>
    <cellStyle name="Normal 3 2 39 2 2 2 10" xfId="33126" xr:uid="{0CBB4101-D2C9-4337-9C5C-B9F56EFCE94D}"/>
    <cellStyle name="Normal 3 2 39 2 2 2 11" xfId="33127" xr:uid="{54BAFB76-BF0E-42ED-ABBA-3EA65AC78713}"/>
    <cellStyle name="Normal 3 2 39 2 2 2 2" xfId="33128" xr:uid="{D1D4206D-4E67-436C-8559-FF7149A2A6C6}"/>
    <cellStyle name="Normal 3 2 39 2 2 2 2 2" xfId="33129" xr:uid="{E477BAF6-7D73-4AD5-BA9D-7D52395BEBD3}"/>
    <cellStyle name="Normal 3 2 39 2 2 2 2 2 2" xfId="33130" xr:uid="{1EA7E068-BD6F-442B-8CA5-A39C47CFD0AA}"/>
    <cellStyle name="Normal 3 2 39 2 2 2 2 2 3" xfId="33131" xr:uid="{9DCE6198-E674-4808-8036-03493F5DD836}"/>
    <cellStyle name="Normal 3 2 39 2 2 2 2 2 4" xfId="33132" xr:uid="{1DD02FCF-4A66-494E-91E3-305253109B55}"/>
    <cellStyle name="Normal 3 2 39 2 2 2 2 3" xfId="33133" xr:uid="{9BFC8B40-3CBA-4CEB-8043-4DC5A408A711}"/>
    <cellStyle name="Normal 3 2 39 2 2 2 2 4" xfId="33134" xr:uid="{B137ADB5-ED97-45AA-8799-C82D770B9BFF}"/>
    <cellStyle name="Normal 3 2 39 2 2 2 2 5" xfId="33135" xr:uid="{C5AD1074-2AA0-4CDD-9E7B-2373D3BE0712}"/>
    <cellStyle name="Normal 3 2 39 2 2 2 2 6" xfId="33136" xr:uid="{5613A340-DD90-4518-86F1-B7C7C67CA7AD}"/>
    <cellStyle name="Normal 3 2 39 2 2 2 3" xfId="33137" xr:uid="{55B02561-FB69-43E0-8EE9-2C8D2834FC90}"/>
    <cellStyle name="Normal 3 2 39 2 2 2 4" xfId="33138" xr:uid="{59520E9E-98D6-44F7-B07C-7DECD11C6A7C}"/>
    <cellStyle name="Normal 3 2 39 2 2 2 5" xfId="33139" xr:uid="{8AD3D067-0BAE-4B98-AB94-C6F10539C822}"/>
    <cellStyle name="Normal 3 2 39 2 2 2 6" xfId="33140" xr:uid="{474695A5-3AD3-48E7-AFFB-170926AC1B4C}"/>
    <cellStyle name="Normal 3 2 39 2 2 2 7" xfId="33141" xr:uid="{55FD0E70-3EA0-4BE7-A202-7E862E435D25}"/>
    <cellStyle name="Normal 3 2 39 2 2 2 8" xfId="33142" xr:uid="{5FD8957A-5455-48C5-898F-9660EEB0958B}"/>
    <cellStyle name="Normal 3 2 39 2 2 2 8 2" xfId="33143" xr:uid="{B86E9D5A-7238-4955-866C-C0723B6141F4}"/>
    <cellStyle name="Normal 3 2 39 2 2 2 8 3" xfId="33144" xr:uid="{12F8E483-2A9A-424C-A6F7-B796B90AD3A4}"/>
    <cellStyle name="Normal 3 2 39 2 2 2 8 4" xfId="33145" xr:uid="{B6B99A44-2417-4771-99DE-1B6DA7ACA6C6}"/>
    <cellStyle name="Normal 3 2 39 2 2 2 9" xfId="33146" xr:uid="{D205A2D6-BCE8-402F-A635-93235F517C33}"/>
    <cellStyle name="Normal 3 2 39 2 2 3" xfId="33147" xr:uid="{34173D1C-9FEA-45DB-9497-0016F7BEDAB5}"/>
    <cellStyle name="Normal 3 2 39 2 2 3 2" xfId="33148" xr:uid="{9188CDD8-0A09-492B-A53C-F038DA793D1F}"/>
    <cellStyle name="Normal 3 2 39 2 2 3 2 2" xfId="33149" xr:uid="{DF5B16D0-3878-4800-B8D3-D433E22D74C3}"/>
    <cellStyle name="Normal 3 2 39 2 2 3 2 3" xfId="33150" xr:uid="{9A6BB5C9-BC26-47A5-A0FA-B592F10C7DA7}"/>
    <cellStyle name="Normal 3 2 39 2 2 3 2 4" xfId="33151" xr:uid="{3CE54FF3-9CF3-4BA6-A90E-DC4239D48EBF}"/>
    <cellStyle name="Normal 3 2 39 2 2 3 3" xfId="33152" xr:uid="{81E763F7-8B1C-4C54-BEAC-7892D1A2BC3B}"/>
    <cellStyle name="Normal 3 2 39 2 2 3 4" xfId="33153" xr:uid="{E9B9CECA-B78F-4409-ABC0-E90B9693B740}"/>
    <cellStyle name="Normal 3 2 39 2 2 3 5" xfId="33154" xr:uid="{E7344C9E-07E3-4281-84A9-F3B61A590E93}"/>
    <cellStyle name="Normal 3 2 39 2 2 3 6" xfId="33155" xr:uid="{25A02697-4861-4B7F-8185-6CE4ED9E584B}"/>
    <cellStyle name="Normal 3 2 39 2 2 4" xfId="33156" xr:uid="{DBF57065-549C-4406-8924-0E5C268B7036}"/>
    <cellStyle name="Normal 3 2 39 2 2 5" xfId="33157" xr:uid="{E94CDBDF-FB70-40B3-B649-0E2B6CAC9C3D}"/>
    <cellStyle name="Normal 3 2 39 2 2 6" xfId="33158" xr:uid="{66CFF13D-A186-4F1D-884E-78CD26DF9252}"/>
    <cellStyle name="Normal 3 2 39 2 2 7" xfId="33159" xr:uid="{9DCC2462-489A-4307-94BF-9B58BF19FCF0}"/>
    <cellStyle name="Normal 3 2 39 2 2 8" xfId="33160" xr:uid="{CEC785A1-D3EF-4A8C-BF8F-015C8AF17BCB}"/>
    <cellStyle name="Normal 3 2 39 2 2 8 2" xfId="33161" xr:uid="{1913D41E-E849-4595-88FE-B4DCB014369C}"/>
    <cellStyle name="Normal 3 2 39 2 2 8 3" xfId="33162" xr:uid="{DE7581C7-4AF2-4442-8490-534175DFD67B}"/>
    <cellStyle name="Normal 3 2 39 2 2 8 4" xfId="33163" xr:uid="{849C7500-5D13-4554-92CB-98CA9E8ABE0C}"/>
    <cellStyle name="Normal 3 2 39 2 2 9" xfId="33164" xr:uid="{809F8390-D6E6-439F-AE89-7211ECDAB3A3}"/>
    <cellStyle name="Normal 3 2 39 2 3" xfId="33165" xr:uid="{69587E17-6887-4D47-BE89-25DBB608C08B}"/>
    <cellStyle name="Normal 3 2 39 2 4" xfId="33166" xr:uid="{A1D51C63-17D6-4C64-927A-C51247CCF56E}"/>
    <cellStyle name="Normal 3 2 39 2 5" xfId="33167" xr:uid="{4048581D-A17F-4A45-8F49-72679C03A956}"/>
    <cellStyle name="Normal 3 2 39 2 5 2" xfId="33168" xr:uid="{1D08164F-07E3-4DA4-B2E5-0EBDB81AC29D}"/>
    <cellStyle name="Normal 3 2 39 2 5 2 2" xfId="33169" xr:uid="{91E675AA-0D12-42BE-B2CF-687825E4C540}"/>
    <cellStyle name="Normal 3 2 39 2 5 2 3" xfId="33170" xr:uid="{919251DE-D37E-4A0D-AB56-B4794F652187}"/>
    <cellStyle name="Normal 3 2 39 2 5 2 4" xfId="33171" xr:uid="{2D9EF3BC-69B8-43CA-99E0-4A1993F905B3}"/>
    <cellStyle name="Normal 3 2 39 2 5 3" xfId="33172" xr:uid="{A1466FB4-EB85-4999-A70F-450EF623A4AE}"/>
    <cellStyle name="Normal 3 2 39 2 5 4" xfId="33173" xr:uid="{681748E6-B6D4-43FE-B669-600D2522A3D9}"/>
    <cellStyle name="Normal 3 2 39 2 5 5" xfId="33174" xr:uid="{466F476E-22A1-4AD3-9AE6-E10228DD3E72}"/>
    <cellStyle name="Normal 3 2 39 2 5 6" xfId="33175" xr:uid="{5D81EACB-86A0-4C74-927A-814D43839B4F}"/>
    <cellStyle name="Normal 3 2 39 2 6" xfId="33176" xr:uid="{1C04BD73-021A-4ACA-B686-2F7242465340}"/>
    <cellStyle name="Normal 3 2 39 2 7" xfId="33177" xr:uid="{19EC78DB-93CF-4B31-81E9-7DD98F6C04D5}"/>
    <cellStyle name="Normal 3 2 39 2 8" xfId="33178" xr:uid="{30F4B59B-0F6B-4B5C-8926-9FBD44534D96}"/>
    <cellStyle name="Normal 3 2 39 2 9" xfId="33179" xr:uid="{93B46CF5-3552-46B4-B638-1B66EEED633C}"/>
    <cellStyle name="Normal 3 2 39 3" xfId="33180" xr:uid="{83A4D801-2BF6-4AE1-A08B-6B1F2D545E1A}"/>
    <cellStyle name="Normal 3 2 39 4" xfId="33181" xr:uid="{7457B42D-B368-4495-90F1-F88FC2D71218}"/>
    <cellStyle name="Normal 3 2 39 5" xfId="33182" xr:uid="{BB67F340-0562-4109-BF28-B5C0C0276DD8}"/>
    <cellStyle name="Normal 3 2 39 5 10" xfId="33183" xr:uid="{4895B2D8-5B65-4945-8D1D-67D0A057009A}"/>
    <cellStyle name="Normal 3 2 39 5 11" xfId="33184" xr:uid="{9914B965-E290-4E3D-9F60-0295E00FA2AA}"/>
    <cellStyle name="Normal 3 2 39 5 2" xfId="33185" xr:uid="{FFB84DA8-827B-4DE0-A762-52D472DD3533}"/>
    <cellStyle name="Normal 3 2 39 5 2 10" xfId="33186" xr:uid="{A677A66A-7A12-4829-AB53-E971559C063D}"/>
    <cellStyle name="Normal 3 2 39 5 2 11" xfId="33187" xr:uid="{443D4247-F276-467B-9F51-AE811C66C1F8}"/>
    <cellStyle name="Normal 3 2 39 5 2 2" xfId="33188" xr:uid="{AF47E7F6-0695-4581-AF9E-A76555DC0384}"/>
    <cellStyle name="Normal 3 2 39 5 2 2 2" xfId="33189" xr:uid="{107A54B4-73F1-43B4-99CF-D973D55C5FE3}"/>
    <cellStyle name="Normal 3 2 39 5 2 2 2 2" xfId="33190" xr:uid="{8A2D0AE1-0C70-455C-86D6-B7B78F6D03FB}"/>
    <cellStyle name="Normal 3 2 39 5 2 2 2 3" xfId="33191" xr:uid="{F5468BCB-05EF-4D11-B3AC-F87F02E10B22}"/>
    <cellStyle name="Normal 3 2 39 5 2 2 2 4" xfId="33192" xr:uid="{9A0F9FF9-88E9-4048-A653-EF458410E220}"/>
    <cellStyle name="Normal 3 2 39 5 2 2 3" xfId="33193" xr:uid="{1E756609-1D19-4CAE-B7C2-95B9E7AC00EC}"/>
    <cellStyle name="Normal 3 2 39 5 2 2 4" xfId="33194" xr:uid="{452BCAFD-AE59-499F-AEAB-8777B7290210}"/>
    <cellStyle name="Normal 3 2 39 5 2 2 5" xfId="33195" xr:uid="{3F6FF2F3-4105-45DC-86A4-90CB648C514A}"/>
    <cellStyle name="Normal 3 2 39 5 2 2 6" xfId="33196" xr:uid="{598F1DEB-67D8-4EAC-9CD1-A9AAF3CE946D}"/>
    <cellStyle name="Normal 3 2 39 5 2 3" xfId="33197" xr:uid="{6FDB2C74-8654-47DD-AC17-460BCD1DBE5F}"/>
    <cellStyle name="Normal 3 2 39 5 2 4" xfId="33198" xr:uid="{FDF757AF-82C5-4117-BF9B-F5FD3842D887}"/>
    <cellStyle name="Normal 3 2 39 5 2 5" xfId="33199" xr:uid="{8EC98F73-DDD4-44B8-B64F-54E151F75E55}"/>
    <cellStyle name="Normal 3 2 39 5 2 6" xfId="33200" xr:uid="{5A9C1D82-C6CB-4FF1-AE6E-9B43F21DB121}"/>
    <cellStyle name="Normal 3 2 39 5 2 7" xfId="33201" xr:uid="{944CB16B-914D-4969-B61F-B499F8EF3B18}"/>
    <cellStyle name="Normal 3 2 39 5 2 8" xfId="33202" xr:uid="{448D0340-C90C-4146-BA81-D4817D9A57FA}"/>
    <cellStyle name="Normal 3 2 39 5 2 8 2" xfId="33203" xr:uid="{E72C1183-7699-4179-8C02-2D45A8330793}"/>
    <cellStyle name="Normal 3 2 39 5 2 8 3" xfId="33204" xr:uid="{575011DB-163A-45E7-A47A-234453B10E52}"/>
    <cellStyle name="Normal 3 2 39 5 2 8 4" xfId="33205" xr:uid="{4B52558B-21DA-4667-B60B-C4F6623D09CB}"/>
    <cellStyle name="Normal 3 2 39 5 2 9" xfId="33206" xr:uid="{BDD21725-F921-44BA-8383-516F7A962068}"/>
    <cellStyle name="Normal 3 2 39 5 3" xfId="33207" xr:uid="{D66B696C-E338-49E8-A9E8-03160D2DB672}"/>
    <cellStyle name="Normal 3 2 39 5 3 2" xfId="33208" xr:uid="{9A953275-E59E-4CE7-9C39-830B85629858}"/>
    <cellStyle name="Normal 3 2 39 5 3 2 2" xfId="33209" xr:uid="{AEEB650F-0AB0-4C50-9169-3714955AC06E}"/>
    <cellStyle name="Normal 3 2 39 5 3 2 3" xfId="33210" xr:uid="{44FAAF8D-1839-4116-B04C-C1C4E5C4EF62}"/>
    <cellStyle name="Normal 3 2 39 5 3 2 4" xfId="33211" xr:uid="{E584D6A4-8820-4148-BD4B-75AFAC72D188}"/>
    <cellStyle name="Normal 3 2 39 5 3 3" xfId="33212" xr:uid="{3009324E-548A-4EDD-84FE-34C56A91B47D}"/>
    <cellStyle name="Normal 3 2 39 5 3 4" xfId="33213" xr:uid="{13888C04-9C3A-4FC9-AE82-41B9DBA5DA0F}"/>
    <cellStyle name="Normal 3 2 39 5 3 5" xfId="33214" xr:uid="{9C32DAF4-18FB-412D-837F-5D41B76F52CA}"/>
    <cellStyle name="Normal 3 2 39 5 3 6" xfId="33215" xr:uid="{1A1FF395-E861-4FDA-9735-59BE112E2C1E}"/>
    <cellStyle name="Normal 3 2 39 5 4" xfId="33216" xr:uid="{38940AB9-EB06-490E-A47E-EF8733B65237}"/>
    <cellStyle name="Normal 3 2 39 5 5" xfId="33217" xr:uid="{4F798E04-C8A9-4712-9ED3-933A8A703D72}"/>
    <cellStyle name="Normal 3 2 39 5 6" xfId="33218" xr:uid="{779ECFD2-CCCC-4951-9DE7-C3115884D621}"/>
    <cellStyle name="Normal 3 2 39 5 7" xfId="33219" xr:uid="{AAD33CCA-A9C3-4710-95E5-0CDE35AA6A47}"/>
    <cellStyle name="Normal 3 2 39 5 8" xfId="33220" xr:uid="{C9660604-0EA7-4235-80EE-2F097E878436}"/>
    <cellStyle name="Normal 3 2 39 5 8 2" xfId="33221" xr:uid="{7A05A538-7060-4968-B71F-47E9B01C5922}"/>
    <cellStyle name="Normal 3 2 39 5 8 3" xfId="33222" xr:uid="{43C99EDC-FC36-4929-843C-1B580699BD7F}"/>
    <cellStyle name="Normal 3 2 39 5 8 4" xfId="33223" xr:uid="{98F14E91-2AEA-4209-9600-6FD7CD6BBD65}"/>
    <cellStyle name="Normal 3 2 39 5 9" xfId="33224" xr:uid="{25172C4E-BB9C-4550-8E73-1850206019C4}"/>
    <cellStyle name="Normal 3 2 39 6" xfId="33225" xr:uid="{B4A77A60-FD53-4099-8536-10214A84DAF9}"/>
    <cellStyle name="Normal 3 2 39 7" xfId="33226" xr:uid="{67B2BF1F-5622-4879-97DF-1F32DF179365}"/>
    <cellStyle name="Normal 3 2 39 7 2" xfId="33227" xr:uid="{8B569C52-EF2A-47F6-BD2C-1999B7D517BF}"/>
    <cellStyle name="Normal 3 2 39 7 2 2" xfId="33228" xr:uid="{BB4AEEED-F268-416A-8CAE-D2A943E474F4}"/>
    <cellStyle name="Normal 3 2 39 7 2 3" xfId="33229" xr:uid="{8BE9933A-B56A-49EA-903C-60AA890A4888}"/>
    <cellStyle name="Normal 3 2 39 7 2 4" xfId="33230" xr:uid="{DA75F330-D8D5-40EB-B713-A9EEAC842370}"/>
    <cellStyle name="Normal 3 2 39 7 3" xfId="33231" xr:uid="{126D97CB-5949-4B48-8E74-226BBD3A40BA}"/>
    <cellStyle name="Normal 3 2 39 7 4" xfId="33232" xr:uid="{0D7F1ABD-DBD2-4E23-9FEB-3DB5CE341D73}"/>
    <cellStyle name="Normal 3 2 39 7 5" xfId="33233" xr:uid="{61108F57-11F0-45D1-8152-AA11F45A00A8}"/>
    <cellStyle name="Normal 3 2 39 7 6" xfId="33234" xr:uid="{9C19CA40-77AB-489F-88D3-A457C897AD0A}"/>
    <cellStyle name="Normal 3 2 39 8" xfId="33235" xr:uid="{96EB3672-F6F5-46B8-838C-6DE59F1180CC}"/>
    <cellStyle name="Normal 3 2 39 9" xfId="33236" xr:uid="{2A6C76E9-C2BF-40AE-90E0-2F541184C59F}"/>
    <cellStyle name="Normal 3 2 4" xfId="33237" xr:uid="{BA06536A-2EB0-4264-8317-7E1C4DB750C1}"/>
    <cellStyle name="Normal 3 2 4 10" xfId="33238" xr:uid="{05D93B6C-238D-4000-B579-DC39CF9E01DF}"/>
    <cellStyle name="Normal 3 2 4 11" xfId="33239" xr:uid="{28D8069F-9B28-4DF5-A37B-FE003C5AB50E}"/>
    <cellStyle name="Normal 3 2 4 2" xfId="33240" xr:uid="{10741EBB-2B49-458A-8D45-33647D0C01FF}"/>
    <cellStyle name="Normal 3 2 4 2 2" xfId="33241" xr:uid="{B756CE2F-B74E-4AD9-BB60-BD7E4BFCBF28}"/>
    <cellStyle name="Normal 3 2 4 2 3" xfId="33242" xr:uid="{0C6C79A2-2A36-4D59-B571-D96473115C48}"/>
    <cellStyle name="Normal 3 2 4 2 4" xfId="33243" xr:uid="{CF191726-409F-456A-BEA9-ABAF522EE323}"/>
    <cellStyle name="Normal 3 2 4 2 5" xfId="33244" xr:uid="{E484A67F-9D6C-4647-A689-A7F056A8FB50}"/>
    <cellStyle name="Normal 3 2 4 2 6" xfId="33245" xr:uid="{C5894CE4-4430-4C5C-A8F3-4A6DCA8FEB3E}"/>
    <cellStyle name="Normal 3 2 4 3" xfId="33246" xr:uid="{217071E5-927C-4E72-A0E5-AD08AE694CEA}"/>
    <cellStyle name="Normal 3 2 4 3 2" xfId="33247" xr:uid="{5C3CFF00-4D83-4548-9231-B0F447AB24C9}"/>
    <cellStyle name="Normal 3 2 4 3 3" xfId="33248" xr:uid="{E8092A13-6BC7-4CAE-B754-8CB37BDCE979}"/>
    <cellStyle name="Normal 3 2 4 3 4" xfId="33249" xr:uid="{695CB022-ABDB-460B-87EF-260ACB88576F}"/>
    <cellStyle name="Normal 3 2 4 3 5" xfId="33250" xr:uid="{D5B6DB73-A2D4-4CAE-B962-9C08BB2352A5}"/>
    <cellStyle name="Normal 3 2 4 3 6" xfId="33251" xr:uid="{5C25B768-6163-411C-A29C-80854A27A375}"/>
    <cellStyle name="Normal 3 2 4 4" xfId="33252" xr:uid="{C8668F04-362E-4E32-B8C4-1E8A03274E18}"/>
    <cellStyle name="Normal 3 2 4 4 2" xfId="33253" xr:uid="{CB7733FE-3E67-495D-B073-85757ADB5EF2}"/>
    <cellStyle name="Normal 3 2 4 4 3" xfId="33254" xr:uid="{2DDA9AEF-DB3E-4F1D-B767-D3A343C9B58C}"/>
    <cellStyle name="Normal 3 2 4 4 4" xfId="33255" xr:uid="{A03F0D9E-D6EC-4C6E-BF8E-E928EACED39F}"/>
    <cellStyle name="Normal 3 2 4 4 5" xfId="33256" xr:uid="{6F54A4FF-64B0-41B4-BF70-24B7A984DD32}"/>
    <cellStyle name="Normal 3 2 4 4 6" xfId="33257" xr:uid="{05D4069D-20AE-4138-AA3A-F8A9E37EDDB1}"/>
    <cellStyle name="Normal 3 2 4 5" xfId="33258" xr:uid="{188C0C92-1643-4C4B-BB66-C7D7F78BCAE2}"/>
    <cellStyle name="Normal 3 2 4 5 2" xfId="33259" xr:uid="{299B4226-ECC9-432B-A4BD-83E19BDE2D62}"/>
    <cellStyle name="Normal 3 2 4 5 3" xfId="33260" xr:uid="{B0445274-43C8-4FCE-A978-AD93EA27C489}"/>
    <cellStyle name="Normal 3 2 4 5 4" xfId="33261" xr:uid="{A13E2B3B-EBCE-4874-8ADB-7F8114D1A3A3}"/>
    <cellStyle name="Normal 3 2 4 5 5" xfId="33262" xr:uid="{583BFDE5-C380-4936-8581-110029671728}"/>
    <cellStyle name="Normal 3 2 4 5 6" xfId="33263" xr:uid="{66B0BF69-6D5F-4169-9BE7-67ABB06C3AF5}"/>
    <cellStyle name="Normal 3 2 4 6" xfId="33264" xr:uid="{B48C92F1-FCC1-47ED-8D2A-46CD70D72E1F}"/>
    <cellStyle name="Normal 3 2 4 6 2" xfId="33265" xr:uid="{A45F3F32-E82A-4673-97A0-69360E4931E1}"/>
    <cellStyle name="Normal 3 2 4 6 3" xfId="33266" xr:uid="{00266010-7F77-4F5E-804C-2165EFF0E4D9}"/>
    <cellStyle name="Normal 3 2 4 6 4" xfId="33267" xr:uid="{1E3B2C89-2B8C-4E8B-B2F3-E700B3A193E1}"/>
    <cellStyle name="Normal 3 2 4 6 5" xfId="33268" xr:uid="{4A4C31AB-5E31-4246-A00C-D8714890663B}"/>
    <cellStyle name="Normal 3 2 4 6 6" xfId="33269" xr:uid="{D6A86136-9BD8-45D1-9A9B-1A0149D696B1}"/>
    <cellStyle name="Normal 3 2 4 7" xfId="33270" xr:uid="{5A13D3C3-C9C9-40E7-AA21-EAD00477B60B}"/>
    <cellStyle name="Normal 3 2 4 8" xfId="33271" xr:uid="{1B56A119-84FF-4E81-9A45-6030BE13DE72}"/>
    <cellStyle name="Normal 3 2 4 9" xfId="33272" xr:uid="{E0CD4832-4759-4ABE-80E9-D09929F1173C}"/>
    <cellStyle name="Normal 3 2 40" xfId="33273" xr:uid="{B230FCDA-AC2B-4847-BA62-AE52CFA8D95D}"/>
    <cellStyle name="Normal 3 2 41" xfId="33274" xr:uid="{30FB61A8-FC69-49B0-BD68-5286FA14B206}"/>
    <cellStyle name="Normal 3 2 42" xfId="33275" xr:uid="{5D59C89F-40C5-4229-BDB0-853A1BCC03FC}"/>
    <cellStyle name="Normal 3 2 43" xfId="33276" xr:uid="{3093F254-A90B-4AF2-8C71-7100E77255EA}"/>
    <cellStyle name="Normal 3 2 44" xfId="33277" xr:uid="{0ED34ACC-8DF8-47D7-8C2F-0E64BF4C5668}"/>
    <cellStyle name="Normal 3 2 45" xfId="33278" xr:uid="{03A086FF-36CD-478F-AE6A-D78919120DC1}"/>
    <cellStyle name="Normal 3 2 46" xfId="33279" xr:uid="{9CF59A00-B713-433B-9736-B0E9DF12556C}"/>
    <cellStyle name="Normal 3 2 47" xfId="33280" xr:uid="{A899EE9E-E91C-41E8-8AA5-9D28BCCCB6EC}"/>
    <cellStyle name="Normal 3 2 47 10" xfId="33281" xr:uid="{FAAF823E-3973-44F2-9473-500830FA11A7}"/>
    <cellStyle name="Normal 3 2 47 11" xfId="33282" xr:uid="{6AA1680B-3C8F-4CCD-B24E-5C2E52185792}"/>
    <cellStyle name="Normal 3 2 47 11 2" xfId="33283" xr:uid="{89A76D05-C967-48FC-B15F-97F4AB7F2B65}"/>
    <cellStyle name="Normal 3 2 47 11 3" xfId="33284" xr:uid="{666508D7-42F8-4DE7-94E9-002B2005A23E}"/>
    <cellStyle name="Normal 3 2 47 11 4" xfId="33285" xr:uid="{1D503AA8-FA90-43A2-B748-739C74EC7A7D}"/>
    <cellStyle name="Normal 3 2 47 12" xfId="33286" xr:uid="{DCC5B5C0-3107-45C1-8E46-DC2BAE2D96EF}"/>
    <cellStyle name="Normal 3 2 47 13" xfId="33287" xr:uid="{4AD27FB6-F443-4475-AF0D-51D01CAC1B4F}"/>
    <cellStyle name="Normal 3 2 47 14" xfId="33288" xr:uid="{7D680DF4-409D-42FF-A11E-E6C8D69A6875}"/>
    <cellStyle name="Normal 3 2 47 2" xfId="33289" xr:uid="{6B70C01C-7D7A-45C0-9E0F-DEF8258D8F88}"/>
    <cellStyle name="Normal 3 2 47 2 10" xfId="33290" xr:uid="{9B71768C-DF56-42F5-A60C-7D3EA73E3612}"/>
    <cellStyle name="Normal 3 2 47 2 11" xfId="33291" xr:uid="{065850AE-3D4A-49ED-99F0-541FFC80A972}"/>
    <cellStyle name="Normal 3 2 47 2 2" xfId="33292" xr:uid="{F0F9FD41-ACA8-45A8-BD8A-C40FCAA22652}"/>
    <cellStyle name="Normal 3 2 47 2 2 10" xfId="33293" xr:uid="{DF6EA69A-4A62-4483-A5AB-0F7095980078}"/>
    <cellStyle name="Normal 3 2 47 2 2 11" xfId="33294" xr:uid="{BBB295FF-99A2-4E62-937C-EB07EE9308FD}"/>
    <cellStyle name="Normal 3 2 47 2 2 2" xfId="33295" xr:uid="{13D3A3C5-4B5E-48D5-8797-A928A2A12818}"/>
    <cellStyle name="Normal 3 2 47 2 2 2 2" xfId="33296" xr:uid="{C5295BF1-BEB5-424D-A850-110C4CBF28D9}"/>
    <cellStyle name="Normal 3 2 47 2 2 2 2 2" xfId="33297" xr:uid="{D53F28EC-D4F2-4D79-A530-5609F814D353}"/>
    <cellStyle name="Normal 3 2 47 2 2 2 2 3" xfId="33298" xr:uid="{CF3FD447-CB3E-47D8-AF7F-B2358AEC0E8C}"/>
    <cellStyle name="Normal 3 2 47 2 2 2 2 4" xfId="33299" xr:uid="{F3527AD2-E0F3-4362-A4FA-F7C68F647539}"/>
    <cellStyle name="Normal 3 2 47 2 2 2 3" xfId="33300" xr:uid="{F15485E4-5A3E-467F-B9F8-18EDE59C8920}"/>
    <cellStyle name="Normal 3 2 47 2 2 2 4" xfId="33301" xr:uid="{3E67D650-45AF-41A1-846F-998B53250E66}"/>
    <cellStyle name="Normal 3 2 47 2 2 2 5" xfId="33302" xr:uid="{61A3EC14-2591-43CD-80E4-FD92C2ED4B46}"/>
    <cellStyle name="Normal 3 2 47 2 2 2 6" xfId="33303" xr:uid="{5B34C764-E713-494D-96D4-78D8D18C4343}"/>
    <cellStyle name="Normal 3 2 47 2 2 3" xfId="33304" xr:uid="{96DCE44D-74AF-4462-ADD6-795F5893E874}"/>
    <cellStyle name="Normal 3 2 47 2 2 4" xfId="33305" xr:uid="{CC97F4E1-A9A4-4792-9B99-16D0AB38D7D0}"/>
    <cellStyle name="Normal 3 2 47 2 2 5" xfId="33306" xr:uid="{AD882CC1-BE6C-44F8-8291-34D6ED91C02D}"/>
    <cellStyle name="Normal 3 2 47 2 2 6" xfId="33307" xr:uid="{B1BAA6C8-FA52-44E1-A18C-1337DD28C652}"/>
    <cellStyle name="Normal 3 2 47 2 2 7" xfId="33308" xr:uid="{59FA8F3F-D015-416B-91CF-460C77276982}"/>
    <cellStyle name="Normal 3 2 47 2 2 8" xfId="33309" xr:uid="{3AD44962-E30D-4FCB-85F0-000E95B82945}"/>
    <cellStyle name="Normal 3 2 47 2 2 8 2" xfId="33310" xr:uid="{2F44B429-6395-4589-921C-A96C1E10D79B}"/>
    <cellStyle name="Normal 3 2 47 2 2 8 3" xfId="33311" xr:uid="{EA058DBD-8B89-4F0D-A8AC-71E20D3E32A6}"/>
    <cellStyle name="Normal 3 2 47 2 2 8 4" xfId="33312" xr:uid="{5F1E27D0-5367-4AA9-B081-1BBB766ACA2B}"/>
    <cellStyle name="Normal 3 2 47 2 2 9" xfId="33313" xr:uid="{847E543B-E71E-4211-9A02-08098B9885E9}"/>
    <cellStyle name="Normal 3 2 47 2 3" xfId="33314" xr:uid="{8AA213A6-B7A0-45C7-BD47-EF757DE796B6}"/>
    <cellStyle name="Normal 3 2 47 2 3 2" xfId="33315" xr:uid="{7E186F2B-37B6-4743-9C6B-3FA538EBBBAD}"/>
    <cellStyle name="Normal 3 2 47 2 3 2 2" xfId="33316" xr:uid="{1B182143-8D98-4FFF-9FE5-AEFCD1449F39}"/>
    <cellStyle name="Normal 3 2 47 2 3 2 3" xfId="33317" xr:uid="{DFD8B92B-FC62-4255-843E-19F13264FB9F}"/>
    <cellStyle name="Normal 3 2 47 2 3 2 4" xfId="33318" xr:uid="{5C7FB0A4-C92D-4B64-AFC6-0A4679943543}"/>
    <cellStyle name="Normal 3 2 47 2 3 3" xfId="33319" xr:uid="{D75D5083-6C88-49ED-9FEE-494A20A07BF7}"/>
    <cellStyle name="Normal 3 2 47 2 3 4" xfId="33320" xr:uid="{6FC9B4DF-7D97-47A9-A944-BCCCF0CD92A7}"/>
    <cellStyle name="Normal 3 2 47 2 3 5" xfId="33321" xr:uid="{CEF7C8B4-F184-4C9E-90C3-74471DEA15B5}"/>
    <cellStyle name="Normal 3 2 47 2 3 6" xfId="33322" xr:uid="{15013AB0-F8EA-4C00-98FA-8649B7F3AAD7}"/>
    <cellStyle name="Normal 3 2 47 2 4" xfId="33323" xr:uid="{1B0F4CB1-3738-4F38-BAAD-8DE2DA69F769}"/>
    <cellStyle name="Normal 3 2 47 2 5" xfId="33324" xr:uid="{7F6535B3-A92D-4C64-8D54-CEC0B4425093}"/>
    <cellStyle name="Normal 3 2 47 2 6" xfId="33325" xr:uid="{38507110-CBCA-4531-B270-460F2AB67CB5}"/>
    <cellStyle name="Normal 3 2 47 2 7" xfId="33326" xr:uid="{ADC399A9-1F6C-4870-8DB1-0A9AA4375626}"/>
    <cellStyle name="Normal 3 2 47 2 8" xfId="33327" xr:uid="{24BCE3F7-7A59-4EC7-830D-4DDB3E25797F}"/>
    <cellStyle name="Normal 3 2 47 2 8 2" xfId="33328" xr:uid="{370CD008-425D-43F0-ADFD-C620FB889792}"/>
    <cellStyle name="Normal 3 2 47 2 8 3" xfId="33329" xr:uid="{AD2A1A0B-E260-4740-867C-D899191E46CD}"/>
    <cellStyle name="Normal 3 2 47 2 8 4" xfId="33330" xr:uid="{719D6C5A-9009-475F-B85B-C6454F6EC5FB}"/>
    <cellStyle name="Normal 3 2 47 2 9" xfId="33331" xr:uid="{1D37E0AC-50E8-4723-9E79-70A818B8776D}"/>
    <cellStyle name="Normal 3 2 47 3" xfId="33332" xr:uid="{DB130259-58D3-48B7-825F-F84E5942D6A4}"/>
    <cellStyle name="Normal 3 2 47 4" xfId="33333" xr:uid="{791F9444-B9A3-4700-9BDC-144DDDFFF631}"/>
    <cellStyle name="Normal 3 2 47 5" xfId="33334" xr:uid="{0BB5EFC8-C369-4825-BB8B-E93274F86C31}"/>
    <cellStyle name="Normal 3 2 47 5 2" xfId="33335" xr:uid="{37848CF5-DAF9-4473-A90B-40C4932DCF7F}"/>
    <cellStyle name="Normal 3 2 47 5 2 2" xfId="33336" xr:uid="{6D8F48C1-7899-4DD9-A1CA-930DA0DAB43B}"/>
    <cellStyle name="Normal 3 2 47 5 2 3" xfId="33337" xr:uid="{1B411A63-10E0-4879-A4DB-93BB3E03FA6F}"/>
    <cellStyle name="Normal 3 2 47 5 2 4" xfId="33338" xr:uid="{63959F38-05E1-48D8-8011-D2E960B4592D}"/>
    <cellStyle name="Normal 3 2 47 5 3" xfId="33339" xr:uid="{F8959048-E0F8-4EC4-8A59-13F7BF55B299}"/>
    <cellStyle name="Normal 3 2 47 5 4" xfId="33340" xr:uid="{53A14CC3-A4B8-468E-A786-C91B97F5F252}"/>
    <cellStyle name="Normal 3 2 47 5 5" xfId="33341" xr:uid="{D867C8EC-FDA0-4757-A010-6B1F9098CF36}"/>
    <cellStyle name="Normal 3 2 47 5 6" xfId="33342" xr:uid="{46DE6AAE-0E13-4A1A-A101-4A05FB2392DE}"/>
    <cellStyle name="Normal 3 2 47 6" xfId="33343" xr:uid="{AD24AC06-DC7A-4A7A-8EE3-5E3899B73FA1}"/>
    <cellStyle name="Normal 3 2 47 7" xfId="33344" xr:uid="{3730F42A-06B2-4BAD-945A-3FAB55A219C4}"/>
    <cellStyle name="Normal 3 2 47 8" xfId="33345" xr:uid="{7A9615B0-5755-403E-86E5-4D84DC6B3B5B}"/>
    <cellStyle name="Normal 3 2 47 9" xfId="33346" xr:uid="{99462830-C3A5-44C1-B069-3A41F17150DB}"/>
    <cellStyle name="Normal 3 2 48" xfId="33347" xr:uid="{1C6703A7-8E57-447A-BFB9-88CED8D093AF}"/>
    <cellStyle name="Normal 3 2 49" xfId="33348" xr:uid="{E82220FF-1E9D-43F5-95BC-659EC982017E}"/>
    <cellStyle name="Normal 3 2 49 10" xfId="33349" xr:uid="{BB8F22F2-C0E6-438B-B2DA-93F640B71281}"/>
    <cellStyle name="Normal 3 2 49 11" xfId="33350" xr:uid="{05CE6910-747A-4FDA-8573-007450E6A945}"/>
    <cellStyle name="Normal 3 2 49 2" xfId="33351" xr:uid="{AD16B0AB-78F2-4C81-9E86-26A4C16E16D0}"/>
    <cellStyle name="Normal 3 2 49 2 10" xfId="33352" xr:uid="{0EED6026-7C79-47D9-9BCF-E1A207BEC66B}"/>
    <cellStyle name="Normal 3 2 49 2 11" xfId="33353" xr:uid="{9826ED1D-1ADD-4ED8-B529-07E62191BD5E}"/>
    <cellStyle name="Normal 3 2 49 2 2" xfId="33354" xr:uid="{ECA96997-B84D-4898-80CF-7D2F7F532E22}"/>
    <cellStyle name="Normal 3 2 49 2 2 2" xfId="33355" xr:uid="{8A2639F6-0627-4BF9-912A-357A549F39D2}"/>
    <cellStyle name="Normal 3 2 49 2 2 2 2" xfId="33356" xr:uid="{42573D4E-01B1-4727-BA00-CE8292785724}"/>
    <cellStyle name="Normal 3 2 49 2 2 2 3" xfId="33357" xr:uid="{0C714693-6939-4F6B-8269-B9C83284D01F}"/>
    <cellStyle name="Normal 3 2 49 2 2 2 4" xfId="33358" xr:uid="{C6308530-7445-4034-BACE-A43EA165D439}"/>
    <cellStyle name="Normal 3 2 49 2 2 3" xfId="33359" xr:uid="{E2EF8D0E-1923-4AD1-8D89-F6E33A2F7D17}"/>
    <cellStyle name="Normal 3 2 49 2 2 4" xfId="33360" xr:uid="{DE65D8BC-E33A-4F38-BC46-3A495153E67E}"/>
    <cellStyle name="Normal 3 2 49 2 2 5" xfId="33361" xr:uid="{F001452B-7BA1-4721-8CA4-F0DDF1216A7B}"/>
    <cellStyle name="Normal 3 2 49 2 2 6" xfId="33362" xr:uid="{9A53A45B-7AA7-4B93-9DA0-2B861A011E8D}"/>
    <cellStyle name="Normal 3 2 49 2 3" xfId="33363" xr:uid="{02C8B2D5-E60A-4078-BBCA-2751F3A9A267}"/>
    <cellStyle name="Normal 3 2 49 2 4" xfId="33364" xr:uid="{35E5267E-05B5-4C90-85AF-24F905758475}"/>
    <cellStyle name="Normal 3 2 49 2 5" xfId="33365" xr:uid="{16C68102-5BC7-4ADA-9645-395F6F6E86FB}"/>
    <cellStyle name="Normal 3 2 49 2 6" xfId="33366" xr:uid="{1901A6A7-D366-42E4-8F1A-2FABB75CEF53}"/>
    <cellStyle name="Normal 3 2 49 2 7" xfId="33367" xr:uid="{1BE8DF85-900B-405E-A228-374D83CA1C0A}"/>
    <cellStyle name="Normal 3 2 49 2 8" xfId="33368" xr:uid="{D5AB8AA6-8276-4639-A471-4DBAD3875E30}"/>
    <cellStyle name="Normal 3 2 49 2 8 2" xfId="33369" xr:uid="{C6125009-4CE1-4721-872E-62F2473E5F35}"/>
    <cellStyle name="Normal 3 2 49 2 8 3" xfId="33370" xr:uid="{ED2D7CE3-AF80-498E-904C-385E025E6D34}"/>
    <cellStyle name="Normal 3 2 49 2 8 4" xfId="33371" xr:uid="{198E6B43-E423-4CC0-A0B8-735328BA4A60}"/>
    <cellStyle name="Normal 3 2 49 2 9" xfId="33372" xr:uid="{16FFA5C8-057A-4916-B853-67A6242D8C65}"/>
    <cellStyle name="Normal 3 2 49 3" xfId="33373" xr:uid="{32A44B08-9298-4626-9323-5E0C5AF8F96F}"/>
    <cellStyle name="Normal 3 2 49 3 2" xfId="33374" xr:uid="{6A472BED-F12F-4928-BBF1-9F60888DA6F1}"/>
    <cellStyle name="Normal 3 2 49 3 2 2" xfId="33375" xr:uid="{59FB80D0-FD4D-47E1-94AE-EB7A91E6563B}"/>
    <cellStyle name="Normal 3 2 49 3 2 3" xfId="33376" xr:uid="{F207B8D9-ADD2-4F0D-91F5-8FBCC3FC5D23}"/>
    <cellStyle name="Normal 3 2 49 3 2 4" xfId="33377" xr:uid="{2020FD93-6F57-4890-B98C-DADA4C498699}"/>
    <cellStyle name="Normal 3 2 49 3 3" xfId="33378" xr:uid="{C2F14A5C-4C14-4BB0-918A-90B06AE29597}"/>
    <cellStyle name="Normal 3 2 49 3 4" xfId="33379" xr:uid="{0634C459-0F6E-4D0B-B4E8-910433C35BA8}"/>
    <cellStyle name="Normal 3 2 49 3 5" xfId="33380" xr:uid="{0455C6F9-11EE-4C8A-BCD3-D8BD8D15B337}"/>
    <cellStyle name="Normal 3 2 49 3 6" xfId="33381" xr:uid="{C1703D4A-C23B-4061-BC5A-9E3E3171BF75}"/>
    <cellStyle name="Normal 3 2 49 4" xfId="33382" xr:uid="{C331C0EB-E72A-4683-BBB5-4235B0E19776}"/>
    <cellStyle name="Normal 3 2 49 5" xfId="33383" xr:uid="{4E17339F-3634-4312-90DE-27F84A37112A}"/>
    <cellStyle name="Normal 3 2 49 6" xfId="33384" xr:uid="{DD9DA92A-C6D6-4FCE-B5A1-F0D5861D99B9}"/>
    <cellStyle name="Normal 3 2 49 7" xfId="33385" xr:uid="{4CD3B021-0B92-4869-A1D8-231F16C9E4AF}"/>
    <cellStyle name="Normal 3 2 49 8" xfId="33386" xr:uid="{3D66B908-5C2E-4197-BACF-6D7A11050987}"/>
    <cellStyle name="Normal 3 2 49 8 2" xfId="33387" xr:uid="{C3EF3F9F-0C12-464B-88B1-71115DA91A83}"/>
    <cellStyle name="Normal 3 2 49 8 3" xfId="33388" xr:uid="{835DAE0B-0FB5-41DA-AF12-21119ED061E6}"/>
    <cellStyle name="Normal 3 2 49 8 4" xfId="33389" xr:uid="{E5FA76AD-9F44-43FF-8746-DFA88CA51B28}"/>
    <cellStyle name="Normal 3 2 49 9" xfId="33390" xr:uid="{BBEB355E-FDA7-4B08-AAB2-33F3E5331CAA}"/>
    <cellStyle name="Normal 3 2 5" xfId="33391" xr:uid="{90255F87-68A3-49DA-B4D1-A5FCF7C8E504}"/>
    <cellStyle name="Normal 3 2 5 10" xfId="33392" xr:uid="{1555EA80-67FB-4A67-A96D-6EEB6C862B07}"/>
    <cellStyle name="Normal 3 2 5 11" xfId="33393" xr:uid="{A96B5CCA-9599-416C-B5CE-2E7F7D430B47}"/>
    <cellStyle name="Normal 3 2 5 2" xfId="33394" xr:uid="{92F43036-53E0-458F-9357-6770EE771C8C}"/>
    <cellStyle name="Normal 3 2 5 2 2" xfId="33395" xr:uid="{A01D8BC9-8D7E-4B32-96FB-ABB899756C52}"/>
    <cellStyle name="Normal 3 2 5 2 3" xfId="33396" xr:uid="{10EA49F3-63C6-4A30-A4D9-66A45DF69FD8}"/>
    <cellStyle name="Normal 3 2 5 2 4" xfId="33397" xr:uid="{582EB526-FB32-420E-A88D-016F220812C4}"/>
    <cellStyle name="Normal 3 2 5 2 5" xfId="33398" xr:uid="{9420743B-E8DC-428A-BE71-3D7EA5845A24}"/>
    <cellStyle name="Normal 3 2 5 2 6" xfId="33399" xr:uid="{92105BD3-EF5C-48E4-AC80-2B0DC45F9804}"/>
    <cellStyle name="Normal 3 2 5 3" xfId="33400" xr:uid="{467D003E-491F-41B0-9E15-DC8A3B943179}"/>
    <cellStyle name="Normal 3 2 5 3 2" xfId="33401" xr:uid="{52A8C742-89B3-44F7-A837-EDD5EF8159D5}"/>
    <cellStyle name="Normal 3 2 5 3 3" xfId="33402" xr:uid="{1418993B-F041-47CD-B190-18EBCF0BBFA8}"/>
    <cellStyle name="Normal 3 2 5 3 4" xfId="33403" xr:uid="{56E64361-1233-4CC9-B826-054577003C9C}"/>
    <cellStyle name="Normal 3 2 5 3 5" xfId="33404" xr:uid="{F2458B57-A3C8-4DF2-9B4F-C067C5BF8A7D}"/>
    <cellStyle name="Normal 3 2 5 3 6" xfId="33405" xr:uid="{26E2B01F-5B9B-4337-8B0D-8EA594E0CC95}"/>
    <cellStyle name="Normal 3 2 5 4" xfId="33406" xr:uid="{BADB4C9C-6353-407F-B5E2-597924BD7F13}"/>
    <cellStyle name="Normal 3 2 5 4 2" xfId="33407" xr:uid="{1D5E221B-1030-4636-80C4-183C9254A770}"/>
    <cellStyle name="Normal 3 2 5 4 3" xfId="33408" xr:uid="{1BA761A7-A24E-497A-B2C7-E9A623B689FB}"/>
    <cellStyle name="Normal 3 2 5 4 4" xfId="33409" xr:uid="{C6F7972B-A0C6-46FC-8370-0E64D5FC871B}"/>
    <cellStyle name="Normal 3 2 5 4 5" xfId="33410" xr:uid="{FF72BEB3-5A33-4E06-A34C-CC14B9D0DB39}"/>
    <cellStyle name="Normal 3 2 5 4 6" xfId="33411" xr:uid="{7606CD65-3FEF-4AD8-B2E3-68745894A576}"/>
    <cellStyle name="Normal 3 2 5 5" xfId="33412" xr:uid="{D6AE4380-71BB-4EDA-88F2-5CF026B8A023}"/>
    <cellStyle name="Normal 3 2 5 5 2" xfId="33413" xr:uid="{0AA4E5AE-B5D8-469F-891C-33943EE41934}"/>
    <cellStyle name="Normal 3 2 5 5 3" xfId="33414" xr:uid="{448C5981-28E6-4D4D-8A0F-4A5175A0177E}"/>
    <cellStyle name="Normal 3 2 5 5 4" xfId="33415" xr:uid="{02080853-F40D-474E-902C-26E73AD205EF}"/>
    <cellStyle name="Normal 3 2 5 5 5" xfId="33416" xr:uid="{75FA25D6-C5D9-4E4A-A6FF-612F008189BF}"/>
    <cellStyle name="Normal 3 2 5 5 6" xfId="33417" xr:uid="{E84B3860-4E35-4840-B171-BE0C90B6C6E7}"/>
    <cellStyle name="Normal 3 2 5 6" xfId="33418" xr:uid="{19B6C479-ABDD-4F98-9EFF-B27945DB0CA1}"/>
    <cellStyle name="Normal 3 2 5 6 2" xfId="33419" xr:uid="{15C9129A-CCB0-473F-8842-F28D71576F81}"/>
    <cellStyle name="Normal 3 2 5 6 3" xfId="33420" xr:uid="{46316E1E-3F2C-4E77-A952-338D947F3280}"/>
    <cellStyle name="Normal 3 2 5 6 4" xfId="33421" xr:uid="{4B51FA85-BA98-4645-AAA0-0D443AD1FCAB}"/>
    <cellStyle name="Normal 3 2 5 6 5" xfId="33422" xr:uid="{EB6E2571-4644-4974-94FF-A78817D94AED}"/>
    <cellStyle name="Normal 3 2 5 6 6" xfId="33423" xr:uid="{585B7021-2660-4C93-A470-BEE995160BCA}"/>
    <cellStyle name="Normal 3 2 5 7" xfId="33424" xr:uid="{BA003A37-013A-4054-9F1F-C77524D30EEB}"/>
    <cellStyle name="Normal 3 2 5 8" xfId="33425" xr:uid="{CD237B38-70AE-479E-A586-1ADB09DFE8C0}"/>
    <cellStyle name="Normal 3 2 5 9" xfId="33426" xr:uid="{05522663-A096-4473-807E-AACB889554D9}"/>
    <cellStyle name="Normal 3 2 50" xfId="33427" xr:uid="{4CFBB29C-535F-4C33-ACB9-EA2765E1C57C}"/>
    <cellStyle name="Normal 3 2 51" xfId="33428" xr:uid="{1FE6C637-0205-40F1-912C-DA544E7F4226}"/>
    <cellStyle name="Normal 3 2 51 2" xfId="33429" xr:uid="{A6093563-8D83-4A4F-AEA1-CEC4A096DB40}"/>
    <cellStyle name="Normal 3 2 51 2 2" xfId="33430" xr:uid="{F656F31B-7842-4EA8-A747-2B1E05311C56}"/>
    <cellStyle name="Normal 3 2 51 2 3" xfId="33431" xr:uid="{6D39D907-DC1B-41D8-810C-699CACB91D44}"/>
    <cellStyle name="Normal 3 2 51 2 4" xfId="33432" xr:uid="{4443A3FD-8F20-44B2-9EDD-9876AE90DD85}"/>
    <cellStyle name="Normal 3 2 51 3" xfId="33433" xr:uid="{589D9CCB-3B5F-43C1-9F92-1A3B17ED2C24}"/>
    <cellStyle name="Normal 3 2 51 4" xfId="33434" xr:uid="{44233D7B-FADE-455A-A411-508067083238}"/>
    <cellStyle name="Normal 3 2 51 5" xfId="33435" xr:uid="{95563DC5-FCEE-4D7D-996D-60561E44D213}"/>
    <cellStyle name="Normal 3 2 51 6" xfId="33436" xr:uid="{719D2DD8-44C7-4FE3-A30B-34FD101EF509}"/>
    <cellStyle name="Normal 3 2 52" xfId="33437" xr:uid="{66196854-7909-42B8-A603-FA3684852E28}"/>
    <cellStyle name="Normal 3 2 53" xfId="33438" xr:uid="{1D4A21BA-E2D1-4647-BCFB-44855E0A7DA7}"/>
    <cellStyle name="Normal 3 2 54" xfId="33439" xr:uid="{132A1B34-FBF0-4D71-9A36-B11A8A9CDD26}"/>
    <cellStyle name="Normal 3 2 55" xfId="33440" xr:uid="{DCF0FD7C-A8D0-44ED-84CD-D778D3B1E2FC}"/>
    <cellStyle name="Normal 3 2 56" xfId="33441" xr:uid="{FDE318A5-0348-4263-B0E3-08338F13656A}"/>
    <cellStyle name="Normal 3 2 57" xfId="33442" xr:uid="{904F24F4-9DB1-4B1F-92B8-186A2CBDEC11}"/>
    <cellStyle name="Normal 3 2 57 2" xfId="33443" xr:uid="{367C8C26-053C-4C30-A01C-082863137441}"/>
    <cellStyle name="Normal 3 2 57 3" xfId="33444" xr:uid="{78899E33-C176-4AD1-B6A2-98E99C4CCD6E}"/>
    <cellStyle name="Normal 3 2 57 4" xfId="33445" xr:uid="{3F77D62A-E74A-4DC2-ACE0-9444F193FB6C}"/>
    <cellStyle name="Normal 3 2 58" xfId="33446" xr:uid="{F00C9C04-7872-443B-8F8E-ED75C82E8B76}"/>
    <cellStyle name="Normal 3 2 59" xfId="33447" xr:uid="{059D34B1-DC7E-49A5-BD9C-B1742DD7F1E2}"/>
    <cellStyle name="Normal 3 2 6" xfId="33448" xr:uid="{62AA8AA0-1916-471F-8BF0-82C4B9893DE7}"/>
    <cellStyle name="Normal 3 2 6 10" xfId="33449" xr:uid="{D569ADD3-0F5E-4E8A-97CC-2A7AA8A733DE}"/>
    <cellStyle name="Normal 3 2 6 11" xfId="33450" xr:uid="{B4F3BD29-54F4-4A78-A974-4551B34D3DB8}"/>
    <cellStyle name="Normal 3 2 6 2" xfId="33451" xr:uid="{6C7AD0A4-CE29-4258-8252-DF43E426E816}"/>
    <cellStyle name="Normal 3 2 6 2 2" xfId="33452" xr:uid="{8132A239-A249-4A80-BFF9-A11A701A6001}"/>
    <cellStyle name="Normal 3 2 6 2 3" xfId="33453" xr:uid="{B5B98AB3-7ACA-4CFE-AB57-554839BFA98B}"/>
    <cellStyle name="Normal 3 2 6 2 4" xfId="33454" xr:uid="{99BA7CE6-0C97-4D9F-A2F7-A2983B5CE56D}"/>
    <cellStyle name="Normal 3 2 6 2 5" xfId="33455" xr:uid="{0355FD00-A6D4-4809-BCA1-79AC5B3214E5}"/>
    <cellStyle name="Normal 3 2 6 2 6" xfId="33456" xr:uid="{661A9003-2B01-49BF-8D25-842DCF5D05E5}"/>
    <cellStyle name="Normal 3 2 6 3" xfId="33457" xr:uid="{90949460-02AE-4B1A-8DE3-F1DB3E09C678}"/>
    <cellStyle name="Normal 3 2 6 3 2" xfId="33458" xr:uid="{77C1D741-3718-4930-A93C-819E2A64CC8B}"/>
    <cellStyle name="Normal 3 2 6 3 3" xfId="33459" xr:uid="{CFCBB873-33F7-4897-8CE1-A79E693020EB}"/>
    <cellStyle name="Normal 3 2 6 3 4" xfId="33460" xr:uid="{F6DAD705-3D03-4029-B55F-9A476FD4C022}"/>
    <cellStyle name="Normal 3 2 6 3 5" xfId="33461" xr:uid="{FBC07A36-CD4F-4F8A-AB3C-5785DC4E4C62}"/>
    <cellStyle name="Normal 3 2 6 3 6" xfId="33462" xr:uid="{6D0B8F24-CDBC-4115-A023-E5B04161B639}"/>
    <cellStyle name="Normal 3 2 6 4" xfId="33463" xr:uid="{D0F90C45-B88B-4B30-AD07-F267176AF149}"/>
    <cellStyle name="Normal 3 2 6 4 2" xfId="33464" xr:uid="{C864530E-84C4-4A84-B60A-B0041C5B2AC7}"/>
    <cellStyle name="Normal 3 2 6 4 3" xfId="33465" xr:uid="{7FB4AD08-11CC-46E3-850D-8E0B73B71A5A}"/>
    <cellStyle name="Normal 3 2 6 4 4" xfId="33466" xr:uid="{611A0606-025A-4F1B-89EA-5E4076D58E63}"/>
    <cellStyle name="Normal 3 2 6 4 5" xfId="33467" xr:uid="{6D491AF3-EB08-461C-AB50-D1F99C2432F2}"/>
    <cellStyle name="Normal 3 2 6 4 6" xfId="33468" xr:uid="{AF3ADE77-B786-4DCE-8FDD-B51D406F3A25}"/>
    <cellStyle name="Normal 3 2 6 5" xfId="33469" xr:uid="{7F7E602F-05E2-4EF4-B95E-8031293C693B}"/>
    <cellStyle name="Normal 3 2 6 5 2" xfId="33470" xr:uid="{1EC84BE3-0F0F-48D2-A9CF-E734ED2F2201}"/>
    <cellStyle name="Normal 3 2 6 5 3" xfId="33471" xr:uid="{49767882-BC29-4C01-95D4-812997D170F7}"/>
    <cellStyle name="Normal 3 2 6 5 4" xfId="33472" xr:uid="{5AB49172-7969-424F-B626-F3CD94494557}"/>
    <cellStyle name="Normal 3 2 6 5 5" xfId="33473" xr:uid="{986D56EA-D7B7-4C92-8BA7-662835EB5F21}"/>
    <cellStyle name="Normal 3 2 6 5 6" xfId="33474" xr:uid="{FA561831-D2FA-4B49-9AA8-3751632843AF}"/>
    <cellStyle name="Normal 3 2 6 6" xfId="33475" xr:uid="{53975B92-201E-48FB-A590-F5E19DA4CD55}"/>
    <cellStyle name="Normal 3 2 6 6 2" xfId="33476" xr:uid="{D258E87E-A03C-48DD-B6FB-30111BB632EA}"/>
    <cellStyle name="Normal 3 2 6 6 3" xfId="33477" xr:uid="{705F2AD3-24EE-46C3-8F41-8297F81D19C2}"/>
    <cellStyle name="Normal 3 2 6 6 4" xfId="33478" xr:uid="{29787AD4-3B65-447D-ABCE-E511669625B4}"/>
    <cellStyle name="Normal 3 2 6 6 5" xfId="33479" xr:uid="{0803863B-9D51-4F52-84A6-A90A0BBF52F5}"/>
    <cellStyle name="Normal 3 2 6 6 6" xfId="33480" xr:uid="{CBD7D027-669F-4799-94D5-5E5285012559}"/>
    <cellStyle name="Normal 3 2 6 7" xfId="33481" xr:uid="{9D916CC3-9C5B-4CC3-A7D8-6D70F9C31C79}"/>
    <cellStyle name="Normal 3 2 6 8" xfId="33482" xr:uid="{31C88169-1263-4FE1-A94D-DF0D3DC57755}"/>
    <cellStyle name="Normal 3 2 6 9" xfId="33483" xr:uid="{10C1E826-03B8-465C-8EF8-7C244B6A31BD}"/>
    <cellStyle name="Normal 3 2 60" xfId="33484" xr:uid="{82576073-693B-486B-A172-653FC53D3D2A}"/>
    <cellStyle name="Normal 3 2 61" xfId="33485" xr:uid="{F8B8EFA7-5DFD-423E-B314-509A93B3DBAD}"/>
    <cellStyle name="Normal 3 2 62" xfId="33486" xr:uid="{B304ACBB-BD2E-476F-A87F-D3D7DE3E68B9}"/>
    <cellStyle name="Normal 3 2 63" xfId="33487" xr:uid="{A4FA7094-64E6-4FEF-BCBF-9B4FE1F426B9}"/>
    <cellStyle name="Normal 3 2 64" xfId="33488" xr:uid="{C149CE8C-9F35-46FD-BEDD-3E7BA71AF162}"/>
    <cellStyle name="Normal 3 2 65" xfId="33489" xr:uid="{C3948292-E907-4217-AD10-1C76B39C38C2}"/>
    <cellStyle name="Normal 3 2 66" xfId="33490" xr:uid="{5CEE9DB0-F92B-409C-80DE-77411AAB1D40}"/>
    <cellStyle name="Normal 3 2 67" xfId="33491" xr:uid="{7148006E-FDDC-4C79-A6F1-08AF043532A3}"/>
    <cellStyle name="Normal 3 2 68" xfId="33492" xr:uid="{09B5A879-1C9E-437E-81CE-A409A7819F51}"/>
    <cellStyle name="Normal 3 2 69" xfId="33493" xr:uid="{9F4C972C-79E9-440A-9CFF-ABB6A9723A51}"/>
    <cellStyle name="Normal 3 2 7" xfId="33494" xr:uid="{E0674523-56B4-4157-9072-DA514AF8C99B}"/>
    <cellStyle name="Normal 3 2 7 10" xfId="33495" xr:uid="{0FBFA72C-9A44-4F65-8C0E-BF1EA0132621}"/>
    <cellStyle name="Normal 3 2 7 11" xfId="33496" xr:uid="{0E0B3B8D-7C61-494E-9719-488FC5732196}"/>
    <cellStyle name="Normal 3 2 7 2" xfId="33497" xr:uid="{7DDF15D6-5691-4D5D-9A8B-7763AE1CEA99}"/>
    <cellStyle name="Normal 3 2 7 2 2" xfId="33498" xr:uid="{B7BF4F27-C08E-461E-8E7E-02C345BD7659}"/>
    <cellStyle name="Normal 3 2 7 2 3" xfId="33499" xr:uid="{94F7760B-4F89-4124-9A8A-BC693C9CBA59}"/>
    <cellStyle name="Normal 3 2 7 2 4" xfId="33500" xr:uid="{32F45FE4-0135-461D-97DF-E72DFD96A552}"/>
    <cellStyle name="Normal 3 2 7 2 5" xfId="33501" xr:uid="{DD11E74D-D038-452B-8517-D159AE3ECD66}"/>
    <cellStyle name="Normal 3 2 7 2 6" xfId="33502" xr:uid="{C7C261A2-AF0D-4F21-AA1E-CEF2009EDD09}"/>
    <cellStyle name="Normal 3 2 7 3" xfId="33503" xr:uid="{4E896867-90FB-49B9-8DB8-02AC4544BD1D}"/>
    <cellStyle name="Normal 3 2 7 3 2" xfId="33504" xr:uid="{D04F50B8-A777-4105-A9EC-41309C2CCD4D}"/>
    <cellStyle name="Normal 3 2 7 3 3" xfId="33505" xr:uid="{97DEDBA4-03DD-4806-8163-4C408B522512}"/>
    <cellStyle name="Normal 3 2 7 3 4" xfId="33506" xr:uid="{43B2E9D9-5A4D-44C8-BECF-E363CD9E46ED}"/>
    <cellStyle name="Normal 3 2 7 3 5" xfId="33507" xr:uid="{AF3134D4-8BD2-43ED-A2DB-67A50BE1FAFE}"/>
    <cellStyle name="Normal 3 2 7 3 6" xfId="33508" xr:uid="{4C890E39-736A-4892-8F3A-201997F9FEEB}"/>
    <cellStyle name="Normal 3 2 7 4" xfId="33509" xr:uid="{9CC627BE-E199-4944-A805-61A4F9CFCE82}"/>
    <cellStyle name="Normal 3 2 7 4 2" xfId="33510" xr:uid="{57A84569-03CB-48EE-807E-D8CED3F00347}"/>
    <cellStyle name="Normal 3 2 7 4 3" xfId="33511" xr:uid="{E603912B-E13E-4ACA-A245-C2BE8715BFA8}"/>
    <cellStyle name="Normal 3 2 7 4 4" xfId="33512" xr:uid="{153A107F-87D1-4A1A-A9BE-81B353A75192}"/>
    <cellStyle name="Normal 3 2 7 4 5" xfId="33513" xr:uid="{7A416E41-448B-4693-BA21-96576E51B2AA}"/>
    <cellStyle name="Normal 3 2 7 4 6" xfId="33514" xr:uid="{AE21601E-EC10-4F7C-994E-DAEB3CB26753}"/>
    <cellStyle name="Normal 3 2 7 5" xfId="33515" xr:uid="{C817905D-F054-4957-813B-58306EAE0914}"/>
    <cellStyle name="Normal 3 2 7 5 2" xfId="33516" xr:uid="{6DAA8845-CE95-4122-B4EF-B62778BBD8D9}"/>
    <cellStyle name="Normal 3 2 7 5 3" xfId="33517" xr:uid="{B7EB8A5A-647D-4AFC-9424-A54A1D13C664}"/>
    <cellStyle name="Normal 3 2 7 5 4" xfId="33518" xr:uid="{C3D85B5B-2C4F-431D-84F6-74682D33026B}"/>
    <cellStyle name="Normal 3 2 7 5 5" xfId="33519" xr:uid="{DE22400E-9B68-407B-B151-4D8D1765CDC2}"/>
    <cellStyle name="Normal 3 2 7 5 6" xfId="33520" xr:uid="{583CB6BE-105D-44BD-89D3-E06286F106CD}"/>
    <cellStyle name="Normal 3 2 7 6" xfId="33521" xr:uid="{8796E28F-89F3-4BF1-A099-1245A2E3579D}"/>
    <cellStyle name="Normal 3 2 7 6 2" xfId="33522" xr:uid="{5932D52C-D0C0-497F-A9BC-14D60C984F84}"/>
    <cellStyle name="Normal 3 2 7 6 3" xfId="33523" xr:uid="{BE31AB1D-3DDA-42DD-8BE4-B25FC4DB05F3}"/>
    <cellStyle name="Normal 3 2 7 6 4" xfId="33524" xr:uid="{1BC95901-59AD-4D04-872F-120F7D8A0EA9}"/>
    <cellStyle name="Normal 3 2 7 6 5" xfId="33525" xr:uid="{FCDB38EC-DA1B-446B-941F-C939D1952F2C}"/>
    <cellStyle name="Normal 3 2 7 6 6" xfId="33526" xr:uid="{ECB1653F-7F5E-4396-AF39-9435DA78C025}"/>
    <cellStyle name="Normal 3 2 7 7" xfId="33527" xr:uid="{EB2C97F4-2C25-4239-BD75-DE3A7A6BCE37}"/>
    <cellStyle name="Normal 3 2 7 8" xfId="33528" xr:uid="{65797436-7D71-4B5E-9D12-E118E1DC3E5E}"/>
    <cellStyle name="Normal 3 2 7 9" xfId="33529" xr:uid="{2D2FAA72-452F-4667-A42F-1272D892D616}"/>
    <cellStyle name="Normal 3 2 70" xfId="33530" xr:uid="{2BBCD01A-1FAF-48E6-8751-65BAA5D2CA40}"/>
    <cellStyle name="Normal 3 2 71" xfId="33531" xr:uid="{049114DC-EC43-4826-B73A-94DE420BEF50}"/>
    <cellStyle name="Normal 3 2 72" xfId="33532" xr:uid="{95501B84-1C0D-4743-8CA7-8227AB76111E}"/>
    <cellStyle name="Normal 3 2 72 2" xfId="33533" xr:uid="{425C1313-7DB0-4251-879E-CD3B503E137B}"/>
    <cellStyle name="Normal 3 2 72 3" xfId="33534" xr:uid="{483A907D-CFE0-4556-AF98-9F576D3377C0}"/>
    <cellStyle name="Normal 3 2 72 4" xfId="33535" xr:uid="{F740DE69-BE74-4E36-B0ED-33F60EA9624F}"/>
    <cellStyle name="Normal 3 2 72 5" xfId="33536" xr:uid="{D9309DBC-0A73-459D-898C-E1E76E1AA61E}"/>
    <cellStyle name="Normal 3 2 72 6" xfId="33537" xr:uid="{211C94A3-93F0-4667-8813-92585DF40198}"/>
    <cellStyle name="Normal 3 2 72 7" xfId="33538" xr:uid="{2D01293C-79DC-4F44-9658-CFDAFE99284B}"/>
    <cellStyle name="Normal 3 2 73" xfId="33539" xr:uid="{887AE8F1-72E9-457B-B2C3-F7F3E6606B4A}"/>
    <cellStyle name="Normal 3 2 74" xfId="33540" xr:uid="{C461E471-A42D-4398-8041-CBCECC073595}"/>
    <cellStyle name="Normal 3 2 75" xfId="33541" xr:uid="{7C14CEAC-2D87-4FDD-9B67-A1D5A3822C8A}"/>
    <cellStyle name="Normal 3 2 76" xfId="33542" xr:uid="{C4030FC8-D727-442B-9BFB-92537A98A1E9}"/>
    <cellStyle name="Normal 3 2 77" xfId="33543" xr:uid="{F8AC1CCD-0BDD-4367-AFEC-0ED33E32BCF4}"/>
    <cellStyle name="Normal 3 2 78" xfId="33544" xr:uid="{EBA4632D-D277-4198-ADC3-0636DE531E6A}"/>
    <cellStyle name="Normal 3 2 79" xfId="33545" xr:uid="{9EB1E3F9-CB80-4DA5-9DA9-2D3108C647C6}"/>
    <cellStyle name="Normal 3 2 8" xfId="33546" xr:uid="{5EC811E4-E2DD-47E3-BE38-07BC00747A2B}"/>
    <cellStyle name="Normal 3 2 8 10" xfId="33547" xr:uid="{ACD377BA-132B-4009-B40E-67D9D23890D7}"/>
    <cellStyle name="Normal 3 2 8 11" xfId="33548" xr:uid="{7072F1A6-136E-427D-932D-C497125DB069}"/>
    <cellStyle name="Normal 3 2 8 2" xfId="33549" xr:uid="{34D6455B-AF17-4FB1-A9DB-EF98D4C3809A}"/>
    <cellStyle name="Normal 3 2 8 2 2" xfId="33550" xr:uid="{EFC5C071-74C7-463B-B99F-420316279F5E}"/>
    <cellStyle name="Normal 3 2 8 2 3" xfId="33551" xr:uid="{0346D748-1130-48F6-AE15-E5B1CEB9F078}"/>
    <cellStyle name="Normal 3 2 8 2 4" xfId="33552" xr:uid="{7D48FCE2-EA4F-46AC-8722-F9FBECAFA329}"/>
    <cellStyle name="Normal 3 2 8 2 5" xfId="33553" xr:uid="{399CD5BE-0EC2-4579-A333-8CEC3A4089AD}"/>
    <cellStyle name="Normal 3 2 8 2 6" xfId="33554" xr:uid="{55BF49E2-A7D7-4A7B-B7D4-1B8FB43B3103}"/>
    <cellStyle name="Normal 3 2 8 3" xfId="33555" xr:uid="{2CB1F74B-F6BF-41C0-87F1-0AC687215A57}"/>
    <cellStyle name="Normal 3 2 8 3 2" xfId="33556" xr:uid="{285C5B43-EB68-4646-B454-2DEA995D0AE6}"/>
    <cellStyle name="Normal 3 2 8 3 3" xfId="33557" xr:uid="{D6397CA1-72D9-4AC2-A397-B47794ECFE3C}"/>
    <cellStyle name="Normal 3 2 8 3 4" xfId="33558" xr:uid="{CC9A17CB-0C4D-411F-B5EE-ADDDDA28C5B4}"/>
    <cellStyle name="Normal 3 2 8 3 5" xfId="33559" xr:uid="{831E6EE3-E84E-42F5-95E5-72457C5EA59E}"/>
    <cellStyle name="Normal 3 2 8 3 6" xfId="33560" xr:uid="{266251F5-F02B-4027-BFF7-1A06AB9903D8}"/>
    <cellStyle name="Normal 3 2 8 4" xfId="33561" xr:uid="{922395E2-2F1D-4FF3-91FA-A062CE22594B}"/>
    <cellStyle name="Normal 3 2 8 4 2" xfId="33562" xr:uid="{D33A31C5-93AC-4D0F-A9F4-0448EF29F703}"/>
    <cellStyle name="Normal 3 2 8 4 3" xfId="33563" xr:uid="{C30745EB-69C4-4FCB-AE14-8D717C7F840D}"/>
    <cellStyle name="Normal 3 2 8 4 4" xfId="33564" xr:uid="{755C2734-D159-42E2-A891-0DF1600E2526}"/>
    <cellStyle name="Normal 3 2 8 4 5" xfId="33565" xr:uid="{6258DE5E-1DF2-4C75-BC6D-0D12EEF72E13}"/>
    <cellStyle name="Normal 3 2 8 4 6" xfId="33566" xr:uid="{4CDCA60F-855E-4DBD-847C-9EE0026929B5}"/>
    <cellStyle name="Normal 3 2 8 5" xfId="33567" xr:uid="{9C987043-0F88-4CA2-96E0-7D4A53F54C4A}"/>
    <cellStyle name="Normal 3 2 8 5 2" xfId="33568" xr:uid="{99C1AE16-A344-49A2-8E97-22A2CFC6D6CE}"/>
    <cellStyle name="Normal 3 2 8 5 3" xfId="33569" xr:uid="{508B00CA-17EB-4032-BE25-891E04B588E4}"/>
    <cellStyle name="Normal 3 2 8 5 4" xfId="33570" xr:uid="{0840204A-D99A-4795-8AB0-50FFA89D3646}"/>
    <cellStyle name="Normal 3 2 8 5 5" xfId="33571" xr:uid="{85326D82-A290-4F49-968B-289C147BC14C}"/>
    <cellStyle name="Normal 3 2 8 5 6" xfId="33572" xr:uid="{C9FFBBD3-4DAD-4449-94AF-ACDA2DF6FF90}"/>
    <cellStyle name="Normal 3 2 8 6" xfId="33573" xr:uid="{27922988-36BC-4B70-B677-616E571508C6}"/>
    <cellStyle name="Normal 3 2 8 6 2" xfId="33574" xr:uid="{F6525FC2-3B8E-4B91-9788-D0F20B3C212D}"/>
    <cellStyle name="Normal 3 2 8 6 3" xfId="33575" xr:uid="{28015C87-3172-4556-8C2C-2CAA8F2435A5}"/>
    <cellStyle name="Normal 3 2 8 6 4" xfId="33576" xr:uid="{10D9417D-2992-49A4-9115-F93C811B32BD}"/>
    <cellStyle name="Normal 3 2 8 6 5" xfId="33577" xr:uid="{152699BD-F130-4EB6-A201-D2D7118C81D3}"/>
    <cellStyle name="Normal 3 2 8 6 6" xfId="33578" xr:uid="{22A51331-8413-4FAA-934A-AA1FC5796B24}"/>
    <cellStyle name="Normal 3 2 8 7" xfId="33579" xr:uid="{0D913999-1F6F-49DE-9B09-A33A617C9E2B}"/>
    <cellStyle name="Normal 3 2 8 8" xfId="33580" xr:uid="{C9A89DB9-4519-4478-9246-463255154814}"/>
    <cellStyle name="Normal 3 2 8 9" xfId="33581" xr:uid="{0E8FB6F9-CBBB-4C75-9196-D043CBC19E8C}"/>
    <cellStyle name="Normal 3 2 80" xfId="33582" xr:uid="{0A4AECA6-7E3C-41E1-A712-948137523EF8}"/>
    <cellStyle name="Normal 3 2 81" xfId="33583" xr:uid="{B000BD6B-81B0-46C3-8EB7-968535E6DFEA}"/>
    <cellStyle name="Normal 3 2 82" xfId="33584" xr:uid="{1FE477BC-AE3F-4127-B4C8-D9F851A8039E}"/>
    <cellStyle name="Normal 3 2 83" xfId="33585" xr:uid="{D2C5F208-44C8-4E46-B6B1-8AE0E598EAF4}"/>
    <cellStyle name="Normal 3 2 84" xfId="33586" xr:uid="{F0194D64-E234-4142-B437-61CEC8C45BDB}"/>
    <cellStyle name="Normal 3 2 85" xfId="33587" xr:uid="{4E34DD59-8687-4495-987C-EE795283BFE9}"/>
    <cellStyle name="Normal 3 2 86" xfId="33588" xr:uid="{01CF76B9-BD63-4282-A63E-484C98F8E063}"/>
    <cellStyle name="Normal 3 2 87" xfId="33589" xr:uid="{381ADBA7-8C32-4E7E-8CA5-646E1298D002}"/>
    <cellStyle name="Normal 3 2 88" xfId="33590" xr:uid="{BFF48896-19B5-403D-B942-B14C7E1E7984}"/>
    <cellStyle name="Normal 3 2 89" xfId="33591" xr:uid="{7DDA0E18-F4AB-4A4F-B763-5E4E0D6D22B5}"/>
    <cellStyle name="Normal 3 2 9" xfId="33592" xr:uid="{EC29F5A7-9B1B-446A-BC43-0CC758B167AF}"/>
    <cellStyle name="Normal 3 2 9 10" xfId="33593" xr:uid="{90D88CCF-B0A9-4394-AE03-E104A7B88912}"/>
    <cellStyle name="Normal 3 2 9 11" xfId="33594" xr:uid="{944BDBF4-8A6B-4BCC-997F-AF00F1BA7645}"/>
    <cellStyle name="Normal 3 2 9 2" xfId="33595" xr:uid="{AED56BC3-9C82-4FA8-86B8-483F1532A0B2}"/>
    <cellStyle name="Normal 3 2 9 2 2" xfId="33596" xr:uid="{DB74EF59-836E-44A6-A40B-462049FA50FD}"/>
    <cellStyle name="Normal 3 2 9 2 3" xfId="33597" xr:uid="{258489D1-5AF2-4323-B501-2FA78A14D79B}"/>
    <cellStyle name="Normal 3 2 9 2 4" xfId="33598" xr:uid="{17CB4243-1D9A-434C-8FFF-6BC78FEB43DB}"/>
    <cellStyle name="Normal 3 2 9 2 5" xfId="33599" xr:uid="{C09E7A49-6BA2-47A8-A9BE-034604B1FCA5}"/>
    <cellStyle name="Normal 3 2 9 2 6" xfId="33600" xr:uid="{B333F41A-A3D1-46A3-8405-F1E46BFAE13E}"/>
    <cellStyle name="Normal 3 2 9 3" xfId="33601" xr:uid="{62A4C0AA-21A2-472B-9ECF-9A08EC4E70BD}"/>
    <cellStyle name="Normal 3 2 9 3 2" xfId="33602" xr:uid="{30A1AE38-7404-4582-AA79-B3BBD81FE6F1}"/>
    <cellStyle name="Normal 3 2 9 3 3" xfId="33603" xr:uid="{3A66DF75-F002-4906-83D7-3A9DA8B3BC79}"/>
    <cellStyle name="Normal 3 2 9 3 4" xfId="33604" xr:uid="{72BB7D47-7FCA-4117-AD06-C8F57582044B}"/>
    <cellStyle name="Normal 3 2 9 3 5" xfId="33605" xr:uid="{38029E83-7AC3-4C63-800D-DCB63507236A}"/>
    <cellStyle name="Normal 3 2 9 3 6" xfId="33606" xr:uid="{56A1B95D-65D3-4011-B72C-0520019BEBE9}"/>
    <cellStyle name="Normal 3 2 9 4" xfId="33607" xr:uid="{234EA972-8560-414A-BC3C-04AD792F1DDB}"/>
    <cellStyle name="Normal 3 2 9 4 2" xfId="33608" xr:uid="{3BB66D18-674D-4321-9557-1908A123BE78}"/>
    <cellStyle name="Normal 3 2 9 4 3" xfId="33609" xr:uid="{476C7AFE-9436-4C2C-A82B-6EA2552196C9}"/>
    <cellStyle name="Normal 3 2 9 4 4" xfId="33610" xr:uid="{1D31710B-74F0-45AF-B8A0-BE1786A93020}"/>
    <cellStyle name="Normal 3 2 9 4 5" xfId="33611" xr:uid="{0A6C9037-9144-4D23-AD1A-F35481F20143}"/>
    <cellStyle name="Normal 3 2 9 4 6" xfId="33612" xr:uid="{6EA65652-1B2D-4E14-AAE7-7977568784F4}"/>
    <cellStyle name="Normal 3 2 9 5" xfId="33613" xr:uid="{481BB59E-6C44-464E-AD4E-115EFCD08D4E}"/>
    <cellStyle name="Normal 3 2 9 5 2" xfId="33614" xr:uid="{77AEED20-CA94-433E-A5F2-3DCF7DD0BB03}"/>
    <cellStyle name="Normal 3 2 9 5 3" xfId="33615" xr:uid="{0731D7C1-5AEF-4CFD-969E-3CBBFE014D1C}"/>
    <cellStyle name="Normal 3 2 9 5 4" xfId="33616" xr:uid="{1C99FCB9-AF78-44BE-99C0-4797B54959E5}"/>
    <cellStyle name="Normal 3 2 9 5 5" xfId="33617" xr:uid="{B6640E45-C536-4355-8D6D-FC7C1D9B2104}"/>
    <cellStyle name="Normal 3 2 9 5 6" xfId="33618" xr:uid="{DBC9142A-720F-4F35-8A15-1008FB35BC07}"/>
    <cellStyle name="Normal 3 2 9 6" xfId="33619" xr:uid="{DF52929E-B166-418F-B1F7-2CEFD161D0B7}"/>
    <cellStyle name="Normal 3 2 9 6 2" xfId="33620" xr:uid="{18E3ECEA-2201-4A19-96AD-030500C9A555}"/>
    <cellStyle name="Normal 3 2 9 6 3" xfId="33621" xr:uid="{B38B1C1C-52AB-4F62-A3F6-0B4418678DD9}"/>
    <cellStyle name="Normal 3 2 9 6 4" xfId="33622" xr:uid="{3BBF57A7-33E7-42A1-904E-73F9EF7C36A1}"/>
    <cellStyle name="Normal 3 2 9 6 5" xfId="33623" xr:uid="{33F98DDB-911F-470B-B877-2BFCB95BBD77}"/>
    <cellStyle name="Normal 3 2 9 6 6" xfId="33624" xr:uid="{3A20A7BC-B88C-4D84-B026-AF79E9150826}"/>
    <cellStyle name="Normal 3 2 9 7" xfId="33625" xr:uid="{D6A99B64-4E6F-421B-A563-DF899AFF979A}"/>
    <cellStyle name="Normal 3 2 9 8" xfId="33626" xr:uid="{E991CED9-8AFF-4521-AB70-8DC3839B1FA4}"/>
    <cellStyle name="Normal 3 2 9 9" xfId="33627" xr:uid="{5F92FCDB-818C-4BDF-BC91-B8B5CF8A6E76}"/>
    <cellStyle name="Normal 3 2 90" xfId="33628" xr:uid="{AD96C087-12C5-45E0-9091-908D5FADB6AD}"/>
    <cellStyle name="Normal 3 2 91" xfId="33629" xr:uid="{C0374E7A-3691-4710-9298-C23350B39141}"/>
    <cellStyle name="Normal 3 2 92" xfId="33630" xr:uid="{A3C0D5CC-81C9-4A96-9758-796C6DC01FA8}"/>
    <cellStyle name="Normal 3 2 93" xfId="33631" xr:uid="{517AFFFF-56B4-40AE-847A-D4CCEAD24F58}"/>
    <cellStyle name="Normal 3 2 94" xfId="33632" xr:uid="{80B62B90-E8D9-4E23-828D-78B5FBF86334}"/>
    <cellStyle name="Normal 3 2 95" xfId="33633" xr:uid="{2EF340C1-F26C-44E1-9D19-C9988C791899}"/>
    <cellStyle name="Normal 3 2 96" xfId="33634" xr:uid="{05E17324-DF62-4578-B093-1DFD8515E903}"/>
    <cellStyle name="Normal 3 2 96 10" xfId="33635" xr:uid="{A3563E3B-C78D-4E37-B492-32B26450311D}"/>
    <cellStyle name="Normal 3 2 96 11" xfId="33636" xr:uid="{B8DCFFD9-607E-49EB-BAC1-A6C867A78E35}"/>
    <cellStyle name="Normal 3 2 96 12" xfId="33637" xr:uid="{66652440-615A-4C01-ACBE-10A41486FC9B}"/>
    <cellStyle name="Normal 3 2 96 13" xfId="33638" xr:uid="{F59F2C71-486B-41FB-BBEC-9AFECC13B288}"/>
    <cellStyle name="Normal 3 2 96 14" xfId="33639" xr:uid="{31F51DE6-654B-43A6-90F5-CCE8516FA036}"/>
    <cellStyle name="Normal 3 2 96 15" xfId="33640" xr:uid="{27B30152-5D6C-4343-B0CC-C706B90E70A6}"/>
    <cellStyle name="Normal 3 2 96 16" xfId="33641" xr:uid="{A7A8EEEB-8D1C-4609-B6C0-ADE8AD6F1AA9}"/>
    <cellStyle name="Normal 3 2 96 17" xfId="33642" xr:uid="{40118D8F-6862-4E79-8D33-B19962FD91F1}"/>
    <cellStyle name="Normal 3 2 96 18" xfId="33643" xr:uid="{7E024192-1A96-42F8-8EF7-A2D4369719E7}"/>
    <cellStyle name="Normal 3 2 96 19" xfId="33644" xr:uid="{C4A4B37C-A64F-4E28-B111-2C0896EF6178}"/>
    <cellStyle name="Normal 3 2 96 2" xfId="33645" xr:uid="{F32A4A74-6E47-48F6-A9CB-67EF65FA1905}"/>
    <cellStyle name="Normal 3 2 96 20" xfId="33646" xr:uid="{AA19D9D3-9449-4BB1-9D53-8DF0CC2F1D32}"/>
    <cellStyle name="Normal 3 2 96 3" xfId="33647" xr:uid="{278B5CC7-0282-438B-A422-BB8443C1DA69}"/>
    <cellStyle name="Normal 3 2 96 4" xfId="33648" xr:uid="{E7F957F7-3860-4A7D-A8AC-8277E275171D}"/>
    <cellStyle name="Normal 3 2 96 5" xfId="33649" xr:uid="{0ED53528-0517-493C-9DDC-2E07E5CDB23B}"/>
    <cellStyle name="Normal 3 2 96 6" xfId="33650" xr:uid="{90AF2736-7A30-4ED8-A79B-BB61D59819B5}"/>
    <cellStyle name="Normal 3 2 96 7" xfId="33651" xr:uid="{49643460-0CD0-46BE-94A5-A60936252A36}"/>
    <cellStyle name="Normal 3 2 96 8" xfId="33652" xr:uid="{3A5D15FA-137C-49BA-BF12-D94EC2B2B3EF}"/>
    <cellStyle name="Normal 3 2 96 9" xfId="33653" xr:uid="{EE507783-2451-4AAA-AA08-E9227354805A}"/>
    <cellStyle name="Normal 3 2 97" xfId="33654" xr:uid="{05D9DBFB-FF2B-4F7B-9725-EC0C4FAE949C}"/>
    <cellStyle name="Normal 3 2 97 10" xfId="33655" xr:uid="{2214FBD5-9CEF-4357-AE29-AC59012ADC2E}"/>
    <cellStyle name="Normal 3 2 97 11" xfId="33656" xr:uid="{03D032D3-0555-4F83-8523-FE6FB52B92B3}"/>
    <cellStyle name="Normal 3 2 97 12" xfId="33657" xr:uid="{B9F5F4AE-EAD3-489C-955A-542151D2A96D}"/>
    <cellStyle name="Normal 3 2 97 13" xfId="33658" xr:uid="{7C6EA168-3F4D-4F81-B834-0747488B11AF}"/>
    <cellStyle name="Normal 3 2 97 14" xfId="33659" xr:uid="{D613FAAF-6918-47E2-9E23-6E31BD3C52F0}"/>
    <cellStyle name="Normal 3 2 97 15" xfId="33660" xr:uid="{800FF974-AED9-437E-B25F-5599815EDF6B}"/>
    <cellStyle name="Normal 3 2 97 16" xfId="33661" xr:uid="{A4DEC8AD-71EC-4A2E-89E9-122A60E3C4FF}"/>
    <cellStyle name="Normal 3 2 97 17" xfId="33662" xr:uid="{87C5F734-8133-4DCF-A380-6996F719C864}"/>
    <cellStyle name="Normal 3 2 97 2" xfId="33663" xr:uid="{9ADB6728-3F08-41B6-9CD4-32B870ECEF69}"/>
    <cellStyle name="Normal 3 2 97 3" xfId="33664" xr:uid="{34B4FFA9-B71F-409E-A34E-E47C96A0E686}"/>
    <cellStyle name="Normal 3 2 97 4" xfId="33665" xr:uid="{0B690E0F-E11F-419F-8656-3924224B0F39}"/>
    <cellStyle name="Normal 3 2 97 5" xfId="33666" xr:uid="{D91D61E2-FE25-4794-AF00-DA11B88AD95B}"/>
    <cellStyle name="Normal 3 2 97 6" xfId="33667" xr:uid="{387BE132-E0E3-4B0B-8A80-DA0E825A00EE}"/>
    <cellStyle name="Normal 3 2 97 7" xfId="33668" xr:uid="{D4873FF5-3A68-4BBE-AA83-79C91E54C0EB}"/>
    <cellStyle name="Normal 3 2 97 8" xfId="33669" xr:uid="{0B294CDA-F70B-44C3-BEE2-C04EE680646D}"/>
    <cellStyle name="Normal 3 2 97 9" xfId="33670" xr:uid="{EAB9FD9F-8CFD-4529-A72F-AB64732EE8D1}"/>
    <cellStyle name="Normal 3 2 98" xfId="33671" xr:uid="{62DC9AA8-5CBA-4A1A-B14E-5111D72898A1}"/>
    <cellStyle name="Normal 3 2 98 10" xfId="33672" xr:uid="{D768B6E3-D793-4DDB-994F-874347284B32}"/>
    <cellStyle name="Normal 3 2 98 11" xfId="33673" xr:uid="{37E1662A-CF2B-419F-86CF-C0CCC2E08205}"/>
    <cellStyle name="Normal 3 2 98 12" xfId="33674" xr:uid="{B0DC861A-4D79-498D-A875-29D4798F5683}"/>
    <cellStyle name="Normal 3 2 98 13" xfId="33675" xr:uid="{A540B1F7-EB1F-4475-9CE2-0CEC21BC98BA}"/>
    <cellStyle name="Normal 3 2 98 14" xfId="33676" xr:uid="{09A21612-E90C-423D-86C2-8E0218F9F173}"/>
    <cellStyle name="Normal 3 2 98 15" xfId="33677" xr:uid="{448EE24E-DE5C-4547-81B9-8557E7A09286}"/>
    <cellStyle name="Normal 3 2 98 16" xfId="33678" xr:uid="{911D96CA-207A-409C-BCB6-AA03592295D6}"/>
    <cellStyle name="Normal 3 2 98 17" xfId="33679" xr:uid="{8D48F593-C555-47CD-AD4F-EE44AA5B9DE5}"/>
    <cellStyle name="Normal 3 2 98 2" xfId="33680" xr:uid="{2CE3E467-E620-425F-8C34-50159C4FA14B}"/>
    <cellStyle name="Normal 3 2 98 3" xfId="33681" xr:uid="{3225D1F5-E026-4704-B73D-98AD69D9BA03}"/>
    <cellStyle name="Normal 3 2 98 4" xfId="33682" xr:uid="{E6555933-91C2-42B7-8486-68C3B1C2F5D4}"/>
    <cellStyle name="Normal 3 2 98 5" xfId="33683" xr:uid="{C3EBD915-CBF6-4D91-B750-2854588F9BC5}"/>
    <cellStyle name="Normal 3 2 98 6" xfId="33684" xr:uid="{96094037-349A-42B5-8546-BB1EEFD0E5B2}"/>
    <cellStyle name="Normal 3 2 98 7" xfId="33685" xr:uid="{73A8470E-89E6-4940-8CE4-C176348D25AC}"/>
    <cellStyle name="Normal 3 2 98 8" xfId="33686" xr:uid="{88DFDB0A-A34F-476E-B7A5-C8FBCC00F560}"/>
    <cellStyle name="Normal 3 2 98 9" xfId="33687" xr:uid="{2F6A8CE4-3FAB-4485-B36E-81B2634D478D}"/>
    <cellStyle name="Normal 3 2 99" xfId="33688" xr:uid="{D0C92673-81F4-4980-B8E8-68BBA55517C3}"/>
    <cellStyle name="Normal 3 2 99 10" xfId="33689" xr:uid="{8E750D08-F3EC-41EA-9A36-2654E2BE037A}"/>
    <cellStyle name="Normal 3 2 99 11" xfId="33690" xr:uid="{A8FE05DF-9A0F-44FB-A929-6C7B0481AD42}"/>
    <cellStyle name="Normal 3 2 99 12" xfId="33691" xr:uid="{0F680D8F-5D74-49DF-9645-400E5DFEDA2A}"/>
    <cellStyle name="Normal 3 2 99 13" xfId="33692" xr:uid="{7A2944C9-F1FF-47A7-A186-6C8C2DB33D94}"/>
    <cellStyle name="Normal 3 2 99 2" xfId="33693" xr:uid="{F9602112-98C2-4B80-A0F4-EE44BEEC2820}"/>
    <cellStyle name="Normal 3 2 99 3" xfId="33694" xr:uid="{E372EA57-3C45-450E-A845-F2EE7C7F7E6E}"/>
    <cellStyle name="Normal 3 2 99 4" xfId="33695" xr:uid="{45C59970-875C-4F76-9397-AB2948CADB50}"/>
    <cellStyle name="Normal 3 2 99 5" xfId="33696" xr:uid="{3EA74564-99E5-4F12-B5BF-519DBA021826}"/>
    <cellStyle name="Normal 3 2 99 6" xfId="33697" xr:uid="{749B6244-473B-4EFF-AC3E-C23A2986B327}"/>
    <cellStyle name="Normal 3 2 99 7" xfId="33698" xr:uid="{E5858C05-47B9-4584-ABF6-BC23F1807EB5}"/>
    <cellStyle name="Normal 3 2 99 8" xfId="33699" xr:uid="{75969F98-9547-451B-94B3-91DC8848AE8F}"/>
    <cellStyle name="Normal 3 2 99 9" xfId="33700" xr:uid="{BEA221EE-CEEB-44F7-92E0-EC116561250C}"/>
    <cellStyle name="Normal 3 2_Ch4 v2" xfId="33701" xr:uid="{53DDB046-D670-47EE-BD27-5754FB2279E5}"/>
    <cellStyle name="Normal 3 20" xfId="33702" xr:uid="{5A7A1D32-492B-4F5A-867F-1EF41A89F3B5}"/>
    <cellStyle name="Normal 3 20 2" xfId="33703" xr:uid="{E53AE2E5-4215-41D9-BADB-B72F1EF6E816}"/>
    <cellStyle name="Normal 3 20 3" xfId="33704" xr:uid="{DC8E0DE5-08AC-43D2-B3C4-D8A5F8A09B13}"/>
    <cellStyle name="Normal 3 20 4" xfId="33705" xr:uid="{3ED3DD20-1EC2-4335-8ABA-58D6B1BC6DFA}"/>
    <cellStyle name="Normal 3 20 5" xfId="33706" xr:uid="{F401DBA4-8055-4617-8DE1-74F493C53BEC}"/>
    <cellStyle name="Normal 3 20 6" xfId="33707" xr:uid="{1A2E381D-32B1-4826-80A8-A93BF3441CE4}"/>
    <cellStyle name="Normal 3 20 7" xfId="33708" xr:uid="{CED86448-B4A3-49D4-83ED-FEB9BF779BE3}"/>
    <cellStyle name="Normal 3 21" xfId="33709" xr:uid="{0AD61710-1F95-4901-AA9B-AA73567E7F32}"/>
    <cellStyle name="Normal 3 21 2" xfId="33710" xr:uid="{9F565FB5-071C-4B74-9A8D-FA225D979A8F}"/>
    <cellStyle name="Normal 3 21 3" xfId="33711" xr:uid="{C80C9008-34C9-4E54-8046-1F0FEE18E796}"/>
    <cellStyle name="Normal 3 21 4" xfId="33712" xr:uid="{67AE69E8-D565-43D4-8BB5-02FAA580E6B5}"/>
    <cellStyle name="Normal 3 21 5" xfId="33713" xr:uid="{8F43C6CD-8BE7-46FC-9CCD-BA7E04A43AD4}"/>
    <cellStyle name="Normal 3 21 6" xfId="33714" xr:uid="{7857B826-1C2A-4DBC-BBF2-54D362D1EB04}"/>
    <cellStyle name="Normal 3 21 7" xfId="33715" xr:uid="{C1DE3BD4-701B-4DC2-A02E-E85C97C5A09F}"/>
    <cellStyle name="Normal 3 22" xfId="33716" xr:uid="{01D3C87F-C589-4860-A376-F0BCF1E992D0}"/>
    <cellStyle name="Normal 3 22 2" xfId="33717" xr:uid="{81F8C839-7940-4E0C-A774-C6D09471BF88}"/>
    <cellStyle name="Normal 3 23" xfId="33718" xr:uid="{FD018C91-EB4C-4DB5-ACB1-D9A97D6BF1BE}"/>
    <cellStyle name="Normal 3 23 2" xfId="33719" xr:uid="{0A9E7C51-FB10-4865-8A1D-D544088D7D79}"/>
    <cellStyle name="Normal 3 24" xfId="33720" xr:uid="{CDEF764B-97AF-4C32-B50F-E13F5EC399F2}"/>
    <cellStyle name="Normal 3 24 2" xfId="33721" xr:uid="{EF45E109-FD20-43FB-B761-1FB9AA89343B}"/>
    <cellStyle name="Normal 3 25" xfId="33722" xr:uid="{792B11DF-0C2B-418E-860B-B59F479A7BB6}"/>
    <cellStyle name="Normal 3 25 2" xfId="33723" xr:uid="{CFC848A9-04E9-45A7-8D78-6368874863D9}"/>
    <cellStyle name="Normal 3 26" xfId="33724" xr:uid="{2E01E8B4-C835-45BF-BC0A-27874152AA54}"/>
    <cellStyle name="Normal 3 26 2" xfId="33725" xr:uid="{36D551A5-5D45-41A2-ACD2-00280F4B9409}"/>
    <cellStyle name="Normal 3 27" xfId="33726" xr:uid="{C03042C7-BFAB-49F6-BAC7-2A99FDD2922B}"/>
    <cellStyle name="Normal 3 27 2" xfId="33727" xr:uid="{F43A9648-FBE0-42FE-9E1D-772CEAF745BE}"/>
    <cellStyle name="Normal 3 28" xfId="33728" xr:uid="{FA1712F2-9FF9-43B5-A0E9-82D14574AE65}"/>
    <cellStyle name="Normal 3 28 2" xfId="33729" xr:uid="{2A305339-CCF1-4A56-929D-A5050D865541}"/>
    <cellStyle name="Normal 3 28 3" xfId="33730" xr:uid="{2397C1F2-5870-4B93-AB76-E585BA1F606D}"/>
    <cellStyle name="Normal 3 29" xfId="33731" xr:uid="{276E9141-EC8C-4BC5-8A0B-F4F9B6EA20B9}"/>
    <cellStyle name="Normal 3 29 2" xfId="33732" xr:uid="{29965757-FDD7-418B-9F99-DFEBB90BB70C}"/>
    <cellStyle name="Normal 3 3" xfId="33733" xr:uid="{21C4093E-F76A-4DE4-BF87-4D2CC29A24CC}"/>
    <cellStyle name="Normal 3 3 10" xfId="33734" xr:uid="{799EC102-A816-4452-82A6-32704857B50E}"/>
    <cellStyle name="Normal 3 3 10 10" xfId="33735" xr:uid="{FA5BDCE1-C1DD-4533-9381-C0E07D9B3BB1}"/>
    <cellStyle name="Normal 3 3 10 11" xfId="33736" xr:uid="{E0C50138-4F74-4C05-BC0A-3F211A51476F}"/>
    <cellStyle name="Normal 3 3 10 2" xfId="33737" xr:uid="{C3CA4A44-00DB-40CC-8286-D0A5938C9997}"/>
    <cellStyle name="Normal 3 3 10 2 2" xfId="33738" xr:uid="{FADB6118-BA2F-444C-AD0C-9E99FF677AEF}"/>
    <cellStyle name="Normal 3 3 10 2 3" xfId="33739" xr:uid="{CC809EF4-2C42-44FE-A98A-3509DCFD113B}"/>
    <cellStyle name="Normal 3 3 10 2 4" xfId="33740" xr:uid="{B5DF89F1-3860-4A66-8274-7A76EC52B775}"/>
    <cellStyle name="Normal 3 3 10 2 5" xfId="33741" xr:uid="{6EEB62EF-B6A9-4383-82FE-80280FE7DE95}"/>
    <cellStyle name="Normal 3 3 10 2 6" xfId="33742" xr:uid="{FD2B264A-DBA1-4B41-955B-D9FB88925EAF}"/>
    <cellStyle name="Normal 3 3 10 3" xfId="33743" xr:uid="{C8638DA8-1279-45E8-8103-0018DE8D04BE}"/>
    <cellStyle name="Normal 3 3 10 3 2" xfId="33744" xr:uid="{716D4C76-C9AC-4D33-A952-436B4AF70BE2}"/>
    <cellStyle name="Normal 3 3 10 3 3" xfId="33745" xr:uid="{C05B287A-C341-43B3-BF1A-B5C4DA9FAD60}"/>
    <cellStyle name="Normal 3 3 10 3 4" xfId="33746" xr:uid="{425EB24E-ACFD-4884-A36A-6E8D7FDF0234}"/>
    <cellStyle name="Normal 3 3 10 3 5" xfId="33747" xr:uid="{2C70D9D9-19C0-4CA0-9896-59EED16F0036}"/>
    <cellStyle name="Normal 3 3 10 3 6" xfId="33748" xr:uid="{5322EA15-D721-48B2-A893-9D3ED895B544}"/>
    <cellStyle name="Normal 3 3 10 4" xfId="33749" xr:uid="{299A0F02-E6C8-4C4D-A2AE-8D60A8F66F05}"/>
    <cellStyle name="Normal 3 3 10 4 2" xfId="33750" xr:uid="{85141811-81CE-4CAD-879A-259F85010F25}"/>
    <cellStyle name="Normal 3 3 10 4 3" xfId="33751" xr:uid="{2B4A6960-210F-4BAC-AAA3-F57356C25756}"/>
    <cellStyle name="Normal 3 3 10 4 4" xfId="33752" xr:uid="{E39E7D29-4C6D-4F98-81C2-0E26AF467614}"/>
    <cellStyle name="Normal 3 3 10 4 5" xfId="33753" xr:uid="{7631D064-7D7A-46B3-83B5-6C6C6D34BF2E}"/>
    <cellStyle name="Normal 3 3 10 4 6" xfId="33754" xr:uid="{5EE7051F-A7F7-4AED-815B-BE5C7298A8B0}"/>
    <cellStyle name="Normal 3 3 10 5" xfId="33755" xr:uid="{55306AEF-1C62-4E16-A768-26BB4E4F985F}"/>
    <cellStyle name="Normal 3 3 10 5 2" xfId="33756" xr:uid="{28D45D2D-E468-40F9-B242-76054BB4F7CF}"/>
    <cellStyle name="Normal 3 3 10 5 3" xfId="33757" xr:uid="{2486CF1C-D9E2-401D-AAF7-3E07B1B7346F}"/>
    <cellStyle name="Normal 3 3 10 5 4" xfId="33758" xr:uid="{2EEF899D-EFF4-41F1-A4C2-289FB9C89D78}"/>
    <cellStyle name="Normal 3 3 10 5 5" xfId="33759" xr:uid="{1763777F-513C-4401-A8EB-1C93E3B13B91}"/>
    <cellStyle name="Normal 3 3 10 5 6" xfId="33760" xr:uid="{065BE8BA-54D3-4751-821E-1FB6510AB0FC}"/>
    <cellStyle name="Normal 3 3 10 6" xfId="33761" xr:uid="{520421FF-4C88-4E64-9DC0-BA4E288B40CB}"/>
    <cellStyle name="Normal 3 3 10 6 2" xfId="33762" xr:uid="{46C7048B-900E-4240-BF7B-4BA2B62C8397}"/>
    <cellStyle name="Normal 3 3 10 6 3" xfId="33763" xr:uid="{124B513D-0392-4642-8B0D-6037A59744F1}"/>
    <cellStyle name="Normal 3 3 10 6 4" xfId="33764" xr:uid="{721AA88A-00BA-42EB-9A88-8CBDBB08CF49}"/>
    <cellStyle name="Normal 3 3 10 6 5" xfId="33765" xr:uid="{82BD4153-BF34-4EA6-A9BA-692142557F0E}"/>
    <cellStyle name="Normal 3 3 10 6 6" xfId="33766" xr:uid="{30945EAF-3FB4-455E-A5AF-40B6448285F4}"/>
    <cellStyle name="Normal 3 3 10 7" xfId="33767" xr:uid="{EF322992-0AC3-4EF3-AADA-5A4420A21FFE}"/>
    <cellStyle name="Normal 3 3 10 8" xfId="33768" xr:uid="{DFD58011-3301-4F3F-902B-BCB8303446D6}"/>
    <cellStyle name="Normal 3 3 10 9" xfId="33769" xr:uid="{4A03C1E4-6510-44E0-8954-DF1B7D4C6D88}"/>
    <cellStyle name="Normal 3 3 11" xfId="33770" xr:uid="{839BDAE4-2202-4095-9CC9-6B101BE43B78}"/>
    <cellStyle name="Normal 3 3 11 10" xfId="33771" xr:uid="{BF9F50D6-130C-4C08-9A2C-7DDB5F08E898}"/>
    <cellStyle name="Normal 3 3 11 11" xfId="33772" xr:uid="{CE173802-0E2C-4051-832B-36920C37BAE3}"/>
    <cellStyle name="Normal 3 3 11 2" xfId="33773" xr:uid="{F331D808-1096-489E-9183-7BCF83005262}"/>
    <cellStyle name="Normal 3 3 11 2 2" xfId="33774" xr:uid="{E5C43A68-F70F-4BAB-BCCF-58954B6A9864}"/>
    <cellStyle name="Normal 3 3 11 2 3" xfId="33775" xr:uid="{41ECE4EE-40B9-4741-83A1-D603A529F97D}"/>
    <cellStyle name="Normal 3 3 11 2 4" xfId="33776" xr:uid="{43471920-0FF6-4D09-B3C6-E1447129EF5A}"/>
    <cellStyle name="Normal 3 3 11 2 5" xfId="33777" xr:uid="{72A7D709-A67C-4E06-A847-88A797CEBEB0}"/>
    <cellStyle name="Normal 3 3 11 2 6" xfId="33778" xr:uid="{E65FD5DB-65DE-44C6-8690-BD1EBD48502D}"/>
    <cellStyle name="Normal 3 3 11 3" xfId="33779" xr:uid="{118D1CA8-270A-40B6-BE6E-0EB188891F6D}"/>
    <cellStyle name="Normal 3 3 11 3 2" xfId="33780" xr:uid="{5B626BCC-20C8-44FA-B722-54E37864448A}"/>
    <cellStyle name="Normal 3 3 11 3 3" xfId="33781" xr:uid="{C222FB9A-539B-4CFA-AF6C-CF2B54922B08}"/>
    <cellStyle name="Normal 3 3 11 3 4" xfId="33782" xr:uid="{C667FEDE-5D9E-4371-A66E-358D167007A4}"/>
    <cellStyle name="Normal 3 3 11 3 5" xfId="33783" xr:uid="{B23F0ECC-CF99-4F9E-9D80-4475FB5957AB}"/>
    <cellStyle name="Normal 3 3 11 3 6" xfId="33784" xr:uid="{AA1F201A-3AC0-4D4C-BD92-AA27DEB4297E}"/>
    <cellStyle name="Normal 3 3 11 4" xfId="33785" xr:uid="{48C4718D-D29B-4899-92C7-AE35C4D08313}"/>
    <cellStyle name="Normal 3 3 11 4 2" xfId="33786" xr:uid="{25496B95-5049-4175-95BA-EEB57B2ABB9A}"/>
    <cellStyle name="Normal 3 3 11 4 3" xfId="33787" xr:uid="{C319E82C-1F78-43EA-A8C5-B45E9F50ABA9}"/>
    <cellStyle name="Normal 3 3 11 4 4" xfId="33788" xr:uid="{18BCE2EF-F0C6-4037-AB36-B76DA881D614}"/>
    <cellStyle name="Normal 3 3 11 4 5" xfId="33789" xr:uid="{258939B8-C68E-480F-A2E3-5A6CBE025AE8}"/>
    <cellStyle name="Normal 3 3 11 4 6" xfId="33790" xr:uid="{190C73ED-D637-4DA1-BE1E-8F36DC9769C4}"/>
    <cellStyle name="Normal 3 3 11 5" xfId="33791" xr:uid="{9DCBE11D-FA4E-412E-A775-7D974C38F993}"/>
    <cellStyle name="Normal 3 3 11 5 2" xfId="33792" xr:uid="{6DBA8C05-A824-49FE-9B07-6AD7BAA941CB}"/>
    <cellStyle name="Normal 3 3 11 5 3" xfId="33793" xr:uid="{F7FDD96F-B242-471D-9D37-2FD768FA48FD}"/>
    <cellStyle name="Normal 3 3 11 5 4" xfId="33794" xr:uid="{4584DFDC-B976-4E47-B740-5C9F6243434D}"/>
    <cellStyle name="Normal 3 3 11 5 5" xfId="33795" xr:uid="{9AACF5D4-BB32-4CB2-A7A7-3B9A57EC01C2}"/>
    <cellStyle name="Normal 3 3 11 5 6" xfId="33796" xr:uid="{EA94C712-D358-4669-A600-02D5DBC24289}"/>
    <cellStyle name="Normal 3 3 11 6" xfId="33797" xr:uid="{EAC464C4-6037-4568-8783-7225B1DEC052}"/>
    <cellStyle name="Normal 3 3 11 6 2" xfId="33798" xr:uid="{D85E79AB-41BD-49C8-8635-52B6334454D9}"/>
    <cellStyle name="Normal 3 3 11 6 3" xfId="33799" xr:uid="{B99F40A9-C456-4F9F-BA77-17F6BAAEE034}"/>
    <cellStyle name="Normal 3 3 11 6 4" xfId="33800" xr:uid="{3C81DF1A-2F67-447F-8C9A-9EFD66EA4C1E}"/>
    <cellStyle name="Normal 3 3 11 6 5" xfId="33801" xr:uid="{2A821224-ADCD-4776-ADE4-DF5CFDC4F229}"/>
    <cellStyle name="Normal 3 3 11 6 6" xfId="33802" xr:uid="{DD6E2BC3-715E-4EE9-BCAD-5F7E4AD0A516}"/>
    <cellStyle name="Normal 3 3 11 7" xfId="33803" xr:uid="{2E137596-91E0-4D79-A4AE-C2D569F27DCC}"/>
    <cellStyle name="Normal 3 3 11 8" xfId="33804" xr:uid="{834591EA-C414-40F3-B78E-5D41759B946D}"/>
    <cellStyle name="Normal 3 3 11 9" xfId="33805" xr:uid="{792F08FA-82E3-4A75-A20C-9BFC98C610A1}"/>
    <cellStyle name="Normal 3 3 12" xfId="33806" xr:uid="{1DC8CE69-D66E-499E-B31D-31DD38BA265D}"/>
    <cellStyle name="Normal 3 3 12 10" xfId="33807" xr:uid="{8C50DBE0-BDE3-4D5D-8BE3-54E90C40478E}"/>
    <cellStyle name="Normal 3 3 12 11" xfId="33808" xr:uid="{0545E752-FA6B-4046-B182-F6ECDC470369}"/>
    <cellStyle name="Normal 3 3 12 2" xfId="33809" xr:uid="{241CA0FF-1F6F-438E-97C0-99B69B45695E}"/>
    <cellStyle name="Normal 3 3 12 2 2" xfId="33810" xr:uid="{C4240B3A-8169-44FE-A2F6-47437A2885AD}"/>
    <cellStyle name="Normal 3 3 12 2 3" xfId="33811" xr:uid="{8BADCC56-19E4-4ACD-991B-526F4DF7AC0A}"/>
    <cellStyle name="Normal 3 3 12 2 4" xfId="33812" xr:uid="{522BEB27-313F-4625-B539-6AFB8E5FBC05}"/>
    <cellStyle name="Normal 3 3 12 2 5" xfId="33813" xr:uid="{09EC03E7-714D-4387-9C04-71E8EFDC91F0}"/>
    <cellStyle name="Normal 3 3 12 2 6" xfId="33814" xr:uid="{2F4D8C9F-46E1-40DF-AA51-CA6056F70B55}"/>
    <cellStyle name="Normal 3 3 12 3" xfId="33815" xr:uid="{79FC595B-B7A8-40D9-B8DE-97B29C5A6EEC}"/>
    <cellStyle name="Normal 3 3 12 3 2" xfId="33816" xr:uid="{36BEEFAF-ABEB-4692-A815-47446B9FB253}"/>
    <cellStyle name="Normal 3 3 12 3 3" xfId="33817" xr:uid="{9F6A6086-1FD1-484A-800B-9F51AD62DC70}"/>
    <cellStyle name="Normal 3 3 12 3 4" xfId="33818" xr:uid="{053E1AA4-F729-4588-B0F6-D4E4FB36B85B}"/>
    <cellStyle name="Normal 3 3 12 3 5" xfId="33819" xr:uid="{C34F7543-FF71-4752-9888-6C3D6F22B3A3}"/>
    <cellStyle name="Normal 3 3 12 3 6" xfId="33820" xr:uid="{8F41D630-18A7-43A8-B101-37AFC24A3E44}"/>
    <cellStyle name="Normal 3 3 12 4" xfId="33821" xr:uid="{C56AC954-0174-4145-B068-165A9A30F2A1}"/>
    <cellStyle name="Normal 3 3 12 4 2" xfId="33822" xr:uid="{E0929E5C-3D26-465B-B74A-B320A2BA0F82}"/>
    <cellStyle name="Normal 3 3 12 4 3" xfId="33823" xr:uid="{F915F04E-CB2C-4140-89E4-B0A204E48A36}"/>
    <cellStyle name="Normal 3 3 12 4 4" xfId="33824" xr:uid="{96EE1D8D-827C-488F-B133-1062D54028A1}"/>
    <cellStyle name="Normal 3 3 12 4 5" xfId="33825" xr:uid="{6C2A4702-9C49-46D0-AA50-FA5C6AD7C1D9}"/>
    <cellStyle name="Normal 3 3 12 4 6" xfId="33826" xr:uid="{5CF2E2AD-C124-4A03-AE9C-9BC22A79BF2D}"/>
    <cellStyle name="Normal 3 3 12 5" xfId="33827" xr:uid="{C74BDEB3-6C66-45AF-9068-E20E5B12CB76}"/>
    <cellStyle name="Normal 3 3 12 5 2" xfId="33828" xr:uid="{24BF71DA-376C-45B9-99D4-F59718B407A0}"/>
    <cellStyle name="Normal 3 3 12 5 3" xfId="33829" xr:uid="{912370A6-6B12-4CB4-A06F-87FB94DBE46E}"/>
    <cellStyle name="Normal 3 3 12 5 4" xfId="33830" xr:uid="{675D1CE5-A83E-401D-8219-BDE9CC367CEC}"/>
    <cellStyle name="Normal 3 3 12 5 5" xfId="33831" xr:uid="{E17AC608-FD71-4FFD-AF35-9CB105F4E7D6}"/>
    <cellStyle name="Normal 3 3 12 5 6" xfId="33832" xr:uid="{7B39AC48-BD94-49B7-9C51-F1CD40701933}"/>
    <cellStyle name="Normal 3 3 12 6" xfId="33833" xr:uid="{5836EF80-6B5E-4A62-B80C-78D5C227E793}"/>
    <cellStyle name="Normal 3 3 12 6 2" xfId="33834" xr:uid="{3C34BEA0-CB5A-4F00-8178-29CA1AEF77C8}"/>
    <cellStyle name="Normal 3 3 12 6 3" xfId="33835" xr:uid="{E97564AD-4FCE-49D4-96D4-3587E9739F8B}"/>
    <cellStyle name="Normal 3 3 12 6 4" xfId="33836" xr:uid="{1AD0E72F-83D6-4C10-B991-40C405F5C039}"/>
    <cellStyle name="Normal 3 3 12 6 5" xfId="33837" xr:uid="{1FDD9B9E-A139-42E0-BCEB-93A98222EC75}"/>
    <cellStyle name="Normal 3 3 12 6 6" xfId="33838" xr:uid="{0F3A83AB-9843-4D6E-AEC0-39A66E490E91}"/>
    <cellStyle name="Normal 3 3 12 7" xfId="33839" xr:uid="{252F789F-DE74-4010-9475-BEEBC78E07AD}"/>
    <cellStyle name="Normal 3 3 12 8" xfId="33840" xr:uid="{58226A39-1019-43C6-A2EA-85F5D44A2753}"/>
    <cellStyle name="Normal 3 3 12 9" xfId="33841" xr:uid="{E140F79A-C7F5-4F23-A029-9887D343A9C5}"/>
    <cellStyle name="Normal 3 3 13" xfId="33842" xr:uid="{1289DA4A-B00E-4458-93A8-E05036AA430E}"/>
    <cellStyle name="Normal 3 3 13 10" xfId="33843" xr:uid="{9242E518-8C44-4850-9E53-3957CDC0DA10}"/>
    <cellStyle name="Normal 3 3 13 11" xfId="33844" xr:uid="{3E2AF368-FD0B-491C-8A64-4530757CFDCC}"/>
    <cellStyle name="Normal 3 3 13 2" xfId="33845" xr:uid="{0AC198B2-1DA7-4DDD-9B64-4D54AB343FB7}"/>
    <cellStyle name="Normal 3 3 13 2 2" xfId="33846" xr:uid="{68D20A2C-BCDD-4E09-AFC3-7DA2106FBE3B}"/>
    <cellStyle name="Normal 3 3 13 2 3" xfId="33847" xr:uid="{2E5AC36F-26A5-4290-AD1C-65DF56D7323F}"/>
    <cellStyle name="Normal 3 3 13 2 4" xfId="33848" xr:uid="{C9174AB4-D0C1-481B-93D0-A0CFC03E0AEE}"/>
    <cellStyle name="Normal 3 3 13 2 5" xfId="33849" xr:uid="{71C26E27-640D-4117-B4D5-0CBB916A4C3C}"/>
    <cellStyle name="Normal 3 3 13 2 6" xfId="33850" xr:uid="{7A1C0DD8-423C-43F2-9714-D8C26A258341}"/>
    <cellStyle name="Normal 3 3 13 3" xfId="33851" xr:uid="{5CE63974-E881-4097-B054-C32CE23C45C1}"/>
    <cellStyle name="Normal 3 3 13 3 2" xfId="33852" xr:uid="{6254BDA7-5CD0-44BD-A994-A2BC236C14EA}"/>
    <cellStyle name="Normal 3 3 13 3 3" xfId="33853" xr:uid="{E3BDC3FA-7020-422D-B57F-BFEDF8236CCC}"/>
    <cellStyle name="Normal 3 3 13 3 4" xfId="33854" xr:uid="{941C6765-935B-4CCD-B9A9-94132F02E9A9}"/>
    <cellStyle name="Normal 3 3 13 3 5" xfId="33855" xr:uid="{DE2FB626-A453-40C5-A634-5388AE352A5E}"/>
    <cellStyle name="Normal 3 3 13 3 6" xfId="33856" xr:uid="{12570E52-2968-4DBD-AB76-2A0F2DC55A49}"/>
    <cellStyle name="Normal 3 3 13 4" xfId="33857" xr:uid="{FAF234F3-3120-46E8-A23A-169751BF0500}"/>
    <cellStyle name="Normal 3 3 13 4 2" xfId="33858" xr:uid="{579A8D44-8CE9-4068-A3E6-C313F105C7E5}"/>
    <cellStyle name="Normal 3 3 13 4 3" xfId="33859" xr:uid="{3EAAEE13-4323-41A4-B698-41B2E2C17B53}"/>
    <cellStyle name="Normal 3 3 13 4 4" xfId="33860" xr:uid="{F4B3D988-56FB-4B82-9DF4-0E9BAD260998}"/>
    <cellStyle name="Normal 3 3 13 4 5" xfId="33861" xr:uid="{8C8F36D6-264D-4E59-B6E4-5514D4DA66EB}"/>
    <cellStyle name="Normal 3 3 13 4 6" xfId="33862" xr:uid="{6ED025D1-5A88-46F8-B68F-CCE73205170F}"/>
    <cellStyle name="Normal 3 3 13 5" xfId="33863" xr:uid="{60261B1A-2518-4BF9-84BC-004C3B5A72DB}"/>
    <cellStyle name="Normal 3 3 13 5 2" xfId="33864" xr:uid="{C4028C14-759D-43D7-97A0-BCF02F8584D5}"/>
    <cellStyle name="Normal 3 3 13 5 3" xfId="33865" xr:uid="{9F881C10-6EF6-48BE-86C4-F2216371F55C}"/>
    <cellStyle name="Normal 3 3 13 5 4" xfId="33866" xr:uid="{265CCF0E-2862-4398-BC89-7E5A4ACCE1C6}"/>
    <cellStyle name="Normal 3 3 13 5 5" xfId="33867" xr:uid="{25A38D36-07A9-481D-8DED-707D6922D3B9}"/>
    <cellStyle name="Normal 3 3 13 5 6" xfId="33868" xr:uid="{4D3BA66F-0615-4CD7-9ED0-C5BC2933F4BB}"/>
    <cellStyle name="Normal 3 3 13 6" xfId="33869" xr:uid="{8E0285D5-16FD-4283-88B3-BA39EADAFBEA}"/>
    <cellStyle name="Normal 3 3 13 6 2" xfId="33870" xr:uid="{F385B636-ECE1-4473-8B0A-81F598C34F09}"/>
    <cellStyle name="Normal 3 3 13 6 3" xfId="33871" xr:uid="{E94A8266-9FBC-40E1-8D7D-D38FB9A9AB99}"/>
    <cellStyle name="Normal 3 3 13 6 4" xfId="33872" xr:uid="{0217EA75-B22F-4B49-B080-FD1767C3E874}"/>
    <cellStyle name="Normal 3 3 13 6 5" xfId="33873" xr:uid="{0E63F23B-7063-4122-A9F3-F1BFB5E63B2D}"/>
    <cellStyle name="Normal 3 3 13 6 6" xfId="33874" xr:uid="{1D9ECED7-668F-4540-9A2E-69F10E3567E4}"/>
    <cellStyle name="Normal 3 3 13 7" xfId="33875" xr:uid="{7EE068DE-632F-4000-A474-B133605F07FC}"/>
    <cellStyle name="Normal 3 3 13 8" xfId="33876" xr:uid="{8485592B-A010-4431-9BB2-7F1EC07D33D3}"/>
    <cellStyle name="Normal 3 3 13 9" xfId="33877" xr:uid="{B2EA86EA-02CF-4A9D-84A4-98703AD4A6E2}"/>
    <cellStyle name="Normal 3 3 14" xfId="33878" xr:uid="{DEC1F2E1-B9B7-437B-A408-6150F79557E9}"/>
    <cellStyle name="Normal 3 3 14 10" xfId="33879" xr:uid="{2CEABDA1-E196-4BB4-99DD-7D239534DFC3}"/>
    <cellStyle name="Normal 3 3 14 11" xfId="33880" xr:uid="{B77F4448-DBDB-49E7-A629-96BFE4AE95F6}"/>
    <cellStyle name="Normal 3 3 14 2" xfId="33881" xr:uid="{BA6F981F-4E8E-4B5F-A77E-455C24DC35EF}"/>
    <cellStyle name="Normal 3 3 14 2 2" xfId="33882" xr:uid="{5DE0F77E-5038-4934-9735-2D2C8287557F}"/>
    <cellStyle name="Normal 3 3 14 2 3" xfId="33883" xr:uid="{CBD76CBF-8389-42B8-8F8D-8CE9F8236608}"/>
    <cellStyle name="Normal 3 3 14 2 4" xfId="33884" xr:uid="{52112F55-B949-49C9-84C3-4869BA55E022}"/>
    <cellStyle name="Normal 3 3 14 2 5" xfId="33885" xr:uid="{ACBEBBB3-A2C5-4865-A264-499A152C1536}"/>
    <cellStyle name="Normal 3 3 14 2 6" xfId="33886" xr:uid="{6D3D5214-4183-40BB-946D-B254BF47E9BB}"/>
    <cellStyle name="Normal 3 3 14 3" xfId="33887" xr:uid="{6EEF87D1-8BDB-422B-A122-6E20C84C6672}"/>
    <cellStyle name="Normal 3 3 14 3 2" xfId="33888" xr:uid="{1F23B795-72CC-463F-BA91-885E8A3E9FC1}"/>
    <cellStyle name="Normal 3 3 14 3 3" xfId="33889" xr:uid="{413AECC8-4D9D-4DA1-B7B8-EA3EC89908EA}"/>
    <cellStyle name="Normal 3 3 14 3 4" xfId="33890" xr:uid="{6555180A-A3C3-49DA-A444-AF9C64DEC174}"/>
    <cellStyle name="Normal 3 3 14 3 5" xfId="33891" xr:uid="{28EB600C-9921-489B-8C1B-894FFA1D4096}"/>
    <cellStyle name="Normal 3 3 14 3 6" xfId="33892" xr:uid="{FC571DF8-04CD-470E-A3D9-15AA1D9D1DDB}"/>
    <cellStyle name="Normal 3 3 14 4" xfId="33893" xr:uid="{942B3FFA-12FC-4DAC-A8AC-33AFB0877B5E}"/>
    <cellStyle name="Normal 3 3 14 4 2" xfId="33894" xr:uid="{364068EA-CA6A-49C5-8924-E9FC4E5D9600}"/>
    <cellStyle name="Normal 3 3 14 4 3" xfId="33895" xr:uid="{08E3AA85-AE21-4CC7-A0CC-37E7ACCDF866}"/>
    <cellStyle name="Normal 3 3 14 4 4" xfId="33896" xr:uid="{034C8843-5F1A-4CCE-ACB4-FC1B86A86C10}"/>
    <cellStyle name="Normal 3 3 14 4 5" xfId="33897" xr:uid="{478BB927-E2B8-4E2B-8270-4EEA4C81F000}"/>
    <cellStyle name="Normal 3 3 14 4 6" xfId="33898" xr:uid="{F759BCC7-ED62-422E-8132-DDA9004A4CC1}"/>
    <cellStyle name="Normal 3 3 14 5" xfId="33899" xr:uid="{530E1614-3778-46C7-B0CB-15FAF97111BC}"/>
    <cellStyle name="Normal 3 3 14 5 2" xfId="33900" xr:uid="{D875CFCD-C3DB-4B6C-8AE1-A11C51528126}"/>
    <cellStyle name="Normal 3 3 14 5 3" xfId="33901" xr:uid="{8DC45469-D321-46C9-99F0-2C2BF6F58B55}"/>
    <cellStyle name="Normal 3 3 14 5 4" xfId="33902" xr:uid="{3CB6B3E9-30E7-4299-9BEB-D6A428E87A5F}"/>
    <cellStyle name="Normal 3 3 14 5 5" xfId="33903" xr:uid="{0269B58F-4119-412F-8355-D6517E6B82B6}"/>
    <cellStyle name="Normal 3 3 14 5 6" xfId="33904" xr:uid="{AF11B64F-3F77-4B48-B53C-1F6954B519D7}"/>
    <cellStyle name="Normal 3 3 14 6" xfId="33905" xr:uid="{80D6E7D0-0F5B-4F2B-B3C6-370983996D6B}"/>
    <cellStyle name="Normal 3 3 14 6 2" xfId="33906" xr:uid="{D8089311-4F32-4480-93FE-F3DD373997C2}"/>
    <cellStyle name="Normal 3 3 14 6 3" xfId="33907" xr:uid="{1EB2A73F-3DA9-408B-8E99-9A0C72F8070E}"/>
    <cellStyle name="Normal 3 3 14 6 4" xfId="33908" xr:uid="{217E69C8-0069-474A-830C-FA49AFA6406C}"/>
    <cellStyle name="Normal 3 3 14 6 5" xfId="33909" xr:uid="{A635949D-B868-451E-88B6-99967B7951BC}"/>
    <cellStyle name="Normal 3 3 14 6 6" xfId="33910" xr:uid="{964E8039-7567-4E72-9360-CE69018B4016}"/>
    <cellStyle name="Normal 3 3 14 7" xfId="33911" xr:uid="{DA167463-E6B5-4FB0-B8FD-B43655ADE905}"/>
    <cellStyle name="Normal 3 3 14 8" xfId="33912" xr:uid="{01DDA9F4-ECDF-4866-A0B1-1A4D9F6FC85D}"/>
    <cellStyle name="Normal 3 3 14 9" xfId="33913" xr:uid="{C3F033ED-0750-4F0B-BCE7-944D4A47E71D}"/>
    <cellStyle name="Normal 3 3 15" xfId="33914" xr:uid="{9E749C0E-EDF9-438B-A7B7-BF72775B2AE4}"/>
    <cellStyle name="Normal 3 3 15 10" xfId="33915" xr:uid="{A77677B0-EFF4-40B4-A8E3-9D5843276F63}"/>
    <cellStyle name="Normal 3 3 15 11" xfId="33916" xr:uid="{F6CD47F9-FCEC-423D-9190-CDCCA11C0928}"/>
    <cellStyle name="Normal 3 3 15 2" xfId="33917" xr:uid="{1F0F1D79-789E-4DD4-878E-A977927D0AA5}"/>
    <cellStyle name="Normal 3 3 15 2 2" xfId="33918" xr:uid="{B721B0EE-6098-44A8-96AD-A73FE7D2A005}"/>
    <cellStyle name="Normal 3 3 15 2 3" xfId="33919" xr:uid="{4A8A195A-CDE2-4EF1-96E7-B6097C7B7844}"/>
    <cellStyle name="Normal 3 3 15 2 4" xfId="33920" xr:uid="{577DC4A9-00E5-4D35-AC38-1B957CFF6D0C}"/>
    <cellStyle name="Normal 3 3 15 2 5" xfId="33921" xr:uid="{57383E0F-90B5-48FA-BAED-0F8E14702CF6}"/>
    <cellStyle name="Normal 3 3 15 2 6" xfId="33922" xr:uid="{3FBAB8CD-1086-4A03-9716-3EE0A1EF238F}"/>
    <cellStyle name="Normal 3 3 15 3" xfId="33923" xr:uid="{481AB6FF-2CBF-4F01-8C97-360C511463C0}"/>
    <cellStyle name="Normal 3 3 15 3 2" xfId="33924" xr:uid="{0F2511A7-B3F9-40A0-A04C-F3931619868F}"/>
    <cellStyle name="Normal 3 3 15 3 3" xfId="33925" xr:uid="{3EDA73E2-B166-4083-9387-4C6AFEC0FDDD}"/>
    <cellStyle name="Normal 3 3 15 3 4" xfId="33926" xr:uid="{3708282B-CDD8-422F-A26B-72EA50532FB7}"/>
    <cellStyle name="Normal 3 3 15 3 5" xfId="33927" xr:uid="{1BAEE268-28B6-4CF8-A7DA-B860BF7B95A0}"/>
    <cellStyle name="Normal 3 3 15 3 6" xfId="33928" xr:uid="{3FC7F357-149E-4DE4-8588-20ED2919A4F5}"/>
    <cellStyle name="Normal 3 3 15 4" xfId="33929" xr:uid="{E782952F-71EB-4A94-B8F3-41696FFD4191}"/>
    <cellStyle name="Normal 3 3 15 4 2" xfId="33930" xr:uid="{537619D0-9C7D-4BBD-9A80-2BC37C73686D}"/>
    <cellStyle name="Normal 3 3 15 4 3" xfId="33931" xr:uid="{19A95221-906C-4E20-A67A-EF8020DF34DE}"/>
    <cellStyle name="Normal 3 3 15 4 4" xfId="33932" xr:uid="{D3BAA0E2-9E39-433A-BC83-85EE66FAF7DA}"/>
    <cellStyle name="Normal 3 3 15 4 5" xfId="33933" xr:uid="{01AB97DD-B874-440A-A552-D7420E8E54F7}"/>
    <cellStyle name="Normal 3 3 15 4 6" xfId="33934" xr:uid="{A72A03C2-F128-4357-B65E-4A2B4D0FEA6C}"/>
    <cellStyle name="Normal 3 3 15 5" xfId="33935" xr:uid="{80E81D24-A95F-4B76-A143-262BE8B6D222}"/>
    <cellStyle name="Normal 3 3 15 5 2" xfId="33936" xr:uid="{1F173FA5-CB85-4CA3-BB55-1B7E03B89B92}"/>
    <cellStyle name="Normal 3 3 15 5 3" xfId="33937" xr:uid="{586BCC53-7078-4C6D-9CD8-9A3489DD2D3A}"/>
    <cellStyle name="Normal 3 3 15 5 4" xfId="33938" xr:uid="{97DB1A8F-C82B-4DE6-A13D-21650FC103B6}"/>
    <cellStyle name="Normal 3 3 15 5 5" xfId="33939" xr:uid="{4CD756C1-870E-46EB-B207-D27190CF01B8}"/>
    <cellStyle name="Normal 3 3 15 5 6" xfId="33940" xr:uid="{ECD9EA3D-CEF4-4276-B664-3C08C76446A8}"/>
    <cellStyle name="Normal 3 3 15 6" xfId="33941" xr:uid="{4557760F-6CF8-4B2D-AE50-5C7D6398A9CE}"/>
    <cellStyle name="Normal 3 3 15 6 2" xfId="33942" xr:uid="{BBDB907B-96A6-47C2-A628-0BCE5FC22C68}"/>
    <cellStyle name="Normal 3 3 15 6 3" xfId="33943" xr:uid="{3B12571B-A366-40EA-8FAF-FB8DB981811F}"/>
    <cellStyle name="Normal 3 3 15 6 4" xfId="33944" xr:uid="{32312BCA-EB27-419E-832E-E1ADF49BA7D4}"/>
    <cellStyle name="Normal 3 3 15 6 5" xfId="33945" xr:uid="{CCCA922B-F1D9-4F34-976A-8B5E849D5146}"/>
    <cellStyle name="Normal 3 3 15 6 6" xfId="33946" xr:uid="{2E6DC431-6AD6-4D74-A17C-B110B4FBE64A}"/>
    <cellStyle name="Normal 3 3 15 7" xfId="33947" xr:uid="{6C588690-FEA9-45AF-BCC4-9964B2081AFF}"/>
    <cellStyle name="Normal 3 3 15 8" xfId="33948" xr:uid="{14A8E1D3-5C30-47A5-AF9A-4CA021250A4A}"/>
    <cellStyle name="Normal 3 3 15 9" xfId="33949" xr:uid="{55A97293-94DF-4BE3-B498-4400276626C2}"/>
    <cellStyle name="Normal 3 3 16" xfId="33950" xr:uid="{993E807B-AC69-4C56-A6F4-7EB879B06804}"/>
    <cellStyle name="Normal 3 3 16 10" xfId="33951" xr:uid="{8382A3E2-7E7B-49E5-8308-70372C44E379}"/>
    <cellStyle name="Normal 3 3 16 11" xfId="33952" xr:uid="{1295C7BA-9C7C-4BD9-A447-1B4C37A4D9BA}"/>
    <cellStyle name="Normal 3 3 16 2" xfId="33953" xr:uid="{FF0FF6C1-0E0D-4B96-BC97-5D572FFAC306}"/>
    <cellStyle name="Normal 3 3 16 2 2" xfId="33954" xr:uid="{3CDAE12F-9617-46DC-A9DC-3E7A9C303F3D}"/>
    <cellStyle name="Normal 3 3 16 2 3" xfId="33955" xr:uid="{5E2D505D-6A07-4BDE-8F93-69E5FAE9EBB1}"/>
    <cellStyle name="Normal 3 3 16 2 4" xfId="33956" xr:uid="{8A845403-C00A-496A-BB66-5030AD14BC6E}"/>
    <cellStyle name="Normal 3 3 16 2 5" xfId="33957" xr:uid="{DE8AA348-3DF4-4FB7-BF33-FDEE289D7715}"/>
    <cellStyle name="Normal 3 3 16 2 6" xfId="33958" xr:uid="{DB4D7196-9125-4D4B-B905-1675D5E0552B}"/>
    <cellStyle name="Normal 3 3 16 3" xfId="33959" xr:uid="{ADE95C6F-A154-43BD-9FD8-CD3CBF233404}"/>
    <cellStyle name="Normal 3 3 16 3 2" xfId="33960" xr:uid="{C84E49BE-3D94-4FF4-93CD-D58D346B134E}"/>
    <cellStyle name="Normal 3 3 16 3 3" xfId="33961" xr:uid="{950320B6-9B0C-44F1-85E8-616B10B7AD80}"/>
    <cellStyle name="Normal 3 3 16 3 4" xfId="33962" xr:uid="{A48A808D-7D37-4041-848C-6706AF5E4C8C}"/>
    <cellStyle name="Normal 3 3 16 3 5" xfId="33963" xr:uid="{34C825C9-BF78-4DDC-9FEE-7585E2550EBF}"/>
    <cellStyle name="Normal 3 3 16 3 6" xfId="33964" xr:uid="{48CA180B-2CB6-4DA3-BD91-A8E36A06DB0C}"/>
    <cellStyle name="Normal 3 3 16 4" xfId="33965" xr:uid="{1E49C3FC-F2D4-4B2F-9DED-DBD555EC8DE4}"/>
    <cellStyle name="Normal 3 3 16 4 2" xfId="33966" xr:uid="{32FAB916-BB9D-47FF-8B1E-7E9D35BA9B48}"/>
    <cellStyle name="Normal 3 3 16 4 3" xfId="33967" xr:uid="{4F2715CB-E9CD-4691-A846-FBCC0DEF654E}"/>
    <cellStyle name="Normal 3 3 16 4 4" xfId="33968" xr:uid="{3D24BD28-FCD4-4EE6-9737-5C038E5C4E26}"/>
    <cellStyle name="Normal 3 3 16 4 5" xfId="33969" xr:uid="{3CDE0B3E-0810-44CC-A875-A93A6EB9B60C}"/>
    <cellStyle name="Normal 3 3 16 4 6" xfId="33970" xr:uid="{EABD54FF-ADA5-44FF-A96D-DD11699AE2DE}"/>
    <cellStyle name="Normal 3 3 16 5" xfId="33971" xr:uid="{D9ADC35F-A592-4347-8B61-B20DE499F657}"/>
    <cellStyle name="Normal 3 3 16 5 2" xfId="33972" xr:uid="{002C3C76-9A9B-42A0-AD75-2653A27D1F3E}"/>
    <cellStyle name="Normal 3 3 16 5 3" xfId="33973" xr:uid="{42C84DCF-796F-46F2-AFBE-DED39C04BF12}"/>
    <cellStyle name="Normal 3 3 16 5 4" xfId="33974" xr:uid="{6CC01C05-0F3E-4413-B3D7-BDFA608CCC14}"/>
    <cellStyle name="Normal 3 3 16 5 5" xfId="33975" xr:uid="{FD5DFA05-0EA1-460C-8181-41492FB11A49}"/>
    <cellStyle name="Normal 3 3 16 5 6" xfId="33976" xr:uid="{2CD5E070-7519-43F1-A6ED-65056268BADB}"/>
    <cellStyle name="Normal 3 3 16 6" xfId="33977" xr:uid="{26C16EBD-49EB-4E84-9903-CD2E0179FE78}"/>
    <cellStyle name="Normal 3 3 16 6 2" xfId="33978" xr:uid="{566F2FF6-947D-4C06-A016-7ABD7B32D644}"/>
    <cellStyle name="Normal 3 3 16 6 3" xfId="33979" xr:uid="{2D2B44BD-2661-45F9-AEA6-D37923BB513D}"/>
    <cellStyle name="Normal 3 3 16 6 4" xfId="33980" xr:uid="{8D049955-38D4-4397-85A9-5FFEB2923EF6}"/>
    <cellStyle name="Normal 3 3 16 6 5" xfId="33981" xr:uid="{29CD79B9-3C17-4019-BFA9-3E2F5D58F1EA}"/>
    <cellStyle name="Normal 3 3 16 6 6" xfId="33982" xr:uid="{80C7F597-40FC-4510-B832-A868FD31E622}"/>
    <cellStyle name="Normal 3 3 16 7" xfId="33983" xr:uid="{51BA5EAF-5B5C-4996-AD3B-F8A324CC8069}"/>
    <cellStyle name="Normal 3 3 16 8" xfId="33984" xr:uid="{6D62422C-F6CB-483B-BD00-2F70B957D83C}"/>
    <cellStyle name="Normal 3 3 16 9" xfId="33985" xr:uid="{DD1FB804-9D43-455D-BAE4-E65A69CB442B}"/>
    <cellStyle name="Normal 3 3 17" xfId="33986" xr:uid="{DE7CCDFD-C87B-493B-8CFD-A9AF81294C88}"/>
    <cellStyle name="Normal 3 3 17 10" xfId="33987" xr:uid="{2575152E-B8E6-4220-8980-6FCBE5AC300F}"/>
    <cellStyle name="Normal 3 3 17 11" xfId="33988" xr:uid="{72F722FF-8A64-4ABA-85E7-D48EE7B58F73}"/>
    <cellStyle name="Normal 3 3 17 2" xfId="33989" xr:uid="{20449685-6E85-4369-9B07-9B4AF1399A43}"/>
    <cellStyle name="Normal 3 3 17 2 2" xfId="33990" xr:uid="{53E31624-286B-40BC-A6F9-F855B4D7B7BD}"/>
    <cellStyle name="Normal 3 3 17 2 3" xfId="33991" xr:uid="{28212641-49DA-4DEB-95B4-B716EF680AFC}"/>
    <cellStyle name="Normal 3 3 17 2 4" xfId="33992" xr:uid="{5B694557-7969-478B-AE09-EA31587DAA7B}"/>
    <cellStyle name="Normal 3 3 17 2 5" xfId="33993" xr:uid="{055E1C9C-C458-43F9-B4B6-E42698762E87}"/>
    <cellStyle name="Normal 3 3 17 2 6" xfId="33994" xr:uid="{F9FEC089-C049-432A-989B-A3718A132052}"/>
    <cellStyle name="Normal 3 3 17 3" xfId="33995" xr:uid="{DBD3546A-B72B-4D22-A6C9-0A418A167026}"/>
    <cellStyle name="Normal 3 3 17 3 2" xfId="33996" xr:uid="{55CBFC69-1F93-4B2F-82B1-62A11966B6EC}"/>
    <cellStyle name="Normal 3 3 17 3 3" xfId="33997" xr:uid="{B036E025-BE5B-4DE5-B9B3-3C2B8C44F2C6}"/>
    <cellStyle name="Normal 3 3 17 3 4" xfId="33998" xr:uid="{2EFD8E49-86D7-4F41-ADB9-F04AE33B1086}"/>
    <cellStyle name="Normal 3 3 17 3 5" xfId="33999" xr:uid="{18475DEB-0730-4931-8C22-C92FE2144F6E}"/>
    <cellStyle name="Normal 3 3 17 3 6" xfId="34000" xr:uid="{0C5D8A27-CB9B-4D1A-A67A-134E5FD54B6A}"/>
    <cellStyle name="Normal 3 3 17 4" xfId="34001" xr:uid="{B11A3405-8438-45C2-95DA-FA63C1B716CE}"/>
    <cellStyle name="Normal 3 3 17 4 2" xfId="34002" xr:uid="{8F04ECD0-DD9E-45EC-8905-78DBBE689BA9}"/>
    <cellStyle name="Normal 3 3 17 4 3" xfId="34003" xr:uid="{72E56D5F-1AED-42AF-8FAE-CAD624A45D46}"/>
    <cellStyle name="Normal 3 3 17 4 4" xfId="34004" xr:uid="{B07FE23E-63EF-4A58-AA07-66C4FC52E128}"/>
    <cellStyle name="Normal 3 3 17 4 5" xfId="34005" xr:uid="{AB47366D-A06F-4107-BF50-C62310FEF9A7}"/>
    <cellStyle name="Normal 3 3 17 4 6" xfId="34006" xr:uid="{145A4CF0-DD8C-4F01-8695-C9F42960D2A6}"/>
    <cellStyle name="Normal 3 3 17 5" xfId="34007" xr:uid="{2DAC78FC-2110-441A-A2C5-3401751F4ACB}"/>
    <cellStyle name="Normal 3 3 17 5 2" xfId="34008" xr:uid="{E2CFFF85-05D2-4F67-90E9-4F681E11F371}"/>
    <cellStyle name="Normal 3 3 17 5 3" xfId="34009" xr:uid="{39D4BBF1-A59A-49C9-BCB9-8672C701176D}"/>
    <cellStyle name="Normal 3 3 17 5 4" xfId="34010" xr:uid="{9594E807-E737-428E-AAAB-8FB46C294DBE}"/>
    <cellStyle name="Normal 3 3 17 5 5" xfId="34011" xr:uid="{D48DF645-26E3-4F20-8180-42B93067AD1E}"/>
    <cellStyle name="Normal 3 3 17 5 6" xfId="34012" xr:uid="{229A08E2-6FCF-4F41-AE65-4A64821DE92F}"/>
    <cellStyle name="Normal 3 3 17 6" xfId="34013" xr:uid="{CBCDE383-3D88-4538-92E4-AEF3BA4559EA}"/>
    <cellStyle name="Normal 3 3 17 6 2" xfId="34014" xr:uid="{2182CFCD-EA47-47E9-81F6-DB96B45DE2A1}"/>
    <cellStyle name="Normal 3 3 17 6 3" xfId="34015" xr:uid="{4911754D-A600-470B-84FF-B7E9DBD37FB0}"/>
    <cellStyle name="Normal 3 3 17 6 4" xfId="34016" xr:uid="{6630A83A-F994-493C-9EAE-2BA2A38911E8}"/>
    <cellStyle name="Normal 3 3 17 6 5" xfId="34017" xr:uid="{005A672D-025B-49C7-A0FA-6139DD94AD21}"/>
    <cellStyle name="Normal 3 3 17 6 6" xfId="34018" xr:uid="{EE317D8B-CD18-4F03-9C11-339C94F98936}"/>
    <cellStyle name="Normal 3 3 17 7" xfId="34019" xr:uid="{7CEA3D69-9149-4FA8-92D0-43D5258EE93A}"/>
    <cellStyle name="Normal 3 3 17 8" xfId="34020" xr:uid="{21C8349D-739A-4FEF-B74B-D44515B5E512}"/>
    <cellStyle name="Normal 3 3 17 9" xfId="34021" xr:uid="{454E1372-BBAB-477B-8D15-1764417988A1}"/>
    <cellStyle name="Normal 3 3 18" xfId="34022" xr:uid="{B1E11475-0D93-4BFE-B41D-7BB2BC2FFE88}"/>
    <cellStyle name="Normal 3 3 19" xfId="34023" xr:uid="{5D8FD114-CA21-4A48-B49D-EE070B4EA2A3}"/>
    <cellStyle name="Normal 3 3 2" xfId="34024" xr:uid="{AE596C54-9D2D-4BE5-88FE-F0BF0CFE3FB7}"/>
    <cellStyle name="Normal 3 3 2 10" xfId="34025" xr:uid="{E8B9F974-25BF-49F4-BD7E-D5BAE8E89412}"/>
    <cellStyle name="Normal 3 3 2 11" xfId="34026" xr:uid="{42216219-AA89-4C80-8BB6-E75918391EBF}"/>
    <cellStyle name="Normal 3 3 2 12" xfId="34027" xr:uid="{76CC0890-9A91-49F3-8597-87D05DDA96A9}"/>
    <cellStyle name="Normal 3 3 2 13" xfId="34028" xr:uid="{0EE8AB4B-11AC-4764-B51B-B1E84F9B3861}"/>
    <cellStyle name="Normal 3 3 2 14" xfId="34029" xr:uid="{1D744D0A-3F82-4357-9127-71C151E2BCF5}"/>
    <cellStyle name="Normal 3 3 2 15" xfId="34030" xr:uid="{4A3CE165-5715-4564-8AA5-F57BE3EE0C52}"/>
    <cellStyle name="Normal 3 3 2 16" xfId="34031" xr:uid="{E6C1D113-ED51-4185-8AE8-AD317000A2E1}"/>
    <cellStyle name="Normal 3 3 2 17" xfId="34032" xr:uid="{DAF83D96-FDD9-4BFF-A234-32692C35C89B}"/>
    <cellStyle name="Normal 3 3 2 18" xfId="34033" xr:uid="{28D270BD-1F13-47EF-BCCA-D4AAAEED8EC4}"/>
    <cellStyle name="Normal 3 3 2 18 2" xfId="34034" xr:uid="{35528A65-990A-4738-A98C-0FCCDA65415E}"/>
    <cellStyle name="Normal 3 3 2 18 3" xfId="34035" xr:uid="{50E4EA32-77FC-46A3-887E-1606BF8C750D}"/>
    <cellStyle name="Normal 3 3 2 18 4" xfId="34036" xr:uid="{BE9D1D24-09FC-41C4-A206-9A340063C593}"/>
    <cellStyle name="Normal 3 3 2 18 5" xfId="34037" xr:uid="{29689016-4B4C-497B-B880-1C2C1F77EA1D}"/>
    <cellStyle name="Normal 3 3 2 18 6" xfId="34038" xr:uid="{5D9BAB9E-0A51-4A59-9ABF-98FC73F3F124}"/>
    <cellStyle name="Normal 3 3 2 19" xfId="34039" xr:uid="{759322FF-A102-4948-8AC5-FC7073AA7F17}"/>
    <cellStyle name="Normal 3 3 2 19 2" xfId="34040" xr:uid="{D35AD761-B87A-428A-825E-C3654A103D6E}"/>
    <cellStyle name="Normal 3 3 2 19 3" xfId="34041" xr:uid="{D8BD3656-DBE0-462D-A1ED-0A52B99BE1D3}"/>
    <cellStyle name="Normal 3 3 2 19 4" xfId="34042" xr:uid="{7C5DAF74-0F17-48B4-B809-7557930C919F}"/>
    <cellStyle name="Normal 3 3 2 19 5" xfId="34043" xr:uid="{ED2DE9B2-05EC-4EA3-BA4D-D2A7805BB3C2}"/>
    <cellStyle name="Normal 3 3 2 19 6" xfId="34044" xr:uid="{866D01C2-31A0-495A-8A0E-A5A7B71DF22D}"/>
    <cellStyle name="Normal 3 3 2 2" xfId="34045" xr:uid="{1641EF9B-B8B7-4EB0-B628-E93590A26387}"/>
    <cellStyle name="Normal 3 3 2 2 2" xfId="34046" xr:uid="{2C4C5DE2-1EA7-49BB-9F6C-31E9360545B8}"/>
    <cellStyle name="Normal 3 3 2 2 2 10" xfId="34047" xr:uid="{CF2EFBEE-D668-4BF8-9A02-3039243E159E}"/>
    <cellStyle name="Normal 3 3 2 2 2 10 2" xfId="34048" xr:uid="{55D8F60B-4ED1-4B57-8D99-D3FD36E5BBF2}"/>
    <cellStyle name="Normal 3 3 2 2 2 10 3" xfId="34049" xr:uid="{0F8807ED-E620-4135-9D72-45F5C04641EB}"/>
    <cellStyle name="Normal 3 3 2 2 2 10 4" xfId="34050" xr:uid="{2EF2926B-9A06-4F30-AAF1-756692ECF05E}"/>
    <cellStyle name="Normal 3 3 2 2 2 10 5" xfId="34051" xr:uid="{753FA8CD-9DB8-430D-A65A-2FF845E22C03}"/>
    <cellStyle name="Normal 3 3 2 2 2 10 6" xfId="34052" xr:uid="{23A440FC-8FC7-4185-A071-FA7FE9238268}"/>
    <cellStyle name="Normal 3 3 2 2 2 11" xfId="34053" xr:uid="{961AB3FC-6F73-43F4-8E7E-A60152AAA30A}"/>
    <cellStyle name="Normal 3 3 2 2 2 11 2" xfId="34054" xr:uid="{6E84A6CE-086F-4B8E-B088-022E7D3D197D}"/>
    <cellStyle name="Normal 3 3 2 2 2 11 3" xfId="34055" xr:uid="{20630AEF-06C4-4895-9397-4D5E41EAEBBE}"/>
    <cellStyle name="Normal 3 3 2 2 2 11 4" xfId="34056" xr:uid="{D16574A8-8760-4B9E-8BEF-35A578D2711A}"/>
    <cellStyle name="Normal 3 3 2 2 2 11 5" xfId="34057" xr:uid="{9B08F8D0-C4DB-4904-8B99-E82D650D48FB}"/>
    <cellStyle name="Normal 3 3 2 2 2 11 6" xfId="34058" xr:uid="{65160F92-9DA6-43F8-96B7-E4B894815739}"/>
    <cellStyle name="Normal 3 3 2 2 2 12" xfId="34059" xr:uid="{5E6C957F-EF05-4FBF-911F-7E87068C2F31}"/>
    <cellStyle name="Normal 3 3 2 2 2 12 2" xfId="34060" xr:uid="{4F097FCB-DB21-487E-A2C1-224391A2A1EC}"/>
    <cellStyle name="Normal 3 3 2 2 2 12 3" xfId="34061" xr:uid="{CD0331CC-125E-4055-8869-63EFFE7E9A4C}"/>
    <cellStyle name="Normal 3 3 2 2 2 12 4" xfId="34062" xr:uid="{C26934DE-E155-4EB6-AA8C-9DD57DF49D4B}"/>
    <cellStyle name="Normal 3 3 2 2 2 12 5" xfId="34063" xr:uid="{43C6DB46-78B2-44F7-A7C0-B41DDF7E0893}"/>
    <cellStyle name="Normal 3 3 2 2 2 12 6" xfId="34064" xr:uid="{137C8DE3-D30A-4CD5-87F2-B0CE6BCF971B}"/>
    <cellStyle name="Normal 3 3 2 2 2 13" xfId="34065" xr:uid="{C07BB8A0-F78E-4C0A-A155-54B993F20546}"/>
    <cellStyle name="Normal 3 3 2 2 2 13 2" xfId="34066" xr:uid="{4D0344F0-32C8-4655-9DC6-F1AC8907A68E}"/>
    <cellStyle name="Normal 3 3 2 2 2 13 3" xfId="34067" xr:uid="{F8F543A8-CFD6-455E-B481-E33399B26C32}"/>
    <cellStyle name="Normal 3 3 2 2 2 13 4" xfId="34068" xr:uid="{460F7011-B24B-4894-9033-C07AA7DA4D6E}"/>
    <cellStyle name="Normal 3 3 2 2 2 13 5" xfId="34069" xr:uid="{33D0A54F-93AF-48DC-9A92-187B18B5EFB7}"/>
    <cellStyle name="Normal 3 3 2 2 2 13 6" xfId="34070" xr:uid="{13166A65-DF00-4284-854C-03469D38E630}"/>
    <cellStyle name="Normal 3 3 2 2 2 14" xfId="34071" xr:uid="{9618F452-41D2-4867-94FC-76BD00DF4778}"/>
    <cellStyle name="Normal 3 3 2 2 2 14 2" xfId="34072" xr:uid="{6434F3C2-7104-4045-80D9-1A0E66737173}"/>
    <cellStyle name="Normal 3 3 2 2 2 14 3" xfId="34073" xr:uid="{9EB0AF30-1BD4-4C72-837A-F13CB7795710}"/>
    <cellStyle name="Normal 3 3 2 2 2 14 4" xfId="34074" xr:uid="{BF74C287-F905-4502-A47F-C72C78863D1C}"/>
    <cellStyle name="Normal 3 3 2 2 2 14 5" xfId="34075" xr:uid="{FE016F89-45F5-4C21-8A3A-1F930ADA4916}"/>
    <cellStyle name="Normal 3 3 2 2 2 14 6" xfId="34076" xr:uid="{14C49C29-F68B-4E02-AB5C-22FDFE907FAB}"/>
    <cellStyle name="Normal 3 3 2 2 2 15" xfId="34077" xr:uid="{88910C42-078B-49D9-95BB-A4A5E49A3B13}"/>
    <cellStyle name="Normal 3 3 2 2 2 16" xfId="34078" xr:uid="{A5E9A546-43C4-462B-982D-9FDB2F2259C0}"/>
    <cellStyle name="Normal 3 3 2 2 2 17" xfId="34079" xr:uid="{4FFBE39D-6317-4096-B00A-1D4538311088}"/>
    <cellStyle name="Normal 3 3 2 2 2 18" xfId="34080" xr:uid="{F5F87525-7BAC-45BF-82DB-7DF747C82C19}"/>
    <cellStyle name="Normal 3 3 2 2 2 19" xfId="34081" xr:uid="{80AC4BB0-E805-4BBD-8356-3A6C25C06A63}"/>
    <cellStyle name="Normal 3 3 2 2 2 2" xfId="34082" xr:uid="{E96C5318-2860-4250-86D7-043C510EA098}"/>
    <cellStyle name="Normal 3 3 2 2 2 3" xfId="34083" xr:uid="{21DEEF16-76C4-4AB0-9874-EDAADD135D51}"/>
    <cellStyle name="Normal 3 3 2 2 2 4" xfId="34084" xr:uid="{39E0FEA9-DEE7-468B-8751-440EFF4678BF}"/>
    <cellStyle name="Normal 3 3 2 2 2 5" xfId="34085" xr:uid="{D4C1F1CF-D316-4037-B6EF-8D760701F075}"/>
    <cellStyle name="Normal 3 3 2 2 2 6" xfId="34086" xr:uid="{003A251E-131B-4D6E-BC49-9D7A86CBD6D9}"/>
    <cellStyle name="Normal 3 3 2 2 2 7" xfId="34087" xr:uid="{241814FA-29D4-407F-B92B-408FBF013FCE}"/>
    <cellStyle name="Normal 3 3 2 2 2 8" xfId="34088" xr:uid="{12348DC3-F7E9-4117-8B76-3E3596F084A6}"/>
    <cellStyle name="Normal 3 3 2 2 2 9" xfId="34089" xr:uid="{AB4955A8-33E1-4F9A-82BC-EC68C43CC851}"/>
    <cellStyle name="Normal 3 3 2 2 3" xfId="34090" xr:uid="{57DB82F9-5301-46F0-AE50-1E7C7910409F}"/>
    <cellStyle name="Normal 3 3 2 2 3 10" xfId="34091" xr:uid="{75527C3D-5512-41C1-8682-B55D6A6CD010}"/>
    <cellStyle name="Normal 3 3 2 2 3 11" xfId="34092" xr:uid="{CE304394-3CC7-41BF-9B0D-7AAD5752A023}"/>
    <cellStyle name="Normal 3 3 2 2 3 2" xfId="34093" xr:uid="{E961BB0E-75F0-4339-ADED-C3D04C226CE0}"/>
    <cellStyle name="Normal 3 3 2 2 3 2 2" xfId="34094" xr:uid="{6F4D45FF-A3EB-4AED-82E1-91EB47CD6C0F}"/>
    <cellStyle name="Normal 3 3 2 2 3 2 3" xfId="34095" xr:uid="{BE03706A-723F-4466-946F-1C82037DB931}"/>
    <cellStyle name="Normal 3 3 2 2 3 2 4" xfId="34096" xr:uid="{DB439C74-9373-4B11-A36C-A9C55D94EC5A}"/>
    <cellStyle name="Normal 3 3 2 2 3 2 5" xfId="34097" xr:uid="{BDECD885-83D2-4FC0-914E-F65475A9B6C1}"/>
    <cellStyle name="Normal 3 3 2 2 3 2 6" xfId="34098" xr:uid="{4592C19E-F8AC-445F-BCC5-3EB100940B48}"/>
    <cellStyle name="Normal 3 3 2 2 3 3" xfId="34099" xr:uid="{7A288C1A-1EFB-4914-9F6F-2E28077D3DFD}"/>
    <cellStyle name="Normal 3 3 2 2 3 3 2" xfId="34100" xr:uid="{FAED7A73-4DDC-42C9-8D91-6D344E2F0ED5}"/>
    <cellStyle name="Normal 3 3 2 2 3 3 3" xfId="34101" xr:uid="{E0D103CB-B55D-47A6-8205-65239744023F}"/>
    <cellStyle name="Normal 3 3 2 2 3 3 4" xfId="34102" xr:uid="{222206B0-BC09-4F41-A5F4-1CB006769AA9}"/>
    <cellStyle name="Normal 3 3 2 2 3 3 5" xfId="34103" xr:uid="{5BA1290C-C8DA-468E-B15F-A5AD540DE4CD}"/>
    <cellStyle name="Normal 3 3 2 2 3 3 6" xfId="34104" xr:uid="{2158B065-C451-4EE6-B70B-47F37BAD002F}"/>
    <cellStyle name="Normal 3 3 2 2 3 4" xfId="34105" xr:uid="{189CFD14-565A-4CF1-B790-41C57A22792A}"/>
    <cellStyle name="Normal 3 3 2 2 3 4 2" xfId="34106" xr:uid="{D2F7E8CD-B6CC-4845-988E-77115B4B7A38}"/>
    <cellStyle name="Normal 3 3 2 2 3 4 3" xfId="34107" xr:uid="{841FCEF9-89BE-4DBF-AA18-E4A10C672648}"/>
    <cellStyle name="Normal 3 3 2 2 3 4 4" xfId="34108" xr:uid="{387150F5-2947-4F7D-A586-20B2120B5110}"/>
    <cellStyle name="Normal 3 3 2 2 3 4 5" xfId="34109" xr:uid="{99B10802-C212-4F14-B0EF-CCF7D81E2B5A}"/>
    <cellStyle name="Normal 3 3 2 2 3 4 6" xfId="34110" xr:uid="{7B874997-C3F8-4880-8C23-B51094F2BBAB}"/>
    <cellStyle name="Normal 3 3 2 2 3 5" xfId="34111" xr:uid="{6E46ABAE-679A-473F-808B-040C1E78A7EC}"/>
    <cellStyle name="Normal 3 3 2 2 3 5 2" xfId="34112" xr:uid="{855C94D3-439A-45BA-862A-843C287D049D}"/>
    <cellStyle name="Normal 3 3 2 2 3 5 3" xfId="34113" xr:uid="{8D582560-222A-494A-90DC-1D03A4913DE6}"/>
    <cellStyle name="Normal 3 3 2 2 3 5 4" xfId="34114" xr:uid="{C2BC94AF-0BED-4DB7-B362-AD41653B2C64}"/>
    <cellStyle name="Normal 3 3 2 2 3 5 5" xfId="34115" xr:uid="{5779E026-E62A-4DD8-AE72-2ED3F2B2F1BE}"/>
    <cellStyle name="Normal 3 3 2 2 3 5 6" xfId="34116" xr:uid="{C8A387DD-D386-4113-A06D-556E13042510}"/>
    <cellStyle name="Normal 3 3 2 2 3 6" xfId="34117" xr:uid="{A8284164-6C50-44BF-AD71-9FEF86425865}"/>
    <cellStyle name="Normal 3 3 2 2 3 6 2" xfId="34118" xr:uid="{36B9FFF5-9349-4873-A5C8-7F9A50BF69F9}"/>
    <cellStyle name="Normal 3 3 2 2 3 6 3" xfId="34119" xr:uid="{5F416BAC-AA70-47AE-8021-F8072771DD36}"/>
    <cellStyle name="Normal 3 3 2 2 3 6 4" xfId="34120" xr:uid="{3E7A5135-9AEF-4433-B910-3FDC828DC91D}"/>
    <cellStyle name="Normal 3 3 2 2 3 6 5" xfId="34121" xr:uid="{01463B79-067A-4FCD-BB3B-C9B8BC69B4FC}"/>
    <cellStyle name="Normal 3 3 2 2 3 6 6" xfId="34122" xr:uid="{43D40FF6-1FD5-4710-87DD-9FE0750627D5}"/>
    <cellStyle name="Normal 3 3 2 2 3 7" xfId="34123" xr:uid="{C9CE5C5C-D15D-41B7-A03D-2A4E8746E49A}"/>
    <cellStyle name="Normal 3 3 2 2 3 8" xfId="34124" xr:uid="{FB9AE11B-D808-49C3-87CC-DA4DAFE59E15}"/>
    <cellStyle name="Normal 3 3 2 2 3 9" xfId="34125" xr:uid="{F034D64C-3835-4F9D-AD1F-17FCD870DBB4}"/>
    <cellStyle name="Normal 3 3 2 2 4" xfId="34126" xr:uid="{5570D4DF-84BA-4B2A-BF49-64160B7C473B}"/>
    <cellStyle name="Normal 3 3 2 2 4 10" xfId="34127" xr:uid="{5CB87B99-8247-4781-9CFF-5C9F395B9C97}"/>
    <cellStyle name="Normal 3 3 2 2 4 11" xfId="34128" xr:uid="{CFE1848D-7677-4526-BA06-0C6353ACD2EE}"/>
    <cellStyle name="Normal 3 3 2 2 4 2" xfId="34129" xr:uid="{7C24894D-BB50-4C70-9DCF-D5FAAF8B6D56}"/>
    <cellStyle name="Normal 3 3 2 2 4 2 2" xfId="34130" xr:uid="{400BDF4C-3074-438B-B028-3FC1F408541A}"/>
    <cellStyle name="Normal 3 3 2 2 4 2 3" xfId="34131" xr:uid="{A9C54F85-5D5B-4652-BB75-471E8A28F1B3}"/>
    <cellStyle name="Normal 3 3 2 2 4 2 4" xfId="34132" xr:uid="{926B38AA-A533-4CA8-9ED1-1A39F1C57134}"/>
    <cellStyle name="Normal 3 3 2 2 4 2 5" xfId="34133" xr:uid="{6D7E319D-8C29-471E-9DFF-74079139353D}"/>
    <cellStyle name="Normal 3 3 2 2 4 2 6" xfId="34134" xr:uid="{B5F623C3-62F2-4E72-9BA6-9DC4F3F681B0}"/>
    <cellStyle name="Normal 3 3 2 2 4 3" xfId="34135" xr:uid="{2E353CB1-2609-4165-AED4-AF4D9E83B801}"/>
    <cellStyle name="Normal 3 3 2 2 4 3 2" xfId="34136" xr:uid="{7E3C4898-DB7D-4543-8036-31D57631DE38}"/>
    <cellStyle name="Normal 3 3 2 2 4 3 3" xfId="34137" xr:uid="{020196FE-C39F-42A2-B2F0-2E60ABD4EB24}"/>
    <cellStyle name="Normal 3 3 2 2 4 3 4" xfId="34138" xr:uid="{FDF23861-6864-4866-BAAF-454768C16894}"/>
    <cellStyle name="Normal 3 3 2 2 4 3 5" xfId="34139" xr:uid="{DCCDD620-694B-47C3-8C9E-EDB06893F039}"/>
    <cellStyle name="Normal 3 3 2 2 4 3 6" xfId="34140" xr:uid="{73B55989-312C-47DF-8BD1-E850288592C1}"/>
    <cellStyle name="Normal 3 3 2 2 4 4" xfId="34141" xr:uid="{6AC6AA4C-6D77-401A-A253-03F54AA11669}"/>
    <cellStyle name="Normal 3 3 2 2 4 4 2" xfId="34142" xr:uid="{03BE944A-8548-41D9-97EB-B407276111EA}"/>
    <cellStyle name="Normal 3 3 2 2 4 4 3" xfId="34143" xr:uid="{798E1479-F20A-407B-9245-87DA6F4AFBFA}"/>
    <cellStyle name="Normal 3 3 2 2 4 4 4" xfId="34144" xr:uid="{E61757A5-4D33-4CA0-A6D6-FA06728AB96D}"/>
    <cellStyle name="Normal 3 3 2 2 4 4 5" xfId="34145" xr:uid="{4C7D2FD6-9448-46F2-A7A7-0F140A77814B}"/>
    <cellStyle name="Normal 3 3 2 2 4 4 6" xfId="34146" xr:uid="{AAB5556D-B37D-49D7-893D-604CB03241D7}"/>
    <cellStyle name="Normal 3 3 2 2 4 5" xfId="34147" xr:uid="{83685C9A-FA02-4874-A61C-416716E112C5}"/>
    <cellStyle name="Normal 3 3 2 2 4 5 2" xfId="34148" xr:uid="{4E8EE155-88FC-4247-9B0D-F4F8549010B2}"/>
    <cellStyle name="Normal 3 3 2 2 4 5 3" xfId="34149" xr:uid="{A2C3E390-D49F-4EDD-BBE8-2B9CFEC3020E}"/>
    <cellStyle name="Normal 3 3 2 2 4 5 4" xfId="34150" xr:uid="{A639A077-2DFD-4F28-A973-37C0D96A4A4A}"/>
    <cellStyle name="Normal 3 3 2 2 4 5 5" xfId="34151" xr:uid="{DC0F4DC7-52B1-4B91-AD70-CE58E80FF0EC}"/>
    <cellStyle name="Normal 3 3 2 2 4 5 6" xfId="34152" xr:uid="{408F3ABD-8368-492C-B36C-1228920B58E5}"/>
    <cellStyle name="Normal 3 3 2 2 4 6" xfId="34153" xr:uid="{274AA72C-4827-4245-BBFE-6892931CE4CF}"/>
    <cellStyle name="Normal 3 3 2 2 4 6 2" xfId="34154" xr:uid="{507A34F9-9148-4106-9374-03E88B7F1EA4}"/>
    <cellStyle name="Normal 3 3 2 2 4 6 3" xfId="34155" xr:uid="{F00B4B42-6C69-40ED-BF6C-3D16FEB71557}"/>
    <cellStyle name="Normal 3 3 2 2 4 6 4" xfId="34156" xr:uid="{4D0F9B9D-BE4E-4A0C-A464-C08E0B90B520}"/>
    <cellStyle name="Normal 3 3 2 2 4 6 5" xfId="34157" xr:uid="{A8EDC470-E2C1-451F-B246-2F4328356529}"/>
    <cellStyle name="Normal 3 3 2 2 4 6 6" xfId="34158" xr:uid="{651B5555-7C5F-4EBE-9ACE-F0645309D40E}"/>
    <cellStyle name="Normal 3 3 2 2 4 7" xfId="34159" xr:uid="{0670C777-1C2C-4E82-B471-9779A2A7381B}"/>
    <cellStyle name="Normal 3 3 2 2 4 8" xfId="34160" xr:uid="{F9479B8B-DB68-40C2-B793-1CDF82B86008}"/>
    <cellStyle name="Normal 3 3 2 2 4 9" xfId="34161" xr:uid="{D92BBC8B-6F11-4243-B868-95E681B2CD3C}"/>
    <cellStyle name="Normal 3 3 2 2 5" xfId="34162" xr:uid="{C8AE5EB8-6E6D-4338-8AB2-2A86364F1109}"/>
    <cellStyle name="Normal 3 3 2 2 5 10" xfId="34163" xr:uid="{1027F13B-6D88-471A-BE24-C963F03A4FDC}"/>
    <cellStyle name="Normal 3 3 2 2 5 11" xfId="34164" xr:uid="{E014224A-A3B7-46EA-A904-DE0E1E52080B}"/>
    <cellStyle name="Normal 3 3 2 2 5 2" xfId="34165" xr:uid="{E1531F9A-0961-4920-8114-A404D3A55833}"/>
    <cellStyle name="Normal 3 3 2 2 5 2 2" xfId="34166" xr:uid="{1E018333-8D50-4745-B3AF-47B1F69FA4FA}"/>
    <cellStyle name="Normal 3 3 2 2 5 2 3" xfId="34167" xr:uid="{6FBF73ED-2E3A-4B2E-90DC-35AF094818B4}"/>
    <cellStyle name="Normal 3 3 2 2 5 2 4" xfId="34168" xr:uid="{C4C32050-693F-484F-86F1-69847168DF1C}"/>
    <cellStyle name="Normal 3 3 2 2 5 2 5" xfId="34169" xr:uid="{CC62C1A1-6CA7-4F38-BF2F-DD0CD8E9FCD9}"/>
    <cellStyle name="Normal 3 3 2 2 5 2 6" xfId="34170" xr:uid="{02FDBE0B-DB26-46BD-8F02-58978C1DC067}"/>
    <cellStyle name="Normal 3 3 2 2 5 3" xfId="34171" xr:uid="{4ECDB14B-A22B-4DD7-A57E-3A06D0A217E6}"/>
    <cellStyle name="Normal 3 3 2 2 5 3 2" xfId="34172" xr:uid="{44B34FD6-FF57-4B6D-A45F-E1F812521489}"/>
    <cellStyle name="Normal 3 3 2 2 5 3 3" xfId="34173" xr:uid="{53920761-8A84-4256-808D-C497C8B511FF}"/>
    <cellStyle name="Normal 3 3 2 2 5 3 4" xfId="34174" xr:uid="{72A154F7-40D6-4408-8D30-BE3C008FA33A}"/>
    <cellStyle name="Normal 3 3 2 2 5 3 5" xfId="34175" xr:uid="{AA5AE111-46C1-4207-897E-3DB1A47F42FC}"/>
    <cellStyle name="Normal 3 3 2 2 5 3 6" xfId="34176" xr:uid="{92BBCB8E-BD98-4665-82C0-2163B48FB5E1}"/>
    <cellStyle name="Normal 3 3 2 2 5 4" xfId="34177" xr:uid="{0543BB9A-8435-4D6B-96A8-EBCC96D74D4F}"/>
    <cellStyle name="Normal 3 3 2 2 5 4 2" xfId="34178" xr:uid="{51C36596-7DE8-4142-B91B-DF4DA749601C}"/>
    <cellStyle name="Normal 3 3 2 2 5 4 3" xfId="34179" xr:uid="{0A6CDC43-3E8E-44FD-A0C5-8FB7B51F4A28}"/>
    <cellStyle name="Normal 3 3 2 2 5 4 4" xfId="34180" xr:uid="{7F79B598-6872-48AD-B658-164AB0968F26}"/>
    <cellStyle name="Normal 3 3 2 2 5 4 5" xfId="34181" xr:uid="{B6A03299-FA1E-452C-A1D5-B6380BAC2D31}"/>
    <cellStyle name="Normal 3 3 2 2 5 4 6" xfId="34182" xr:uid="{A05180C1-DF87-417B-90A1-500CDAC14B62}"/>
    <cellStyle name="Normal 3 3 2 2 5 5" xfId="34183" xr:uid="{6227E1DE-C590-4217-9DC4-77CC7DDA9352}"/>
    <cellStyle name="Normal 3 3 2 2 5 5 2" xfId="34184" xr:uid="{7AC75E2C-0C7D-4D5B-84EA-08613745DB1E}"/>
    <cellStyle name="Normal 3 3 2 2 5 5 3" xfId="34185" xr:uid="{A5E511C0-D467-4F42-8EF2-EBA4F523010C}"/>
    <cellStyle name="Normal 3 3 2 2 5 5 4" xfId="34186" xr:uid="{852767B8-8684-4B58-97C0-1B01F0ED7DEB}"/>
    <cellStyle name="Normal 3 3 2 2 5 5 5" xfId="34187" xr:uid="{0147B4A1-5590-4E38-B65F-0E16298D3929}"/>
    <cellStyle name="Normal 3 3 2 2 5 5 6" xfId="34188" xr:uid="{87C990CA-C8EA-4910-9C8C-D891CE48AEC4}"/>
    <cellStyle name="Normal 3 3 2 2 5 6" xfId="34189" xr:uid="{522E424C-F625-4BAD-9D65-EFDBCC004390}"/>
    <cellStyle name="Normal 3 3 2 2 5 6 2" xfId="34190" xr:uid="{9ED20CEF-0599-41F6-A1A4-D22151B84BF9}"/>
    <cellStyle name="Normal 3 3 2 2 5 6 3" xfId="34191" xr:uid="{781074AF-C59E-45B5-B60D-49E77D397293}"/>
    <cellStyle name="Normal 3 3 2 2 5 6 4" xfId="34192" xr:uid="{708F87EB-6890-4B0C-9C4C-A989D47A76EE}"/>
    <cellStyle name="Normal 3 3 2 2 5 6 5" xfId="34193" xr:uid="{9DBCCD7F-86E9-489F-9D33-F45A3CACE7A7}"/>
    <cellStyle name="Normal 3 3 2 2 5 6 6" xfId="34194" xr:uid="{DE8DF36E-7B85-4591-9508-BD1D66AD71AC}"/>
    <cellStyle name="Normal 3 3 2 2 5 7" xfId="34195" xr:uid="{FD88CA3B-3A03-44F6-8889-E5F63C14A69C}"/>
    <cellStyle name="Normal 3 3 2 2 5 8" xfId="34196" xr:uid="{DA593678-6B21-4DBB-A997-B87C93983DA6}"/>
    <cellStyle name="Normal 3 3 2 2 5 9" xfId="34197" xr:uid="{74EC50D3-D270-46C1-9CE0-6778C0F87157}"/>
    <cellStyle name="Normal 3 3 2 2 6" xfId="34198" xr:uid="{70E80048-1374-4DBD-9B80-F1D2814618DF}"/>
    <cellStyle name="Normal 3 3 2 2 6 10" xfId="34199" xr:uid="{5FDFEA22-26C6-4038-91A7-AF2CD564C223}"/>
    <cellStyle name="Normal 3 3 2 2 6 11" xfId="34200" xr:uid="{E3CDA465-A501-4006-BDA4-D1F9506B1425}"/>
    <cellStyle name="Normal 3 3 2 2 6 2" xfId="34201" xr:uid="{B334D3D8-A286-4BD5-A9AB-0AEADB62A87B}"/>
    <cellStyle name="Normal 3 3 2 2 6 2 2" xfId="34202" xr:uid="{EC534082-8702-473A-9D8D-3BD7EBBE500A}"/>
    <cellStyle name="Normal 3 3 2 2 6 2 3" xfId="34203" xr:uid="{6B414E5C-7C20-4C68-A98D-37959987A442}"/>
    <cellStyle name="Normal 3 3 2 2 6 2 4" xfId="34204" xr:uid="{18D94B51-1620-43EB-937F-F4F720DC7969}"/>
    <cellStyle name="Normal 3 3 2 2 6 2 5" xfId="34205" xr:uid="{5818225F-CA21-4358-A9A6-0BCDB6BA5E48}"/>
    <cellStyle name="Normal 3 3 2 2 6 2 6" xfId="34206" xr:uid="{610C880C-2EE1-4BA5-95DB-76E211418B1E}"/>
    <cellStyle name="Normal 3 3 2 2 6 3" xfId="34207" xr:uid="{7DF96970-96A3-4D40-8D2C-393B5C59C3FA}"/>
    <cellStyle name="Normal 3 3 2 2 6 3 2" xfId="34208" xr:uid="{DDD155AB-5F16-4B7D-B92D-9D1A9E0726F8}"/>
    <cellStyle name="Normal 3 3 2 2 6 3 3" xfId="34209" xr:uid="{4CE20425-914D-4DD3-941E-920C11A71671}"/>
    <cellStyle name="Normal 3 3 2 2 6 3 4" xfId="34210" xr:uid="{74525EA6-129D-43DA-86FD-A4346CEFA307}"/>
    <cellStyle name="Normal 3 3 2 2 6 3 5" xfId="34211" xr:uid="{8F545215-ABF6-4682-AFD1-391B7F0FF609}"/>
    <cellStyle name="Normal 3 3 2 2 6 3 6" xfId="34212" xr:uid="{8E1A73C9-D984-47A5-AB46-7217BE79AD7A}"/>
    <cellStyle name="Normal 3 3 2 2 6 4" xfId="34213" xr:uid="{E8E7162B-2884-4385-B6A4-31B5B05BDE06}"/>
    <cellStyle name="Normal 3 3 2 2 6 4 2" xfId="34214" xr:uid="{250273AD-1A9F-4B08-8906-5FE2D6D30496}"/>
    <cellStyle name="Normal 3 3 2 2 6 4 3" xfId="34215" xr:uid="{33397584-E1F8-4B19-A6E1-5B64288A1456}"/>
    <cellStyle name="Normal 3 3 2 2 6 4 4" xfId="34216" xr:uid="{C64E6E9D-DA56-4C0B-9C09-423BDC68C544}"/>
    <cellStyle name="Normal 3 3 2 2 6 4 5" xfId="34217" xr:uid="{41ECF210-A3E3-47B8-89EE-D9781686941B}"/>
    <cellStyle name="Normal 3 3 2 2 6 4 6" xfId="34218" xr:uid="{40B4A4FB-1A69-4249-B4DE-D886553F0101}"/>
    <cellStyle name="Normal 3 3 2 2 6 5" xfId="34219" xr:uid="{8D155B65-D970-4189-9F5F-8737D47FBE7C}"/>
    <cellStyle name="Normal 3 3 2 2 6 5 2" xfId="34220" xr:uid="{284D0532-1593-4389-8E1A-CEC6CC6B982E}"/>
    <cellStyle name="Normal 3 3 2 2 6 5 3" xfId="34221" xr:uid="{956252BA-9FDF-45A6-A681-437C81100B4C}"/>
    <cellStyle name="Normal 3 3 2 2 6 5 4" xfId="34222" xr:uid="{F3F7CF51-E999-4165-946C-BE26CEB9E0DC}"/>
    <cellStyle name="Normal 3 3 2 2 6 5 5" xfId="34223" xr:uid="{AF312254-887C-438D-9D63-596723DDA64A}"/>
    <cellStyle name="Normal 3 3 2 2 6 5 6" xfId="34224" xr:uid="{B09DA992-7052-4D8B-A360-9C25B4B9D2BB}"/>
    <cellStyle name="Normal 3 3 2 2 6 6" xfId="34225" xr:uid="{219450E7-9C16-463C-9BA7-4D71CAF115FD}"/>
    <cellStyle name="Normal 3 3 2 2 6 6 2" xfId="34226" xr:uid="{5BB3BCCB-FAF6-450C-AAA5-F70C1D2E9395}"/>
    <cellStyle name="Normal 3 3 2 2 6 6 3" xfId="34227" xr:uid="{8CA2A6A8-9742-4DBF-9B44-3D7DA116880C}"/>
    <cellStyle name="Normal 3 3 2 2 6 6 4" xfId="34228" xr:uid="{792ADEB2-912D-447A-A99D-DE44A7D02E3B}"/>
    <cellStyle name="Normal 3 3 2 2 6 6 5" xfId="34229" xr:uid="{14CFF824-81F0-4090-ACFA-5BB9132DBF39}"/>
    <cellStyle name="Normal 3 3 2 2 6 6 6" xfId="34230" xr:uid="{CF2EED8E-2F34-488F-B8E0-6ACE2D97B999}"/>
    <cellStyle name="Normal 3 3 2 2 6 7" xfId="34231" xr:uid="{C8D9BCE5-3854-407E-AF91-16076ADF0507}"/>
    <cellStyle name="Normal 3 3 2 2 6 8" xfId="34232" xr:uid="{31E21F50-6272-462E-9FE1-010C3ADF878A}"/>
    <cellStyle name="Normal 3 3 2 2 6 9" xfId="34233" xr:uid="{E7A57D40-CB8C-48BF-A0EF-FE0055357C57}"/>
    <cellStyle name="Normal 3 3 2 2 7" xfId="34234" xr:uid="{CB909698-D74E-4E83-92C4-C49788B3E929}"/>
    <cellStyle name="Normal 3 3 2 2 7 10" xfId="34235" xr:uid="{75D6A053-3EC3-4120-A3A5-8A28EFB3F2CC}"/>
    <cellStyle name="Normal 3 3 2 2 7 11" xfId="34236" xr:uid="{9CE3CF28-1285-40E5-A673-7815F02A9804}"/>
    <cellStyle name="Normal 3 3 2 2 7 2" xfId="34237" xr:uid="{A92C50CF-94DD-463F-9253-3FD0CC72D0AD}"/>
    <cellStyle name="Normal 3 3 2 2 7 2 2" xfId="34238" xr:uid="{E4F9FD43-0ED0-444E-BFE1-8920DBC7AD41}"/>
    <cellStyle name="Normal 3 3 2 2 7 2 3" xfId="34239" xr:uid="{E22A75C8-10D5-472B-BC6A-5682F0F6560E}"/>
    <cellStyle name="Normal 3 3 2 2 7 2 4" xfId="34240" xr:uid="{CF1E4F09-66D4-4D33-B6F1-164473D087F8}"/>
    <cellStyle name="Normal 3 3 2 2 7 2 5" xfId="34241" xr:uid="{359EDF35-6D78-4E17-8275-F30F9DC0A6B8}"/>
    <cellStyle name="Normal 3 3 2 2 7 2 6" xfId="34242" xr:uid="{54DD6C66-BC05-44BF-9D88-275678E53C49}"/>
    <cellStyle name="Normal 3 3 2 2 7 3" xfId="34243" xr:uid="{8349702E-040E-445C-A18C-3412779B2DE4}"/>
    <cellStyle name="Normal 3 3 2 2 7 3 2" xfId="34244" xr:uid="{9C2F72C7-E410-4116-910A-C29BD523A533}"/>
    <cellStyle name="Normal 3 3 2 2 7 3 3" xfId="34245" xr:uid="{8D75F5E6-E381-466B-B505-115B4B827DEC}"/>
    <cellStyle name="Normal 3 3 2 2 7 3 4" xfId="34246" xr:uid="{9DCFA045-F729-49AE-A8EB-2B152A0631D5}"/>
    <cellStyle name="Normal 3 3 2 2 7 3 5" xfId="34247" xr:uid="{E570B68E-7D5F-40F6-BEBB-721A336C1621}"/>
    <cellStyle name="Normal 3 3 2 2 7 3 6" xfId="34248" xr:uid="{5CEA9145-3749-42D2-A59C-8CB3E9F734B7}"/>
    <cellStyle name="Normal 3 3 2 2 7 4" xfId="34249" xr:uid="{FD3EEA40-219C-4877-AC7F-7983F242404A}"/>
    <cellStyle name="Normal 3 3 2 2 7 4 2" xfId="34250" xr:uid="{5BB73287-98E9-45D6-B674-49C002A16C20}"/>
    <cellStyle name="Normal 3 3 2 2 7 4 3" xfId="34251" xr:uid="{2E5E16E2-39AB-4F6A-B5F6-150BA8F6C54A}"/>
    <cellStyle name="Normal 3 3 2 2 7 4 4" xfId="34252" xr:uid="{EC9FDD6B-4433-43EE-83EC-BC53C988786D}"/>
    <cellStyle name="Normal 3 3 2 2 7 4 5" xfId="34253" xr:uid="{493D4FBB-58EE-4138-8D3F-709AEF2DD22F}"/>
    <cellStyle name="Normal 3 3 2 2 7 4 6" xfId="34254" xr:uid="{6F6AFAEB-BE84-48AC-977B-8FAD2C9B6C39}"/>
    <cellStyle name="Normal 3 3 2 2 7 5" xfId="34255" xr:uid="{A98761E4-B40C-4C0E-8D85-FABE6A121942}"/>
    <cellStyle name="Normal 3 3 2 2 7 5 2" xfId="34256" xr:uid="{F09E6155-933A-408A-A1E5-533909B5214A}"/>
    <cellStyle name="Normal 3 3 2 2 7 5 3" xfId="34257" xr:uid="{9E0D8B95-D7A1-4776-A003-9E389C263BC0}"/>
    <cellStyle name="Normal 3 3 2 2 7 5 4" xfId="34258" xr:uid="{F117EDDE-8150-453A-B93F-2A912FDFC80E}"/>
    <cellStyle name="Normal 3 3 2 2 7 5 5" xfId="34259" xr:uid="{E60EA6D6-1C32-4CF5-96A3-E9C67A8A0C68}"/>
    <cellStyle name="Normal 3 3 2 2 7 5 6" xfId="34260" xr:uid="{0BA848A4-3EFE-49E3-A130-766F38D1A843}"/>
    <cellStyle name="Normal 3 3 2 2 7 6" xfId="34261" xr:uid="{EF48D7D6-203A-4A27-A6AA-F3D203534EA1}"/>
    <cellStyle name="Normal 3 3 2 2 7 6 2" xfId="34262" xr:uid="{D4DBAE79-955B-409A-925A-5938CCAD82FB}"/>
    <cellStyle name="Normal 3 3 2 2 7 6 3" xfId="34263" xr:uid="{ECA27BE2-2E3E-4C84-8B14-EB312F7F87D5}"/>
    <cellStyle name="Normal 3 3 2 2 7 6 4" xfId="34264" xr:uid="{68BE6BEA-38F5-48EC-8FF0-E86365FAAEBF}"/>
    <cellStyle name="Normal 3 3 2 2 7 6 5" xfId="34265" xr:uid="{962584AD-746D-4E23-9298-AE5E56A3ABE3}"/>
    <cellStyle name="Normal 3 3 2 2 7 6 6" xfId="34266" xr:uid="{C4B62B33-B967-4990-9B47-A184F462DFED}"/>
    <cellStyle name="Normal 3 3 2 2 7 7" xfId="34267" xr:uid="{D3CCEC94-B75B-4193-BBFC-88DAEE968513}"/>
    <cellStyle name="Normal 3 3 2 2 7 8" xfId="34268" xr:uid="{DCE7E967-A6B9-45D8-A533-24CE67C3DED3}"/>
    <cellStyle name="Normal 3 3 2 2 7 9" xfId="34269" xr:uid="{E0FB9546-3401-4118-9347-AD961F04122B}"/>
    <cellStyle name="Normal 3 3 2 2 8" xfId="34270" xr:uid="{58BE9C50-FCA0-40DE-8D19-E844B5A02D7B}"/>
    <cellStyle name="Normal 3 3 2 2 8 10" xfId="34271" xr:uid="{C00AEB3D-6A40-47F3-9B81-B6114AADAC68}"/>
    <cellStyle name="Normal 3 3 2 2 8 11" xfId="34272" xr:uid="{6D42AA40-74C2-45C7-810E-DD272E9345BB}"/>
    <cellStyle name="Normal 3 3 2 2 8 2" xfId="34273" xr:uid="{90B3E4BF-F13B-4C10-8B5E-B2294F168B0E}"/>
    <cellStyle name="Normal 3 3 2 2 8 2 2" xfId="34274" xr:uid="{131AE4BE-7346-443A-A8A8-3E592797BC07}"/>
    <cellStyle name="Normal 3 3 2 2 8 2 3" xfId="34275" xr:uid="{F23B96FB-D8D2-45D4-BC26-4E6BA771BAE0}"/>
    <cellStyle name="Normal 3 3 2 2 8 2 4" xfId="34276" xr:uid="{CB188ED1-9F28-45BD-92F8-75945C832862}"/>
    <cellStyle name="Normal 3 3 2 2 8 2 5" xfId="34277" xr:uid="{37D61FF9-07F6-4C91-AF52-D213FCB5F890}"/>
    <cellStyle name="Normal 3 3 2 2 8 2 6" xfId="34278" xr:uid="{DE29E99B-ED33-4467-8495-26FAEDF855DF}"/>
    <cellStyle name="Normal 3 3 2 2 8 3" xfId="34279" xr:uid="{881499A0-EBCE-45A9-B75A-2C281401FD54}"/>
    <cellStyle name="Normal 3 3 2 2 8 3 2" xfId="34280" xr:uid="{CBDE2BCE-D45A-464B-A8CE-C38CE22EB170}"/>
    <cellStyle name="Normal 3 3 2 2 8 3 3" xfId="34281" xr:uid="{98BB7485-5777-434D-8BD6-F5D6926F9C3B}"/>
    <cellStyle name="Normal 3 3 2 2 8 3 4" xfId="34282" xr:uid="{416064A7-20E5-4E51-9BB9-5F199EB7338D}"/>
    <cellStyle name="Normal 3 3 2 2 8 3 5" xfId="34283" xr:uid="{23D8C465-CBF4-4244-9DFC-B60C7F3A78BA}"/>
    <cellStyle name="Normal 3 3 2 2 8 3 6" xfId="34284" xr:uid="{7B6E665A-2053-4362-B988-E3F46CCB4070}"/>
    <cellStyle name="Normal 3 3 2 2 8 4" xfId="34285" xr:uid="{7B888B34-3DEE-4495-89EF-83EFDB0D7BC0}"/>
    <cellStyle name="Normal 3 3 2 2 8 4 2" xfId="34286" xr:uid="{45FD55E8-B6AB-4AFA-86B4-C9E067B4FFD9}"/>
    <cellStyle name="Normal 3 3 2 2 8 4 3" xfId="34287" xr:uid="{A49CF6FF-2DBB-4B67-A1F5-A4E30A9FE77E}"/>
    <cellStyle name="Normal 3 3 2 2 8 4 4" xfId="34288" xr:uid="{4CF31990-B8B7-48ED-BC18-9DF1AC1A8272}"/>
    <cellStyle name="Normal 3 3 2 2 8 4 5" xfId="34289" xr:uid="{A2EF0ADB-A3D7-4997-AE27-42AC02717299}"/>
    <cellStyle name="Normal 3 3 2 2 8 4 6" xfId="34290" xr:uid="{04B1018A-CD97-4E06-8AD5-B92AA7E86BDD}"/>
    <cellStyle name="Normal 3 3 2 2 8 5" xfId="34291" xr:uid="{630CFE1B-B634-475A-8964-BCADA039FF9C}"/>
    <cellStyle name="Normal 3 3 2 2 8 5 2" xfId="34292" xr:uid="{DA389915-7FEE-416F-9668-DD9BFF556BB8}"/>
    <cellStyle name="Normal 3 3 2 2 8 5 3" xfId="34293" xr:uid="{F80EF8B6-F11F-4207-9763-FCE7618F1282}"/>
    <cellStyle name="Normal 3 3 2 2 8 5 4" xfId="34294" xr:uid="{95C50519-B708-4831-9280-5B7ADF260DD2}"/>
    <cellStyle name="Normal 3 3 2 2 8 5 5" xfId="34295" xr:uid="{7D961AF1-10B1-4389-9F55-4FE88249B0E9}"/>
    <cellStyle name="Normal 3 3 2 2 8 5 6" xfId="34296" xr:uid="{4EBFFBE7-B5A0-4C98-BCF8-BD8D1647A3B2}"/>
    <cellStyle name="Normal 3 3 2 2 8 6" xfId="34297" xr:uid="{5ED9A152-CA04-427E-91D2-FF1964916423}"/>
    <cellStyle name="Normal 3 3 2 2 8 6 2" xfId="34298" xr:uid="{561AD6BD-CA3F-4369-A2CF-644BF45E357C}"/>
    <cellStyle name="Normal 3 3 2 2 8 6 3" xfId="34299" xr:uid="{64BC8819-5201-4A95-9FEF-1898B79EFF00}"/>
    <cellStyle name="Normal 3 3 2 2 8 6 4" xfId="34300" xr:uid="{C00D31AB-BB3B-40D7-981F-75A1C4346F9D}"/>
    <cellStyle name="Normal 3 3 2 2 8 6 5" xfId="34301" xr:uid="{A223E368-29C5-4817-994A-F990340A64FF}"/>
    <cellStyle name="Normal 3 3 2 2 8 6 6" xfId="34302" xr:uid="{9D64E6CD-DE19-40F3-B82D-DF214E839ECB}"/>
    <cellStyle name="Normal 3 3 2 2 8 7" xfId="34303" xr:uid="{7D5E7DF2-4242-4408-9398-0E6CE9870272}"/>
    <cellStyle name="Normal 3 3 2 2 8 8" xfId="34304" xr:uid="{5F83D439-1159-4E22-91A4-958D2F647EF7}"/>
    <cellStyle name="Normal 3 3 2 2 8 9" xfId="34305" xr:uid="{7434054F-AFCE-400A-BC7F-384BECA9F3FE}"/>
    <cellStyle name="Normal 3 3 2 2 9" xfId="34306" xr:uid="{5860B1C6-B088-4A14-B321-7EF5A6C6081E}"/>
    <cellStyle name="Normal 3 3 2 2 9 10" xfId="34307" xr:uid="{7A5C7BCF-D2A8-4A45-B24B-006B6DA882F1}"/>
    <cellStyle name="Normal 3 3 2 2 9 11" xfId="34308" xr:uid="{0F13C909-0F47-48AE-9256-EF290840D431}"/>
    <cellStyle name="Normal 3 3 2 2 9 2" xfId="34309" xr:uid="{88D902E7-9491-42A6-B1CF-60D9ADF36E2B}"/>
    <cellStyle name="Normal 3 3 2 2 9 2 2" xfId="34310" xr:uid="{87317CE5-1362-481D-89BC-B48E54D18F6A}"/>
    <cellStyle name="Normal 3 3 2 2 9 2 3" xfId="34311" xr:uid="{7977317B-A4E9-4718-AA6A-4A10C8EF6921}"/>
    <cellStyle name="Normal 3 3 2 2 9 2 4" xfId="34312" xr:uid="{B449D203-CFAF-44FA-AB2A-178E8213D2C7}"/>
    <cellStyle name="Normal 3 3 2 2 9 2 5" xfId="34313" xr:uid="{8EBF91A1-462A-4A1C-905B-6E7BBFF105D8}"/>
    <cellStyle name="Normal 3 3 2 2 9 2 6" xfId="34314" xr:uid="{99592008-D5B8-48A7-94D2-404148767F8A}"/>
    <cellStyle name="Normal 3 3 2 2 9 3" xfId="34315" xr:uid="{F2CEB3F1-D216-4093-8700-684D08AC49C7}"/>
    <cellStyle name="Normal 3 3 2 2 9 3 2" xfId="34316" xr:uid="{A52CAA10-E310-4B9A-8482-F3623E4A94AF}"/>
    <cellStyle name="Normal 3 3 2 2 9 3 3" xfId="34317" xr:uid="{8907BA4F-E475-459B-9D79-69415C4D6F2C}"/>
    <cellStyle name="Normal 3 3 2 2 9 3 4" xfId="34318" xr:uid="{CF45C951-7375-4DDA-9683-639B20E641E3}"/>
    <cellStyle name="Normal 3 3 2 2 9 3 5" xfId="34319" xr:uid="{90B473EB-AC35-4FD5-A604-C4A3B9C5AED0}"/>
    <cellStyle name="Normal 3 3 2 2 9 3 6" xfId="34320" xr:uid="{8E29D9D6-8EA3-415A-B258-7C0FFD1AA00F}"/>
    <cellStyle name="Normal 3 3 2 2 9 4" xfId="34321" xr:uid="{799177D6-39E8-46B6-ABC7-C0C525E2F131}"/>
    <cellStyle name="Normal 3 3 2 2 9 4 2" xfId="34322" xr:uid="{6FEC4207-238F-4D0B-943F-B105560523A5}"/>
    <cellStyle name="Normal 3 3 2 2 9 4 3" xfId="34323" xr:uid="{5A066A93-2882-413F-9FE1-7162047171B7}"/>
    <cellStyle name="Normal 3 3 2 2 9 4 4" xfId="34324" xr:uid="{37AD38EA-87C3-42ED-838E-EAF95A9B4404}"/>
    <cellStyle name="Normal 3 3 2 2 9 4 5" xfId="34325" xr:uid="{CB4882F1-B65E-4F73-B16B-5AF34079265F}"/>
    <cellStyle name="Normal 3 3 2 2 9 4 6" xfId="34326" xr:uid="{8A46A297-4DD7-4B45-B337-204B43838295}"/>
    <cellStyle name="Normal 3 3 2 2 9 5" xfId="34327" xr:uid="{2A0FAFAF-2E1D-4BFF-8FAC-5465A4E6ABB1}"/>
    <cellStyle name="Normal 3 3 2 2 9 5 2" xfId="34328" xr:uid="{9221CD79-08C6-48D5-B507-5589F2A07DD3}"/>
    <cellStyle name="Normal 3 3 2 2 9 5 3" xfId="34329" xr:uid="{FAFB82F2-BFC5-4B83-8C45-AE867A00AC4A}"/>
    <cellStyle name="Normal 3 3 2 2 9 5 4" xfId="34330" xr:uid="{7A8F57BA-A601-4DC8-9244-0D948CC9DF64}"/>
    <cellStyle name="Normal 3 3 2 2 9 5 5" xfId="34331" xr:uid="{E986470D-67A7-4FAB-9CA6-FF69D8ED5184}"/>
    <cellStyle name="Normal 3 3 2 2 9 5 6" xfId="34332" xr:uid="{F4086522-0B25-4CDA-A6F6-7F1E039F15BA}"/>
    <cellStyle name="Normal 3 3 2 2 9 6" xfId="34333" xr:uid="{2BCDADF0-5938-47EF-8F44-E7C3FAAA5A68}"/>
    <cellStyle name="Normal 3 3 2 2 9 6 2" xfId="34334" xr:uid="{FA614E1C-E1CE-474B-8305-CB2100236E59}"/>
    <cellStyle name="Normal 3 3 2 2 9 6 3" xfId="34335" xr:uid="{1663F2A1-B8C5-47C9-B34B-B37C05B0378B}"/>
    <cellStyle name="Normal 3 3 2 2 9 6 4" xfId="34336" xr:uid="{2F519DD2-8D5A-43ED-A873-B677DAC77306}"/>
    <cellStyle name="Normal 3 3 2 2 9 6 5" xfId="34337" xr:uid="{FCE22A6F-2AED-4279-883E-4259D418CB16}"/>
    <cellStyle name="Normal 3 3 2 2 9 6 6" xfId="34338" xr:uid="{7B9439B0-09AF-433F-93FE-5BB80E4469E0}"/>
    <cellStyle name="Normal 3 3 2 2 9 7" xfId="34339" xr:uid="{B76BA5D7-6308-426E-92AB-F096C2480DDF}"/>
    <cellStyle name="Normal 3 3 2 2 9 8" xfId="34340" xr:uid="{9CB0DFC4-26DD-499E-AE6C-73CF99CAC048}"/>
    <cellStyle name="Normal 3 3 2 2 9 9" xfId="34341" xr:uid="{7A983A83-C079-4A01-930E-72A5AA2DBFAE}"/>
    <cellStyle name="Normal 3 3 2 20" xfId="34342" xr:uid="{BCEDA94F-EF2E-4822-8633-3CE1D18F53A1}"/>
    <cellStyle name="Normal 3 3 2 20 2" xfId="34343" xr:uid="{F65B10A7-8298-4807-B54F-595EA6203C5A}"/>
    <cellStyle name="Normal 3 3 2 20 3" xfId="34344" xr:uid="{5C5FCFB8-0372-4FB1-8425-152C03A678C0}"/>
    <cellStyle name="Normal 3 3 2 20 4" xfId="34345" xr:uid="{2EECB57D-F7C1-49AE-9DC5-EF59B4077ABE}"/>
    <cellStyle name="Normal 3 3 2 20 5" xfId="34346" xr:uid="{253916BC-6ED7-48FC-AE32-A3978B2FE086}"/>
    <cellStyle name="Normal 3 3 2 20 6" xfId="34347" xr:uid="{0E225BD3-72AB-464C-BAC1-88719729991F}"/>
    <cellStyle name="Normal 3 3 2 21" xfId="34348" xr:uid="{79112A26-1AF1-4FC8-AD39-145AE50CFCED}"/>
    <cellStyle name="Normal 3 3 2 21 2" xfId="34349" xr:uid="{1FC86DA5-F4B6-49A2-8974-A4B0A09429EC}"/>
    <cellStyle name="Normal 3 3 2 21 3" xfId="34350" xr:uid="{92A171DC-FEEA-4C3F-9405-19244347734D}"/>
    <cellStyle name="Normal 3 3 2 21 4" xfId="34351" xr:uid="{C87C8E29-3AF5-44E2-8E47-8D46D0969DAD}"/>
    <cellStyle name="Normal 3 3 2 21 5" xfId="34352" xr:uid="{43E63C7E-51FA-42B3-AC6A-8DFD56839B68}"/>
    <cellStyle name="Normal 3 3 2 21 6" xfId="34353" xr:uid="{7AD77BF4-4633-435F-818B-73F13CFCF518}"/>
    <cellStyle name="Normal 3 3 2 22" xfId="34354" xr:uid="{55183536-416D-4471-8C22-00465491DE98}"/>
    <cellStyle name="Normal 3 3 2 22 2" xfId="34355" xr:uid="{B21A1FBC-D7A7-41C9-AB23-4E853890D61A}"/>
    <cellStyle name="Normal 3 3 2 22 3" xfId="34356" xr:uid="{C4AB4635-3342-48FB-A32B-2DC0461F2B87}"/>
    <cellStyle name="Normal 3 3 2 22 4" xfId="34357" xr:uid="{18377D04-61CD-4663-BC96-88CD83A41C5A}"/>
    <cellStyle name="Normal 3 3 2 22 5" xfId="34358" xr:uid="{AC688553-BF84-4FD4-B69E-F277DFA2323A}"/>
    <cellStyle name="Normal 3 3 2 22 6" xfId="34359" xr:uid="{9700ED50-3475-44CD-8274-7C624A059C91}"/>
    <cellStyle name="Normal 3 3 2 23" xfId="34360" xr:uid="{1764D313-26DF-4646-9AEF-DFDA491CEFE3}"/>
    <cellStyle name="Normal 3 3 2 24" xfId="34361" xr:uid="{F05B7E47-532C-4BF0-9355-4BC2BDA44EDF}"/>
    <cellStyle name="Normal 3 3 2 25" xfId="34362" xr:uid="{E5FF0922-11E6-4574-B5F1-6EF2B0F75006}"/>
    <cellStyle name="Normal 3 3 2 26" xfId="34363" xr:uid="{D87198CA-CE78-46D2-94EE-23EAD6D25BD8}"/>
    <cellStyle name="Normal 3 3 2 27" xfId="34364" xr:uid="{C247D22D-3715-481B-8132-B9EEC1F2D7A4}"/>
    <cellStyle name="Normal 3 3 2 3" xfId="34365" xr:uid="{EE4A79FB-FDAE-4016-A9A0-EC0653BA0D69}"/>
    <cellStyle name="Normal 3 3 2 4" xfId="34366" xr:uid="{6CDF75C3-5A75-43C2-80C0-3DD15F89AE41}"/>
    <cellStyle name="Normal 3 3 2 5" xfId="34367" xr:uid="{D01A7440-2C04-4EE3-8BD2-BF2F5A0D7184}"/>
    <cellStyle name="Normal 3 3 2 6" xfId="34368" xr:uid="{2E2D770E-3BCB-4163-9967-7EF9C9CBF208}"/>
    <cellStyle name="Normal 3 3 2 7" xfId="34369" xr:uid="{D26323A8-7BD3-4A0D-9853-DF8DF09C65C1}"/>
    <cellStyle name="Normal 3 3 2 8" xfId="34370" xr:uid="{01DF26E8-86E6-44A1-8740-056D79EC2B09}"/>
    <cellStyle name="Normal 3 3 2 9" xfId="34371" xr:uid="{C4918E4E-CECE-479C-BB14-EAD19F21165C}"/>
    <cellStyle name="Normal 3 3 20" xfId="34372" xr:uid="{F119EEDA-C7C0-4ACB-82D7-481DD20F4EB8}"/>
    <cellStyle name="Normal 3 3 21" xfId="34373" xr:uid="{21B73EF3-6831-4C83-83F6-4C0451CCE2E5}"/>
    <cellStyle name="Normal 3 3 22" xfId="34374" xr:uid="{DD8B2101-82D3-4D92-9FD2-BE59C47C96CC}"/>
    <cellStyle name="Normal 3 3 23" xfId="34375" xr:uid="{479AE1B5-7027-43A7-81ED-1CF40A56477C}"/>
    <cellStyle name="Normal 3 3 24" xfId="34376" xr:uid="{5689378F-3A6B-4E95-99DF-83E13E21D992}"/>
    <cellStyle name="Normal 3 3 25" xfId="34377" xr:uid="{5EF86D80-2826-48F3-B6E2-9D05CC52E747}"/>
    <cellStyle name="Normal 3 3 3" xfId="34378" xr:uid="{D884AC58-0BB2-46D5-BDB0-9333A7F90C6D}"/>
    <cellStyle name="Normal 3 3 3 10" xfId="34379" xr:uid="{0720E3DD-CA5A-4917-A75E-1D5723851766}"/>
    <cellStyle name="Normal 3 3 3 10 2" xfId="34380" xr:uid="{E1D089B8-1A6D-4822-9234-837F13E872D7}"/>
    <cellStyle name="Normal 3 3 3 10 3" xfId="34381" xr:uid="{70CC25C5-5C97-4E7B-906D-70C1C41B4BB9}"/>
    <cellStyle name="Normal 3 3 3 10 4" xfId="34382" xr:uid="{AF7F1FD5-2BBC-4AF4-8DB0-9D1E9C8E7DB2}"/>
    <cellStyle name="Normal 3 3 3 10 5" xfId="34383" xr:uid="{DF650A24-010B-466D-B7B8-787F7A7D9598}"/>
    <cellStyle name="Normal 3 3 3 10 6" xfId="34384" xr:uid="{5FBAFB64-6B67-455F-96EC-AAB3951EC473}"/>
    <cellStyle name="Normal 3 3 3 11" xfId="34385" xr:uid="{8490F9B1-7E5C-463D-9C0C-7F0EA20C1B0E}"/>
    <cellStyle name="Normal 3 3 3 11 2" xfId="34386" xr:uid="{A2E446FE-2D93-44C2-B107-8E5EFF940357}"/>
    <cellStyle name="Normal 3 3 3 11 3" xfId="34387" xr:uid="{EE0914F7-F402-419F-BCAB-6FEAF9CF118E}"/>
    <cellStyle name="Normal 3 3 3 11 4" xfId="34388" xr:uid="{0FADCB95-9FA7-4C77-9288-0288C3F0C6D4}"/>
    <cellStyle name="Normal 3 3 3 11 5" xfId="34389" xr:uid="{9AFE5ED8-AD2D-481D-B6A8-CD3CF8E13399}"/>
    <cellStyle name="Normal 3 3 3 11 6" xfId="34390" xr:uid="{8B854B48-5D40-4AFB-BD34-802A5C8B56E9}"/>
    <cellStyle name="Normal 3 3 3 12" xfId="34391" xr:uid="{18A90E94-A5BF-4B2A-BF34-6A3917CCB70E}"/>
    <cellStyle name="Normal 3 3 3 12 2" xfId="34392" xr:uid="{EC42B06D-40F1-4D52-9673-0223720297F5}"/>
    <cellStyle name="Normal 3 3 3 12 3" xfId="34393" xr:uid="{40F2A7D0-6E7E-41F6-9C9E-762D8D6FC6D6}"/>
    <cellStyle name="Normal 3 3 3 12 4" xfId="34394" xr:uid="{F38A3D5A-605C-4568-A525-68DC3034089C}"/>
    <cellStyle name="Normal 3 3 3 12 5" xfId="34395" xr:uid="{484D53BD-81E8-4F95-9925-31D39F72CCBB}"/>
    <cellStyle name="Normal 3 3 3 12 6" xfId="34396" xr:uid="{F6D2AAA0-2DFF-44F3-8409-7EF519D20987}"/>
    <cellStyle name="Normal 3 3 3 13" xfId="34397" xr:uid="{38F824DB-1FEF-4D0F-8B63-C7F6E43FCC9B}"/>
    <cellStyle name="Normal 3 3 3 13 2" xfId="34398" xr:uid="{2DD7AAF8-D627-4395-BCFD-DC7D7E811713}"/>
    <cellStyle name="Normal 3 3 3 13 3" xfId="34399" xr:uid="{B9315791-FF1F-467A-A3EF-81BA21410B60}"/>
    <cellStyle name="Normal 3 3 3 13 4" xfId="34400" xr:uid="{5AFAFEB2-DF62-47FC-9C66-D528C8FF032D}"/>
    <cellStyle name="Normal 3 3 3 13 5" xfId="34401" xr:uid="{588BDA54-3A84-4BE2-9990-1D635AE6D4C1}"/>
    <cellStyle name="Normal 3 3 3 13 6" xfId="34402" xr:uid="{C99F98CD-D104-478E-952C-5E4D63E4CFDF}"/>
    <cellStyle name="Normal 3 3 3 14" xfId="34403" xr:uid="{E2511412-D323-43FA-B7C5-C290B339AB4A}"/>
    <cellStyle name="Normal 3 3 3 14 2" xfId="34404" xr:uid="{B5DFE7FF-F3D5-438D-A16E-AB0B9CAE4DEB}"/>
    <cellStyle name="Normal 3 3 3 14 3" xfId="34405" xr:uid="{69323EE7-CA1F-4F9D-8DCE-0043962829E0}"/>
    <cellStyle name="Normal 3 3 3 14 4" xfId="34406" xr:uid="{19BBF6E3-56A6-446D-A234-27671746C056}"/>
    <cellStyle name="Normal 3 3 3 14 5" xfId="34407" xr:uid="{2E30E4BE-6760-489B-9FCD-1BD76CB737DA}"/>
    <cellStyle name="Normal 3 3 3 14 6" xfId="34408" xr:uid="{9E051DAE-7088-4DE6-9F66-86DFE9A1874E}"/>
    <cellStyle name="Normal 3 3 3 15" xfId="34409" xr:uid="{41A7BA4C-88E1-4810-A218-452ABC57CE54}"/>
    <cellStyle name="Normal 3 3 3 16" xfId="34410" xr:uid="{1F76B1CC-BB82-4091-8AF5-19377FE3D5F5}"/>
    <cellStyle name="Normal 3 3 3 17" xfId="34411" xr:uid="{8789993D-763F-419C-897A-2F72C61D89A3}"/>
    <cellStyle name="Normal 3 3 3 18" xfId="34412" xr:uid="{7745901F-88D6-4BD7-9B1E-C38752503CCD}"/>
    <cellStyle name="Normal 3 3 3 19" xfId="34413" xr:uid="{94A025CA-2D85-47F7-A807-DB4FF52BFE36}"/>
    <cellStyle name="Normal 3 3 3 2" xfId="34414" xr:uid="{D53F6E28-67AF-4C43-A27C-545F68D644EB}"/>
    <cellStyle name="Normal 3 3 3 2 2" xfId="34415" xr:uid="{E4F97ED1-054D-4D1D-9763-64A46C180A2B}"/>
    <cellStyle name="Normal 3 3 3 2 2 10" xfId="34416" xr:uid="{072A2564-C62B-47F0-BBD2-B88EA08A6E8C}"/>
    <cellStyle name="Normal 3 3 3 2 2 11" xfId="34417" xr:uid="{D5148150-C4CB-4EC2-9391-A24BA41B0318}"/>
    <cellStyle name="Normal 3 3 3 2 2 2" xfId="34418" xr:uid="{D76A01EE-A13F-4161-BB6A-3387B88A33CC}"/>
    <cellStyle name="Normal 3 3 3 2 2 2 2" xfId="34419" xr:uid="{BED1230A-5570-43CF-809F-6A21CFF21B8E}"/>
    <cellStyle name="Normal 3 3 3 2 2 2 3" xfId="34420" xr:uid="{023BD23A-0A59-44A6-AB9D-D5E0E9A4EAB1}"/>
    <cellStyle name="Normal 3 3 3 2 2 2 4" xfId="34421" xr:uid="{19C6D992-97B1-48AF-93C9-0CA4572D8502}"/>
    <cellStyle name="Normal 3 3 3 2 2 2 5" xfId="34422" xr:uid="{CAC1FC11-C6A9-4C30-B040-F5A641F55795}"/>
    <cellStyle name="Normal 3 3 3 2 2 2 6" xfId="34423" xr:uid="{A172BD6E-5127-40C3-AEE3-042111709D2E}"/>
    <cellStyle name="Normal 3 3 3 2 2 3" xfId="34424" xr:uid="{C58FE6BB-6FB0-4A95-B7B2-B5D72E18432D}"/>
    <cellStyle name="Normal 3 3 3 2 2 3 2" xfId="34425" xr:uid="{BEFA817C-45C7-4C1A-8AA5-3F18D7F09250}"/>
    <cellStyle name="Normal 3 3 3 2 2 3 3" xfId="34426" xr:uid="{56439304-FB9B-420E-AE58-9BC16B55E996}"/>
    <cellStyle name="Normal 3 3 3 2 2 3 4" xfId="34427" xr:uid="{143D9AFD-5709-4B75-8635-8BCA9F1DD61E}"/>
    <cellStyle name="Normal 3 3 3 2 2 3 5" xfId="34428" xr:uid="{C2C7945B-FBEE-4C65-89DA-462B2060F4E5}"/>
    <cellStyle name="Normal 3 3 3 2 2 3 6" xfId="34429" xr:uid="{DFAA50BC-29C4-4533-AC76-94888173C778}"/>
    <cellStyle name="Normal 3 3 3 2 2 4" xfId="34430" xr:uid="{D22044B4-DEE0-4AD3-8CD7-30D313CF5143}"/>
    <cellStyle name="Normal 3 3 3 2 2 4 2" xfId="34431" xr:uid="{1B6EEA8C-5443-4294-8ADF-931F3D488EE7}"/>
    <cellStyle name="Normal 3 3 3 2 2 4 3" xfId="34432" xr:uid="{4658C4FA-F089-46D1-ACCA-42AB709D67C7}"/>
    <cellStyle name="Normal 3 3 3 2 2 4 4" xfId="34433" xr:uid="{B9BAC55D-ABA0-49C1-A1D8-BFC99828CFBC}"/>
    <cellStyle name="Normal 3 3 3 2 2 4 5" xfId="34434" xr:uid="{0922E00F-45DB-498C-9E9C-22A1EF41758E}"/>
    <cellStyle name="Normal 3 3 3 2 2 4 6" xfId="34435" xr:uid="{8C8432BA-C8E7-4919-A847-4ACEFBB66133}"/>
    <cellStyle name="Normal 3 3 3 2 2 5" xfId="34436" xr:uid="{F43E55DF-BF7C-4B22-865B-0527AEC99B0C}"/>
    <cellStyle name="Normal 3 3 3 2 2 5 2" xfId="34437" xr:uid="{A9505CF4-3608-42CD-9EF8-FAE0C993F6DB}"/>
    <cellStyle name="Normal 3 3 3 2 2 5 3" xfId="34438" xr:uid="{B49DEA96-28DF-47D8-B09B-7B9D36226692}"/>
    <cellStyle name="Normal 3 3 3 2 2 5 4" xfId="34439" xr:uid="{1323EBD6-9E6D-4F27-A5D5-57E28C084DDF}"/>
    <cellStyle name="Normal 3 3 3 2 2 5 5" xfId="34440" xr:uid="{8DC709A4-9443-4CC7-A929-1D55A3BBE660}"/>
    <cellStyle name="Normal 3 3 3 2 2 5 6" xfId="34441" xr:uid="{4ABDB5D6-F607-4D98-8063-874140BBCD5C}"/>
    <cellStyle name="Normal 3 3 3 2 2 6" xfId="34442" xr:uid="{B17C6C5F-A2CC-4AB2-BBBF-ED73D3144C96}"/>
    <cellStyle name="Normal 3 3 3 2 2 6 2" xfId="34443" xr:uid="{FF8DFBD5-5A24-4648-9439-A59B8DDFD4EF}"/>
    <cellStyle name="Normal 3 3 3 2 2 6 3" xfId="34444" xr:uid="{2B2D342A-6057-45BF-AB4F-873BF175BFD3}"/>
    <cellStyle name="Normal 3 3 3 2 2 6 4" xfId="34445" xr:uid="{C310D88D-3F56-4563-B890-221CB84F0C34}"/>
    <cellStyle name="Normal 3 3 3 2 2 6 5" xfId="34446" xr:uid="{AAB660DA-0478-42B4-BE61-43142D188D02}"/>
    <cellStyle name="Normal 3 3 3 2 2 6 6" xfId="34447" xr:uid="{D89FB90B-930E-4958-BFC6-28A8F651868D}"/>
    <cellStyle name="Normal 3 3 3 2 2 7" xfId="34448" xr:uid="{60639621-00EA-465A-BFEC-F06C21D87C27}"/>
    <cellStyle name="Normal 3 3 3 2 2 8" xfId="34449" xr:uid="{AF6A39A7-15F5-4229-9019-9D72A61EDBC5}"/>
    <cellStyle name="Normal 3 3 3 2 2 9" xfId="34450" xr:uid="{25C92D11-8B86-466C-9875-A17BFCE31028}"/>
    <cellStyle name="Normal 3 3 3 2 3" xfId="34451" xr:uid="{AA9DAAD4-209E-4950-A2DD-85F52A53F07E}"/>
    <cellStyle name="Normal 3 3 3 2 3 10" xfId="34452" xr:uid="{2DD536C8-1863-4B21-B803-F962596DB8B6}"/>
    <cellStyle name="Normal 3 3 3 2 3 11" xfId="34453" xr:uid="{A74BBF52-ACBD-4112-8A44-3C2BE522791B}"/>
    <cellStyle name="Normal 3 3 3 2 3 2" xfId="34454" xr:uid="{448C7E41-44DB-4055-8209-018DF55AACBC}"/>
    <cellStyle name="Normal 3 3 3 2 3 2 2" xfId="34455" xr:uid="{DD4ED84A-E590-45B7-993C-E490C153A233}"/>
    <cellStyle name="Normal 3 3 3 2 3 2 3" xfId="34456" xr:uid="{9F97BF82-EEBB-4BBE-AD83-1E330948CB7C}"/>
    <cellStyle name="Normal 3 3 3 2 3 2 4" xfId="34457" xr:uid="{D2F1F810-1724-4B5D-9D0C-E87E83F003A1}"/>
    <cellStyle name="Normal 3 3 3 2 3 2 5" xfId="34458" xr:uid="{47D8A83B-C255-42E5-8701-02A865B279E2}"/>
    <cellStyle name="Normal 3 3 3 2 3 2 6" xfId="34459" xr:uid="{C3BF84CF-E77A-4C58-86D0-63B6D5AB1CAC}"/>
    <cellStyle name="Normal 3 3 3 2 3 3" xfId="34460" xr:uid="{BD908FF1-8BC6-4CBE-82BE-2AEA6E22FBAA}"/>
    <cellStyle name="Normal 3 3 3 2 3 3 2" xfId="34461" xr:uid="{D5E553AD-4E26-4794-B2CF-14BE4F290513}"/>
    <cellStyle name="Normal 3 3 3 2 3 3 3" xfId="34462" xr:uid="{DED5F0D4-45EA-43F7-8C9E-FD4EF3F26187}"/>
    <cellStyle name="Normal 3 3 3 2 3 3 4" xfId="34463" xr:uid="{F4E4E3CE-E1C0-45AA-B499-11EBE5F71DE5}"/>
    <cellStyle name="Normal 3 3 3 2 3 3 5" xfId="34464" xr:uid="{EC52C6E8-6A54-4BFA-BE80-B46B505074DD}"/>
    <cellStyle name="Normal 3 3 3 2 3 3 6" xfId="34465" xr:uid="{E7FBAF3C-A14F-4736-9FBB-159FB603C861}"/>
    <cellStyle name="Normal 3 3 3 2 3 4" xfId="34466" xr:uid="{D35D2C9D-F9E6-4677-BAF1-5D2D05BCF12E}"/>
    <cellStyle name="Normal 3 3 3 2 3 4 2" xfId="34467" xr:uid="{CD552D8C-D9B7-4725-91B1-DE65C67F673D}"/>
    <cellStyle name="Normal 3 3 3 2 3 4 3" xfId="34468" xr:uid="{27EE40A2-481A-45E3-8A7D-F13FB27A88CB}"/>
    <cellStyle name="Normal 3 3 3 2 3 4 4" xfId="34469" xr:uid="{8618EF34-D882-4DD1-A4EB-C04660CDB537}"/>
    <cellStyle name="Normal 3 3 3 2 3 4 5" xfId="34470" xr:uid="{1FF76301-7423-4CA4-AB08-CDA3380766E9}"/>
    <cellStyle name="Normal 3 3 3 2 3 4 6" xfId="34471" xr:uid="{3F2E1D3A-C680-4836-BD29-DA449E04E1C5}"/>
    <cellStyle name="Normal 3 3 3 2 3 5" xfId="34472" xr:uid="{D62A396E-052B-4D76-B416-A37ED4B5BC4E}"/>
    <cellStyle name="Normal 3 3 3 2 3 5 2" xfId="34473" xr:uid="{909DE52D-88D3-4B16-852B-B8B3899A2DEF}"/>
    <cellStyle name="Normal 3 3 3 2 3 5 3" xfId="34474" xr:uid="{842E1094-3EA5-400B-8D65-73136EE1292F}"/>
    <cellStyle name="Normal 3 3 3 2 3 5 4" xfId="34475" xr:uid="{9DE60E2B-6DA6-4B58-8BFD-0718BE345D38}"/>
    <cellStyle name="Normal 3 3 3 2 3 5 5" xfId="34476" xr:uid="{7AE14621-8ECD-4710-A4D1-39572CBA2BBA}"/>
    <cellStyle name="Normal 3 3 3 2 3 5 6" xfId="34477" xr:uid="{444DB9AF-C958-4BE9-9912-1E1F686AD8DF}"/>
    <cellStyle name="Normal 3 3 3 2 3 6" xfId="34478" xr:uid="{277C2A3E-CA8B-4294-A459-D5D2A5DB61D3}"/>
    <cellStyle name="Normal 3 3 3 2 3 6 2" xfId="34479" xr:uid="{CE0C3406-1127-4360-AC76-89D9C0681AE6}"/>
    <cellStyle name="Normal 3 3 3 2 3 6 3" xfId="34480" xr:uid="{2C2B380B-26A8-44B5-A2B0-05FF27FCE8B6}"/>
    <cellStyle name="Normal 3 3 3 2 3 6 4" xfId="34481" xr:uid="{664083A4-F772-4EA2-BE16-A6BEC25B0015}"/>
    <cellStyle name="Normal 3 3 3 2 3 6 5" xfId="34482" xr:uid="{84E85445-32F7-46F9-9EC3-FC8512B31BFE}"/>
    <cellStyle name="Normal 3 3 3 2 3 6 6" xfId="34483" xr:uid="{D975A3DD-1158-4949-BC27-785267B22097}"/>
    <cellStyle name="Normal 3 3 3 2 3 7" xfId="34484" xr:uid="{4CEAC148-C407-43A1-8CF8-5E7640CCB337}"/>
    <cellStyle name="Normal 3 3 3 2 3 8" xfId="34485" xr:uid="{163E3A8E-C63D-4598-AB5E-840ADF2093A1}"/>
    <cellStyle name="Normal 3 3 3 2 3 9" xfId="34486" xr:uid="{840C7AF0-1A8B-4173-8456-1747984D291D}"/>
    <cellStyle name="Normal 3 3 3 2 4" xfId="34487" xr:uid="{B167F524-6ABC-4B31-B00D-F603C601C6ED}"/>
    <cellStyle name="Normal 3 3 3 2 4 10" xfId="34488" xr:uid="{82FF8393-8CC8-4063-BF9D-EC7473D55CF6}"/>
    <cellStyle name="Normal 3 3 3 2 4 11" xfId="34489" xr:uid="{C18239C7-0B52-4676-A8AA-6EE818F6F846}"/>
    <cellStyle name="Normal 3 3 3 2 4 2" xfId="34490" xr:uid="{71D8D5B6-E593-4061-BDA1-EF832D8B9B7B}"/>
    <cellStyle name="Normal 3 3 3 2 4 2 2" xfId="34491" xr:uid="{EB58B94B-8ACD-4831-B5A7-5BE0E101D0D6}"/>
    <cellStyle name="Normal 3 3 3 2 4 2 3" xfId="34492" xr:uid="{AC164116-F292-4231-9570-BA2774A6B0EE}"/>
    <cellStyle name="Normal 3 3 3 2 4 2 4" xfId="34493" xr:uid="{689045A4-C30C-4823-BA93-DED626F40346}"/>
    <cellStyle name="Normal 3 3 3 2 4 2 5" xfId="34494" xr:uid="{C02CA92D-CB56-4861-AC62-5313F0423722}"/>
    <cellStyle name="Normal 3 3 3 2 4 2 6" xfId="34495" xr:uid="{394357F9-EA97-4539-A814-E88C0FF3FE3E}"/>
    <cellStyle name="Normal 3 3 3 2 4 3" xfId="34496" xr:uid="{9AD7EC9F-66C9-47D6-B8F1-D40606A90D82}"/>
    <cellStyle name="Normal 3 3 3 2 4 3 2" xfId="34497" xr:uid="{3B767FE9-1E6F-49E0-B6D6-F7C2268ED224}"/>
    <cellStyle name="Normal 3 3 3 2 4 3 3" xfId="34498" xr:uid="{C8F251F7-8382-450E-A6B8-EFD797FF6347}"/>
    <cellStyle name="Normal 3 3 3 2 4 3 4" xfId="34499" xr:uid="{6E3176CB-2AB3-4DF7-A9BB-4809C9A3E45A}"/>
    <cellStyle name="Normal 3 3 3 2 4 3 5" xfId="34500" xr:uid="{FADE99A7-3ED9-4F2E-8AA7-F2508BEC6D45}"/>
    <cellStyle name="Normal 3 3 3 2 4 3 6" xfId="34501" xr:uid="{BAAF3781-6999-47DA-ACC0-A30325062EF1}"/>
    <cellStyle name="Normal 3 3 3 2 4 4" xfId="34502" xr:uid="{75137F16-B0FA-4B87-B0F6-1AA2EECAC5D7}"/>
    <cellStyle name="Normal 3 3 3 2 4 4 2" xfId="34503" xr:uid="{E5F4CA11-3F2E-4DE6-88DE-36E8932F735D}"/>
    <cellStyle name="Normal 3 3 3 2 4 4 3" xfId="34504" xr:uid="{5FC6BD6F-B0FF-447E-B780-CB66B6B15550}"/>
    <cellStyle name="Normal 3 3 3 2 4 4 4" xfId="34505" xr:uid="{11131F58-5CF5-4006-8D5E-DAEEFC2A4ABB}"/>
    <cellStyle name="Normal 3 3 3 2 4 4 5" xfId="34506" xr:uid="{C165F65C-EC02-4DB2-BB4D-BFC0129D98A0}"/>
    <cellStyle name="Normal 3 3 3 2 4 4 6" xfId="34507" xr:uid="{43EE9BE1-F0F9-4E1D-8809-57EAF75FFCF5}"/>
    <cellStyle name="Normal 3 3 3 2 4 5" xfId="34508" xr:uid="{35B86E83-5DDA-40CC-B220-03CC9F2F7C92}"/>
    <cellStyle name="Normal 3 3 3 2 4 5 2" xfId="34509" xr:uid="{AD94B6E8-2D4E-4EBF-977B-535330BB2371}"/>
    <cellStyle name="Normal 3 3 3 2 4 5 3" xfId="34510" xr:uid="{6EEADEA7-EFE5-43A4-A9D6-6D35BF0C2E4C}"/>
    <cellStyle name="Normal 3 3 3 2 4 5 4" xfId="34511" xr:uid="{6A325097-0BBD-43E7-B6D4-C5D2AF093743}"/>
    <cellStyle name="Normal 3 3 3 2 4 5 5" xfId="34512" xr:uid="{4B1E8A5C-66C9-4ABF-858C-4C35CD7971DC}"/>
    <cellStyle name="Normal 3 3 3 2 4 5 6" xfId="34513" xr:uid="{3E6CF29E-3AD9-4091-93E1-6450216C84DE}"/>
    <cellStyle name="Normal 3 3 3 2 4 6" xfId="34514" xr:uid="{743C262B-0B99-4FF3-9E5E-F9E193A67672}"/>
    <cellStyle name="Normal 3 3 3 2 4 6 2" xfId="34515" xr:uid="{F867ECAE-E735-4A77-AEFC-2AF1177107BD}"/>
    <cellStyle name="Normal 3 3 3 2 4 6 3" xfId="34516" xr:uid="{A3D9F43B-E3AB-42E0-98C0-6B8531A925FC}"/>
    <cellStyle name="Normal 3 3 3 2 4 6 4" xfId="34517" xr:uid="{6E70DE28-563F-4315-8AA0-4CA6FA4C9084}"/>
    <cellStyle name="Normal 3 3 3 2 4 6 5" xfId="34518" xr:uid="{22799CB2-258C-45C8-B072-720195DE5061}"/>
    <cellStyle name="Normal 3 3 3 2 4 6 6" xfId="34519" xr:uid="{D278FF8A-08BC-4515-8B08-58F057F8A3F1}"/>
    <cellStyle name="Normal 3 3 3 2 4 7" xfId="34520" xr:uid="{F0F4ED89-813F-4EF4-8AEF-2AAC1892D9CF}"/>
    <cellStyle name="Normal 3 3 3 2 4 8" xfId="34521" xr:uid="{BDFB7577-FF0F-4B8F-B162-88D019F93619}"/>
    <cellStyle name="Normal 3 3 3 2 4 9" xfId="34522" xr:uid="{019093F9-9BBF-44FE-B5FA-595BBF09923C}"/>
    <cellStyle name="Normal 3 3 3 2 5" xfId="34523" xr:uid="{ED29CC69-3379-46BF-8936-1BCF84FC8088}"/>
    <cellStyle name="Normal 3 3 3 2 5 10" xfId="34524" xr:uid="{BDF20C00-BD15-4F4D-A2C8-98D2AE093A89}"/>
    <cellStyle name="Normal 3 3 3 2 5 11" xfId="34525" xr:uid="{786EFD67-86E0-4206-811F-BBCB7F25BB07}"/>
    <cellStyle name="Normal 3 3 3 2 5 2" xfId="34526" xr:uid="{AA079B9A-DFD5-43B6-8A72-CE1F678E96F3}"/>
    <cellStyle name="Normal 3 3 3 2 5 2 2" xfId="34527" xr:uid="{8FC92927-C6ED-4AEC-AC4A-88100EA327C2}"/>
    <cellStyle name="Normal 3 3 3 2 5 2 3" xfId="34528" xr:uid="{EC8488DB-3566-425F-A649-46598A3711F3}"/>
    <cellStyle name="Normal 3 3 3 2 5 2 4" xfId="34529" xr:uid="{752896DC-D200-4419-AA6A-8E10B77781E0}"/>
    <cellStyle name="Normal 3 3 3 2 5 2 5" xfId="34530" xr:uid="{A7109297-2AD2-45DE-A150-F3D95F89B06A}"/>
    <cellStyle name="Normal 3 3 3 2 5 2 6" xfId="34531" xr:uid="{1171CC06-1052-4F14-8BE5-3C44EE63ABF3}"/>
    <cellStyle name="Normal 3 3 3 2 5 3" xfId="34532" xr:uid="{208F935B-68D5-44BC-90A1-9991EF0FD0A0}"/>
    <cellStyle name="Normal 3 3 3 2 5 3 2" xfId="34533" xr:uid="{8BC18D29-3C32-48E0-B2C8-4C85BB6ACB0C}"/>
    <cellStyle name="Normal 3 3 3 2 5 3 3" xfId="34534" xr:uid="{AEF5014F-C408-4EC8-92B2-7FCE67C05704}"/>
    <cellStyle name="Normal 3 3 3 2 5 3 4" xfId="34535" xr:uid="{048FB6E2-ABDD-4ABD-8F73-8A0ADD2F569B}"/>
    <cellStyle name="Normal 3 3 3 2 5 3 5" xfId="34536" xr:uid="{E2224A75-4E3B-4840-9527-9E7BD7A027C3}"/>
    <cellStyle name="Normal 3 3 3 2 5 3 6" xfId="34537" xr:uid="{FD69DB61-35D7-464D-9B4A-DCFDC85AB906}"/>
    <cellStyle name="Normal 3 3 3 2 5 4" xfId="34538" xr:uid="{D82E15F6-3DEB-4412-B6C0-A333829EE5E8}"/>
    <cellStyle name="Normal 3 3 3 2 5 4 2" xfId="34539" xr:uid="{D6268A6E-13DB-4B92-A28D-2E82DFB84DD5}"/>
    <cellStyle name="Normal 3 3 3 2 5 4 3" xfId="34540" xr:uid="{36921BB8-9B32-47DC-B33E-4AFC6A2B936B}"/>
    <cellStyle name="Normal 3 3 3 2 5 4 4" xfId="34541" xr:uid="{E3E75951-2FC2-49F1-847B-A23C0145FF1A}"/>
    <cellStyle name="Normal 3 3 3 2 5 4 5" xfId="34542" xr:uid="{F000E9CA-0CAD-43A3-A42E-DFE32FEDE428}"/>
    <cellStyle name="Normal 3 3 3 2 5 4 6" xfId="34543" xr:uid="{CDA78213-5817-4765-8984-C291A9E351FB}"/>
    <cellStyle name="Normal 3 3 3 2 5 5" xfId="34544" xr:uid="{22727181-DABB-4B35-89D0-53C7A29D3290}"/>
    <cellStyle name="Normal 3 3 3 2 5 5 2" xfId="34545" xr:uid="{57D53DA7-8606-461C-929E-2DBBDC371671}"/>
    <cellStyle name="Normal 3 3 3 2 5 5 3" xfId="34546" xr:uid="{000F3823-2EAB-4DC6-BD73-466C86A85608}"/>
    <cellStyle name="Normal 3 3 3 2 5 5 4" xfId="34547" xr:uid="{FAE8EC26-80D6-4EED-955F-5CD20D65A90B}"/>
    <cellStyle name="Normal 3 3 3 2 5 5 5" xfId="34548" xr:uid="{1BA267AD-F6B3-4147-9283-EC64BDC05C46}"/>
    <cellStyle name="Normal 3 3 3 2 5 5 6" xfId="34549" xr:uid="{502035A8-62A3-43E8-BC05-F6DA6D23EC07}"/>
    <cellStyle name="Normal 3 3 3 2 5 6" xfId="34550" xr:uid="{E1CE5072-4835-498D-918C-97C9A41E8FD7}"/>
    <cellStyle name="Normal 3 3 3 2 5 6 2" xfId="34551" xr:uid="{4E60D87D-7D21-4F8E-8693-3B2FC690B276}"/>
    <cellStyle name="Normal 3 3 3 2 5 6 3" xfId="34552" xr:uid="{09C01E47-8F93-4BCD-915F-1EE3468DB265}"/>
    <cellStyle name="Normal 3 3 3 2 5 6 4" xfId="34553" xr:uid="{B1E3FC30-2D41-4FC3-83B3-46916D289445}"/>
    <cellStyle name="Normal 3 3 3 2 5 6 5" xfId="34554" xr:uid="{018CCAF7-ED7B-40F4-AC07-0C8B0D89CF04}"/>
    <cellStyle name="Normal 3 3 3 2 5 6 6" xfId="34555" xr:uid="{BCB8815A-B72C-42AC-8CDD-986F45C5E059}"/>
    <cellStyle name="Normal 3 3 3 2 5 7" xfId="34556" xr:uid="{A0E741D8-795A-4AE7-B3FE-7442EE4DFE87}"/>
    <cellStyle name="Normal 3 3 3 2 5 8" xfId="34557" xr:uid="{FBD4B1B6-1388-434B-AA63-41EA8E99AB02}"/>
    <cellStyle name="Normal 3 3 3 2 5 9" xfId="34558" xr:uid="{B6B21229-039E-4BF5-9669-D4F83D543AEE}"/>
    <cellStyle name="Normal 3 3 3 2 6" xfId="34559" xr:uid="{05AECA46-3BC7-4CB5-A84B-145CB7002238}"/>
    <cellStyle name="Normal 3 3 3 2 6 10" xfId="34560" xr:uid="{C14B48B3-DDB3-4C84-AB8B-0D07A9D24157}"/>
    <cellStyle name="Normal 3 3 3 2 6 11" xfId="34561" xr:uid="{2E746043-720E-4A72-9FED-4345E7346FB7}"/>
    <cellStyle name="Normal 3 3 3 2 6 2" xfId="34562" xr:uid="{7A604BEF-946E-4EC0-BCD3-83CC16974B2A}"/>
    <cellStyle name="Normal 3 3 3 2 6 2 2" xfId="34563" xr:uid="{19FF83A7-D868-4EFF-8FAF-DCC115B94CB1}"/>
    <cellStyle name="Normal 3 3 3 2 6 2 3" xfId="34564" xr:uid="{F569DBC7-4B47-41D8-8831-D8C551FD3B27}"/>
    <cellStyle name="Normal 3 3 3 2 6 2 4" xfId="34565" xr:uid="{13983699-A86E-4B6B-B231-3014915C2DAE}"/>
    <cellStyle name="Normal 3 3 3 2 6 2 5" xfId="34566" xr:uid="{A8F50411-193E-4EF0-BB4C-3D3D4306AEA4}"/>
    <cellStyle name="Normal 3 3 3 2 6 2 6" xfId="34567" xr:uid="{73A0810E-E0AA-452D-8D20-0C0AE73A00B6}"/>
    <cellStyle name="Normal 3 3 3 2 6 3" xfId="34568" xr:uid="{67ACAA1D-B1D8-4532-BCE9-D744750357B6}"/>
    <cellStyle name="Normal 3 3 3 2 6 3 2" xfId="34569" xr:uid="{675F6446-BB34-4626-9A43-983645CBBCE9}"/>
    <cellStyle name="Normal 3 3 3 2 6 3 3" xfId="34570" xr:uid="{3495C3E4-2FD3-4F14-AF95-A2FC35AA6357}"/>
    <cellStyle name="Normal 3 3 3 2 6 3 4" xfId="34571" xr:uid="{953E95B4-CF0A-4B4B-8439-BFC2659708B6}"/>
    <cellStyle name="Normal 3 3 3 2 6 3 5" xfId="34572" xr:uid="{2B22E1FC-19A4-4ED2-92DE-585F60BF81BD}"/>
    <cellStyle name="Normal 3 3 3 2 6 3 6" xfId="34573" xr:uid="{6843F617-D382-431C-BC0C-C607AD60DBE0}"/>
    <cellStyle name="Normal 3 3 3 2 6 4" xfId="34574" xr:uid="{F00582D7-4ABA-4A7F-B280-B9D6EF4141B4}"/>
    <cellStyle name="Normal 3 3 3 2 6 4 2" xfId="34575" xr:uid="{844C054B-F501-45C5-9AF8-2DDC7EA15FF1}"/>
    <cellStyle name="Normal 3 3 3 2 6 4 3" xfId="34576" xr:uid="{F2172B69-4DFE-435C-8BF5-8D1165391453}"/>
    <cellStyle name="Normal 3 3 3 2 6 4 4" xfId="34577" xr:uid="{18146671-D79D-4A0F-8B48-845565C452FD}"/>
    <cellStyle name="Normal 3 3 3 2 6 4 5" xfId="34578" xr:uid="{2514C64A-9412-4020-9F8C-56779BF0ED7B}"/>
    <cellStyle name="Normal 3 3 3 2 6 4 6" xfId="34579" xr:uid="{BEB9583A-BC81-4639-8A5E-5B77CF8930F7}"/>
    <cellStyle name="Normal 3 3 3 2 6 5" xfId="34580" xr:uid="{5657660D-F07B-4D8C-A01D-C307DD31D568}"/>
    <cellStyle name="Normal 3 3 3 2 6 5 2" xfId="34581" xr:uid="{2415F21B-7A97-41D2-8EA3-5EF18F01FF05}"/>
    <cellStyle name="Normal 3 3 3 2 6 5 3" xfId="34582" xr:uid="{9D28B0B4-DC8D-4F0C-8B9B-2E0A7B08C96F}"/>
    <cellStyle name="Normal 3 3 3 2 6 5 4" xfId="34583" xr:uid="{AFCA2335-E939-4EE3-913B-CB685CD6969F}"/>
    <cellStyle name="Normal 3 3 3 2 6 5 5" xfId="34584" xr:uid="{20A39C1C-ED98-40F7-8651-783473793CC5}"/>
    <cellStyle name="Normal 3 3 3 2 6 5 6" xfId="34585" xr:uid="{AFFC33D1-5719-4764-8E20-8C0E02896A73}"/>
    <cellStyle name="Normal 3 3 3 2 6 6" xfId="34586" xr:uid="{D3788B99-1E34-4AB5-9A42-6152EE9E38E1}"/>
    <cellStyle name="Normal 3 3 3 2 6 6 2" xfId="34587" xr:uid="{8BE8B853-B5AC-4FEC-ACCF-C1B433F46069}"/>
    <cellStyle name="Normal 3 3 3 2 6 6 3" xfId="34588" xr:uid="{58B5B7A1-EB38-44B0-AD35-27C23CD4139D}"/>
    <cellStyle name="Normal 3 3 3 2 6 6 4" xfId="34589" xr:uid="{9770E410-2D52-412E-B997-CA0B1F093F33}"/>
    <cellStyle name="Normal 3 3 3 2 6 6 5" xfId="34590" xr:uid="{C4A3B389-20EA-401D-8D25-8680AEB54332}"/>
    <cellStyle name="Normal 3 3 3 2 6 6 6" xfId="34591" xr:uid="{EB6BBE4C-8CAC-4775-B0D0-071D67D8E099}"/>
    <cellStyle name="Normal 3 3 3 2 6 7" xfId="34592" xr:uid="{D77EE61F-2280-46B8-93C5-C5037DCC15C5}"/>
    <cellStyle name="Normal 3 3 3 2 6 8" xfId="34593" xr:uid="{2CA98E76-0624-4DD1-8B03-AA200FAB7F94}"/>
    <cellStyle name="Normal 3 3 3 2 6 9" xfId="34594" xr:uid="{AC9BA72A-BBDC-41A3-B112-E704593CB5F1}"/>
    <cellStyle name="Normal 3 3 3 2 7" xfId="34595" xr:uid="{08FC2275-1BBE-4794-8CFF-CB48549DCD6C}"/>
    <cellStyle name="Normal 3 3 3 2 7 10" xfId="34596" xr:uid="{D68F6818-912E-409A-81CE-8CA11C5B26B6}"/>
    <cellStyle name="Normal 3 3 3 2 7 11" xfId="34597" xr:uid="{14E50207-69CF-402C-92F9-AB89B07318F3}"/>
    <cellStyle name="Normal 3 3 3 2 7 2" xfId="34598" xr:uid="{592ECE82-F24D-4D46-8E6B-39F8124AB72A}"/>
    <cellStyle name="Normal 3 3 3 2 7 2 2" xfId="34599" xr:uid="{9E49D1B5-E88B-4B84-BFC2-2025D96700F7}"/>
    <cellStyle name="Normal 3 3 3 2 7 2 3" xfId="34600" xr:uid="{7EF1531A-FAD1-44D9-93DE-0662C8E78D1C}"/>
    <cellStyle name="Normal 3 3 3 2 7 2 4" xfId="34601" xr:uid="{CB8EEECD-8B08-4844-B417-FBFFEC5654D4}"/>
    <cellStyle name="Normal 3 3 3 2 7 2 5" xfId="34602" xr:uid="{04381F94-61C1-4671-81CD-2B9750510240}"/>
    <cellStyle name="Normal 3 3 3 2 7 2 6" xfId="34603" xr:uid="{C62711FF-C194-4A12-B748-98D084A1C73D}"/>
    <cellStyle name="Normal 3 3 3 2 7 3" xfId="34604" xr:uid="{A046FB9D-31D6-44ED-A3C7-A0E7E8937F64}"/>
    <cellStyle name="Normal 3 3 3 2 7 3 2" xfId="34605" xr:uid="{33A266DE-AF1A-4B0E-BE58-F91607A2EEFD}"/>
    <cellStyle name="Normal 3 3 3 2 7 3 3" xfId="34606" xr:uid="{B52E47CE-0C05-4E85-B6B4-E38CA69359F2}"/>
    <cellStyle name="Normal 3 3 3 2 7 3 4" xfId="34607" xr:uid="{F52C48C4-E30D-45E5-A58B-42C69FC212E8}"/>
    <cellStyle name="Normal 3 3 3 2 7 3 5" xfId="34608" xr:uid="{1C01F0FF-48DB-4FC2-8E18-9DAF4A4CFB70}"/>
    <cellStyle name="Normal 3 3 3 2 7 3 6" xfId="34609" xr:uid="{0A9A4026-FEA4-4BDB-BC5D-0D6A870AFC38}"/>
    <cellStyle name="Normal 3 3 3 2 7 4" xfId="34610" xr:uid="{4EB0B627-67F5-4FFF-97B3-D80B9D0EB26E}"/>
    <cellStyle name="Normal 3 3 3 2 7 4 2" xfId="34611" xr:uid="{C95EE5EB-E847-41DC-9DFB-6599859FBCE7}"/>
    <cellStyle name="Normal 3 3 3 2 7 4 3" xfId="34612" xr:uid="{ECDE6B7F-3449-4850-95E6-DB05B548B9EB}"/>
    <cellStyle name="Normal 3 3 3 2 7 4 4" xfId="34613" xr:uid="{ACD2BA5F-6614-49EF-92E4-347725428C41}"/>
    <cellStyle name="Normal 3 3 3 2 7 4 5" xfId="34614" xr:uid="{83E51F97-67DB-4744-A18E-26BBA2FA4112}"/>
    <cellStyle name="Normal 3 3 3 2 7 4 6" xfId="34615" xr:uid="{0B2A1A37-2AB2-4CE6-836B-93232DEE400A}"/>
    <cellStyle name="Normal 3 3 3 2 7 5" xfId="34616" xr:uid="{A77111AD-3234-41F1-8D78-2D347A9C4295}"/>
    <cellStyle name="Normal 3 3 3 2 7 5 2" xfId="34617" xr:uid="{359F5D3D-262F-4A04-9011-65CBB1D5E2B0}"/>
    <cellStyle name="Normal 3 3 3 2 7 5 3" xfId="34618" xr:uid="{4A68B576-04D1-4BA5-8F7C-CB349F97605B}"/>
    <cellStyle name="Normal 3 3 3 2 7 5 4" xfId="34619" xr:uid="{C58B70EC-C0D5-4628-8422-3C9B3C803F8A}"/>
    <cellStyle name="Normal 3 3 3 2 7 5 5" xfId="34620" xr:uid="{B9901780-F67C-49B0-9FC8-F3E738006F63}"/>
    <cellStyle name="Normal 3 3 3 2 7 5 6" xfId="34621" xr:uid="{E771C565-AE94-4EFE-A2F7-7242596D1BD6}"/>
    <cellStyle name="Normal 3 3 3 2 7 6" xfId="34622" xr:uid="{830B8933-2621-4D69-959D-D6DD43A9FFD1}"/>
    <cellStyle name="Normal 3 3 3 2 7 6 2" xfId="34623" xr:uid="{A2CA6B6B-ED3A-43ED-BDE8-2DCA7E3752D6}"/>
    <cellStyle name="Normal 3 3 3 2 7 6 3" xfId="34624" xr:uid="{82BE0DD4-E84B-42F6-8302-BF3ECC7F86FC}"/>
    <cellStyle name="Normal 3 3 3 2 7 6 4" xfId="34625" xr:uid="{A530CB3F-DE7F-453C-9F10-9A7AA55562A9}"/>
    <cellStyle name="Normal 3 3 3 2 7 6 5" xfId="34626" xr:uid="{50E81C64-B9F2-4587-A3B7-46CBDC3E2543}"/>
    <cellStyle name="Normal 3 3 3 2 7 6 6" xfId="34627" xr:uid="{EC483972-816E-4A33-A1F0-7CF0F0B23082}"/>
    <cellStyle name="Normal 3 3 3 2 7 7" xfId="34628" xr:uid="{56D653DE-2153-434B-9361-025750D7F10B}"/>
    <cellStyle name="Normal 3 3 3 2 7 8" xfId="34629" xr:uid="{3521F2BC-8911-4DD8-9635-385510CA2166}"/>
    <cellStyle name="Normal 3 3 3 2 7 9" xfId="34630" xr:uid="{568A45CC-0793-4F16-927F-17AB5F109C6C}"/>
    <cellStyle name="Normal 3 3 3 2 8" xfId="34631" xr:uid="{8C998489-2B36-41D4-84CA-7A3F4F051CA3}"/>
    <cellStyle name="Normal 3 3 3 2 8 10" xfId="34632" xr:uid="{0CA3961C-B2B4-40DC-9494-070CBD9CC5F8}"/>
    <cellStyle name="Normal 3 3 3 2 8 11" xfId="34633" xr:uid="{A8235433-8421-4470-8AD7-5E84FF39940E}"/>
    <cellStyle name="Normal 3 3 3 2 8 2" xfId="34634" xr:uid="{A1F55A5A-9B9F-49D5-B9C1-DD9CF096BAEC}"/>
    <cellStyle name="Normal 3 3 3 2 8 2 2" xfId="34635" xr:uid="{921A93BE-6894-4DD1-8E4E-430F5DBD4F05}"/>
    <cellStyle name="Normal 3 3 3 2 8 2 3" xfId="34636" xr:uid="{EB2FC296-D5DE-4C81-8F31-1BE3982A3C7C}"/>
    <cellStyle name="Normal 3 3 3 2 8 2 4" xfId="34637" xr:uid="{FFC43B3F-D0B3-4B77-AA91-A01C43F1EE77}"/>
    <cellStyle name="Normal 3 3 3 2 8 2 5" xfId="34638" xr:uid="{D2582553-3739-4D9B-BD26-E6F2C35793CC}"/>
    <cellStyle name="Normal 3 3 3 2 8 2 6" xfId="34639" xr:uid="{CFC566AB-429E-46AF-A39F-DF3C553306BA}"/>
    <cellStyle name="Normal 3 3 3 2 8 3" xfId="34640" xr:uid="{814C2067-F82E-457A-A0EB-7E0628C8404B}"/>
    <cellStyle name="Normal 3 3 3 2 8 3 2" xfId="34641" xr:uid="{6DA556C6-D3D1-4F19-86E1-AEF76DEC0A5A}"/>
    <cellStyle name="Normal 3 3 3 2 8 3 3" xfId="34642" xr:uid="{56840A3F-ECF0-4072-B4FC-A8DF80B3E94B}"/>
    <cellStyle name="Normal 3 3 3 2 8 3 4" xfId="34643" xr:uid="{FDB25BF6-BFF5-41BC-8698-21E208BA098E}"/>
    <cellStyle name="Normal 3 3 3 2 8 3 5" xfId="34644" xr:uid="{C8CA8444-8CE3-4783-8B05-8DC918344EA0}"/>
    <cellStyle name="Normal 3 3 3 2 8 3 6" xfId="34645" xr:uid="{E307487D-9291-4A0C-8342-802FEA1E4EB7}"/>
    <cellStyle name="Normal 3 3 3 2 8 4" xfId="34646" xr:uid="{A5612397-5154-48D0-AF3E-165E2E8C7276}"/>
    <cellStyle name="Normal 3 3 3 2 8 4 2" xfId="34647" xr:uid="{4A2AACD7-A36B-4686-BA47-CC79C61E84D8}"/>
    <cellStyle name="Normal 3 3 3 2 8 4 3" xfId="34648" xr:uid="{FA5FE675-D330-4D19-9E10-200B198BFB35}"/>
    <cellStyle name="Normal 3 3 3 2 8 4 4" xfId="34649" xr:uid="{D41C9E51-9FAD-4F8E-8D98-892F25CEAB81}"/>
    <cellStyle name="Normal 3 3 3 2 8 4 5" xfId="34650" xr:uid="{5D0DAE7B-A31C-43E2-AEB9-BA881B6039F9}"/>
    <cellStyle name="Normal 3 3 3 2 8 4 6" xfId="34651" xr:uid="{DE53AB27-109A-498E-B48C-C33BB6EE5E43}"/>
    <cellStyle name="Normal 3 3 3 2 8 5" xfId="34652" xr:uid="{6AB3F811-6513-4248-8F26-D2776A976254}"/>
    <cellStyle name="Normal 3 3 3 2 8 5 2" xfId="34653" xr:uid="{38ABCCE4-C192-48E2-8EA1-7AC9F40A01D2}"/>
    <cellStyle name="Normal 3 3 3 2 8 5 3" xfId="34654" xr:uid="{EA283352-E0A4-44AE-85A1-1E6DE0FAA9D0}"/>
    <cellStyle name="Normal 3 3 3 2 8 5 4" xfId="34655" xr:uid="{01CA7732-39F4-4174-8C64-7D896C6FC806}"/>
    <cellStyle name="Normal 3 3 3 2 8 5 5" xfId="34656" xr:uid="{EB82C933-3188-4C83-95B6-0092DA21C1B4}"/>
    <cellStyle name="Normal 3 3 3 2 8 5 6" xfId="34657" xr:uid="{08356732-9978-4895-8BDE-9293ADC49C2F}"/>
    <cellStyle name="Normal 3 3 3 2 8 6" xfId="34658" xr:uid="{4B9DE829-D114-4391-9D0C-03A6E55861C2}"/>
    <cellStyle name="Normal 3 3 3 2 8 6 2" xfId="34659" xr:uid="{694DE8ED-00CB-4648-B885-6E36D3695549}"/>
    <cellStyle name="Normal 3 3 3 2 8 6 3" xfId="34660" xr:uid="{3E4019D7-FDFD-46AB-A478-2E2170515544}"/>
    <cellStyle name="Normal 3 3 3 2 8 6 4" xfId="34661" xr:uid="{307F10CC-D8B5-43F1-ACAF-A7453B95A689}"/>
    <cellStyle name="Normal 3 3 3 2 8 6 5" xfId="34662" xr:uid="{6AD3A081-8442-43F8-BD6C-E018D8981C9F}"/>
    <cellStyle name="Normal 3 3 3 2 8 6 6" xfId="34663" xr:uid="{863267A1-A279-4003-BE62-9A9762526D4F}"/>
    <cellStyle name="Normal 3 3 3 2 8 7" xfId="34664" xr:uid="{696ACE7F-B76C-45CA-AB3E-726A8CC8AD10}"/>
    <cellStyle name="Normal 3 3 3 2 8 8" xfId="34665" xr:uid="{F0AA48DE-0402-40AB-BF8B-4283C7574532}"/>
    <cellStyle name="Normal 3 3 3 2 8 9" xfId="34666" xr:uid="{C35831A7-E798-4FE4-843B-001EAAB52F06}"/>
    <cellStyle name="Normal 3 3 3 2 9" xfId="34667" xr:uid="{CA0286A1-76E1-4BBC-A503-453E9BAB91F4}"/>
    <cellStyle name="Normal 3 3 3 2 9 10" xfId="34668" xr:uid="{51BDC64D-EBFA-4951-A629-B3A9CCAFF147}"/>
    <cellStyle name="Normal 3 3 3 2 9 11" xfId="34669" xr:uid="{73DA77E6-25ED-41FD-B33B-8635E888D83E}"/>
    <cellStyle name="Normal 3 3 3 2 9 2" xfId="34670" xr:uid="{4FBEB0C2-A7B3-4CC0-8295-DEE2143327E9}"/>
    <cellStyle name="Normal 3 3 3 2 9 2 2" xfId="34671" xr:uid="{CD1DFE0D-DAFE-4883-9C8D-F56F33E592C9}"/>
    <cellStyle name="Normal 3 3 3 2 9 2 3" xfId="34672" xr:uid="{73039668-20EB-4380-AAA8-70DB3486FA74}"/>
    <cellStyle name="Normal 3 3 3 2 9 2 4" xfId="34673" xr:uid="{F7DB88EB-2374-499E-B50B-DFB15F25D1EA}"/>
    <cellStyle name="Normal 3 3 3 2 9 2 5" xfId="34674" xr:uid="{6FB01EE5-B31B-41B2-B611-98A409223783}"/>
    <cellStyle name="Normal 3 3 3 2 9 2 6" xfId="34675" xr:uid="{AC4826A4-2009-417C-B8EB-145688B9BE7A}"/>
    <cellStyle name="Normal 3 3 3 2 9 3" xfId="34676" xr:uid="{6B2FD76E-0EC9-48F4-A1D4-9F216AD63BFA}"/>
    <cellStyle name="Normal 3 3 3 2 9 3 2" xfId="34677" xr:uid="{320E7DA8-B5D6-4B36-89EE-FF5C22E07BD7}"/>
    <cellStyle name="Normal 3 3 3 2 9 3 3" xfId="34678" xr:uid="{4C9E4E84-4325-486B-ADB1-C31E0E2D1570}"/>
    <cellStyle name="Normal 3 3 3 2 9 3 4" xfId="34679" xr:uid="{40D13D42-57FE-4E78-8EB8-34D64AF95322}"/>
    <cellStyle name="Normal 3 3 3 2 9 3 5" xfId="34680" xr:uid="{7E9D0E33-4A35-4135-ABB2-17DABE45C6FA}"/>
    <cellStyle name="Normal 3 3 3 2 9 3 6" xfId="34681" xr:uid="{BFEF5DA2-C5C7-4AA4-B5BA-18A80409A9CB}"/>
    <cellStyle name="Normal 3 3 3 2 9 4" xfId="34682" xr:uid="{A8509B1D-A3B7-4C69-BC7D-A9DF6F5D4AA0}"/>
    <cellStyle name="Normal 3 3 3 2 9 4 2" xfId="34683" xr:uid="{CC6CD0FF-F7F5-4E58-8D50-805392A3AD97}"/>
    <cellStyle name="Normal 3 3 3 2 9 4 3" xfId="34684" xr:uid="{513520CD-EAB8-41BE-A51D-665306C55544}"/>
    <cellStyle name="Normal 3 3 3 2 9 4 4" xfId="34685" xr:uid="{C4311E25-972C-4BBA-9434-F94F8C6D3B85}"/>
    <cellStyle name="Normal 3 3 3 2 9 4 5" xfId="34686" xr:uid="{6E569807-9319-425F-9A32-CBD52B950E6D}"/>
    <cellStyle name="Normal 3 3 3 2 9 4 6" xfId="34687" xr:uid="{0727E1F0-C45A-4186-BB83-AF81505B486C}"/>
    <cellStyle name="Normal 3 3 3 2 9 5" xfId="34688" xr:uid="{E3AF2D1C-A592-4D35-AE35-50ADFB8E6081}"/>
    <cellStyle name="Normal 3 3 3 2 9 5 2" xfId="34689" xr:uid="{35CA4334-2C2A-4F75-B43B-34FBFB2187E4}"/>
    <cellStyle name="Normal 3 3 3 2 9 5 3" xfId="34690" xr:uid="{468758BF-F398-43F7-ACD6-D3BD29111721}"/>
    <cellStyle name="Normal 3 3 3 2 9 5 4" xfId="34691" xr:uid="{5A0A1D90-5541-468C-B3F8-6878DEFB00EA}"/>
    <cellStyle name="Normal 3 3 3 2 9 5 5" xfId="34692" xr:uid="{37E2BF3F-8638-461F-9434-6B7094B1E735}"/>
    <cellStyle name="Normal 3 3 3 2 9 5 6" xfId="34693" xr:uid="{DECFCF1A-31D5-4096-839E-4C7CFD67675B}"/>
    <cellStyle name="Normal 3 3 3 2 9 6" xfId="34694" xr:uid="{6F72E7FD-B72E-49DE-B73D-30CB4CD6FF93}"/>
    <cellStyle name="Normal 3 3 3 2 9 6 2" xfId="34695" xr:uid="{79782607-E3A2-4B7E-8DFE-6227EA9E004D}"/>
    <cellStyle name="Normal 3 3 3 2 9 6 3" xfId="34696" xr:uid="{1F7C8B1F-BD5C-48B2-8F3A-10D6A920E264}"/>
    <cellStyle name="Normal 3 3 3 2 9 6 4" xfId="34697" xr:uid="{E4B5662E-9419-4E9C-942E-2CC1D3116D2C}"/>
    <cellStyle name="Normal 3 3 3 2 9 6 5" xfId="34698" xr:uid="{E6616648-AC8E-4712-8D9B-7C995802F572}"/>
    <cellStyle name="Normal 3 3 3 2 9 6 6" xfId="34699" xr:uid="{C21A6556-1314-4278-A1A6-78F4270D0557}"/>
    <cellStyle name="Normal 3 3 3 2 9 7" xfId="34700" xr:uid="{6ACCBEF1-3135-46CB-B7BE-BFCD767F74F0}"/>
    <cellStyle name="Normal 3 3 3 2 9 8" xfId="34701" xr:uid="{99AF21BD-90F9-4306-BA83-DE6019D87232}"/>
    <cellStyle name="Normal 3 3 3 2 9 9" xfId="34702" xr:uid="{DBF85EAE-6293-46EC-AB3C-643ED2124CDE}"/>
    <cellStyle name="Normal 3 3 3 3" xfId="34703" xr:uid="{D66731DA-DB54-4C44-B5B3-3CDB2EFFAEB3}"/>
    <cellStyle name="Normal 3 3 3 4" xfId="34704" xr:uid="{77147D52-5351-4D3D-A4F7-DB41B55CBE51}"/>
    <cellStyle name="Normal 3 3 3 5" xfId="34705" xr:uid="{6786A95F-2B4E-4D99-BD12-4E366A4E15C5}"/>
    <cellStyle name="Normal 3 3 3 6" xfId="34706" xr:uid="{F0DE045A-6FB6-4559-B0D4-5B3B74584DA7}"/>
    <cellStyle name="Normal 3 3 3 7" xfId="34707" xr:uid="{78C0D1E2-EDBC-4EB9-B7F9-46C03064719B}"/>
    <cellStyle name="Normal 3 3 3 8" xfId="34708" xr:uid="{5A12D408-2508-4F13-9E53-B9556E934D85}"/>
    <cellStyle name="Normal 3 3 3 9" xfId="34709" xr:uid="{1A53049A-3A7E-4613-983B-0CA46D2B8CA4}"/>
    <cellStyle name="Normal 3 3 4" xfId="34710" xr:uid="{27085A22-C814-4C63-AC41-5E7AF0FE754A}"/>
    <cellStyle name="Normal 3 3 4 10" xfId="34711" xr:uid="{096894EB-E6C0-43E8-83F0-49493C3719DF}"/>
    <cellStyle name="Normal 3 3 4 11" xfId="34712" xr:uid="{6E88C98D-5A0C-4677-BB4B-FBD736285ECF}"/>
    <cellStyle name="Normal 3 3 4 2" xfId="34713" xr:uid="{62A0EDAE-9E3A-40EE-A656-3083AC9955EF}"/>
    <cellStyle name="Normal 3 3 4 2 2" xfId="34714" xr:uid="{4E42F410-7236-4D17-A68A-3B63EA3FC4A0}"/>
    <cellStyle name="Normal 3 3 4 2 3" xfId="34715" xr:uid="{0BB1CD31-84C4-4C83-AC74-D2E8553FEAA8}"/>
    <cellStyle name="Normal 3 3 4 2 4" xfId="34716" xr:uid="{22E9234F-68FE-4BB0-8D15-553087A4FA93}"/>
    <cellStyle name="Normal 3 3 4 2 5" xfId="34717" xr:uid="{80DCAE08-3E31-47BC-BF79-8BCA8BA7177A}"/>
    <cellStyle name="Normal 3 3 4 2 6" xfId="34718" xr:uid="{CC04B2A2-5102-458D-99EE-0D617D6A1708}"/>
    <cellStyle name="Normal 3 3 4 3" xfId="34719" xr:uid="{2CFD719C-01F8-4BD6-A54F-BA5E41A70A2F}"/>
    <cellStyle name="Normal 3 3 4 3 2" xfId="34720" xr:uid="{8E10F445-B495-49BE-AADF-98A968D1AA63}"/>
    <cellStyle name="Normal 3 3 4 3 3" xfId="34721" xr:uid="{A813FC3E-30F7-4C15-8652-B4DD81D74C2D}"/>
    <cellStyle name="Normal 3 3 4 3 4" xfId="34722" xr:uid="{F0582629-72BD-4898-B8AD-DC76DAD24843}"/>
    <cellStyle name="Normal 3 3 4 3 5" xfId="34723" xr:uid="{2B34BB4C-753C-4413-9FEE-3846E4931F6B}"/>
    <cellStyle name="Normal 3 3 4 3 6" xfId="34724" xr:uid="{1156FF38-4214-4249-A646-A54B16DBEA99}"/>
    <cellStyle name="Normal 3 3 4 4" xfId="34725" xr:uid="{1F57B108-2C1D-4BD7-87C8-423C5B85C123}"/>
    <cellStyle name="Normal 3 3 4 4 2" xfId="34726" xr:uid="{122D8F0F-C4FF-4010-B11B-CF5AB52D5545}"/>
    <cellStyle name="Normal 3 3 4 4 3" xfId="34727" xr:uid="{E831B0DA-3C71-42F0-84F3-81E49D847D89}"/>
    <cellStyle name="Normal 3 3 4 4 4" xfId="34728" xr:uid="{057D5654-8EA2-49A4-B58F-50D3378E7BF9}"/>
    <cellStyle name="Normal 3 3 4 4 5" xfId="34729" xr:uid="{142EC50E-E0CB-46E3-A2C8-2B9FB19364FC}"/>
    <cellStyle name="Normal 3 3 4 4 6" xfId="34730" xr:uid="{678CC165-3C47-4E2E-BE04-4ED393B3B811}"/>
    <cellStyle name="Normal 3 3 4 5" xfId="34731" xr:uid="{2C67DB9F-2DA6-4884-B1D0-2F9FF9D83576}"/>
    <cellStyle name="Normal 3 3 4 5 2" xfId="34732" xr:uid="{C57E76CB-B2C9-4DF1-8509-5F507D18E1FF}"/>
    <cellStyle name="Normal 3 3 4 5 3" xfId="34733" xr:uid="{667C5DFA-FA61-4E56-AF2D-AB0702189F81}"/>
    <cellStyle name="Normal 3 3 4 5 4" xfId="34734" xr:uid="{5C4B8EAD-46CE-4E6C-9BD9-0B67751743B0}"/>
    <cellStyle name="Normal 3 3 4 5 5" xfId="34735" xr:uid="{4E5786D5-892F-4E99-9844-17F948AC6F50}"/>
    <cellStyle name="Normal 3 3 4 5 6" xfId="34736" xr:uid="{BB4A99AC-5786-4AD8-9909-BAE55F32ABF9}"/>
    <cellStyle name="Normal 3 3 4 6" xfId="34737" xr:uid="{73F26017-AE55-42A0-8B40-CB7D54F5CD79}"/>
    <cellStyle name="Normal 3 3 4 6 2" xfId="34738" xr:uid="{E708F4F2-4BCA-4619-BF61-565F0DAFC703}"/>
    <cellStyle name="Normal 3 3 4 6 3" xfId="34739" xr:uid="{8D73F5A5-E2A3-4168-B8B3-0E641726905B}"/>
    <cellStyle name="Normal 3 3 4 6 4" xfId="34740" xr:uid="{A1828279-BF26-4DAD-8A97-D4E20CA4E3A1}"/>
    <cellStyle name="Normal 3 3 4 6 5" xfId="34741" xr:uid="{E3B87151-0B77-4408-B75D-87764C54202D}"/>
    <cellStyle name="Normal 3 3 4 6 6" xfId="34742" xr:uid="{1FE9196D-E383-48A0-BF43-3006C81B89E2}"/>
    <cellStyle name="Normal 3 3 4 7" xfId="34743" xr:uid="{4D60FAE8-7A19-4FBE-8646-D280702F9E28}"/>
    <cellStyle name="Normal 3 3 4 8" xfId="34744" xr:uid="{EED9DD19-4235-4864-8861-C203452546AE}"/>
    <cellStyle name="Normal 3 3 4 9" xfId="34745" xr:uid="{05AA36B8-C140-4FC0-B322-D90346113BAD}"/>
    <cellStyle name="Normal 3 3 5" xfId="34746" xr:uid="{65350BD5-7B59-4EA3-B0F2-E7329246AAEB}"/>
    <cellStyle name="Normal 3 3 5 10" xfId="34747" xr:uid="{81223668-04BF-4523-818F-5119A23070DD}"/>
    <cellStyle name="Normal 3 3 5 11" xfId="34748" xr:uid="{F9F327F2-D52D-4DD9-BFFE-CC9DB6EDFB8F}"/>
    <cellStyle name="Normal 3 3 5 2" xfId="34749" xr:uid="{B2976B0C-5136-451D-9176-A7836E8FE2FE}"/>
    <cellStyle name="Normal 3 3 5 2 2" xfId="34750" xr:uid="{EFA33AAF-DDC2-415B-AF3C-B6CB4B5EB991}"/>
    <cellStyle name="Normal 3 3 5 2 3" xfId="34751" xr:uid="{DDE6FD08-31CB-4CB6-8893-89AFD3C56BEA}"/>
    <cellStyle name="Normal 3 3 5 2 4" xfId="34752" xr:uid="{5571AC49-7CF8-4FB2-A5D8-656717B3D625}"/>
    <cellStyle name="Normal 3 3 5 2 5" xfId="34753" xr:uid="{DE963686-BE75-42D7-832A-D037D47688F8}"/>
    <cellStyle name="Normal 3 3 5 2 6" xfId="34754" xr:uid="{5CF13DAF-85D9-4A80-BEFD-7F3986833BE7}"/>
    <cellStyle name="Normal 3 3 5 3" xfId="34755" xr:uid="{F86D95A3-02B6-4C9A-A4FE-A9C800C057A1}"/>
    <cellStyle name="Normal 3 3 5 3 2" xfId="34756" xr:uid="{7387B043-6F43-4AD9-9E41-4D4AA0A4899A}"/>
    <cellStyle name="Normal 3 3 5 3 3" xfId="34757" xr:uid="{0976CBE7-A3BA-4ABD-A455-2C566C67BD1B}"/>
    <cellStyle name="Normal 3 3 5 3 4" xfId="34758" xr:uid="{380B9869-B3D3-48F5-BC81-5C0A98A8CD36}"/>
    <cellStyle name="Normal 3 3 5 3 5" xfId="34759" xr:uid="{A7EBFF5A-799F-4751-AA5D-0FF1051B2109}"/>
    <cellStyle name="Normal 3 3 5 3 6" xfId="34760" xr:uid="{C09B36F1-78F0-4A89-9376-991C3C420445}"/>
    <cellStyle name="Normal 3 3 5 4" xfId="34761" xr:uid="{9712A999-15CC-4978-A68D-D7CD445310C5}"/>
    <cellStyle name="Normal 3 3 5 4 2" xfId="34762" xr:uid="{F6DC328D-5D15-477D-9888-AA7957383DD2}"/>
    <cellStyle name="Normal 3 3 5 4 3" xfId="34763" xr:uid="{B9A6ED2B-0F1C-42C0-825C-B939C9DCEA50}"/>
    <cellStyle name="Normal 3 3 5 4 4" xfId="34764" xr:uid="{FD7EA02D-2F0E-40C4-91E6-5437CD083C55}"/>
    <cellStyle name="Normal 3 3 5 4 5" xfId="34765" xr:uid="{DDB7D0EA-B9A2-402B-B596-0F5B8A34191A}"/>
    <cellStyle name="Normal 3 3 5 4 6" xfId="34766" xr:uid="{04FC94C5-E367-4E91-B6DE-C9F68D17219C}"/>
    <cellStyle name="Normal 3 3 5 5" xfId="34767" xr:uid="{F3898A40-48B1-4101-9A5A-A7C9B85EE5EF}"/>
    <cellStyle name="Normal 3 3 5 5 2" xfId="34768" xr:uid="{62E3C065-9158-4BB0-9158-4460F85C2F52}"/>
    <cellStyle name="Normal 3 3 5 5 3" xfId="34769" xr:uid="{4576977D-7A14-4EA5-B85D-335EDB20874B}"/>
    <cellStyle name="Normal 3 3 5 5 4" xfId="34770" xr:uid="{BED7D55F-B10C-416B-9076-967C93541514}"/>
    <cellStyle name="Normal 3 3 5 5 5" xfId="34771" xr:uid="{C8A322E2-869A-4CBF-B1DC-F65EBCA5AD75}"/>
    <cellStyle name="Normal 3 3 5 5 6" xfId="34772" xr:uid="{490F2C8E-4306-4145-AC00-A5EBA350DFDB}"/>
    <cellStyle name="Normal 3 3 5 6" xfId="34773" xr:uid="{48D02258-85E7-4811-A198-A76ACAFEC2E4}"/>
    <cellStyle name="Normal 3 3 5 6 2" xfId="34774" xr:uid="{E979C8D9-3811-4190-A88C-00326F622C28}"/>
    <cellStyle name="Normal 3 3 5 6 3" xfId="34775" xr:uid="{EF645F22-09D4-48C1-B759-3672F89F9BA3}"/>
    <cellStyle name="Normal 3 3 5 6 4" xfId="34776" xr:uid="{6F826B9D-B262-4095-A76E-84AD88CC647C}"/>
    <cellStyle name="Normal 3 3 5 6 5" xfId="34777" xr:uid="{B905B00E-811A-40F9-BCF3-8C267F785612}"/>
    <cellStyle name="Normal 3 3 5 6 6" xfId="34778" xr:uid="{36DFAF56-A3F6-43B7-B610-761C1956A3A1}"/>
    <cellStyle name="Normal 3 3 5 7" xfId="34779" xr:uid="{2C3FF49E-CF7C-4C75-9621-5D1E93D455B5}"/>
    <cellStyle name="Normal 3 3 5 8" xfId="34780" xr:uid="{46BA9B5A-66B5-45E6-9785-DE56639A0A3E}"/>
    <cellStyle name="Normal 3 3 5 9" xfId="34781" xr:uid="{ADB3F4D5-71A0-42A1-A042-EFEE6E7B03F7}"/>
    <cellStyle name="Normal 3 3 6" xfId="34782" xr:uid="{0FCF98A2-17BC-4834-9DFB-5203138BED68}"/>
    <cellStyle name="Normal 3 3 6 10" xfId="34783" xr:uid="{B33EFED4-069B-4F2F-A1A4-8B9736A60D88}"/>
    <cellStyle name="Normal 3 3 6 11" xfId="34784" xr:uid="{D3A7A37B-0753-4319-B834-43BCE3867DEB}"/>
    <cellStyle name="Normal 3 3 6 2" xfId="34785" xr:uid="{0CF92FED-3320-4617-A29D-1FD7581F8791}"/>
    <cellStyle name="Normal 3 3 6 2 2" xfId="34786" xr:uid="{BEA959CB-8F7F-4FA7-9A29-3DD32AFEFBA0}"/>
    <cellStyle name="Normal 3 3 6 2 3" xfId="34787" xr:uid="{BDAF528E-6D2E-43C2-8DEB-8EB5EEB9E999}"/>
    <cellStyle name="Normal 3 3 6 2 4" xfId="34788" xr:uid="{D960931E-0A89-48AB-940A-29D4BD147568}"/>
    <cellStyle name="Normal 3 3 6 2 5" xfId="34789" xr:uid="{BD5B5A89-C538-43F4-B9C1-37C8D3496267}"/>
    <cellStyle name="Normal 3 3 6 2 6" xfId="34790" xr:uid="{61D58669-5B93-4D8E-BE36-7A5459D5779C}"/>
    <cellStyle name="Normal 3 3 6 3" xfId="34791" xr:uid="{6082F74F-927C-4B72-A955-7E2D74510E5D}"/>
    <cellStyle name="Normal 3 3 6 3 2" xfId="34792" xr:uid="{A962CCF3-9C04-4EE2-9EF9-42E4127E4B7F}"/>
    <cellStyle name="Normal 3 3 6 3 3" xfId="34793" xr:uid="{AA2D7766-65CB-48B5-B279-022668F3A5D9}"/>
    <cellStyle name="Normal 3 3 6 3 4" xfId="34794" xr:uid="{D94C439D-2BD2-4E97-A9AB-3D17CCC36014}"/>
    <cellStyle name="Normal 3 3 6 3 5" xfId="34795" xr:uid="{F2590274-7A3E-4F48-A6F1-0BFB124D23D1}"/>
    <cellStyle name="Normal 3 3 6 3 6" xfId="34796" xr:uid="{61825E5C-781C-4038-A694-A5D867300836}"/>
    <cellStyle name="Normal 3 3 6 4" xfId="34797" xr:uid="{64A58474-6E40-4AC2-89DD-56CFE340B750}"/>
    <cellStyle name="Normal 3 3 6 4 2" xfId="34798" xr:uid="{69850C69-118B-4AFF-8313-73A9CC2623BF}"/>
    <cellStyle name="Normal 3 3 6 4 3" xfId="34799" xr:uid="{2A7C460D-712E-450C-9C86-DABA63DB96A8}"/>
    <cellStyle name="Normal 3 3 6 4 4" xfId="34800" xr:uid="{FD5DBC6E-2F4B-4D9E-AF8E-CDA7BF27ADAA}"/>
    <cellStyle name="Normal 3 3 6 4 5" xfId="34801" xr:uid="{1D4A59F5-471D-4E7A-8F09-29E72B6C41B5}"/>
    <cellStyle name="Normal 3 3 6 4 6" xfId="34802" xr:uid="{1A1C4449-F743-4BBD-B7E5-35D43157E365}"/>
    <cellStyle name="Normal 3 3 6 5" xfId="34803" xr:uid="{110A5889-AA24-40F4-BB5C-302DA6D5F8CE}"/>
    <cellStyle name="Normal 3 3 6 5 2" xfId="34804" xr:uid="{09941D7C-E6C5-457A-9C4F-94652856B044}"/>
    <cellStyle name="Normal 3 3 6 5 3" xfId="34805" xr:uid="{5A3F26B5-94C2-4202-8240-C16DC8DF15D2}"/>
    <cellStyle name="Normal 3 3 6 5 4" xfId="34806" xr:uid="{004A7E66-D5D1-4C25-A94C-82D64FD4361B}"/>
    <cellStyle name="Normal 3 3 6 5 5" xfId="34807" xr:uid="{D3B27303-741A-4DC8-9A3F-9ECDBC694894}"/>
    <cellStyle name="Normal 3 3 6 5 6" xfId="34808" xr:uid="{F2715292-406D-48EC-A165-DA2D4CD3227C}"/>
    <cellStyle name="Normal 3 3 6 6" xfId="34809" xr:uid="{51EBF0F1-EDB8-4F73-B367-1AEA53D62303}"/>
    <cellStyle name="Normal 3 3 6 6 2" xfId="34810" xr:uid="{97F5FBC9-08ED-4EBB-A646-FC4F027847AA}"/>
    <cellStyle name="Normal 3 3 6 6 3" xfId="34811" xr:uid="{C0E0197D-A588-4F20-B38E-A86298C28125}"/>
    <cellStyle name="Normal 3 3 6 6 4" xfId="34812" xr:uid="{3067C0EF-91D0-4FBA-B45E-F32B262BCF8F}"/>
    <cellStyle name="Normal 3 3 6 6 5" xfId="34813" xr:uid="{BC58EEE0-F631-47A6-945B-85511FBE8E7B}"/>
    <cellStyle name="Normal 3 3 6 6 6" xfId="34814" xr:uid="{BEF189CE-B1A4-4A88-A80D-BD7B6D8DE9DF}"/>
    <cellStyle name="Normal 3 3 6 7" xfId="34815" xr:uid="{53936B86-0304-4DCB-A24C-352AA7E563DB}"/>
    <cellStyle name="Normal 3 3 6 8" xfId="34816" xr:uid="{C4B9C3C9-E3A9-4263-80A3-157A318F5C0F}"/>
    <cellStyle name="Normal 3 3 6 9" xfId="34817" xr:uid="{004AA51E-C1CE-4BAF-85BE-E6D9C7641A2C}"/>
    <cellStyle name="Normal 3 3 7" xfId="34818" xr:uid="{6E8C1137-9111-4C89-8CBA-B1DD9F5E1CB6}"/>
    <cellStyle name="Normal 3 3 7 10" xfId="34819" xr:uid="{89245578-6E7F-4E27-A8CF-1311ACFEE581}"/>
    <cellStyle name="Normal 3 3 7 11" xfId="34820" xr:uid="{89DE54A3-66A0-4AFE-BD66-46D12945AF1F}"/>
    <cellStyle name="Normal 3 3 7 2" xfId="34821" xr:uid="{31A9F8DE-43C4-491A-BE49-017C53BDA7BC}"/>
    <cellStyle name="Normal 3 3 7 2 2" xfId="34822" xr:uid="{A91729ED-2F3F-450F-8284-6F395AB24450}"/>
    <cellStyle name="Normal 3 3 7 2 3" xfId="34823" xr:uid="{5C5DE780-4441-4F2B-86BF-121C754ECDFD}"/>
    <cellStyle name="Normal 3 3 7 2 4" xfId="34824" xr:uid="{0C6089AE-9465-4DA1-AD9F-2F9C813D2CAF}"/>
    <cellStyle name="Normal 3 3 7 2 5" xfId="34825" xr:uid="{B5371F2F-A588-4E65-85A2-3249E900B821}"/>
    <cellStyle name="Normal 3 3 7 2 6" xfId="34826" xr:uid="{9A284A41-AC6E-434F-9323-6A597C960398}"/>
    <cellStyle name="Normal 3 3 7 3" xfId="34827" xr:uid="{233B4C04-35BE-46BE-9FAF-FA3D1D7AC65E}"/>
    <cellStyle name="Normal 3 3 7 3 2" xfId="34828" xr:uid="{B0752158-C503-4AA9-8FB8-040B98050D5A}"/>
    <cellStyle name="Normal 3 3 7 3 3" xfId="34829" xr:uid="{F0BEE31E-48A8-4118-BA2F-CC335F104587}"/>
    <cellStyle name="Normal 3 3 7 3 4" xfId="34830" xr:uid="{005AD3ED-465D-481E-BEFC-6B959108F485}"/>
    <cellStyle name="Normal 3 3 7 3 5" xfId="34831" xr:uid="{0C42225A-17BD-4B7B-AC07-C73829A92195}"/>
    <cellStyle name="Normal 3 3 7 3 6" xfId="34832" xr:uid="{9CB7A3AE-7C56-4F51-86E9-2DD856FCBD56}"/>
    <cellStyle name="Normal 3 3 7 4" xfId="34833" xr:uid="{3951796E-7D11-4571-8C8C-BDA411D7EDF3}"/>
    <cellStyle name="Normal 3 3 7 4 2" xfId="34834" xr:uid="{20DEC0C5-42B3-4C18-9159-154412A617B6}"/>
    <cellStyle name="Normal 3 3 7 4 3" xfId="34835" xr:uid="{7A701468-EAC4-4916-B163-383F51C53FE7}"/>
    <cellStyle name="Normal 3 3 7 4 4" xfId="34836" xr:uid="{568C6CED-4D03-4BF7-8ED9-085096D715E7}"/>
    <cellStyle name="Normal 3 3 7 4 5" xfId="34837" xr:uid="{9C7075B8-909C-438A-9F72-149E507E9BF1}"/>
    <cellStyle name="Normal 3 3 7 4 6" xfId="34838" xr:uid="{53724689-B00C-492B-9F58-2CF2AECE0262}"/>
    <cellStyle name="Normal 3 3 7 5" xfId="34839" xr:uid="{940BAA23-4250-4FAD-BB9F-AA8ED351EB8D}"/>
    <cellStyle name="Normal 3 3 7 5 2" xfId="34840" xr:uid="{1B199DE8-3519-4622-96F4-B0FEF7B7C1CC}"/>
    <cellStyle name="Normal 3 3 7 5 3" xfId="34841" xr:uid="{D7D2F2F3-4930-465C-A233-44CEAA6F8AD6}"/>
    <cellStyle name="Normal 3 3 7 5 4" xfId="34842" xr:uid="{2F16C8EB-BAB9-4DF5-918F-E11046ED89E8}"/>
    <cellStyle name="Normal 3 3 7 5 5" xfId="34843" xr:uid="{D5B6B2E0-6AA8-4172-B908-F64CC4B6AAD4}"/>
    <cellStyle name="Normal 3 3 7 5 6" xfId="34844" xr:uid="{A7D2192D-D84D-495E-A5A0-3548463535A7}"/>
    <cellStyle name="Normal 3 3 7 6" xfId="34845" xr:uid="{470C9E4F-A768-40E6-B77A-53EC1FA3346D}"/>
    <cellStyle name="Normal 3 3 7 6 2" xfId="34846" xr:uid="{1CAE3E40-1B94-4A06-B848-C59232BCDAF7}"/>
    <cellStyle name="Normal 3 3 7 6 3" xfId="34847" xr:uid="{B4F3409F-6E37-4E09-A6F1-3A51605A9F32}"/>
    <cellStyle name="Normal 3 3 7 6 4" xfId="34848" xr:uid="{8948FF22-7F54-43E3-9256-F13B5F3E0961}"/>
    <cellStyle name="Normal 3 3 7 6 5" xfId="34849" xr:uid="{A8370DE3-6032-4129-9783-912FFED1CCC7}"/>
    <cellStyle name="Normal 3 3 7 6 6" xfId="34850" xr:uid="{21DA0642-305B-4411-8984-E597D53D926A}"/>
    <cellStyle name="Normal 3 3 7 7" xfId="34851" xr:uid="{5AD8954A-159B-449B-B8C1-6CF4CC4A775C}"/>
    <cellStyle name="Normal 3 3 7 8" xfId="34852" xr:uid="{F4C223FF-F285-4928-9D8B-C7B8103D2D4D}"/>
    <cellStyle name="Normal 3 3 7 9" xfId="34853" xr:uid="{A978446F-E192-4C26-BFDB-5E775F5990E5}"/>
    <cellStyle name="Normal 3 3 8" xfId="34854" xr:uid="{0DBF8D97-4938-498A-BBB2-52B1AA8BACBB}"/>
    <cellStyle name="Normal 3 3 8 10" xfId="34855" xr:uid="{0609B76A-5DA2-4560-A7E4-CEE37B65E25D}"/>
    <cellStyle name="Normal 3 3 8 11" xfId="34856" xr:uid="{BD534555-CBC5-4723-A6A4-6063E33F5D3E}"/>
    <cellStyle name="Normal 3 3 8 2" xfId="34857" xr:uid="{588DDC59-ED1F-4FBA-8A8A-F7D1253E1344}"/>
    <cellStyle name="Normal 3 3 8 2 2" xfId="34858" xr:uid="{F12AE7E5-2C23-464E-BBEF-87A313C661F7}"/>
    <cellStyle name="Normal 3 3 8 2 3" xfId="34859" xr:uid="{8A34DB6B-86FA-4A07-AB43-0182F7416026}"/>
    <cellStyle name="Normal 3 3 8 2 4" xfId="34860" xr:uid="{7B89A4CC-BA21-4230-8990-755FDB72A089}"/>
    <cellStyle name="Normal 3 3 8 2 5" xfId="34861" xr:uid="{93E8AFF4-0C42-4EA4-BD6F-2EE74C81B619}"/>
    <cellStyle name="Normal 3 3 8 2 6" xfId="34862" xr:uid="{275A4AA4-C336-4D69-8A15-1EBDBACA7FCA}"/>
    <cellStyle name="Normal 3 3 8 3" xfId="34863" xr:uid="{8FA5F5CC-EE46-4BA5-998F-2028B7CFD19C}"/>
    <cellStyle name="Normal 3 3 8 3 2" xfId="34864" xr:uid="{C5F7A947-D2E4-406E-989E-4A7BA3D47950}"/>
    <cellStyle name="Normal 3 3 8 3 3" xfId="34865" xr:uid="{2705CE0D-89B2-4170-B6FC-AB15FE7BBB11}"/>
    <cellStyle name="Normal 3 3 8 3 4" xfId="34866" xr:uid="{C4A0DA68-32F0-439D-B896-AF25CE023D06}"/>
    <cellStyle name="Normal 3 3 8 3 5" xfId="34867" xr:uid="{A9D24570-F1D5-4823-9B2A-D42AC65859AF}"/>
    <cellStyle name="Normal 3 3 8 3 6" xfId="34868" xr:uid="{1EB58CF5-E1BB-4AB9-AA56-6AA95FEFE472}"/>
    <cellStyle name="Normal 3 3 8 4" xfId="34869" xr:uid="{1DB4D147-EEB8-4B48-A566-652B0FFE0702}"/>
    <cellStyle name="Normal 3 3 8 4 2" xfId="34870" xr:uid="{F2F4088B-DADB-4746-A2D6-FCEBA7B589BF}"/>
    <cellStyle name="Normal 3 3 8 4 3" xfId="34871" xr:uid="{82D942E4-37D2-407C-A33C-86BED54764A9}"/>
    <cellStyle name="Normal 3 3 8 4 4" xfId="34872" xr:uid="{524B88DB-B436-4050-8D66-1F953E94E341}"/>
    <cellStyle name="Normal 3 3 8 4 5" xfId="34873" xr:uid="{25C7E210-8B62-4593-82EE-3DC1F860ADE5}"/>
    <cellStyle name="Normal 3 3 8 4 6" xfId="34874" xr:uid="{0A2A24BA-650C-47FE-862F-373981C9BEA1}"/>
    <cellStyle name="Normal 3 3 8 5" xfId="34875" xr:uid="{511239E6-FA8C-40B2-B1C6-CCE20CFE24A7}"/>
    <cellStyle name="Normal 3 3 8 5 2" xfId="34876" xr:uid="{7FBFCCD1-96F3-45B0-B91A-6DD0F666D72E}"/>
    <cellStyle name="Normal 3 3 8 5 3" xfId="34877" xr:uid="{760FBB92-3748-4C8B-9B38-36D44BBFEF44}"/>
    <cellStyle name="Normal 3 3 8 5 4" xfId="34878" xr:uid="{78F7ED1B-C085-4F42-AD48-5759B047E4C0}"/>
    <cellStyle name="Normal 3 3 8 5 5" xfId="34879" xr:uid="{ACD794FF-A5D0-4783-8175-33418070F8F0}"/>
    <cellStyle name="Normal 3 3 8 5 6" xfId="34880" xr:uid="{CA814369-360E-46F3-907F-1ABDE928F750}"/>
    <cellStyle name="Normal 3 3 8 6" xfId="34881" xr:uid="{29E1724A-6600-4851-9B05-EAF04B808A1E}"/>
    <cellStyle name="Normal 3 3 8 6 2" xfId="34882" xr:uid="{EBA56B96-C6B4-41A2-AD65-5C46D9A85C11}"/>
    <cellStyle name="Normal 3 3 8 6 3" xfId="34883" xr:uid="{4C44A9DF-EE1D-455F-9BA0-B06A6865B2FA}"/>
    <cellStyle name="Normal 3 3 8 6 4" xfId="34884" xr:uid="{D8F921F8-9F3B-4520-A14E-5D70A02BA679}"/>
    <cellStyle name="Normal 3 3 8 6 5" xfId="34885" xr:uid="{46309E48-45F4-4E7C-BE24-52F487319ECB}"/>
    <cellStyle name="Normal 3 3 8 6 6" xfId="34886" xr:uid="{956F5C8E-A62C-4CAE-AE0A-A3DAAEDF5754}"/>
    <cellStyle name="Normal 3 3 8 7" xfId="34887" xr:uid="{FC7DD2F4-BDC1-4045-8166-633FA88920A1}"/>
    <cellStyle name="Normal 3 3 8 8" xfId="34888" xr:uid="{57D5CE78-1C22-4257-ACB9-18FF27E06CA6}"/>
    <cellStyle name="Normal 3 3 8 9" xfId="34889" xr:uid="{36C5700F-3C33-468B-BB8D-FDC35539E20F}"/>
    <cellStyle name="Normal 3 3 9" xfId="34890" xr:uid="{CB67D800-5EDD-43F1-8F7C-387EF7195B30}"/>
    <cellStyle name="Normal 3 3 9 10" xfId="34891" xr:uid="{0B6E7535-E86D-418F-8E9C-F035C89DE351}"/>
    <cellStyle name="Normal 3 3 9 11" xfId="34892" xr:uid="{1B6A97BB-93D7-4396-ACB3-77E979C39E44}"/>
    <cellStyle name="Normal 3 3 9 2" xfId="34893" xr:uid="{998D3CD6-B38E-4940-A86D-0D8C57577BF7}"/>
    <cellStyle name="Normal 3 3 9 2 2" xfId="34894" xr:uid="{0C01A003-8EFE-49DA-A735-273F01E7322F}"/>
    <cellStyle name="Normal 3 3 9 2 3" xfId="34895" xr:uid="{1570419E-6393-4471-BA73-FE77C0CDEAE7}"/>
    <cellStyle name="Normal 3 3 9 2 4" xfId="34896" xr:uid="{6B5953B1-43CE-434C-9D75-C69DAF442454}"/>
    <cellStyle name="Normal 3 3 9 2 5" xfId="34897" xr:uid="{B2A2B1C5-B906-4E0B-B3C1-102A6F210CD7}"/>
    <cellStyle name="Normal 3 3 9 2 6" xfId="34898" xr:uid="{E6CBF23B-7D67-448C-B88B-E076D847F51B}"/>
    <cellStyle name="Normal 3 3 9 3" xfId="34899" xr:uid="{510D4CCE-8A34-4DE6-9D22-23A94FE699C8}"/>
    <cellStyle name="Normal 3 3 9 3 2" xfId="34900" xr:uid="{B3E04A45-CA3B-47DA-AAF7-35A0FF4F28B0}"/>
    <cellStyle name="Normal 3 3 9 3 3" xfId="34901" xr:uid="{75F702BC-FA4F-4345-BB9E-F142435672EB}"/>
    <cellStyle name="Normal 3 3 9 3 4" xfId="34902" xr:uid="{3789E1B2-ECB3-439D-9710-DC7392FAD491}"/>
    <cellStyle name="Normal 3 3 9 3 5" xfId="34903" xr:uid="{7FA3E780-8114-442E-9792-0F0C4277ECF3}"/>
    <cellStyle name="Normal 3 3 9 3 6" xfId="34904" xr:uid="{BFE5E054-37BB-4EEF-A40B-4986DF01DF8F}"/>
    <cellStyle name="Normal 3 3 9 4" xfId="34905" xr:uid="{16698711-2656-4A2A-9135-CA5C11848E54}"/>
    <cellStyle name="Normal 3 3 9 4 2" xfId="34906" xr:uid="{E8C72F9D-4914-421E-B48D-F08505782C0B}"/>
    <cellStyle name="Normal 3 3 9 4 3" xfId="34907" xr:uid="{35BDD9C1-0BCD-45BE-9950-57790E95F765}"/>
    <cellStyle name="Normal 3 3 9 4 4" xfId="34908" xr:uid="{AF94381F-84BC-46CC-96BB-F1BADEB14F10}"/>
    <cellStyle name="Normal 3 3 9 4 5" xfId="34909" xr:uid="{07AE3A3A-EFD5-4573-8CFF-D6786F44885E}"/>
    <cellStyle name="Normal 3 3 9 4 6" xfId="34910" xr:uid="{25A80A3D-DC6D-47C2-9AA4-1D0C08B563ED}"/>
    <cellStyle name="Normal 3 3 9 5" xfId="34911" xr:uid="{98325397-B480-4C0B-A568-C07F8C930E53}"/>
    <cellStyle name="Normal 3 3 9 5 2" xfId="34912" xr:uid="{002A16C8-C1A3-495F-B1B4-A99E0F0AEF0F}"/>
    <cellStyle name="Normal 3 3 9 5 3" xfId="34913" xr:uid="{E84B45AB-F109-4D67-BC9B-FE1AD807CA8B}"/>
    <cellStyle name="Normal 3 3 9 5 4" xfId="34914" xr:uid="{B7A63B09-1356-4212-8D64-73CBF689E5B6}"/>
    <cellStyle name="Normal 3 3 9 5 5" xfId="34915" xr:uid="{052303E3-CF5F-4C75-A241-40474FF44E09}"/>
    <cellStyle name="Normal 3 3 9 5 6" xfId="34916" xr:uid="{E83373C7-B038-4DB0-94C7-45FE7F767DA9}"/>
    <cellStyle name="Normal 3 3 9 6" xfId="34917" xr:uid="{9CBD25B0-1FD1-4C34-AEAD-7593E5CBA2E6}"/>
    <cellStyle name="Normal 3 3 9 6 2" xfId="34918" xr:uid="{7E14BF42-5BFE-4D31-8B04-A2193DDBB456}"/>
    <cellStyle name="Normal 3 3 9 6 3" xfId="34919" xr:uid="{49C70972-D343-4993-87C4-9F53710627C9}"/>
    <cellStyle name="Normal 3 3 9 6 4" xfId="34920" xr:uid="{5344DDB3-8A0C-4E00-B654-313DCF58F6EE}"/>
    <cellStyle name="Normal 3 3 9 6 5" xfId="34921" xr:uid="{74A69641-CD9C-467F-B2C9-4F9B6C8EE2F1}"/>
    <cellStyle name="Normal 3 3 9 6 6" xfId="34922" xr:uid="{2C1A4E3B-FD2C-4038-8077-41FC4898DB88}"/>
    <cellStyle name="Normal 3 3 9 7" xfId="34923" xr:uid="{92FB3ACD-5A44-45D8-940C-12B82DCD3F33}"/>
    <cellStyle name="Normal 3 3 9 8" xfId="34924" xr:uid="{4939946F-A978-4CCC-A25F-BEE33D08DCB9}"/>
    <cellStyle name="Normal 3 3 9 9" xfId="34925" xr:uid="{7FEA52AC-4F33-4551-BD90-EC39D85BECA3}"/>
    <cellStyle name="Normal 3 30" xfId="34926" xr:uid="{C735822B-EC55-4D7F-BCBE-9048A7BF01F1}"/>
    <cellStyle name="Normal 3 30 2" xfId="34927" xr:uid="{3051AB83-F553-41D6-81AB-353DDBB0B503}"/>
    <cellStyle name="Normal 3 31" xfId="34928" xr:uid="{FBA2E302-06E4-4205-820A-301F9FA98D8D}"/>
    <cellStyle name="Normal 3 31 2" xfId="34929" xr:uid="{0DF6B01D-DE1C-47DE-8476-7E16CC704736}"/>
    <cellStyle name="Normal 3 32" xfId="34930" xr:uid="{442DFAF3-8271-4A76-A893-974034BFFEF1}"/>
    <cellStyle name="Normal 3 33" xfId="34931" xr:uid="{0ECA6F89-0EE6-4FDB-AB86-6F067984D0D1}"/>
    <cellStyle name="Normal 3 34" xfId="34932" xr:uid="{E1075BBB-28D9-4AD6-9D16-50151FF2B8E9}"/>
    <cellStyle name="Normal 3 35" xfId="34933" xr:uid="{B4970A43-1EBE-4ECE-A9CC-6FE1D0B64015}"/>
    <cellStyle name="Normal 3 36" xfId="34934" xr:uid="{3EEBA41F-180F-4419-9FFA-38DDCED139D8}"/>
    <cellStyle name="Normal 3 37" xfId="34935" xr:uid="{1CE1E790-C879-44DD-AFA7-0B9492FB5203}"/>
    <cellStyle name="Normal 3 38" xfId="34936" xr:uid="{08B77416-0C1E-493B-B63A-07A59D8E3E6D}"/>
    <cellStyle name="Normal 3 39" xfId="34937" xr:uid="{80EE2330-2D06-48DB-A0DD-7E5F748E8301}"/>
    <cellStyle name="Normal 3 4" xfId="34938" xr:uid="{9C8D9A24-9FD9-456D-BF6D-EC59B7F86B29}"/>
    <cellStyle name="Normal 3 4 2" xfId="34939" xr:uid="{51475502-86F9-46EC-B050-FA2131B51AE3}"/>
    <cellStyle name="Normal 3 4 3" xfId="34940" xr:uid="{EECAF40C-BDC2-49B7-B7F9-29515C719308}"/>
    <cellStyle name="Normal 3 4 4" xfId="34941" xr:uid="{68CC2FE4-099F-482B-9087-09E98004D98B}"/>
    <cellStyle name="Normal 3 4 5" xfId="34942" xr:uid="{4F493EDD-4AD1-480F-B189-9B529844EA88}"/>
    <cellStyle name="Normal 3 4 6" xfId="34943" xr:uid="{114501CA-43C3-4F3F-A89E-D416A1D50AD5}"/>
    <cellStyle name="Normal 3 4 7" xfId="34944" xr:uid="{47DD76DD-3579-41FA-A5E2-322F3BD2D40F}"/>
    <cellStyle name="Normal 3 4 8" xfId="34945" xr:uid="{6E921B43-60F2-4B57-9ECA-54B1AB228DA4}"/>
    <cellStyle name="Normal 3 4 9" xfId="34946" xr:uid="{0EEEADEC-81FD-40D6-BCF6-B4365236F226}"/>
    <cellStyle name="Normal 3 40" xfId="34947" xr:uid="{DD10F4B2-0187-4EC0-A783-320CE6C0B8A0}"/>
    <cellStyle name="Normal 3 41" xfId="34948" xr:uid="{4E65D9CF-1294-42F4-94C6-ED9FC0BB90F0}"/>
    <cellStyle name="Normal 3 42" xfId="34949" xr:uid="{6C74CAC8-4907-4A54-9250-18A6D9E179AA}"/>
    <cellStyle name="Normal 3 43" xfId="34950" xr:uid="{E8B689C2-4740-43FB-A72B-C4BEC6D71AE9}"/>
    <cellStyle name="Normal 3 44" xfId="34951" xr:uid="{B764A691-471B-4363-B1E7-B76F007B5594}"/>
    <cellStyle name="Normal 3 45" xfId="34952" xr:uid="{0F534C2A-B6E4-490F-845D-EE29FCBF111F}"/>
    <cellStyle name="Normal 3 46" xfId="34953" xr:uid="{252560AF-0BFC-44F4-9C21-5D766936ABAC}"/>
    <cellStyle name="Normal 3 47" xfId="22565" xr:uid="{570C79D3-7945-4BB9-AF2F-5351A07E75DE}"/>
    <cellStyle name="Normal 3 5" xfId="34954" xr:uid="{0D59D4FB-247E-473F-A224-641CB576B761}"/>
    <cellStyle name="Normal 3 5 2" xfId="34955" xr:uid="{97B5B64C-2FD4-4050-A555-F97E7E3FFA8A}"/>
    <cellStyle name="Normal 3 5 3" xfId="34956" xr:uid="{8C9907BA-ECA7-47F4-B8A2-BC42DDBDFE05}"/>
    <cellStyle name="Normal 3 5 4" xfId="34957" xr:uid="{80DD9931-FD04-45DB-BFC6-14C8B8D66139}"/>
    <cellStyle name="Normal 3 5 5" xfId="34958" xr:uid="{0A2DC966-9788-4D10-A31E-1E4046803B1B}"/>
    <cellStyle name="Normal 3 5 6" xfId="34959" xr:uid="{D4E0D7A5-240C-4D92-BAE2-2B23208935D5}"/>
    <cellStyle name="Normal 3 5 7" xfId="34960" xr:uid="{8CD1C544-D8F1-467C-ABF5-C8F84BF8440A}"/>
    <cellStyle name="Normal 3 5 8" xfId="34961" xr:uid="{4929A711-47E6-41BD-B273-4B56C3AF6DCD}"/>
    <cellStyle name="Normal 3 6" xfId="34962" xr:uid="{93804A34-8A83-4BDE-9E97-EEB0516F907D}"/>
    <cellStyle name="Normal 3 6 2" xfId="34963" xr:uid="{08ECD190-9A23-4DFD-82FA-8B8CF2F808F4}"/>
    <cellStyle name="Normal 3 6 3" xfId="34964" xr:uid="{D04CB7C0-4E7B-4815-BB02-D82B8697C7D7}"/>
    <cellStyle name="Normal 3 6 4" xfId="34965" xr:uid="{4EEBF0E4-F6CC-4E41-94C8-5BC8A246C43C}"/>
    <cellStyle name="Normal 3 6 5" xfId="34966" xr:uid="{289B0CA9-BB64-407F-864F-0AA829362F47}"/>
    <cellStyle name="Normal 3 6 6" xfId="34967" xr:uid="{3811A2E8-C1C5-4838-B979-8C5E10E8944E}"/>
    <cellStyle name="Normal 3 6 7" xfId="34968" xr:uid="{83D7B47E-1174-4E8E-8672-60004B238B78}"/>
    <cellStyle name="Normal 3 6 8" xfId="34969" xr:uid="{BBA7F6CD-BD3E-49C7-B262-87B144547651}"/>
    <cellStyle name="Normal 3 7" xfId="34970" xr:uid="{024DED53-5BD0-4C65-B1E9-F89788D93247}"/>
    <cellStyle name="Normal 3 7 2" xfId="34971" xr:uid="{970A90EF-5394-4927-9340-490BA685BE1E}"/>
    <cellStyle name="Normal 3 7 2 2" xfId="34972" xr:uid="{4CA331C3-7B6B-4576-85AA-74FF2B851DD4}"/>
    <cellStyle name="Normal 3 7 3" xfId="34973" xr:uid="{39F6D5AD-5B8B-4D46-86C8-D5E3495B9C61}"/>
    <cellStyle name="Normal 3 7 4" xfId="34974" xr:uid="{380A5645-24A6-490F-8900-E76CA207FC85}"/>
    <cellStyle name="Normal 3 7 5" xfId="34975" xr:uid="{5552A82C-0D20-4337-91BC-B02AB5DCFCAB}"/>
    <cellStyle name="Normal 3 7 6" xfId="34976" xr:uid="{FA68FD6C-368A-4B90-9CEF-84CD0ECDEA63}"/>
    <cellStyle name="Normal 3 7 7" xfId="34977" xr:uid="{9E9D0CCB-81C0-4F83-B336-6465CDEF80C1}"/>
    <cellStyle name="Normal 3 7 8" xfId="34978" xr:uid="{7442A03A-54C7-4595-933E-6733F35297B4}"/>
    <cellStyle name="Normal 3 8" xfId="34979" xr:uid="{9B2C02EB-B029-4D45-9462-08EC04E79F7B}"/>
    <cellStyle name="Normal 3 8 2" xfId="34980" xr:uid="{FF9171EE-C17A-492C-B957-904D47AE01F5}"/>
    <cellStyle name="Normal 3 8 2 2" xfId="34981" xr:uid="{70B5FE6C-2F01-4D5F-8C1C-908FC7E542A1}"/>
    <cellStyle name="Normal 3 8 3" xfId="34982" xr:uid="{F86108A5-AA03-4C53-9E20-7C373D302A20}"/>
    <cellStyle name="Normal 3 8 4" xfId="34983" xr:uid="{4E89D5B6-9FAD-4034-8E4A-6083112F7559}"/>
    <cellStyle name="Normal 3 9" xfId="34984" xr:uid="{95BC522B-1C40-43D1-9895-2E6FCA300949}"/>
    <cellStyle name="Normal 3 9 2" xfId="34985" xr:uid="{62CD873A-7EC8-437F-93E7-2BBE026E7691}"/>
    <cellStyle name="Normal 3 9 3" xfId="34986" xr:uid="{1E9A88DB-CD94-41AD-B100-583224C84000}"/>
    <cellStyle name="Normal 3 9 4" xfId="34987" xr:uid="{EAECBCCF-F02B-4405-B7EA-6568AC85476A}"/>
    <cellStyle name="Normal 3 9 5" xfId="34988" xr:uid="{F065AB7E-5587-4A88-8990-F815715A8066}"/>
    <cellStyle name="Normal 3_April 17_Updated labor demand figures May 12 workshop" xfId="34989" xr:uid="{765D3A02-067A-409E-B68E-FED1CCC93774}"/>
    <cellStyle name="Normal 30" xfId="34990" xr:uid="{9FD30BA5-C4D0-4AAD-AF72-99C0B5469942}"/>
    <cellStyle name="Normal 30 10" xfId="34991" xr:uid="{42D9586A-2ED5-493D-8E41-F0E93712C86D}"/>
    <cellStyle name="Normal 30 11" xfId="34992" xr:uid="{1A483195-F9F4-41B7-AECF-B217F5E985B7}"/>
    <cellStyle name="Normal 30 12" xfId="34993" xr:uid="{710E11E4-4A09-4143-B327-1A6F65C9A0E5}"/>
    <cellStyle name="Normal 30 13" xfId="34994" xr:uid="{D7718E32-1A5D-487A-8114-D3F55538CE54}"/>
    <cellStyle name="Normal 30 14" xfId="34995" xr:uid="{350A1C0A-DB99-4F92-8BEA-888D0B1E69CF}"/>
    <cellStyle name="Normal 30 15" xfId="34996" xr:uid="{C37D38DA-8B30-489E-B1F4-A684414CC3E4}"/>
    <cellStyle name="Normal 30 16" xfId="34997" xr:uid="{B01E9E82-FE5D-41F2-A6F1-1AC7A8EF75AE}"/>
    <cellStyle name="Normal 30 2" xfId="34998" xr:uid="{1CD1CBEF-86C0-416D-AFF4-4C7C3D276C40}"/>
    <cellStyle name="Normal 30 3" xfId="34999" xr:uid="{B2B796B3-87FC-46BA-8BEF-F62F2DA2E4F5}"/>
    <cellStyle name="Normal 30 4" xfId="35000" xr:uid="{537D313A-F368-4F54-B762-E6F6611B91E7}"/>
    <cellStyle name="Normal 30 5" xfId="35001" xr:uid="{B4723D2A-FBD3-4A5C-BE3D-DA79D86E2424}"/>
    <cellStyle name="Normal 30 6" xfId="35002" xr:uid="{EF5B7DA5-27AF-46BE-A71A-D8DE59FC5D48}"/>
    <cellStyle name="Normal 30 7" xfId="35003" xr:uid="{86FCB29F-536D-4165-94DC-072682347DB5}"/>
    <cellStyle name="Normal 30 8" xfId="35004" xr:uid="{300390D8-C9E3-402B-AFDE-797C103937B6}"/>
    <cellStyle name="Normal 30 9" xfId="35005" xr:uid="{E1883009-83EC-442A-9C2D-24242987C780}"/>
    <cellStyle name="Normal 31" xfId="35006" xr:uid="{BF5BA7AD-B687-41A4-9869-A224793BAF6B}"/>
    <cellStyle name="Normal 31 2" xfId="35007" xr:uid="{52C1F143-39DB-4407-8B4A-EA7BCBAAC1D5}"/>
    <cellStyle name="Normal 32" xfId="35008" xr:uid="{A4BC915E-D5F2-4B0C-82CE-1876101AFB7E}"/>
    <cellStyle name="Normal 32 2" xfId="35009" xr:uid="{394CBF8F-F461-49EC-B1B4-9B61CAAA20C7}"/>
    <cellStyle name="Normal 32 3" xfId="35010" xr:uid="{A4736DCB-9DBF-4D4B-AD52-FEB3FB288242}"/>
    <cellStyle name="Normal 32 4" xfId="35011" xr:uid="{A29BF6AE-DEA9-478B-93A9-A1125AC25BDB}"/>
    <cellStyle name="Normal 32 5" xfId="35012" xr:uid="{642610A5-6EBE-476E-A96C-09C9BEC7A66E}"/>
    <cellStyle name="Normal 33" xfId="35013" xr:uid="{A0525F9F-959F-48F9-AFBA-7DA8C4F25370}"/>
    <cellStyle name="Normal 33 2" xfId="35014" xr:uid="{12B25DCC-EAB7-4376-B127-A990CA5C6AE7}"/>
    <cellStyle name="Normal 33 3" xfId="35015" xr:uid="{8F5F25FF-705A-4AEE-8306-13A68D420A7A}"/>
    <cellStyle name="Normal 33 4" xfId="35016" xr:uid="{3FE8D112-9BFC-43A2-BBF9-5CB5DC031718}"/>
    <cellStyle name="Normal 33 5" xfId="35017" xr:uid="{67CAC689-5BF3-4212-A440-97BACADCFE73}"/>
    <cellStyle name="Normal 33 6" xfId="35018" xr:uid="{055A1DBB-22B8-48BB-B9BC-E8F1C3EA31BD}"/>
    <cellStyle name="Normal 33 7" xfId="35019" xr:uid="{ED9271DF-C575-4329-92EA-29D60847660A}"/>
    <cellStyle name="Normal 34" xfId="35020" xr:uid="{778BF4A5-E9DE-4B08-8BAF-61E239A16E11}"/>
    <cellStyle name="Normal 34 10" xfId="35021" xr:uid="{7F3D4285-A5AF-45A9-B3C7-2CC81AB4086A}"/>
    <cellStyle name="Normal 34 2" xfId="35022" xr:uid="{35A43C10-E0B3-48F0-A568-B1F0A4B82519}"/>
    <cellStyle name="Normal 34 3" xfId="35023" xr:uid="{01FD8F3E-803A-49FD-9373-8D81422E61D6}"/>
    <cellStyle name="Normal 34 4" xfId="35024" xr:uid="{F23FBF1C-F4A5-4264-912D-3BBF2CBE104E}"/>
    <cellStyle name="Normal 34 5" xfId="35025" xr:uid="{52B44F82-C473-422A-9910-62ADFFD409C1}"/>
    <cellStyle name="Normal 34 6" xfId="35026" xr:uid="{B7C591F9-4785-4212-9A01-AB45254EAAF3}"/>
    <cellStyle name="Normal 34 7" xfId="35027" xr:uid="{32E94243-4C6B-4EB9-ABFA-EA73B169B864}"/>
    <cellStyle name="Normal 34 8" xfId="35028" xr:uid="{02448D38-94AB-4C04-AF4C-6090632A6AA4}"/>
    <cellStyle name="Normal 34 9" xfId="35029" xr:uid="{165D038A-ABF7-49F8-AD59-2979A5D5E928}"/>
    <cellStyle name="Normal 35" xfId="35030" xr:uid="{0A5FE687-AA89-4CA1-82EE-82643B5846E7}"/>
    <cellStyle name="Normal 35 10" xfId="35031" xr:uid="{040EE9E4-6414-471B-8D2C-E2147A5BB479}"/>
    <cellStyle name="Normal 35 2" xfId="35032" xr:uid="{ED710447-E88E-4FF6-A3F6-53DD64288D6A}"/>
    <cellStyle name="Normal 35 3" xfId="35033" xr:uid="{905CFF03-9D08-4477-9B85-CAF744FD23D9}"/>
    <cellStyle name="Normal 35 4" xfId="35034" xr:uid="{6A5650B5-1FB6-4347-92D8-C1E8DBCAC9BE}"/>
    <cellStyle name="Normal 35 5" xfId="35035" xr:uid="{9A10C838-C8CF-4335-81B5-4ADFC4B2638E}"/>
    <cellStyle name="Normal 35 6" xfId="35036" xr:uid="{5FC48CB0-AB10-44A3-9839-9CE90ED3A9FA}"/>
    <cellStyle name="Normal 35 7" xfId="35037" xr:uid="{178D5981-27B2-42F8-90E9-4038B5A78E39}"/>
    <cellStyle name="Normal 35 8" xfId="35038" xr:uid="{ACBBF8AC-C212-4BBB-9696-C4DCA55C5769}"/>
    <cellStyle name="Normal 35 9" xfId="35039" xr:uid="{3E5AC403-EF4A-419A-AE77-D9D2EE77E528}"/>
    <cellStyle name="Normal 36" xfId="35040" xr:uid="{29EDDEFF-26E4-470D-87B6-B91F029DCD7C}"/>
    <cellStyle name="Normal 36 10" xfId="35041" xr:uid="{FB75D0A4-BBD0-4E78-8BA9-ADBA0CD4925F}"/>
    <cellStyle name="Normal 36 2" xfId="35042" xr:uid="{B416E328-08AE-4A8C-AF80-3EE5F5C37C25}"/>
    <cellStyle name="Normal 36 3" xfId="35043" xr:uid="{F06E5652-EB00-430F-941A-7CA173C04D0A}"/>
    <cellStyle name="Normal 36 4" xfId="35044" xr:uid="{E22BB12E-48BD-449A-9FDD-AD5ADB43DB5D}"/>
    <cellStyle name="Normal 36 5" xfId="35045" xr:uid="{DCD41F5E-8FF0-48EC-A087-770C89875772}"/>
    <cellStyle name="Normal 36 6" xfId="35046" xr:uid="{4A326374-03F7-4DA3-8125-93E399741420}"/>
    <cellStyle name="Normal 36 7" xfId="35047" xr:uid="{0D62F5BA-8A62-4CC6-A95F-348EF9E15D8B}"/>
    <cellStyle name="Normal 36 8" xfId="35048" xr:uid="{9E9B6030-5C65-433A-A3AB-0752839D550C}"/>
    <cellStyle name="Normal 36 9" xfId="35049" xr:uid="{6B0F2FDA-F4DD-4282-A9CA-8CB94B7DB568}"/>
    <cellStyle name="Normal 37" xfId="35050" xr:uid="{DD6D7059-BFE6-4E59-971E-9A1EA7A707F3}"/>
    <cellStyle name="Normal 37 10" xfId="35051" xr:uid="{C3584B7A-02A5-4710-B930-CDE5C5F75AD2}"/>
    <cellStyle name="Normal 37 2" xfId="35052" xr:uid="{02BDA4F3-7DD4-4E66-883B-97D3F35B0F81}"/>
    <cellStyle name="Normal 37 3" xfId="35053" xr:uid="{81A98367-F67C-4D63-8570-E84A1EF22A8F}"/>
    <cellStyle name="Normal 37 4" xfId="35054" xr:uid="{87E56185-573F-482F-95BE-17572564B3D7}"/>
    <cellStyle name="Normal 37 5" xfId="35055" xr:uid="{829B374A-429D-43ED-B8E7-C257B4B96CBA}"/>
    <cellStyle name="Normal 37 6" xfId="35056" xr:uid="{7BC44292-7676-4FF0-B340-6F4593888591}"/>
    <cellStyle name="Normal 37 7" xfId="35057" xr:uid="{A04F8227-7D87-43DA-8B5B-A4C691412CBF}"/>
    <cellStyle name="Normal 37 8" xfId="35058" xr:uid="{9FE0E3DF-31F2-41E0-B657-AB73E34F47C7}"/>
    <cellStyle name="Normal 37 9" xfId="35059" xr:uid="{3BF6CFDE-9F10-438B-979C-A160CEEF3DAB}"/>
    <cellStyle name="Normal 38" xfId="35060" xr:uid="{781D07B3-D6AA-4C33-946C-E12EC469ADB5}"/>
    <cellStyle name="Normal 38 10" xfId="35061" xr:uid="{3A552D5A-FFD4-40D3-B862-8EE01337CF99}"/>
    <cellStyle name="Normal 38 2" xfId="35062" xr:uid="{394111EC-899F-4D4D-97DB-C0618ADF7783}"/>
    <cellStyle name="Normal 38 3" xfId="35063" xr:uid="{08C9A7FD-CFFC-4552-84B6-AD919E2AAEA9}"/>
    <cellStyle name="Normal 38 4" xfId="35064" xr:uid="{713FE60B-070D-4341-8112-5F58B8F4F353}"/>
    <cellStyle name="Normal 38 5" xfId="35065" xr:uid="{0058EA29-91B4-4CF8-8113-CAD9A95D3099}"/>
    <cellStyle name="Normal 38 6" xfId="35066" xr:uid="{7312319D-08C7-40E9-B7F4-41D208119247}"/>
    <cellStyle name="Normal 38 7" xfId="35067" xr:uid="{8CA48D6C-0988-48C6-903F-B1FBBEE59C82}"/>
    <cellStyle name="Normal 38 8" xfId="35068" xr:uid="{0EC7745A-27D9-44BC-B22B-DBC691724E81}"/>
    <cellStyle name="Normal 38 9" xfId="35069" xr:uid="{321B6C7F-3B8C-4B3F-9A41-CDEBB6D8EC38}"/>
    <cellStyle name="Normal 39" xfId="35070" xr:uid="{C7743FD1-766C-49F6-8B23-1DFF05A0DDA1}"/>
    <cellStyle name="Normal 39 10" xfId="35071" xr:uid="{A4FF4926-31FE-4937-8BAC-DE6AB76FFA9D}"/>
    <cellStyle name="Normal 39 2" xfId="35072" xr:uid="{EF3CAB9E-1C21-425C-BE66-FF4125014A2D}"/>
    <cellStyle name="Normal 39 3" xfId="35073" xr:uid="{B9CE565F-0C20-459C-8512-8190E5C97294}"/>
    <cellStyle name="Normal 39 4" xfId="35074" xr:uid="{38EEEF86-F1E4-45C6-92BC-2EDC166B0BCB}"/>
    <cellStyle name="Normal 39 5" xfId="35075" xr:uid="{9525B2C1-F84D-42DE-B3CE-F03AAAE24AD0}"/>
    <cellStyle name="Normal 39 6" xfId="35076" xr:uid="{14F2BF8A-9CE9-4A83-B982-598BB911D91A}"/>
    <cellStyle name="Normal 39 7" xfId="35077" xr:uid="{92AA5595-E2C9-49D3-8579-6257BF2349B3}"/>
    <cellStyle name="Normal 39 8" xfId="35078" xr:uid="{74018FBD-B4A0-4B4D-9BA3-283F266FD413}"/>
    <cellStyle name="Normal 39 9" xfId="35079" xr:uid="{B0DA50CB-663F-49B7-8341-B972AF19CD63}"/>
    <cellStyle name="Normal 4" xfId="12" xr:uid="{00000000-0005-0000-0000-000009000000}"/>
    <cellStyle name="Normal 4 10" xfId="35081" xr:uid="{ADE09DF7-199F-4E70-9372-59E94DB650D8}"/>
    <cellStyle name="Normal 4 11" xfId="35082" xr:uid="{E4940445-47D8-45AF-9875-F295CCA605AC}"/>
    <cellStyle name="Normal 4 12" xfId="35083" xr:uid="{ACE1D76B-BE77-4265-9850-1BE38F361D83}"/>
    <cellStyle name="Normal 4 13" xfId="35084" xr:uid="{B2A200E6-A1CC-4F23-BB5C-89DE6C228F06}"/>
    <cellStyle name="Normal 4 14" xfId="35085" xr:uid="{BEE1696F-F175-4102-8661-695B5593014C}"/>
    <cellStyle name="Normal 4 15" xfId="35086" xr:uid="{E4FEF3DF-9F22-48A2-86C0-F391EFD8505C}"/>
    <cellStyle name="Normal 4 16" xfId="35087" xr:uid="{2500AD9E-5ADB-4339-9E2B-A0FC7B48B4C2}"/>
    <cellStyle name="Normal 4 17" xfId="35088" xr:uid="{DC57F9EE-6CCB-4B07-BF0A-9ADF52B486B3}"/>
    <cellStyle name="Normal 4 18" xfId="35089" xr:uid="{E5ABA676-892B-4345-90B3-9F3FC8D1162A}"/>
    <cellStyle name="Normal 4 19" xfId="35090" xr:uid="{4F078BF7-2793-41D0-897A-AB11D8E42661}"/>
    <cellStyle name="Normal 4 2" xfId="35091" xr:uid="{236A9C0D-823C-4568-B57E-0716DF435B90}"/>
    <cellStyle name="Normal 4 2 10" xfId="35092" xr:uid="{87530D85-3D43-42BB-B323-26153F03EBE8}"/>
    <cellStyle name="Normal 4 2 11" xfId="35093" xr:uid="{966C3943-1544-47FA-ABC4-DCC7D5CD3597}"/>
    <cellStyle name="Normal 4 2 12" xfId="35094" xr:uid="{0F136514-FEE9-42F8-8E67-3C4017AFBB36}"/>
    <cellStyle name="Normal 4 2 13" xfId="35095" xr:uid="{C2F1D362-DB79-4EFB-B5EC-61208258A458}"/>
    <cellStyle name="Normal 4 2 14" xfId="35096" xr:uid="{8B2FF691-7E28-4108-8360-234306739D99}"/>
    <cellStyle name="Normal 4 2 15" xfId="35097" xr:uid="{CD53243A-8903-4C5E-AE62-759F8516AA4E}"/>
    <cellStyle name="Normal 4 2 16" xfId="35098" xr:uid="{6A6E471E-D8CF-4C7B-BCC2-37A32C8E930C}"/>
    <cellStyle name="Normal 4 2 17" xfId="35099" xr:uid="{D42FA1EB-E8BE-4EEB-89E1-7D28040A7D81}"/>
    <cellStyle name="Normal 4 2 18" xfId="35100" xr:uid="{AF27F3F1-1670-43D4-B76C-D8E696A891A0}"/>
    <cellStyle name="Normal 4 2 19" xfId="35101" xr:uid="{10C7CC0C-6713-410B-A4E1-40E338A3397E}"/>
    <cellStyle name="Normal 4 2 2" xfId="35102" xr:uid="{97E785B4-5C2F-4CC4-A5F5-32D7CC1DEE10}"/>
    <cellStyle name="Normal 4 2 2 10" xfId="35103" xr:uid="{365D17CD-F8EA-49BA-BA35-9072C511F44D}"/>
    <cellStyle name="Normal 4 2 2 11" xfId="35104" xr:uid="{8EA3F778-9839-479A-9C2C-93E9D4DD0BFE}"/>
    <cellStyle name="Normal 4 2 2 12" xfId="35105" xr:uid="{BD2C6809-57F2-4D65-B004-F4DC649F0D73}"/>
    <cellStyle name="Normal 4 2 2 2" xfId="35106" xr:uid="{9900A434-C085-4D17-B71B-593B47A48B88}"/>
    <cellStyle name="Normal 4 2 2 2 2" xfId="35107" xr:uid="{F0C78D32-71E4-4161-AE68-B6318288D9E2}"/>
    <cellStyle name="Normal 4 2 2 2 3" xfId="35108" xr:uid="{A3807136-0471-49CB-AC7D-91001CEC432B}"/>
    <cellStyle name="Normal 4 2 2 2 4" xfId="35109" xr:uid="{670B9C6A-82B7-4AF6-AE0E-5B17719E4D87}"/>
    <cellStyle name="Normal 4 2 2 2 5" xfId="35110" xr:uid="{35FE9415-0D12-431A-BF4E-343CF9B6C796}"/>
    <cellStyle name="Normal 4 2 2 2 6" xfId="35111" xr:uid="{EE597EBE-A9C8-45AA-B068-67B18DD2561F}"/>
    <cellStyle name="Normal 4 2 2 2 7" xfId="35112" xr:uid="{64C5807A-98D5-4BB8-9167-A22188FF7D6A}"/>
    <cellStyle name="Normal 4 2 2 2 8" xfId="35113" xr:uid="{CB5CFF78-8949-4558-B807-B742D192DEF8}"/>
    <cellStyle name="Normal 4 2 2 2 9" xfId="35114" xr:uid="{DD56C419-3F36-40F3-9728-9690F7344B35}"/>
    <cellStyle name="Normal 4 2 2 3" xfId="35115" xr:uid="{EA5E0892-0F57-4789-AAF0-37CC042C5575}"/>
    <cellStyle name="Normal 4 2 2 4" xfId="35116" xr:uid="{F4BBCE54-D271-4120-B7A7-E8E91D4F649C}"/>
    <cellStyle name="Normal 4 2 2 5" xfId="35117" xr:uid="{B54FDE7E-EC1A-4A3F-8168-7CB64294B1BC}"/>
    <cellStyle name="Normal 4 2 2 6" xfId="35118" xr:uid="{FA5F73B8-3515-48C7-8D73-E78743B90221}"/>
    <cellStyle name="Normal 4 2 2 7" xfId="35119" xr:uid="{EC84775B-D40E-404F-9EDD-E1E626FE7043}"/>
    <cellStyle name="Normal 4 2 2 8" xfId="35120" xr:uid="{DC3AFCE3-DC0B-4EAD-8623-4FC309AFDE4A}"/>
    <cellStyle name="Normal 4 2 2 9" xfId="35121" xr:uid="{529BD301-CE4E-4032-9040-70BF13D7657D}"/>
    <cellStyle name="Normal 4 2 20" xfId="35122" xr:uid="{28AA9422-93A2-4AAD-8379-6EBD659C4701}"/>
    <cellStyle name="Normal 4 2 21" xfId="35123" xr:uid="{99107A27-F865-449A-96DE-7BA82E2381E8}"/>
    <cellStyle name="Normal 4 2 22" xfId="35124" xr:uid="{D80CACB6-66C2-4540-B7AB-6E314870E777}"/>
    <cellStyle name="Normal 4 2 23" xfId="35125" xr:uid="{65657FA6-8E3C-419E-80A8-E913BFAAD1BD}"/>
    <cellStyle name="Normal 4 2 24" xfId="35126" xr:uid="{C7500EA1-6D57-4569-BCC4-76FD0F4039C0}"/>
    <cellStyle name="Normal 4 2 25" xfId="35127" xr:uid="{B0337052-7A10-4EE5-AE20-5BC97D30B46F}"/>
    <cellStyle name="Normal 4 2 26" xfId="35128" xr:uid="{58EE0C60-E12C-494A-9A0E-5D6BFD79BF72}"/>
    <cellStyle name="Normal 4 2 3" xfId="35129" xr:uid="{6C7D03A5-D86D-4CC7-B698-5461C52A0846}"/>
    <cellStyle name="Normal 4 2 3 2" xfId="35130" xr:uid="{18521097-3A41-4F07-8EE1-48BFBE4F1C3D}"/>
    <cellStyle name="Normal 4 2 4" xfId="35131" xr:uid="{FBE3B5BC-B2A5-4BD8-A3CD-C36D76860AAF}"/>
    <cellStyle name="Normal 4 2 5" xfId="35132" xr:uid="{B1F71E73-2544-41DA-907F-474F9B253847}"/>
    <cellStyle name="Normal 4 2 6" xfId="35133" xr:uid="{4DE779FA-EF67-44E8-B0FD-F295E86B45C2}"/>
    <cellStyle name="Normal 4 2 7" xfId="35134" xr:uid="{3BBC0411-8E39-440A-8073-0A3FF24128AB}"/>
    <cellStyle name="Normal 4 2 8" xfId="35135" xr:uid="{C8FAD1EA-5ACB-4667-95DF-6A4129E4E5F1}"/>
    <cellStyle name="Normal 4 2 9" xfId="35136" xr:uid="{8675A102-1755-4A3D-9666-CDCFA0CD6F62}"/>
    <cellStyle name="Normal 4 2_Ch4 v2" xfId="35137" xr:uid="{E08EB43D-210F-41EB-82E0-2CD1205439A8}"/>
    <cellStyle name="Normal 4 20" xfId="35138" xr:uid="{2D3FF6FD-DBC1-4652-8F11-FDAA8E49CEFF}"/>
    <cellStyle name="Normal 4 21" xfId="35139" xr:uid="{AE1845B8-E00A-470F-8390-734C72052766}"/>
    <cellStyle name="Normal 4 22" xfId="35140" xr:uid="{AB1D8E79-ED56-439C-8275-DBCBB31D107E}"/>
    <cellStyle name="Normal 4 23" xfId="35141" xr:uid="{348B2CDA-1999-4DED-B472-31B529098DF9}"/>
    <cellStyle name="Normal 4 24" xfId="35142" xr:uid="{9E13D666-D1E5-41FF-9DE6-A6460298037C}"/>
    <cellStyle name="Normal 4 25" xfId="35143" xr:uid="{517021ED-DAFE-48D8-8A59-FAF23ED539A8}"/>
    <cellStyle name="Normal 4 26" xfId="35144" xr:uid="{59F70A7A-495C-4FF1-85DC-B88C51B74B78}"/>
    <cellStyle name="Normal 4 27" xfId="35145" xr:uid="{AAF29B9B-AE2B-4405-9A60-D8F915157CB8}"/>
    <cellStyle name="Normal 4 28" xfId="35146" xr:uid="{A4A2480A-5518-405A-A3F5-87989F6B04F5}"/>
    <cellStyle name="Normal 4 29" xfId="35147" xr:uid="{304A14AA-CC93-4156-BC26-3E3AEF5CD57C}"/>
    <cellStyle name="Normal 4 3" xfId="35148" xr:uid="{500717F7-0309-4F46-BA16-3C4EA7D7D5C4}"/>
    <cellStyle name="Normal 4 3 10" xfId="35149" xr:uid="{2584E985-5091-4C14-8A42-F2472BDD09F7}"/>
    <cellStyle name="Normal 4 3 11" xfId="35150" xr:uid="{47FDAAD1-DA73-4B9A-B5B9-B0CDC82D807E}"/>
    <cellStyle name="Normal 4 3 12" xfId="35151" xr:uid="{FEF3D7F0-FB12-467A-807F-0B97D915B865}"/>
    <cellStyle name="Normal 4 3 13" xfId="35152" xr:uid="{D223C46A-5207-4650-9274-1219D96B5258}"/>
    <cellStyle name="Normal 4 3 14" xfId="35153" xr:uid="{2F10A2E6-994F-4D34-89D2-9A0E359950DE}"/>
    <cellStyle name="Normal 4 3 15" xfId="35154" xr:uid="{8F813DD3-1AD5-4783-B07D-745F70857D29}"/>
    <cellStyle name="Normal 4 3 16" xfId="35155" xr:uid="{79C9FA6B-740C-44E3-AA08-247E32F5B962}"/>
    <cellStyle name="Normal 4 3 17" xfId="35156" xr:uid="{0FF42377-0214-4829-8F87-6629808F73F0}"/>
    <cellStyle name="Normal 4 3 2" xfId="35157" xr:uid="{1993C993-9BDE-42A3-8317-DE22EF7EF19A}"/>
    <cellStyle name="Normal 4 3 2 10" xfId="35158" xr:uid="{CE56BE2F-A54B-4340-844A-7810DB27F49D}"/>
    <cellStyle name="Normal 4 3 2 11" xfId="35159" xr:uid="{B56015DB-CEED-4C3F-97B9-2385662B8974}"/>
    <cellStyle name="Normal 4 3 2 2" xfId="35160" xr:uid="{9B564E9D-448D-4214-8930-3B1B0DB1DAC0}"/>
    <cellStyle name="Normal 4 3 2 3" xfId="35161" xr:uid="{DB3157EA-7DD6-490B-A7DC-C897D52ECBD5}"/>
    <cellStyle name="Normal 4 3 2 4" xfId="35162" xr:uid="{70A9F4D0-77AD-4B2E-80BC-DB326A3D9BCF}"/>
    <cellStyle name="Normal 4 3 2 5" xfId="35163" xr:uid="{6B2274A2-2EC1-4371-8AB4-C11183F3BB66}"/>
    <cellStyle name="Normal 4 3 2 6" xfId="35164" xr:uid="{9553D3E5-3D03-45D2-A4BD-CC5DCA0056D3}"/>
    <cellStyle name="Normal 4 3 2 7" xfId="35165" xr:uid="{CFD51329-759D-49C8-8CBD-F24A4DE1C078}"/>
    <cellStyle name="Normal 4 3 2 8" xfId="35166" xr:uid="{E30BF5B3-E240-45B0-B450-844A7DEFFDC1}"/>
    <cellStyle name="Normal 4 3 2 9" xfId="35167" xr:uid="{38A81455-FD7F-4BA6-A6C3-399D9F2E1339}"/>
    <cellStyle name="Normal 4 3 3" xfId="35168" xr:uid="{F89F7167-0FB5-4E2E-A1EC-B28F93EE6666}"/>
    <cellStyle name="Normal 4 3 4" xfId="35169" xr:uid="{718440CE-9112-430F-811B-B5161AE7A84D}"/>
    <cellStyle name="Normal 4 3 5" xfId="35170" xr:uid="{84DEC583-859C-4E84-B73C-3A02C5D35A6F}"/>
    <cellStyle name="Normal 4 3 6" xfId="35171" xr:uid="{51E2B702-3DC7-414E-BC84-40BDAA8EFB0A}"/>
    <cellStyle name="Normal 4 3 7" xfId="35172" xr:uid="{B3E95402-AF57-4368-8EAC-17B8B192F8D2}"/>
    <cellStyle name="Normal 4 3 8" xfId="35173" xr:uid="{68461284-D3D5-421C-B74A-5F009A462B60}"/>
    <cellStyle name="Normal 4 3 9" xfId="35174" xr:uid="{88A949D5-F51E-465B-BBD7-C49E685F2C4B}"/>
    <cellStyle name="Normal 4 30" xfId="35175" xr:uid="{8CB41C60-F1CD-4E66-8CF7-8E8D8C59EC5D}"/>
    <cellStyle name="Normal 4 31" xfId="35176" xr:uid="{1C75974D-746A-4D96-AE21-2DCD6EB23DD4}"/>
    <cellStyle name="Normal 4 32" xfId="35177" xr:uid="{3FC9BEDA-275B-4A3B-A12C-87C6A6621FF1}"/>
    <cellStyle name="Normal 4 33" xfId="35178" xr:uid="{AEFA4CB4-1216-4220-A757-DB6B3F490AB5}"/>
    <cellStyle name="Normal 4 34" xfId="35179" xr:uid="{4B3B785F-F334-48E2-AA71-16A178A49133}"/>
    <cellStyle name="Normal 4 35" xfId="35180" xr:uid="{ABE71AB8-5D50-4E73-8E2F-6DE7388EB785}"/>
    <cellStyle name="Normal 4 36" xfId="35080" xr:uid="{4928B2C4-ADCF-4DA2-A0D7-400341AEEBE7}"/>
    <cellStyle name="Normal 4 4" xfId="35181" xr:uid="{D1D63183-1A83-448C-A4F2-0B11A2F40C68}"/>
    <cellStyle name="Normal 4 4 2" xfId="35182" xr:uid="{1FD47E4D-12FB-41B7-A529-4189F867B321}"/>
    <cellStyle name="Normal 4 4 3" xfId="35183" xr:uid="{F8F07C3F-8FE6-4D99-8423-FCBB0AC1C141}"/>
    <cellStyle name="Normal 4 4 4" xfId="35184" xr:uid="{030B4733-9699-429A-9F1F-5DFA38B6FEA0}"/>
    <cellStyle name="Normal 4 4 5" xfId="35185" xr:uid="{2A36EAAB-3C00-40C5-98CC-BE9D14FD2A71}"/>
    <cellStyle name="Normal 4 4 6" xfId="35186" xr:uid="{0ED1C34B-67E3-458C-B4D6-60A1CA5D278B}"/>
    <cellStyle name="Normal 4 4 7" xfId="35187" xr:uid="{17F8CAA5-B7D3-4052-A93E-2E568A610D9C}"/>
    <cellStyle name="Normal 4 4 8" xfId="35188" xr:uid="{E666BA76-2D05-43A6-83C6-ED4C334026B2}"/>
    <cellStyle name="Normal 4 5" xfId="35189" xr:uid="{16A8F592-3C68-4D64-B782-F1A541E315DF}"/>
    <cellStyle name="Normal 4 5 2" xfId="35190" xr:uid="{41FAF42B-5C9A-49E0-B1C3-D9F012F73E83}"/>
    <cellStyle name="Normal 4 5 3" xfId="35191" xr:uid="{E6801C32-22F3-4EE9-9D10-91797B6F1330}"/>
    <cellStyle name="Normal 4 5 4" xfId="35192" xr:uid="{FF078C19-B123-4503-9476-6296ED9D191C}"/>
    <cellStyle name="Normal 4 5 5" xfId="35193" xr:uid="{E078FE07-1C30-4747-AECF-6FD83527FA1F}"/>
    <cellStyle name="Normal 4 5 6" xfId="35194" xr:uid="{EDDDF304-C9B4-4F49-80A4-540E51A65AFA}"/>
    <cellStyle name="Normal 4 5 7" xfId="35195" xr:uid="{95D590BB-CE5C-489B-95AE-5D5FBD5F5BE3}"/>
    <cellStyle name="Normal 4 5 8" xfId="35196" xr:uid="{C07774F8-E34C-4E34-97FE-133A384336C1}"/>
    <cellStyle name="Normal 4 5 9" xfId="35197" xr:uid="{D538BF40-4992-4D45-81F8-B25A1C3D9B90}"/>
    <cellStyle name="Normal 4 6" xfId="35198" xr:uid="{B4D755E5-465D-45A9-966F-F8D6EF120A6D}"/>
    <cellStyle name="Normal 4 6 2" xfId="35199" xr:uid="{AB0A8C42-A3F1-4236-9172-699C5224A985}"/>
    <cellStyle name="Normal 4 6 3" xfId="35200" xr:uid="{814909B4-735B-446C-A39B-D786A2882464}"/>
    <cellStyle name="Normal 4 6 4" xfId="35201" xr:uid="{D21E6CD6-6540-4625-B465-43685EBAC6CA}"/>
    <cellStyle name="Normal 4 6 5" xfId="35202" xr:uid="{14F64F41-A0EA-4C92-8264-374C390646B3}"/>
    <cellStyle name="Normal 4 6 6" xfId="35203" xr:uid="{AD922201-0393-4ABE-A822-45DFEB788E60}"/>
    <cellStyle name="Normal 4 6 7" xfId="35204" xr:uid="{08972296-0E00-415B-9394-6253ED592A0C}"/>
    <cellStyle name="Normal 4 7" xfId="35205" xr:uid="{22D42DFE-60EA-4114-AB85-E8F10AF500EF}"/>
    <cellStyle name="Normal 4 7 2" xfId="35206" xr:uid="{EAE6EAAA-D595-47F7-A9B5-4537A70759DA}"/>
    <cellStyle name="Normal 4 7 3" xfId="35207" xr:uid="{069EDF77-C8DC-4AC1-A4BC-5E15DD702E23}"/>
    <cellStyle name="Normal 4 7 4" xfId="35208" xr:uid="{53DF7298-FB3B-4053-92D4-FFA5F08390A6}"/>
    <cellStyle name="Normal 4 7 5" xfId="35209" xr:uid="{C9B9598C-1D74-439A-998B-395FEB912EA6}"/>
    <cellStyle name="Normal 4 7 6" xfId="35210" xr:uid="{1D13D3D7-064F-4292-A9B0-362616560D83}"/>
    <cellStyle name="Normal 4 7 7" xfId="35211" xr:uid="{395714AB-1F44-40FA-BC22-3BB1E0DFBF04}"/>
    <cellStyle name="Normal 4 8" xfId="35212" xr:uid="{128D25AA-6E58-4AA2-96A6-D28AB2B33CF1}"/>
    <cellStyle name="Normal 4 8 2" xfId="35213" xr:uid="{ADA59D5F-DB56-4A03-B9C5-A7E58F9232C3}"/>
    <cellStyle name="Normal 4 8 3" xfId="35214" xr:uid="{9322347D-24C4-4CCD-BCD4-3C82AC85A746}"/>
    <cellStyle name="Normal 4 8 4" xfId="35215" xr:uid="{E8917055-2F5C-4CDF-89C6-55BA225085E0}"/>
    <cellStyle name="Normal 4 8 5" xfId="35216" xr:uid="{3AE5D4CF-8BAE-49B3-A06A-943B5CB62230}"/>
    <cellStyle name="Normal 4 8 6" xfId="35217" xr:uid="{7869D97B-FAAA-4040-8568-09DE609A893C}"/>
    <cellStyle name="Normal 4 8 7" xfId="35218" xr:uid="{EF009034-0052-43F8-8064-84D97E052858}"/>
    <cellStyle name="Normal 4 9" xfId="35219" xr:uid="{B5F799D5-000E-45ED-A389-F416B59B4F2D}"/>
    <cellStyle name="Normal 4 9 2" xfId="35220" xr:uid="{B218918F-56C8-4E59-9B25-8ABBA5D22AB1}"/>
    <cellStyle name="Normal 4 9 3" xfId="35221" xr:uid="{42C93473-2A38-4BA3-9A2B-01D06BB042AB}"/>
    <cellStyle name="Normal 4 9 4" xfId="35222" xr:uid="{3B7809BF-A6DC-4654-9D82-220D6601F4BC}"/>
    <cellStyle name="Normal 4 9 5" xfId="35223" xr:uid="{C25960F0-1148-4413-AA10-7A6B415B6CD2}"/>
    <cellStyle name="Normal 4 9 6" xfId="35224" xr:uid="{284DC1A0-A5BC-4998-8269-A637EAC7E83A}"/>
    <cellStyle name="Normal 4_April 17_Updated labor demand figures May 12 workshop" xfId="35225" xr:uid="{9F281C22-8EBC-4FD1-87A0-A77AFE57994E}"/>
    <cellStyle name="Normal 40" xfId="35226" xr:uid="{FC62E93B-38F1-48E1-A122-24B4D646407A}"/>
    <cellStyle name="Normal 40 2" xfId="35227" xr:uid="{308CC56E-16A4-458A-BAA4-730BCE1DD713}"/>
    <cellStyle name="Normal 41" xfId="35228" xr:uid="{04C6D282-80C0-4A71-8322-947313E7ACD3}"/>
    <cellStyle name="Normal 41 10" xfId="35229" xr:uid="{50F50EE2-599F-4645-90D3-D5FA3D0A9798}"/>
    <cellStyle name="Normal 41 11" xfId="35230" xr:uid="{55274283-180D-46A5-99A4-C9551F62404F}"/>
    <cellStyle name="Normal 41 12" xfId="35231" xr:uid="{720BC1B3-3199-449A-87E4-BBB60525F35F}"/>
    <cellStyle name="Normal 41 13" xfId="35232" xr:uid="{E7041E31-F2E8-457A-928E-EC8B1FFE6BFE}"/>
    <cellStyle name="Normal 41 14" xfId="35233" xr:uid="{454FC682-75A2-4FF1-9062-F11DB0012990}"/>
    <cellStyle name="Normal 41 15" xfId="35234" xr:uid="{FC410D1C-C871-426D-BE08-18C4667441E5}"/>
    <cellStyle name="Normal 41 16" xfId="35235" xr:uid="{A5B1E26C-F53C-4E7E-977C-1D9229482EF3}"/>
    <cellStyle name="Normal 41 17" xfId="35236" xr:uid="{3E1968EB-0B5F-4AC9-A18E-2F1417881AA8}"/>
    <cellStyle name="Normal 41 18" xfId="35237" xr:uid="{86506180-A95F-4B2A-A96D-0720F049480D}"/>
    <cellStyle name="Normal 41 2" xfId="35238" xr:uid="{6F9219B7-6949-463B-9412-44521052D9F6}"/>
    <cellStyle name="Normal 41 3" xfId="35239" xr:uid="{A3414D07-16A3-43A6-831A-915A6D7E4013}"/>
    <cellStyle name="Normal 41 4" xfId="35240" xr:uid="{5F1B3D9F-F14B-48D0-8EA8-1A88F6FD69A2}"/>
    <cellStyle name="Normal 41 5" xfId="35241" xr:uid="{E13D2A31-9F40-432A-8573-48A84E395275}"/>
    <cellStyle name="Normal 41 6" xfId="35242" xr:uid="{7EE23DE4-45E9-4B98-B391-EC8F3833029A}"/>
    <cellStyle name="Normal 41 7" xfId="35243" xr:uid="{C7AD137B-8235-4490-A62D-7D7EB53A342B}"/>
    <cellStyle name="Normal 41 8" xfId="35244" xr:uid="{3C528876-8BD1-4E57-8E98-54984AEE5664}"/>
    <cellStyle name="Normal 41 9" xfId="35245" xr:uid="{5D303977-3DC2-4D64-A03C-B3770DB2FC03}"/>
    <cellStyle name="Normal 42" xfId="35246" xr:uid="{298117A8-036F-44A1-B50B-50F00616472F}"/>
    <cellStyle name="Normal 42 10" xfId="35247" xr:uid="{EB4DEB4E-C5FC-4B7D-AB5A-049E15B17FA5}"/>
    <cellStyle name="Normal 42 11" xfId="35248" xr:uid="{367963BD-8F7F-48E6-948C-71876892A706}"/>
    <cellStyle name="Normal 42 12" xfId="35249" xr:uid="{09FDE23F-CC1E-4629-B474-DCB62A7B204F}"/>
    <cellStyle name="Normal 42 13" xfId="35250" xr:uid="{769A8039-D020-4CCF-A973-B6260B04EED2}"/>
    <cellStyle name="Normal 42 14" xfId="35251" xr:uid="{18069A92-F638-45B9-B865-B743EBECDDB2}"/>
    <cellStyle name="Normal 42 15" xfId="35252" xr:uid="{01F1D1C5-BBC6-4B5A-8329-4DB26B90EA98}"/>
    <cellStyle name="Normal 42 16" xfId="35253" xr:uid="{3352FF69-E7D4-4435-88BA-ACEF64FE90E3}"/>
    <cellStyle name="Normal 42 17" xfId="35254" xr:uid="{099DFA73-9F8D-402B-AC2C-E83A6636835D}"/>
    <cellStyle name="Normal 42 18" xfId="35255" xr:uid="{E60D329D-21BE-497D-A778-C2F1A0B55AF0}"/>
    <cellStyle name="Normal 42 2" xfId="35256" xr:uid="{468ADEDB-854E-45CE-A8D3-0AE848354C83}"/>
    <cellStyle name="Normal 42 3" xfId="35257" xr:uid="{FB886D3B-F9C7-4C90-8573-79C51B17F7F7}"/>
    <cellStyle name="Normal 42 4" xfId="35258" xr:uid="{1D496F22-9FB3-4D9B-AD9B-906189762EDB}"/>
    <cellStyle name="Normal 42 5" xfId="35259" xr:uid="{2AA4EF5E-AA8C-48CC-B378-BB55BB15E799}"/>
    <cellStyle name="Normal 42 6" xfId="35260" xr:uid="{D286527B-CD37-4DF7-B0F4-9973DB25BD5D}"/>
    <cellStyle name="Normal 42 7" xfId="35261" xr:uid="{6770E802-0448-47BA-97B0-C522C8139B1E}"/>
    <cellStyle name="Normal 42 8" xfId="35262" xr:uid="{3F86460C-262A-463D-80FF-6955183F24C4}"/>
    <cellStyle name="Normal 42 9" xfId="35263" xr:uid="{D08B30C0-DC88-40B8-86FF-47F958C08FE4}"/>
    <cellStyle name="Normal 43" xfId="35264" xr:uid="{B82F6BA3-1486-4F5D-8817-F3994ED9DFF3}"/>
    <cellStyle name="Normal 43 10" xfId="35265" xr:uid="{4D00D3BC-DD7C-444A-A4B0-B8770CB77922}"/>
    <cellStyle name="Normal 43 11" xfId="35266" xr:uid="{7CDC874B-9BA3-4884-A026-6ABE1333916D}"/>
    <cellStyle name="Normal 43 12" xfId="35267" xr:uid="{844E8D86-1141-41D5-A2D9-8CDC2B92F19A}"/>
    <cellStyle name="Normal 43 13" xfId="35268" xr:uid="{EBD940BD-AF71-450A-93E6-7155D9B8C6B2}"/>
    <cellStyle name="Normal 43 14" xfId="35269" xr:uid="{6764CC45-8904-4A82-99BE-067561E81678}"/>
    <cellStyle name="Normal 43 15" xfId="35270" xr:uid="{60314A13-AF76-46ED-B598-787342B3D5BF}"/>
    <cellStyle name="Normal 43 16" xfId="35271" xr:uid="{1903D4A2-3761-42EF-A185-5197C3C8B7A5}"/>
    <cellStyle name="Normal 43 17" xfId="35272" xr:uid="{EEE4CC0B-4B35-414F-84D2-BB64222B0457}"/>
    <cellStyle name="Normal 43 18" xfId="35273" xr:uid="{504296D2-15D0-4D37-BE67-4102EAE798D8}"/>
    <cellStyle name="Normal 43 2" xfId="35274" xr:uid="{14656484-03F1-40C2-A58D-E8A99EE20945}"/>
    <cellStyle name="Normal 43 3" xfId="35275" xr:uid="{8700CA4A-0168-4D67-BE28-A7A64EA24BF8}"/>
    <cellStyle name="Normal 43 4" xfId="35276" xr:uid="{7252FAB7-C786-4690-9417-0017B2430645}"/>
    <cellStyle name="Normal 43 5" xfId="35277" xr:uid="{BEC1E39B-460F-40F3-BB64-895BC77734C7}"/>
    <cellStyle name="Normal 43 6" xfId="35278" xr:uid="{AE607BD5-80CE-4C0F-9B0D-159D7F06AD96}"/>
    <cellStyle name="Normal 43 7" xfId="35279" xr:uid="{7E4B5A59-0C72-44C6-A241-2793760C69FD}"/>
    <cellStyle name="Normal 43 8" xfId="35280" xr:uid="{9B7486BD-BF3F-49A8-A275-4DA96729AE7B}"/>
    <cellStyle name="Normal 43 9" xfId="35281" xr:uid="{FC5548FA-A6F2-4932-AD7B-2CBC3C38E729}"/>
    <cellStyle name="Normal 44" xfId="35282" xr:uid="{1F3F7256-C2A3-4747-9485-B17C76C4ED48}"/>
    <cellStyle name="Normal 44 10" xfId="35283" xr:uid="{09286E47-37D3-454D-99C7-387F4D4C8A81}"/>
    <cellStyle name="Normal 44 2" xfId="35284" xr:uid="{8284E266-FBDF-4257-AF6F-2AFAF84CAB7F}"/>
    <cellStyle name="Normal 44 2 2" xfId="35285" xr:uid="{898A8463-408D-467A-AA9B-CBAFCFE19F0F}"/>
    <cellStyle name="Normal 44 2 3" xfId="35286" xr:uid="{6613F08F-0757-4F5C-B49C-98B7C5596DDD}"/>
    <cellStyle name="Normal 44 2 4" xfId="35287" xr:uid="{D9A18D7F-0260-4D7F-BCF9-2BFEFF1BCFF8}"/>
    <cellStyle name="Normal 44 2 5" xfId="35288" xr:uid="{E39B181A-D3D2-4DDF-91D9-3D84515F2CE7}"/>
    <cellStyle name="Normal 44 2 6" xfId="35289" xr:uid="{5F2D2B1F-6D36-4A69-82E6-14702A35EB5F}"/>
    <cellStyle name="Normal 44 2 7" xfId="35290" xr:uid="{1209627D-F007-4074-B529-DEC2FC92F047}"/>
    <cellStyle name="Normal 44 2 8" xfId="35291" xr:uid="{411AB68B-95E0-49D7-81FA-EF69B8A68256}"/>
    <cellStyle name="Normal 44 2 9" xfId="35292" xr:uid="{7A10BA2A-8D88-4730-A39D-D9A34E7F05AA}"/>
    <cellStyle name="Normal 44 3" xfId="35293" xr:uid="{A4A1EEA6-7A9A-4569-8C1E-5E5F0F5EAD44}"/>
    <cellStyle name="Normal 44 4" xfId="35294" xr:uid="{624778C1-7BF1-4FA9-9EEC-472A78B7C6D2}"/>
    <cellStyle name="Normal 44 5" xfId="35295" xr:uid="{B12C3849-DFC5-436A-A3BA-58524A555426}"/>
    <cellStyle name="Normal 44 6" xfId="35296" xr:uid="{BB214092-7EE7-4DEB-AFC7-6B44D6F659F6}"/>
    <cellStyle name="Normal 44 7" xfId="35297" xr:uid="{8E95A67E-53F6-4090-8746-0A31F8220D4C}"/>
    <cellStyle name="Normal 44 8" xfId="35298" xr:uid="{DFF6335A-F6C2-4BDE-81A3-2A2ECBD3300E}"/>
    <cellStyle name="Normal 44 9" xfId="35299" xr:uid="{76A6B47D-C878-47A8-A2F5-44007413C418}"/>
    <cellStyle name="Normal 45" xfId="35300" xr:uid="{64B40EDA-301F-41E7-B015-20765D1D0E30}"/>
    <cellStyle name="Normal 45 10" xfId="35301" xr:uid="{CABC933E-D04A-4FC4-9D85-2A20CBD65E6F}"/>
    <cellStyle name="Normal 45 2" xfId="35302" xr:uid="{07BE7917-E675-4993-A891-5344C91F2BD2}"/>
    <cellStyle name="Normal 45 3" xfId="35303" xr:uid="{0582299F-E0DF-44AF-B8C8-6BEB11BEC7AD}"/>
    <cellStyle name="Normal 45 4" xfId="35304" xr:uid="{9E57660E-9969-4626-A782-2784EC229F47}"/>
    <cellStyle name="Normal 45 5" xfId="35305" xr:uid="{509C0BEF-7B94-4DA6-9D0B-3EF46791EBB2}"/>
    <cellStyle name="Normal 45 6" xfId="35306" xr:uid="{CC29A144-678A-44A7-99D0-6545FD2E8C25}"/>
    <cellStyle name="Normal 45 7" xfId="35307" xr:uid="{57B79A78-B0C5-4E46-89B5-631BC5C67E75}"/>
    <cellStyle name="Normal 45 8" xfId="35308" xr:uid="{3375E0E6-1E40-4847-987C-CF2EB0128CA3}"/>
    <cellStyle name="Normal 45 9" xfId="35309" xr:uid="{EC63C5F2-9BEE-47B9-95DE-8681EDE87A59}"/>
    <cellStyle name="Normal 46" xfId="35310" xr:uid="{3DC21816-199C-41BB-8E20-AF0BAD01D62A}"/>
    <cellStyle name="Normal 46 10" xfId="35311" xr:uid="{75B58203-91C4-49EA-8F0F-98220F4C5053}"/>
    <cellStyle name="Normal 46 2" xfId="35312" xr:uid="{A06A56AF-E7DA-464F-8BA1-C8277F4EF99E}"/>
    <cellStyle name="Normal 46 3" xfId="35313" xr:uid="{5E3541C2-9CE6-46E6-9DAA-F8275BE7F74E}"/>
    <cellStyle name="Normal 46 4" xfId="35314" xr:uid="{E23DD6F7-C7D2-495D-A151-FCFD74321303}"/>
    <cellStyle name="Normal 46 5" xfId="35315" xr:uid="{838E7509-F426-49EB-950F-B5050F603AA5}"/>
    <cellStyle name="Normal 46 6" xfId="35316" xr:uid="{9B09D5B0-8B88-4AD7-919B-5A8502E5A38F}"/>
    <cellStyle name="Normal 46 7" xfId="35317" xr:uid="{59584D03-A6DA-4D88-AE38-70838657DC92}"/>
    <cellStyle name="Normal 46 8" xfId="35318" xr:uid="{5CC82DF3-5177-445E-9CB6-9380EE557A61}"/>
    <cellStyle name="Normal 46 9" xfId="35319" xr:uid="{5C911F3B-5B2C-4D3D-BCC3-7DFB90C15E8A}"/>
    <cellStyle name="Normal 47" xfId="35320" xr:uid="{ABBFF5F3-F28B-4FD4-B680-FF2B47052014}"/>
    <cellStyle name="Normal 47 10" xfId="35321" xr:uid="{A7C3B6F0-90B6-44B5-8FB4-C9CDA715FCA7}"/>
    <cellStyle name="Normal 47 2" xfId="35322" xr:uid="{0628D420-5EDD-47CB-A4CC-907DFA471EF3}"/>
    <cellStyle name="Normal 47 3" xfId="35323" xr:uid="{6ACFCBB9-25B2-4247-BAB2-3A3DD5568847}"/>
    <cellStyle name="Normal 47 4" xfId="35324" xr:uid="{70AB2358-88DE-43A3-B75D-790DFE0BAFF3}"/>
    <cellStyle name="Normal 47 5" xfId="35325" xr:uid="{5F48F13F-3E39-4043-92D3-AF432B087777}"/>
    <cellStyle name="Normal 47 6" xfId="35326" xr:uid="{D78B3E19-DCD1-4796-B9A5-C32E561BE75E}"/>
    <cellStyle name="Normal 47 7" xfId="35327" xr:uid="{087AD62F-B740-406D-A509-F9C135A821B7}"/>
    <cellStyle name="Normal 47 8" xfId="35328" xr:uid="{90994DCB-63B3-42C9-8833-74A3ED2865E9}"/>
    <cellStyle name="Normal 47 9" xfId="35329" xr:uid="{A700CD5D-736C-4DFF-8311-DD0DE2D80CC3}"/>
    <cellStyle name="Normal 48" xfId="35330" xr:uid="{3AA71B9C-B4DB-4025-A2CC-6897D6A68167}"/>
    <cellStyle name="Normal 48 10" xfId="35331" xr:uid="{97B05F8E-555C-436A-B5A0-DD447510753B}"/>
    <cellStyle name="Normal 48 2" xfId="35332" xr:uid="{30D23DE3-1400-4D5E-962C-EEDB654A3E97}"/>
    <cellStyle name="Normal 48 3" xfId="35333" xr:uid="{DF2B0524-F87D-4B40-B9BC-2ECF0639230E}"/>
    <cellStyle name="Normal 48 4" xfId="35334" xr:uid="{DFE6E43A-A088-4BD4-B113-62CC65BFB7D8}"/>
    <cellStyle name="Normal 48 5" xfId="35335" xr:uid="{A7D596F8-0F02-445F-8E0D-2CC2905998D3}"/>
    <cellStyle name="Normal 48 6" xfId="35336" xr:uid="{75D8F3BD-EE64-45F2-858C-CDBBDED9EA0F}"/>
    <cellStyle name="Normal 48 7" xfId="35337" xr:uid="{5E3592AA-1426-4D56-BE04-B48D89FF9212}"/>
    <cellStyle name="Normal 48 8" xfId="35338" xr:uid="{2FFAC68B-1099-4DFA-B6FA-F26029D568D7}"/>
    <cellStyle name="Normal 48 9" xfId="35339" xr:uid="{4623E50E-2A38-4BE9-B204-CDDD790EB675}"/>
    <cellStyle name="Normal 49" xfId="35340" xr:uid="{990232E3-D4C1-4B8A-A510-6A2206A9C55C}"/>
    <cellStyle name="Normal 49 10" xfId="35341" xr:uid="{D41FE0CA-FB6B-427F-AB07-E930DA21A50C}"/>
    <cellStyle name="Normal 49 11" xfId="35342" xr:uid="{102A1353-FA87-48A7-A721-91EB881E9AE1}"/>
    <cellStyle name="Normal 49 12" xfId="35343" xr:uid="{18F78D29-8C49-402D-B05C-82D673FFF50E}"/>
    <cellStyle name="Normal 49 2" xfId="35344" xr:uid="{24CE673A-0CAE-4C7B-A516-B439228FFAE6}"/>
    <cellStyle name="Normal 49 2 2" xfId="35345" xr:uid="{203BFEA9-FF64-48E4-9DD6-2813399ADF5C}"/>
    <cellStyle name="Normal 49 3" xfId="35346" xr:uid="{15249D93-143B-4016-82FD-7A1E63EF9A60}"/>
    <cellStyle name="Normal 49 3 2" xfId="35347" xr:uid="{34E44AD2-991C-4DCF-B33B-B7903891F375}"/>
    <cellStyle name="Normal 49 4" xfId="35348" xr:uid="{B42C776C-CB79-42CE-9DF9-6387D6616ACB}"/>
    <cellStyle name="Normal 49 4 2" xfId="35349" xr:uid="{AF233986-BA72-43CF-B879-AC06B0DDC42E}"/>
    <cellStyle name="Normal 49 5" xfId="35350" xr:uid="{B947207A-2864-48DA-A63E-39CEBE5E8596}"/>
    <cellStyle name="Normal 49 6" xfId="35351" xr:uid="{F73E3592-299C-4166-8BD1-E3E1F91E1B60}"/>
    <cellStyle name="Normal 49 7" xfId="35352" xr:uid="{D005E1B5-1F48-4A19-B13D-8B08C71CC59A}"/>
    <cellStyle name="Normal 49 8" xfId="35353" xr:uid="{06E8E3DA-B47D-409E-8DA0-5447E833C558}"/>
    <cellStyle name="Normal 49 9" xfId="35354" xr:uid="{5CDD58FE-4F92-4130-8728-E5610E3B3215}"/>
    <cellStyle name="Normal 5" xfId="7" xr:uid="{00000000-0005-0000-0000-00000A000000}"/>
    <cellStyle name="Normal 5 10" xfId="35356" xr:uid="{1982351E-0375-4A3B-BC28-758DD0966C61}"/>
    <cellStyle name="Normal 5 11" xfId="35357" xr:uid="{A77905BE-B1E2-40EA-95D1-0C37E6A106F0}"/>
    <cellStyle name="Normal 5 12" xfId="35358" xr:uid="{3DCED99C-18EF-4FD2-B984-B7D74542A04A}"/>
    <cellStyle name="Normal 5 13" xfId="35359" xr:uid="{1CEB30F9-D83B-42B8-847B-3289DDCA25B8}"/>
    <cellStyle name="Normal 5 14" xfId="35360" xr:uid="{5D7F1090-4402-4677-85EF-F2BC225AB623}"/>
    <cellStyle name="Normal 5 15" xfId="35361" xr:uid="{58DF8E5A-C102-4DA8-AFB6-56CA15334131}"/>
    <cellStyle name="Normal 5 16" xfId="35362" xr:uid="{7C6862BD-1F32-45A5-8A9E-56633022B421}"/>
    <cellStyle name="Normal 5 17" xfId="35363" xr:uid="{B6F2903A-306D-4976-9A75-D763550818F9}"/>
    <cellStyle name="Normal 5 18" xfId="35364" xr:uid="{DCA1EEB7-F5DE-4DDC-989B-C130A5750A35}"/>
    <cellStyle name="Normal 5 19" xfId="35365" xr:uid="{EA7A57EF-E0FD-4E57-9466-957EB786CC72}"/>
    <cellStyle name="Normal 5 2" xfId="35366" xr:uid="{FA97C3C9-091F-4F59-9506-48BA2F16885C}"/>
    <cellStyle name="Normal 5 2 2" xfId="35367" xr:uid="{A03C73BC-0D31-47DD-AD08-A7034358A0E0}"/>
    <cellStyle name="Normal 5 2 2 2" xfId="35368" xr:uid="{2DAF1AA7-434D-4672-802E-A6BCDD4B3EA8}"/>
    <cellStyle name="Normal 5 2 3" xfId="35369" xr:uid="{4558BF4A-2CE7-4D30-A143-9551FF615652}"/>
    <cellStyle name="Normal 5 2 3 2" xfId="35370" xr:uid="{69E1852A-2283-47F0-A086-5D51C6DF00F2}"/>
    <cellStyle name="Normal 5 2 4" xfId="35371" xr:uid="{BFC245C8-1EE9-422E-9AB2-C7FEF70D416C}"/>
    <cellStyle name="Normal 5 2 5" xfId="35372" xr:uid="{36915462-7A05-4EE2-A180-1C9D7EADFA12}"/>
    <cellStyle name="Normal 5 20" xfId="35373" xr:uid="{971B37B7-B0C7-4D0D-B229-1319A381EEA8}"/>
    <cellStyle name="Normal 5 21" xfId="35374" xr:uid="{18BB1E60-3E91-4D9D-A0CD-1629A771A598}"/>
    <cellStyle name="Normal 5 22" xfId="35375" xr:uid="{70C5DDC1-0FDC-436A-96FA-7259AE4678B1}"/>
    <cellStyle name="Normal 5 23" xfId="35376" xr:uid="{C4AB2DAE-AAC1-4DA9-A66E-F27805B349C3}"/>
    <cellStyle name="Normal 5 24" xfId="35377" xr:uid="{72061123-D244-4FC7-A33C-A70E7674D35D}"/>
    <cellStyle name="Normal 5 25" xfId="35378" xr:uid="{F9E8F908-CA5F-4B37-B1B7-FCFDDBB3142D}"/>
    <cellStyle name="Normal 5 26" xfId="35379" xr:uid="{A559B1BE-AFCB-44BF-A089-2495204A0CD0}"/>
    <cellStyle name="Normal 5 27" xfId="35380" xr:uid="{B473FCE6-760E-4CC4-9560-E807AFC6C045}"/>
    <cellStyle name="Normal 5 28" xfId="35381" xr:uid="{B0A2511B-4FE1-466A-8CE6-6A6D161AAD71}"/>
    <cellStyle name="Normal 5 29" xfId="35382" xr:uid="{2400947A-EEAA-49E3-B0CD-690D683DAA80}"/>
    <cellStyle name="Normal 5 3" xfId="35383" xr:uid="{5638D651-7FE1-44EE-BB4D-E4FAC9921813}"/>
    <cellStyle name="Normal 5 3 2" xfId="35384" xr:uid="{52ECCEFD-6286-44FD-AAB4-44276AAE8B61}"/>
    <cellStyle name="Normal 5 3 3" xfId="35385" xr:uid="{8255569D-B8AF-4809-ACC5-FE602BA45B4C}"/>
    <cellStyle name="Normal 5 3 4" xfId="35386" xr:uid="{2E08E767-4764-45DE-95F7-E3497D36FAA4}"/>
    <cellStyle name="Normal 5 30" xfId="35387" xr:uid="{AD726935-387E-44F1-BC17-A95D335E84D6}"/>
    <cellStyle name="Normal 5 31" xfId="35388" xr:uid="{32C703AE-C88E-44D9-A224-CAAFC7ABF29D}"/>
    <cellStyle name="Normal 5 32" xfId="35389" xr:uid="{72FF9012-DDED-4481-82A5-74FF95E0F095}"/>
    <cellStyle name="Normal 5 33" xfId="35390" xr:uid="{75A74508-EEEF-428E-ABCD-B314CD698018}"/>
    <cellStyle name="Normal 5 34" xfId="35391" xr:uid="{875F6937-2C98-43EA-9AAF-4F876D39342F}"/>
    <cellStyle name="Normal 5 35" xfId="35392" xr:uid="{997DE49F-B590-467E-8AFB-B240B95CDB1E}"/>
    <cellStyle name="Normal 5 36" xfId="35355" xr:uid="{F5A3B4FD-7BCA-4880-B627-58EA4F2A4544}"/>
    <cellStyle name="Normal 5 4" xfId="35393" xr:uid="{2AAEAE84-CA12-4E27-9C0A-B36C99BCC93E}"/>
    <cellStyle name="Normal 5 4 2" xfId="35394" xr:uid="{60D31523-CC02-4686-AFED-57A4D892DB39}"/>
    <cellStyle name="Normal 5 4 3" xfId="35395" xr:uid="{3F4632B5-E6FB-401D-92B5-CDD3B50321BA}"/>
    <cellStyle name="Normal 5 5" xfId="35396" xr:uid="{32BAC5A0-6C2A-4468-A9BC-F48D8043300B}"/>
    <cellStyle name="Normal 5 5 2" xfId="35397" xr:uid="{9A4C5A85-3C1D-408B-9163-C629A8E60918}"/>
    <cellStyle name="Normal 5 5 3" xfId="35398" xr:uid="{D93E6884-FB75-4116-81DD-C976DA95A60A}"/>
    <cellStyle name="Normal 5 6" xfId="35399" xr:uid="{AA65197D-B41D-40C5-907F-65F2E9756710}"/>
    <cellStyle name="Normal 5 6 2" xfId="35400" xr:uid="{2BA1997F-9E5F-48F7-9621-7FF7CD82D468}"/>
    <cellStyle name="Normal 5 6 3" xfId="35401" xr:uid="{861ED2DC-05D8-4D70-8A01-9CBAA0A8D138}"/>
    <cellStyle name="Normal 5 7" xfId="35402" xr:uid="{4255A834-8005-4406-8981-398105344483}"/>
    <cellStyle name="Normal 5 8" xfId="35403" xr:uid="{949C46AE-93C7-4604-A86D-7B67E8ECE4BD}"/>
    <cellStyle name="Normal 5 9" xfId="35404" xr:uid="{D4B0DF0D-9748-470C-879B-4B0D515B1E84}"/>
    <cellStyle name="Normal 5_April 17_Updated labor demand figures May 12 workshop" xfId="35405" xr:uid="{9EC2452F-5778-45CD-9640-215A416B50AC}"/>
    <cellStyle name="Normal 50" xfId="35406" xr:uid="{ED39FB49-B0D4-45A0-9846-E71754890025}"/>
    <cellStyle name="Normal 50 10" xfId="35407" xr:uid="{3E351447-E319-40FA-93D2-67BA5B8296E0}"/>
    <cellStyle name="Normal 50 2" xfId="35408" xr:uid="{00533498-79A5-46A5-B828-E675C88B1B25}"/>
    <cellStyle name="Normal 50 3" xfId="35409" xr:uid="{437EA4AE-E049-4806-B73C-23B995BB47DC}"/>
    <cellStyle name="Normal 50 4" xfId="35410" xr:uid="{2604AE2A-2421-4118-A84E-B6C9DC524BF3}"/>
    <cellStyle name="Normal 50 5" xfId="35411" xr:uid="{321179A0-A6F1-4D32-8F8B-D0BB5B4CAA8C}"/>
    <cellStyle name="Normal 50 6" xfId="35412" xr:uid="{B94784F5-167D-4996-A699-F0BB4B311084}"/>
    <cellStyle name="Normal 50 7" xfId="35413" xr:uid="{FE0A02FB-3030-4BD1-9949-5186FE9ED638}"/>
    <cellStyle name="Normal 50 8" xfId="35414" xr:uid="{5DA0B89F-3341-453A-B811-F8AB3E9D0A6B}"/>
    <cellStyle name="Normal 50 9" xfId="35415" xr:uid="{F99673D6-011F-4360-B3AD-A528504D3C73}"/>
    <cellStyle name="Normal 51" xfId="35416" xr:uid="{F366EC3A-2217-4E9A-B091-B93312B87D9C}"/>
    <cellStyle name="Normal 51 10" xfId="35417" xr:uid="{59D4EA74-AD28-411B-8BFF-DE5CB8CE70BA}"/>
    <cellStyle name="Normal 51 2" xfId="35418" xr:uid="{A8DC16A0-1157-425B-8EE3-F2F093CB84C8}"/>
    <cellStyle name="Normal 51 3" xfId="35419" xr:uid="{7F45BEA5-B515-4DDB-B4D4-3B117E231CB6}"/>
    <cellStyle name="Normal 51 4" xfId="35420" xr:uid="{76DED8C2-B2B6-4C32-929F-A8DE6B9219DF}"/>
    <cellStyle name="Normal 51 5" xfId="35421" xr:uid="{37B5632D-30A3-44CF-B492-143DC10C6276}"/>
    <cellStyle name="Normal 51 6" xfId="35422" xr:uid="{083079E4-E035-4CEF-80CE-9C121D946FBB}"/>
    <cellStyle name="Normal 51 7" xfId="35423" xr:uid="{6336C54E-52B0-42F1-A06B-30F0E25E6411}"/>
    <cellStyle name="Normal 51 8" xfId="35424" xr:uid="{7D5B2A6E-BC6E-4BAD-9EF6-57F0A90986C2}"/>
    <cellStyle name="Normal 51 9" xfId="35425" xr:uid="{A21FD37F-1714-49EE-9F68-32C783B511A2}"/>
    <cellStyle name="Normal 52" xfId="35426" xr:uid="{C35F36DC-1BE3-4D61-97A5-34D9C31CA66C}"/>
    <cellStyle name="Normal 52 2" xfId="35427" xr:uid="{8815A9F7-C25A-43B0-BF4B-776AA34AFE71}"/>
    <cellStyle name="Normal 53" xfId="35428" xr:uid="{D4F478D9-AF3F-4CA1-A96C-F5D35E0B9334}"/>
    <cellStyle name="Normal 53 2" xfId="35429" xr:uid="{FB65035C-6FAE-4453-9C52-0A0F910F07FA}"/>
    <cellStyle name="Normal 54" xfId="35430" xr:uid="{6D578364-9E12-42A4-AAAF-3C219E22A14C}"/>
    <cellStyle name="Normal 54 2" xfId="35431" xr:uid="{69BA7EDB-AE8C-469F-BAB7-6C9B6143B135}"/>
    <cellStyle name="Normal 55" xfId="35432" xr:uid="{F2BBD00A-7241-43D7-96D6-42B718F12A1D}"/>
    <cellStyle name="Normal 55 2" xfId="35433" xr:uid="{490A6C40-6876-4735-9358-EB6650EC9B8F}"/>
    <cellStyle name="Normal 56" xfId="35434" xr:uid="{EDC343E9-594C-48DE-9183-87EB7C5BE6AB}"/>
    <cellStyle name="Normal 56 2" xfId="35435" xr:uid="{E062ABFF-4D84-40DF-B995-F5E650095D33}"/>
    <cellStyle name="Normal 57" xfId="35436" xr:uid="{B1E62317-596D-4474-84DF-39B4DC35A340}"/>
    <cellStyle name="Normal 57 2" xfId="35437" xr:uid="{E262C6C1-3153-46B7-A7CF-0D7FBF52FB9D}"/>
    <cellStyle name="Normal 58" xfId="35438" xr:uid="{2CC2DD8E-634E-481B-8B47-00B621892998}"/>
    <cellStyle name="Normal 58 2" xfId="35439" xr:uid="{D604846D-231D-46BA-8B4D-A747DD1377A8}"/>
    <cellStyle name="Normal 59" xfId="35440" xr:uid="{07A51CC3-DBFD-48E2-86A7-5ADE99D16D41}"/>
    <cellStyle name="Normal 59 2" xfId="35441" xr:uid="{AA5BB73A-F199-405B-9249-82081570E588}"/>
    <cellStyle name="Normal 6" xfId="35442" xr:uid="{6F1B892E-95F2-4431-99D0-6411DD513F26}"/>
    <cellStyle name="Normal 6 10" xfId="35443" xr:uid="{538499C6-D0B2-4F8F-A06B-59F389D1ED78}"/>
    <cellStyle name="Normal 6 11" xfId="35444" xr:uid="{34E96CFC-7CA7-4D45-BC8B-44421D391AFD}"/>
    <cellStyle name="Normal 6 12" xfId="35445" xr:uid="{130AD647-2CB4-4A95-AB08-46571F4CA762}"/>
    <cellStyle name="Normal 6 13" xfId="35446" xr:uid="{F0823690-E865-4598-96BF-AFA123950A43}"/>
    <cellStyle name="Normal 6 14" xfId="35447" xr:uid="{CB9B25E2-BC24-4161-B3D2-31D79E00D2E9}"/>
    <cellStyle name="Normal 6 15" xfId="35448" xr:uid="{8FFD4F09-0BB8-46A6-9A66-17A399CD357B}"/>
    <cellStyle name="Normal 6 16" xfId="35449" xr:uid="{8B19A47A-44CC-4C28-B645-C5AAC376096B}"/>
    <cellStyle name="Normal 6 17" xfId="35450" xr:uid="{7F9BBE46-865F-4DBD-AD0D-0E42FAA5377D}"/>
    <cellStyle name="Normal 6 18" xfId="35451" xr:uid="{8B7DF5B4-3824-483B-9453-85D1556B92B5}"/>
    <cellStyle name="Normal 6 19" xfId="35452" xr:uid="{C0EE5C75-D7B2-4E3B-85A2-25743876D71D}"/>
    <cellStyle name="Normal 6 2" xfId="35453" xr:uid="{58CE377D-5700-4D80-95D2-CB13594B8A5A}"/>
    <cellStyle name="Normal 6 2 2" xfId="35454" xr:uid="{D31A08C0-3054-40FD-AF20-C8C43C512D70}"/>
    <cellStyle name="Normal 6 2 2 2" xfId="35455" xr:uid="{CAFC7C80-8C8C-4D2D-A214-3CDA5D5FE28C}"/>
    <cellStyle name="Normal 6 2 3" xfId="35456" xr:uid="{A1A921A4-9719-415A-9F6B-CC923D740367}"/>
    <cellStyle name="Normal 6 2 4" xfId="35457" xr:uid="{75CBF1F4-2BA3-42DD-9C24-CE8B91C261CC}"/>
    <cellStyle name="Normal 6 20" xfId="35458" xr:uid="{4A26695C-C7E9-43E3-9EA1-EAE7FB442B99}"/>
    <cellStyle name="Normal 6 21" xfId="35459" xr:uid="{9EBFFDFF-6A96-4BBC-861C-D18090B3A8C0}"/>
    <cellStyle name="Normal 6 22" xfId="35460" xr:uid="{09DD0596-AC7B-40C5-8E89-EA13D86BA48A}"/>
    <cellStyle name="Normal 6 23" xfId="35461" xr:uid="{E156095D-9396-4159-B75D-4E649948909A}"/>
    <cellStyle name="Normal 6 24" xfId="35462" xr:uid="{C0F55860-CC98-4E73-B7E5-2239E8A94358}"/>
    <cellStyle name="Normal 6 25" xfId="35463" xr:uid="{7E7FF43B-35DB-49B6-9CFE-ABEDC5C9512A}"/>
    <cellStyle name="Normal 6 26" xfId="35464" xr:uid="{A7A1F2DC-1650-475C-AB82-731DEF137A53}"/>
    <cellStyle name="Normal 6 27" xfId="35465" xr:uid="{9C610E92-9571-4561-9370-21DBD34C3369}"/>
    <cellStyle name="Normal 6 28" xfId="35466" xr:uid="{2A69080D-DA9C-4540-AC22-7CD6B6C021A6}"/>
    <cellStyle name="Normal 6 29" xfId="35467" xr:uid="{25F96E4F-8F9D-4B95-9172-E394E9655D25}"/>
    <cellStyle name="Normal 6 3" xfId="35468" xr:uid="{1CAB3756-7E87-41FB-8976-73FE5999F3C7}"/>
    <cellStyle name="Normal 6 3 2" xfId="35469" xr:uid="{0CD0E688-04AC-4491-945C-FD2F9D29FE48}"/>
    <cellStyle name="Normal 6 30" xfId="35470" xr:uid="{3BD9E1A4-206F-4221-8EDB-E4770BD0B1D8}"/>
    <cellStyle name="Normal 6 31" xfId="35471" xr:uid="{BBB9CEA5-E74E-4AB1-8CDF-D705F1AA2E84}"/>
    <cellStyle name="Normal 6 32" xfId="35472" xr:uid="{0C1970A5-4D19-49B9-A932-EA619BE9A26D}"/>
    <cellStyle name="Normal 6 33" xfId="35473" xr:uid="{8B296E27-91A2-4FCC-84A6-6D517B1D273D}"/>
    <cellStyle name="Normal 6 4" xfId="35474" xr:uid="{E8DC9A0A-4A8A-4CA9-B2E5-240C3CF5ED28}"/>
    <cellStyle name="Normal 6 4 2" xfId="35475" xr:uid="{A934F05B-BFEF-439A-AF8B-565B832F7C3D}"/>
    <cellStyle name="Normal 6 5" xfId="35476" xr:uid="{AE49A41C-BB9C-4B6B-880F-CCCF84E55EE9}"/>
    <cellStyle name="Normal 6 5 2" xfId="35477" xr:uid="{2661257A-53A6-4F86-9B67-8556DCF11BCB}"/>
    <cellStyle name="Normal 6 6" xfId="35478" xr:uid="{80E61EB8-48BC-439A-A5E8-768D1AC14FA5}"/>
    <cellStyle name="Normal 6 6 2" xfId="35479" xr:uid="{6C8E3179-4595-4345-B775-DC668C0008AC}"/>
    <cellStyle name="Normal 6 7" xfId="35480" xr:uid="{C922B2A3-F239-4CB0-95BD-02A70EC04B19}"/>
    <cellStyle name="Normal 6 8" xfId="35481" xr:uid="{256742E3-7205-457E-B80C-44BC5878A660}"/>
    <cellStyle name="Normal 6 9" xfId="35482" xr:uid="{4AC4255D-C914-4E55-96F1-037C5148BC8F}"/>
    <cellStyle name="Normal 6_April 17_Updated labor demand figures May 12 workshop" xfId="35483" xr:uid="{9C0A04CE-D9EA-4BC4-B9B5-70032B11E99C}"/>
    <cellStyle name="Normal 60" xfId="35484" xr:uid="{34F1DE84-2EB2-44B6-9871-71917DEFA78F}"/>
    <cellStyle name="Normal 60 2" xfId="35485" xr:uid="{4363FC39-8E2B-41E7-95E0-AB3173F485A5}"/>
    <cellStyle name="Normal 60 3" xfId="35486" xr:uid="{741BDAE5-91BB-47D6-B930-9BE14CBB3B27}"/>
    <cellStyle name="Normal 61" xfId="35487" xr:uid="{0FC1082A-22A3-4271-B8A1-0C0F37146AB0}"/>
    <cellStyle name="Normal 61 2" xfId="35488" xr:uid="{5E6DF823-F202-45F8-8864-5035FB2A2030}"/>
    <cellStyle name="Normal 61 2 2" xfId="35489" xr:uid="{B2C16D9A-946E-4F0E-BB85-519CEB3FAB0D}"/>
    <cellStyle name="Normal 61 3" xfId="35490" xr:uid="{C5FD1805-8BA5-4899-9EEC-4D5C8CBD37A6}"/>
    <cellStyle name="Normal 62" xfId="35491" xr:uid="{87F05EB8-F417-4EF1-80E7-2BEC82618959}"/>
    <cellStyle name="Normal 62 2" xfId="35492" xr:uid="{175EA979-02FF-4831-B9A0-5A584C47C71D}"/>
    <cellStyle name="Normal 62 3" xfId="35493" xr:uid="{FF102362-55B0-453A-8C2E-5D9956CCEEC1}"/>
    <cellStyle name="Normal 63" xfId="35494" xr:uid="{F020F3EF-6D8C-4F93-A721-2C3AD793540B}"/>
    <cellStyle name="Normal 63 2" xfId="35495" xr:uid="{E115D091-869B-4CF2-B0BA-DC94FBA40390}"/>
    <cellStyle name="Normal 64" xfId="35496" xr:uid="{6E653501-A5A8-4B6C-BF0A-4E35D16BBCFD}"/>
    <cellStyle name="Normal 65" xfId="35497" xr:uid="{E8767721-AE33-41EE-8455-91605FC3C627}"/>
    <cellStyle name="Normal 66" xfId="35498" xr:uid="{4C903597-BFEB-491C-939A-ADC430B8EBAA}"/>
    <cellStyle name="Normal 67" xfId="35499" xr:uid="{3B7B3E82-2169-4F4E-BF58-84C07683CAC9}"/>
    <cellStyle name="Normal 68" xfId="35500" xr:uid="{A40C7D2E-59B4-44A7-A094-6AD867C43FC8}"/>
    <cellStyle name="Normal 69" xfId="35501" xr:uid="{E95CE68D-0DF2-4734-9F4D-2C79E0C600A9}"/>
    <cellStyle name="Normal 7" xfId="35502" xr:uid="{7CFD0127-3634-4E54-A469-A681A4469FE1}"/>
    <cellStyle name="Normal 7 10" xfId="35503" xr:uid="{0F681F6D-D16F-4965-9DA5-D040ABA1A390}"/>
    <cellStyle name="Normal 7 11" xfId="35504" xr:uid="{5FF7D2A9-9AC3-4D41-92D3-93F586213AD5}"/>
    <cellStyle name="Normal 7 12" xfId="35505" xr:uid="{92AD7E68-4566-4B8E-845E-D42127B54F62}"/>
    <cellStyle name="Normal 7 13" xfId="35506" xr:uid="{787D6DEE-EBB1-419D-8549-1FCF5B5C2BCF}"/>
    <cellStyle name="Normal 7 14" xfId="35507" xr:uid="{EFB1E7A1-F054-4EBD-A77C-9633FA7FF0EE}"/>
    <cellStyle name="Normal 7 15" xfId="35508" xr:uid="{195711F0-B9AB-4A3E-8861-610C7A2E72D8}"/>
    <cellStyle name="Normal 7 16" xfId="35509" xr:uid="{6A9EF679-721A-4ECF-856A-CE96029EAFCC}"/>
    <cellStyle name="Normal 7 17" xfId="35510" xr:uid="{B2FBF0A8-5D8D-441C-B2E1-B21D062469EA}"/>
    <cellStyle name="Normal 7 18" xfId="35511" xr:uid="{D703D1BF-2B0C-47D0-9C33-4CEBE055F26F}"/>
    <cellStyle name="Normal 7 19" xfId="35512" xr:uid="{CE9BD152-51CA-4A66-A6DD-D52A22D18717}"/>
    <cellStyle name="Normal 7 2" xfId="35513" xr:uid="{D457DDD5-A375-4593-885C-6905CE4702D9}"/>
    <cellStyle name="Normal 7 2 2" xfId="35514" xr:uid="{F6BC127A-B04D-4BDF-B648-388BB1673F43}"/>
    <cellStyle name="Normal 7 20" xfId="35515" xr:uid="{A51D441E-CDF5-4D74-BD8F-A1B507451F8C}"/>
    <cellStyle name="Normal 7 21" xfId="35516" xr:uid="{E3120363-3F08-443B-92E7-D3EFCE06E779}"/>
    <cellStyle name="Normal 7 22" xfId="35517" xr:uid="{45612D29-4476-4C77-BADC-64CCB3A1B5C0}"/>
    <cellStyle name="Normal 7 23" xfId="35518" xr:uid="{1B7408D1-5145-419D-9B12-F36985ED84E7}"/>
    <cellStyle name="Normal 7 24" xfId="35519" xr:uid="{DD032FA8-17F9-4718-8338-F2793C12746F}"/>
    <cellStyle name="Normal 7 25" xfId="35520" xr:uid="{DFF7F41F-6186-4284-AC04-9F289318882B}"/>
    <cellStyle name="Normal 7 26" xfId="35521" xr:uid="{03D5EF88-350B-4934-902C-987C9C5B33B7}"/>
    <cellStyle name="Normal 7 27" xfId="35522" xr:uid="{B3EDBB91-5C6C-4CD1-A321-3E8C96DD3271}"/>
    <cellStyle name="Normal 7 28" xfId="35523" xr:uid="{DC76B652-6BAC-4372-B15D-03B18EDD8D52}"/>
    <cellStyle name="Normal 7 29" xfId="35524" xr:uid="{E8DCA3FE-BF95-42FE-B1AA-B92075E74D71}"/>
    <cellStyle name="Normal 7 3" xfId="35525" xr:uid="{1EDFDB29-6888-41B9-AF66-2F8BE56EB9DB}"/>
    <cellStyle name="Normal 7 30" xfId="35526" xr:uid="{4C40AAA1-D588-4C60-8412-F586532ECF1F}"/>
    <cellStyle name="Normal 7 31" xfId="35527" xr:uid="{254FB7B1-5E24-49B5-B3CD-92B8115DB33C}"/>
    <cellStyle name="Normal 7 32" xfId="35528" xr:uid="{FE1C027E-77C5-432B-AFC3-6841C06DDDD6}"/>
    <cellStyle name="Normal 7 33" xfId="35529" xr:uid="{46409FEE-4CF4-4E20-BDA8-B2EE6244EBC0}"/>
    <cellStyle name="Normal 7 34" xfId="35530" xr:uid="{3B13FC21-0443-49AC-B3F1-D0CCC3AFBE04}"/>
    <cellStyle name="Normal 7 4" xfId="35531" xr:uid="{6C19662E-A2A0-43F4-ADE2-FA1B5E96E29F}"/>
    <cellStyle name="Normal 7 5" xfId="35532" xr:uid="{0BE822D6-E5D0-422E-9905-1A06AEA6A30B}"/>
    <cellStyle name="Normal 7 6" xfId="35533" xr:uid="{52CBA158-C8DA-4200-A227-51FAF2E1A214}"/>
    <cellStyle name="Normal 7 7" xfId="35534" xr:uid="{9ACC8475-F006-4F4B-9F5E-8C4A05E2E2A3}"/>
    <cellStyle name="Normal 7 8" xfId="35535" xr:uid="{C79E0941-5B37-408E-930C-D27E4D138207}"/>
    <cellStyle name="Normal 7 9" xfId="35536" xr:uid="{92B281C8-3B4D-46A1-BF90-6099A2F3E764}"/>
    <cellStyle name="Normal 70" xfId="35537" xr:uid="{139B6617-0DE0-45CF-A6F2-31CBAEA06BCE}"/>
    <cellStyle name="Normal 70 10" xfId="35538" xr:uid="{862F8174-0D19-4AEC-8C28-98A1923E9E39}"/>
    <cellStyle name="Normal 70 11" xfId="35539" xr:uid="{31C0C6A1-A67A-4795-9645-B3B7BC6C4BF6}"/>
    <cellStyle name="Normal 70 12" xfId="35540" xr:uid="{BD83F513-57AE-4060-8B9B-A8A6475F0807}"/>
    <cellStyle name="Normal 70 13" xfId="35541" xr:uid="{BF26D28B-955A-4265-94C6-B3B887CCAD41}"/>
    <cellStyle name="Normal 70 14" xfId="35542" xr:uid="{FE62A3A4-9754-4967-8ECE-0F3EB490F97B}"/>
    <cellStyle name="Normal 70 15" xfId="35543" xr:uid="{07F2AAE1-1B38-4713-A4B7-9B4F7374FB41}"/>
    <cellStyle name="Normal 70 16" xfId="35544" xr:uid="{D8AB8BC8-F6E6-412C-B259-129D13AAC385}"/>
    <cellStyle name="Normal 70 17" xfId="35545" xr:uid="{8921C55B-541E-4C07-8A24-E1B63A60EA96}"/>
    <cellStyle name="Normal 70 18" xfId="35546" xr:uid="{CA9E5256-B654-401E-BC69-280FFB564274}"/>
    <cellStyle name="Normal 70 19" xfId="35547" xr:uid="{EA94BD2D-70E2-481C-88B7-A4436C14CF98}"/>
    <cellStyle name="Normal 70 2" xfId="35548" xr:uid="{C5AAE6D5-3953-4841-A0C8-124C150D369F}"/>
    <cellStyle name="Normal 70 20" xfId="35549" xr:uid="{9341A6BC-E14C-41D4-9FDC-A4199D0015B4}"/>
    <cellStyle name="Normal 70 21" xfId="35550" xr:uid="{4FCEE72B-EB2C-4DF6-A949-8221BB6731F5}"/>
    <cellStyle name="Normal 70 22" xfId="35551" xr:uid="{211FEDC2-F09B-43B5-8D15-9DFE0B7ECEC3}"/>
    <cellStyle name="Normal 70 3" xfId="35552" xr:uid="{A4781452-EF85-456E-B766-F6E2D97A1312}"/>
    <cellStyle name="Normal 70 4" xfId="35553" xr:uid="{8A85C51C-F47A-4487-B62A-E5243C371B20}"/>
    <cellStyle name="Normal 70 5" xfId="35554" xr:uid="{00C0CAFF-B6C3-4424-ABD6-660A6FD4A84C}"/>
    <cellStyle name="Normal 70 6" xfId="35555" xr:uid="{D62DF28E-910B-434B-9FCB-59297576A81E}"/>
    <cellStyle name="Normal 70 7" xfId="35556" xr:uid="{A489C78B-29B4-4B75-B4DA-0CE30FBF06D8}"/>
    <cellStyle name="Normal 70 8" xfId="35557" xr:uid="{7CBC5266-9860-4E7F-8342-27B95E520A1B}"/>
    <cellStyle name="Normal 70 9" xfId="35558" xr:uid="{A91D75FF-8DA3-4883-AFA1-14CCBC234622}"/>
    <cellStyle name="Normal 71" xfId="35559" xr:uid="{8F9D99A6-58E5-4D4E-8FD4-116ABA71AFD1}"/>
    <cellStyle name="Normal 71 10" xfId="35560" xr:uid="{7E3B97C2-5F1C-44FB-9F58-CAF61A86E853}"/>
    <cellStyle name="Normal 71 11" xfId="35561" xr:uid="{36DAA497-2FCC-47CB-ADF5-5E577D709076}"/>
    <cellStyle name="Normal 71 12" xfId="35562" xr:uid="{0D153CEC-2559-4E4A-9B00-55949BDA30E3}"/>
    <cellStyle name="Normal 71 13" xfId="35563" xr:uid="{6D14D13F-E52E-4F35-B027-3E3618C02CD7}"/>
    <cellStyle name="Normal 71 14" xfId="35564" xr:uid="{10DA2B91-BB34-4B0B-A247-E7759B45B32F}"/>
    <cellStyle name="Normal 71 15" xfId="35565" xr:uid="{1B03F72B-3459-4D86-BCA0-02C5DBD0DFC2}"/>
    <cellStyle name="Normal 71 16" xfId="35566" xr:uid="{4C1DED3A-5773-4B49-BF5F-F894CABC7A2C}"/>
    <cellStyle name="Normal 71 17" xfId="35567" xr:uid="{0EC80870-C2A9-4BE3-8BA6-87199CCA0B59}"/>
    <cellStyle name="Normal 71 18" xfId="35568" xr:uid="{D452C37C-A9DC-4901-B0B6-3CDC9DBBA4B4}"/>
    <cellStyle name="Normal 71 19" xfId="35569" xr:uid="{B8BD2B79-485B-428E-8FB2-944CD083732D}"/>
    <cellStyle name="Normal 71 2" xfId="35570" xr:uid="{F68D76D7-F945-4CD6-B267-577A70DD877C}"/>
    <cellStyle name="Normal 71 20" xfId="35571" xr:uid="{E9A7E002-F609-4FE6-9AE0-1BBB1BDB6220}"/>
    <cellStyle name="Normal 71 21" xfId="35572" xr:uid="{0DA6BFE1-23DE-455B-9FDC-2637FD7AB608}"/>
    <cellStyle name="Normal 71 22" xfId="35573" xr:uid="{438772B2-EDEC-465B-BE46-5DA273A3259C}"/>
    <cellStyle name="Normal 71 3" xfId="35574" xr:uid="{57A4FAC4-1524-42DA-8AA6-B8A4F11AE891}"/>
    <cellStyle name="Normal 71 4" xfId="35575" xr:uid="{34938D49-B8AB-4481-89C0-A5374BEF8C89}"/>
    <cellStyle name="Normal 71 5" xfId="35576" xr:uid="{43667312-B6CB-4805-A690-30BD14C92AC8}"/>
    <cellStyle name="Normal 71 6" xfId="35577" xr:uid="{46E866B1-856B-4F34-997D-5B7DA77AD688}"/>
    <cellStyle name="Normal 71 7" xfId="35578" xr:uid="{D521DB04-944D-4EE7-B3DA-6DBC7137F996}"/>
    <cellStyle name="Normal 71 8" xfId="35579" xr:uid="{EF0FD099-9061-4745-8094-9F213E09C37B}"/>
    <cellStyle name="Normal 71 9" xfId="35580" xr:uid="{08F4A280-B42B-4AA8-976B-2578E4577F26}"/>
    <cellStyle name="Normal 72" xfId="35581" xr:uid="{CE9F33C0-C503-4B14-921D-DEACA4EBE480}"/>
    <cellStyle name="Normal 73" xfId="35582" xr:uid="{7EB747BC-07D2-4CA2-8B31-BC13C4EEE275}"/>
    <cellStyle name="Normal 73 2" xfId="35583" xr:uid="{B394A6F3-0A45-46DA-8A5A-0C77F38579FB}"/>
    <cellStyle name="Normal 73 3" xfId="35584" xr:uid="{61B3B0E8-AA26-4D6B-85E2-4BAD3FF2133A}"/>
    <cellStyle name="Normal 73 4" xfId="35585" xr:uid="{C8A6A15C-F54E-4E77-AC1D-DF7A18814CDB}"/>
    <cellStyle name="Normal 74" xfId="35586" xr:uid="{07164829-B04F-4124-A42E-FB27FC1FAD49}"/>
    <cellStyle name="Normal 74 10" xfId="35587" xr:uid="{11233206-1674-49FC-820E-C3446DE8A672}"/>
    <cellStyle name="Normal 74 11" xfId="35588" xr:uid="{625ECF48-0A7C-48FC-957B-186835DE3AC1}"/>
    <cellStyle name="Normal 74 12" xfId="35589" xr:uid="{9C5B4A7B-27E8-42E6-ADFF-3A8E24303689}"/>
    <cellStyle name="Normal 74 13" xfId="35590" xr:uid="{DCAAE92A-5123-42D5-9ED8-B5031B87F952}"/>
    <cellStyle name="Normal 74 2" xfId="35591" xr:uid="{879FEDDD-57C8-4B93-A8E2-D13E4CE0432A}"/>
    <cellStyle name="Normal 74 3" xfId="35592" xr:uid="{C5271710-A0A6-4C99-A95D-23B4AE06842D}"/>
    <cellStyle name="Normal 74 4" xfId="35593" xr:uid="{E4A63641-79DF-48F2-983F-689174BE86C7}"/>
    <cellStyle name="Normal 74 5" xfId="35594" xr:uid="{5EB71DF6-A8C3-4C7B-A230-5CF78E697F51}"/>
    <cellStyle name="Normal 74 6" xfId="35595" xr:uid="{A61F878D-9D18-4B94-B7EC-8A6AE4FD4980}"/>
    <cellStyle name="Normal 74 7" xfId="35596" xr:uid="{9FBFC9EE-8E67-4385-81EF-D8D17EDAF799}"/>
    <cellStyle name="Normal 74 8" xfId="35597" xr:uid="{FE253DE6-808E-4663-B614-CA1225C6737D}"/>
    <cellStyle name="Normal 74 9" xfId="35598" xr:uid="{77B442C8-8A64-46E4-A17B-402F68AD7CA5}"/>
    <cellStyle name="Normal 75" xfId="35599" xr:uid="{77836D1E-3D08-4497-A917-56E18D0964EF}"/>
    <cellStyle name="Normal 75 10" xfId="35600" xr:uid="{CE3B8303-A95F-4E1C-BD83-8215EA8E2358}"/>
    <cellStyle name="Normal 75 11" xfId="35601" xr:uid="{EB60D14D-E62E-48D9-988B-2E8AA592570B}"/>
    <cellStyle name="Normal 75 12" xfId="35602" xr:uid="{D970E2EA-9DC8-467E-BC27-AAF5EA0ADA2A}"/>
    <cellStyle name="Normal 75 13" xfId="35603" xr:uid="{3028D76F-93B9-4E84-9FBF-F6AD842FBB6D}"/>
    <cellStyle name="Normal 75 2" xfId="35604" xr:uid="{E28201E1-9A97-4A14-AA55-BCDAF66D5386}"/>
    <cellStyle name="Normal 75 3" xfId="35605" xr:uid="{4A1B1CDC-3EB4-400F-8455-2363893DF805}"/>
    <cellStyle name="Normal 75 4" xfId="35606" xr:uid="{33864F4D-9A96-49C4-920D-CB29180AB7D6}"/>
    <cellStyle name="Normal 75 5" xfId="35607" xr:uid="{855EEAF5-2B2A-4ACE-9CE1-B0481D6B68F7}"/>
    <cellStyle name="Normal 75 6" xfId="35608" xr:uid="{ED2A149A-C121-401F-9266-09D8BEB07FDC}"/>
    <cellStyle name="Normal 75 7" xfId="35609" xr:uid="{72B3B72F-42A1-4A6B-A468-554113F2E2DF}"/>
    <cellStyle name="Normal 75 8" xfId="35610" xr:uid="{8C798FBA-7706-441F-B4A5-0D3509F8B98D}"/>
    <cellStyle name="Normal 75 9" xfId="35611" xr:uid="{81345A71-604C-4A0A-95D6-F2A8EB8CA6CA}"/>
    <cellStyle name="Normal 76" xfId="35612" xr:uid="{CF0271C5-7086-48DB-90E0-E884F0DC0C7B}"/>
    <cellStyle name="Normal 76 10" xfId="35613" xr:uid="{3C86CF1E-8E3C-41C3-9C21-9389AE3A9607}"/>
    <cellStyle name="Normal 76 11" xfId="35614" xr:uid="{C8EAE311-3CE8-4130-B276-FAEAA08A0AFA}"/>
    <cellStyle name="Normal 76 12" xfId="35615" xr:uid="{C144ABA3-ACBB-49EA-AD15-F96A9B49E292}"/>
    <cellStyle name="Normal 76 13" xfId="35616" xr:uid="{B46F3A84-F4AE-4B1B-B1D8-2F7AEC3FB8EC}"/>
    <cellStyle name="Normal 76 2" xfId="35617" xr:uid="{27191505-DB42-4D1F-9D76-DF352C93D074}"/>
    <cellStyle name="Normal 76 3" xfId="35618" xr:uid="{650C09D8-311F-4932-9095-D3F76F139D1A}"/>
    <cellStyle name="Normal 76 4" xfId="35619" xr:uid="{5FCBF23A-9166-4622-A214-CB32D0789309}"/>
    <cellStyle name="Normal 76 5" xfId="35620" xr:uid="{A0940BC5-92F5-4E9A-BFC2-2D7718F4BD86}"/>
    <cellStyle name="Normal 76 6" xfId="35621" xr:uid="{E2D624AA-386B-4371-B471-6C48894F33C4}"/>
    <cellStyle name="Normal 76 7" xfId="35622" xr:uid="{CFF7CCB8-9433-4ECB-8BEA-4B9B597FB5A9}"/>
    <cellStyle name="Normal 76 8" xfId="35623" xr:uid="{6CD44C14-D209-4545-9300-6E9F6638C120}"/>
    <cellStyle name="Normal 76 9" xfId="35624" xr:uid="{E87E2B6A-3135-4BC8-BCBD-FD815414CC05}"/>
    <cellStyle name="Normal 77" xfId="35625" xr:uid="{48C4536F-85DE-4888-9732-76B682FC5CFA}"/>
    <cellStyle name="Normal 77 10" xfId="35626" xr:uid="{B8D41754-410C-437A-8639-BE2AA90A1839}"/>
    <cellStyle name="Normal 77 11" xfId="35627" xr:uid="{55690EB4-48D4-49B0-B1FD-FB38939498BC}"/>
    <cellStyle name="Normal 77 12" xfId="35628" xr:uid="{49753323-0FC7-4E88-A74E-96EC85EDD71D}"/>
    <cellStyle name="Normal 77 13" xfId="35629" xr:uid="{4DDE4089-E139-4C10-89A7-4DA2EACD6F6D}"/>
    <cellStyle name="Normal 77 2" xfId="35630" xr:uid="{77DE43B5-C47C-41A2-A6AB-3CAAEFCFA537}"/>
    <cellStyle name="Normal 77 3" xfId="35631" xr:uid="{167F8A17-B00C-435F-B549-80DDBD1BC461}"/>
    <cellStyle name="Normal 77 4" xfId="35632" xr:uid="{1509D637-2EFA-4D8E-8098-19E25E9354D2}"/>
    <cellStyle name="Normal 77 5" xfId="35633" xr:uid="{E00C113A-BD0F-441B-BC33-39CA5123C86F}"/>
    <cellStyle name="Normal 77 6" xfId="35634" xr:uid="{233F389F-A17D-4F45-89CE-68EFFF53EAC3}"/>
    <cellStyle name="Normal 77 7" xfId="35635" xr:uid="{EF269566-C048-43DC-AF0D-9A1890613138}"/>
    <cellStyle name="Normal 77 8" xfId="35636" xr:uid="{75E5943F-E4D8-4540-B39A-BC28E4C6AA05}"/>
    <cellStyle name="Normal 77 9" xfId="35637" xr:uid="{C34A7BD1-87C1-4E90-B596-08FFF1893D11}"/>
    <cellStyle name="Normal 78" xfId="35638" xr:uid="{F1519996-2B5C-4256-A1AF-4F7EFD3791D5}"/>
    <cellStyle name="Normal 78 10" xfId="35639" xr:uid="{2A32DEFE-D9ED-4EB3-A948-72602EBF3231}"/>
    <cellStyle name="Normal 78 11" xfId="35640" xr:uid="{036FD1D4-D4F8-454B-A600-FC1911373BD4}"/>
    <cellStyle name="Normal 78 12" xfId="35641" xr:uid="{00554DFD-A7F4-4D07-B03C-CAA85D59BB1D}"/>
    <cellStyle name="Normal 78 13" xfId="35642" xr:uid="{97404C24-912D-4BFD-A26F-5EF7E608853D}"/>
    <cellStyle name="Normal 78 2" xfId="35643" xr:uid="{DB6CC041-02E0-4685-9936-7E9659AB2C23}"/>
    <cellStyle name="Normal 78 3" xfId="35644" xr:uid="{DC18D621-45EB-4EB6-A9CC-571AE6E0A054}"/>
    <cellStyle name="Normal 78 4" xfId="35645" xr:uid="{15004725-CDC6-4E0D-8462-7856C933B9BF}"/>
    <cellStyle name="Normal 78 5" xfId="35646" xr:uid="{91D3124A-3016-414E-9B29-63AEB3194A72}"/>
    <cellStyle name="Normal 78 6" xfId="35647" xr:uid="{DE6C9EBE-21B5-4C59-8BB7-1B406E8DD4AF}"/>
    <cellStyle name="Normal 78 7" xfId="35648" xr:uid="{B0C184DD-7FA9-4999-A1EC-DDBADC825C67}"/>
    <cellStyle name="Normal 78 8" xfId="35649" xr:uid="{1671049A-1E2A-42CC-9F44-51E8AD1E5EB8}"/>
    <cellStyle name="Normal 78 9" xfId="35650" xr:uid="{C538F0CD-EFBC-42F4-B94F-019133BD25B0}"/>
    <cellStyle name="Normal 79" xfId="35651" xr:uid="{23A3EA7B-2E76-4F58-9684-C1B435229673}"/>
    <cellStyle name="Normal 79 10" xfId="35652" xr:uid="{519958E6-FCE2-49E9-9CBC-0D87426C2023}"/>
    <cellStyle name="Normal 79 11" xfId="35653" xr:uid="{80C526EC-ADEE-4D49-A9AD-380E5B9588C9}"/>
    <cellStyle name="Normal 79 12" xfId="35654" xr:uid="{1A419301-6826-4256-9D06-F754E455DDAD}"/>
    <cellStyle name="Normal 79 13" xfId="35655" xr:uid="{29F13BE1-D892-49E9-9761-DB8CB8A64DCB}"/>
    <cellStyle name="Normal 79 2" xfId="35656" xr:uid="{FF3ABFDC-3845-466E-B4D6-A22125386A02}"/>
    <cellStyle name="Normal 79 3" xfId="35657" xr:uid="{8874A18E-ABE5-4D94-905E-2F696FB66705}"/>
    <cellStyle name="Normal 79 4" xfId="35658" xr:uid="{878249F1-9BD2-4F25-A7CA-DC770C069992}"/>
    <cellStyle name="Normal 79 5" xfId="35659" xr:uid="{96C08D37-FCF1-4E80-9338-684123BC6147}"/>
    <cellStyle name="Normal 79 6" xfId="35660" xr:uid="{C6C47F1A-34D7-4885-8C37-628CAD8B4C17}"/>
    <cellStyle name="Normal 79 7" xfId="35661" xr:uid="{29BD69F6-F8D3-4B29-B122-487DB1E5BF88}"/>
    <cellStyle name="Normal 79 8" xfId="35662" xr:uid="{DD200DC9-4D0D-4721-8BAA-B88E31C927B7}"/>
    <cellStyle name="Normal 79 9" xfId="35663" xr:uid="{6A753176-421B-4D4E-8DBF-7A64DD230B90}"/>
    <cellStyle name="Normal 8" xfId="35664" xr:uid="{3A539302-07E3-4BF9-9B97-6F058D76D73B}"/>
    <cellStyle name="Normal 8 10" xfId="35665" xr:uid="{C3FBF8A1-670A-4EFC-85F6-BEF26761279E}"/>
    <cellStyle name="Normal 8 11" xfId="35666" xr:uid="{C82CB729-5A23-4715-B4BF-96868F212B0B}"/>
    <cellStyle name="Normal 8 12" xfId="35667" xr:uid="{E95FF51D-38F6-45BC-BCD5-9CA2D68A62F4}"/>
    <cellStyle name="Normal 8 13" xfId="35668" xr:uid="{33486702-FA4A-439A-A02B-3B99249846F2}"/>
    <cellStyle name="Normal 8 14" xfId="35669" xr:uid="{3E6801F4-3DDB-4ADA-876F-D9B20E660EC4}"/>
    <cellStyle name="Normal 8 15" xfId="35670" xr:uid="{7F54BC9E-686E-4A0F-9A85-973F6826726D}"/>
    <cellStyle name="Normal 8 16" xfId="35671" xr:uid="{7DA004E8-4227-4EA4-8392-555F684AE034}"/>
    <cellStyle name="Normal 8 17" xfId="35672" xr:uid="{350CF1EE-9906-486F-A36A-5083A75990EE}"/>
    <cellStyle name="Normal 8 18" xfId="35673" xr:uid="{FFE53975-3204-4F00-9DC1-C3D7CA60D713}"/>
    <cellStyle name="Normal 8 19" xfId="35674" xr:uid="{D0FC73B0-FEC5-49E4-90E8-3A3325E4B80E}"/>
    <cellStyle name="Normal 8 2" xfId="35675" xr:uid="{2A3A9C19-355A-4AA4-B9F2-3DD49BFE3E69}"/>
    <cellStyle name="Normal 8 2 2" xfId="35676" xr:uid="{D94075DD-167D-453C-87F6-483692D22947}"/>
    <cellStyle name="Normal 8 2 3" xfId="35677" xr:uid="{52FE3EBB-59F7-47EF-855A-40CE12334924}"/>
    <cellStyle name="Normal 8 20" xfId="35678" xr:uid="{B20AC6A4-11CA-4352-8590-0DA30BB438B8}"/>
    <cellStyle name="Normal 8 21" xfId="35679" xr:uid="{31A709A2-1DE5-471C-A5CC-A06D3605B853}"/>
    <cellStyle name="Normal 8 22" xfId="35680" xr:uid="{06BBB026-74E7-472D-8969-FB85D8DE2D5A}"/>
    <cellStyle name="Normal 8 23" xfId="35681" xr:uid="{A8ED3DA5-CBCB-4DB3-BACF-4BED2C7D968D}"/>
    <cellStyle name="Normal 8 24" xfId="35682" xr:uid="{0C595556-E63B-4EE2-AF75-87CE510F4266}"/>
    <cellStyle name="Normal 8 25" xfId="35683" xr:uid="{FB9591C2-D70C-462F-A34D-913BF3E3ECFF}"/>
    <cellStyle name="Normal 8 26" xfId="35684" xr:uid="{E7E2C6F6-4420-47CF-8CD3-0E63A2CD2DD4}"/>
    <cellStyle name="Normal 8 27" xfId="35685" xr:uid="{F3CDB098-3B95-43A1-82C7-0DD438AE2FBB}"/>
    <cellStyle name="Normal 8 28" xfId="35686" xr:uid="{4ABDC319-CE16-4A5A-BDD8-5587FCEBD2B1}"/>
    <cellStyle name="Normal 8 29" xfId="35687" xr:uid="{0E7BF246-901D-4CF0-90B6-E77DB27C133F}"/>
    <cellStyle name="Normal 8 3" xfId="35688" xr:uid="{971E12FC-F190-45B4-973F-59B5D4168BFB}"/>
    <cellStyle name="Normal 8 30" xfId="35689" xr:uid="{61078C13-D826-4832-A97F-085F7C5F0BA6}"/>
    <cellStyle name="Normal 8 31" xfId="35690" xr:uid="{BFAAAEBC-D309-4083-B8FF-935A273CC90F}"/>
    <cellStyle name="Normal 8 32" xfId="35691" xr:uid="{DC50FBC7-CFBF-43F0-8AE3-455E6AFD4EC4}"/>
    <cellStyle name="Normal 8 33" xfId="35692" xr:uid="{148C3372-0C93-4A9E-B3CA-4F1CB1CEC7FA}"/>
    <cellStyle name="Normal 8 34" xfId="35693" xr:uid="{25710173-0EE0-4E8D-8E6F-05EFF7B73B68}"/>
    <cellStyle name="Normal 8 4" xfId="35694" xr:uid="{1E285D9F-2107-4C0B-A070-1B01F6389BA1}"/>
    <cellStyle name="Normal 8 5" xfId="35695" xr:uid="{99D2AEBB-DCFE-4A4F-BFED-EB64D4A3988C}"/>
    <cellStyle name="Normal 8 6" xfId="35696" xr:uid="{6DE7E8EB-56B4-414C-94CF-B0A6FCAB0316}"/>
    <cellStyle name="Normal 8 7" xfId="35697" xr:uid="{04CE005C-EB32-43A5-BDCE-025200FF77BB}"/>
    <cellStyle name="Normal 8 8" xfId="35698" xr:uid="{45390F1B-8DF9-4DA5-967A-671F1864ED9D}"/>
    <cellStyle name="Normal 8 9" xfId="35699" xr:uid="{B4EF0A3B-2CCE-4182-928E-4BEEE7C88478}"/>
    <cellStyle name="Normal 80" xfId="35700" xr:uid="{05C7E901-6ED3-402D-9021-C7578E2FE4F2}"/>
    <cellStyle name="Normal 80 10" xfId="35701" xr:uid="{BE372602-DF1D-4C59-A294-C7AB434BA675}"/>
    <cellStyle name="Normal 80 11" xfId="35702" xr:uid="{55146BB9-C69F-4D9E-808C-E28DC2B64114}"/>
    <cellStyle name="Normal 80 12" xfId="35703" xr:uid="{FCC4653D-84A3-4450-9F9E-84A7B7161A97}"/>
    <cellStyle name="Normal 80 13" xfId="35704" xr:uid="{D78B974D-B432-42CF-9F76-2E1887041CC1}"/>
    <cellStyle name="Normal 80 2" xfId="35705" xr:uid="{37084561-5567-4C99-B308-7217452645F7}"/>
    <cellStyle name="Normal 80 3" xfId="35706" xr:uid="{362F504B-7EBC-4E2B-8013-254819011C74}"/>
    <cellStyle name="Normal 80 4" xfId="35707" xr:uid="{898F9A8A-D23F-444E-8AF7-DC7E236E27C5}"/>
    <cellStyle name="Normal 80 5" xfId="35708" xr:uid="{FF71207B-D155-46EA-B5CC-B101672CB6A0}"/>
    <cellStyle name="Normal 80 6" xfId="35709" xr:uid="{A5F48ABC-3B7F-4A0D-9CC5-CD6C5D7C1AF8}"/>
    <cellStyle name="Normal 80 7" xfId="35710" xr:uid="{0561C320-BF05-4AA7-8EA6-1A1965931CCF}"/>
    <cellStyle name="Normal 80 8" xfId="35711" xr:uid="{8AEC2F10-50C5-4412-B2E0-9896819C91D6}"/>
    <cellStyle name="Normal 80 9" xfId="35712" xr:uid="{18839B06-DA9E-477D-A858-79D1A1C44223}"/>
    <cellStyle name="Normal 81" xfId="35713" xr:uid="{5EA9F957-178B-4F93-A9CA-F0E3A8F9991E}"/>
    <cellStyle name="Normal 81 2" xfId="35714" xr:uid="{D06CB339-ACC5-4FAF-A565-1CA105E996E7}"/>
    <cellStyle name="Normal 81 3" xfId="35715" xr:uid="{B23B2307-A5BA-4882-982A-60344C2BA793}"/>
    <cellStyle name="Normal 81 4" xfId="35716" xr:uid="{517224C0-6471-4878-A765-AFA175BAEDF2}"/>
    <cellStyle name="Normal 81 5" xfId="35717" xr:uid="{94FE5B86-9CE9-4B41-BD1E-A82ECA6790A5}"/>
    <cellStyle name="Normal 82" xfId="35718" xr:uid="{89EDE9B0-B944-451E-9877-3C51FFD0E39A}"/>
    <cellStyle name="Normal 82 2" xfId="35719" xr:uid="{35502751-ECD0-458C-9DE2-3CA44E018E19}"/>
    <cellStyle name="Normal 82 3" xfId="35720" xr:uid="{A7223EA2-3DE6-4AF7-B30C-C901CD6C52EF}"/>
    <cellStyle name="Normal 82 4" xfId="35721" xr:uid="{BD92B932-4DD8-4BE9-BEE4-42B7BC58906E}"/>
    <cellStyle name="Normal 82 5" xfId="35722" xr:uid="{81977D80-F3B4-4C3D-9D69-7D5525838D8F}"/>
    <cellStyle name="Normal 83" xfId="35723" xr:uid="{E2DF75B6-7D16-4135-B4CA-66CA140AF3FA}"/>
    <cellStyle name="Normal 83 2" xfId="35724" xr:uid="{62C929AE-3724-4B3A-8D48-CDA1CF2D8087}"/>
    <cellStyle name="Normal 83 3" xfId="35725" xr:uid="{B5829C20-B55E-4F4E-810F-2BC0766D66B3}"/>
    <cellStyle name="Normal 83 4" xfId="35726" xr:uid="{2AA8AADA-BAD8-45B8-B97F-B930C58DCEF1}"/>
    <cellStyle name="Normal 83 5" xfId="35727" xr:uid="{44BAF11D-CCD4-4B9C-B87B-4FF9D2800D83}"/>
    <cellStyle name="Normal 84" xfId="35728" xr:uid="{5735B5C5-9B62-4641-91DD-77DA845CBA77}"/>
    <cellStyle name="Normal 84 2" xfId="35729" xr:uid="{A817E7FD-9AFE-47A2-9FD4-3870821C1189}"/>
    <cellStyle name="Normal 84 3" xfId="35730" xr:uid="{ACE36532-94F4-4A38-A819-DF10501C61E1}"/>
    <cellStyle name="Normal 84 4" xfId="35731" xr:uid="{A8F1CA5A-ADA7-4B58-81CA-75E3A06448C2}"/>
    <cellStyle name="Normal 85" xfId="35732" xr:uid="{3D7A3D17-1136-4B00-B8BA-4B3930E6B3F1}"/>
    <cellStyle name="Normal 85 2" xfId="35733" xr:uid="{2EBFB842-3013-4C0E-A88B-93EBE69D6158}"/>
    <cellStyle name="Normal 85 3" xfId="35734" xr:uid="{DE20C8CD-DE2F-49C7-BCC6-1E849837A011}"/>
    <cellStyle name="Normal 85 4" xfId="35735" xr:uid="{AC904331-2244-4237-95A6-8E8E8D2ED957}"/>
    <cellStyle name="Normal 86" xfId="35736" xr:uid="{170E4AA6-38DB-4001-961A-17C2DB5B739A}"/>
    <cellStyle name="Normal 86 2" xfId="35737" xr:uid="{7A67438F-5257-40A4-AE1B-FBC6C8661370}"/>
    <cellStyle name="Normal 86 3" xfId="35738" xr:uid="{8513C13E-9062-4D81-B3CE-FCF268A65C1D}"/>
    <cellStyle name="Normal 86 4" xfId="35739" xr:uid="{B92B3246-0D47-45C8-AE7F-E2D273A47999}"/>
    <cellStyle name="Normal 87" xfId="35740" xr:uid="{DA3693CC-0B0F-44A5-98B6-180F4CBBAB5B}"/>
    <cellStyle name="Normal 87 2" xfId="35741" xr:uid="{C3D1C702-125F-4621-8022-571CC8CEFF6F}"/>
    <cellStyle name="Normal 87 3" xfId="35742" xr:uid="{C4869E7B-C206-4967-AAD7-44E50BFA7960}"/>
    <cellStyle name="Normal 87 4" xfId="35743" xr:uid="{054EC127-A6F4-4BFB-8023-E529129ED507}"/>
    <cellStyle name="Normal 88" xfId="35744" xr:uid="{04B40D07-FA35-4D51-8E03-38C05382F846}"/>
    <cellStyle name="Normal 88 2" xfId="35745" xr:uid="{5EA9102B-85E0-4FC8-BA7D-488E0367876A}"/>
    <cellStyle name="Normal 88 3" xfId="35746" xr:uid="{F5C77C79-2BDB-44F5-97A6-66FE838060EE}"/>
    <cellStyle name="Normal 88 4" xfId="35747" xr:uid="{FE9E95CF-0700-4C40-A333-F46D828BAD52}"/>
    <cellStyle name="Normal 89" xfId="35748" xr:uid="{BDE6C41E-F01B-40DD-8EBD-D5C930FBA3FE}"/>
    <cellStyle name="Normal 89 2" xfId="35749" xr:uid="{99155A59-C568-4C01-AF6B-DE57325FB32E}"/>
    <cellStyle name="Normal 89 3" xfId="35750" xr:uid="{DDAC5550-8FBE-4257-A231-B201D5E094DE}"/>
    <cellStyle name="Normal 89 4" xfId="35751" xr:uid="{A2A5B378-656E-4CF2-9E8B-EA0C991593B6}"/>
    <cellStyle name="Normal 9" xfId="35752" xr:uid="{1C91639D-D6BC-428A-AED5-40B9B8A09C0A}"/>
    <cellStyle name="Normal 9 10" xfId="35753" xr:uid="{B57A042D-3212-4130-90E7-E64871E45ED2}"/>
    <cellStyle name="Normal 9 11" xfId="35754" xr:uid="{B68FA78F-4981-4057-87B1-50F5F684A567}"/>
    <cellStyle name="Normal 9 12" xfId="35755" xr:uid="{B9DDCC8C-25D8-41D6-B211-23AAF5905C67}"/>
    <cellStyle name="Normal 9 13" xfId="35756" xr:uid="{C2E9CA2B-FFD0-406C-9D95-86DFE05806B9}"/>
    <cellStyle name="Normal 9 14" xfId="35757" xr:uid="{EB9DFBF6-B263-4155-9A00-776816A78B35}"/>
    <cellStyle name="Normal 9 15" xfId="35758" xr:uid="{96FFD40A-94EE-40BA-B073-D5BE80355108}"/>
    <cellStyle name="Normal 9 16" xfId="35759" xr:uid="{65F1E60E-76A6-441A-B969-1E2067BA45E9}"/>
    <cellStyle name="Normal 9 17" xfId="35760" xr:uid="{DD5E4495-C568-4944-9B85-993FD8FD1DDC}"/>
    <cellStyle name="Normal 9 18" xfId="35761" xr:uid="{D4E73C11-7566-440D-ADEE-DA686C18BD44}"/>
    <cellStyle name="Normal 9 19" xfId="35762" xr:uid="{5392C8A6-7891-4019-A107-5634A9C0D7EA}"/>
    <cellStyle name="Normal 9 2" xfId="35763" xr:uid="{EE39990C-833F-4199-B1EE-330B6F563B0B}"/>
    <cellStyle name="Normal 9 2 2" xfId="35764" xr:uid="{81BAC62D-E5DC-40F0-A37D-B85D1857DCBE}"/>
    <cellStyle name="Normal 9 2 3" xfId="35765" xr:uid="{A02C3EBD-810C-4A1E-82CB-DC08ACB40F70}"/>
    <cellStyle name="Normal 9 2 4" xfId="35766" xr:uid="{A72FD2CE-4584-4E80-96C3-F1D5BEC299DB}"/>
    <cellStyle name="Normal 9 20" xfId="35767" xr:uid="{B9EEDF6E-44ED-477E-A1E1-84B86D57AA68}"/>
    <cellStyle name="Normal 9 21" xfId="35768" xr:uid="{DD189FF3-6207-476A-A88C-30B8BA0D2DA5}"/>
    <cellStyle name="Normal 9 22" xfId="35769" xr:uid="{CD2652CB-255F-425E-AFDF-0428D7BB0A38}"/>
    <cellStyle name="Normal 9 23" xfId="35770" xr:uid="{F17B7EAA-7C2F-4A24-8621-8191634E4BE3}"/>
    <cellStyle name="Normal 9 24" xfId="35771" xr:uid="{C7555432-A70F-47C6-A293-CA1A797BC824}"/>
    <cellStyle name="Normal 9 25" xfId="35772" xr:uid="{60EAD52B-CEE4-44F6-A66F-05172FE11F82}"/>
    <cellStyle name="Normal 9 26" xfId="35773" xr:uid="{9F36022B-3700-46F7-BAE9-5F5C8F6183DE}"/>
    <cellStyle name="Normal 9 27" xfId="35774" xr:uid="{9163017F-717B-408C-AE5E-106364F1C3E0}"/>
    <cellStyle name="Normal 9 28" xfId="35775" xr:uid="{A59F00C2-FC39-4769-B569-4E3F5BF4D242}"/>
    <cellStyle name="Normal 9 29" xfId="35776" xr:uid="{230E7BCD-CFA5-4B12-8E65-1C40638A26D5}"/>
    <cellStyle name="Normal 9 3" xfId="35777" xr:uid="{17A41587-8130-4962-99BA-9E20C0C25F8A}"/>
    <cellStyle name="Normal 9 3 2" xfId="35778" xr:uid="{8A7CC8CB-A016-4B8A-9E0D-83ED23F36B11}"/>
    <cellStyle name="Normal 9 30" xfId="35779" xr:uid="{9F39B965-C578-4778-AB28-7772A3290E5A}"/>
    <cellStyle name="Normal 9 31" xfId="35780" xr:uid="{1721BFCA-A1F9-4258-BE73-10F84747FA11}"/>
    <cellStyle name="Normal 9 32" xfId="35781" xr:uid="{5C3CE41F-8F1C-49A6-BC2C-336E356B62DE}"/>
    <cellStyle name="Normal 9 33" xfId="35782" xr:uid="{1FE04155-5F02-4A58-BB20-99F253E5113E}"/>
    <cellStyle name="Normal 9 34" xfId="35783" xr:uid="{6C3C3999-FAA5-48C1-889B-EF224A69284D}"/>
    <cellStyle name="Normal 9 35" xfId="35784" xr:uid="{8EEEAC37-D805-4DB9-BC5D-84A12B21BA79}"/>
    <cellStyle name="Normal 9 4" xfId="35785" xr:uid="{19BCBCEA-7657-425A-8659-00A1BE21C2B2}"/>
    <cellStyle name="Normal 9 5" xfId="35786" xr:uid="{BAF04C60-7F50-4CB9-9BAE-0FB1D4976048}"/>
    <cellStyle name="Normal 9 6" xfId="35787" xr:uid="{958177ED-803D-4F58-BA97-1687FC8BD48C}"/>
    <cellStyle name="Normal 9 7" xfId="35788" xr:uid="{D8FADFAC-A512-4C8E-8ABC-A46698E92E4A}"/>
    <cellStyle name="Normal 9 8" xfId="35789" xr:uid="{AB3636BC-28B8-4ADB-A26E-93EE4186903E}"/>
    <cellStyle name="Normal 9 9" xfId="35790" xr:uid="{1DD71748-7CF8-4D62-B758-E9EDE428610A}"/>
    <cellStyle name="Normal 9_Ch4 v2" xfId="35791" xr:uid="{02146AFC-F0F8-4349-B7DF-3A8FF86688CB}"/>
    <cellStyle name="Normal 90" xfId="35792" xr:uid="{4D8087F4-2E7C-451F-9562-F9803590B23F}"/>
    <cellStyle name="Normal 91" xfId="35793" xr:uid="{A0A73CC5-9908-43BA-A11B-F6ED564FCBD9}"/>
    <cellStyle name="Normal 92" xfId="35794" xr:uid="{17DF956C-FCDA-4785-A28D-EFDD8F201F0B}"/>
    <cellStyle name="Normal 93" xfId="35795" xr:uid="{0668A5AF-0C07-40DB-A5C8-AD709613330A}"/>
    <cellStyle name="Normal 94" xfId="35796" xr:uid="{93346CF1-A2C8-4839-B539-228B5ADF258A}"/>
    <cellStyle name="Normal 95" xfId="35797" xr:uid="{A19CB600-395D-4F29-8C75-54BA04B29F57}"/>
    <cellStyle name="Normal 96" xfId="35798" xr:uid="{ABB5FF23-F326-4CB5-8401-C0171F7E5BBD}"/>
    <cellStyle name="Normal 97" xfId="35799" xr:uid="{02A69CC4-82E1-401F-9BBA-3655E7EF25CB}"/>
    <cellStyle name="Normal 98" xfId="35800" xr:uid="{77EAB467-0118-4257-BCAC-0BF66DC47B92}"/>
    <cellStyle name="Normal 99" xfId="35801" xr:uid="{4CA8444D-B735-4E2D-9309-043CDDFBC320}"/>
    <cellStyle name="Normal GHG Numbers (0.00)" xfId="35802" xr:uid="{9AC1D6DF-A7BC-4C4F-8C13-20A4ACE3AF37}"/>
    <cellStyle name="Normal GHG whole table" xfId="35803" xr:uid="{D83FA915-9E4F-4F68-8E05-7D3227A7FC3F}"/>
    <cellStyle name="Normal GHG-Shade" xfId="35804" xr:uid="{ED9DB704-C013-4FEA-B115-066D044FAF0A}"/>
    <cellStyle name="Normal GHG-Shade 2" xfId="35805" xr:uid="{466A0DD3-FC19-49CF-96D8-CB588CCA2C1F}"/>
    <cellStyle name="Normal GHG-Shade 3" xfId="35806" xr:uid="{819F1F3C-AC00-40F0-A90E-FCE1ED73C12D}"/>
    <cellStyle name="Normal millions" xfId="35807" xr:uid="{DDCA2BD5-ED52-4FBF-B6B6-955D88ABF72A}"/>
    <cellStyle name="Normal no decimal" xfId="35808" xr:uid="{84083A42-5DB8-466F-A7E0-2B681454AABA}"/>
    <cellStyle name="Normal thousands" xfId="35809" xr:uid="{08D89AF5-5B7E-49C0-9B04-BE556FBE8283}"/>
    <cellStyle name="Normal two decimals" xfId="35810" xr:uid="{CF29489D-B8BE-4F70-9953-F23F9D07CC73}"/>
    <cellStyle name="Normal_060216 External congestion costs tables" xfId="6" xr:uid="{00000000-0005-0000-0000-00000B000000}"/>
    <cellStyle name="Normal_ROADCONG" xfId="5" xr:uid="{00000000-0005-0000-0000-00000C000000}"/>
    <cellStyle name="Normale 2" xfId="35811" xr:uid="{CC16D85D-D2C1-4CA6-A36C-E871EE69080B}"/>
    <cellStyle name="Normale_Common_output_v10" xfId="35812" xr:uid="{AF119FC2-6A07-4E7D-87C4-2C52333AD1AB}"/>
    <cellStyle name="Nota" xfId="35813" xr:uid="{C901B325-AF07-4DA5-98E8-7F5C89193421}"/>
    <cellStyle name="Nota 2" xfId="35814" xr:uid="{67545377-CB8C-474D-9AF3-50B80014AFA2}"/>
    <cellStyle name="Nota 3" xfId="35815" xr:uid="{E296467F-BB6A-42F2-9460-F12D6AC4EB7D}"/>
    <cellStyle name="Nota 4" xfId="35816" xr:uid="{7012658D-8D58-41B0-BA08-E298D95FA4E4}"/>
    <cellStyle name="Note 10" xfId="35817" xr:uid="{83969D5D-7182-4F22-9181-53FABFA3D8AA}"/>
    <cellStyle name="Note 10 2" xfId="35818" xr:uid="{33F81774-5776-4E54-8092-B2EA94DE48C7}"/>
    <cellStyle name="Note 11" xfId="35819" xr:uid="{B8DD926D-0E37-479E-AAFC-CAE2AEBC1F4A}"/>
    <cellStyle name="Note 11 2" xfId="35820" xr:uid="{E30B1361-8FE3-4A58-90E4-C9FF725F8F95}"/>
    <cellStyle name="Note 12" xfId="35821" xr:uid="{CE9DA793-F75C-4376-BFD1-9BEA89C41AE7}"/>
    <cellStyle name="Note 12 2" xfId="35822" xr:uid="{33AF094A-7E62-4E4F-AADD-3D2FD6658FA2}"/>
    <cellStyle name="Note 13" xfId="35823" xr:uid="{4D54E578-3895-444A-91C9-A5A5A78D566C}"/>
    <cellStyle name="Note 13 2" xfId="35824" xr:uid="{A34DD798-9E54-4A57-8F60-5E691448EA5B}"/>
    <cellStyle name="Note 14" xfId="35825" xr:uid="{30B73C4F-1446-46EE-B320-06887ED83383}"/>
    <cellStyle name="Note 14 2" xfId="35826" xr:uid="{84F9A156-3355-4D5B-8E90-82A3A0DADE00}"/>
    <cellStyle name="Note 14 2 2" xfId="35827" xr:uid="{E8A408CD-E0F7-49F9-B414-7098DAAA9ACC}"/>
    <cellStyle name="Note 14 2 2 2" xfId="35828" xr:uid="{D2BD0C2E-4DA8-4176-8263-D5FD7E196397}"/>
    <cellStyle name="Note 14 2 3" xfId="35829" xr:uid="{7D1B4344-4F68-4461-AB46-41737DB3A7B7}"/>
    <cellStyle name="Note 14 2 4" xfId="35830" xr:uid="{C28AAB10-FACA-427C-B04F-F0F546F89F89}"/>
    <cellStyle name="Note 15" xfId="35831" xr:uid="{ACBD745C-6CBC-4953-9926-2A038CE15DA0}"/>
    <cellStyle name="Note 15 2" xfId="35832" xr:uid="{17167D99-3253-456A-9F20-1DE56882F70A}"/>
    <cellStyle name="Note 16" xfId="35833" xr:uid="{E95F37BF-0334-4748-8C6A-B3AE81CA8691}"/>
    <cellStyle name="Note 16 2" xfId="35834" xr:uid="{0A2EF412-5C92-4E3B-A6A1-6C6AEC85F1AA}"/>
    <cellStyle name="Note 17" xfId="35835" xr:uid="{F6DBD7C1-A17C-48F3-837A-A799D0480FB1}"/>
    <cellStyle name="Note 17 2" xfId="35836" xr:uid="{81BCEF2D-D6BE-4B2C-A72B-7DABFB1F3458}"/>
    <cellStyle name="Note 18" xfId="35837" xr:uid="{E098938D-A604-4E91-9622-8E53DE34F168}"/>
    <cellStyle name="Note 19" xfId="35838" xr:uid="{441191E8-56B2-4A56-8792-566B8395105B}"/>
    <cellStyle name="Note 2" xfId="35839" xr:uid="{CE13F0F2-F0D7-4AC1-A460-35F9121CED0F}"/>
    <cellStyle name="Note 2 10" xfId="35840" xr:uid="{75BCD59E-4FE0-4647-B713-F65834F0916C}"/>
    <cellStyle name="Note 2 11" xfId="35841" xr:uid="{C8B914E0-7B6C-4911-B4E1-158A8955B468}"/>
    <cellStyle name="Note 2 12" xfId="35842" xr:uid="{B18FBF19-09A4-4A76-A330-E5F1DC6EEFBE}"/>
    <cellStyle name="Note 2 13" xfId="35843" xr:uid="{118216D5-D568-4A2D-8FAF-7B2060DC10D7}"/>
    <cellStyle name="Note 2 14" xfId="35844" xr:uid="{36D55271-F956-442C-8484-2A3C50F12D14}"/>
    <cellStyle name="Note 2 2" xfId="35845" xr:uid="{5666B6FF-983B-4359-9528-1BBD1DF95442}"/>
    <cellStyle name="Note 2 2 2" xfId="35846" xr:uid="{E69A6B44-7F78-4D9F-8E01-45699C7C9E78}"/>
    <cellStyle name="Note 2 2 2 2" xfId="35847" xr:uid="{65F81866-AB03-4C3E-9367-16FD322ECF1F}"/>
    <cellStyle name="Note 2 2 2 2 2" xfId="35848" xr:uid="{7685F53E-1AFE-464E-81E5-313C3B2C3093}"/>
    <cellStyle name="Note 2 2 2 2 3" xfId="35849" xr:uid="{EB029431-CFFE-4FFE-9424-590A89E681BE}"/>
    <cellStyle name="Note 2 2 2 2 4" xfId="35850" xr:uid="{8D610503-A718-4BEC-A529-20788C812BC1}"/>
    <cellStyle name="Note 2 2 2 3" xfId="35851" xr:uid="{E58563BA-ECBD-4DCD-9E5D-254F3C778ECB}"/>
    <cellStyle name="Note 2 2 2 3 2" xfId="35852" xr:uid="{44ED8735-DF19-423C-B4F1-FEC4B980F6EC}"/>
    <cellStyle name="Note 2 2 2 3 3" xfId="35853" xr:uid="{FEAA561F-92A8-4E68-8A80-2D5AF3517453}"/>
    <cellStyle name="Note 2 2 2 3 4" xfId="35854" xr:uid="{ECE8D917-4075-4D9B-8977-70AE2AA7898E}"/>
    <cellStyle name="Note 2 2 2 4" xfId="35855" xr:uid="{4B16BCE5-57DD-40F7-B20F-36C0BA91C652}"/>
    <cellStyle name="Note 2 2 2 5" xfId="35856" xr:uid="{5E68C5D1-025B-48C5-B39F-84A2739FFAD0}"/>
    <cellStyle name="Note 2 2 2 6" xfId="35857" xr:uid="{B9763384-EA8E-409B-9DD5-E2A76E587AFA}"/>
    <cellStyle name="Note 2 2 3" xfId="35858" xr:uid="{5E5DD65F-7593-4D30-9181-13DCC2B26BB7}"/>
    <cellStyle name="Note 2 2 4" xfId="35859" xr:uid="{96B525BA-7F44-4D6E-98E7-03F2E54A6F19}"/>
    <cellStyle name="Note 2 2 5" xfId="35860" xr:uid="{D3270E08-41FC-4B09-A576-26D73F8223D2}"/>
    <cellStyle name="Note 2 2 6" xfId="35861" xr:uid="{2207B766-12D8-451F-8EAC-C4725B508D80}"/>
    <cellStyle name="Note 2 3" xfId="35862" xr:uid="{C891965F-8FA2-4985-B127-8A2EE90E10FF}"/>
    <cellStyle name="Note 2 3 2" xfId="35863" xr:uid="{C5ED5989-1B78-435D-977A-4FB62617B997}"/>
    <cellStyle name="Note 2 3 2 2" xfId="35864" xr:uid="{E00D1B42-ED13-4B4A-9D0F-93CC0C4A454A}"/>
    <cellStyle name="Note 2 3 2 3" xfId="35865" xr:uid="{F549E2D1-2D8D-4AB8-8BEB-B78A7321FC95}"/>
    <cellStyle name="Note 2 3 2 4" xfId="35866" xr:uid="{0ABF5F15-2B62-4B90-98DB-12BC4A7808DD}"/>
    <cellStyle name="Note 2 3 3" xfId="35867" xr:uid="{2C440841-0869-4F91-817D-E9A00004F697}"/>
    <cellStyle name="Note 2 3 3 2" xfId="35868" xr:uid="{3EC1E1DE-7289-4D24-B726-B084C2B24FEA}"/>
    <cellStyle name="Note 2 3 3 3" xfId="35869" xr:uid="{AF04AE78-14A5-4D1D-8B25-C7CF2E22C766}"/>
    <cellStyle name="Note 2 3 3 4" xfId="35870" xr:uid="{F3C3F49A-EB65-4328-9B62-E0180A0025EF}"/>
    <cellStyle name="Note 2 3 4" xfId="35871" xr:uid="{F487D88A-64C7-4B86-B8D6-A4350AF7B25A}"/>
    <cellStyle name="Note 2 3 5" xfId="35872" xr:uid="{2CBFFC98-6CA7-417A-AECA-1A09C25CEBE7}"/>
    <cellStyle name="Note 2 3 6" xfId="35873" xr:uid="{F42407ED-7544-4EF6-84B6-FA7ABA51D78A}"/>
    <cellStyle name="Note 2 4" xfId="35874" xr:uid="{8705AF5E-121B-4B4E-97EC-F1E2D0C0A78D}"/>
    <cellStyle name="Note 2 5" xfId="35875" xr:uid="{6B8F444C-34D9-4684-8222-B32656D6214E}"/>
    <cellStyle name="Note 2 6" xfId="35876" xr:uid="{484B243C-7779-412C-BDCC-2196CC8BBAF8}"/>
    <cellStyle name="Note 2 7" xfId="35877" xr:uid="{C12B7645-D502-4264-A8DB-7752E01BD2EA}"/>
    <cellStyle name="Note 2 8" xfId="35878" xr:uid="{9F333537-B68C-4872-AD91-41C6E9DDDC7A}"/>
    <cellStyle name="Note 2 9" xfId="35879" xr:uid="{A3C37850-07C1-4490-8F95-2E52FE988E4D}"/>
    <cellStyle name="Note 20" xfId="35880" xr:uid="{71E5C3CC-C921-424E-8EBD-D44027278F92}"/>
    <cellStyle name="Note 21" xfId="35881" xr:uid="{22D0EDEB-D666-4858-9F15-D2C875E093CB}"/>
    <cellStyle name="Note 22" xfId="35882" xr:uid="{8F196106-E170-405D-94A7-F6BC2CD5C3B6}"/>
    <cellStyle name="Note 23" xfId="35883" xr:uid="{4603959F-3F3F-48EE-9EAC-4289F3AB4425}"/>
    <cellStyle name="Note 24" xfId="35884" xr:uid="{449D6D71-4C5F-49CC-9D51-04A717F1658E}"/>
    <cellStyle name="Note 25" xfId="35885" xr:uid="{C0E91765-6412-4B82-B063-59532FBD95D2}"/>
    <cellStyle name="Note 26" xfId="35886" xr:uid="{E0BE1719-EA97-45E9-B86C-DFCC7BEAF34D}"/>
    <cellStyle name="Note 27" xfId="35887" xr:uid="{99237A23-303E-4760-9781-BE36FBDA616E}"/>
    <cellStyle name="Note 28" xfId="35888" xr:uid="{0B242C97-56E5-4182-8F49-52A123C5D2C0}"/>
    <cellStyle name="Note 29" xfId="35889" xr:uid="{DE6932AD-8194-4599-984A-F0E916A06EAA}"/>
    <cellStyle name="Note 3" xfId="35890" xr:uid="{93EB80F9-BB3A-4315-9CA3-EFCD886EC19F}"/>
    <cellStyle name="Note 3 10" xfId="35891" xr:uid="{DEB7E413-90B9-49C5-B37B-797DC042506F}"/>
    <cellStyle name="Note 3 2" xfId="35892" xr:uid="{1D1B7FD0-77E1-45B1-8E5B-25400042835A}"/>
    <cellStyle name="Note 3 2 2" xfId="35893" xr:uid="{7E8DB7D2-87C4-4CF6-B984-15ECB233CA88}"/>
    <cellStyle name="Note 3 2 3" xfId="35894" xr:uid="{87276A32-DD1F-4152-9102-46E77E92B756}"/>
    <cellStyle name="Note 3 2 4" xfId="35895" xr:uid="{8AC0E154-568B-4578-BD7B-859F8690455A}"/>
    <cellStyle name="Note 3 3" xfId="35896" xr:uid="{29231926-FCC2-43D5-A782-9F39A500C339}"/>
    <cellStyle name="Note 3 4" xfId="35897" xr:uid="{5C5187E9-945D-4887-B658-F58396D8A7CB}"/>
    <cellStyle name="Note 3 5" xfId="35898" xr:uid="{9FE93FC7-3ECE-4CA6-9802-7D40DB1BA6AB}"/>
    <cellStyle name="Note 3 6" xfId="35899" xr:uid="{471F5DE6-D3F0-4E86-ADD7-C07061C0EFDA}"/>
    <cellStyle name="Note 3 7" xfId="35900" xr:uid="{14D6F588-87FB-46C3-A95B-19DC6FF9BC3A}"/>
    <cellStyle name="Note 3 8" xfId="35901" xr:uid="{060CD98A-3D4D-46A3-B0B7-27E278828637}"/>
    <cellStyle name="Note 3 9" xfId="35902" xr:uid="{A5B2197E-AB79-4952-BDCD-D0B3CEEA69A0}"/>
    <cellStyle name="Note 30" xfId="35903" xr:uid="{1E6B8129-543A-4AC1-B9BF-BBE58ACC92D1}"/>
    <cellStyle name="Note 31" xfId="35904" xr:uid="{072057A0-23C5-45A5-8A8A-41E65687EFFB}"/>
    <cellStyle name="Note 32" xfId="35905" xr:uid="{EF59DC36-57D0-49F3-AF4E-81922A952DA3}"/>
    <cellStyle name="Note 33" xfId="35906" xr:uid="{033AE122-B0A1-4A99-81D0-5D14873803D6}"/>
    <cellStyle name="Note 34" xfId="35907" xr:uid="{9DB63809-04E4-4CBF-8D37-F896DCE086C7}"/>
    <cellStyle name="Note 35" xfId="35908" xr:uid="{0FE1EC49-E628-44D8-8C55-A007DEFBE459}"/>
    <cellStyle name="Note 35 2" xfId="35909" xr:uid="{10FA6A4C-6F6B-454E-9DA4-0BC0E327707D}"/>
    <cellStyle name="Note 35 2 2" xfId="35910" xr:uid="{848B6B58-E960-44EB-BBF7-97FD8D02630D}"/>
    <cellStyle name="Note 35 2 2 2" xfId="35911" xr:uid="{047920DB-D0E7-4647-93C8-6F444FB81FBD}"/>
    <cellStyle name="Note 35 3" xfId="35912" xr:uid="{A7D0F444-62AB-4471-9E91-ECFBAA760D74}"/>
    <cellStyle name="Note 35 4" xfId="35913" xr:uid="{F4BA2AA4-18A2-42E1-8310-6B0B303CD52C}"/>
    <cellStyle name="Note 36" xfId="35914" xr:uid="{48BB5C29-1AFB-44F1-B611-5A7DB7B6F725}"/>
    <cellStyle name="Note 37" xfId="35915" xr:uid="{201F4F97-E881-4D8A-8DF0-B42947DDEE39}"/>
    <cellStyle name="Note 38" xfId="35916" xr:uid="{E45F8C48-CA6C-4DED-B760-7C41B3B619B2}"/>
    <cellStyle name="Note 39" xfId="35917" xr:uid="{202DF5D3-510F-419F-9669-8AA0D3E44EBD}"/>
    <cellStyle name="Note 4" xfId="35918" xr:uid="{6D458A03-E277-4569-8942-9638C75F1BE0}"/>
    <cellStyle name="Note 4 2" xfId="35919" xr:uid="{3F97D82D-83E3-41B0-89C5-84C7B586552A}"/>
    <cellStyle name="Note 4 3" xfId="35920" xr:uid="{AA7ABD87-910C-4305-95D6-838364B57E94}"/>
    <cellStyle name="Note 4 4" xfId="35921" xr:uid="{C1C0AEAB-6613-4E4A-A58F-49CAFEF2A18D}"/>
    <cellStyle name="Note 4 5" xfId="35922" xr:uid="{4AAD0E9B-491D-42A1-95E7-80A39113E660}"/>
    <cellStyle name="Note 40" xfId="35923" xr:uid="{43E3EA5C-7301-4027-A69F-4E754ED6335E}"/>
    <cellStyle name="Note 41" xfId="35924" xr:uid="{07EF47DB-B2CB-4C60-908F-629A1F13DE3A}"/>
    <cellStyle name="Note 42" xfId="35925" xr:uid="{F619F86A-4FC0-4CFD-97B0-09750BA1C00E}"/>
    <cellStyle name="Note 43" xfId="35926" xr:uid="{CD6021E7-FCDD-4D84-8519-D25194D18FDD}"/>
    <cellStyle name="Note 44" xfId="35927" xr:uid="{80E7683B-4220-4D7B-A73D-4BBCB995E5FB}"/>
    <cellStyle name="Note 45" xfId="35928" xr:uid="{9B369972-1591-48D3-BAEF-245A0D9B33FC}"/>
    <cellStyle name="Note 46" xfId="35929" xr:uid="{44090B4E-DDDA-4ED3-8474-8F53CB1877D2}"/>
    <cellStyle name="Note 47" xfId="35930" xr:uid="{BFBFDC4E-7526-4020-8F6F-735B65C85ABD}"/>
    <cellStyle name="Note 48" xfId="35931" xr:uid="{53CD118F-1D8A-4AE3-AC82-8AC013743F0A}"/>
    <cellStyle name="Note 49" xfId="35932" xr:uid="{E4D651B8-E2A0-44F6-B41F-40BED4A42D7E}"/>
    <cellStyle name="Note 5" xfId="35933" xr:uid="{3BDB24A0-2BF7-43C3-AD73-E9FED15BF8BD}"/>
    <cellStyle name="Note 5 2" xfId="35934" xr:uid="{FC657056-22E0-4A65-BDAF-3A9F3E5123AB}"/>
    <cellStyle name="Note 50" xfId="35935" xr:uid="{C5FD463F-1016-4ED2-BE7E-E043B98D56A7}"/>
    <cellStyle name="Note 51" xfId="35936" xr:uid="{DAA57178-D792-476B-9019-2A1B88DC2BCC}"/>
    <cellStyle name="Note 52" xfId="35937" xr:uid="{F27B42CC-CDDC-441E-BB73-01CFE6322243}"/>
    <cellStyle name="Note 53" xfId="35938" xr:uid="{686E69AB-7CF7-42E6-8504-A9E8F082DFA3}"/>
    <cellStyle name="Note 54" xfId="35939" xr:uid="{4788BD36-9963-4405-966E-D17A1B11E1C3}"/>
    <cellStyle name="Note 55" xfId="35940" xr:uid="{9CCD63A1-B747-4D47-8285-39940D7281A2}"/>
    <cellStyle name="Note 56" xfId="35941" xr:uid="{A722A241-0D05-44A0-86EB-9C2F87B073F5}"/>
    <cellStyle name="Note 57" xfId="35942" xr:uid="{CB865EC3-CB1B-4EEC-A969-0C85BFE8AEB4}"/>
    <cellStyle name="Note 58" xfId="35943" xr:uid="{0F499666-7ECC-4721-BC45-96A1954A4ACA}"/>
    <cellStyle name="Note 59" xfId="35944" xr:uid="{CE01F980-4EFB-48EA-BAA2-87DC52FC18CA}"/>
    <cellStyle name="Note 6" xfId="35945" xr:uid="{EEC7877F-E1EC-4C33-B3D4-CB3BF14272A5}"/>
    <cellStyle name="Note 6 2" xfId="35946" xr:uid="{35C6E1F5-9B64-4D03-A7D0-E07E45362B83}"/>
    <cellStyle name="Note 60" xfId="35947" xr:uid="{0FEFC046-A14C-45FD-87F9-30FAFAD8B4D5}"/>
    <cellStyle name="Note 60 2" xfId="35948" xr:uid="{B22FC0BF-7AF0-4759-AD32-4C754CB47BD8}"/>
    <cellStyle name="Note 60 2 2" xfId="35949" xr:uid="{DDC37B97-8DB4-4514-8CCC-2EDAB6B08FAB}"/>
    <cellStyle name="Note 60 2 2 2" xfId="35950" xr:uid="{ACED2DEC-80D7-4228-AE1B-DAD7D1E0B396}"/>
    <cellStyle name="Note 60 2 3" xfId="35951" xr:uid="{75431EA4-6524-4E81-B4A8-D3C5BD628ED0}"/>
    <cellStyle name="Note 61" xfId="35952" xr:uid="{E748F52A-9869-4D00-985A-271CD67E2EAB}"/>
    <cellStyle name="Note 62" xfId="35953" xr:uid="{B8D2D76A-648E-4C12-8207-3EDD895244D7}"/>
    <cellStyle name="Note 63" xfId="35954" xr:uid="{9CCB9BD4-3529-400F-AD4F-418A56C19625}"/>
    <cellStyle name="Note 64" xfId="35955" xr:uid="{B689251D-1984-4841-A243-8C6E0EF65099}"/>
    <cellStyle name="Note 65" xfId="35956" xr:uid="{A33BEB27-C8A6-4E59-8F9D-E92B82874BCF}"/>
    <cellStyle name="Note 7" xfId="35957" xr:uid="{EAE2FC5E-E1E7-4368-9A1A-0C35D95B2341}"/>
    <cellStyle name="Note 7 2" xfId="35958" xr:uid="{89373288-8AEA-4DE7-B457-2AC5796168DF}"/>
    <cellStyle name="Note 8" xfId="35959" xr:uid="{411A7EAB-9A26-4655-B42A-A5880D7D4F7F}"/>
    <cellStyle name="Note 8 2" xfId="35960" xr:uid="{E8003E9B-4633-47DC-8EB3-CDCA2C40064C}"/>
    <cellStyle name="Note 9" xfId="35961" xr:uid="{1B9F8E12-8276-4065-85F8-2996D4EE74BC}"/>
    <cellStyle name="Note 9 2" xfId="35962" xr:uid="{5B1B08BA-CDE9-4C3D-9D72-3209DA378288}"/>
    <cellStyle name="notes" xfId="35963" xr:uid="{35AE5A65-5277-412D-A0C8-0643A20B622E}"/>
    <cellStyle name="Number" xfId="35964" xr:uid="{10F5979C-7B2C-44C0-9688-63A558B5B69A}"/>
    <cellStyle name="Number." xfId="35965" xr:uid="{16A6069D-AD6C-40A0-8ED4-AD2078726E68}"/>
    <cellStyle name="ofwhich" xfId="35966" xr:uid="{C260FC2F-A32C-4129-B0AB-E2BA3C131805}"/>
    <cellStyle name="One" xfId="35967" xr:uid="{EE1E86A4-831F-4A9E-BEE6-DD9750034C95}"/>
    <cellStyle name="One 2" xfId="35968" xr:uid="{F53148D5-EB81-4100-B634-99240BFA359F}"/>
    <cellStyle name="Option" xfId="35969" xr:uid="{92506102-BC4E-454E-9618-96B61BA35F59}"/>
    <cellStyle name="OptionHeading" xfId="35970" xr:uid="{F940A81A-2468-437B-BEDD-514F8D5722EF}"/>
    <cellStyle name="OptionHeading2" xfId="35971" xr:uid="{804883B3-16FB-4E68-A37F-3A480D600234}"/>
    <cellStyle name="Output 10" xfId="35972" xr:uid="{F322D04C-0B38-42E3-93A5-7A794D27E730}"/>
    <cellStyle name="Output 11" xfId="35973" xr:uid="{D48D72FF-CBEC-46EB-812C-4A0014707FE6}"/>
    <cellStyle name="Output 12" xfId="35974" xr:uid="{9FCDE7F5-1D4E-4894-A96D-BB23DB65832D}"/>
    <cellStyle name="Output 13" xfId="35975" xr:uid="{7DB3EA9E-9186-4DCA-952B-6F2AFC0A90F9}"/>
    <cellStyle name="Output 14" xfId="35976" xr:uid="{DCBB7D60-C8E7-4E11-9D45-6421EF632492}"/>
    <cellStyle name="Output 15" xfId="35977" xr:uid="{96CCB5AA-8DB9-48C1-B3C8-8CCDE8A032EC}"/>
    <cellStyle name="Output 16" xfId="35978" xr:uid="{ED05FFE4-AD7E-422A-9B98-9BBBC39F1438}"/>
    <cellStyle name="Output 17" xfId="35979" xr:uid="{BA16972B-FF5F-447B-B2B2-FA9B27933CBF}"/>
    <cellStyle name="Output 18" xfId="35980" xr:uid="{322404A3-9F4A-4CB7-A46F-DD658206CE92}"/>
    <cellStyle name="Output 19" xfId="35981" xr:uid="{639AC134-5825-4395-A42F-2BE3D492FD5E}"/>
    <cellStyle name="Output 2" xfId="35982" xr:uid="{ACBB9099-BBFD-4D6A-B53E-4EAF138533FC}"/>
    <cellStyle name="Output 2 10" xfId="35983" xr:uid="{41BC778C-40B7-4EA0-A68B-6D006D1EBD37}"/>
    <cellStyle name="Output 2 11" xfId="35984" xr:uid="{193DEB2C-A5D1-48C8-915A-F674210B01D4}"/>
    <cellStyle name="Output 2 12" xfId="35985" xr:uid="{AD57A9F5-A05E-4D7D-95AF-7D57D304EAE2}"/>
    <cellStyle name="Output 2 2" xfId="35986" xr:uid="{32D808F6-5EA8-4ADE-BB7D-F76FE4AD2948}"/>
    <cellStyle name="Output 2 2 2" xfId="35987" xr:uid="{057A0A3B-8696-48DA-90DD-F920FF51C0D6}"/>
    <cellStyle name="Output 2 2 2 2" xfId="35988" xr:uid="{107B60CB-7328-4A99-A2C1-1F40F2ACD497}"/>
    <cellStyle name="Output 2 2 2 2 2" xfId="35989" xr:uid="{DB719C1F-3F25-44F9-9B64-4459C296F518}"/>
    <cellStyle name="Output 2 2 2 2 3" xfId="35990" xr:uid="{762A42BC-C5B3-4BF1-8CE9-A4CFC7E80898}"/>
    <cellStyle name="Output 2 2 2 3" xfId="35991" xr:uid="{B3700C42-4ADB-4A11-A839-DE4528D70442}"/>
    <cellStyle name="Output 2 2 2 3 2" xfId="35992" xr:uid="{DB1CB384-FEAD-4D40-A2B1-5E30768CEF9B}"/>
    <cellStyle name="Output 2 2 2 3 3" xfId="35993" xr:uid="{249F08A2-43FD-4E41-9D63-1557DD897528}"/>
    <cellStyle name="Output 2 2 2 4" xfId="35994" xr:uid="{B9CF2FD1-5A3A-4311-940E-4BF35EFEEA75}"/>
    <cellStyle name="Output 2 2 2 5" xfId="35995" xr:uid="{04C4761F-7AA7-41A0-AC52-413499313FE8}"/>
    <cellStyle name="Output 2 2 3" xfId="35996" xr:uid="{C023F5E5-04FB-4660-BE92-CE54BCD0C3F8}"/>
    <cellStyle name="Output 2 2 4" xfId="35997" xr:uid="{CFEC288D-78F4-43B6-9F8F-ED23BE20CDEF}"/>
    <cellStyle name="Output 2 2 5" xfId="35998" xr:uid="{C504BF3D-8D21-4147-B39D-42A70BCA5B03}"/>
    <cellStyle name="Output 2 3" xfId="35999" xr:uid="{49515691-6539-4DB1-9AFC-565B76031D1F}"/>
    <cellStyle name="Output 2 3 2" xfId="36000" xr:uid="{8F984681-1357-433D-8240-0027664EDDDC}"/>
    <cellStyle name="Output 2 3 2 2" xfId="36001" xr:uid="{E85DD228-528B-4D3C-A66C-066D4C2CD6A0}"/>
    <cellStyle name="Output 2 3 2 3" xfId="36002" xr:uid="{111A1913-6C02-4137-AF47-6E13BFFA8A72}"/>
    <cellStyle name="Output 2 3 3" xfId="36003" xr:uid="{75BF7A9E-D904-4DC9-8804-2A7887A455C1}"/>
    <cellStyle name="Output 2 3 3 2" xfId="36004" xr:uid="{D4C04A44-8C53-4AD2-9255-0314FD1899DF}"/>
    <cellStyle name="Output 2 3 3 3" xfId="36005" xr:uid="{5987B584-5CAC-4FCF-A2A2-34CC58F3934F}"/>
    <cellStyle name="Output 2 3 4" xfId="36006" xr:uid="{53CF845E-A715-441D-AECB-4524B9769C4F}"/>
    <cellStyle name="Output 2 3 5" xfId="36007" xr:uid="{AD9884C0-1115-49E2-ABA3-C95930CEF0F9}"/>
    <cellStyle name="Output 2 4" xfId="36008" xr:uid="{DBA3B413-552E-4FB3-8650-7F250C08CFF3}"/>
    <cellStyle name="Output 2 5" xfId="36009" xr:uid="{94D83340-BD20-4FB7-B02C-7755C790FA5B}"/>
    <cellStyle name="Output 2 6" xfId="36010" xr:uid="{1B74EC7E-89EE-4245-9C37-687C144EFB49}"/>
    <cellStyle name="Output 2 7" xfId="36011" xr:uid="{FE8AFD07-19A5-4536-9355-15E925E1CE6B}"/>
    <cellStyle name="Output 2 8" xfId="36012" xr:uid="{533CCC04-E118-4557-BFB2-72EB9B831C22}"/>
    <cellStyle name="Output 2 9" xfId="36013" xr:uid="{CA38076B-7C07-4983-8353-8BFFBB302FC0}"/>
    <cellStyle name="Output 20" xfId="36014" xr:uid="{4D5BE32A-E0C5-4F58-91CE-A1CDD6FA9668}"/>
    <cellStyle name="Output 21" xfId="36015" xr:uid="{927DBEDD-4DB9-4926-A0DD-14B555EEFB3E}"/>
    <cellStyle name="Output 22" xfId="36016" xr:uid="{397DF907-4D6F-45B2-8CB8-EEE73EB81E77}"/>
    <cellStyle name="Output 23" xfId="36017" xr:uid="{3DDF1A06-49CA-4FE2-9BE2-C72D6112906F}"/>
    <cellStyle name="Output 24" xfId="36018" xr:uid="{3A440672-6B48-4460-9353-FC293EA1B0F4}"/>
    <cellStyle name="Output 25" xfId="36019" xr:uid="{6517CD53-4037-40DF-91A0-96FB6D902ABD}"/>
    <cellStyle name="Output 26" xfId="36020" xr:uid="{358681A5-883F-4850-B601-6A533EA03C41}"/>
    <cellStyle name="Output 27" xfId="36021" xr:uid="{87049577-DF20-49C0-9F6E-40A6D8168876}"/>
    <cellStyle name="Output 28" xfId="36022" xr:uid="{FDE62653-81FE-4DBB-9C78-AF19719649E3}"/>
    <cellStyle name="Output 29" xfId="36023" xr:uid="{05BFEEE4-00D1-45D1-899C-D6D44EDD7728}"/>
    <cellStyle name="Output 3" xfId="36024" xr:uid="{79DAB7B1-93C6-479C-8220-A408F74662CC}"/>
    <cellStyle name="Output 3 10" xfId="36025" xr:uid="{8C7D4797-679A-4969-86AD-072278541034}"/>
    <cellStyle name="Output 3 11" xfId="36026" xr:uid="{1EAE2DFF-BCB2-4447-A3BB-9C8E71AF63E1}"/>
    <cellStyle name="Output 3 2" xfId="36027" xr:uid="{4B73D10A-3036-4921-996E-5A9AFAC901C1}"/>
    <cellStyle name="Output 3 3" xfId="36028" xr:uid="{C4D73056-213B-4216-B66B-CE4E7C86188A}"/>
    <cellStyle name="Output 3 4" xfId="36029" xr:uid="{29D0602F-BE1F-408A-95B1-91EFFCE3AFF2}"/>
    <cellStyle name="Output 3 5" xfId="36030" xr:uid="{48AE1298-F63B-4028-BDCC-383DA7E1A0D6}"/>
    <cellStyle name="Output 3 6" xfId="36031" xr:uid="{5957906C-39BE-41FA-811C-55A57B41F6FF}"/>
    <cellStyle name="Output 3 7" xfId="36032" xr:uid="{CBB2E913-B5B6-405C-8C1D-97B9B66BCA5A}"/>
    <cellStyle name="Output 3 8" xfId="36033" xr:uid="{6AC64EC2-8144-4E1A-BFC9-3B4DD99106C5}"/>
    <cellStyle name="Output 3 9" xfId="36034" xr:uid="{B4840087-4E38-4B30-BC66-E900E5BFED98}"/>
    <cellStyle name="Output 30" xfId="36035" xr:uid="{428B9F9F-E8E5-4086-9161-D9D7627E6A46}"/>
    <cellStyle name="Output 31" xfId="36036" xr:uid="{5EE69ADA-4DB7-4313-AC06-4DAEB5B5DA56}"/>
    <cellStyle name="Output 32" xfId="36037" xr:uid="{A2E67163-FB9D-4DA3-A6C5-E61F1E5DE084}"/>
    <cellStyle name="Output 33" xfId="36038" xr:uid="{4BE90BAF-4476-463E-9F5B-609EA51798F6}"/>
    <cellStyle name="Output 34" xfId="36039" xr:uid="{9E1FEC55-75FA-4F05-9A36-4164281F6BFA}"/>
    <cellStyle name="Output 35" xfId="36040" xr:uid="{747D6AD3-DDEE-45FC-8157-01BEB069C136}"/>
    <cellStyle name="Output 35 2" xfId="36041" xr:uid="{3A079318-9429-4BAC-A7F0-D4FB004C9A30}"/>
    <cellStyle name="Output 35 2 2" xfId="36042" xr:uid="{C5B21ACC-18E5-429F-B34A-EB2C2833A38A}"/>
    <cellStyle name="Output 35 2 2 2" xfId="36043" xr:uid="{4B418597-1219-40A8-940D-2AFDA31ABC2C}"/>
    <cellStyle name="Output 35 3" xfId="36044" xr:uid="{E02EF770-FFD0-4DF2-B7B1-656136D54575}"/>
    <cellStyle name="Output 35 4" xfId="36045" xr:uid="{3E701389-E5C8-49C3-90FE-04AFA716B181}"/>
    <cellStyle name="Output 36" xfId="36046" xr:uid="{F6E49B53-3234-4497-AD38-C69E60654344}"/>
    <cellStyle name="Output 37" xfId="36047" xr:uid="{4D2F327E-9785-4FDA-833C-76DBD1390F7A}"/>
    <cellStyle name="Output 38" xfId="36048" xr:uid="{55AB7174-0A5A-4A6C-AF94-4CFC2A1EC599}"/>
    <cellStyle name="Output 39" xfId="36049" xr:uid="{C72F68AC-2DAF-4321-AFAC-958E4A3B6B10}"/>
    <cellStyle name="Output 4" xfId="36050" xr:uid="{0815C26E-9AA6-4B4A-BC5A-2BACAFEC59BB}"/>
    <cellStyle name="Output 4 2" xfId="36051" xr:uid="{024C3717-E0C9-4CE4-821D-C400F38F5668}"/>
    <cellStyle name="Output 4 3" xfId="36052" xr:uid="{C7CD9751-27DC-434E-A7D3-43FE3FB32380}"/>
    <cellStyle name="Output 4 4" xfId="36053" xr:uid="{1952BF52-6B68-4B54-B923-A23BB0872304}"/>
    <cellStyle name="Output 40" xfId="36054" xr:uid="{D30BBF16-950D-44F9-B417-1BD277B7E842}"/>
    <cellStyle name="Output 41" xfId="36055" xr:uid="{091B5711-6C43-4655-9EA6-983A01116541}"/>
    <cellStyle name="Output 42" xfId="36056" xr:uid="{EF234780-8754-49FC-84C7-7B388332187A}"/>
    <cellStyle name="Output 43" xfId="36057" xr:uid="{6AFF60B8-085B-439C-9AA9-D1C38C4B71F1}"/>
    <cellStyle name="Output 44" xfId="36058" xr:uid="{AB1FE88B-3D98-451E-8864-E6F09D7B3A7C}"/>
    <cellStyle name="Output 45" xfId="36059" xr:uid="{35E4CB3F-98EC-4B01-9785-676D12854EB1}"/>
    <cellStyle name="Output 46" xfId="36060" xr:uid="{5099237C-0187-41AA-81DA-45136AC02AAA}"/>
    <cellStyle name="Output 47" xfId="36061" xr:uid="{43E6EC97-1EE5-4348-BF33-3D352B66ADE6}"/>
    <cellStyle name="Output 48" xfId="36062" xr:uid="{ED57BB9F-0DE2-4E63-B64D-67971122F1CA}"/>
    <cellStyle name="Output 49" xfId="36063" xr:uid="{D726CDFE-411F-45D6-B304-DAA40836A9A5}"/>
    <cellStyle name="Output 5" xfId="36064" xr:uid="{83DC2A59-B408-44EE-821A-B6F272EEA00C}"/>
    <cellStyle name="Output 50" xfId="36065" xr:uid="{E51AA6A7-7E42-4818-9CF1-042BF982EB42}"/>
    <cellStyle name="Output 51" xfId="36066" xr:uid="{4B494275-1AE4-4C51-AB99-826152862787}"/>
    <cellStyle name="Output 52" xfId="36067" xr:uid="{782F341C-E679-4366-AC2A-1614984FCB12}"/>
    <cellStyle name="Output 53" xfId="36068" xr:uid="{77080A76-6272-4E51-AFF0-60405DC90567}"/>
    <cellStyle name="Output 54" xfId="36069" xr:uid="{69F413A3-CF60-46C6-842A-F94F2F1D87D6}"/>
    <cellStyle name="Output 55" xfId="36070" xr:uid="{066EA42A-BB1A-4298-83F1-6594F90D2825}"/>
    <cellStyle name="Output 56" xfId="36071" xr:uid="{FD2E21D7-5246-4B54-85C1-640393732367}"/>
    <cellStyle name="Output 57" xfId="36072" xr:uid="{647C5C24-B3AD-4508-A892-A12FA07C3682}"/>
    <cellStyle name="Output 58" xfId="36073" xr:uid="{CB3D106D-CD00-4F58-AA84-E2CD71C80154}"/>
    <cellStyle name="Output 59" xfId="36074" xr:uid="{F3F6A688-B455-4F14-A391-6C094BCCC03D}"/>
    <cellStyle name="Output 6" xfId="36075" xr:uid="{C143DD4C-5D7F-46D8-B7A0-DD2F25660D7C}"/>
    <cellStyle name="Output 60" xfId="36076" xr:uid="{B0BF25EA-AF81-46B7-94EC-29B2BDDC1A0C}"/>
    <cellStyle name="Output 60 2" xfId="36077" xr:uid="{69E1CBBE-48FB-4B10-9E6A-2915ED3AB1E3}"/>
    <cellStyle name="Output 60 2 2" xfId="36078" xr:uid="{905E398E-7BC9-46B1-BA4D-426D2B35BE31}"/>
    <cellStyle name="Output 60 2 2 2" xfId="36079" xr:uid="{A8372CCF-C859-4603-B0E0-5F1F1EED77E4}"/>
    <cellStyle name="Output 60 2 3" xfId="36080" xr:uid="{95827E0D-3F67-48B6-ACB9-C5429E1632D1}"/>
    <cellStyle name="Output 61" xfId="36081" xr:uid="{3B3BCD00-6AE2-45BE-8B86-00E1D8FFB0C6}"/>
    <cellStyle name="Output 62" xfId="36082" xr:uid="{D6BFCA2E-E774-4E4A-AA56-43C746085ADF}"/>
    <cellStyle name="Output 63" xfId="36083" xr:uid="{7BAFF0D6-1BD3-4F68-BA46-2C2B8517829F}"/>
    <cellStyle name="Output 64" xfId="36084" xr:uid="{F4D85097-4FAF-4E5E-89C7-4F7FA70B9691}"/>
    <cellStyle name="Output 65" xfId="36085" xr:uid="{35DAF89C-E997-4B67-A83A-554D1639DF4A}"/>
    <cellStyle name="Output 66" xfId="36086" xr:uid="{3D1143AE-E5FE-4EB4-A42A-8F6382AA9C15}"/>
    <cellStyle name="Output 7" xfId="36087" xr:uid="{B6DD92BF-3F80-444D-98AA-56947A18CEFF}"/>
    <cellStyle name="Output 8" xfId="36088" xr:uid="{EF3C3257-C4F8-4967-A5ED-EA1CA558CDA7}"/>
    <cellStyle name="Output 9" xfId="36089" xr:uid="{EF78AE90-37BD-4FFE-A107-42B74D5D5DD6}"/>
    <cellStyle name="Output Amounts" xfId="36090" xr:uid="{D8B25F41-7432-4AF0-AF85-D762B6C322D8}"/>
    <cellStyle name="Output Column Headings" xfId="36091" xr:uid="{747C0912-1CF5-4AAE-BC5C-310ADB1888BA}"/>
    <cellStyle name="Output Line Items" xfId="36092" xr:uid="{CD041C3F-5CAA-40AA-B9DD-183A5BE86D8F}"/>
    <cellStyle name="Output Report Heading" xfId="36093" xr:uid="{A9D4799D-A3D2-4C03-AFE6-6F79231C7451}"/>
    <cellStyle name="Output Report Title" xfId="36094" xr:uid="{4BD3040F-BC53-400A-8E7E-455D61B7E103}"/>
    <cellStyle name="OutputLbl_RP" xfId="36095" xr:uid="{9AF338AE-2724-48FD-966C-92B2414FFFCA}"/>
    <cellStyle name="P" xfId="36096" xr:uid="{9B7D68DC-8477-43FF-97C5-92EB90179F52}"/>
    <cellStyle name="P 2" xfId="36097" xr:uid="{AD3FD13B-751F-4AF2-ADEC-79F03D34E801}"/>
    <cellStyle name="P 2 2" xfId="36098" xr:uid="{D5CCEF54-32E7-4879-9DF9-560F70156F0B}"/>
    <cellStyle name="P 3" xfId="36099" xr:uid="{53714FBB-3F2E-4A2F-9E92-F9BDEF09D2FB}"/>
    <cellStyle name="Page Number" xfId="36100" xr:uid="{10FB4BDC-BB01-443F-985A-9B1FE4FF5325}"/>
    <cellStyle name="Pattern" xfId="36101" xr:uid="{B1CAD798-E1F7-489B-8C33-C29A42CB01C6}"/>
    <cellStyle name="Percent" xfId="1" builtinId="5"/>
    <cellStyle name="Percent [0]" xfId="36102" xr:uid="{AE756D63-3756-496A-90AA-D056C97C9A49}"/>
    <cellStyle name="Percent [0] 2" xfId="36103" xr:uid="{1AACACB0-17B4-4E6A-9A4C-5E757157EFCC}"/>
    <cellStyle name="Percent [1]" xfId="36104" xr:uid="{9461009D-AE2A-4F9E-A02D-9E8ED8893DEC}"/>
    <cellStyle name="Percent [1] 2" xfId="36105" xr:uid="{1B60514F-B934-495A-8D96-CF7C905EA3A4}"/>
    <cellStyle name="Percent [2]" xfId="36106" xr:uid="{B9807056-7AD6-4822-994D-D9F0D6648585}"/>
    <cellStyle name="Percent [2] 2" xfId="36107" xr:uid="{E8FD1443-65A8-49D0-8217-88BD4757B366}"/>
    <cellStyle name="Percent 10" xfId="36108" xr:uid="{250E3029-F053-4E91-9405-5C313F3AA087}"/>
    <cellStyle name="Percent 10 10" xfId="36109" xr:uid="{C5478376-11F9-4D49-AB26-E887939A009E}"/>
    <cellStyle name="Percent 10 11" xfId="36110" xr:uid="{F6FCD5AA-C79A-40E9-87FF-33BFE5E46F1E}"/>
    <cellStyle name="Percent 10 12" xfId="36111" xr:uid="{EFFAD403-B0A5-466F-BCD5-39DA7641DF26}"/>
    <cellStyle name="Percent 10 13" xfId="36112" xr:uid="{E9549EBB-0C6F-49ED-8B4E-CC7D350ED12B}"/>
    <cellStyle name="Percent 10 14" xfId="36113" xr:uid="{F1809CA9-9ECF-43E2-A5A3-9F95561B2928}"/>
    <cellStyle name="Percent 10 15" xfId="36114" xr:uid="{6993D546-2E52-4D11-A542-6D9D85CE695F}"/>
    <cellStyle name="Percent 10 16" xfId="36115" xr:uid="{7DD2C09B-EB22-438B-A5B2-9ACC1F1BBC40}"/>
    <cellStyle name="Percent 10 17" xfId="36116" xr:uid="{83DBE711-E4CD-4146-B8CB-EDE976825B74}"/>
    <cellStyle name="Percent 10 18" xfId="36117" xr:uid="{2890C79A-3D5B-4507-9F6F-55E5ED39EC13}"/>
    <cellStyle name="Percent 10 19" xfId="36118" xr:uid="{888EC8FB-F237-44E9-9956-C147A5025C59}"/>
    <cellStyle name="Percent 10 2" xfId="36119" xr:uid="{6124DD2E-7CD3-4EDA-A261-6BACBB75DAF0}"/>
    <cellStyle name="Percent 10 2 2" xfId="36120" xr:uid="{86CC2E91-2FA0-4641-861A-892EF777F397}"/>
    <cellStyle name="Percent 10 2 3" xfId="36121" xr:uid="{8FE87032-0ADC-4926-8172-07230CC98EBE}"/>
    <cellStyle name="Percent 10 20" xfId="36122" xr:uid="{65603927-2FBB-4AEF-846E-1A0EEFB8A89E}"/>
    <cellStyle name="Percent 10 21" xfId="36123" xr:uid="{6529DBFB-0932-489C-B83E-9887F9323ED0}"/>
    <cellStyle name="Percent 10 22" xfId="36124" xr:uid="{1450DF7B-70CA-4DA1-9956-19F00089C584}"/>
    <cellStyle name="Percent 10 23" xfId="36125" xr:uid="{C133E257-7351-4B90-A9AE-E4EF28609281}"/>
    <cellStyle name="Percent 10 24" xfId="36126" xr:uid="{1473DEF6-F220-4EB2-BF38-51C03925E94F}"/>
    <cellStyle name="Percent 10 3" xfId="36127" xr:uid="{676344AB-72E8-4CFA-A38C-2EB0A079717C}"/>
    <cellStyle name="Percent 10 3 2" xfId="36128" xr:uid="{2E49E99E-CFA1-412A-ACA0-35D5E525362C}"/>
    <cellStyle name="Percent 10 3 3" xfId="36129" xr:uid="{FF2342F0-5D83-471A-BEF5-B6D36662BAE0}"/>
    <cellStyle name="Percent 10 4" xfId="36130" xr:uid="{699A3EC0-1EF0-4AE7-BBD4-924B51DAF7AA}"/>
    <cellStyle name="Percent 10 5" xfId="36131" xr:uid="{5E19307E-ACC1-45C3-99D6-9F3EBA118222}"/>
    <cellStyle name="Percent 10 6" xfId="36132" xr:uid="{818A8CF5-6AD6-4CF2-8BCC-080932531EA2}"/>
    <cellStyle name="Percent 10 7" xfId="36133" xr:uid="{E6D484FF-49C1-4096-9237-C1079E712699}"/>
    <cellStyle name="Percent 10 8" xfId="36134" xr:uid="{2EF7C2DC-2D40-4F54-9052-DBD688544873}"/>
    <cellStyle name="Percent 10 9" xfId="36135" xr:uid="{4ED01E48-8D61-43BA-B642-554E76B647F7}"/>
    <cellStyle name="Percent 11" xfId="36136" xr:uid="{A64F49CD-FA43-4193-AC87-29CF15B23170}"/>
    <cellStyle name="Percent 12" xfId="36137" xr:uid="{FEA6C3ED-EA78-4391-B3C2-09C51293ABB1}"/>
    <cellStyle name="Percent 12 10" xfId="36138" xr:uid="{40BA8AAA-BB9B-4A3D-AE0A-C475BAE24D21}"/>
    <cellStyle name="Percent 12 11" xfId="36139" xr:uid="{AC7D4B07-DD57-4B87-A934-515E2AA22196}"/>
    <cellStyle name="Percent 12 12" xfId="36140" xr:uid="{F6A1BC52-4CFA-4817-8CCA-10AAC3F5A83D}"/>
    <cellStyle name="Percent 12 13" xfId="36141" xr:uid="{D4A6FF54-86CD-4BA0-B57C-5D8B5A32CE49}"/>
    <cellStyle name="Percent 12 14" xfId="36142" xr:uid="{250CE0DB-F36D-4D39-A19B-C4F3FEAE34CE}"/>
    <cellStyle name="Percent 12 15" xfId="36143" xr:uid="{E528AA9F-CAF9-4F6C-8ABD-38EEEDAE89F6}"/>
    <cellStyle name="Percent 12 16" xfId="36144" xr:uid="{7818E56E-4DA6-44E2-845F-9FCD43A6F881}"/>
    <cellStyle name="Percent 12 17" xfId="36145" xr:uid="{BD27F809-C92E-4FD3-815E-4EFAA696AD67}"/>
    <cellStyle name="Percent 12 18" xfId="36146" xr:uid="{8B8DD8AF-C880-44A5-8EC0-DB695004EBF0}"/>
    <cellStyle name="Percent 12 19" xfId="36147" xr:uid="{98878827-D182-4E45-8213-53CE2D5BD3BA}"/>
    <cellStyle name="Percent 12 2" xfId="36148" xr:uid="{8E5BCE6D-8B4C-491C-9746-599FB34B49C7}"/>
    <cellStyle name="Percent 12 3" xfId="36149" xr:uid="{0BA6E983-E653-4666-B2C2-21D5A9024DE9}"/>
    <cellStyle name="Percent 12 4" xfId="36150" xr:uid="{8893D446-C459-4606-9DDC-BB8976A578CD}"/>
    <cellStyle name="Percent 12 5" xfId="36151" xr:uid="{2E821E6C-6432-4895-9E10-61DAAC82180C}"/>
    <cellStyle name="Percent 12 6" xfId="36152" xr:uid="{45A95EA4-C01D-435B-899D-9C33013DADF3}"/>
    <cellStyle name="Percent 12 7" xfId="36153" xr:uid="{C8764F86-6654-41D0-AD73-B1F53CBD3AF1}"/>
    <cellStyle name="Percent 12 8" xfId="36154" xr:uid="{523B47F4-FF74-43A8-9C34-17D0B56F5601}"/>
    <cellStyle name="Percent 12 9" xfId="36155" xr:uid="{3876B79A-DFB0-4A74-B8C1-A3BBFD69B084}"/>
    <cellStyle name="Percent 13" xfId="36156" xr:uid="{2DE81DBB-81E9-4930-A715-343B6F8C9C63}"/>
    <cellStyle name="Percent 13 10" xfId="36157" xr:uid="{805B7F43-C8E7-4730-AB77-E5412BFE5C36}"/>
    <cellStyle name="Percent 13 11" xfId="36158" xr:uid="{08EE693E-496A-44D9-AF32-B9CCFB3A8B2E}"/>
    <cellStyle name="Percent 13 12" xfId="36159" xr:uid="{7609ED18-C26C-47D9-985A-F5380FAAC364}"/>
    <cellStyle name="Percent 13 13" xfId="36160" xr:uid="{9A1DD956-27DA-4C88-B27E-B33C70BFA353}"/>
    <cellStyle name="Percent 13 14" xfId="36161" xr:uid="{C5E348FE-EB86-406B-8883-DADEB14FD843}"/>
    <cellStyle name="Percent 13 15" xfId="36162" xr:uid="{F39C4E9E-B73C-42E8-A1AB-700B94A94F7E}"/>
    <cellStyle name="Percent 13 16" xfId="36163" xr:uid="{37A3B976-4E82-4F29-BC2F-CF01B189D12D}"/>
    <cellStyle name="Percent 13 17" xfId="36164" xr:uid="{1B2775D6-5E51-412C-B89F-F88D6AA44412}"/>
    <cellStyle name="Percent 13 18" xfId="36165" xr:uid="{9075786B-0B4B-44A8-BA36-B5B5F8B375D5}"/>
    <cellStyle name="Percent 13 19" xfId="36166" xr:uid="{5504BCD3-0789-4973-809A-E766995BC1E0}"/>
    <cellStyle name="Percent 13 2" xfId="36167" xr:uid="{62676AE3-CB8E-4552-846F-00437C41B11A}"/>
    <cellStyle name="Percent 13 20" xfId="36168" xr:uid="{93834601-1915-43C3-8D17-6EE57AA55F17}"/>
    <cellStyle name="Percent 13 21" xfId="36169" xr:uid="{50613DEA-FDE3-4A4E-BC82-AF8E308A8B14}"/>
    <cellStyle name="Percent 13 3" xfId="36170" xr:uid="{9DDBF952-CBBA-431E-8B15-5427E5D27811}"/>
    <cellStyle name="Percent 13 4" xfId="36171" xr:uid="{B9E9BCBC-ADFA-4F0B-9A87-DF7B1C633981}"/>
    <cellStyle name="Percent 13 5" xfId="36172" xr:uid="{04A7C294-612F-4231-96F2-65F97ACEB63F}"/>
    <cellStyle name="Percent 13 6" xfId="36173" xr:uid="{9D87D891-22A4-4658-AEF5-2717DBAF7E67}"/>
    <cellStyle name="Percent 13 7" xfId="36174" xr:uid="{F02AAC9A-2A40-4F19-A032-228E7FFFD037}"/>
    <cellStyle name="Percent 13 8" xfId="36175" xr:uid="{779C640C-D09B-4FEE-A60E-538746ACB66D}"/>
    <cellStyle name="Percent 13 9" xfId="36176" xr:uid="{7E3C15C7-7645-45FF-A26C-4760800D5F15}"/>
    <cellStyle name="Percent 14" xfId="36177" xr:uid="{15806267-1C84-4AA5-949E-D659F4EDF636}"/>
    <cellStyle name="Percent 15" xfId="36178" xr:uid="{1BEA8FD1-E66E-4075-8241-5E1C1E193F26}"/>
    <cellStyle name="Percent 16" xfId="36179" xr:uid="{B5788E69-46FE-4657-8D35-2A19E1652AB5}"/>
    <cellStyle name="Percent 16 10" xfId="36180" xr:uid="{A02EA988-DBC1-4943-9E2A-3CFE1F6757E7}"/>
    <cellStyle name="Percent 16 11" xfId="36181" xr:uid="{50F0FD33-A476-4D4D-AEA5-2D947506C54E}"/>
    <cellStyle name="Percent 16 12" xfId="36182" xr:uid="{08F00023-204C-4F25-A52C-9A5384975CF3}"/>
    <cellStyle name="Percent 16 13" xfId="36183" xr:uid="{40F47225-53E1-43D3-83B7-100AC9DBFDEE}"/>
    <cellStyle name="Percent 16 14" xfId="36184" xr:uid="{A5B67DF3-50A8-4B02-BFDA-A4C308A5A5EB}"/>
    <cellStyle name="Percent 16 15" xfId="36185" xr:uid="{78BE69DF-99AD-444E-B801-4319325EE0C4}"/>
    <cellStyle name="Percent 16 16" xfId="36186" xr:uid="{DBAF3C38-CBE3-41FB-8901-8C25BA23F58F}"/>
    <cellStyle name="Percent 16 17" xfId="36187" xr:uid="{5382795C-C0B1-4765-90EA-567379D9AD12}"/>
    <cellStyle name="Percent 16 18" xfId="36188" xr:uid="{8ABC64EF-4DCC-47E1-88C3-D4C29CF70417}"/>
    <cellStyle name="Percent 16 19" xfId="36189" xr:uid="{0C40F84C-A1D7-4284-8468-3681FE81B3EF}"/>
    <cellStyle name="Percent 16 2" xfId="36190" xr:uid="{3A1F1283-4A7F-46A8-B48A-6A7DCA4FF129}"/>
    <cellStyle name="Percent 16 3" xfId="36191" xr:uid="{4B82875B-C59C-4331-B478-F07A4145FB76}"/>
    <cellStyle name="Percent 16 4" xfId="36192" xr:uid="{CCCA8BBF-18A7-4761-B037-A1C5630AB6C7}"/>
    <cellStyle name="Percent 16 5" xfId="36193" xr:uid="{5272498A-0A26-4A0D-9358-023DC0B4DDA6}"/>
    <cellStyle name="Percent 16 6" xfId="36194" xr:uid="{E7132090-F8DA-420D-92B2-BCBE8DD78F55}"/>
    <cellStyle name="Percent 16 7" xfId="36195" xr:uid="{AB03F3DD-8FE0-4D06-9338-83297CCC484F}"/>
    <cellStyle name="Percent 16 8" xfId="36196" xr:uid="{617B98F5-BA5D-4561-ACF8-9CD2CE6C9442}"/>
    <cellStyle name="Percent 16 9" xfId="36197" xr:uid="{37AF066D-9236-44C1-918A-3ABB2842F5FF}"/>
    <cellStyle name="Percent 17" xfId="36198" xr:uid="{ADB6C8BA-155D-4F88-BC81-5F411CF316B9}"/>
    <cellStyle name="Percent 17 10" xfId="36199" xr:uid="{3CA578AB-FF2E-4022-AC01-C451EFBA1F0B}"/>
    <cellStyle name="Percent 17 2" xfId="36200" xr:uid="{8791A5E6-AD3C-486F-B0AD-F34C87187EE3}"/>
    <cellStyle name="Percent 17 3" xfId="36201" xr:uid="{95B559E9-A9F1-4A99-BC09-8D6AD4F8AC47}"/>
    <cellStyle name="Percent 17 4" xfId="36202" xr:uid="{68EF4038-B751-4BFA-8A9A-BADEA05B71BD}"/>
    <cellStyle name="Percent 17 5" xfId="36203" xr:uid="{007098C2-DCDE-4864-9EB8-74648E9207EB}"/>
    <cellStyle name="Percent 17 6" xfId="36204" xr:uid="{B3133F99-F767-40BA-B904-1DE14EE1F62A}"/>
    <cellStyle name="Percent 17 7" xfId="36205" xr:uid="{36FED680-C4EB-458A-BDB7-9BEC2C755853}"/>
    <cellStyle name="Percent 17 8" xfId="36206" xr:uid="{802179CB-7981-4D47-BE7E-4638802B3B0D}"/>
    <cellStyle name="Percent 17 9" xfId="36207" xr:uid="{B7138571-50E6-4419-BBE3-056E4A17C2F9}"/>
    <cellStyle name="Percent 18" xfId="36208" xr:uid="{A2AAB79D-CEAE-479F-9540-CBCF387F66AB}"/>
    <cellStyle name="Percent 19" xfId="36209" xr:uid="{41BC3761-2340-48BB-8855-D0C36C8E9D16}"/>
    <cellStyle name="Percent 2" xfId="13" xr:uid="{00000000-0005-0000-0000-00000E000000}"/>
    <cellStyle name="Percent 2 10" xfId="36210" xr:uid="{6A5DA73C-BA0B-4BD2-A7E2-806E79A8052A}"/>
    <cellStyle name="Percent 2 10 2" xfId="36211" xr:uid="{696DFF21-507D-411E-9552-C0E982A43AB4}"/>
    <cellStyle name="Percent 2 10 3" xfId="36212" xr:uid="{8B8DA2FB-8E81-4B48-89F6-14C380AFEB36}"/>
    <cellStyle name="Percent 2 10 3 2" xfId="36213" xr:uid="{2A5027A3-5CF2-4724-983B-620DF1516315}"/>
    <cellStyle name="Percent 2 11" xfId="36214" xr:uid="{E62B61F0-82C2-45BC-98AD-371A77BE0B82}"/>
    <cellStyle name="Percent 2 12" xfId="36215" xr:uid="{8ED5E7E0-8F73-46D7-9A8E-EA5CAB48AB66}"/>
    <cellStyle name="Percent 2 12 2" xfId="36216" xr:uid="{CEFEEBE7-6F15-4F7B-BB49-26B18BB209B3}"/>
    <cellStyle name="Percent 2 13" xfId="36217" xr:uid="{019B9C36-E023-4DA8-B604-486156274B71}"/>
    <cellStyle name="Percent 2 14" xfId="36218" xr:uid="{E0A42F90-E206-4124-A467-1812D738EDDF}"/>
    <cellStyle name="Percent 2 15" xfId="36219" xr:uid="{DE371047-9A2A-43D8-B66D-8EA013F74687}"/>
    <cellStyle name="Percent 2 16" xfId="36220" xr:uid="{CC02A8B1-B8BC-4CD6-883A-2BC98772A973}"/>
    <cellStyle name="Percent 2 17" xfId="36221" xr:uid="{1EA706C6-F809-49E5-A659-9C0523AF63C9}"/>
    <cellStyle name="Percent 2 18" xfId="36222" xr:uid="{DA6EAA9F-0911-42B7-9E4F-9652112020D3}"/>
    <cellStyle name="Percent 2 19" xfId="36223" xr:uid="{BA5F7E6E-F314-4C8F-91C2-D4C5214BA1B5}"/>
    <cellStyle name="Percent 2 2" xfId="36224" xr:uid="{2CF4CEE5-8926-485A-BA01-EBD30BC92E36}"/>
    <cellStyle name="Percent 2 2 2" xfId="36225" xr:uid="{1F0C501C-F541-4567-9A3A-8EA26B7F2C92}"/>
    <cellStyle name="Percent 2 2 2 2" xfId="36226" xr:uid="{C39FBF91-F196-4252-A55A-5D59760769A9}"/>
    <cellStyle name="Percent 2 2 2 3" xfId="36227" xr:uid="{A8F18133-4F07-4922-818F-9D6EFE03DAB0}"/>
    <cellStyle name="Percent 2 2 2 4" xfId="36228" xr:uid="{43EFE4D9-FC0C-4BA9-B801-79B925B484E6}"/>
    <cellStyle name="Percent 2 2 3" xfId="36229" xr:uid="{2E0E6651-0385-43E1-8922-C883D32241F8}"/>
    <cellStyle name="Percent 2 2 4" xfId="36230" xr:uid="{DBFDD676-2B11-4354-9CE5-A41091C0F50A}"/>
    <cellStyle name="Percent 2 2 5" xfId="36231" xr:uid="{DA0780A2-593C-4FC7-9ADA-F0FB52F33825}"/>
    <cellStyle name="Percent 2 2 6" xfId="36232" xr:uid="{5F483828-B195-48E4-A5D2-6BB89B6989B3}"/>
    <cellStyle name="Percent 2 2 7" xfId="36233" xr:uid="{DD75B7DC-3494-4F91-80FB-D521C4B7DEA8}"/>
    <cellStyle name="Percent 2 2 8" xfId="36234" xr:uid="{FC7FE06D-E212-4C68-B675-E96C80DC63E6}"/>
    <cellStyle name="Percent 2 2 9" xfId="36235" xr:uid="{105C5C27-28A1-424D-B1E2-2E1B17D734A8}"/>
    <cellStyle name="Percent 2 20" xfId="36236" xr:uid="{E3655DBB-80DA-4922-A1D2-7AADFF32AECF}"/>
    <cellStyle name="Percent 2 21" xfId="36237" xr:uid="{75DE80D5-9647-4310-8389-1C508CC359DD}"/>
    <cellStyle name="Percent 2 22" xfId="36238" xr:uid="{2680F6AE-52B6-45AC-98A4-5BFB5E6C2534}"/>
    <cellStyle name="Percent 2 23" xfId="36239" xr:uid="{8D676857-44A3-4F9B-9082-44D825B71E23}"/>
    <cellStyle name="Percent 2 24" xfId="36240" xr:uid="{6AAA51A4-D5D1-4A37-81B5-D2376F51F392}"/>
    <cellStyle name="Percent 2 25" xfId="36241" xr:uid="{840339C3-D47B-4B7B-BCE8-77531ADBB6CC}"/>
    <cellStyle name="Percent 2 26" xfId="36242" xr:uid="{E5196F39-B0EB-4271-925A-331CEC275E0A}"/>
    <cellStyle name="Percent 2 27" xfId="36243" xr:uid="{2F8D3B8B-E66D-4C31-B87F-1B9ADF4E6729}"/>
    <cellStyle name="Percent 2 28" xfId="36244" xr:uid="{9467EE74-79A3-48E2-B14A-6F7668379BD0}"/>
    <cellStyle name="Percent 2 29" xfId="36245" xr:uid="{799A1B6D-A87D-4ADD-8814-F88CC785FE99}"/>
    <cellStyle name="Percent 2 3" xfId="36246" xr:uid="{4758420D-3521-4D19-8DE4-CEA3D8184D80}"/>
    <cellStyle name="Percent 2 3 2" xfId="36247" xr:uid="{B981C101-67DA-4A71-B499-4A8EB4A62EEB}"/>
    <cellStyle name="Percent 2 3 3" xfId="36248" xr:uid="{A55A9D78-170B-477C-A483-58A2926552BF}"/>
    <cellStyle name="Percent 2 30" xfId="36249" xr:uid="{B8B538EE-C692-419D-A3AB-B7DD9A5D6F06}"/>
    <cellStyle name="Percent 2 31" xfId="36250" xr:uid="{776F9CFB-A174-4C76-BF53-2C77C1C4B0CC}"/>
    <cellStyle name="Percent 2 32" xfId="36251" xr:uid="{B4F0FA04-5D4B-4DA3-A97C-A27831FEE198}"/>
    <cellStyle name="Percent 2 33" xfId="36252" xr:uid="{834B5D6A-24F9-4C5E-A282-8C22F331A3DA}"/>
    <cellStyle name="Percent 2 34" xfId="36253" xr:uid="{368935B7-8EE0-4C16-B462-3480BE46E593}"/>
    <cellStyle name="Percent 2 35" xfId="36254" xr:uid="{86080525-50AE-42F1-B2BB-B94450DC3EAE}"/>
    <cellStyle name="Percent 2 36" xfId="36255" xr:uid="{B7794BEF-6AEA-481A-8328-F1FCEB1F47E5}"/>
    <cellStyle name="Percent 2 37" xfId="36256" xr:uid="{2AF63658-55C0-416D-AFF8-2D0104BEA13D}"/>
    <cellStyle name="Percent 2 38" xfId="36257" xr:uid="{4763E0CF-4710-4CED-B09A-25D51D523EF6}"/>
    <cellStyle name="Percent 2 38 2" xfId="36258" xr:uid="{95CEB5BF-F7BC-4E70-9DA5-4F2B61030F29}"/>
    <cellStyle name="Percent 2 38 2 2" xfId="36259" xr:uid="{A3D256C8-9ED0-4EB7-A86F-5C47ADD75CB6}"/>
    <cellStyle name="Percent 2 38 2 2 2" xfId="36260" xr:uid="{45BDA7FB-8B5B-4E3D-BF84-03031438D27E}"/>
    <cellStyle name="Percent 2 38 3" xfId="36261" xr:uid="{CFF59A61-BA10-4ACD-AA7A-237CBF5C5E64}"/>
    <cellStyle name="Percent 2 39" xfId="36262" xr:uid="{8F847C07-AB97-4234-AB16-C73298DCEE54}"/>
    <cellStyle name="Percent 2 4" xfId="36263" xr:uid="{EBA32D97-09C3-46D7-B0C8-A2D3C38158EF}"/>
    <cellStyle name="Percent 2 4 2" xfId="36264" xr:uid="{C085DA5A-0235-4064-B9B7-E084665CF1BC}"/>
    <cellStyle name="Percent 2 4 3" xfId="36265" xr:uid="{C0F107C0-3CD8-40B5-A309-E15E0FC87B35}"/>
    <cellStyle name="Percent 2 40" xfId="36266" xr:uid="{A2BFC9FB-16E9-494C-B76C-F5F304CF6394}"/>
    <cellStyle name="Percent 2 41" xfId="36267" xr:uid="{B8C28E2C-2DFA-4AF1-84F5-2C5E581FB087}"/>
    <cellStyle name="Percent 2 42" xfId="36268" xr:uid="{FB4A72D2-089E-4386-9990-6882FC087EC3}"/>
    <cellStyle name="Percent 2 43" xfId="36269" xr:uid="{75C06409-6ABE-46F4-9ECF-DC9EBA5B6A9D}"/>
    <cellStyle name="Percent 2 44" xfId="36270" xr:uid="{09BC88B5-54DB-4AA6-BFD3-DA8E9D3211C7}"/>
    <cellStyle name="Percent 2 45" xfId="36271" xr:uid="{566CEC85-9CEE-4DDB-8E16-D4E4628C3D6C}"/>
    <cellStyle name="Percent 2 46" xfId="36272" xr:uid="{EB199909-0F5C-4266-B079-F336C056982D}"/>
    <cellStyle name="Percent 2 47" xfId="36273" xr:uid="{69ED00DB-43E5-4265-8F86-2BAF791A8164}"/>
    <cellStyle name="Percent 2 48" xfId="36274" xr:uid="{C768C7C0-AB76-406B-83E5-649D263C5C4E}"/>
    <cellStyle name="Percent 2 49" xfId="36275" xr:uid="{FA8F1645-986B-4747-9CEC-E78CECEBADA6}"/>
    <cellStyle name="Percent 2 5" xfId="36276" xr:uid="{5E05A5B0-5A5B-4FE1-895C-39D1E66C4939}"/>
    <cellStyle name="Percent 2 5 2" xfId="36277" xr:uid="{878F528C-B824-4B9A-9DDC-48099CDD2950}"/>
    <cellStyle name="Percent 2 5 3" xfId="36278" xr:uid="{05C6F8A3-09F7-4547-B6BB-BF4BAD155C4C}"/>
    <cellStyle name="Percent 2 50" xfId="36279" xr:uid="{78E8B462-98CF-4457-9CAC-FBB0BD935C25}"/>
    <cellStyle name="Percent 2 51" xfId="36280" xr:uid="{6DB6DF17-250C-4ECA-9B50-DBA1E6BE573A}"/>
    <cellStyle name="Percent 2 52" xfId="36281" xr:uid="{43B3B660-6B18-46EB-927C-0BCC4BE5D78F}"/>
    <cellStyle name="Percent 2 53" xfId="36282" xr:uid="{D37903AD-DA15-4D23-8101-A50309384E19}"/>
    <cellStyle name="Percent 2 54" xfId="36283" xr:uid="{23864BDD-53D4-4F80-9B8B-5C87CFF6060D}"/>
    <cellStyle name="Percent 2 55" xfId="36284" xr:uid="{489E1C47-E41E-47DD-A253-D5AEE2B0902E}"/>
    <cellStyle name="Percent 2 56" xfId="36285" xr:uid="{1B530C70-72DD-4675-934D-A99F1525B097}"/>
    <cellStyle name="Percent 2 57" xfId="36286" xr:uid="{DDDBB8FE-7D09-4413-9608-DD541DC92D8C}"/>
    <cellStyle name="Percent 2 58" xfId="36287" xr:uid="{09EA8FC0-AEFF-4C68-A7DA-AC1076E92C1E}"/>
    <cellStyle name="Percent 2 59" xfId="36288" xr:uid="{AF20D0AD-994A-4032-94EE-E350D6E46114}"/>
    <cellStyle name="Percent 2 6" xfId="36289" xr:uid="{05CAEA68-FFCC-4E2B-84B2-1F39FEFCF177}"/>
    <cellStyle name="Percent 2 6 2" xfId="36290" xr:uid="{AAC3A3AA-51EA-4B60-A266-B8F251B17D64}"/>
    <cellStyle name="Percent 2 6 3" xfId="36291" xr:uid="{BAE03EA8-FB92-44F9-AE55-56A424FF329F}"/>
    <cellStyle name="Percent 2 60" xfId="36292" xr:uid="{349B7B3D-E633-4C2D-B784-19B9BDAB710E}"/>
    <cellStyle name="Percent 2 61" xfId="36293" xr:uid="{6ABC9BC7-BBDA-4A05-B61D-EA91C61F63E6}"/>
    <cellStyle name="Percent 2 62" xfId="36294" xr:uid="{C7D26805-8822-4040-A55C-719B61CE21C2}"/>
    <cellStyle name="Percent 2 63" xfId="36295" xr:uid="{FDF8F686-6CEB-4E17-842E-17EEE7F18119}"/>
    <cellStyle name="Percent 2 63 2" xfId="36296" xr:uid="{D853AD0E-7E5B-4A6E-BC80-B498E43D6E02}"/>
    <cellStyle name="Percent 2 64" xfId="36297" xr:uid="{7DEB59AD-FE1E-4378-8EAB-CED9EE5426EC}"/>
    <cellStyle name="Percent 2 65" xfId="36298" xr:uid="{423F2628-08F0-4D09-AA15-B2D6A6EE536D}"/>
    <cellStyle name="Percent 2 66" xfId="36299" xr:uid="{7D4942C7-0B65-42F5-802D-9364E3467743}"/>
    <cellStyle name="Percent 2 67" xfId="36300" xr:uid="{9A4C09C0-2AF6-4E98-92C8-5B9EF314D18E}"/>
    <cellStyle name="Percent 2 68" xfId="36301" xr:uid="{D7D0344C-EAB9-413B-8B66-67A09C57CB6C}"/>
    <cellStyle name="Percent 2 69" xfId="36302" xr:uid="{D5A413CD-8087-4EB7-8B72-B128B027D0E6}"/>
    <cellStyle name="Percent 2 7" xfId="36303" xr:uid="{7396833A-6ECD-4B89-8EF8-BCAA7842A057}"/>
    <cellStyle name="Percent 2 7 2" xfId="36304" xr:uid="{889A0B54-47D2-4207-B901-770BA318920E}"/>
    <cellStyle name="Percent 2 70" xfId="36305" xr:uid="{929D84A8-4DE4-478E-AE24-0B48EEC950AE}"/>
    <cellStyle name="Percent 2 8" xfId="36306" xr:uid="{0892A54C-4544-42E4-9CE0-4AB79DC43BDC}"/>
    <cellStyle name="Percent 2 8 2" xfId="36307" xr:uid="{21B7FFE7-D146-455D-B16E-5C503F9B7F87}"/>
    <cellStyle name="Percent 2 9" xfId="36308" xr:uid="{3A769A09-9C97-4B9E-96C0-C32D3AFCE6D7}"/>
    <cellStyle name="Percent 2 9 2" xfId="36309" xr:uid="{82AD920F-B3D3-4394-A1DB-34CF90A03EB8}"/>
    <cellStyle name="Percent 20" xfId="36310" xr:uid="{C1FDDA2A-DC23-4F2C-A6AA-DAA6497F6E48}"/>
    <cellStyle name="Percent 21" xfId="36311" xr:uid="{DFFA51A5-3376-48A6-9504-85C6E41450ED}"/>
    <cellStyle name="Percent 21 2" xfId="36312" xr:uid="{A27368AC-4CB9-4C26-AEC2-4E06914C1B31}"/>
    <cellStyle name="Percent 21 3" xfId="36313" xr:uid="{595B962A-5C4A-4AEC-9A92-55C3235826AF}"/>
    <cellStyle name="Percent 22" xfId="36314" xr:uid="{3FF8712A-8E1A-4B1D-9E8A-FBB596D21B1D}"/>
    <cellStyle name="Percent 22 10" xfId="36315" xr:uid="{07956F37-8463-4D14-9592-CDEC3B1B8672}"/>
    <cellStyle name="Percent 22 11" xfId="36316" xr:uid="{C4D41FDC-2851-4AA2-AD35-BF8C1026C133}"/>
    <cellStyle name="Percent 22 12" xfId="36317" xr:uid="{A1F4F896-77D8-42D3-93FD-53C69879129A}"/>
    <cellStyle name="Percent 22 13" xfId="36318" xr:uid="{F480D7A7-8218-4CA7-BCDB-4266726C8844}"/>
    <cellStyle name="Percent 22 14" xfId="36319" xr:uid="{173695CB-3623-42BF-BD62-43D592DA1702}"/>
    <cellStyle name="Percent 22 15" xfId="36320" xr:uid="{CFC709AA-AB86-4B95-B181-971D0266B49A}"/>
    <cellStyle name="Percent 22 16" xfId="36321" xr:uid="{E8C23B56-D223-4C17-982F-D686DE0BDBBA}"/>
    <cellStyle name="Percent 22 17" xfId="36322" xr:uid="{E7B95795-DEF1-4246-85E9-CFF83FE8CA80}"/>
    <cellStyle name="Percent 22 18" xfId="36323" xr:uid="{2F52E72B-987C-4AA2-89D1-0946A1A49A00}"/>
    <cellStyle name="Percent 22 19" xfId="36324" xr:uid="{4C8CE263-72F7-4289-A3BB-3C8FA6BA0866}"/>
    <cellStyle name="Percent 22 2" xfId="36325" xr:uid="{9716EC1B-FA19-4E7C-8B35-2BD598A7D488}"/>
    <cellStyle name="Percent 22 20" xfId="36326" xr:uid="{74C380E3-92A5-4646-BE86-5FD487F41D27}"/>
    <cellStyle name="Percent 22 21" xfId="36327" xr:uid="{38672D84-E715-4E99-930C-0EE28CC678BB}"/>
    <cellStyle name="Percent 22 3" xfId="36328" xr:uid="{AF659FC1-880E-4480-98A0-8EA3D18ECAA6}"/>
    <cellStyle name="Percent 22 4" xfId="36329" xr:uid="{AB0A54C9-6824-473E-9EF6-7BF9F38B5094}"/>
    <cellStyle name="Percent 22 5" xfId="36330" xr:uid="{46E7CC74-8DD6-4EC3-AC2C-ED9807D43D43}"/>
    <cellStyle name="Percent 22 6" xfId="36331" xr:uid="{33B82ED4-35B7-4EA2-B5CD-8824025F1E18}"/>
    <cellStyle name="Percent 22 7" xfId="36332" xr:uid="{D2FF803B-8B1E-4017-891F-BD11C16D050D}"/>
    <cellStyle name="Percent 22 8" xfId="36333" xr:uid="{80035DE1-96CA-4F57-AC75-61FF7D0CF0DB}"/>
    <cellStyle name="Percent 22 9" xfId="36334" xr:uid="{5F42B60D-72F3-41D0-BB80-45016890E42B}"/>
    <cellStyle name="Percent 23" xfId="36335" xr:uid="{560D2EA5-7FBC-4CC7-8DF8-261F2815ACF5}"/>
    <cellStyle name="Percent 24" xfId="36336" xr:uid="{C6A54C54-703B-43DD-9DED-B30A95520049}"/>
    <cellStyle name="Percent 25" xfId="36337" xr:uid="{1FE1CAF2-723A-47B7-8FE6-CA09F4CE85CC}"/>
    <cellStyle name="Percent 26" xfId="36338" xr:uid="{134CFF40-1DB3-4B08-B586-3C74FBD96A3D}"/>
    <cellStyle name="Percent 27" xfId="36339" xr:uid="{C5A285A3-D2C4-4EFB-9326-0620B4AB7C93}"/>
    <cellStyle name="Percent 27 10" xfId="36340" xr:uid="{9522889F-76B0-420E-AE43-915A6824BF77}"/>
    <cellStyle name="Percent 27 11" xfId="36341" xr:uid="{C759F81C-B195-4BC6-A9CB-CD6249BB2E18}"/>
    <cellStyle name="Percent 27 12" xfId="36342" xr:uid="{A7499CF9-EEA7-4CDF-93ED-D4EC2FC2B3C0}"/>
    <cellStyle name="Percent 27 13" xfId="36343" xr:uid="{87FEDA5B-E281-4BAF-B9CD-F6FAEC4E6ACB}"/>
    <cellStyle name="Percent 27 14" xfId="36344" xr:uid="{002887CC-AFC2-43EE-9612-806F0A8508E6}"/>
    <cellStyle name="Percent 27 15" xfId="36345" xr:uid="{12170D35-5AEB-48D0-93AC-CD0497ED0225}"/>
    <cellStyle name="Percent 27 16" xfId="36346" xr:uid="{B4B1E7C4-249D-419C-AAB1-9B2EEC1BF39E}"/>
    <cellStyle name="Percent 27 17" xfId="36347" xr:uid="{0406167C-E799-4810-ACBA-C54A7A19C517}"/>
    <cellStyle name="Percent 27 18" xfId="36348" xr:uid="{BF8C226D-9CA8-4BC8-9F55-9DB8406F2CC2}"/>
    <cellStyle name="Percent 27 2" xfId="36349" xr:uid="{9768CD6B-9FD2-4F49-8CD3-7BAF87F1D533}"/>
    <cellStyle name="Percent 27 3" xfId="36350" xr:uid="{87752BA4-C28A-410E-8377-11D6E8BA8E1B}"/>
    <cellStyle name="Percent 27 4" xfId="36351" xr:uid="{085C8A69-9470-4B4D-A603-3F0F8C07D13B}"/>
    <cellStyle name="Percent 27 5" xfId="36352" xr:uid="{80A12495-C9E8-424B-A191-5655509B7FE1}"/>
    <cellStyle name="Percent 27 6" xfId="36353" xr:uid="{E1635A80-6037-47CC-AC92-3BB046F94882}"/>
    <cellStyle name="Percent 27 7" xfId="36354" xr:uid="{5F429979-46D5-4C7F-A016-C42838228DAB}"/>
    <cellStyle name="Percent 27 8" xfId="36355" xr:uid="{249B9B39-6183-4284-BEC7-51FD90FBEC27}"/>
    <cellStyle name="Percent 27 9" xfId="36356" xr:uid="{ADA8E5BB-093E-4603-928A-811CA5AE00BD}"/>
    <cellStyle name="Percent 28" xfId="36357" xr:uid="{890E3897-ADA0-4909-93CB-0263FB68FCE0}"/>
    <cellStyle name="Percent 28 10" xfId="36358" xr:uid="{85F6BE38-25CE-4CAA-8EE4-F2118D4A24D4}"/>
    <cellStyle name="Percent 28 11" xfId="36359" xr:uid="{31844C9A-B1C8-477C-BFC0-9F0BD2DBB25A}"/>
    <cellStyle name="Percent 28 12" xfId="36360" xr:uid="{12A2F9A0-3B37-4740-9511-48F1D12DD103}"/>
    <cellStyle name="Percent 28 13" xfId="36361" xr:uid="{871A8823-348A-445F-BA64-945E29C30B96}"/>
    <cellStyle name="Percent 28 14" xfId="36362" xr:uid="{BB966DDE-7388-44CA-B48E-E02BEB2F5A57}"/>
    <cellStyle name="Percent 28 15" xfId="36363" xr:uid="{30B93E83-CE65-4635-9E25-4FBAE0127CF7}"/>
    <cellStyle name="Percent 28 16" xfId="36364" xr:uid="{50933382-A2DF-4ED0-A60E-B8C05AF4CE86}"/>
    <cellStyle name="Percent 28 17" xfId="36365" xr:uid="{31B6651B-7875-4A01-946B-E1871C1C4D5B}"/>
    <cellStyle name="Percent 28 18" xfId="36366" xr:uid="{19E4CFF3-BC48-4944-8937-4E431E35172D}"/>
    <cellStyle name="Percent 28 19" xfId="36367" xr:uid="{D0D12794-D980-47D6-9369-835EB7EF8C49}"/>
    <cellStyle name="Percent 28 2" xfId="36368" xr:uid="{8A7A2E49-C67C-46D0-8489-8CAD48CEB3B4}"/>
    <cellStyle name="Percent 28 3" xfId="36369" xr:uid="{5C4B5F45-727B-4CAA-B16A-2998B4E0D077}"/>
    <cellStyle name="Percent 28 4" xfId="36370" xr:uid="{58859CC6-A01E-478A-A7D2-A0578C21E9C9}"/>
    <cellStyle name="Percent 28 5" xfId="36371" xr:uid="{0923E7D0-64A8-407F-8451-2682A01C7DF3}"/>
    <cellStyle name="Percent 28 6" xfId="36372" xr:uid="{BAC47899-888B-4A1A-9CF0-D00D63CF6057}"/>
    <cellStyle name="Percent 28 7" xfId="36373" xr:uid="{0C893167-98C6-46EB-9698-EA3AE1FC2002}"/>
    <cellStyle name="Percent 28 8" xfId="36374" xr:uid="{D7C2581B-9ADD-4599-8B07-99ECBB2B3296}"/>
    <cellStyle name="Percent 28 9" xfId="36375" xr:uid="{78C2E03E-526F-4B8D-9389-6D02ECAA39E0}"/>
    <cellStyle name="Percent 29" xfId="36376" xr:uid="{16E6F053-05F7-4E0C-BE25-3B24030C5826}"/>
    <cellStyle name="Percent 3" xfId="36377" xr:uid="{F2FC5CE3-DDE7-4D8A-BF0C-0D077EBA3E69}"/>
    <cellStyle name="Percent 3 2" xfId="36378" xr:uid="{D3C61E71-6206-4D9C-B4DB-E88C0BB9802F}"/>
    <cellStyle name="Percent 3 2 2" xfId="36379" xr:uid="{D7BB893C-6585-42D3-96CF-84CA608D7226}"/>
    <cellStyle name="Percent 3 2 2 2" xfId="36380" xr:uid="{807D456E-9A9D-4039-862E-E7FBB1707F9D}"/>
    <cellStyle name="Percent 3 2 3" xfId="36381" xr:uid="{E95657BB-F833-424E-A271-F90ACCF95828}"/>
    <cellStyle name="Percent 3 3" xfId="36382" xr:uid="{F875A1CE-5391-4CC3-8517-76EE11A02CB4}"/>
    <cellStyle name="Percent 3 3 2" xfId="36383" xr:uid="{93DB0ADB-4B9F-4983-BFB5-439C01F426BD}"/>
    <cellStyle name="Percent 3 3 3" xfId="36384" xr:uid="{F613908F-6793-43A8-AF4B-7DE805E4648A}"/>
    <cellStyle name="Percent 3 4" xfId="36385" xr:uid="{10A17501-043E-4B54-850C-4BC8C64865A7}"/>
    <cellStyle name="Percent 30" xfId="36386" xr:uid="{3BC485F3-92FF-405D-9A99-B4BBFF328114}"/>
    <cellStyle name="Percent 30 10" xfId="36387" xr:uid="{47A8E87E-EE81-458E-A59B-5C14440B6D04}"/>
    <cellStyle name="Percent 30 11" xfId="36388" xr:uid="{251070A3-583A-45D5-B680-D1FAE90FD390}"/>
    <cellStyle name="Percent 30 12" xfId="36389" xr:uid="{3A126BA7-12DF-4A79-9703-1E1CDE44CD73}"/>
    <cellStyle name="Percent 30 13" xfId="36390" xr:uid="{CA196CC4-F490-45C4-9758-86FCAB5C1C77}"/>
    <cellStyle name="Percent 30 14" xfId="36391" xr:uid="{08366582-EFFA-4838-94D6-DB9FBDC117E4}"/>
    <cellStyle name="Percent 30 15" xfId="36392" xr:uid="{3F60B291-C9F7-477F-8AB9-F82ECE64DA39}"/>
    <cellStyle name="Percent 30 2" xfId="36393" xr:uid="{5FDC989F-56FF-4069-835D-15D1A5260B1C}"/>
    <cellStyle name="Percent 30 3" xfId="36394" xr:uid="{D017395E-56C8-4C76-AC69-A4516378DD8D}"/>
    <cellStyle name="Percent 30 4" xfId="36395" xr:uid="{BACE4003-D9C0-47E4-BE7C-8FDA753C0485}"/>
    <cellStyle name="Percent 30 5" xfId="36396" xr:uid="{181882DB-8029-4CCC-8D5C-279E8FC0F29E}"/>
    <cellStyle name="Percent 30 6" xfId="36397" xr:uid="{0CD6D0E7-2B67-420F-A71C-789901A1045B}"/>
    <cellStyle name="Percent 30 7" xfId="36398" xr:uid="{972B369B-8A35-40BD-9231-91DFBDD809BE}"/>
    <cellStyle name="Percent 30 8" xfId="36399" xr:uid="{B1EA177D-E67E-4469-B730-23568DFBC8D8}"/>
    <cellStyle name="Percent 30 9" xfId="36400" xr:uid="{1DDD38F8-BB14-479F-9254-B332E5A99F23}"/>
    <cellStyle name="Percent 31" xfId="36401" xr:uid="{AAC38917-23B6-4E7E-AC35-1A1225F68D3B}"/>
    <cellStyle name="Percent 32" xfId="36402" xr:uid="{F7B8006B-0C58-461D-B5E2-641519494624}"/>
    <cellStyle name="Percent 33" xfId="18" xr:uid="{BC86B2D4-AA51-4F7E-9610-21288ABD6E7B}"/>
    <cellStyle name="Percent 36" xfId="36403" xr:uid="{00E7C0BC-9F2A-4896-8E7E-1BE68E7F78F5}"/>
    <cellStyle name="Percent 36 2" xfId="36404" xr:uid="{1E0C4EC4-AB93-43E9-853F-5282E4C6F3F5}"/>
    <cellStyle name="Percent 36 3" xfId="36405" xr:uid="{4100A66D-A61C-453B-985F-84FE497E3634}"/>
    <cellStyle name="Percent 36 4" xfId="36406" xr:uid="{8ED9E762-516A-4C9D-9DE9-5FC86DA27486}"/>
    <cellStyle name="Percent 36 5" xfId="36407" xr:uid="{C5327FAB-9D90-488B-98D7-6096ADDB1937}"/>
    <cellStyle name="Percent 36 6" xfId="36408" xr:uid="{0DA7E98D-89C4-414F-8F8A-CCF7476EF556}"/>
    <cellStyle name="Percent 36 7" xfId="36409" xr:uid="{417E5D7A-3482-4BE7-A56C-7FCD4A02BE72}"/>
    <cellStyle name="Percent 36 8" xfId="36410" xr:uid="{C735D251-91F6-4651-8097-D8B4A86DA6D8}"/>
    <cellStyle name="Percent 36 9" xfId="36411" xr:uid="{9F298296-1B1C-455C-846B-B4D8A7A34EEF}"/>
    <cellStyle name="Percent 39 2" xfId="36412" xr:uid="{C5E14601-0F0C-4D97-88ED-B098ABCB1C85}"/>
    <cellStyle name="Percent 39 3" xfId="36413" xr:uid="{50E21CF6-4AB2-4DA6-9706-624B613E3E27}"/>
    <cellStyle name="Percent 39 4" xfId="36414" xr:uid="{30668A83-538E-488E-AAEE-BF4456AF5D7D}"/>
    <cellStyle name="Percent 39 5" xfId="36415" xr:uid="{938B8E89-7840-40F3-9818-61F4BB22E913}"/>
    <cellStyle name="Percent 39 6" xfId="36416" xr:uid="{D6D54E3B-9CA9-48B9-84D5-E837F252189B}"/>
    <cellStyle name="Percent 39 7" xfId="36417" xr:uid="{1FB4FA90-BD3E-4970-9603-2FFF65822BE1}"/>
    <cellStyle name="Percent 39 8" xfId="36418" xr:uid="{B6481962-D61E-4BED-A2CB-46038B6A7F59}"/>
    <cellStyle name="Percent 39 9" xfId="36419" xr:uid="{16DF6B88-A13D-47E3-9FCA-22CDB5F686F2}"/>
    <cellStyle name="Percent 4" xfId="36420" xr:uid="{11010213-1970-4121-98A6-F8F89052215C}"/>
    <cellStyle name="Percent 4 10" xfId="36421" xr:uid="{43BEBD17-87AB-463D-8485-D23E55E89886}"/>
    <cellStyle name="Percent 4 11" xfId="36422" xr:uid="{3D9FF474-F487-4808-8A40-1D08D1512BC9}"/>
    <cellStyle name="Percent 4 12" xfId="36423" xr:uid="{C86BA527-4B32-4CB2-A9F1-3A0B92C521B8}"/>
    <cellStyle name="Percent 4 13" xfId="36424" xr:uid="{E43174A0-1E1E-46A0-936A-C927597F4290}"/>
    <cellStyle name="Percent 4 14" xfId="36425" xr:uid="{31233C7A-099F-4D88-B1D6-19EB0413B553}"/>
    <cellStyle name="Percent 4 15" xfId="36426" xr:uid="{3FB4031F-DEFA-41C3-A1CB-39B3767C0C16}"/>
    <cellStyle name="Percent 4 16" xfId="36427" xr:uid="{61A65E29-FD1C-4745-9931-C7ED07B39CC5}"/>
    <cellStyle name="Percent 4 17" xfId="36428" xr:uid="{EF6A772A-4CDB-4659-9E58-679927646711}"/>
    <cellStyle name="Percent 4 18" xfId="36429" xr:uid="{5FE33D73-99F1-44A5-854B-4B8A5F7FD061}"/>
    <cellStyle name="Percent 4 19" xfId="36430" xr:uid="{64D30754-8242-4AE3-9948-2E7FED477CF9}"/>
    <cellStyle name="Percent 4 2" xfId="36431" xr:uid="{436BD723-A5D2-4C0B-980A-C15850CB349C}"/>
    <cellStyle name="Percent 4 2 2" xfId="36432" xr:uid="{8BA51D87-FBB4-4438-9784-BA745D96D70D}"/>
    <cellStyle name="Percent 4 20" xfId="36433" xr:uid="{79086B0E-7830-4E07-BA46-3E869490C33D}"/>
    <cellStyle name="Percent 4 21" xfId="36434" xr:uid="{369CD07C-486A-4BCB-B439-A5E3FE71FAC6}"/>
    <cellStyle name="Percent 4 22" xfId="36435" xr:uid="{83B7564C-69B4-41AC-B822-F79A55D776E0}"/>
    <cellStyle name="Percent 4 23" xfId="36436" xr:uid="{6F232760-C255-432A-AFCD-8A82F997E3DD}"/>
    <cellStyle name="Percent 4 24" xfId="36437" xr:uid="{672EFD29-B020-4F08-8CAE-F0B7DBBF0442}"/>
    <cellStyle name="Percent 4 25" xfId="36438" xr:uid="{CA842C91-0329-4E4E-859C-2EDF17BCE619}"/>
    <cellStyle name="Percent 4 26" xfId="36439" xr:uid="{DFE77576-6920-4E35-B052-197FC333DABE}"/>
    <cellStyle name="Percent 4 27" xfId="36440" xr:uid="{E470D7DD-B761-49DC-99ED-8ACC392606DC}"/>
    <cellStyle name="Percent 4 28" xfId="36441" xr:uid="{7290989D-CD96-45A6-9859-2F98F985348B}"/>
    <cellStyle name="Percent 4 29" xfId="36442" xr:uid="{03DD4E13-3C90-4816-AA21-A29567196C82}"/>
    <cellStyle name="Percent 4 3" xfId="36443" xr:uid="{FDD88DB6-11AE-4B4F-A6BF-2EEDC80570BE}"/>
    <cellStyle name="Percent 4 30" xfId="36444" xr:uid="{688F0757-FE82-436B-9BC7-3FB375333CAA}"/>
    <cellStyle name="Percent 4 31" xfId="36445" xr:uid="{5E13FB17-1974-4EF8-B444-31BE8301649F}"/>
    <cellStyle name="Percent 4 32" xfId="36446" xr:uid="{2627FFC5-DB82-4741-B2F5-7953E25395E4}"/>
    <cellStyle name="Percent 4 4" xfId="36447" xr:uid="{64627610-CCB5-48A0-8DF6-103EA8586276}"/>
    <cellStyle name="Percent 4 5" xfId="36448" xr:uid="{1971F379-D386-4E52-9E71-20F8E9C4AE4C}"/>
    <cellStyle name="Percent 4 6" xfId="36449" xr:uid="{5C84C7F7-D996-4AC2-A4FB-159C4E65DAC6}"/>
    <cellStyle name="Percent 4 7" xfId="36450" xr:uid="{CA5FB73E-5C9D-491E-89A1-7321C103DD1D}"/>
    <cellStyle name="Percent 4 8" xfId="36451" xr:uid="{76627367-F4FA-4040-8C13-EEAD8951D7FB}"/>
    <cellStyle name="Percent 4 9" xfId="36452" xr:uid="{4A5BEFD6-4A5A-402F-961C-A3F427EDDACA}"/>
    <cellStyle name="Percent 43" xfId="36453" xr:uid="{88EC5916-AC8E-441E-93ED-9658CBEB53A6}"/>
    <cellStyle name="Percent 47" xfId="36454" xr:uid="{E75F639B-B08E-4989-921B-302E45FCDA46}"/>
    <cellStyle name="Percent 5" xfId="36455" xr:uid="{6DEDE5B9-46CB-4DF9-AFF5-E6B93262073F}"/>
    <cellStyle name="Percent 5 10" xfId="36456" xr:uid="{65DCC8E5-82DF-4E0E-BDB7-C146EFA1C7CF}"/>
    <cellStyle name="Percent 5 11" xfId="36457" xr:uid="{DF3B6648-2A54-4206-9FCD-1793DAE30048}"/>
    <cellStyle name="Percent 5 12" xfId="36458" xr:uid="{257133AA-3AF9-438E-AB5A-986FE4BA17A6}"/>
    <cellStyle name="Percent 5 13" xfId="36459" xr:uid="{0C867795-C569-4CAC-9E87-DBEC1C4CCFC7}"/>
    <cellStyle name="Percent 5 14" xfId="36460" xr:uid="{99912875-CBD9-45C0-8036-AF15101221CF}"/>
    <cellStyle name="Percent 5 15" xfId="36461" xr:uid="{92DE0B4B-891D-4E02-8D19-5DA385C7FBE0}"/>
    <cellStyle name="Percent 5 16" xfId="36462" xr:uid="{5BB3CAC5-168F-4FE4-A080-8CA9D7048387}"/>
    <cellStyle name="Percent 5 2" xfId="36463" xr:uid="{6D097F1D-D040-4601-9810-139A33BD667F}"/>
    <cellStyle name="Percent 5 2 2" xfId="36464" xr:uid="{A3108914-DEB6-4E60-833B-A752165D4569}"/>
    <cellStyle name="Percent 5 3" xfId="36465" xr:uid="{499E50B8-8D9D-46B3-AF33-25AEA17C56E2}"/>
    <cellStyle name="Percent 5 4" xfId="36466" xr:uid="{E31285DF-99D3-4B2A-B0A6-241EF54F8AEC}"/>
    <cellStyle name="Percent 5 5" xfId="36467" xr:uid="{D033BD42-40BC-4E35-A36A-264D60DF8CAB}"/>
    <cellStyle name="Percent 5 6" xfId="36468" xr:uid="{CFC26EF0-A06E-4B33-B136-D082FF578F15}"/>
    <cellStyle name="Percent 5 7" xfId="36469" xr:uid="{BA04B2E8-4435-4536-BB11-6C6E72560242}"/>
    <cellStyle name="Percent 5 8" xfId="36470" xr:uid="{7B0127AC-3EF6-48B6-A3AD-4098C2FAC2C3}"/>
    <cellStyle name="Percent 5 9" xfId="36471" xr:uid="{52752E49-59F5-4148-A998-9EC3A00033D2}"/>
    <cellStyle name="Percent 6" xfId="36472" xr:uid="{8307661A-2881-4D94-9C37-B1928B0A2466}"/>
    <cellStyle name="Percent 6 2" xfId="36473" xr:uid="{4463C0ED-2214-438F-A000-ECA68D611104}"/>
    <cellStyle name="Percent 6 3" xfId="36474" xr:uid="{C11BA16E-729C-4BD1-9D56-DBDD4E27E68E}"/>
    <cellStyle name="Percent 6 4" xfId="36475" xr:uid="{37ABDBFC-2A5F-4417-A57F-D1417DDA1C3E}"/>
    <cellStyle name="Percent 7" xfId="36476" xr:uid="{855BD1BC-A007-4A54-9CFC-68C617CD498B}"/>
    <cellStyle name="Percent 7 10" xfId="36477" xr:uid="{BCB8D67A-7260-4165-AF5F-368C02A2C069}"/>
    <cellStyle name="Percent 7 11" xfId="36478" xr:uid="{DC9F7F3F-5847-4AD5-A7A1-136E71B7308C}"/>
    <cellStyle name="Percent 7 12" xfId="36479" xr:uid="{BCEC070B-C0A8-4BA6-9C37-5A3FC0180E41}"/>
    <cellStyle name="Percent 7 13" xfId="36480" xr:uid="{8D896DE8-8D2B-425C-8BBD-BBC81A714AF6}"/>
    <cellStyle name="Percent 7 14" xfId="36481" xr:uid="{5C752011-08B5-44C3-99F3-CDE30EC05B5D}"/>
    <cellStyle name="Percent 7 15" xfId="36482" xr:uid="{C02A172B-9725-44B5-AC8B-6B7B18CDAD32}"/>
    <cellStyle name="Percent 7 16" xfId="36483" xr:uid="{E51776D9-2ACF-46E0-8B33-37411EA0F62F}"/>
    <cellStyle name="Percent 7 17" xfId="36484" xr:uid="{F19252B5-A570-46EC-8A59-14249AA43C1A}"/>
    <cellStyle name="Percent 7 18" xfId="36485" xr:uid="{381C7C01-08D4-436E-A62E-391BAB4E072D}"/>
    <cellStyle name="Percent 7 19" xfId="36486" xr:uid="{BF8F35DC-D09D-4538-B822-FAB9B3C03E97}"/>
    <cellStyle name="Percent 7 2" xfId="36487" xr:uid="{0A21A567-D32C-461D-942D-2B36CA505BD9}"/>
    <cellStyle name="Percent 7 2 2" xfId="36488" xr:uid="{8433ECD6-AF33-4F9A-BB1F-BBC020E356A3}"/>
    <cellStyle name="Percent 7 2 3" xfId="36489" xr:uid="{8DA23D2E-156B-407E-B6CD-BEB5422FD9AF}"/>
    <cellStyle name="Percent 7 20" xfId="36490" xr:uid="{EE3E8169-A8E0-4DAE-9711-BE090CEFAF1A}"/>
    <cellStyle name="Percent 7 21" xfId="36491" xr:uid="{08971EC9-4802-4D0A-B9CD-C85E604EB27E}"/>
    <cellStyle name="Percent 7 22" xfId="36492" xr:uid="{08287F91-D8E2-40F6-A8E2-8BB26E9ECE6C}"/>
    <cellStyle name="Percent 7 23" xfId="36493" xr:uid="{29919EF5-669F-4511-A50C-47A245827AE3}"/>
    <cellStyle name="Percent 7 24" xfId="36494" xr:uid="{6D9E820F-4155-42A2-80B7-CA9A1558C9FA}"/>
    <cellStyle name="Percent 7 25" xfId="36495" xr:uid="{1A5D05B1-A4E4-40F4-9D0C-44FFE9274C24}"/>
    <cellStyle name="Percent 7 26" xfId="36496" xr:uid="{1F82E465-5844-43BC-8035-C8E75B2A33C2}"/>
    <cellStyle name="Percent 7 27" xfId="36497" xr:uid="{76EB0FDA-994E-4032-ABE5-ABCC368FCB17}"/>
    <cellStyle name="Percent 7 28" xfId="36498" xr:uid="{342A9EDD-47EC-4CD9-92A6-050D6673EA67}"/>
    <cellStyle name="Percent 7 29" xfId="36499" xr:uid="{17640B4A-4ED5-4573-A52F-36ECDE791076}"/>
    <cellStyle name="Percent 7 3" xfId="36500" xr:uid="{DFCFC964-95B6-4A6F-B8BA-0590DBC8063B}"/>
    <cellStyle name="Percent 7 30" xfId="36501" xr:uid="{E0BB77DC-5C9B-4DB8-8196-7FA4D26C62CC}"/>
    <cellStyle name="Percent 7 31" xfId="36502" xr:uid="{F0A16BB8-464A-434D-A437-5E2CB889A9A6}"/>
    <cellStyle name="Percent 7 32" xfId="36503" xr:uid="{FDCE46D3-092B-4249-90E8-7DFD16F2C8C3}"/>
    <cellStyle name="Percent 7 33" xfId="36504" xr:uid="{4EE8BFA7-1556-425A-AAAF-9136C5655892}"/>
    <cellStyle name="Percent 7 34" xfId="36505" xr:uid="{A3E2A969-393D-4988-B760-F8B36D677E4E}"/>
    <cellStyle name="Percent 7 4" xfId="36506" xr:uid="{A1014E64-9CEC-479F-ADBA-BDAF75A4400B}"/>
    <cellStyle name="Percent 7 5" xfId="36507" xr:uid="{DFF0B927-80BD-4F0F-B975-59013728AE6E}"/>
    <cellStyle name="Percent 7 6" xfId="36508" xr:uid="{2BCBA05F-08A9-48FE-A391-14629497B17F}"/>
    <cellStyle name="Percent 7 7" xfId="36509" xr:uid="{CEFD0B32-425E-4AFC-AA0D-CD060CC4A8C0}"/>
    <cellStyle name="Percent 7 8" xfId="36510" xr:uid="{54678E30-24B8-4DE5-9BA4-C439741A4FB3}"/>
    <cellStyle name="Percent 7 9" xfId="36511" xr:uid="{85778C6B-6567-45BA-ADCA-99CB114DDDD2}"/>
    <cellStyle name="Percent 8" xfId="36512" xr:uid="{84B70CEF-341C-4A5E-B285-3FDE49492CDA}"/>
    <cellStyle name="Percent 8 2" xfId="36513" xr:uid="{243AED06-F471-45D1-AB90-6900AAB27323}"/>
    <cellStyle name="Percent 8 3" xfId="36514" xr:uid="{013F82FB-F259-4E7B-B728-D663544C65B5}"/>
    <cellStyle name="Percent 8 4" xfId="36515" xr:uid="{C12D68A4-4975-429F-8CF9-449F2FDF14B7}"/>
    <cellStyle name="Percent 8 5" xfId="36516" xr:uid="{AA1ECBC1-61FD-4FE6-BBB5-A8B6A00CEA93}"/>
    <cellStyle name="Percent 8 6" xfId="36517" xr:uid="{12B7B258-85C2-4359-9808-404659A90E87}"/>
    <cellStyle name="Percent 9" xfId="36518" xr:uid="{207DA602-117E-439E-B40A-DCDFEE5EC220}"/>
    <cellStyle name="Percent 9 10" xfId="36519" xr:uid="{A663C861-41E2-40FA-9D2A-702098EA4EEF}"/>
    <cellStyle name="Percent 9 11" xfId="36520" xr:uid="{269438B7-F4CD-47F2-A1AC-43519F6EFE9D}"/>
    <cellStyle name="Percent 9 12" xfId="36521" xr:uid="{2297077F-69A0-4DC0-B926-C2F9C1139898}"/>
    <cellStyle name="Percent 9 13" xfId="36522" xr:uid="{5BBC13AB-D094-45E8-860A-78141733513F}"/>
    <cellStyle name="Percent 9 2" xfId="36523" xr:uid="{F0640B67-EAB1-466F-9E74-38A71A2E5604}"/>
    <cellStyle name="Percent 9 2 2" xfId="36524" xr:uid="{55222372-924A-4AEC-A8AB-0DB6D7FD570A}"/>
    <cellStyle name="Percent 9 2 2 2" xfId="36525" xr:uid="{46D86EE7-26CE-4A63-B577-565D577235CE}"/>
    <cellStyle name="Percent 9 2 3" xfId="36526" xr:uid="{41DDBC5B-56C4-4032-B1D7-68F1E596FFF5}"/>
    <cellStyle name="Percent 9 3" xfId="36527" xr:uid="{5639F21F-9045-458B-927D-F5EA30928BAA}"/>
    <cellStyle name="Percent 9 3 2" xfId="36528" xr:uid="{9B8BEBCA-0AF0-4DC0-B609-89C996656FE5}"/>
    <cellStyle name="Percent 9 3 3" xfId="36529" xr:uid="{957E44AB-3261-43D0-BE9B-0C2A0F1B4713}"/>
    <cellStyle name="Percent 9 4" xfId="36530" xr:uid="{C2EF9FC9-B693-4D5E-BAAC-ACD010944633}"/>
    <cellStyle name="Percent 9 4 2" xfId="36531" xr:uid="{85C5D89C-BE12-48A1-8B27-E942825A8E90}"/>
    <cellStyle name="Percent 9 5" xfId="36532" xr:uid="{29EB6F42-89EA-4E19-9ED1-5BADF204FD27}"/>
    <cellStyle name="Percent 9 6" xfId="36533" xr:uid="{C5EEFBE2-1D85-4C15-99FB-36D211F79E1C}"/>
    <cellStyle name="Percent 9 7" xfId="36534" xr:uid="{C6268E36-099D-4E22-B20F-04AF53DF6517}"/>
    <cellStyle name="Percent 9 8" xfId="36535" xr:uid="{14167314-C917-49DD-B6B6-4EFBFA83E0BA}"/>
    <cellStyle name="Percent 9 9" xfId="36536" xr:uid="{3EC770BB-8384-40E6-A625-2CA98856F1C6}"/>
    <cellStyle name="Percent*" xfId="36537" xr:uid="{B0A91B0F-2B30-41E8-B121-68BAC4C6A585}"/>
    <cellStyle name="Percent.0" xfId="36538" xr:uid="{AECE78E0-8CA6-4901-A41D-E8D173F5549C}"/>
    <cellStyle name="Percent.00" xfId="36539" xr:uid="{18DB5ABC-B184-47DE-939D-829C5D77FC38}"/>
    <cellStyle name="Percent0" xfId="36540" xr:uid="{8B40806F-42E9-47C5-9A90-27D33B3BC4DE}"/>
    <cellStyle name="Percentage" xfId="36541" xr:uid="{B154D2F1-CCAB-4AB2-9856-54C64A529119}"/>
    <cellStyle name="Percentage 2" xfId="36542" xr:uid="{27645C4F-56F8-4F76-9704-D58B1C733628}"/>
    <cellStyle name="Percentuale 2" xfId="36543" xr:uid="{DDFE8DF6-2159-4E95-8A15-37FF97570F16}"/>
    <cellStyle name="Percentuale 2 2" xfId="36544" xr:uid="{42413D64-9A83-42EF-96B3-390F090F315C}"/>
    <cellStyle name="Period" xfId="36545" xr:uid="{FE4D931A-87E5-4BC4-AC89-E1F6E8E10BDC}"/>
    <cellStyle name="Period +" xfId="36546" xr:uid="{94EA93C5-FE4E-4257-AB82-1770556C146D}"/>
    <cellStyle name="Price" xfId="36547" xr:uid="{35757B7F-6EB3-44D9-B67E-BDB02E7358FB}"/>
    <cellStyle name="Problem Formula" xfId="36548" xr:uid="{CF1D0823-20B7-4119-82EA-89D7694CFB51}"/>
    <cellStyle name="ProductClass" xfId="36549" xr:uid="{F8A92006-1EF5-4C63-8918-233154439F47}"/>
    <cellStyle name="ProductType" xfId="36550" xr:uid="{9BBC4573-4827-4DA7-B002-5E53637C7319}"/>
    <cellStyle name="ProgramArea_RP" xfId="36551" xr:uid="{78B9EFF8-1A32-4E66-8883-AC0944E42E67}"/>
    <cellStyle name="Publication_style" xfId="36552" xr:uid="{B9EDB29F-FAF8-456E-B103-6E0809282D32}"/>
    <cellStyle name="QvB" xfId="36553" xr:uid="{31CF9E5C-37C3-4E8F-8526-4D85327012AB}"/>
    <cellStyle name="RebateValue" xfId="36554" xr:uid="{EB23F908-B6D4-487F-93A3-B289ADBAA04C}"/>
    <cellStyle name="Refdb standard" xfId="14" xr:uid="{00000000-0005-0000-0000-00000F000000}"/>
    <cellStyle name="Refdb standard 2" xfId="36555" xr:uid="{41B08867-5DB2-4517-8D58-B461580029BA}"/>
    <cellStyle name="ReportData" xfId="36556" xr:uid="{66C463D7-70A4-4C29-9F51-68652462A5B7}"/>
    <cellStyle name="ReportElements" xfId="36557" xr:uid="{FDFE5422-DF92-4369-A80C-0EFF93469D67}"/>
    <cellStyle name="ReportHeader" xfId="36558" xr:uid="{50E09F8D-C462-4B5B-9899-790C510CF0CE}"/>
    <cellStyle name="ReportHeader 2" xfId="36559" xr:uid="{FCF2DBF7-7025-443B-9A2C-7AB7E9F53F22}"/>
    <cellStyle name="Reports-0" xfId="36560" xr:uid="{281884B3-6A44-4C92-BC4C-85DE872BCD6A}"/>
    <cellStyle name="Reports-2" xfId="36561" xr:uid="{7ECB1BD0-A452-4A5E-8A1B-AB2AB96C1608}"/>
    <cellStyle name="ResellerType" xfId="36562" xr:uid="{E11E4151-86D8-485E-BB41-7AB1C4B7A402}"/>
    <cellStyle name="RISKbigPercent" xfId="36563" xr:uid="{573AE58C-0208-49CF-89F0-678E48758843}"/>
    <cellStyle name="RISKbigPercent 2" xfId="36564" xr:uid="{58363CDA-985C-4EEB-9384-8B244AED50FC}"/>
    <cellStyle name="RISKbigPercent 2 2" xfId="36565" xr:uid="{3CBDADED-F004-48B6-B3AF-BDF7DE4C3DCF}"/>
    <cellStyle name="RISKbigPercent 2 3" xfId="36566" xr:uid="{37A0D835-928E-4867-9A79-1C4056AAEBEB}"/>
    <cellStyle name="RISKbigPercent 2 4" xfId="36567" xr:uid="{37A3A204-3B56-4488-86CD-28E07A799977}"/>
    <cellStyle name="RISKbigPercent 2 5" xfId="36568" xr:uid="{064F10F0-208B-4D98-AD56-549828B71A23}"/>
    <cellStyle name="RISKbigPercent 3" xfId="36569" xr:uid="{587BE82E-D644-4CB1-A11F-ED1086F61A10}"/>
    <cellStyle name="RISKbigPercent 4" xfId="36570" xr:uid="{04E1DD62-B6B1-4908-90A6-9BE3718FA41C}"/>
    <cellStyle name="RISKbigPercent 5" xfId="36571" xr:uid="{0B4FE26E-0E09-4D71-97AF-159991B197ED}"/>
    <cellStyle name="RISKbigPercent 6" xfId="36572" xr:uid="{1B51EAF7-2701-4604-B471-E27CAB1F1B9C}"/>
    <cellStyle name="RISKbigPercent 7" xfId="36573" xr:uid="{371D42C9-CDB8-4DC3-9F40-8CAC35A833D6}"/>
    <cellStyle name="RISKbigPercent 8" xfId="36574" xr:uid="{350BD4B7-5A42-4ABC-A2AD-AFDA7FDE2CA8}"/>
    <cellStyle name="RISKblandrEdge" xfId="36575" xr:uid="{BAF4B54F-93AB-4C73-9637-CAFD9F2DE797}"/>
    <cellStyle name="RISKblandrEdge 2" xfId="36576" xr:uid="{48E499EB-5584-4AE7-88F5-3B61F3A43313}"/>
    <cellStyle name="RISKblandrEdge 2 2" xfId="36577" xr:uid="{AB0ABD7D-40F2-413C-A601-2570D129E6C8}"/>
    <cellStyle name="RISKblandrEdge 2 3" xfId="36578" xr:uid="{A18E817F-EB7C-475A-B3A0-81E80BE9985C}"/>
    <cellStyle name="RISKblandrEdge 2 4" xfId="36579" xr:uid="{16BF8ED5-2B8A-4B0A-A532-0E2C31372625}"/>
    <cellStyle name="RISKblandrEdge 2 5" xfId="36580" xr:uid="{DCE91541-BAA8-4A07-83FE-4715CE786D67}"/>
    <cellStyle name="RISKblandrEdge 3" xfId="36581" xr:uid="{57529DD6-9430-4D5A-AA55-D03B3A5146B3}"/>
    <cellStyle name="RISKblandrEdge 4" xfId="36582" xr:uid="{399339F1-0999-474A-A6E1-137804298A34}"/>
    <cellStyle name="RISKblandrEdge 5" xfId="36583" xr:uid="{A02FDEFD-5FBB-4E1E-A250-63C3216E1D8F}"/>
    <cellStyle name="RISKblandrEdge 6" xfId="36584" xr:uid="{96DC7797-D775-47AB-BD06-3EB7F3983D8F}"/>
    <cellStyle name="RISKblandrEdge 7" xfId="36585" xr:uid="{602155ED-86BE-43EE-87EC-8B1798F51A08}"/>
    <cellStyle name="RISKblandrEdge 8" xfId="36586" xr:uid="{D770D4C9-B68A-40CC-877E-C87C4F9039C0}"/>
    <cellStyle name="RISKblCorner" xfId="36587" xr:uid="{E77A9D8C-92E2-4370-9D9F-95DA5D5F2D17}"/>
    <cellStyle name="RISKblCorner 2" xfId="36588" xr:uid="{C52A46C7-6CCB-4F76-AA8F-57DD7A2BD013}"/>
    <cellStyle name="RISKblCorner 2 2" xfId="36589" xr:uid="{BBA471FC-29E1-4623-B5CC-C17B3993A578}"/>
    <cellStyle name="RISKblCorner 2 3" xfId="36590" xr:uid="{3DB3003C-CA62-42F0-B56D-54F836CF08EC}"/>
    <cellStyle name="RISKblCorner 2 4" xfId="36591" xr:uid="{ADB99504-3F75-4579-800A-4C40BF79C036}"/>
    <cellStyle name="RISKblCorner 2 5" xfId="36592" xr:uid="{4F3449E8-3AA0-45D9-A397-762408A17E42}"/>
    <cellStyle name="RISKblCorner 3" xfId="36593" xr:uid="{B38EA299-0F66-4885-A929-789AD2709CFF}"/>
    <cellStyle name="RISKblCorner 4" xfId="36594" xr:uid="{1F8EC759-52FE-4091-B73E-15B07C6178E2}"/>
    <cellStyle name="RISKblCorner 5" xfId="36595" xr:uid="{588644BD-8A00-4430-B361-1EB04B9580A0}"/>
    <cellStyle name="RISKblCorner 6" xfId="36596" xr:uid="{24857D7C-3DDE-4841-AE60-FF1BAB2E2551}"/>
    <cellStyle name="RISKblCorner 7" xfId="36597" xr:uid="{9537DE8F-34E6-46D8-87E1-A7261A475DBE}"/>
    <cellStyle name="RISKblCorner 8" xfId="36598" xr:uid="{665E0E7E-88C9-47C5-B12D-3260DC05C77A}"/>
    <cellStyle name="RISKbottomEdge" xfId="36599" xr:uid="{C5CD933D-A92D-4C44-B783-6C944F703EE3}"/>
    <cellStyle name="RISKbottomEdge 2" xfId="36600" xr:uid="{0F7C888C-85D8-46E4-90FA-FA2F622A1C84}"/>
    <cellStyle name="RISKbottomEdge 2 2" xfId="36601" xr:uid="{B7359C93-0CC3-4E52-84D0-DA54D34D0CAC}"/>
    <cellStyle name="RISKbottomEdge 2 3" xfId="36602" xr:uid="{11D2B294-FB89-4CA6-9595-F1855B7C8ACE}"/>
    <cellStyle name="RISKbottomEdge 2 4" xfId="36603" xr:uid="{FBABF907-E8D0-44C0-84BB-D689A2BBC3A3}"/>
    <cellStyle name="RISKbottomEdge 2 5" xfId="36604" xr:uid="{7D15FCF5-FE66-450D-B86A-319016C1B92B}"/>
    <cellStyle name="RISKbottomEdge 3" xfId="36605" xr:uid="{2543A95C-07D1-4A8A-8CD6-5BCAF659B7FF}"/>
    <cellStyle name="RISKbottomEdge 4" xfId="36606" xr:uid="{7BB1D04F-FEB1-4A38-BF78-51A325F8EE08}"/>
    <cellStyle name="RISKbottomEdge 5" xfId="36607" xr:uid="{51831B57-6A3F-4F88-848B-ABCFB52E6DC3}"/>
    <cellStyle name="RISKbottomEdge 6" xfId="36608" xr:uid="{507EEEF2-D885-4B23-ABD0-D5A32B63727C}"/>
    <cellStyle name="RISKbottomEdge 7" xfId="36609" xr:uid="{6D7843EE-9EF7-4413-A7F6-659AF383582E}"/>
    <cellStyle name="RISKbottomEdge 8" xfId="36610" xr:uid="{0B9BC192-B02A-4EA5-A034-25C6E01F3DD8}"/>
    <cellStyle name="RISKbrCorner" xfId="36611" xr:uid="{FEB7ECD2-498D-4407-8197-0A9743D5FD8D}"/>
    <cellStyle name="RISKbrCorner 2" xfId="36612" xr:uid="{61FCC58B-36C8-4BB8-9F34-92C60BD595DF}"/>
    <cellStyle name="RISKbrCorner 2 2" xfId="36613" xr:uid="{0A664299-0B19-445C-BFBD-AF6D908A25F6}"/>
    <cellStyle name="RISKbrCorner 2 3" xfId="36614" xr:uid="{4EBE0C29-8C77-41AB-8FA1-34C5588B0751}"/>
    <cellStyle name="RISKbrCorner 2 4" xfId="36615" xr:uid="{D0B93C2E-4C82-4ABA-9271-0B4184A4979A}"/>
    <cellStyle name="RISKbrCorner 2 5" xfId="36616" xr:uid="{18689714-A0F1-4C1D-ACD8-8621E1F99390}"/>
    <cellStyle name="RISKbrCorner 3" xfId="36617" xr:uid="{CF47FB73-5831-450A-95AA-28E8F74F6F3A}"/>
    <cellStyle name="RISKbrCorner 4" xfId="36618" xr:uid="{49E43F83-9A10-4A07-87E5-7263BBBC8D2B}"/>
    <cellStyle name="RISKbrCorner 5" xfId="36619" xr:uid="{FA9A454F-2933-48AA-AD2B-80FB00F9EAB3}"/>
    <cellStyle name="RISKbrCorner 6" xfId="36620" xr:uid="{3084DAB2-F3BE-48D8-9E00-39BF66F0C831}"/>
    <cellStyle name="RISKbrCorner 7" xfId="36621" xr:uid="{19CFF5A1-BA6E-4AB1-8DCC-5D21FCD14FBE}"/>
    <cellStyle name="RISKbrCorner 8" xfId="36622" xr:uid="{6876E736-C557-4495-8ED5-549242149BB0}"/>
    <cellStyle name="RISKdarkBoxed" xfId="36623" xr:uid="{C89FD033-1BBB-4885-BD05-052F34B4C7AB}"/>
    <cellStyle name="RISKdarkBoxed 2" xfId="36624" xr:uid="{8562CE70-E52B-4402-8325-FAFBC69B7835}"/>
    <cellStyle name="RISKdarkBoxed 2 2" xfId="36625" xr:uid="{C2EB07D6-2BB5-417E-A727-97A20A2A72D4}"/>
    <cellStyle name="RISKdarkBoxed 2 3" xfId="36626" xr:uid="{64991C64-CF9E-4C37-AE92-3B3654459307}"/>
    <cellStyle name="RISKdarkBoxed 2 4" xfId="36627" xr:uid="{F871EB14-B0D2-48EC-BEDC-ADD46E114EFA}"/>
    <cellStyle name="RISKdarkBoxed 2 5" xfId="36628" xr:uid="{99202636-F123-4460-B766-C8F2EFD096BD}"/>
    <cellStyle name="RISKdarkBoxed 3" xfId="36629" xr:uid="{5E5C33EE-5C02-4248-94AE-3ED41411DEAE}"/>
    <cellStyle name="RISKdarkBoxed 4" xfId="36630" xr:uid="{BFEA4815-0EB0-4D6A-B742-2038A848508F}"/>
    <cellStyle name="RISKdarkBoxed 5" xfId="36631" xr:uid="{8A7DCC13-CA1E-4D69-8369-16A94C1C0515}"/>
    <cellStyle name="RISKdarkBoxed 6" xfId="36632" xr:uid="{644C6CAA-7462-40AB-B30F-7DA5DEE46AF0}"/>
    <cellStyle name="RISKdarkBoxed 7" xfId="36633" xr:uid="{B5467A0A-62AD-4796-998D-D4A827C7666A}"/>
    <cellStyle name="RISKdarkBoxed 8" xfId="36634" xr:uid="{1BA4CFEE-816D-4B42-8B28-43B5CDD9C3BE}"/>
    <cellStyle name="RISKdarkShade" xfId="36635" xr:uid="{7FCE4501-BA56-4678-A7D6-548565A742F9}"/>
    <cellStyle name="RISKdarkShade 2" xfId="36636" xr:uid="{8440412B-BF6B-4D1D-9B9E-04A8CE0D9E6F}"/>
    <cellStyle name="RISKdarkShade 2 2" xfId="36637" xr:uid="{806F0054-7A0C-49DF-B1A7-B59A8D1AD6CD}"/>
    <cellStyle name="RISKdarkShade 2 3" xfId="36638" xr:uid="{71C75653-6282-4758-8FB5-7A7BB4FD43F7}"/>
    <cellStyle name="RISKdarkShade 2 4" xfId="36639" xr:uid="{2DD8AE9E-4ADA-4B41-9A01-074ED47E67BE}"/>
    <cellStyle name="RISKdarkShade 2 5" xfId="36640" xr:uid="{9D17623E-BE1B-4F35-89F2-2EACCED1B370}"/>
    <cellStyle name="RISKdarkShade 3" xfId="36641" xr:uid="{F346616A-251B-4CF1-B359-609858BFB8C1}"/>
    <cellStyle name="RISKdarkShade 4" xfId="36642" xr:uid="{964C4445-7771-4011-B790-29EF86EF3571}"/>
    <cellStyle name="RISKdarkShade 5" xfId="36643" xr:uid="{0E8891B8-BC1D-450D-8F1D-8D4A313CD78E}"/>
    <cellStyle name="RISKdarkShade 6" xfId="36644" xr:uid="{5A7DA4BA-A0F9-4271-B9F4-2528BB75BE58}"/>
    <cellStyle name="RISKdarkShade 7" xfId="36645" xr:uid="{59EEE7FC-E564-4F02-8DC2-70D9390FFD0C}"/>
    <cellStyle name="RISKdarkShade 8" xfId="36646" xr:uid="{462DFFEC-2FCB-4715-9182-B6238390B2B8}"/>
    <cellStyle name="RISKdbottomEdge" xfId="36647" xr:uid="{45AC0B27-6A1E-442E-8BB5-631ABD7D3645}"/>
    <cellStyle name="RISKdbottomEdge 2" xfId="36648" xr:uid="{9C1F0446-BC01-4CC7-B389-5821573BA151}"/>
    <cellStyle name="RISKdbottomEdge 2 2" xfId="36649" xr:uid="{20642E8C-1ED9-4106-AAF7-558D37E1FA50}"/>
    <cellStyle name="RISKdbottomEdge 2 3" xfId="36650" xr:uid="{4C45F9F3-4E28-4F64-9484-70DA035EE001}"/>
    <cellStyle name="RISKdbottomEdge 2 4" xfId="36651" xr:uid="{E4EEEB4D-73F1-41B5-91E4-7A0F97A62451}"/>
    <cellStyle name="RISKdbottomEdge 2 5" xfId="36652" xr:uid="{41153EA6-F0E6-4510-B6D5-9909C9742396}"/>
    <cellStyle name="RISKdbottomEdge 3" xfId="36653" xr:uid="{C07C147C-5515-4E67-B379-83058BC2A3F5}"/>
    <cellStyle name="RISKdbottomEdge 4" xfId="36654" xr:uid="{9E2ECED3-86CF-4626-8773-9DEF1DAA0BBE}"/>
    <cellStyle name="RISKdbottomEdge 5" xfId="36655" xr:uid="{91D3F760-5CFE-4EA7-AC0C-3DAFD0BCB67D}"/>
    <cellStyle name="RISKdbottomEdge 6" xfId="36656" xr:uid="{209D896B-6E41-48B8-8334-662EF245E8F5}"/>
    <cellStyle name="RISKdbottomEdge 7" xfId="36657" xr:uid="{D77BFB35-3B38-40B7-8E95-63F2C6B071CC}"/>
    <cellStyle name="RISKdbottomEdge 8" xfId="36658" xr:uid="{E6DFE882-8433-49F6-9E2A-576CE62F87F6}"/>
    <cellStyle name="RISKdrightEdge" xfId="36659" xr:uid="{408F7557-688C-4352-9475-B817F99D818A}"/>
    <cellStyle name="RISKdrightEdge 2" xfId="36660" xr:uid="{D338788B-22D0-4C84-B64A-9E3C8E6E1B2C}"/>
    <cellStyle name="RISKdrightEdge 2 2" xfId="36661" xr:uid="{B10094F2-B16E-428F-903A-3C19EB829AF2}"/>
    <cellStyle name="RISKdrightEdge 2 3" xfId="36662" xr:uid="{34D35EC9-CD89-4F8B-A075-9C2C9151D216}"/>
    <cellStyle name="RISKdrightEdge 2 4" xfId="36663" xr:uid="{0F871E36-49F7-420D-8BCE-202491BCFD21}"/>
    <cellStyle name="RISKdrightEdge 2 5" xfId="36664" xr:uid="{D0D6B2DA-0133-46D5-830C-E3EF73B7B5D8}"/>
    <cellStyle name="RISKdrightEdge 3" xfId="36665" xr:uid="{857DCC7C-EFDE-4C11-8F2E-3126DBEFC7F6}"/>
    <cellStyle name="RISKdrightEdge 4" xfId="36666" xr:uid="{669A2685-16C9-4599-8D48-9EA5FFFF1EB2}"/>
    <cellStyle name="RISKdrightEdge 5" xfId="36667" xr:uid="{DA255683-08A8-435D-A322-987F653FE4B3}"/>
    <cellStyle name="RISKdrightEdge 6" xfId="36668" xr:uid="{83E6AFCD-BA45-4D29-8519-DC2936E61A34}"/>
    <cellStyle name="RISKdrightEdge 7" xfId="36669" xr:uid="{616CFBA0-3268-4C01-A872-06E1CF8D459A}"/>
    <cellStyle name="RISKdrightEdge 8" xfId="36670" xr:uid="{F6E5F33C-E286-4595-A086-A836E7A58503}"/>
    <cellStyle name="RISKdurationTime" xfId="36671" xr:uid="{399FB70F-34E0-49F0-8429-CC5283BEA39A}"/>
    <cellStyle name="RISKdurationTime 2" xfId="36672" xr:uid="{EC235F3B-C0BB-4DFE-A222-8EBEBA5D9FD6}"/>
    <cellStyle name="RISKdurationTime 2 2" xfId="36673" xr:uid="{CA0F9680-6302-4FB0-AB70-222B56D2F060}"/>
    <cellStyle name="RISKdurationTime 2 3" xfId="36674" xr:uid="{8A67FF5F-06FF-44E4-BBEC-EA1AFE216C9E}"/>
    <cellStyle name="RISKdurationTime 2 4" xfId="36675" xr:uid="{4F7E5961-466E-465C-8D4A-7B79ADDBC182}"/>
    <cellStyle name="RISKdurationTime 2 5" xfId="36676" xr:uid="{A568B323-947E-4CBB-B71B-26C954618BFD}"/>
    <cellStyle name="RISKdurationTime 3" xfId="36677" xr:uid="{32B8E5F7-9FD2-437A-80C3-8AC0EDCADCD2}"/>
    <cellStyle name="RISKdurationTime 4" xfId="36678" xr:uid="{95AEF429-A5C6-4BC8-BC99-281F1CFF63CE}"/>
    <cellStyle name="RISKdurationTime 5" xfId="36679" xr:uid="{1E13438A-5FA3-48D8-82DE-A4BDD81BFB73}"/>
    <cellStyle name="RISKdurationTime 6" xfId="36680" xr:uid="{905C15AF-338A-4144-BBDD-EEC1302E48D3}"/>
    <cellStyle name="RISKdurationTime 7" xfId="36681" xr:uid="{7A8B09C8-A0B8-43CA-B8A5-E755635C5D5F}"/>
    <cellStyle name="RISKdurationTime 8" xfId="36682" xr:uid="{F8C60F9B-44B5-4D9A-ABA8-CA7B0E2C17E0}"/>
    <cellStyle name="RISKinNumber" xfId="36683" xr:uid="{4AA8A258-2A33-411A-876D-67F67CA92252}"/>
    <cellStyle name="RISKlandrEdge" xfId="36684" xr:uid="{AD42EE2C-0429-49D4-AE9B-065E649F2240}"/>
    <cellStyle name="RISKlandrEdge 2" xfId="36685" xr:uid="{DEC09981-D3ED-4A13-9205-1D6A33C4139F}"/>
    <cellStyle name="RISKlandrEdge 2 2" xfId="36686" xr:uid="{4AFE6E2C-A322-4A1E-998B-63DAE504F428}"/>
    <cellStyle name="RISKlandrEdge 2 3" xfId="36687" xr:uid="{C02CB9FB-34EE-4F46-9116-44E4A630F428}"/>
    <cellStyle name="RISKlandrEdge 2 4" xfId="36688" xr:uid="{B3A72513-61D2-4C81-8DA7-778747B47711}"/>
    <cellStyle name="RISKlandrEdge 2 5" xfId="36689" xr:uid="{484FF1BC-DFFD-4849-A5FE-A7ACA06A0360}"/>
    <cellStyle name="RISKlandrEdge 3" xfId="36690" xr:uid="{96AB970E-D90A-49BB-8488-E0413A1064A0}"/>
    <cellStyle name="RISKlandrEdge 4" xfId="36691" xr:uid="{CB98EF03-60BC-43BC-B09F-A246957923F3}"/>
    <cellStyle name="RISKlandrEdge 5" xfId="36692" xr:uid="{4EFD2E54-1AC5-48BA-99FD-F623FB94557D}"/>
    <cellStyle name="RISKlandrEdge 6" xfId="36693" xr:uid="{CB60F19A-6A9A-4334-A484-15F6798FA64D}"/>
    <cellStyle name="RISKlandrEdge 7" xfId="36694" xr:uid="{3A20F46E-E8FF-4A82-9162-AB472CB75ECE}"/>
    <cellStyle name="RISKlandrEdge 8" xfId="36695" xr:uid="{99507E09-D5E9-4099-B0ED-E6313DC0D441}"/>
    <cellStyle name="RISKleftEdge" xfId="36696" xr:uid="{44138169-03E4-4F9B-99B9-75101BC01070}"/>
    <cellStyle name="RISKleftEdge 2" xfId="36697" xr:uid="{340D24DE-F482-4D90-A3DD-24B54276EE17}"/>
    <cellStyle name="RISKleftEdge 2 2" xfId="36698" xr:uid="{5EF1D8F2-665A-4EDD-A74E-0E9FEF573E57}"/>
    <cellStyle name="RISKleftEdge 2 3" xfId="36699" xr:uid="{4F082587-FD28-49E4-BC57-2AC974A07D27}"/>
    <cellStyle name="RISKleftEdge 2 4" xfId="36700" xr:uid="{AB4C83E3-E1F6-44B3-AE06-B0FCCDBF91AF}"/>
    <cellStyle name="RISKleftEdge 2 5" xfId="36701" xr:uid="{A1123457-B237-4BF6-B31F-007D453214E7}"/>
    <cellStyle name="RISKleftEdge 3" xfId="36702" xr:uid="{A917470A-0CCE-4DAB-8FAB-C97F2B0BF829}"/>
    <cellStyle name="RISKleftEdge 4" xfId="36703" xr:uid="{C032EC15-BC02-4D70-8DF5-7E20A4B3628B}"/>
    <cellStyle name="RISKleftEdge 5" xfId="36704" xr:uid="{34F1CC4D-4186-4097-8ECD-7CAE9F61593E}"/>
    <cellStyle name="RISKleftEdge 6" xfId="36705" xr:uid="{D5AEBF89-5DCD-4B2F-AEE6-141B763F5A7D}"/>
    <cellStyle name="RISKleftEdge 7" xfId="36706" xr:uid="{D66A703C-5F6B-4C33-BBBC-8191B102E7F1}"/>
    <cellStyle name="RISKleftEdge 8" xfId="36707" xr:uid="{FB07EF91-47BC-4F73-8DE0-864F0A0DED4A}"/>
    <cellStyle name="RISKlightBoxed" xfId="36708" xr:uid="{65CCC3D7-7040-4D5C-A93F-319666801A92}"/>
    <cellStyle name="RISKlightBoxed 2" xfId="36709" xr:uid="{3C06231A-1D59-4CDE-A287-E9C3063436BE}"/>
    <cellStyle name="RISKlightBoxed 2 2" xfId="36710" xr:uid="{FE6B6F99-1836-4E48-8F22-48CC46A3E59D}"/>
    <cellStyle name="RISKlightBoxed 2 3" xfId="36711" xr:uid="{89B92BAC-A836-438E-8045-A1A9A5FB048B}"/>
    <cellStyle name="RISKlightBoxed 2 4" xfId="36712" xr:uid="{8AA1A291-4261-4F72-A9FD-B25B8DBC7549}"/>
    <cellStyle name="RISKlightBoxed 2 5" xfId="36713" xr:uid="{F9FF0382-6F87-41AE-B34E-11A5309DBFF2}"/>
    <cellStyle name="RISKlightBoxed 3" xfId="36714" xr:uid="{F0523211-E4EE-461C-ACFE-6B5D232E589D}"/>
    <cellStyle name="RISKlightBoxed 4" xfId="36715" xr:uid="{920D9304-0A08-4C9D-AFB6-BD90E974942B}"/>
    <cellStyle name="RISKlightBoxed 5" xfId="36716" xr:uid="{B6D96B39-08FF-48B4-9DA6-91992E31BCAF}"/>
    <cellStyle name="RISKlightBoxed 6" xfId="36717" xr:uid="{E851AB7C-D2A4-4557-8319-4615B2098627}"/>
    <cellStyle name="RISKlightBoxed 7" xfId="36718" xr:uid="{76F6C257-B692-4CFA-A214-0EA2A5A5815F}"/>
    <cellStyle name="RISKlightBoxed 8" xfId="36719" xr:uid="{66F89A22-9D49-469D-B0CB-14309967765C}"/>
    <cellStyle name="RISKltandbEdge" xfId="36720" xr:uid="{6AF519F9-6181-463B-8578-3A6F7519C471}"/>
    <cellStyle name="RISKltandbEdge 2" xfId="36721" xr:uid="{0E2E15FD-AA6B-43B0-A342-174A9B9D4AAE}"/>
    <cellStyle name="RISKltandbEdge 2 2" xfId="36722" xr:uid="{E28DE958-8AE6-49B6-8670-71A8A24818F6}"/>
    <cellStyle name="RISKltandbEdge 2 3" xfId="36723" xr:uid="{3DA2C543-B5CB-4465-AD6C-EA22A20906AF}"/>
    <cellStyle name="RISKltandbEdge 2 4" xfId="36724" xr:uid="{D8E5682F-9318-45E5-AC74-8CE370313BAF}"/>
    <cellStyle name="RISKltandbEdge 2 5" xfId="36725" xr:uid="{AFFACF61-D738-4224-9140-0ACD219F39D0}"/>
    <cellStyle name="RISKltandbEdge 3" xfId="36726" xr:uid="{E09749BB-07E7-4CF9-83B1-6227078A43CF}"/>
    <cellStyle name="RISKltandbEdge 4" xfId="36727" xr:uid="{420DF323-DE83-4C66-8136-9A513CDADD5D}"/>
    <cellStyle name="RISKltandbEdge 5" xfId="36728" xr:uid="{745A0946-603F-4CE0-A9F9-85C08714FCBF}"/>
    <cellStyle name="RISKltandbEdge 6" xfId="36729" xr:uid="{385D6571-337D-45B5-937A-36CE7B2FE368}"/>
    <cellStyle name="RISKltandbEdge 7" xfId="36730" xr:uid="{E86C7C39-E870-4325-999A-B514B8DD1190}"/>
    <cellStyle name="RISKltandbEdge 8" xfId="36731" xr:uid="{BCAF0C39-1496-4B2C-97F8-CF92A6E0A131}"/>
    <cellStyle name="RISKnormBoxed" xfId="36732" xr:uid="{7D82005A-6DD2-4DB3-B7BE-694BA8F30907}"/>
    <cellStyle name="RISKnormBoxed 2" xfId="36733" xr:uid="{89CFF345-1CBA-4E7C-844D-F2CEAD6099E7}"/>
    <cellStyle name="RISKnormBoxed 2 2" xfId="36734" xr:uid="{92CB6C65-0E76-4C1A-840F-0C92055123CA}"/>
    <cellStyle name="RISKnormBoxed 2 3" xfId="36735" xr:uid="{8D807C3A-050A-46A1-9C97-7DB2370FF3AD}"/>
    <cellStyle name="RISKnormBoxed 2 4" xfId="36736" xr:uid="{BB91B8F0-C2B5-4247-B43C-D8BC1B623686}"/>
    <cellStyle name="RISKnormBoxed 2 5" xfId="36737" xr:uid="{9DC6A09C-2DC5-4B4F-AB5A-E09ED1F43008}"/>
    <cellStyle name="RISKnormBoxed 3" xfId="36738" xr:uid="{6464F661-B9B0-4775-AA7A-1DFBE86DCED8}"/>
    <cellStyle name="RISKnormBoxed 4" xfId="36739" xr:uid="{4BF57630-BF49-406A-80C6-A63BABEEA53E}"/>
    <cellStyle name="RISKnormBoxed 5" xfId="36740" xr:uid="{A87A00BA-FB93-4858-91C9-F5C4B67014AD}"/>
    <cellStyle name="RISKnormBoxed 6" xfId="36741" xr:uid="{2DAA2B72-F40D-4765-8985-FEF5EB543F73}"/>
    <cellStyle name="RISKnormBoxed 7" xfId="36742" xr:uid="{FF4B126C-55A6-4010-AD5B-EB521116ED59}"/>
    <cellStyle name="RISKnormBoxed 8" xfId="36743" xr:uid="{6543CD68-56FA-4259-BB05-DC8A110362B2}"/>
    <cellStyle name="RISKnormCenter" xfId="36744" xr:uid="{705EC025-3486-46B7-B919-393A0A60932A}"/>
    <cellStyle name="RISKnormCenter 2" xfId="36745" xr:uid="{41DB5597-15B6-4416-99E6-8FA3EEC16923}"/>
    <cellStyle name="RISKnormCenter 2 2" xfId="36746" xr:uid="{ED96379E-A9E4-4E20-A042-76B8E4D64067}"/>
    <cellStyle name="RISKnormCenter 2 3" xfId="36747" xr:uid="{9FE62A09-B79A-40AE-9E6D-A00F788D9D51}"/>
    <cellStyle name="RISKnormCenter 2 4" xfId="36748" xr:uid="{5BBE5D9F-22F8-472A-8574-FB9527F64C81}"/>
    <cellStyle name="RISKnormCenter 2 5" xfId="36749" xr:uid="{9BE4CD6B-0E83-4899-97D8-D892532E1B3E}"/>
    <cellStyle name="RISKnormCenter 3" xfId="36750" xr:uid="{7E725D43-9474-410C-AD6F-AECCB2772E9C}"/>
    <cellStyle name="RISKnormCenter 4" xfId="36751" xr:uid="{C47B6742-FFC1-4D12-A8ED-4CE486DD590F}"/>
    <cellStyle name="RISKnormCenter 5" xfId="36752" xr:uid="{897DF0C5-84A5-4EA4-B6B8-4E5BB9771A2D}"/>
    <cellStyle name="RISKnormCenter 6" xfId="36753" xr:uid="{3972A8C1-491E-4AEB-8CFA-D18A73B81375}"/>
    <cellStyle name="RISKnormCenter 7" xfId="36754" xr:uid="{31C167B1-AAFC-454D-AA25-0F9FF6EBF5AA}"/>
    <cellStyle name="RISKnormCenter 8" xfId="36755" xr:uid="{73D746B1-1639-4827-A3B8-D89035AC94F2}"/>
    <cellStyle name="RISKnormHeading" xfId="36756" xr:uid="{407840B7-BFEF-4137-93B8-319D76A09E1F}"/>
    <cellStyle name="RISKnormHeading 2" xfId="36757" xr:uid="{78BF13E8-F1B9-4B9A-8E9E-257FB9DBE7A2}"/>
    <cellStyle name="RISKnormHeading 2 2" xfId="36758" xr:uid="{D1492A95-03C1-4032-81B6-B854C7E52A60}"/>
    <cellStyle name="RISKnormHeading 2 3" xfId="36759" xr:uid="{90291086-EC90-451D-869A-C520FFE40CBA}"/>
    <cellStyle name="RISKnormHeading 2 4" xfId="36760" xr:uid="{1DEAD50C-83A8-438F-B4AC-A780295D9459}"/>
    <cellStyle name="RISKnormHeading 2 5" xfId="36761" xr:uid="{0352AD9E-96CF-497D-97F3-1574B7946D96}"/>
    <cellStyle name="RISKnormHeading 3" xfId="36762" xr:uid="{1FA311C6-8B92-4EE8-B9DE-D3E0532FA265}"/>
    <cellStyle name="RISKnormHeading 4" xfId="36763" xr:uid="{76177B9C-077F-47C9-A664-649639B5BA68}"/>
    <cellStyle name="RISKnormHeading 5" xfId="36764" xr:uid="{C2C0C39E-F1E5-41CD-97BC-7132E2153485}"/>
    <cellStyle name="RISKnormHeading 6" xfId="36765" xr:uid="{8A3A39BB-02C0-40FE-9262-89E49418E2A5}"/>
    <cellStyle name="RISKnormHeading 7" xfId="36766" xr:uid="{5B23648F-DDED-409F-980B-2AC5570DCC40}"/>
    <cellStyle name="RISKnormHeading 8" xfId="36767" xr:uid="{F3B07AA7-A491-4E04-B835-96C3AA355B18}"/>
    <cellStyle name="RISKnormItal" xfId="36768" xr:uid="{AB40FA09-C44B-4BF5-8EB0-5298E8E2D796}"/>
    <cellStyle name="RISKnormItal 2" xfId="36769" xr:uid="{8E560941-BC0E-415C-886D-8759175D061A}"/>
    <cellStyle name="RISKnormItal 2 2" xfId="36770" xr:uid="{0ACD27A6-A79B-4585-A40A-0E33D580E540}"/>
    <cellStyle name="RISKnormItal 2 3" xfId="36771" xr:uid="{846C207C-8537-430A-BA34-FA1E8AB79B43}"/>
    <cellStyle name="RISKnormItal 2 4" xfId="36772" xr:uid="{D86BE090-07E0-46AD-BC17-947D36AAFECB}"/>
    <cellStyle name="RISKnormItal 2 5" xfId="36773" xr:uid="{0CC84909-B618-4372-A81D-398664A3BDBF}"/>
    <cellStyle name="RISKnormItal 3" xfId="36774" xr:uid="{F49D5958-BE36-4023-9757-6DF5D8D8DD27}"/>
    <cellStyle name="RISKnormItal 4" xfId="36775" xr:uid="{917262CC-6E1F-4AD9-B064-4EE1011C528E}"/>
    <cellStyle name="RISKnormItal 5" xfId="36776" xr:uid="{99B840D5-C24A-4093-83D5-ABAD3EBE5C18}"/>
    <cellStyle name="RISKnormItal 6" xfId="36777" xr:uid="{86E321D8-BCF8-4812-BC57-0B1AB3F04C56}"/>
    <cellStyle name="RISKnormItal 7" xfId="36778" xr:uid="{E31DF5DE-C0B8-493C-8B06-1C3DB3697420}"/>
    <cellStyle name="RISKnormItal 8" xfId="36779" xr:uid="{0AF1D36F-AA94-4BD4-953A-4DBE130CFE0C}"/>
    <cellStyle name="RISKnormLabel" xfId="36780" xr:uid="{E3D5F354-4631-4D8D-A59A-CAA5A7EEF7E9}"/>
    <cellStyle name="RISKnormShade" xfId="36781" xr:uid="{3DA37785-47C6-419D-B197-7BDD51A21592}"/>
    <cellStyle name="RISKnormShade 2" xfId="36782" xr:uid="{83350C40-1F2B-4B2B-8811-35CC9A2F8032}"/>
    <cellStyle name="RISKnormShade 2 2" xfId="36783" xr:uid="{EF4142B7-9EA9-496C-9FED-090C1019DBF5}"/>
    <cellStyle name="RISKnormShade 2 3" xfId="36784" xr:uid="{60D2FCE3-5F40-466A-89EC-796F588476AC}"/>
    <cellStyle name="RISKnormShade 2 4" xfId="36785" xr:uid="{FF4C2060-CC15-4EE7-8B5C-4437D3ADAC40}"/>
    <cellStyle name="RISKnormShade 2 5" xfId="36786" xr:uid="{5C2E3EE3-6BCF-47C0-AFD0-7A92FD0C281E}"/>
    <cellStyle name="RISKnormShade 3" xfId="36787" xr:uid="{2640FECD-61C8-4D39-9DF9-EE1845453E59}"/>
    <cellStyle name="RISKnormShade 4" xfId="36788" xr:uid="{81AF3793-65EA-4D2F-A13A-D11FB901C361}"/>
    <cellStyle name="RISKnormShade 5" xfId="36789" xr:uid="{FDEE5596-5EB5-4F4D-9FC5-22AABA95B793}"/>
    <cellStyle name="RISKnormShade 6" xfId="36790" xr:uid="{125F4965-7E27-43BD-B143-30C55A5F29A7}"/>
    <cellStyle name="RISKnormShade 7" xfId="36791" xr:uid="{A2A7EC10-A114-4ED5-B147-3AD509CE5C38}"/>
    <cellStyle name="RISKnormShade 8" xfId="36792" xr:uid="{47FB9C51-622F-4DC1-B4C4-C29AFA4A82FB}"/>
    <cellStyle name="RISKnormTitle" xfId="36793" xr:uid="{80882770-3686-452F-BC69-08A6AD470FAA}"/>
    <cellStyle name="RISKnormTitle 2" xfId="36794" xr:uid="{5E6FB2A1-2553-4AA6-931A-67B7D5E1F77D}"/>
    <cellStyle name="RISKnormTitle 2 2" xfId="36795" xr:uid="{7D8696E9-A050-4039-A776-22D80B1FF543}"/>
    <cellStyle name="RISKnormTitle 2 3" xfId="36796" xr:uid="{2D847863-E693-4679-85F6-FF9CC8559D32}"/>
    <cellStyle name="RISKnormTitle 2 4" xfId="36797" xr:uid="{3BB0EDEF-A64A-4F1A-A608-929F1F4D2EC1}"/>
    <cellStyle name="RISKnormTitle 2 5" xfId="36798" xr:uid="{5DA1BE7C-8ED7-4CCC-B144-3A66F7D57DD5}"/>
    <cellStyle name="RISKnormTitle 3" xfId="36799" xr:uid="{D0212253-CF85-4EA7-AD8D-B568089DFC81}"/>
    <cellStyle name="RISKnormTitle 4" xfId="36800" xr:uid="{13185A63-EBBD-42D0-AE8B-6772AD42FD80}"/>
    <cellStyle name="RISKnormTitle 5" xfId="36801" xr:uid="{8FDB3B31-6D90-4EA3-99C4-F6D7C0097B77}"/>
    <cellStyle name="RISKnormTitle 6" xfId="36802" xr:uid="{DBBBBAE0-4EAE-4D36-96B3-791BFE7364CB}"/>
    <cellStyle name="RISKnormTitle 7" xfId="36803" xr:uid="{8319C2D3-F803-47F9-950C-D577FC83A69C}"/>
    <cellStyle name="RISKnormTitle 8" xfId="36804" xr:uid="{A029B06C-4622-43EC-A749-5982FB1ED56E}"/>
    <cellStyle name="RISKoutNumber" xfId="36805" xr:uid="{803F0F39-A0B1-4F80-80CE-34B0B4473162}"/>
    <cellStyle name="RISKoutNumber 2" xfId="36806" xr:uid="{E41CDE0C-8A48-4CB0-AF15-465B0ABC3524}"/>
    <cellStyle name="RISKoutNumber 2 2" xfId="36807" xr:uid="{07BFA497-091E-4536-98EA-6B7C9D97A362}"/>
    <cellStyle name="RISKoutNumber 2 3" xfId="36808" xr:uid="{EDF0219A-AB73-4687-ADF1-B4A1342EBC2A}"/>
    <cellStyle name="RISKoutNumber 2 4" xfId="36809" xr:uid="{35837298-C4DE-407C-B8D1-D5897665604E}"/>
    <cellStyle name="RISKoutNumber 2 5" xfId="36810" xr:uid="{32913C4C-A29A-42BA-9058-678B0D857930}"/>
    <cellStyle name="RISKoutNumber 3" xfId="36811" xr:uid="{343C5E52-0D48-497C-8D03-503B6B5A6203}"/>
    <cellStyle name="RISKoutNumber 4" xfId="36812" xr:uid="{09705A9F-4512-4368-9D0E-0665420841B5}"/>
    <cellStyle name="RISKoutNumber 5" xfId="36813" xr:uid="{3EDECDEC-CDFF-40FB-9454-1CB1BB09095C}"/>
    <cellStyle name="RISKoutNumber 6" xfId="36814" xr:uid="{E2A8AB39-BCA0-437F-ADA9-CB8650FFE635}"/>
    <cellStyle name="RISKoutNumber 7" xfId="36815" xr:uid="{486DFD5B-8D11-48E7-A5B7-9DDD1E042788}"/>
    <cellStyle name="RISKoutNumber 8" xfId="36816" xr:uid="{D04A5D0E-C3F1-4C0C-AE87-2881747A0E51}"/>
    <cellStyle name="RISKrightEdge" xfId="36817" xr:uid="{4C832D88-A8FA-4740-B673-834E7A4E071E}"/>
    <cellStyle name="RISKrightEdge 2" xfId="36818" xr:uid="{2EFBAC30-AE91-42FE-BDB0-4656DD7CF6C1}"/>
    <cellStyle name="RISKrightEdge 2 2" xfId="36819" xr:uid="{AE7A2E90-20E0-4204-80FE-8F7ABDFCC486}"/>
    <cellStyle name="RISKrightEdge 2 3" xfId="36820" xr:uid="{E2203A63-E62D-441B-AB0E-2E96F289476D}"/>
    <cellStyle name="RISKrightEdge 2 4" xfId="36821" xr:uid="{8E40C018-829C-447E-9F68-E0A3EF091B39}"/>
    <cellStyle name="RISKrightEdge 2 5" xfId="36822" xr:uid="{80118FE3-9445-4095-94CF-10B0EC7D1645}"/>
    <cellStyle name="RISKrightEdge 3" xfId="36823" xr:uid="{BC662D3A-37B9-4D07-97A1-AD24C802AE4E}"/>
    <cellStyle name="RISKrightEdge 4" xfId="36824" xr:uid="{A52BED17-E5C5-4465-AE3A-8BF96D24C258}"/>
    <cellStyle name="RISKrightEdge 5" xfId="36825" xr:uid="{DAA7484B-DCE8-4771-B4A0-DF05848CC12C}"/>
    <cellStyle name="RISKrightEdge 6" xfId="36826" xr:uid="{46ABD722-CF6D-405B-AB2B-7F6E2AFDF3ED}"/>
    <cellStyle name="RISKrightEdge 7" xfId="36827" xr:uid="{97751B70-DEB2-45FF-AA4C-6CE3116D60AE}"/>
    <cellStyle name="RISKrightEdge 8" xfId="36828" xr:uid="{C28A4170-8B9D-45E0-B6A5-5C5B1846DDD3}"/>
    <cellStyle name="RISKrtandbEdge" xfId="36829" xr:uid="{15597444-B000-413B-8A90-9B9ACECE3891}"/>
    <cellStyle name="RISKrtandbEdge 2" xfId="36830" xr:uid="{EAC1BD93-F43E-4B3B-A110-EF6E1859B9EA}"/>
    <cellStyle name="RISKrtandbEdge 2 2" xfId="36831" xr:uid="{5DC22FB5-A5CA-46C5-BE32-F432AF8B5D42}"/>
    <cellStyle name="RISKrtandbEdge 2 3" xfId="36832" xr:uid="{FE661039-3364-4B52-84CF-7297814E7829}"/>
    <cellStyle name="RISKrtandbEdge 2 4" xfId="36833" xr:uid="{7C19644C-88CE-4CBA-AF64-453AEB19D943}"/>
    <cellStyle name="RISKrtandbEdge 2 5" xfId="36834" xr:uid="{9E4D7ACA-8BCB-4486-BE75-5D4C39C16E03}"/>
    <cellStyle name="RISKrtandbEdge 3" xfId="36835" xr:uid="{E80091A9-C7E9-4CA1-A2CD-3E974781BE70}"/>
    <cellStyle name="RISKrtandbEdge 4" xfId="36836" xr:uid="{C8B34CF5-7BB2-4093-A756-915A18F4C8AB}"/>
    <cellStyle name="RISKrtandbEdge 5" xfId="36837" xr:uid="{31F237B9-C474-437C-93AF-CD5176A0BD5C}"/>
    <cellStyle name="RISKrtandbEdge 6" xfId="36838" xr:uid="{028C9FFF-D49E-4671-928C-1FCECF433598}"/>
    <cellStyle name="RISKrtandbEdge 7" xfId="36839" xr:uid="{F9B38BF4-2740-4B78-AEAA-78453D7A5E16}"/>
    <cellStyle name="RISKrtandbEdge 8" xfId="36840" xr:uid="{A37E3FA3-71C5-4ED5-8D3D-9E2BE42FD68B}"/>
    <cellStyle name="RISKssTime" xfId="36841" xr:uid="{16CA5F0D-B7A1-47B9-BACD-240DB5BEB305}"/>
    <cellStyle name="RISKssTime 2" xfId="36842" xr:uid="{26E14593-AB79-4798-AC49-1140AEF126CC}"/>
    <cellStyle name="RISKssTime 2 2" xfId="36843" xr:uid="{B21A82ED-17E4-4E50-8596-EE8739B670B3}"/>
    <cellStyle name="RISKssTime 2 3" xfId="36844" xr:uid="{25AE036A-5491-4626-B027-376846B55BF9}"/>
    <cellStyle name="RISKssTime 2 4" xfId="36845" xr:uid="{0DF80A85-0F8C-462A-AB3A-FC7C1A5036C0}"/>
    <cellStyle name="RISKssTime 2 5" xfId="36846" xr:uid="{F465F65C-2D03-4FB7-8D02-B4311FEB41AA}"/>
    <cellStyle name="RISKssTime 3" xfId="36847" xr:uid="{67C9A8F8-8C94-4D80-9C25-E84BBB998403}"/>
    <cellStyle name="RISKssTime 4" xfId="36848" xr:uid="{A1A817A8-A020-4423-9627-A608E075E6D9}"/>
    <cellStyle name="RISKssTime 5" xfId="36849" xr:uid="{EDED37DF-E7A0-4591-9856-63F70290CDA1}"/>
    <cellStyle name="RISKssTime 6" xfId="36850" xr:uid="{D623F071-413B-4842-AA95-90521312410A}"/>
    <cellStyle name="RISKssTime 7" xfId="36851" xr:uid="{43022F94-9BA3-4CBF-85E6-8E527F2AE27C}"/>
    <cellStyle name="RISKssTime 8" xfId="36852" xr:uid="{F595C70C-04E0-4DD8-A9B9-8E31340AA729}"/>
    <cellStyle name="RISKtandbEdge" xfId="36853" xr:uid="{51D018CD-D2DA-4F2D-9BFD-A39B4ABEE428}"/>
    <cellStyle name="RISKtandbEdge 2" xfId="36854" xr:uid="{0A310780-ABF5-47C7-9B25-0827CC5D34E3}"/>
    <cellStyle name="RISKtandbEdge 2 2" xfId="36855" xr:uid="{DC586176-F843-4590-AFB4-425FC6DFAFD2}"/>
    <cellStyle name="RISKtandbEdge 2 3" xfId="36856" xr:uid="{C3AA3AF5-8323-4138-89BB-0ACE43EA2D45}"/>
    <cellStyle name="RISKtandbEdge 2 4" xfId="36857" xr:uid="{6B8F82F3-0247-4C42-8A9F-F58381A27D02}"/>
    <cellStyle name="RISKtandbEdge 2 5" xfId="36858" xr:uid="{3696D982-8163-4BB2-A076-FC974D01941D}"/>
    <cellStyle name="RISKtandbEdge 3" xfId="36859" xr:uid="{80E548A6-D598-4CEB-B9B2-7D3B79CE150B}"/>
    <cellStyle name="RISKtandbEdge 4" xfId="36860" xr:uid="{A401DAEF-CDF5-4788-993D-E0426135DC1C}"/>
    <cellStyle name="RISKtandbEdge 5" xfId="36861" xr:uid="{6691EFBB-24D6-4DCB-ADC1-FF6715D1BBB5}"/>
    <cellStyle name="RISKtandbEdge 6" xfId="36862" xr:uid="{B747C631-6853-40A5-AE29-39FCE28379A6}"/>
    <cellStyle name="RISKtandbEdge 7" xfId="36863" xr:uid="{28132D7D-166F-40D9-8ABC-44B4EE87015F}"/>
    <cellStyle name="RISKtandbEdge 8" xfId="36864" xr:uid="{D35C2198-CF6F-486C-BA5C-E7AB5C2D26EF}"/>
    <cellStyle name="RISKtlandrEdge" xfId="36865" xr:uid="{FD010CFE-E271-4975-8869-D234FD88854E}"/>
    <cellStyle name="RISKtlandrEdge 2" xfId="36866" xr:uid="{47A773F3-A489-4349-ACD2-846F04A07B36}"/>
    <cellStyle name="RISKtlandrEdge 2 2" xfId="36867" xr:uid="{32B7D502-D038-4363-A3A1-6E1D38AEA96A}"/>
    <cellStyle name="RISKtlandrEdge 2 3" xfId="36868" xr:uid="{BDC15073-6B73-48F6-8115-1DC106A53B64}"/>
    <cellStyle name="RISKtlandrEdge 2 4" xfId="36869" xr:uid="{9A44970A-E190-4FF0-B004-F32BF33D2606}"/>
    <cellStyle name="RISKtlandrEdge 2 5" xfId="36870" xr:uid="{AD1DECAD-309C-472B-98B6-B34B6DBD1570}"/>
    <cellStyle name="RISKtlandrEdge 3" xfId="36871" xr:uid="{7FC018EF-0A02-4892-997F-8011F035DE5E}"/>
    <cellStyle name="RISKtlandrEdge 4" xfId="36872" xr:uid="{A36C80D1-6521-41EB-BC32-702851E56ED7}"/>
    <cellStyle name="RISKtlandrEdge 5" xfId="36873" xr:uid="{D6CBFB26-E6E7-4616-A573-3A299837C350}"/>
    <cellStyle name="RISKtlandrEdge 6" xfId="36874" xr:uid="{3AD2D354-4274-4A71-A776-F0467D5F7154}"/>
    <cellStyle name="RISKtlandrEdge 7" xfId="36875" xr:uid="{67ADFAE8-6917-4AEA-80CF-6E10F6983C65}"/>
    <cellStyle name="RISKtlandrEdge 8" xfId="36876" xr:uid="{A1391713-E8AD-4C8A-8DBA-B21BE8B99E5F}"/>
    <cellStyle name="RISKtlCorner" xfId="36877" xr:uid="{81E1EC2A-0546-4963-A5EF-5416F1DEA2D0}"/>
    <cellStyle name="RISKtlCorner 2" xfId="36878" xr:uid="{3D7547E0-7614-4959-B837-2765478550C9}"/>
    <cellStyle name="RISKtlCorner 2 2" xfId="36879" xr:uid="{D5A3B805-6622-45E9-AB76-365F7E9AC096}"/>
    <cellStyle name="RISKtlCorner 2 3" xfId="36880" xr:uid="{C643620D-2AD1-4918-833C-EE3A9887F2FD}"/>
    <cellStyle name="RISKtlCorner 2 4" xfId="36881" xr:uid="{23122F56-B7E9-4B8E-A02C-451734AFBF08}"/>
    <cellStyle name="RISKtlCorner 2 5" xfId="36882" xr:uid="{33225F50-A6A9-4CA0-81AC-A66DA7FC1AA0}"/>
    <cellStyle name="RISKtlCorner 3" xfId="36883" xr:uid="{C03E4E3C-2027-4D4A-B366-BC619B2D1945}"/>
    <cellStyle name="RISKtlCorner 4" xfId="36884" xr:uid="{C421DBA9-42CC-47FC-99B1-70B2437BB791}"/>
    <cellStyle name="RISKtlCorner 5" xfId="36885" xr:uid="{5C6EF7EC-FC90-4AC6-9E2F-0A2053D8BF45}"/>
    <cellStyle name="RISKtlCorner 6" xfId="36886" xr:uid="{B2CF68F0-AAC9-49CB-8746-5F3B68B1F13F}"/>
    <cellStyle name="RISKtlCorner 7" xfId="36887" xr:uid="{0E476828-696D-40CB-8CDD-7DE5F9607413}"/>
    <cellStyle name="RISKtlCorner 8" xfId="36888" xr:uid="{D90E4CFD-1DBB-407A-86BF-9840E8B78812}"/>
    <cellStyle name="RISKtopEdge" xfId="36889" xr:uid="{3301F7B7-D6DE-46FF-A60F-2246A395BC9B}"/>
    <cellStyle name="RISKtopEdge 2" xfId="36890" xr:uid="{D3725520-D938-4D12-B4EF-B4225B46A60D}"/>
    <cellStyle name="RISKtopEdge 2 2" xfId="36891" xr:uid="{DD1E51A9-9F12-4161-95D0-E98C64955148}"/>
    <cellStyle name="RISKtopEdge 2 3" xfId="36892" xr:uid="{B14BCC71-D283-4DFC-8EFE-F6E3936CF0C5}"/>
    <cellStyle name="RISKtopEdge 2 4" xfId="36893" xr:uid="{C6A80061-9302-42D9-B879-137EC3A65FCF}"/>
    <cellStyle name="RISKtopEdge 2 5" xfId="36894" xr:uid="{816AFE98-1D0E-42E0-82AC-9CAA970515DB}"/>
    <cellStyle name="RISKtopEdge 3" xfId="36895" xr:uid="{4F1C6242-A075-487A-80E1-68CB531EA880}"/>
    <cellStyle name="RISKtopEdge 4" xfId="36896" xr:uid="{0B042140-5273-44D4-A137-A29CF1BEEF85}"/>
    <cellStyle name="RISKtopEdge 5" xfId="36897" xr:uid="{44E0854E-4861-44E7-8A09-C0E1B87CFB01}"/>
    <cellStyle name="RISKtopEdge 6" xfId="36898" xr:uid="{ADD0E7B3-FDA7-4ACF-A706-E092CFC1C8B6}"/>
    <cellStyle name="RISKtopEdge 7" xfId="36899" xr:uid="{530D027D-C2A6-428C-AE1F-6CE71723A3FE}"/>
    <cellStyle name="RISKtopEdge 8" xfId="36900" xr:uid="{BB7E406E-2C7A-4B6B-B1B5-D4D1DAB7CE92}"/>
    <cellStyle name="RISKtrCorner" xfId="36901" xr:uid="{A635C69E-4FFD-46C0-B428-74E0FB0E5E66}"/>
    <cellStyle name="RISKtrCorner 2" xfId="36902" xr:uid="{99981FC5-4E75-4985-926C-C9C4BEDAD25B}"/>
    <cellStyle name="RISKtrCorner 2 2" xfId="36903" xr:uid="{5F044F5B-DAD8-46A1-A3CB-A7A9F4E449AE}"/>
    <cellStyle name="RISKtrCorner 2 3" xfId="36904" xr:uid="{38DC8ED3-7AA2-4C97-AE88-D24B80217ECB}"/>
    <cellStyle name="RISKtrCorner 2 4" xfId="36905" xr:uid="{42DC4EA0-B1D5-4D5A-B9BB-882DC8744792}"/>
    <cellStyle name="RISKtrCorner 2 5" xfId="36906" xr:uid="{B929E072-20B0-4F75-9204-6C3F9C1D9494}"/>
    <cellStyle name="RISKtrCorner 3" xfId="36907" xr:uid="{AF42F9FE-9191-47FE-AB3B-C05005B9CA04}"/>
    <cellStyle name="RISKtrCorner 4" xfId="36908" xr:uid="{8DBE9A05-F767-4665-BFA3-EFFDBAF7BD98}"/>
    <cellStyle name="RISKtrCorner 5" xfId="36909" xr:uid="{9D1BC8E6-EC5A-4448-B009-C0D49D577E9D}"/>
    <cellStyle name="RISKtrCorner 6" xfId="36910" xr:uid="{BD2115B7-3152-45B7-AC75-7B8B936F5202}"/>
    <cellStyle name="RISKtrCorner 7" xfId="36911" xr:uid="{099F302E-8275-4C9B-803F-1DEACBD4B822}"/>
    <cellStyle name="RISKtrCorner 8" xfId="36912" xr:uid="{9869ECCE-2866-4F91-B352-281D38DB289C}"/>
    <cellStyle name="rngLCDatePaste" xfId="36913" xr:uid="{677C9BAC-8265-4BB5-8345-0317D52C08CB}"/>
    <cellStyle name="Row_CategoryHeadings" xfId="36914" xr:uid="{114DB591-F673-45B3-97F6-5EF4AD8DEB68}"/>
    <cellStyle name="Sample" xfId="36915" xr:uid="{DB98D012-1E7B-45A5-B9E7-10AEBEB415E0}"/>
    <cellStyle name="SAPBEXaggData" xfId="36916" xr:uid="{23E95265-0488-497A-A342-C7A8D7475172}"/>
    <cellStyle name="SAPBEXaggData 2" xfId="36917" xr:uid="{75568A4E-8436-42B7-AEEF-1A691E57B299}"/>
    <cellStyle name="SAPBEXaggDataEmph" xfId="36918" xr:uid="{29A2877C-8A65-4DF1-B963-A3D87B244F10}"/>
    <cellStyle name="SAPBEXaggDataEmph 2" xfId="36919" xr:uid="{7A16503D-3B62-4A37-B66B-FBCFFF27BCB3}"/>
    <cellStyle name="SAPBEXaggItem" xfId="36920" xr:uid="{021FD328-4561-44C3-9971-D315BC675951}"/>
    <cellStyle name="SAPBEXaggItem 2" xfId="36921" xr:uid="{E10A0A5E-5A95-4452-842C-6BF3241CF0A0}"/>
    <cellStyle name="SAPBEXaggItemX" xfId="36922" xr:uid="{139DE572-20D6-4A5E-B790-C716E936DCF2}"/>
    <cellStyle name="SAPBEXaggItemX 2" xfId="36923" xr:uid="{A4B8BE1F-53E8-4022-8C04-6B764704C6B7}"/>
    <cellStyle name="SAPBEXchaText" xfId="36924" xr:uid="{5AA28C43-5CD5-42D5-A670-31E61DC90762}"/>
    <cellStyle name="SAPBEXchaText 2" xfId="36925" xr:uid="{BB55515B-FC4E-4049-9F32-002466915C47}"/>
    <cellStyle name="SAPBEXchaText 2 2" xfId="36926" xr:uid="{71C242D9-6D25-418C-BD84-26E6D81B5B2D}"/>
    <cellStyle name="SAPBEXchaText 2 3" xfId="36927" xr:uid="{2F8C2782-DBF4-40E4-B814-CAECC8098B35}"/>
    <cellStyle name="SAPBEXchaText 2 4" xfId="36928" xr:uid="{550B5588-1847-4716-9507-4DE10F3F1548}"/>
    <cellStyle name="SAPBEXchaText 2 5" xfId="36929" xr:uid="{E5D5C5B0-130A-48F8-B811-72F350494BEC}"/>
    <cellStyle name="SAPBEXchaText 3" xfId="36930" xr:uid="{A2F0E2CE-B8CC-4F5D-8C40-C06C60CAA1FC}"/>
    <cellStyle name="SAPBEXchaText 4" xfId="36931" xr:uid="{649EF9F1-6318-4102-9155-FF50F670E40E}"/>
    <cellStyle name="SAPBEXchaText 5" xfId="36932" xr:uid="{F8209B96-C96F-4030-931B-83E4EB583934}"/>
    <cellStyle name="SAPBEXchaText 6" xfId="36933" xr:uid="{C28DDD36-0306-4644-AE46-CE22903D874F}"/>
    <cellStyle name="SAPBEXchaText 7" xfId="36934" xr:uid="{2846B747-8397-4EFF-A7EE-3F86069F18FE}"/>
    <cellStyle name="SAPBEXchaText 8" xfId="36935" xr:uid="{E2364D82-2AAD-4754-8A0B-D758D1539B38}"/>
    <cellStyle name="SAPBEXchaText 9" xfId="36936" xr:uid="{E5144C45-7494-4A65-BC21-B0BD48CC45CB}"/>
    <cellStyle name="SAPBEXexcBad7" xfId="36937" xr:uid="{6BA56F81-08D6-44FA-9092-638D835778D9}"/>
    <cellStyle name="SAPBEXexcBad7 2" xfId="36938" xr:uid="{CE1767FD-0CB3-4DF4-B21F-52A990956DCA}"/>
    <cellStyle name="SAPBEXexcBad8" xfId="36939" xr:uid="{8CE49777-D996-4150-B8A0-53E94BEBB56A}"/>
    <cellStyle name="SAPBEXexcBad8 2" xfId="36940" xr:uid="{20465A34-EA7A-465B-B23F-F09603544CDC}"/>
    <cellStyle name="SAPBEXexcBad9" xfId="36941" xr:uid="{2AA6822B-DEFC-45EC-AC6F-6D41FD804341}"/>
    <cellStyle name="SAPBEXexcBad9 2" xfId="36942" xr:uid="{781A7CFF-D833-41E0-ADA4-F475FAFB9771}"/>
    <cellStyle name="SAPBEXexcCritical4" xfId="36943" xr:uid="{2D6814E1-7034-4A74-8EEC-06F2E2C415A3}"/>
    <cellStyle name="SAPBEXexcCritical4 2" xfId="36944" xr:uid="{A093F478-C3F4-4497-B4CF-19B9BA680585}"/>
    <cellStyle name="SAPBEXexcCritical5" xfId="36945" xr:uid="{6D23129D-FFBD-42E0-A829-F3B0F97CCEBD}"/>
    <cellStyle name="SAPBEXexcCritical5 2" xfId="36946" xr:uid="{FFB1AB7C-B83B-43C9-A87C-B22A9E8A3DC1}"/>
    <cellStyle name="SAPBEXexcCritical6" xfId="36947" xr:uid="{92866AC9-5B86-4493-9DCC-5669ED562AFB}"/>
    <cellStyle name="SAPBEXexcCritical6 2" xfId="36948" xr:uid="{796A720C-3110-44C7-9B9A-82CB151B6C86}"/>
    <cellStyle name="SAPBEXexcGood1" xfId="36949" xr:uid="{4E03BD31-9EC2-4A7E-A9D2-ACC44310F7CB}"/>
    <cellStyle name="SAPBEXexcGood1 2" xfId="36950" xr:uid="{BA354F03-484F-49C9-87EE-DD59A7C394A0}"/>
    <cellStyle name="SAPBEXexcGood2" xfId="36951" xr:uid="{68226ED5-6396-49CD-A4A0-3C8CD3A71AF5}"/>
    <cellStyle name="SAPBEXexcGood2 2" xfId="36952" xr:uid="{ECDF565A-02FF-45DA-852A-EF9F3360D5D1}"/>
    <cellStyle name="SAPBEXexcGood3" xfId="36953" xr:uid="{8277B3E2-DA2C-4EBA-9931-00158137275F}"/>
    <cellStyle name="SAPBEXexcGood3 2" xfId="36954" xr:uid="{B153BBBC-CF21-49B3-9E44-2454B1273E47}"/>
    <cellStyle name="SAPBEXfilterDrill" xfId="36955" xr:uid="{36B8921B-5134-4ABF-843D-2330B52716B6}"/>
    <cellStyle name="SAPBEXfilterDrill 2" xfId="36956" xr:uid="{7DD7350F-80E5-420E-A9DF-C03C58D5D28D}"/>
    <cellStyle name="SAPBEXfilterDrill 3" xfId="36957" xr:uid="{E4D769AC-17FC-474C-BAE1-EF76094D5550}"/>
    <cellStyle name="SAPBEXfilterDrill 4" xfId="36958" xr:uid="{BF63F1C0-D214-46F5-BAD9-D5E339352DFC}"/>
    <cellStyle name="SAPBEXfilterDrill 5" xfId="36959" xr:uid="{CA726F38-55A2-411B-A427-416637328E90}"/>
    <cellStyle name="SAPBEXfilterDrill 6" xfId="36960" xr:uid="{9CE3A4D1-A6F6-4446-99DA-49878B4BFAFF}"/>
    <cellStyle name="SAPBEXfilterDrill 7" xfId="36961" xr:uid="{A2302B4A-B501-4C58-93C9-C85DD2DA1BFB}"/>
    <cellStyle name="SAPBEXfilterItem" xfId="36962" xr:uid="{79607352-28D5-48E4-B269-603418BE9371}"/>
    <cellStyle name="SAPBEXfilterText" xfId="36963" xr:uid="{029F04FB-9113-4C03-B36D-07359F7E27A5}"/>
    <cellStyle name="SAPBEXfilterText 2" xfId="36964" xr:uid="{71637107-1BF9-46CA-86CE-D1C9A6D042A5}"/>
    <cellStyle name="SAPBEXfilterText 3" xfId="36965" xr:uid="{A27D50CE-9A9A-49F5-BC92-A93B2BBC45BD}"/>
    <cellStyle name="SAPBEXfilterText 4" xfId="36966" xr:uid="{7B30A5B9-DB6C-46BF-BA84-E61F5B2AFDF8}"/>
    <cellStyle name="SAPBEXfilterText 5" xfId="36967" xr:uid="{6AF64AF1-DC57-4A22-92EE-65C788E516F1}"/>
    <cellStyle name="SAPBEXfilterText 6" xfId="36968" xr:uid="{43E9E6C4-8179-4647-80B7-AFE0C1BEE2CF}"/>
    <cellStyle name="SAPBEXformats" xfId="36969" xr:uid="{F25C16D5-8CD3-4CC6-97BD-56A60876CF67}"/>
    <cellStyle name="SAPBEXformats 2" xfId="36970" xr:uid="{68CE9363-5CE9-4CDB-882A-79229BEAC51C}"/>
    <cellStyle name="SAPBEXformats 2 2" xfId="36971" xr:uid="{FE7508AB-B33F-4F5A-8B6E-D40DC46DC8F6}"/>
    <cellStyle name="SAPBEXformats 2 3" xfId="36972" xr:uid="{E383E77C-B217-4CF0-9EEF-6508E1826B3A}"/>
    <cellStyle name="SAPBEXformats 2 4" xfId="36973" xr:uid="{5124A13D-B394-4609-AB04-0CB2CB6DE546}"/>
    <cellStyle name="SAPBEXformats 2 5" xfId="36974" xr:uid="{AF212D91-43D3-4D4C-9A06-E751DE7D4284}"/>
    <cellStyle name="SAPBEXformats 3" xfId="36975" xr:uid="{52CB08A8-582B-42C9-A8C6-6AEA5AE31143}"/>
    <cellStyle name="SAPBEXformats 4" xfId="36976" xr:uid="{40AA0F33-59F1-4035-B5E6-515875AD8F51}"/>
    <cellStyle name="SAPBEXformats 5" xfId="36977" xr:uid="{84ABB64F-6731-4924-A17B-7D22839ABD7A}"/>
    <cellStyle name="SAPBEXformats 6" xfId="36978" xr:uid="{F82CC6FC-B150-4115-B9B3-044B6E151C6E}"/>
    <cellStyle name="SAPBEXformats 7" xfId="36979" xr:uid="{33AF1A7F-8034-48A5-952E-9E34316D0E47}"/>
    <cellStyle name="SAPBEXformats 8" xfId="36980" xr:uid="{523ED206-2BFF-49D8-B060-8502080E88F7}"/>
    <cellStyle name="SAPBEXformats 9" xfId="36981" xr:uid="{79881032-8269-43E6-BE0A-BDDD7F5726C2}"/>
    <cellStyle name="SAPBEXheaderItem" xfId="36982" xr:uid="{137CEDF2-4725-4A06-BAC8-048931E05516}"/>
    <cellStyle name="SAPBEXheaderItem 2" xfId="36983" xr:uid="{6FECE86C-CECD-4C79-8BBA-33323507F207}"/>
    <cellStyle name="SAPBEXheaderItem 3" xfId="36984" xr:uid="{796E6A60-6348-4D54-B092-AF78EC400F0E}"/>
    <cellStyle name="SAPBEXheaderItem 4" xfId="36985" xr:uid="{0C82A40C-563B-4B58-B028-88272BDDC98B}"/>
    <cellStyle name="SAPBEXheaderItem 5" xfId="36986" xr:uid="{B59EBC3D-B97C-4CB1-A36E-63D47443F598}"/>
    <cellStyle name="SAPBEXheaderItem 6" xfId="36987" xr:uid="{FFF25F6A-7B3B-4D01-811B-2E8E1D16E4D2}"/>
    <cellStyle name="SAPBEXheaderItem 7" xfId="36988" xr:uid="{D38CA677-29A7-47B6-ABCA-19C2FE380DCB}"/>
    <cellStyle name="SAPBEXheaderText" xfId="36989" xr:uid="{94E1EC16-85A2-4E69-916D-CA60888AB0E4}"/>
    <cellStyle name="SAPBEXheaderText 2" xfId="36990" xr:uid="{02BC5AC4-7455-4582-917C-678183A0A960}"/>
    <cellStyle name="SAPBEXheaderText 3" xfId="36991" xr:uid="{7013C872-93CE-4DF2-A568-34A5F627E7C8}"/>
    <cellStyle name="SAPBEXheaderText 4" xfId="36992" xr:uid="{8C2250C9-FB89-48F0-8D05-9752AA0D5455}"/>
    <cellStyle name="SAPBEXheaderText 5" xfId="36993" xr:uid="{299618B9-8B5C-486F-AE6F-B768561B6A2D}"/>
    <cellStyle name="SAPBEXheaderText 6" xfId="36994" xr:uid="{1C976216-D471-4DEC-9936-DFA269635C67}"/>
    <cellStyle name="SAPBEXheaderText 7" xfId="36995" xr:uid="{B1A2393F-3DBC-4E19-A619-4AAFE8545508}"/>
    <cellStyle name="SAPBEXHLevel0" xfId="36996" xr:uid="{57B23730-7B87-41F3-986F-4CB9791C6711}"/>
    <cellStyle name="SAPBEXHLevel0 2" xfId="36997" xr:uid="{7F8AF7E7-83A1-4CCF-9F33-CDCD78BBAE2F}"/>
    <cellStyle name="SAPBEXHLevel0 2 2" xfId="36998" xr:uid="{3EA03984-1E04-4879-A2F1-BEDD525CA1D8}"/>
    <cellStyle name="SAPBEXHLevel0 2 3" xfId="36999" xr:uid="{C8979C1C-3C54-4883-B3F4-5220BD80884B}"/>
    <cellStyle name="SAPBEXHLevel0 2 4" xfId="37000" xr:uid="{E52BF1F6-3528-44D7-8654-221EA4200741}"/>
    <cellStyle name="SAPBEXHLevel0 2 5" xfId="37001" xr:uid="{BF96A262-9084-42FE-ADEF-DCC34541ABC2}"/>
    <cellStyle name="SAPBEXHLevel0 3" xfId="37002" xr:uid="{38CAB331-DF8C-4FDA-A027-927777F20D4C}"/>
    <cellStyle name="SAPBEXHLevel0 4" xfId="37003" xr:uid="{86198621-F515-45D1-BB1C-7B6EEF267093}"/>
    <cellStyle name="SAPBEXHLevel0 5" xfId="37004" xr:uid="{C6C852A9-B58A-4A8D-916E-4F176B9D5F3F}"/>
    <cellStyle name="SAPBEXHLevel0 6" xfId="37005" xr:uid="{9171ECCD-C762-4D57-B18E-2834D308D309}"/>
    <cellStyle name="SAPBEXHLevel0 7" xfId="37006" xr:uid="{D66C6613-76F4-4CA8-9150-A0AF2F57C272}"/>
    <cellStyle name="SAPBEXHLevel0 8" xfId="37007" xr:uid="{54078410-1C82-40A7-ADF2-D33C9972442D}"/>
    <cellStyle name="SAPBEXHLevel0 9" xfId="37008" xr:uid="{B0BB6034-E33C-4C7B-9C1C-08E7DA0572BD}"/>
    <cellStyle name="SAPBEXHLevel0X" xfId="37009" xr:uid="{9F6404C5-8B05-487D-A70C-27D7DE29DF0B}"/>
    <cellStyle name="SAPBEXHLevel0X 2" xfId="37010" xr:uid="{F0EBB401-E8FC-40AD-8348-E8378950BF98}"/>
    <cellStyle name="SAPBEXHLevel0X 2 2" xfId="37011" xr:uid="{0384F6CF-ABD1-4265-9EF8-22F93DDC7C45}"/>
    <cellStyle name="SAPBEXHLevel0X 2 3" xfId="37012" xr:uid="{D4E09C7B-38FC-4057-9C67-538741DED88E}"/>
    <cellStyle name="SAPBEXHLevel0X 2 4" xfId="37013" xr:uid="{359845FF-D36D-426C-9C75-4905B49EE847}"/>
    <cellStyle name="SAPBEXHLevel0X 2 5" xfId="37014" xr:uid="{A987524E-4C77-48C5-8051-04724415D7B0}"/>
    <cellStyle name="SAPBEXHLevel0X 3" xfId="37015" xr:uid="{2AFF2981-4285-43D3-B1B2-39F12408E67B}"/>
    <cellStyle name="SAPBEXHLevel0X 4" xfId="37016" xr:uid="{2AAE027A-24B6-4A78-9C47-B054138B0CAD}"/>
    <cellStyle name="SAPBEXHLevel0X 5" xfId="37017" xr:uid="{2F0B6BD2-146E-4059-9F36-C919B22AA0C4}"/>
    <cellStyle name="SAPBEXHLevel0X 6" xfId="37018" xr:uid="{CFDF8BCA-7456-43B7-AF54-EA6DF3D6375D}"/>
    <cellStyle name="SAPBEXHLevel0X 7" xfId="37019" xr:uid="{AF5145C6-CBFD-4F31-8565-3B50D442F2F3}"/>
    <cellStyle name="SAPBEXHLevel0X 8" xfId="37020" xr:uid="{5E361705-88E3-4B5B-88A6-09C0FB71274D}"/>
    <cellStyle name="SAPBEXHLevel0X 9" xfId="37021" xr:uid="{000B7CE6-753C-438C-A26B-001D0B4B383F}"/>
    <cellStyle name="SAPBEXHLevel1" xfId="37022" xr:uid="{446A9DFC-0AE2-4B83-A3D6-D589E1CE04C0}"/>
    <cellStyle name="SAPBEXHLevel1 2" xfId="37023" xr:uid="{07F8A20E-F01C-462A-BB22-0ADC97529B3C}"/>
    <cellStyle name="SAPBEXHLevel1 2 2" xfId="37024" xr:uid="{8601A0E8-2A61-4B74-BBF1-73C06B970999}"/>
    <cellStyle name="SAPBEXHLevel1 2 3" xfId="37025" xr:uid="{9FBB976E-EE0B-4B9E-80D9-EABC0B3D08C1}"/>
    <cellStyle name="SAPBEXHLevel1 2 4" xfId="37026" xr:uid="{4CC75304-5A81-41D2-856C-7AFFDBCA9156}"/>
    <cellStyle name="SAPBEXHLevel1 2 5" xfId="37027" xr:uid="{4642CDD8-5269-4332-879B-E967A637251A}"/>
    <cellStyle name="SAPBEXHLevel1 3" xfId="37028" xr:uid="{8108E349-ACDC-4455-83E2-6893498DCC18}"/>
    <cellStyle name="SAPBEXHLevel1 4" xfId="37029" xr:uid="{CFBA1510-7E9D-48AC-A2E4-843D77AEC0EC}"/>
    <cellStyle name="SAPBEXHLevel1 5" xfId="37030" xr:uid="{A10AD0E9-8FFE-4761-A9DD-BDF9CBA1F111}"/>
    <cellStyle name="SAPBEXHLevel1 6" xfId="37031" xr:uid="{AB3B3694-8541-4033-9A68-97F705F672D5}"/>
    <cellStyle name="SAPBEXHLevel1 7" xfId="37032" xr:uid="{88A963C1-FFBF-4713-A74D-9FF689A39790}"/>
    <cellStyle name="SAPBEXHLevel1 8" xfId="37033" xr:uid="{BEF7C6B6-EEA5-4326-931A-6438D401D522}"/>
    <cellStyle name="SAPBEXHLevel1 9" xfId="37034" xr:uid="{03D58845-8A81-4682-9439-384F4D0BC191}"/>
    <cellStyle name="SAPBEXHLevel1X" xfId="37035" xr:uid="{8A20BE35-2482-40A5-BE6B-B82D8785E589}"/>
    <cellStyle name="SAPBEXHLevel1X 2" xfId="37036" xr:uid="{2EF868A7-8C1D-4534-A451-CF97399AE407}"/>
    <cellStyle name="SAPBEXHLevel1X 2 2" xfId="37037" xr:uid="{3C7F1FA3-CB51-43F9-89FD-FE1CB81B1CAE}"/>
    <cellStyle name="SAPBEXHLevel1X 2 3" xfId="37038" xr:uid="{3ED42AFA-49C0-40BE-8848-214C23E361FC}"/>
    <cellStyle name="SAPBEXHLevel1X 2 4" xfId="37039" xr:uid="{C1CD4248-7730-4B51-A810-E37DDBA5D3EA}"/>
    <cellStyle name="SAPBEXHLevel1X 2 5" xfId="37040" xr:uid="{E5238026-2C1F-497C-8268-1FF0449ACD43}"/>
    <cellStyle name="SAPBEXHLevel1X 3" xfId="37041" xr:uid="{B573E61F-93B7-4F42-B0F1-7AF0AE67A693}"/>
    <cellStyle name="SAPBEXHLevel1X 4" xfId="37042" xr:uid="{DC6E67A7-1F15-4096-9F3A-58D43308C813}"/>
    <cellStyle name="SAPBEXHLevel1X 5" xfId="37043" xr:uid="{0B456659-E914-4B82-AE7C-B8446F4C5B5F}"/>
    <cellStyle name="SAPBEXHLevel1X 6" xfId="37044" xr:uid="{41257237-1263-4855-91AD-62B480BC3C30}"/>
    <cellStyle name="SAPBEXHLevel1X 7" xfId="37045" xr:uid="{F8809904-D84B-474D-9DE3-745D03F8080F}"/>
    <cellStyle name="SAPBEXHLevel1X 8" xfId="37046" xr:uid="{52E0110E-5489-4641-B6E5-F477100C0E7E}"/>
    <cellStyle name="SAPBEXHLevel1X 9" xfId="37047" xr:uid="{16B8586E-DCA5-4376-8A48-ABE078AF563C}"/>
    <cellStyle name="SAPBEXHLevel2" xfId="37048" xr:uid="{5EEE59FD-3741-43E9-82DB-0023917B0390}"/>
    <cellStyle name="SAPBEXHLevel2 2" xfId="37049" xr:uid="{889F6D92-29BF-4A11-9FC4-9D08E8EB393C}"/>
    <cellStyle name="SAPBEXHLevel2 2 2" xfId="37050" xr:uid="{C6EE7392-DCBC-4D8C-A6B5-73047115B65E}"/>
    <cellStyle name="SAPBEXHLevel2 2 3" xfId="37051" xr:uid="{D1D9C199-AE5B-464C-8A33-40E92BB35D53}"/>
    <cellStyle name="SAPBEXHLevel2 2 4" xfId="37052" xr:uid="{1DF1CEFB-1C07-432B-BFE1-3059B0A904D3}"/>
    <cellStyle name="SAPBEXHLevel2 2 5" xfId="37053" xr:uid="{332C0D7F-5A36-4452-BA48-2F3531E98FB1}"/>
    <cellStyle name="SAPBEXHLevel2 3" xfId="37054" xr:uid="{AB4DAB3E-9EAA-4B21-A61B-26DF70287417}"/>
    <cellStyle name="SAPBEXHLevel2 4" xfId="37055" xr:uid="{44AB59DB-35FC-4E3A-8D9F-D853F5E62984}"/>
    <cellStyle name="SAPBEXHLevel2 5" xfId="37056" xr:uid="{75665935-4D80-4E8B-B59B-3E0D862EAFEC}"/>
    <cellStyle name="SAPBEXHLevel2 6" xfId="37057" xr:uid="{6D7CF063-4753-44B9-910D-881843E93506}"/>
    <cellStyle name="SAPBEXHLevel2 7" xfId="37058" xr:uid="{A3C90078-D404-4667-BC8A-B85DF125C0BC}"/>
    <cellStyle name="SAPBEXHLevel2 8" xfId="37059" xr:uid="{BFF2FB36-23DA-4FEF-A25D-48120F84EA79}"/>
    <cellStyle name="SAPBEXHLevel2 9" xfId="37060" xr:uid="{8F116C8F-C785-416A-BA10-7633FD809754}"/>
    <cellStyle name="SAPBEXHLevel2X" xfId="37061" xr:uid="{388B030C-4E15-47D5-86D4-EEF5269691DB}"/>
    <cellStyle name="SAPBEXHLevel2X 2" xfId="37062" xr:uid="{2C7A4DF7-C600-4CA0-B652-7B3B369926E8}"/>
    <cellStyle name="SAPBEXHLevel2X 2 2" xfId="37063" xr:uid="{49C2E42E-9350-4268-AFEF-C8CFF281D0BD}"/>
    <cellStyle name="SAPBEXHLevel2X 2 3" xfId="37064" xr:uid="{73379719-6227-404B-BAE8-EE4B1CE7564E}"/>
    <cellStyle name="SAPBEXHLevel2X 2 4" xfId="37065" xr:uid="{DC773CA5-DEE3-4014-93A8-74947FF4A5A7}"/>
    <cellStyle name="SAPBEXHLevel2X 2 5" xfId="37066" xr:uid="{7D24047C-F1B0-4DCF-B2AD-D870479A89B0}"/>
    <cellStyle name="SAPBEXHLevel2X 3" xfId="37067" xr:uid="{2EE21CDE-ACEC-4513-818B-5031E2C402AD}"/>
    <cellStyle name="SAPBEXHLevel2X 4" xfId="37068" xr:uid="{59F82A21-7F40-48B6-A921-B984B2EAB3B8}"/>
    <cellStyle name="SAPBEXHLevel2X 5" xfId="37069" xr:uid="{895D2D62-6ED5-4BAA-8855-75BDDC82545F}"/>
    <cellStyle name="SAPBEXHLevel2X 6" xfId="37070" xr:uid="{BB5FAF16-FF4D-414F-AD60-EB150DD76C25}"/>
    <cellStyle name="SAPBEXHLevel2X 7" xfId="37071" xr:uid="{01D55412-9F6A-46B3-8B07-2A1781FDA867}"/>
    <cellStyle name="SAPBEXHLevel2X 8" xfId="37072" xr:uid="{820BD51D-9D60-4BCF-A074-9A7B2F2BAB42}"/>
    <cellStyle name="SAPBEXHLevel2X 9" xfId="37073" xr:uid="{DFE768E4-EE69-4F05-8237-922F2BF0EFC5}"/>
    <cellStyle name="SAPBEXHLevel3" xfId="37074" xr:uid="{475033C5-0994-46FB-88F5-46908A9AF202}"/>
    <cellStyle name="SAPBEXHLevel3 2" xfId="37075" xr:uid="{E4A6441A-E30A-47EA-A889-22063C2E1E46}"/>
    <cellStyle name="SAPBEXHLevel3 2 2" xfId="37076" xr:uid="{9741F329-6C48-40D6-9F4F-AEBB645CCC4B}"/>
    <cellStyle name="SAPBEXHLevel3 2 3" xfId="37077" xr:uid="{053E9BB7-48A7-4DC9-A9DC-425D6B7F0BE9}"/>
    <cellStyle name="SAPBEXHLevel3 2 4" xfId="37078" xr:uid="{69072807-6FF8-498A-8339-20051936EE90}"/>
    <cellStyle name="SAPBEXHLevel3 2 5" xfId="37079" xr:uid="{E7AD677F-7D5F-484A-B6E6-67D0D1D62D96}"/>
    <cellStyle name="SAPBEXHLevel3 3" xfId="37080" xr:uid="{C9C33795-E75B-4446-8F97-6F21EACEE6F4}"/>
    <cellStyle name="SAPBEXHLevel3 4" xfId="37081" xr:uid="{6F03CB6C-34FA-4BBE-9E14-E38D45C0172D}"/>
    <cellStyle name="SAPBEXHLevel3 5" xfId="37082" xr:uid="{B3ABF641-67BA-4CD8-8426-95C2AF7D5AA5}"/>
    <cellStyle name="SAPBEXHLevel3 6" xfId="37083" xr:uid="{47DF0825-9CD7-45F7-9FE2-37EA8FB037E0}"/>
    <cellStyle name="SAPBEXHLevel3 7" xfId="37084" xr:uid="{A76E34BD-C19B-44C5-AB4C-34FF1C8AF577}"/>
    <cellStyle name="SAPBEXHLevel3 8" xfId="37085" xr:uid="{0AEAB4A3-0F59-4DB1-BBAE-FA912AB509F3}"/>
    <cellStyle name="SAPBEXHLevel3 9" xfId="37086" xr:uid="{26D98C53-3BB8-41D4-82DD-3F3CAD697288}"/>
    <cellStyle name="SAPBEXHLevel3X" xfId="37087" xr:uid="{41361C56-2C23-4D5B-97B3-B19951DD1397}"/>
    <cellStyle name="SAPBEXHLevel3X 2" xfId="37088" xr:uid="{B5FE9F72-EECD-46EB-A4FD-B0189D1417E9}"/>
    <cellStyle name="SAPBEXHLevel3X 2 2" xfId="37089" xr:uid="{E828F417-319A-4AEB-BFA5-083685EDDABE}"/>
    <cellStyle name="SAPBEXHLevel3X 2 3" xfId="37090" xr:uid="{D785440A-F461-45D9-9AEA-EA5B22F31ABC}"/>
    <cellStyle name="SAPBEXHLevel3X 2 4" xfId="37091" xr:uid="{03F5E10E-952A-4E02-BA96-30C73A5DC04B}"/>
    <cellStyle name="SAPBEXHLevel3X 2 5" xfId="37092" xr:uid="{A15E546E-84D8-4429-A41B-4977D6FF3FF4}"/>
    <cellStyle name="SAPBEXHLevel3X 3" xfId="37093" xr:uid="{193FFA1B-1048-47E3-B7C3-DB4B01EB6882}"/>
    <cellStyle name="SAPBEXHLevel3X 4" xfId="37094" xr:uid="{9999F353-27FF-48D3-A7BF-A2FFE004E695}"/>
    <cellStyle name="SAPBEXHLevel3X 5" xfId="37095" xr:uid="{CA761787-F16A-4746-85F1-2822DCD1F964}"/>
    <cellStyle name="SAPBEXHLevel3X 6" xfId="37096" xr:uid="{756B9FFE-BB7E-4F98-8291-4C88F03C9BB9}"/>
    <cellStyle name="SAPBEXHLevel3X 7" xfId="37097" xr:uid="{5AC745E5-BEB0-4448-900A-3481DA051652}"/>
    <cellStyle name="SAPBEXHLevel3X 8" xfId="37098" xr:uid="{AC8377E6-3738-49CF-BF38-EE3E681A0B10}"/>
    <cellStyle name="SAPBEXHLevel3X 9" xfId="37099" xr:uid="{9DA16E0F-D475-49D2-B4E0-5F13B0697D6B}"/>
    <cellStyle name="SAPBEXresData" xfId="37100" xr:uid="{26F5BF97-7416-422E-96A5-C99A951D18E7}"/>
    <cellStyle name="SAPBEXresData 2" xfId="37101" xr:uid="{A04A5358-6EC9-4CFD-BEE2-808DD935C6EB}"/>
    <cellStyle name="SAPBEXresDataEmph" xfId="37102" xr:uid="{6C8F494D-0DAC-4922-9ECE-084C545D41A0}"/>
    <cellStyle name="SAPBEXresDataEmph 2" xfId="37103" xr:uid="{4683B394-7463-4DE0-A93D-CD53C6EDA073}"/>
    <cellStyle name="SAPBEXresItem" xfId="37104" xr:uid="{A97C539F-2124-4707-B211-A7DEECC6F934}"/>
    <cellStyle name="SAPBEXresItem 2" xfId="37105" xr:uid="{8C5A70C2-9615-4192-84FA-E4E6B30098D3}"/>
    <cellStyle name="SAPBEXresItemX" xfId="37106" xr:uid="{072029B9-47D7-4E57-8E1A-B21BD52C0F15}"/>
    <cellStyle name="SAPBEXresItemX 2" xfId="37107" xr:uid="{DCCA3751-6985-4987-9A90-497B3A76EFAB}"/>
    <cellStyle name="SAPBEXstdData" xfId="37108" xr:uid="{68A0104A-DE4C-47D4-B7C6-2C83D5C11C8A}"/>
    <cellStyle name="SAPBEXstdData 2" xfId="37109" xr:uid="{284F10C2-2180-44D3-836A-F80A1E2A15C8}"/>
    <cellStyle name="SAPBEXstdDataEmph" xfId="37110" xr:uid="{9697C344-F03B-450C-8E0A-1FDFC9E797CF}"/>
    <cellStyle name="SAPBEXstdDataEmph 2" xfId="37111" xr:uid="{0564084C-C8FE-4139-9454-A118B522C6A3}"/>
    <cellStyle name="SAPBEXstdItem" xfId="37112" xr:uid="{4D37DDEE-F80C-4772-A638-AC5BBFDE9B9E}"/>
    <cellStyle name="SAPBEXstdItem 2" xfId="37113" xr:uid="{D0C6C410-FBD4-4413-97C2-D0DF1012FCFD}"/>
    <cellStyle name="SAPBEXstdItem 3" xfId="37114" xr:uid="{87121D06-A850-41B5-BEE6-D7F9B519BA7B}"/>
    <cellStyle name="SAPBEXstdItem 4" xfId="37115" xr:uid="{4B2535F6-5E96-44D3-8483-3DC7C3C2B44B}"/>
    <cellStyle name="SAPBEXstdItem 5" xfId="37116" xr:uid="{FA5F8422-2D79-4F1A-89D0-967E3B811496}"/>
    <cellStyle name="SAPBEXstdItem 6" xfId="37117" xr:uid="{F5FE35A2-CAEC-4F0F-BA0C-8C778AD805D0}"/>
    <cellStyle name="SAPBEXstdItem 7" xfId="37118" xr:uid="{C532807D-AFC7-4D0E-B8D8-A6FB4BD0836E}"/>
    <cellStyle name="SAPBEXstdItemX" xfId="37119" xr:uid="{E510B2DA-49BB-45B1-8E8E-201484A0E58A}"/>
    <cellStyle name="SAPBEXstdItemX 2" xfId="37120" xr:uid="{1135122C-6DF3-4520-B25D-32B163D15216}"/>
    <cellStyle name="SAPBEXstdItemX 2 2" xfId="37121" xr:uid="{A627419E-523B-4174-A78C-5D45D19B0DB4}"/>
    <cellStyle name="SAPBEXstdItemX 2 3" xfId="37122" xr:uid="{A7285292-EA7B-4556-847E-604A754F37DF}"/>
    <cellStyle name="SAPBEXstdItemX 2 4" xfId="37123" xr:uid="{B87FE6FF-BDEE-4897-8A8B-CFB16266F7C4}"/>
    <cellStyle name="SAPBEXstdItemX 2 5" xfId="37124" xr:uid="{275D85A5-88BE-4A03-98D2-241FE238FC14}"/>
    <cellStyle name="SAPBEXstdItemX 3" xfId="37125" xr:uid="{9879CDD8-09FD-49D9-B649-03DCFD32DF13}"/>
    <cellStyle name="SAPBEXstdItemX 4" xfId="37126" xr:uid="{78A4B91C-1D71-44AE-AD3F-AD939AE61560}"/>
    <cellStyle name="SAPBEXstdItemX 5" xfId="37127" xr:uid="{68E66C70-BB13-4D1A-AF09-158E6B26368B}"/>
    <cellStyle name="SAPBEXstdItemX 6" xfId="37128" xr:uid="{7929F4BA-52E2-4EAD-B22C-1891DF603D1B}"/>
    <cellStyle name="SAPBEXstdItemX 7" xfId="37129" xr:uid="{E7BD3F6C-33C9-4EB7-AD1D-EABFC746FDAA}"/>
    <cellStyle name="SAPBEXstdItemX 8" xfId="37130" xr:uid="{CD6EE6A4-9D9E-4F3A-893E-6C39ECDCE769}"/>
    <cellStyle name="SAPBEXstdItemX 9" xfId="37131" xr:uid="{5A6BF316-EACB-489D-9DBC-63FC4258E358}"/>
    <cellStyle name="SAPBEXtitle" xfId="37132" xr:uid="{FF63A640-10D5-43E4-ACBC-A8E857E1DBE8}"/>
    <cellStyle name="SAPBEXundefined" xfId="37133" xr:uid="{2E76AC42-4408-4B37-9DC1-A403D2D0DFCA}"/>
    <cellStyle name="SAPBEXundefined 2" xfId="37134" xr:uid="{095BE94C-4688-486F-824D-CFA133EF3D87}"/>
    <cellStyle name="Section 1_RHI Model Results-090505-033632" xfId="37135" xr:uid="{D144B8E2-43BD-4DC3-87B5-4773A61E4265}"/>
    <cellStyle name="semestre" xfId="37136" xr:uid="{463E94F7-2262-4E71-916D-B10A78745491}"/>
    <cellStyle name="Shade" xfId="37137" xr:uid="{B2F1DE30-DBB5-44EA-BAE9-B6C151A67DB8}"/>
    <cellStyle name="Shade 2" xfId="37138" xr:uid="{2A824B3B-9A9F-49B0-AFEB-DDE28B729E57}"/>
    <cellStyle name="Shade 2 2" xfId="37139" xr:uid="{3AF0D3FE-0D82-43AF-8384-8648D4605DAD}"/>
    <cellStyle name="Shade 2 3" xfId="37140" xr:uid="{DEEFFC3E-F636-457A-9083-49D1A2B8AACF}"/>
    <cellStyle name="Shade 3" xfId="37141" xr:uid="{6A3B4D1C-206E-4CFF-B81B-740620006570}"/>
    <cellStyle name="Shade 3 2" xfId="37142" xr:uid="{9BE684C9-56C1-4D36-8361-08BF382DF2F2}"/>
    <cellStyle name="Shade 3 3" xfId="37143" xr:uid="{5A6F23F0-0E40-4F89-B487-092A85259BC8}"/>
    <cellStyle name="Shade 4" xfId="37144" xr:uid="{A9FBEE36-74EC-400A-B97E-DABA9F605B91}"/>
    <cellStyle name="Shade 5" xfId="37145" xr:uid="{E6C895E5-1926-4052-B36A-F1054823A56D}"/>
    <cellStyle name="Shade 6" xfId="37146" xr:uid="{8275FACF-B92A-489C-9E12-9684BDCE78C8}"/>
    <cellStyle name="Sheet Heading" xfId="37147" xr:uid="{65961EC9-A416-4DD9-B030-6F8CD870C0D5}"/>
    <cellStyle name="Sheet Title." xfId="37148" xr:uid="{5184302A-8437-404F-8F3B-6ACF7A1A281B}"/>
    <cellStyle name="single" xfId="37149" xr:uid="{81BCD4FB-1D46-4900-9CBB-6ACBFDE90CC6}"/>
    <cellStyle name="Single Cell Column Heading" xfId="37150" xr:uid="{D8D93CCB-37FB-4F78-A018-4B9F0D071CC8}"/>
    <cellStyle name="Single Cell Column Heading 2" xfId="37151" xr:uid="{421ADB8D-9A85-4CF2-BB12-B334492549AE}"/>
    <cellStyle name="Single Cell Column Heading 3" xfId="37152" xr:uid="{0674EC6B-3AFF-4423-AB69-8CE84DCDD60E}"/>
    <cellStyle name="Single Cell Column Heading 4" xfId="37153" xr:uid="{1C961E54-8BC2-4410-A403-59179C135FAA}"/>
    <cellStyle name="Single Cell Column Heading 5" xfId="37154" xr:uid="{F7907FB0-99E8-456F-8E82-CCB466B8ED4E}"/>
    <cellStyle name="Single Cell Column Heading 6" xfId="37155" xr:uid="{22DC2DAE-3214-4C7F-85B4-719885043DFF}"/>
    <cellStyle name="Single Cell Column Heading 7" xfId="37156" xr:uid="{58FA725E-2887-4A6F-8331-1680727C32A4}"/>
    <cellStyle name="Single Cell Column Heading 8" xfId="37157" xr:uid="{8E66192E-FB7C-4066-84E0-71E52BA16A09}"/>
    <cellStyle name="Single Cell Column Heading 9" xfId="37158" xr:uid="{6902EF7F-E7F6-4482-B122-695E8EFE1EC3}"/>
    <cellStyle name="Size" xfId="37159" xr:uid="{1E94E4AC-41E8-4072-BB7B-FEC3808EACCB}"/>
    <cellStyle name="Source" xfId="37160" xr:uid="{2AEC9A0D-5F23-4AA9-9EB3-011D13CA923C}"/>
    <cellStyle name="Source 2" xfId="37161" xr:uid="{18C478A9-1DBC-4615-8B06-916F495CB768}"/>
    <cellStyle name="Source 3" xfId="37162" xr:uid="{5AB02EC0-1356-48A4-8039-FC1F94401B7B}"/>
    <cellStyle name="Source Hed" xfId="37163" xr:uid="{859F9232-06B5-40B0-865C-9B3A4132BA0A}"/>
    <cellStyle name="Source Hed 2" xfId="37164" xr:uid="{E95E7A76-EB61-4F5D-8A5B-DC13BEBC9560}"/>
    <cellStyle name="Source Text" xfId="37165" xr:uid="{FEA73862-2447-401B-B358-1843D9860CCC}"/>
    <cellStyle name="Source Text 2" xfId="37166" xr:uid="{839E7AAF-FDB1-4D34-A9D6-1EFB75118471}"/>
    <cellStyle name="ss1" xfId="37167" xr:uid="{5026212A-C44E-498F-8984-51529F432494}"/>
    <cellStyle name="ss10" xfId="37168" xr:uid="{19082ADC-EFD5-4DA7-926F-4E5980CD4854}"/>
    <cellStyle name="ss11" xfId="37169" xr:uid="{22264A45-9417-4BA3-B40D-13926AA872FE}"/>
    <cellStyle name="ss12" xfId="37170" xr:uid="{89723451-8E1E-4A05-9865-6FD859751BA2}"/>
    <cellStyle name="ss13" xfId="37171" xr:uid="{008BF670-0D2B-445B-8519-E5A0657A481B}"/>
    <cellStyle name="ss14" xfId="37172" xr:uid="{D0E28E9C-859B-4463-AC57-5439C6343D75}"/>
    <cellStyle name="ss15" xfId="37173" xr:uid="{89B38A5E-E390-4432-9179-CC3FDE853E77}"/>
    <cellStyle name="ss16" xfId="37174" xr:uid="{EBE986FA-D1ED-4DA1-9F9E-B27F7FF07A69}"/>
    <cellStyle name="ss17" xfId="37175" xr:uid="{C883FEF1-72FB-4B0B-A864-D411F0103E8F}"/>
    <cellStyle name="ss18" xfId="37176" xr:uid="{96DEED15-5B20-417D-88E5-66512A5F5DB4}"/>
    <cellStyle name="ss19" xfId="37177" xr:uid="{EED3BA75-6FE2-4D6D-BB92-40D06122DDE3}"/>
    <cellStyle name="ss2" xfId="37178" xr:uid="{E9139D67-6816-4614-A385-45FFA8A34E6E}"/>
    <cellStyle name="ss20" xfId="37179" xr:uid="{92D24014-0382-49AD-9164-838BE2CF10B9}"/>
    <cellStyle name="ss21" xfId="37180" xr:uid="{24550C5E-CB4C-48A4-9570-702C407564B2}"/>
    <cellStyle name="ss22" xfId="37181" xr:uid="{D7015459-77EF-45CF-9695-9F56A1C70128}"/>
    <cellStyle name="ss23" xfId="37182" xr:uid="{B9CC1AF4-41B9-45F4-BFD6-F9C43A3D7C62}"/>
    <cellStyle name="ss24" xfId="37183" xr:uid="{11AEDDAB-0304-40E7-8EDA-584DFD78C1EB}"/>
    <cellStyle name="ss25" xfId="37184" xr:uid="{DBDB500A-4286-42B5-B853-6C64D7CDA407}"/>
    <cellStyle name="ss3" xfId="37185" xr:uid="{DD3D1E04-4257-48EC-BFF5-52EA59C7F8BA}"/>
    <cellStyle name="ss4" xfId="37186" xr:uid="{722D4A31-2CD4-4058-9D35-302707CAC89B}"/>
    <cellStyle name="ss5" xfId="37187" xr:uid="{91A20873-B177-49C9-A628-B0BC420FEA4C}"/>
    <cellStyle name="ss6" xfId="37188" xr:uid="{5459EE3D-5180-417D-BF5E-226114F0D584}"/>
    <cellStyle name="ss7" xfId="37189" xr:uid="{7ADA33A9-F332-4D9F-993B-0A9BAA7B8888}"/>
    <cellStyle name="ss8" xfId="37190" xr:uid="{2BC9908E-A9BC-4C52-8CE3-80F70D8F4FA6}"/>
    <cellStyle name="ss9" xfId="37191" xr:uid="{CCF9B658-6426-4C1A-B64A-9A4100BCBBC3}"/>
    <cellStyle name="sspecial" xfId="37192" xr:uid="{F3DAC34F-D5D2-4BE1-8DF8-478644C61A34}"/>
    <cellStyle name="Standaard_Sheet1" xfId="37193" xr:uid="{199D911E-3701-4E85-8609-308DAFAC1A97}"/>
    <cellStyle name="Standard_0002VS" xfId="37194" xr:uid="{426A2113-B7B7-4254-A4F2-DE4DE8E3EC15}"/>
    <cellStyle name="Style 1" xfId="37195" xr:uid="{A60C620A-9C10-4565-A568-068AED7F4D52}"/>
    <cellStyle name="Style 1 2" xfId="37196" xr:uid="{A76F8202-61CB-4AF7-ACFF-07EC70AE5545}"/>
    <cellStyle name="Style 1 2 2" xfId="37197" xr:uid="{A2F110DD-7942-40B2-A0BA-4C8CA72F9B24}"/>
    <cellStyle name="Style 1 2 3" xfId="37198" xr:uid="{E00E048A-D7C2-481B-B92B-078654DEF5EE}"/>
    <cellStyle name="Style 1 2 4" xfId="37199" xr:uid="{203FCF3D-DF52-46EE-8D4B-8C4E620E9804}"/>
    <cellStyle name="Style 1 2 5" xfId="37200" xr:uid="{AC674DAC-A924-431A-9B60-BD9E67287E4D}"/>
    <cellStyle name="Style 1 2 6" xfId="37201" xr:uid="{5BF894F8-3255-4F9E-87F7-BE834B132E88}"/>
    <cellStyle name="Style 1 2 7" xfId="37202" xr:uid="{29F54D2F-22D7-420F-99A5-90D80C4C228B}"/>
    <cellStyle name="Style 1 3" xfId="37203" xr:uid="{A42D99C6-79F6-4D46-95D4-B3726A818474}"/>
    <cellStyle name="Style 1 3 2" xfId="37204" xr:uid="{1F623EAD-5917-4F1B-9846-AE00A3281BFE}"/>
    <cellStyle name="Style 1 4" xfId="37205" xr:uid="{8BA206CF-5EF2-4B7D-AA64-C0939986771B}"/>
    <cellStyle name="Style 1 5" xfId="37206" xr:uid="{2558B9F1-4316-4BFF-99FF-F2E3AF85388E}"/>
    <cellStyle name="Style 1 6" xfId="37207" xr:uid="{F6C845EA-BF6D-46DF-BDBA-A16CFE1963B8}"/>
    <cellStyle name="Style 1 7" xfId="37208" xr:uid="{1B856297-AF59-4323-A3C6-33B8FD854359}"/>
    <cellStyle name="Style 1 8" xfId="37209" xr:uid="{81A127EE-FD54-4FE2-8D73-51956CA8301E}"/>
    <cellStyle name="Style 1 9" xfId="37210" xr:uid="{A05617ED-0C97-4371-A352-C2E5799A6FF3}"/>
    <cellStyle name="Style 2" xfId="37211" xr:uid="{27B96BF3-B928-434D-BCE9-DFEA8C0620A0}"/>
    <cellStyle name="Style 21" xfId="37212" xr:uid="{DAF17CA9-5007-4FE8-9112-8EC3FA2E5CBB}"/>
    <cellStyle name="Style 21 2" xfId="37213" xr:uid="{05E3527E-465F-420A-86B1-149594D40EE3}"/>
    <cellStyle name="Style 21 2 2" xfId="37214" xr:uid="{DEE1C9EB-56F9-4576-BD19-48774A916C6A}"/>
    <cellStyle name="Style 21 2 3" xfId="37215" xr:uid="{70F974AC-48F4-4C13-BFCA-135AA253AF9A}"/>
    <cellStyle name="Style 21 3" xfId="37216" xr:uid="{7E1DC9AD-7525-4B05-A0D4-068F3AADBE80}"/>
    <cellStyle name="Style 21 4" xfId="37217" xr:uid="{FF14D6B9-C2AC-470A-8CAD-A8DF7591B839}"/>
    <cellStyle name="Style 21 5" xfId="37218" xr:uid="{6745E59B-5746-4A19-9FC0-26433D5123EB}"/>
    <cellStyle name="Style 21 6" xfId="37219" xr:uid="{462A050A-3343-495F-9864-A309718C5DA3}"/>
    <cellStyle name="Style 22" xfId="37220" xr:uid="{D1761ECA-B5F5-4385-9CD4-99C1E3D5908D}"/>
    <cellStyle name="Style 22 2" xfId="37221" xr:uid="{4659A3A2-D3F5-42AB-9588-0772ED976804}"/>
    <cellStyle name="Style 22 2 2" xfId="37222" xr:uid="{93FC4F57-2E3B-40A7-BE70-8C6D481C44A6}"/>
    <cellStyle name="Style 22 2 3" xfId="37223" xr:uid="{D85F373A-A11A-4BF5-8AF6-D389D8DEB08E}"/>
    <cellStyle name="Style 22 3" xfId="37224" xr:uid="{86D2A0F2-BA32-470C-96C9-78A024AEA333}"/>
    <cellStyle name="Style 22 4" xfId="37225" xr:uid="{88035CA9-3D08-4061-8EAD-95DFB3629B0F}"/>
    <cellStyle name="Style 22 5" xfId="37226" xr:uid="{BC8AA40A-6282-4F91-A504-F99B63FF6DB5}"/>
    <cellStyle name="Style 22 6" xfId="37227" xr:uid="{F1CAABED-3E7F-43E9-B6B9-8D7C5B286380}"/>
    <cellStyle name="Style 23" xfId="37228" xr:uid="{7D3293A2-F1D9-4EFB-91C9-565C560F7924}"/>
    <cellStyle name="Style 23 2" xfId="37229" xr:uid="{985FA528-39CE-4D7D-9798-A9D767BEFB77}"/>
    <cellStyle name="Style 23 2 2" xfId="37230" xr:uid="{ADD4EC63-E15F-46AF-B0EF-1886D8FD1CDE}"/>
    <cellStyle name="Style 23 3" xfId="37231" xr:uid="{78FCBB49-12BA-4D84-B6BB-3F10FD5DCF48}"/>
    <cellStyle name="Style 24" xfId="37232" xr:uid="{30983222-D48E-4E8D-ACCF-D4B72E47342F}"/>
    <cellStyle name="Style 24 2" xfId="37233" xr:uid="{FDCBE55C-9278-49B0-AA53-706870BF2602}"/>
    <cellStyle name="Style 24 2 2" xfId="37234" xr:uid="{4F7452F8-F29E-4C5E-862C-29EEC034E7AE}"/>
    <cellStyle name="Style 24 3" xfId="37235" xr:uid="{FE4F8D9B-6D2F-4C8F-9684-81CE436E4D2D}"/>
    <cellStyle name="Style 24 4" xfId="37236" xr:uid="{0AE60F5D-2702-41A2-8163-52768B6F9743}"/>
    <cellStyle name="Style 25" xfId="37237" xr:uid="{63ADE84E-69AA-42D4-BAEE-D94C3426111D}"/>
    <cellStyle name="Style 25 2" xfId="37238" xr:uid="{80083E83-9611-4C56-9C2F-A0D9AAB7B18A}"/>
    <cellStyle name="Style 25 3" xfId="37239" xr:uid="{EAB3F836-8221-4370-BC26-B938E622FFF8}"/>
    <cellStyle name="Style 26" xfId="37240" xr:uid="{896FCA07-9D6C-46F9-82CC-6B609B046E55}"/>
    <cellStyle name="Style 26 2" xfId="37241" xr:uid="{1C7192F5-A19F-496C-B8E7-246D4D899A52}"/>
    <cellStyle name="Style 27" xfId="37242" xr:uid="{5EBB220C-BE1A-4143-96DD-39897EE6A592}"/>
    <cellStyle name="Style 28" xfId="37243" xr:uid="{4470DB16-95F1-419F-A618-36F46957A777}"/>
    <cellStyle name="Style 29" xfId="37244" xr:uid="{52A9AC7D-1342-49D7-BC18-1295CA2A087E}"/>
    <cellStyle name="Style 29 2" xfId="37245" xr:uid="{B38BB5B8-6AC4-42CD-9E5B-B1F5CE1E8A17}"/>
    <cellStyle name="Style 29 3" xfId="37246" xr:uid="{8C5BB0C4-AB3E-4D1D-AD51-A82B0A152585}"/>
    <cellStyle name="Style 30" xfId="37247" xr:uid="{B22CD0F6-1BF0-41DA-A2C3-F55718C52B0D}"/>
    <cellStyle name="Style 30 2" xfId="37248" xr:uid="{734F874B-AB3A-45B8-B281-4A6AB0EC7FFB}"/>
    <cellStyle name="Style 30 3" xfId="37249" xr:uid="{B3B77C2C-B9B2-471D-A0BF-58D5265B5157}"/>
    <cellStyle name="Style 31" xfId="37250" xr:uid="{9AF2A86A-CBC5-4C95-B278-8BFB3795BF4D}"/>
    <cellStyle name="Style 31 2" xfId="37251" xr:uid="{B758CEB7-4FDB-477C-8BCA-FFEF0ACE81C2}"/>
    <cellStyle name="Style 31 3" xfId="37252" xr:uid="{32DF4131-4441-4A75-A426-EF4B13CBBE47}"/>
    <cellStyle name="Style 32" xfId="37253" xr:uid="{BFD88B49-951D-4C90-A661-1DCAFBD100A2}"/>
    <cellStyle name="Style 32 2" xfId="37254" xr:uid="{FE02A445-DEB7-4C6E-818F-5B6A6F6313C2}"/>
    <cellStyle name="Style 32 3" xfId="37255" xr:uid="{406F5028-0B01-4B5D-B4DE-95097766E376}"/>
    <cellStyle name="Style 33" xfId="37256" xr:uid="{82B53082-1692-438D-84C4-0C312292A9F6}"/>
    <cellStyle name="Style 34" xfId="37257" xr:uid="{DA4FDD77-AC27-4D28-A1E8-CF5596B68357}"/>
    <cellStyle name="Style 34 2" xfId="37258" xr:uid="{C0F5569E-CD76-46BF-9DDB-70314FA67021}"/>
    <cellStyle name="Style 34 3" xfId="37259" xr:uid="{6B3B7AD1-2F92-4A6C-AA6B-93A36B44A971}"/>
    <cellStyle name="Style 34 4" xfId="37260" xr:uid="{0B0008FB-835F-4A25-8DF7-6AD5B736649E}"/>
    <cellStyle name="Style 35" xfId="37261" xr:uid="{A9EE6F67-008F-4A67-B002-AE488E684E51}"/>
    <cellStyle name="Style 35 2" xfId="37262" xr:uid="{731B9A80-3334-45BA-9795-32AFD7B53F34}"/>
    <cellStyle name="Style 35 3" xfId="37263" xr:uid="{349A790C-5038-4A4E-AC64-6B172DEE9DFE}"/>
    <cellStyle name="Style 35 4" xfId="37264" xr:uid="{58D0C21F-72A1-48A9-8DB6-750E7E588C03}"/>
    <cellStyle name="Style 36" xfId="37265" xr:uid="{1BC7F4E4-2471-45DB-AD80-97C7FD4C9218}"/>
    <cellStyle name="Style 36 2" xfId="37266" xr:uid="{F0133183-CB01-4BB3-8023-4A41BFF80E01}"/>
    <cellStyle name="Style 69" xfId="37267" xr:uid="{C628E6CE-E0D4-41A6-AD7A-18357D267BF7}"/>
    <cellStyle name="Style 69 2" xfId="37268" xr:uid="{F5D2139A-D004-467E-A7C4-CAB065C66980}"/>
    <cellStyle name="Style 70" xfId="37269" xr:uid="{D7868B68-1AA6-4D07-A49E-47E8256CD110}"/>
    <cellStyle name="Style 70 2" xfId="37270" xr:uid="{1EF2DACB-41D5-4485-B8AA-C8625ADAA5AE}"/>
    <cellStyle name="Style 71" xfId="37271" xr:uid="{998EC687-23B6-498F-83EE-CAE5C5AD2F51}"/>
    <cellStyle name="Style 71 2" xfId="37272" xr:uid="{98336EC6-9356-41A9-8CD9-60FFF34CE698}"/>
    <cellStyle name="Style 74" xfId="37273" xr:uid="{A744DDEB-2BA0-419E-8EC4-1EC17EA18F31}"/>
    <cellStyle name="Style 74 2" xfId="37274" xr:uid="{ECA4DFA2-8053-410E-A218-1BEAC5FB9797}"/>
    <cellStyle name="Style 75" xfId="37275" xr:uid="{BAA0FA5A-544C-4F57-97A3-3446D1901029}"/>
    <cellStyle name="Style 75 2" xfId="37276" xr:uid="{8B0D51BD-C1FD-4141-B98A-4EF61F680CE2}"/>
    <cellStyle name="Style1" xfId="37277" xr:uid="{71AD7249-AB5C-4EC8-9F1E-78B592EB0975}"/>
    <cellStyle name="Style2" xfId="37278" xr:uid="{BCBB74BD-4D50-4B65-96C2-A114B006CC60}"/>
    <cellStyle name="Style3" xfId="37279" xr:uid="{6B01B3AB-4B53-4A42-94AA-D105028B03A3}"/>
    <cellStyle name="Style4" xfId="37280" xr:uid="{30FD0312-E403-48F5-9A5B-3C52F95884D0}"/>
    <cellStyle name="Style5" xfId="37281" xr:uid="{7ED5727D-7394-4AD8-A581-01AC41ED28E8}"/>
    <cellStyle name="Style6" xfId="37282" xr:uid="{DD610E02-9681-44D0-96C4-7A0BD6B062D5}"/>
    <cellStyle name="styleColumnTitles" xfId="37283" xr:uid="{42A52AB8-FC30-40A8-B711-95856800FDE6}"/>
    <cellStyle name="styleDateRange" xfId="37284" xr:uid="{08BC59DE-06EA-4BAE-A257-F77A04A6811F}"/>
    <cellStyle name="styleNormal" xfId="37285" xr:uid="{7C183B31-2890-467F-BD4F-216AD4024983}"/>
    <cellStyle name="Styles" xfId="37286" xr:uid="{3674133D-68A5-46BA-BA96-E4505FEF43AD}"/>
    <cellStyle name="styleSeriesAttributes" xfId="37287" xr:uid="{6371BC2A-385F-4465-A617-1D517A61AE6C}"/>
    <cellStyle name="styleSeriesData" xfId="37288" xr:uid="{448E4FF4-D321-4062-BB79-BC8ED2F91734}"/>
    <cellStyle name="styleSeriesDataForecast" xfId="37289" xr:uid="{114C53EB-F776-4994-B736-4355AE9161FF}"/>
    <cellStyle name="styleSeriesDataNA" xfId="37290" xr:uid="{2D5E4508-8069-4887-AC37-5F2AC801CEAD}"/>
    <cellStyle name="Sub heading" xfId="37291" xr:uid="{F3822030-0E3E-443C-8476-B44382A8B8BA}"/>
    <cellStyle name="swiss" xfId="37292" xr:uid="{FA2ACEDF-24CC-4A26-898C-2B72D9862082}"/>
    <cellStyle name="swiss input" xfId="37293" xr:uid="{B74D914D-5064-48DA-9499-37511049F8AF}"/>
    <cellStyle name="swiss input1" xfId="37294" xr:uid="{DC97B5A7-527F-4A84-80F2-CB5BCCFDA789}"/>
    <cellStyle name="swiss input2" xfId="37295" xr:uid="{20EE3169-B386-4EDC-8C10-D381AA666E1C}"/>
    <cellStyle name="swiss spec" xfId="37296" xr:uid="{C3629F7D-B269-40B6-A155-24F89867E6F6}"/>
    <cellStyle name="System" xfId="37297" xr:uid="{8501C285-4570-4EEB-B807-33C20CA6787F}"/>
    <cellStyle name="System 2" xfId="37298" xr:uid="{FA53903F-E9B3-4899-91F5-74BDAC93D9DD}"/>
    <cellStyle name="System 3" xfId="37299" xr:uid="{7DDFB163-1203-4771-A327-4D2B10210A3A}"/>
    <cellStyle name="table column" xfId="37300" xr:uid="{13F6AE1D-9CF4-4DA8-A34C-E2EA17F1F678}"/>
    <cellStyle name="table column +" xfId="37301" xr:uid="{C294F07F-6C81-4ECC-8F0F-6181EB2178F8}"/>
    <cellStyle name="table column reg" xfId="37302" xr:uid="{CF7FE4E3-F20C-4E18-89C3-314FB54EF5BF}"/>
    <cellStyle name="table column reg +" xfId="37303" xr:uid="{7EA4510E-E6A2-46B6-9166-1760A5E41056}"/>
    <cellStyle name="Table Footnote" xfId="37304" xr:uid="{1D839EDE-6B05-465C-BC05-2CBA427B28AB}"/>
    <cellStyle name="Table Footnote 2" xfId="37305" xr:uid="{FE0D8125-857B-429F-B0BD-7422C3E4BA0B}"/>
    <cellStyle name="Table Footnote 2 2" xfId="37306" xr:uid="{6804B9A0-ED69-43A6-ABF1-DC375FCA00FB}"/>
    <cellStyle name="Table Footnote_Additional charts" xfId="37307" xr:uid="{51945EC2-99C2-45FA-8FCF-18A5898CD244}"/>
    <cellStyle name="Table head" xfId="37308" xr:uid="{39BBEEA1-215B-4409-BBE7-833C5C82D5C9}"/>
    <cellStyle name="Table Head 2" xfId="37309" xr:uid="{C36003E9-101B-4DF5-B271-68EF3A87A3E8}"/>
    <cellStyle name="Table Head Aligned" xfId="37310" xr:uid="{D487DC52-C450-4FD9-920E-8E5700942156}"/>
    <cellStyle name="Table Head Blue" xfId="37311" xr:uid="{97E4B277-B70B-4872-BE2D-73A70ABD32CD}"/>
    <cellStyle name="Table Head Green" xfId="37312" xr:uid="{0FF6EF79-B910-4751-8B8D-2297DF7183B5}"/>
    <cellStyle name="Table Head_% Change" xfId="37313" xr:uid="{286B33C0-DA82-4A7A-A267-B5E577ED3E6F}"/>
    <cellStyle name="Table Header" xfId="37314" xr:uid="{2438A759-800F-41FF-B673-B3016F0B9A5A}"/>
    <cellStyle name="Table Header 2" xfId="37315" xr:uid="{E5183CBB-0015-4DAC-8EB3-A10175BB50F2}"/>
    <cellStyle name="Table Header 2 2" xfId="37316" xr:uid="{F614FD53-3D2B-4C9E-ACEA-04713A8791E3}"/>
    <cellStyle name="Table Header_Additional charts" xfId="37317" xr:uid="{3A5A9812-B3B3-4B36-980B-8EE828D79F28}"/>
    <cellStyle name="Table Heading" xfId="37318" xr:uid="{8AC480D7-57F7-45A2-AE54-5FE0CF59A87A}"/>
    <cellStyle name="Table Heading 1" xfId="37319" xr:uid="{B1192791-7B6A-473F-BD7B-9A6C69E1466A}"/>
    <cellStyle name="Table Heading 1 2" xfId="37320" xr:uid="{D2D196FC-7231-4980-BCBF-242B92F8D743}"/>
    <cellStyle name="Table Heading 1 2 2" xfId="37321" xr:uid="{5EF72EED-03FC-48B9-A025-27AD0DBF9133}"/>
    <cellStyle name="Table Heading 1_Additional charts" xfId="37322" xr:uid="{F7170541-2321-48F3-BBD0-8DD37D811ED5}"/>
    <cellStyle name="Table Heading 2" xfId="37323" xr:uid="{42998335-E54F-4F5B-B30E-A19ABFBD07F1}"/>
    <cellStyle name="Table Heading 2 2" xfId="37324" xr:uid="{679C63F8-4AA6-47D1-9A15-D01DFD2FF4E8}"/>
    <cellStyle name="Table Heading 2_Additional charts" xfId="37325" xr:uid="{41F05418-412F-43F3-A2EB-1C9B2D96D4DA}"/>
    <cellStyle name="Table Heading 3" xfId="37326" xr:uid="{A518C8A1-3425-4BBB-A25E-29ABB2B8EE3B}"/>
    <cellStyle name="Table nos" xfId="37327" xr:uid="{76707C49-1D45-4A12-9B68-ABECBDE4386D}"/>
    <cellStyle name="Table nos  red cust" xfId="37328" xr:uid="{BF024A05-AAFA-4E51-9AFE-1768B2B92867}"/>
    <cellStyle name="Table nos acct" xfId="37329" xr:uid="{E98E95B3-B0B5-4B8A-9F77-950491A4A6D8}"/>
    <cellStyle name="Table nos acct 3" xfId="37330" xr:uid="{C313C31E-9F85-4BE9-868B-B96126BF8F8B}"/>
    <cellStyle name="Table nos acct 3 base" xfId="37331" xr:uid="{7295D558-E23C-48A3-849A-3FCE2583353C}"/>
    <cellStyle name="Table nos acct 5" xfId="37332" xr:uid="{BAC86BC4-0DAB-471A-B8D1-0068CD0A01B6}"/>
    <cellStyle name="Table nos acct 5 base" xfId="37333" xr:uid="{C351D206-13AD-48C3-A6D0-E610F730C93A}"/>
    <cellStyle name="Table nos acct cust" xfId="37334" xr:uid="{9DA6F8C4-326D-44F4-B7EF-911788548337}"/>
    <cellStyle name="Table nos acct red" xfId="37335" xr:uid="{D643C2D4-4524-4520-906F-ECFA8A7C6291}"/>
    <cellStyle name="Table nos acct red cust" xfId="37336" xr:uid="{4A2C8E58-2BAB-496F-9367-03B99D6BFBFA}"/>
    <cellStyle name="Table nos acct special" xfId="37337" xr:uid="{9F60A690-7D0E-4D75-9076-9FC811649E4F}"/>
    <cellStyle name="Table nos B" xfId="37338" xr:uid="{19FCAD3F-0DF9-455D-BEFF-4CC51F94AAF9}"/>
    <cellStyle name="Table nos B acct" xfId="37339" xr:uid="{3B8B3634-FD7E-4DE8-899C-5B13C6E349AA}"/>
    <cellStyle name="Table nos B acct 3" xfId="37340" xr:uid="{81138ED0-C900-4003-9056-D97804BF124A}"/>
    <cellStyle name="Table nos B acct 3 base" xfId="37341" xr:uid="{F3BE9840-B52C-4B8B-AF81-0967CB118CE4}"/>
    <cellStyle name="Table nos B acct 5 base" xfId="37342" xr:uid="{66C2DD90-51B8-4812-9EF6-3C228DE2C8A8}"/>
    <cellStyle name="Table nos base" xfId="37343" xr:uid="{C0E17652-C098-470A-94F1-F59F377D1D92}"/>
    <cellStyle name="Table nos base acct" xfId="37344" xr:uid="{758C9C97-4499-4044-8E90-6BB54906628F}"/>
    <cellStyle name="Table nos base B" xfId="37345" xr:uid="{785C42AD-2EAE-4054-80A4-99719CCCE45C}"/>
    <cellStyle name="Table nos base B acct" xfId="37346" xr:uid="{57D891C8-DD0D-4C40-97FF-97A6E6EC53C4}"/>
    <cellStyle name="Table nos base B num" xfId="37347" xr:uid="{2694C686-7203-4787-BB8A-4C63D65C70DB}"/>
    <cellStyle name="Table nos base B num right" xfId="37348" xr:uid="{950650E5-752E-4C78-9743-F3F3AB48D479}"/>
    <cellStyle name="Table nos base num" xfId="37349" xr:uid="{1877AC13-39D8-4F4A-9255-39BE81DC3E7A}"/>
    <cellStyle name="Table nos base num right" xfId="37350" xr:uid="{1255788C-BB04-4521-AE86-5E8E831B6D82}"/>
    <cellStyle name="Table nos cust" xfId="37351" xr:uid="{BAF6C091-5AD7-454B-B728-3A69200D9034}"/>
    <cellStyle name="Table nos cust 3 red" xfId="37352" xr:uid="{FBE965C6-31CE-43B1-AFD7-0F344AB92E62}"/>
    <cellStyle name="Table nos cust 3 red base" xfId="37353" xr:uid="{1EF2CAA2-ED70-46DF-90B1-F072524ECA1F}"/>
    <cellStyle name="Table nos cust base" xfId="37354" xr:uid="{B946BC36-A513-422F-9A09-C51C79535E6E}"/>
    <cellStyle name="Table nos cust red base" xfId="37355" xr:uid="{DFFCBF4C-2CB4-45FC-BD3D-452A7592455A}"/>
    <cellStyle name="Table nos left" xfId="37356" xr:uid="{007D0212-1B6E-4D0C-BF45-AC74577F6575}"/>
    <cellStyle name="Table nos num" xfId="37357" xr:uid="{7A22D087-3EF1-4E73-8533-6A1F4CFCECE1}"/>
    <cellStyle name="Table nos num B" xfId="37358" xr:uid="{C21180D2-B5EB-40B8-99DF-F4983FFEF4FA}"/>
    <cellStyle name="Table nos num base" xfId="37359" xr:uid="{6FF839D0-DEF1-4B00-B4C1-96AC82DDDA63}"/>
    <cellStyle name="Table nos num base B" xfId="37360" xr:uid="{94146B60-4CAD-42A2-9089-AA949307FCB4}"/>
    <cellStyle name="Table nos num r" xfId="37361" xr:uid="{F091F6FE-78B1-45C4-9944-CBBAEBCD6036}"/>
    <cellStyle name="Table nos num r B" xfId="37362" xr:uid="{0435D494-4E69-449E-BF30-29E08E515530}"/>
    <cellStyle name="Table nos num r B base" xfId="37363" xr:uid="{03F7C4AA-075A-459F-BEAE-58924C67CC63}"/>
    <cellStyle name="Table nos num r base" xfId="37364" xr:uid="{A1D8BE92-3C82-4AD7-B48C-274C1237284F}"/>
    <cellStyle name="Table nos num right" xfId="37365" xr:uid="{C85FF955-5F7B-4E5A-98A5-ABCB7517109C}"/>
    <cellStyle name="Table nos period" xfId="37366" xr:uid="{573D3496-7913-4C45-B8F2-EB40A51F6C82}"/>
    <cellStyle name="Table nos period base" xfId="37367" xr:uid="{6ED1538E-2F7E-4807-903F-1EACFD53DD5C}"/>
    <cellStyle name="Table nos period base B" xfId="37368" xr:uid="{A3AF53E1-1949-4779-B683-1A319C8DF29B}"/>
    <cellStyle name="Table nos period reg" xfId="37369" xr:uid="{1A10E168-76DB-4863-8C19-16540EE1606B}"/>
    <cellStyle name="Table nos right" xfId="37370" xr:uid="{BDE6FD8F-81E7-46B6-B24D-B052602592D8}"/>
    <cellStyle name="Table Of Which" xfId="37371" xr:uid="{9D85734A-63E7-408D-95F0-7DC651085122}"/>
    <cellStyle name="Table Of Which 2" xfId="37372" xr:uid="{FB8AA83A-E58B-42B7-A082-810FAE90C897}"/>
    <cellStyle name="Table Of Which_Additional charts" xfId="37373" xr:uid="{EAA60BB8-368E-4FE2-9630-99090FD988B0}"/>
    <cellStyle name="Table Row Billions" xfId="37374" xr:uid="{07C8FBFB-D5C7-46E4-9966-F415E434CFF4}"/>
    <cellStyle name="Table Row Billions 2" xfId="37375" xr:uid="{A5C41FB8-7185-4AC5-8933-FF7793BE7982}"/>
    <cellStyle name="Table Row Billions Check" xfId="37376" xr:uid="{5D7C7CCC-BB55-4211-BF7E-B04924752428}"/>
    <cellStyle name="Table Row Billions Check 2" xfId="37377" xr:uid="{40BF0E4A-4C4E-401C-98EB-E575E970F308}"/>
    <cellStyle name="Table Row Billions Check 3" xfId="37378" xr:uid="{5808344F-E3AC-4515-8D8A-8AFA07D2A19F}"/>
    <cellStyle name="Table Row Billions Check_asset sales" xfId="37379" xr:uid="{34BF1AA7-0C25-4CEB-BAD8-E96FA200DE6A}"/>
    <cellStyle name="Table Row Billions_Additional charts" xfId="37380" xr:uid="{A379BD7F-C4BE-4258-9D0C-4F53BF4B40BC}"/>
    <cellStyle name="Table Row Millions" xfId="37381" xr:uid="{5C1E7D12-E23A-4630-869A-646E67D8AFD9}"/>
    <cellStyle name="Table Row Millions 2" xfId="37382" xr:uid="{CEC217B8-0787-49E4-BED6-6F53B3C01ED0}"/>
    <cellStyle name="Table Row Millions 2 2" xfId="37383" xr:uid="{BE027B55-B99B-4AFD-94A3-39BD0B23516C}"/>
    <cellStyle name="Table Row Millions Check" xfId="37384" xr:uid="{248948E4-7096-44F0-9D25-91F2A0278DB7}"/>
    <cellStyle name="Table Row Millions Check 2" xfId="37385" xr:uid="{D7146CAD-745C-4876-817A-83AAE7448CE0}"/>
    <cellStyle name="Table Row Millions Check 3" xfId="37386" xr:uid="{91661AF1-2DCD-4755-884F-E3C509867FDA}"/>
    <cellStyle name="Table Row Millions Check 4" xfId="37387" xr:uid="{B676D37C-5FB4-4C9F-9742-62CA1A3EFDB1}"/>
    <cellStyle name="Table Row Millions Check_asset sales" xfId="37388" xr:uid="{E9FB69BC-F5D1-49E0-BE97-28201F7A8B5E}"/>
    <cellStyle name="Table Row Millions_Additional charts" xfId="37389" xr:uid="{79891DCE-49F1-4D20-99B5-BC4B61E08CAD}"/>
    <cellStyle name="Table Row Percentage" xfId="37390" xr:uid="{9F96A64C-2CEA-4A8F-8FBC-75F890A8A186}"/>
    <cellStyle name="Table Row Percentage 2" xfId="37391" xr:uid="{8EBD4C66-0E9E-410D-ACC9-CC6EB192234E}"/>
    <cellStyle name="Table Row Percentage Check" xfId="37392" xr:uid="{ED52111F-3DCD-4626-B499-2346F4DF4C18}"/>
    <cellStyle name="Table Row Percentage Check 2" xfId="37393" xr:uid="{78165417-8BF3-43BE-AA56-4ACC7017C011}"/>
    <cellStyle name="Table Row Percentage Check 3" xfId="37394" xr:uid="{C04966B0-3673-4F89-937E-882F1F6AAD38}"/>
    <cellStyle name="Table Row Percentage Check_asset sales" xfId="37395" xr:uid="{BAFD1B15-4475-43CC-B574-B4A2EE06435F}"/>
    <cellStyle name="Table Row Percentage_Additional charts" xfId="37396" xr:uid="{CC7691F5-CE84-4775-9266-E1F0ABC8B54F}"/>
    <cellStyle name="Table slash" xfId="37397" xr:uid="{A572B7D4-CBD9-4897-96D5-33DE9A1FE5F4}"/>
    <cellStyle name="Table Source" xfId="37398" xr:uid="{ED3C0EE5-2D57-4A28-942D-DFD1910B9A2F}"/>
    <cellStyle name="Table Text" xfId="37399" xr:uid="{DA05F666-A909-48AD-8C52-7A2BBFFD497A}"/>
    <cellStyle name="Table Title" xfId="37400" xr:uid="{5E90E9B9-7BA9-498C-9E80-98C4D1CF7078}"/>
    <cellStyle name="Table Total Billions" xfId="37401" xr:uid="{BE36D719-5E93-4638-BE16-5C6D900376AE}"/>
    <cellStyle name="Table Total Billions 2" xfId="37402" xr:uid="{1EEEB695-407F-48CE-B961-634302D250C8}"/>
    <cellStyle name="Table Total Billions 2 2" xfId="37403" xr:uid="{774ADE73-35E9-4C6C-B67C-6670C9EC3D48}"/>
    <cellStyle name="Table Total Billions 3" xfId="37404" xr:uid="{B8037349-5A53-4177-B5AD-CF568BE45C65}"/>
    <cellStyle name="Table Total Billions_Additional charts" xfId="37405" xr:uid="{F9DC6ED1-E183-4252-94B4-993F1610A6BD}"/>
    <cellStyle name="Table Total Millions" xfId="37406" xr:uid="{9ABE1CC3-8825-4843-B3F3-88E02E1EE5A2}"/>
    <cellStyle name="Table Total Millions 2" xfId="37407" xr:uid="{A16E5F02-7BA2-4343-AABA-74A93EF0F6B8}"/>
    <cellStyle name="Table Total Millions 2 2" xfId="37408" xr:uid="{1B5B746D-742B-41C6-85EF-7073A7A643B1}"/>
    <cellStyle name="Table Total Millions 2 2 2" xfId="37409" xr:uid="{F481133C-6894-411D-82E1-EB62625BC102}"/>
    <cellStyle name="Table Total Millions 2 3" xfId="37410" xr:uid="{B4352CF0-DB3A-43A4-8306-10DE1BD871E9}"/>
    <cellStyle name="Table Total Millions 3" xfId="37411" xr:uid="{D98351AF-8A49-41C5-89C9-A0F7ADEB6F20}"/>
    <cellStyle name="Table Total Millions_Additional charts" xfId="37412" xr:uid="{841B09C8-33E2-4489-9314-BDA4FB3522C3}"/>
    <cellStyle name="Table Total Percentage" xfId="37413" xr:uid="{6B1DF859-1647-4F8A-B074-861429104EDF}"/>
    <cellStyle name="Table Total Percentage 2" xfId="37414" xr:uid="{ADEF81C9-4B3C-4227-B178-B563DC201046}"/>
    <cellStyle name="Table Total Percentage 2 2" xfId="37415" xr:uid="{80AF1B02-7E67-4E89-AAE9-57D2919141B2}"/>
    <cellStyle name="Table Total Percentage 3" xfId="37416" xr:uid="{B1E4B237-820F-48F2-83DD-25CCAAC892A0}"/>
    <cellStyle name="Table Total Percentage_Additional charts" xfId="37417" xr:uid="{B087A09E-E0A8-44BD-90F2-54DA9B6CCBDC}"/>
    <cellStyle name="Table Units" xfId="37418" xr:uid="{DF1D7D14-060A-4240-BFC3-FB05FD9D1B5B}"/>
    <cellStyle name="Table Units 2" xfId="37419" xr:uid="{6A5719B1-6BB1-4D44-AE0A-1A8D50A2E9F2}"/>
    <cellStyle name="Table Units 2 2" xfId="37420" xr:uid="{C097736F-01F8-47F2-85FA-F442A358C22A}"/>
    <cellStyle name="Table Units 3" xfId="37421" xr:uid="{BD165E04-FFA0-4A24-9E94-D16A224F567F}"/>
    <cellStyle name="Table Units_Additional charts" xfId="37422" xr:uid="{B1225A70-8A9B-4D0A-852D-5FF3DA3B78EA}"/>
    <cellStyle name="Table_center" xfId="37423" xr:uid="{DDD578C7-1648-4300-ADC9-94054E491BF5}"/>
    <cellStyle name="TableBody" xfId="37424" xr:uid="{8E468844-22BA-4C6B-876D-C2765C1F95E3}"/>
    <cellStyle name="TableColHeads" xfId="37425" xr:uid="{031FC52B-47F5-42D0-80C6-9698B6106BF2}"/>
    <cellStyle name="Term" xfId="37426" xr:uid="{27ADA13E-86B2-425C-A429-03FF329AFCC5}"/>
    <cellStyle name="test" xfId="37427" xr:uid="{67044652-82F5-4644-A24B-98C4532EC0F0}"/>
    <cellStyle name="test 2" xfId="37428" xr:uid="{DDD6DBB2-FCC2-4F20-A6B1-AB643C01C4F1}"/>
    <cellStyle name="test 2 2" xfId="37429" xr:uid="{FEB30A7F-0078-4A44-910B-7688D9CC7138}"/>
    <cellStyle name="test 2 3" xfId="37430" xr:uid="{BAE5D304-FC4A-45E1-BFAA-CF7B98E18CAF}"/>
    <cellStyle name="test 2 4" xfId="37431" xr:uid="{210B1EA5-5F62-42CE-BBA6-F7C859D6D7C7}"/>
    <cellStyle name="test 2 5" xfId="37432" xr:uid="{3AEEFE65-10FA-4237-8910-8FCE347B397D}"/>
    <cellStyle name="test 3" xfId="37433" xr:uid="{1F443F9C-8A13-44C2-B2D5-7A8B75A91882}"/>
    <cellStyle name="test 4" xfId="37434" xr:uid="{9D29E932-22F4-47EF-B72B-CAB8E909714B}"/>
    <cellStyle name="test 5" xfId="37435" xr:uid="{42E13D46-8171-4771-B075-50EA7F2330BB}"/>
    <cellStyle name="test 6" xfId="37436" xr:uid="{6D210B19-F1C4-494E-96E2-F828E99BDF1A}"/>
    <cellStyle name="test 7" xfId="37437" xr:uid="{BCCFFB47-B360-4AAD-91CB-86B751D2798E}"/>
    <cellStyle name="test 8" xfId="37438" xr:uid="{62AEED35-7779-426B-99B5-C08E6F2D5B2D}"/>
    <cellStyle name="Testo avviso" xfId="37439" xr:uid="{E35DF110-F07F-4383-AEBF-9EAB4D814088}"/>
    <cellStyle name="Testo avviso 2" xfId="37440" xr:uid="{541F1B9A-68B5-4748-A61E-72868654404B}"/>
    <cellStyle name="Testo descrittivo" xfId="37441" xr:uid="{76565E98-DECA-4A4B-8BED-1CE749FC15CE}"/>
    <cellStyle name="Testo descrittivo 2" xfId="37442" xr:uid="{401D307D-1C73-4283-9A12-75FCDA6C150A}"/>
    <cellStyle name="tête chapitre" xfId="37443" xr:uid="{D23F5292-EF18-4B7E-B5A5-0E316B9B2C1D}"/>
    <cellStyle name="Text" xfId="37444" xr:uid="{E126F4DF-A6FB-4A08-884F-61163920A950}"/>
    <cellStyle name="Text 1" xfId="37445" xr:uid="{4EE09204-21A1-4CE5-BB99-FC6C51D22F07}"/>
    <cellStyle name="Text 2" xfId="37446" xr:uid="{CE4A989F-D5EC-435A-B154-61C8C55017D9}"/>
    <cellStyle name="Text Head 1" xfId="37447" xr:uid="{A1B836DA-88AB-4E7F-B1CC-31B87A0C7FB3}"/>
    <cellStyle name="Text Head 2" xfId="37448" xr:uid="{07CC2278-2AF3-4BC3-B37F-00463182B6D2}"/>
    <cellStyle name="Text Indent 1" xfId="37449" xr:uid="{5A5C7B04-A338-4068-B00B-0C4FCD5F9B2C}"/>
    <cellStyle name="Text Indent 2" xfId="37450" xr:uid="{D27C9091-2BC3-4C33-B4FD-782F37D0C6AE}"/>
    <cellStyle name="Text Level 1" xfId="37451" xr:uid="{CD4C1BF4-A0C2-4654-A8C3-990E5C7BEF7A}"/>
    <cellStyle name="Text Level 1 2" xfId="37452" xr:uid="{E66F9D43-06AA-41ED-B447-FA94852BAB29}"/>
    <cellStyle name="Text Level 2" xfId="37453" xr:uid="{ED233E38-CBCC-4C93-B796-5179BF4E5676}"/>
    <cellStyle name="Text Level 2 2" xfId="37454" xr:uid="{47B7E39D-56B0-4958-8F40-9655437A7710}"/>
    <cellStyle name="Text Level 3" xfId="37455" xr:uid="{3F9F7AAA-B77D-4439-BCE8-C4D39DFD4057}"/>
    <cellStyle name="Text Level 3 2" xfId="37456" xr:uid="{20D65C47-98F6-4BD4-9283-A56B195B3388}"/>
    <cellStyle name="Text Level 4" xfId="37457" xr:uid="{C118C5EF-643D-4533-9D69-5F5940F935A9}"/>
    <cellStyle name="Text Level 4 2" xfId="37458" xr:uid="{E3F3F858-1890-4709-8D2D-C0790C035CCD}"/>
    <cellStyle name="Tickmark" xfId="37459" xr:uid="{8C884754-EAAB-43AE-80C6-B78C2D8A82D3}"/>
    <cellStyle name="TIME Detail" xfId="37460" xr:uid="{B7979EC1-B065-41C0-BC6F-3638C67807AD}"/>
    <cellStyle name="TIME Detail 2" xfId="37461" xr:uid="{EEE64933-AB54-448C-8C02-268DF9E69FCD}"/>
    <cellStyle name="TIME Period Start" xfId="37462" xr:uid="{7ECE2CAA-3F0C-4F02-808F-D32CCCFCC8ED}"/>
    <cellStyle name="Timeline" xfId="37463" xr:uid="{B8192207-17B7-4CF1-842E-4B0F0391E714}"/>
    <cellStyle name="Times New Roman" xfId="37464" xr:uid="{7FA6ADA7-F10B-4CBC-8C76-5A65D0E7ECCE}"/>
    <cellStyle name="Title 1" xfId="37465" xr:uid="{FFF0E89D-E611-4BD4-A780-111820FF1FAB}"/>
    <cellStyle name="Title 10" xfId="37466" xr:uid="{5D5DBDB9-8D8F-4F15-A198-1AB433F42E3F}"/>
    <cellStyle name="Title 11" xfId="37467" xr:uid="{75ABDC74-1709-4702-B918-D9057659D2FD}"/>
    <cellStyle name="Title 12" xfId="37468" xr:uid="{F949FB16-EEBB-48F7-9355-7FD1AC0FDF01}"/>
    <cellStyle name="Title 13" xfId="37469" xr:uid="{0ACE9A29-9AB7-4CC8-9F03-029975FCC0C0}"/>
    <cellStyle name="Title 14" xfId="37470" xr:uid="{E5CF7ADA-7B2E-449B-A8E5-96A271A624D0}"/>
    <cellStyle name="Title 15" xfId="37471" xr:uid="{789031C1-C92B-493B-8B66-9B04DAA56CBD}"/>
    <cellStyle name="Title 16" xfId="37472" xr:uid="{D92CEFCD-EA6A-4DE5-B3D5-6A60B0E2C205}"/>
    <cellStyle name="Title 17" xfId="37473" xr:uid="{2E3D33A5-2BEB-424A-B03D-4F2DC6D1FF11}"/>
    <cellStyle name="Title 18" xfId="37474" xr:uid="{8F8DA7FB-69A3-4306-81A7-090F075BD82A}"/>
    <cellStyle name="Title 19" xfId="37475" xr:uid="{1BBB66CA-9858-4AB9-B6E5-4EE1BC28278B}"/>
    <cellStyle name="Title 2" xfId="37476" xr:uid="{9EDD3C56-ADD7-4882-B64A-01541804E6A8}"/>
    <cellStyle name="Title 2 2" xfId="37477" xr:uid="{537A1C4A-B591-4D87-BC9D-24D2D6600AE0}"/>
    <cellStyle name="Title 2 2 2" xfId="37478" xr:uid="{4C854394-D140-4326-9E21-B30C7B2184E7}"/>
    <cellStyle name="Title 2 3" xfId="37479" xr:uid="{48055DF4-400E-4CE4-BEDB-0F6229F9BD02}"/>
    <cellStyle name="Title 20" xfId="37480" xr:uid="{8CB57548-B0C3-48D9-879D-3FDCAC44A984}"/>
    <cellStyle name="Title 21" xfId="37481" xr:uid="{C95BB074-333A-4612-B61F-8811FF42A1CD}"/>
    <cellStyle name="Title 22" xfId="37482" xr:uid="{D7B9F4F9-2801-4624-93EE-80E92CF6C4EC}"/>
    <cellStyle name="Title 23" xfId="37483" xr:uid="{218B73B9-F9E2-432F-8EFB-9407BAFCC3C5}"/>
    <cellStyle name="Title 24" xfId="37484" xr:uid="{D7C46E6B-451C-46D7-A73C-4D1C3A1CEDCB}"/>
    <cellStyle name="Title 25" xfId="37485" xr:uid="{73500428-527F-4650-83AA-4FD4B17E13AC}"/>
    <cellStyle name="Title 26" xfId="37486" xr:uid="{088E9798-B2AB-4ED7-86AF-41E0790BC593}"/>
    <cellStyle name="Title 27" xfId="37487" xr:uid="{FEBFED5A-DB2A-46EF-A7A4-29E331EA8025}"/>
    <cellStyle name="Title 28" xfId="37488" xr:uid="{7361A826-C15A-4766-B7CB-B1E213DE5A5F}"/>
    <cellStyle name="Title 29" xfId="37489" xr:uid="{856B0ECE-5E35-49CD-B33F-5E2706FFC02D}"/>
    <cellStyle name="Title 3" xfId="37490" xr:uid="{3A13C0AF-4875-42B3-9839-E9A7FC132FBC}"/>
    <cellStyle name="Title 3 2" xfId="37491" xr:uid="{31C69D4E-1B46-49D9-93E4-D9738BBC94B3}"/>
    <cellStyle name="Title 30" xfId="37492" xr:uid="{F08AE43B-4E97-49BD-BA64-D313A4F38638}"/>
    <cellStyle name="Title 31" xfId="37493" xr:uid="{A05C4438-1598-481C-A238-8272A54A7964}"/>
    <cellStyle name="Title 32" xfId="37494" xr:uid="{81AF033D-0622-4C08-B3BD-D758D4599C70}"/>
    <cellStyle name="Title 33" xfId="37495" xr:uid="{9F616BEE-DBF0-4350-8384-03B489D62356}"/>
    <cellStyle name="Title 34" xfId="37496" xr:uid="{8358C1AA-4242-4DFF-98B2-D9912738A579}"/>
    <cellStyle name="Title 35" xfId="37497" xr:uid="{14581A0D-3877-4E3D-A569-468E4E5AA253}"/>
    <cellStyle name="Title 35 2" xfId="37498" xr:uid="{330B844B-5777-4BC5-9E03-E80677D66412}"/>
    <cellStyle name="Title 35 2 2" xfId="37499" xr:uid="{CF529EBA-8DED-419A-9AAE-879E5E3B9121}"/>
    <cellStyle name="Title 35 2 2 2" xfId="37500" xr:uid="{B3E0B093-6724-49B3-B2E3-90C9CDD5C431}"/>
    <cellStyle name="Title 35 3" xfId="37501" xr:uid="{14B6E865-5482-4A34-9268-7C902EFADD88}"/>
    <cellStyle name="Title 35 4" xfId="37502" xr:uid="{58D5C199-4CC6-4E7D-AAB9-9020D8E65EF7}"/>
    <cellStyle name="Title 36" xfId="37503" xr:uid="{F5312A72-9FD7-4698-9737-745D88E66245}"/>
    <cellStyle name="Title 37" xfId="37504" xr:uid="{D60FF8B5-E000-4D24-8ADB-F48FA179C93A}"/>
    <cellStyle name="Title 38" xfId="37505" xr:uid="{010D415F-DDE0-4738-AD88-F7198707870E}"/>
    <cellStyle name="Title 39" xfId="37506" xr:uid="{107D7D64-4A75-4059-8BB8-4D0429C4E7FC}"/>
    <cellStyle name="Title 4" xfId="37507" xr:uid="{B8FC13CC-4AF8-4033-B357-B58C7C9EA99D}"/>
    <cellStyle name="Title 4 2" xfId="37508" xr:uid="{325A432F-74D5-4B14-9C48-CCBF535DEB78}"/>
    <cellStyle name="Title 40" xfId="37509" xr:uid="{C4EF2CF3-A2AA-4B00-822D-F18F6D878A87}"/>
    <cellStyle name="Title 41" xfId="37510" xr:uid="{1126254B-1AA1-4583-A67E-96B9B5016670}"/>
    <cellStyle name="Title 42" xfId="37511" xr:uid="{DDFB1F36-3944-496B-8832-E7187F422893}"/>
    <cellStyle name="Title 43" xfId="37512" xr:uid="{0EBF6E5C-0C21-4EED-A0D5-10F7E7C36E18}"/>
    <cellStyle name="Title 44" xfId="37513" xr:uid="{9D8B7413-3BF3-47B9-AA3E-09A5BDF70304}"/>
    <cellStyle name="Title 45" xfId="37514" xr:uid="{1125AA68-DA17-43B7-917D-9A0F7F289D57}"/>
    <cellStyle name="Title 46" xfId="37515" xr:uid="{F5B2486C-5944-4F56-AD92-83964384D274}"/>
    <cellStyle name="Title 47" xfId="37516" xr:uid="{B68C8446-FBBA-43B6-A97D-745562524C03}"/>
    <cellStyle name="Title 48" xfId="37517" xr:uid="{15A3AEFF-4CAC-47CB-BE15-2ADD807B4328}"/>
    <cellStyle name="Title 49" xfId="37518" xr:uid="{37BF5086-0E47-4538-A862-B69494A8DFAC}"/>
    <cellStyle name="Title 5" xfId="37519" xr:uid="{31FD3A66-A787-4268-BA07-175969FD35EE}"/>
    <cellStyle name="Title 50" xfId="37520" xr:uid="{14932307-D9FD-4BB7-8213-355F48A4C971}"/>
    <cellStyle name="Title 51" xfId="37521" xr:uid="{7A84986B-5FD9-411E-8201-DB19E0E4922B}"/>
    <cellStyle name="Title 52" xfId="37522" xr:uid="{56799904-E016-4A49-A289-74C1D1A92408}"/>
    <cellStyle name="Title 53" xfId="37523" xr:uid="{329DE61A-721C-4D23-A1C7-795AA79E74DE}"/>
    <cellStyle name="Title 54" xfId="37524" xr:uid="{6EA376AB-6143-4345-8DC1-8E247EC150B1}"/>
    <cellStyle name="Title 55" xfId="37525" xr:uid="{9E8E384D-64B2-44D8-8680-8E20BF2498AD}"/>
    <cellStyle name="Title 56" xfId="37526" xr:uid="{B689167B-D376-48CE-A64D-8B63D7BA174C}"/>
    <cellStyle name="Title 57" xfId="37527" xr:uid="{35CD36DE-3362-489D-B705-938B47D2CC52}"/>
    <cellStyle name="Title 58" xfId="37528" xr:uid="{6AC1C05B-20FE-493F-8427-A7CB0E36CBC4}"/>
    <cellStyle name="Title 59" xfId="37529" xr:uid="{88532B67-262E-42FC-93AF-07935DBAC87F}"/>
    <cellStyle name="Title 6" xfId="37530" xr:uid="{6F7F5718-5A9A-482D-8730-1D37E2544595}"/>
    <cellStyle name="Title 60" xfId="37531" xr:uid="{9C3DF963-A40D-45D4-BA9E-FAEB6D9FF11D}"/>
    <cellStyle name="Title 60 2" xfId="37532" xr:uid="{093B4E3D-80D4-43BC-AE16-3B953F64D3B5}"/>
    <cellStyle name="Title 60 2 2" xfId="37533" xr:uid="{39278867-B719-4055-A540-D981B5A6156A}"/>
    <cellStyle name="Title 60 2 2 2" xfId="37534" xr:uid="{2F798046-91A7-4CF2-B230-9BC2BB61E213}"/>
    <cellStyle name="Title 60 2 3" xfId="37535" xr:uid="{18BA2CBA-6CFE-4C56-AB74-92C2E33B4B32}"/>
    <cellStyle name="Title 60 3" xfId="37536" xr:uid="{52A620E8-BB48-43D5-9F46-A588FAEC00BF}"/>
    <cellStyle name="Title 61" xfId="37537" xr:uid="{75276F37-58FA-4743-B92B-DDC51EDF7C7E}"/>
    <cellStyle name="Title 62" xfId="37538" xr:uid="{11790767-D305-4FE4-818E-F2F2D15B68CC}"/>
    <cellStyle name="Title 63" xfId="37539" xr:uid="{EBD9EC73-B36E-4C97-8660-424236FE4C67}"/>
    <cellStyle name="Title 64" xfId="37540" xr:uid="{D3C670D4-0FD2-49B8-8973-A3B4AB5B569D}"/>
    <cellStyle name="Title 65" xfId="37863" xr:uid="{5AECA092-35D3-4D43-AE8D-2681429574C6}"/>
    <cellStyle name="Title 7" xfId="37541" xr:uid="{AE71FBF1-0A34-48B2-B9E6-891CEAAE4B90}"/>
    <cellStyle name="Title 8" xfId="37542" xr:uid="{CACFAB51-C2C1-468A-868E-0F1374D64218}"/>
    <cellStyle name="Title 9" xfId="37543" xr:uid="{FDB14E36-CC06-4AD4-A889-59ED02A0AEB3}"/>
    <cellStyle name="Title1" xfId="37544" xr:uid="{C312E0CC-70B0-4DD1-9CDA-7DE631CD0220}"/>
    <cellStyle name="Title-1" xfId="37545" xr:uid="{E704CD5D-3164-4161-BC8C-89064A74F1CD}"/>
    <cellStyle name="Title1 10" xfId="37546" xr:uid="{6B6C1F67-6AA8-4C61-9B22-9E33E09B3EE0}"/>
    <cellStyle name="Title1 2" xfId="37547" xr:uid="{CA9AB924-C6D9-4680-A7F7-AF932EAC890A}"/>
    <cellStyle name="Title-1 2" xfId="37548" xr:uid="{8305C323-EB17-4B2E-B611-871295B4AAB6}"/>
    <cellStyle name="Title1 2 2" xfId="37549" xr:uid="{81180EB0-F096-48E3-958C-C3D8D1BA5EAD}"/>
    <cellStyle name="Title1 2 2 2" xfId="37550" xr:uid="{A30EF944-9164-469F-9CD3-99C8F6590E24}"/>
    <cellStyle name="Title1 3" xfId="37551" xr:uid="{7BF517FF-D60E-4D45-8283-9F1DB3FC2E6C}"/>
    <cellStyle name="Title-1 3" xfId="37552" xr:uid="{CFD492CE-3617-4E03-AE96-81A6607F02C1}"/>
    <cellStyle name="Title1 4" xfId="37553" xr:uid="{5D2B1FC8-250E-4E18-9E4E-E3543A5F8879}"/>
    <cellStyle name="Title-1 4" xfId="37554" xr:uid="{53B9AA46-C22A-4749-BD42-474048D8ECB3}"/>
    <cellStyle name="Title1 5" xfId="37555" xr:uid="{C20D46E8-4305-4C9A-9789-5A0209FAECE4}"/>
    <cellStyle name="Title1 6" xfId="37556" xr:uid="{77CC09B2-D092-429A-A51B-4F24DBAFB0C1}"/>
    <cellStyle name="Title1 7" xfId="37557" xr:uid="{703ACFBC-6264-45ED-AB4C-8A4A6C5D693E}"/>
    <cellStyle name="Title1 8" xfId="37558" xr:uid="{ECD02FFF-347A-41CE-AABD-F03AE9EAAFA1}"/>
    <cellStyle name="Title1 9" xfId="37559" xr:uid="{AD96F371-FB85-46A2-9EAB-2E67E01844D2}"/>
    <cellStyle name="Title2" xfId="37560" xr:uid="{292D0842-29F7-4ADD-8C5B-978F946FB664}"/>
    <cellStyle name="Title-2" xfId="37561" xr:uid="{4BD29001-068A-4487-87E4-2CE5C83E5CA9}"/>
    <cellStyle name="Title2 2" xfId="37562" xr:uid="{2C6EDBE9-7AB0-4B2C-9B28-450A562F32F1}"/>
    <cellStyle name="Title-2 2" xfId="37563" xr:uid="{01697BC1-03DA-48A1-9689-F8356EDBA579}"/>
    <cellStyle name="Title2 2 2" xfId="37564" xr:uid="{46F406E7-0A43-4402-8076-A7DE4BFD29F8}"/>
    <cellStyle name="Title2 3" xfId="37565" xr:uid="{FACF39AC-6715-4062-9E3F-58745023E04E}"/>
    <cellStyle name="Title-2 3" xfId="37566" xr:uid="{010870B2-9B56-4D15-ABEF-8AB9AD9DA58A}"/>
    <cellStyle name="Title-2 4" xfId="37567" xr:uid="{8996BFD9-0E05-4B3E-BA5E-1A08D20CF96A}"/>
    <cellStyle name="Title3" xfId="37568" xr:uid="{EA29C5E9-202A-4773-89ED-0B92BB0BAF74}"/>
    <cellStyle name="Title3 2" xfId="37569" xr:uid="{1B39844A-7D7C-4C70-9E0B-EF126647BEF5}"/>
    <cellStyle name="Title3 3" xfId="37570" xr:uid="{7008DB01-BDC1-4E20-9482-EC76D4FDE8AD}"/>
    <cellStyle name="Title3 4" xfId="37571" xr:uid="{58B8A953-937C-4693-BD35-6CE4E2878326}"/>
    <cellStyle name="Title3 5" xfId="37572" xr:uid="{233B9E3B-C7E3-4A4F-9F0B-F23339135FB5}"/>
    <cellStyle name="Title3 6" xfId="37573" xr:uid="{4EC8ED0F-2B5E-44CC-A387-F2F09350B01F}"/>
    <cellStyle name="Title3 7" xfId="37574" xr:uid="{6387177E-6FCC-4549-83B9-75ED2153682E}"/>
    <cellStyle name="Title3 8" xfId="37575" xr:uid="{FA5E4A43-E11C-47EB-A204-D2A13361A808}"/>
    <cellStyle name="Title4" xfId="37576" xr:uid="{2381F9A7-E602-4B65-9FA5-863CA84227C7}"/>
    <cellStyle name="Title4 10" xfId="37577" xr:uid="{79F2B9C6-1696-48D7-92AD-F901F5672257}"/>
    <cellStyle name="Title4 2" xfId="37578" xr:uid="{A3A6B52E-B2AE-4919-8745-6CF494F7E2C1}"/>
    <cellStyle name="Title4 2 2" xfId="37579" xr:uid="{089FA32D-26B7-4FDB-9237-42ABECBD8D4E}"/>
    <cellStyle name="Title4 2 2 2" xfId="37580" xr:uid="{A666F191-26D6-43B1-8E4C-F0D0A854221B}"/>
    <cellStyle name="Title4 3" xfId="37581" xr:uid="{9A72DA6F-98A9-4685-BFC9-319C14B99E70}"/>
    <cellStyle name="Title4 4" xfId="37582" xr:uid="{4E106BFC-3CC5-46D1-B152-A25AAC8ADE0F}"/>
    <cellStyle name="Title4 5" xfId="37583" xr:uid="{38597567-4180-457B-A428-F5FF3C623C41}"/>
    <cellStyle name="Title4 6" xfId="37584" xr:uid="{16DFC4BE-1A5B-4543-94E0-E66392ED777A}"/>
    <cellStyle name="Title4 7" xfId="37585" xr:uid="{6538440B-F16D-423A-BEF4-E07BB0F38140}"/>
    <cellStyle name="Title4 8" xfId="37586" xr:uid="{815D9511-041D-49DB-AAEC-E02E17C9F666}"/>
    <cellStyle name="Title4 9" xfId="37587" xr:uid="{06CDD2B4-4B7A-4DB9-A1DA-FDF8610E39AC}"/>
    <cellStyle name="Title5" xfId="37588" xr:uid="{E1758344-871A-44B1-9419-2FC557FD1FD7}"/>
    <cellStyle name="Title5 10" xfId="37589" xr:uid="{BC1E0BF2-340F-4547-8F5E-3BD282429FB6}"/>
    <cellStyle name="Title5 11" xfId="37590" xr:uid="{EAE98F11-210D-4644-AAAE-F249A6B73555}"/>
    <cellStyle name="Title5 2" xfId="37591" xr:uid="{973458F1-FE34-4A3C-9F89-D69439E0C2B8}"/>
    <cellStyle name="Title5 2 2" xfId="37592" xr:uid="{979E459F-B3BB-486F-A638-702F3D407367}"/>
    <cellStyle name="Title5 2 2 2" xfId="37593" xr:uid="{EEA1B47A-CB53-402B-9D8B-A1D2D0D032DD}"/>
    <cellStyle name="Title5 2 2 3" xfId="37594" xr:uid="{80A1D5B5-4CCC-44DF-8E79-C0B8EEB149EC}"/>
    <cellStyle name="Title5 3" xfId="37595" xr:uid="{3111D88F-0A79-460B-8815-76C5470673BB}"/>
    <cellStyle name="Title5 4" xfId="37596" xr:uid="{867087A8-DEB7-4C07-BEAD-5E053934457A}"/>
    <cellStyle name="Title5 5" xfId="37597" xr:uid="{D4C05771-4AB8-415C-B27F-EC396F6661BB}"/>
    <cellStyle name="Title5 6" xfId="37598" xr:uid="{56716D5F-11FF-48FF-B784-CF27D5E96F1C}"/>
    <cellStyle name="Title5 7" xfId="37599" xr:uid="{31C8222B-0D75-410C-898F-48AD9171711D}"/>
    <cellStyle name="Title5 8" xfId="37600" xr:uid="{BBC3A397-BBBB-427E-AC0B-71360EDEF92D}"/>
    <cellStyle name="Title5 9" xfId="37601" xr:uid="{1F244A08-4BA1-4900-89C9-88A6A373D132}"/>
    <cellStyle name="Title6" xfId="37602" xr:uid="{DF4E43A1-1567-41BE-8BA2-CEE3CE63D246}"/>
    <cellStyle name="Title6 10" xfId="37603" xr:uid="{EB3DBE0F-BCC3-48E1-9156-718EB99DEF7B}"/>
    <cellStyle name="Title6 11" xfId="37604" xr:uid="{0E402095-A6E4-4B61-B18C-A6DA02544125}"/>
    <cellStyle name="Title6 2" xfId="37605" xr:uid="{49E16A67-5A92-40ED-85A9-FDDCAA5B3865}"/>
    <cellStyle name="Title6 2 2" xfId="37606" xr:uid="{C60C3D49-3C7B-4B05-8053-CF5059D079E7}"/>
    <cellStyle name="Title6 2 2 2" xfId="37607" xr:uid="{428A9A02-04A1-4616-8706-F521123FA005}"/>
    <cellStyle name="Title6 2 2 3" xfId="37608" xr:uid="{51CBB4A3-B6CC-486E-87F0-1CE3A32A0772}"/>
    <cellStyle name="Title6 3" xfId="37609" xr:uid="{38C7249D-82CF-4AD7-B061-EF5DCEE8F7D1}"/>
    <cellStyle name="Title6 4" xfId="37610" xr:uid="{DFEB06A8-5B40-43C1-98F8-990E59A20689}"/>
    <cellStyle name="Title6 5" xfId="37611" xr:uid="{C47C049C-C3F4-4C14-BD73-B1B64A718E8C}"/>
    <cellStyle name="Title6 6" xfId="37612" xr:uid="{2EDABAB1-D61C-478C-B860-46F51F9FB28F}"/>
    <cellStyle name="Title6 7" xfId="37613" xr:uid="{AF57F9E4-F69D-4A49-8C57-87F1FCDA30CA}"/>
    <cellStyle name="Title6 8" xfId="37614" xr:uid="{076560B4-AD38-4739-9373-FA147C8B59F9}"/>
    <cellStyle name="Title6 9" xfId="37615" xr:uid="{DA143D94-1A98-4B6E-B456-E1AE9C71B393}"/>
    <cellStyle name="Titolo" xfId="37616" xr:uid="{825BA909-A9E3-4152-A1C7-67F973D66972}"/>
    <cellStyle name="Titolo 1" xfId="37617" xr:uid="{A5D3B2D4-B696-4753-8248-15101DBB5CA3}"/>
    <cellStyle name="Titolo 1 2" xfId="37618" xr:uid="{90E182CC-77FF-47D0-A878-FDF037FE6546}"/>
    <cellStyle name="Titolo 2" xfId="37619" xr:uid="{C2460E10-CE62-43B1-AF8E-F491DD63AD78}"/>
    <cellStyle name="Titolo 2 2" xfId="37620" xr:uid="{F836E2C1-FB92-4628-A193-F0674FADAF8B}"/>
    <cellStyle name="Titolo 3" xfId="37621" xr:uid="{FA897070-2FB3-4D55-8E5A-2FC846E5FBB0}"/>
    <cellStyle name="Titolo 3 2" xfId="37622" xr:uid="{F1C58B68-E033-4673-9E8B-D3A08C85A1CC}"/>
    <cellStyle name="Titolo 4" xfId="37623" xr:uid="{F78A3013-CE89-4BF3-BF0F-45CB6429A4E2}"/>
    <cellStyle name="Titolo 4 2" xfId="37624" xr:uid="{E31EB628-CF16-41FD-BD0A-392BECA7684E}"/>
    <cellStyle name="Titolo 5" xfId="37625" xr:uid="{699CDC55-8451-4194-A3FA-7BD1B208CAAD}"/>
    <cellStyle name="Titolo_Demand_Source_Cen" xfId="37626" xr:uid="{37F7152D-6C37-4D1B-9471-596302BAA525}"/>
    <cellStyle name="titre" xfId="37627" xr:uid="{FBB35280-B10D-48B1-B30F-8919816C4F91}"/>
    <cellStyle name="Titre ligne" xfId="37628" xr:uid="{E0A2FEA2-A00C-44E3-B5AC-76B9616F1320}"/>
    <cellStyle name="Tmpl_Assumptions" xfId="37629" xr:uid="{6DF03F2F-549A-4733-8782-FE37CA0BFBEB}"/>
    <cellStyle name="TOC 1" xfId="37630" xr:uid="{DA8A23A5-5919-4DD1-B61E-38B78BCAAF54}"/>
    <cellStyle name="TOC 2" xfId="37631" xr:uid="{9C8D0AC8-16C7-4371-82C3-1929E6EAFB75}"/>
    <cellStyle name="Total 10" xfId="37632" xr:uid="{5EC9C878-4216-47A7-AF33-9A60079DC063}"/>
    <cellStyle name="Total 11" xfId="37633" xr:uid="{A3533F21-32EF-42CE-8964-1BD5430DB596}"/>
    <cellStyle name="Total 12" xfId="37634" xr:uid="{0F818454-9A1F-4AEF-8223-3E94249C3DDD}"/>
    <cellStyle name="Total 13" xfId="37635" xr:uid="{A36A66D6-E145-4157-8C46-F7CCEB15C8B6}"/>
    <cellStyle name="Total 14" xfId="37636" xr:uid="{CD823E9D-F449-4D54-AD05-E4C80029816E}"/>
    <cellStyle name="Total 15" xfId="37637" xr:uid="{9621741A-F0D4-4A69-AC4B-332576F49102}"/>
    <cellStyle name="Total 16" xfId="37638" xr:uid="{78A9B039-073E-458E-88D0-E3D3701907A9}"/>
    <cellStyle name="Total 17" xfId="37639" xr:uid="{766C6B2A-B92F-42D0-BB0E-CC9B4EC5D26B}"/>
    <cellStyle name="Total 18" xfId="37640" xr:uid="{9ADABED0-D33D-463C-B7D6-4487BF95AED2}"/>
    <cellStyle name="Total 19" xfId="37641" xr:uid="{CD7616CF-66FA-40AC-96F7-C929EE9D4321}"/>
    <cellStyle name="Total 2" xfId="37642" xr:uid="{BDC29FE9-1DE8-4B6D-AA72-B842B600D63E}"/>
    <cellStyle name="Total 2 10" xfId="37643" xr:uid="{1EFC2616-6386-4050-8E63-44DD6D95C66E}"/>
    <cellStyle name="Total 2 11" xfId="37644" xr:uid="{13CAA6C3-C29E-420E-83B8-F001986D6A15}"/>
    <cellStyle name="Total 2 12" xfId="37645" xr:uid="{F8C4E19C-058F-4E3C-B469-E514983B42F8}"/>
    <cellStyle name="Total 2 2" xfId="37646" xr:uid="{857FB53E-60F3-44B3-A62F-0A0A0555E1A0}"/>
    <cellStyle name="Total 2 2 2" xfId="37647" xr:uid="{90C52394-3322-4779-8632-8A6837147B7E}"/>
    <cellStyle name="Total 2 2 3" xfId="37648" xr:uid="{D14C52B1-AF34-495F-89EE-18C2D6FD684D}"/>
    <cellStyle name="Total 2 2 4" xfId="37649" xr:uid="{09640374-182D-40A1-944D-4E681C744ACB}"/>
    <cellStyle name="Total 2 2 5" xfId="37650" xr:uid="{847742F3-01C8-4A57-840C-2661D7D99631}"/>
    <cellStyle name="Total 2 3" xfId="37651" xr:uid="{F5E17D1E-839F-48B4-9D2B-A59B643D65E3}"/>
    <cellStyle name="Total 2 4" xfId="37652" xr:uid="{4A22C08C-BC75-4A97-8E26-B9AED059AFC7}"/>
    <cellStyle name="Total 2 5" xfId="37653" xr:uid="{AC5273C1-83B9-4297-8C10-6FA0904B93CE}"/>
    <cellStyle name="Total 2 6" xfId="37654" xr:uid="{CED5A51F-A9BC-4C95-9E86-01F116270D6D}"/>
    <cellStyle name="Total 2 7" xfId="37655" xr:uid="{41B81F3C-2739-486E-A45F-0E9B4CFCA94D}"/>
    <cellStyle name="Total 2 8" xfId="37656" xr:uid="{C53B22C3-04D3-44EF-A502-FA409F463EBB}"/>
    <cellStyle name="Total 2 9" xfId="37657" xr:uid="{2805E66E-585A-4F82-9B03-B95B34A9AE03}"/>
    <cellStyle name="Total 20" xfId="37658" xr:uid="{FFF13202-9302-4556-BBCE-323E7877DEA6}"/>
    <cellStyle name="Total 21" xfId="37659" xr:uid="{805EBEAA-1488-4E2F-BAE1-A34FB931CA4C}"/>
    <cellStyle name="Total 22" xfId="37660" xr:uid="{6B59086A-2DC7-48FF-B834-5A49EAB1ED99}"/>
    <cellStyle name="Total 23" xfId="37661" xr:uid="{AE16A4B4-61E9-49C3-8663-B44A1418F265}"/>
    <cellStyle name="Total 24" xfId="37662" xr:uid="{D94DBED7-5284-43F0-8CC9-DBCCDAF37FDC}"/>
    <cellStyle name="Total 25" xfId="37663" xr:uid="{42F2E6AF-5DFD-4387-8816-5922576406A0}"/>
    <cellStyle name="Total 26" xfId="37664" xr:uid="{A46541F2-E4C5-4BC4-9279-74D23DCC57BE}"/>
    <cellStyle name="Total 27" xfId="37665" xr:uid="{AAB39212-5553-448F-93EF-11F4F204571F}"/>
    <cellStyle name="Total 28" xfId="37666" xr:uid="{36FC5CF7-82F7-4ADB-85A6-5F0398A4A8BE}"/>
    <cellStyle name="Total 29" xfId="37667" xr:uid="{F05FE686-7C59-4F76-AD9A-6F1C783E8256}"/>
    <cellStyle name="Total 3" xfId="37668" xr:uid="{2F30290E-1366-4F37-AA21-127DD385D8A9}"/>
    <cellStyle name="Total 3 10" xfId="37669" xr:uid="{05E22A98-D582-4993-8A05-0013DA2A4E96}"/>
    <cellStyle name="Total 3 2" xfId="37670" xr:uid="{97A85F96-CC76-452C-8D62-0B4C98DA730F}"/>
    <cellStyle name="Total 3 3" xfId="37671" xr:uid="{ACE6C3B8-9CCF-4E3B-B95A-615F31B0A253}"/>
    <cellStyle name="Total 3 4" xfId="37672" xr:uid="{46991CE8-3383-4938-AC58-198F90581BF7}"/>
    <cellStyle name="Total 3 5" xfId="37673" xr:uid="{A39D01BB-5E99-4283-ADB8-9BF365522FD3}"/>
    <cellStyle name="Total 3 6" xfId="37674" xr:uid="{B67B85A1-95E9-4AF5-9A03-210713A912D3}"/>
    <cellStyle name="Total 3 7" xfId="37675" xr:uid="{E4FBD122-E5F0-463F-999B-0222FD45D6D1}"/>
    <cellStyle name="Total 3 8" xfId="37676" xr:uid="{9FB51BE4-131F-46EB-9CF3-1D446637F7AB}"/>
    <cellStyle name="Total 3 9" xfId="37677" xr:uid="{2D567DB7-56D2-4F48-AF1F-5A5C108F15E0}"/>
    <cellStyle name="Total 30" xfId="37678" xr:uid="{AE4C3886-BA1C-42FE-969C-B5F7D0CEA002}"/>
    <cellStyle name="Total 31" xfId="37679" xr:uid="{109A5622-EFB2-4E46-B9B5-A4112430672B}"/>
    <cellStyle name="Total 32" xfId="37680" xr:uid="{956FD4AC-5567-4DAF-BF60-9B8D7E6646E6}"/>
    <cellStyle name="Total 33" xfId="37681" xr:uid="{5EC10147-F883-4E8C-9BE5-0CCD80CF91F0}"/>
    <cellStyle name="Total 34" xfId="37682" xr:uid="{FB5B9390-B46C-4396-951E-A342AD5AFF65}"/>
    <cellStyle name="Total 35" xfId="37683" xr:uid="{82B5C5B1-D9A9-4309-88D4-E55408B408A0}"/>
    <cellStyle name="Total 35 2" xfId="37684" xr:uid="{4CB44415-7ACC-48D4-8726-5B002240A916}"/>
    <cellStyle name="Total 35 2 2" xfId="37685" xr:uid="{D643AA49-850D-42AC-B907-DF19C2B5943A}"/>
    <cellStyle name="Total 35 2 2 2" xfId="37686" xr:uid="{82FE47CC-D7CF-40D0-8FA4-749C7458A8AC}"/>
    <cellStyle name="Total 35 3" xfId="37687" xr:uid="{392E6115-170E-4F31-9E3A-CCB83D070734}"/>
    <cellStyle name="Total 35 4" xfId="37688" xr:uid="{B3E6FB68-83F8-4766-B3AC-302BDB35E6F7}"/>
    <cellStyle name="Total 36" xfId="37689" xr:uid="{80F9B463-A7DE-4628-B9F3-6B4D31497D45}"/>
    <cellStyle name="Total 37" xfId="37690" xr:uid="{916DA9DB-BF2A-4F2B-AB59-EE61B50C2CA7}"/>
    <cellStyle name="Total 38" xfId="37691" xr:uid="{7970E181-4191-4704-AD6F-5FD50B62ADCB}"/>
    <cellStyle name="Total 39" xfId="37692" xr:uid="{A83370F1-8D77-443C-BD25-71BA8E67F645}"/>
    <cellStyle name="Total 4" xfId="37693" xr:uid="{985D3543-6929-48AE-A62F-8928EDEA4B25}"/>
    <cellStyle name="Total 4 2" xfId="37694" xr:uid="{9AF6E95A-C4F4-4EB7-82A6-7DFD45AE9C8C}"/>
    <cellStyle name="Total 4 3" xfId="37695" xr:uid="{44F85A4A-7E0A-4BDC-A48B-97B6FAEA733E}"/>
    <cellStyle name="Total 40" xfId="37696" xr:uid="{DA757EEB-A430-4B4E-83DE-87CDE006E8B1}"/>
    <cellStyle name="Total 41" xfId="37697" xr:uid="{7D1DCF5A-A562-4309-B55D-0101D03C2EBB}"/>
    <cellStyle name="Total 42" xfId="37698" xr:uid="{ADAC6B01-B3F3-46B4-88C2-EA120BACF069}"/>
    <cellStyle name="Total 43" xfId="37699" xr:uid="{7CB52346-1B6B-4893-9725-D9AB71DA8603}"/>
    <cellStyle name="Total 44" xfId="37700" xr:uid="{C5A6275D-26E5-469F-A307-D0A897EB0068}"/>
    <cellStyle name="Total 45" xfId="37701" xr:uid="{DC77F883-9457-48DB-8144-BCE9CAA532E3}"/>
    <cellStyle name="Total 46" xfId="37702" xr:uid="{3E806D5B-E85A-4599-943B-1AA75B543189}"/>
    <cellStyle name="Total 47" xfId="37703" xr:uid="{C9DD8274-6BE3-4471-BF2D-8737BFA01455}"/>
    <cellStyle name="Total 48" xfId="37704" xr:uid="{394BDEC7-50D3-4295-82BE-4CA27BEC1763}"/>
    <cellStyle name="Total 49" xfId="37705" xr:uid="{9295888C-E0A2-4E8D-8081-E417499971D5}"/>
    <cellStyle name="Total 5" xfId="37706" xr:uid="{F0C9E78B-2473-4D4B-9B88-D61F7F4C0F10}"/>
    <cellStyle name="Total 50" xfId="37707" xr:uid="{96E330A9-BE2F-44AE-87EA-4AE7B92B8734}"/>
    <cellStyle name="Total 51" xfId="37708" xr:uid="{37283BCE-0AFD-4707-8181-F0D329BA5DEC}"/>
    <cellStyle name="Total 52" xfId="37709" xr:uid="{75E2787C-4A6D-4885-8B38-1138B2FA0F80}"/>
    <cellStyle name="Total 53" xfId="37710" xr:uid="{74EED438-75D2-4BFB-A231-826F8C813893}"/>
    <cellStyle name="Total 54" xfId="37711" xr:uid="{B705630D-B283-48E8-BB16-54586718F612}"/>
    <cellStyle name="Total 55" xfId="37712" xr:uid="{98865D44-1437-4DD9-B1D3-14FF67CBBA6E}"/>
    <cellStyle name="Total 56" xfId="37713" xr:uid="{0F585E00-208D-4941-8954-61C55AA72ABD}"/>
    <cellStyle name="Total 57" xfId="37714" xr:uid="{EFC6258D-1492-4240-9DA2-2019F2C950BB}"/>
    <cellStyle name="Total 58" xfId="37715" xr:uid="{B22709C8-0E74-4D21-BAC9-CB62C0B393D1}"/>
    <cellStyle name="Total 59" xfId="37716" xr:uid="{A236A95B-2C69-43DD-976E-44625A2CAE28}"/>
    <cellStyle name="Total 6" xfId="37717" xr:uid="{0812CE6A-BE3A-405E-9A08-CE57F26F5A16}"/>
    <cellStyle name="Total 60" xfId="37718" xr:uid="{5D45771A-4031-4277-8316-1D76C0909F72}"/>
    <cellStyle name="Total 60 2" xfId="37719" xr:uid="{78A1648D-4CB4-47D6-B71E-B0E0BC8B8FB5}"/>
    <cellStyle name="Total 60 2 2" xfId="37720" xr:uid="{D6AD88DE-6D0C-485E-9DF1-ED62116FA2EC}"/>
    <cellStyle name="Total 60 2 2 2" xfId="37721" xr:uid="{B034E0EA-9F2D-43FA-AE4E-E471851FDB84}"/>
    <cellStyle name="Total 60 2 3" xfId="37722" xr:uid="{E107964A-530F-4183-9C0B-BD692AE524A1}"/>
    <cellStyle name="Total 61" xfId="37723" xr:uid="{FABB53A3-49AB-4AB1-B1CD-52406EA1D42B}"/>
    <cellStyle name="Total 62" xfId="37724" xr:uid="{0F053016-4293-4543-B6EC-DA42D8F565B4}"/>
    <cellStyle name="Total 63" xfId="37725" xr:uid="{F77B628D-1B92-4F5D-BF26-765E5B8B2573}"/>
    <cellStyle name="Total 64" xfId="37726" xr:uid="{3CF23F91-7560-4029-B281-122C0DD72219}"/>
    <cellStyle name="Total 65" xfId="37727" xr:uid="{622D069A-9487-4B84-98CE-8ADE4514919E}"/>
    <cellStyle name="Total 66" xfId="37728" xr:uid="{3626CE41-6B2A-42E2-BF53-13297BC76BC5}"/>
    <cellStyle name="Total 7" xfId="37729" xr:uid="{1AE80ECA-09B3-465F-B64D-149E77DDFD7B}"/>
    <cellStyle name="Total 8" xfId="37730" xr:uid="{45E2B171-936E-4AB6-BB77-75735602EF96}"/>
    <cellStyle name="Total 9" xfId="37731" xr:uid="{D0757A38-DFE5-422B-A876-54A007146B30}"/>
    <cellStyle name="Total Currency" xfId="37732" xr:uid="{8D898104-5BBE-414E-BE8E-A77DAD451725}"/>
    <cellStyle name="Total intermediaire" xfId="37733" xr:uid="{B38FC92D-179B-4F2A-A757-B0557304F346}"/>
    <cellStyle name="Total Normal" xfId="37734" xr:uid="{6D8D11F3-53ED-4D73-9B4C-89CB0003BA62}"/>
    <cellStyle name="Totale" xfId="37735" xr:uid="{F30965F0-7BA0-483A-B5DA-555BE2BA27EF}"/>
    <cellStyle name="Totale 2" xfId="37736" xr:uid="{A2D9B7B0-11D9-4B03-B088-43FFB85EF6E5}"/>
    <cellStyle name="Totale 3" xfId="37737" xr:uid="{1FC498B5-FBA9-4B53-A816-2BF9E7E04AF7}"/>
    <cellStyle name="Totale 4" xfId="37738" xr:uid="{FE65BA9F-5D53-4339-AD39-60FE261DEFEE}"/>
    <cellStyle name="Tusenskille [0]_rob4-mon.xls Diagram 1" xfId="37739" xr:uid="{EFE5B426-4261-4558-BADE-91B6D536D70A}"/>
    <cellStyle name="Tusenskille_rob4-mon.xls Diagram 1" xfId="37740" xr:uid="{7024BB94-A991-4579-ABBE-E776B0B3DB49}"/>
    <cellStyle name="TypeNote" xfId="37741" xr:uid="{7FD97E41-72E6-4A22-B248-9066F183A8D4}"/>
    <cellStyle name="Unit" xfId="37742" xr:uid="{21FF1964-6BD6-4EFF-A081-707FEEF6419D}"/>
    <cellStyle name="UnitOfMeasure" xfId="37743" xr:uid="{251E0933-5C38-4E14-B766-285A545E9615}"/>
    <cellStyle name="Unprot" xfId="37744" xr:uid="{84B0E24D-DA9D-4463-ABD9-5D09A2A9833D}"/>
    <cellStyle name="Unprot 2" xfId="37745" xr:uid="{C7CEBCB9-B67C-49F7-981D-54582245D7B7}"/>
    <cellStyle name="Unprot$" xfId="37746" xr:uid="{6AE45037-7424-4207-B5E7-E537E6ADDFA5}"/>
    <cellStyle name="Unprot$ 2" xfId="37747" xr:uid="{686F4CB8-C8D2-43F6-B993-D99C51062730}"/>
    <cellStyle name="Unprot$ 3" xfId="37748" xr:uid="{D6147D9A-9FAA-48A2-B67A-1A07B1E8AD02}"/>
    <cellStyle name="Unprot_OP" xfId="37749" xr:uid="{0DAB68EE-274A-4075-9973-A80FC855077C}"/>
    <cellStyle name="Unprotect" xfId="37750" xr:uid="{3809960F-CBEF-40C0-B284-B993E9763C3D}"/>
    <cellStyle name="User input" xfId="37751" xr:uid="{06E2AFB9-D0D6-4CC6-9966-DCC7D383F984}"/>
    <cellStyle name="Valore non valido" xfId="37752" xr:uid="{ECA895D2-735F-499D-9EE1-692302E92CD0}"/>
    <cellStyle name="Valore non valido 2" xfId="37753" xr:uid="{712655FC-B91F-486B-B8C6-9E5F09B496F9}"/>
    <cellStyle name="Valore valido" xfId="37754" xr:uid="{0D9548BE-85DD-4A0A-909D-F09E5172CE77}"/>
    <cellStyle name="Valore valido 2" xfId="37755" xr:uid="{9689D67B-A515-4E55-AAE1-B0389F3CCE81}"/>
    <cellStyle name="Value" xfId="37756" xr:uid="{CA78AA85-C2CC-445D-AD33-D2F58543D79A}"/>
    <cellStyle name="Valuta [0]_rob4-mon.xls Diagram 1" xfId="37757" xr:uid="{7A78439B-A7E3-4198-8601-16A542E567E7}"/>
    <cellStyle name="Valuta_Copia di Tariffatorexx" xfId="37758" xr:uid="{AD272B7F-B20B-4374-9B83-29EDD524609F}"/>
    <cellStyle name="Vertical" xfId="37759" xr:uid="{7DE5F56D-F6F4-447A-A293-8540297B53A9}"/>
    <cellStyle name="Währung [0]_0002VS" xfId="37760" xr:uid="{97D7647E-9353-4E11-8F82-4B3204A8A8B7}"/>
    <cellStyle name="Währung_0002VS" xfId="37761" xr:uid="{AACB080C-2620-4770-9883-D7F25A9B2BFE}"/>
    <cellStyle name="Warning Text 10" xfId="37762" xr:uid="{ACE9D2DA-C321-4C44-A97D-529D89D8BEEB}"/>
    <cellStyle name="Warning Text 11" xfId="37763" xr:uid="{2EFAD13C-48AE-4A25-AA91-C2D92780FE3D}"/>
    <cellStyle name="Warning Text 12" xfId="37764" xr:uid="{63F94A6A-F0ED-4C99-AA56-86900D4A40DA}"/>
    <cellStyle name="Warning Text 13" xfId="37765" xr:uid="{FB6E282C-CB72-4CAC-A2EF-3DD263442A97}"/>
    <cellStyle name="Warning Text 14" xfId="37766" xr:uid="{A8F85352-B34E-4A8F-8C3C-D926340ECA01}"/>
    <cellStyle name="Warning Text 15" xfId="37767" xr:uid="{6193D645-FB9B-4F8F-875D-628791E78D42}"/>
    <cellStyle name="Warning Text 16" xfId="37768" xr:uid="{B78E8866-9653-49F8-9BE3-F51D50A6D660}"/>
    <cellStyle name="Warning Text 17" xfId="37769" xr:uid="{FD8E0F13-8804-47AE-98D1-61C32E704576}"/>
    <cellStyle name="Warning Text 18" xfId="37770" xr:uid="{9DBC50F1-652B-43C0-BD59-95177141E882}"/>
    <cellStyle name="Warning Text 19" xfId="37771" xr:uid="{36C38BB4-D1F0-44AB-96A3-F6E88FD49C92}"/>
    <cellStyle name="Warning Text 2" xfId="37772" xr:uid="{11457D0A-BBFB-407F-8BC9-58CBE0F008DD}"/>
    <cellStyle name="Warning Text 2 2" xfId="37773" xr:uid="{01DDC89F-AFB6-4211-9DB1-FCB4C8251C77}"/>
    <cellStyle name="Warning Text 2 2 2" xfId="37774" xr:uid="{B656465E-05C2-4BA7-B0A7-91F827EA6B81}"/>
    <cellStyle name="Warning Text 2 3" xfId="37775" xr:uid="{A9C3B38A-2156-4A68-83CA-A4CC5DCA1238}"/>
    <cellStyle name="Warning Text 2 4" xfId="37776" xr:uid="{AE6C835B-2019-4EE7-8F02-A3F44183AD5C}"/>
    <cellStyle name="Warning Text 2 5" xfId="37777" xr:uid="{A2580066-4E49-4C95-96E6-2A45569111C1}"/>
    <cellStyle name="Warning Text 20" xfId="37778" xr:uid="{6F41A7F8-E4E8-4BA3-9016-F3BC2AC8B877}"/>
    <cellStyle name="Warning Text 21" xfId="37779" xr:uid="{86E09AC5-962F-4FAE-BDE5-AE52DA6589B3}"/>
    <cellStyle name="Warning Text 22" xfId="37780" xr:uid="{5E61F392-2688-4C57-9E70-8FEF82781DFA}"/>
    <cellStyle name="Warning Text 23" xfId="37781" xr:uid="{1C19870E-5ED6-454B-B85D-AB808095AF8F}"/>
    <cellStyle name="Warning Text 24" xfId="37782" xr:uid="{FAC9CABD-87A0-44D9-9684-1F706D7D27D5}"/>
    <cellStyle name="Warning Text 25" xfId="37783" xr:uid="{BE4401DD-20F4-431C-9780-645A63706EA8}"/>
    <cellStyle name="Warning Text 26" xfId="37784" xr:uid="{91A88A8D-3FE2-48E5-9E66-59AF5C836A33}"/>
    <cellStyle name="Warning Text 27" xfId="37785" xr:uid="{ED245C50-8F26-4DCA-B08E-D820086F9C54}"/>
    <cellStyle name="Warning Text 28" xfId="37786" xr:uid="{2E2AF32B-9862-4F3A-BCE7-8A6B36F2044D}"/>
    <cellStyle name="Warning Text 29" xfId="37787" xr:uid="{284D53C7-E1DD-47FE-B76F-85E0C534582D}"/>
    <cellStyle name="Warning Text 3" xfId="37788" xr:uid="{48A1879A-C2B8-4417-8FDD-A15AD80432B0}"/>
    <cellStyle name="Warning Text 3 2" xfId="37789" xr:uid="{0808452B-6261-4187-9470-6A834AC19D22}"/>
    <cellStyle name="Warning Text 30" xfId="37790" xr:uid="{21540527-44E0-4CB1-AD57-A3F7BA0BF0AD}"/>
    <cellStyle name="Warning Text 31" xfId="37791" xr:uid="{241BED63-5C29-4858-8FE9-A448A91FB738}"/>
    <cellStyle name="Warning Text 32" xfId="37792" xr:uid="{90075DA6-51E6-4472-A2E7-50277F9749C8}"/>
    <cellStyle name="Warning Text 33" xfId="37793" xr:uid="{1DF59670-1E7C-4F07-A8BE-320BE9FB7CCF}"/>
    <cellStyle name="Warning Text 34" xfId="37794" xr:uid="{7332D618-87B2-47ED-92BD-886C5BE0DFE3}"/>
    <cellStyle name="Warning Text 35" xfId="37795" xr:uid="{9B1B2D66-DC8A-4550-80F0-BCF36C7C9390}"/>
    <cellStyle name="Warning Text 35 2" xfId="37796" xr:uid="{F17C8514-46FC-491F-8525-19CA535BE322}"/>
    <cellStyle name="Warning Text 35 2 2" xfId="37797" xr:uid="{92F3EFFF-B7B3-475E-98FD-6915369D1C64}"/>
    <cellStyle name="Warning Text 35 2 2 2" xfId="37798" xr:uid="{7F4B5BC3-F08F-4086-8126-E61DEDC4796F}"/>
    <cellStyle name="Warning Text 35 3" xfId="37799" xr:uid="{0AE62F8C-8AD6-4703-8D6F-90AF37E6DF04}"/>
    <cellStyle name="Warning Text 35 4" xfId="37800" xr:uid="{6D605AD0-9B44-4AB2-9AD5-7891F0323296}"/>
    <cellStyle name="Warning Text 36" xfId="37801" xr:uid="{47244443-DA2C-44F0-B46E-465A6D6073E9}"/>
    <cellStyle name="Warning Text 37" xfId="37802" xr:uid="{C0691205-FE2E-402C-8591-CF5098C07A19}"/>
    <cellStyle name="Warning Text 38" xfId="37803" xr:uid="{01926838-CC92-4147-B156-047BE7C7E67F}"/>
    <cellStyle name="Warning Text 39" xfId="37804" xr:uid="{49AD453A-D5C3-461D-8C54-C0435D420C23}"/>
    <cellStyle name="Warning Text 4" xfId="37805" xr:uid="{F948D8EE-0212-4C36-A44F-3F2007DDEDD1}"/>
    <cellStyle name="Warning Text 40" xfId="37806" xr:uid="{3C373951-BA5F-47A8-82C8-91B7D08C447C}"/>
    <cellStyle name="Warning Text 41" xfId="37807" xr:uid="{2CFC9DC1-A73D-4F68-AE0B-D985871E4A6F}"/>
    <cellStyle name="Warning Text 42" xfId="37808" xr:uid="{14CD5B37-A80C-45B3-A9D2-BFF564190EB0}"/>
    <cellStyle name="Warning Text 43" xfId="37809" xr:uid="{3E4AB0C8-FA44-4AE3-9124-E0E064E706FC}"/>
    <cellStyle name="Warning Text 44" xfId="37810" xr:uid="{2995D3FA-6ECA-4A9E-86AF-3F1F428CD0D4}"/>
    <cellStyle name="Warning Text 45" xfId="37811" xr:uid="{346373A8-F6D5-48CC-B5F9-C1A6239B5D2C}"/>
    <cellStyle name="Warning Text 46" xfId="37812" xr:uid="{402BBF31-D846-45C9-9188-AEE1E0C438FB}"/>
    <cellStyle name="Warning Text 47" xfId="37813" xr:uid="{894F399F-76C9-4A4C-84BD-0E8ECB3602A2}"/>
    <cellStyle name="Warning Text 48" xfId="37814" xr:uid="{A7CB24A0-59D0-49CE-8A87-5020468E8DB7}"/>
    <cellStyle name="Warning Text 49" xfId="37815" xr:uid="{3AA1ACFA-E120-4278-AD5E-4AFB66EE5C8C}"/>
    <cellStyle name="Warning Text 5" xfId="37816" xr:uid="{AD639EB0-81C3-4B46-A8F3-367F575B655B}"/>
    <cellStyle name="Warning Text 50" xfId="37817" xr:uid="{0213C0D9-6528-4BB4-BFFB-48AFBB22B439}"/>
    <cellStyle name="Warning Text 51" xfId="37818" xr:uid="{1B522115-9673-437A-AC65-4A0145DF1819}"/>
    <cellStyle name="Warning Text 52" xfId="37819" xr:uid="{8DA73044-E6FA-4E76-BA1B-6874DDA4CEF7}"/>
    <cellStyle name="Warning Text 53" xfId="37820" xr:uid="{E3A558E3-4420-488F-BAAB-D112C6F5F00B}"/>
    <cellStyle name="Warning Text 54" xfId="37821" xr:uid="{8678F51F-E6C5-41AB-9104-5A2080900973}"/>
    <cellStyle name="Warning Text 55" xfId="37822" xr:uid="{69DB58EE-7D0F-45BA-90B8-8A83DE7031A7}"/>
    <cellStyle name="Warning Text 56" xfId="37823" xr:uid="{3A658627-6A33-4FF1-AA52-F07A0BD62D8B}"/>
    <cellStyle name="Warning Text 57" xfId="37824" xr:uid="{390AF8E0-1E7F-4BE5-A346-6D4AFD626107}"/>
    <cellStyle name="Warning Text 58" xfId="37825" xr:uid="{2EF950F0-A9C8-4093-B3FD-2BE46646A207}"/>
    <cellStyle name="Warning Text 59" xfId="37826" xr:uid="{BA6BF05C-0D13-4EAD-B71F-3F43780AB01D}"/>
    <cellStyle name="Warning Text 6" xfId="37827" xr:uid="{61CC4C75-1983-4B38-8A25-6469DBBFCD0F}"/>
    <cellStyle name="Warning Text 60" xfId="37828" xr:uid="{C685306E-1711-45F9-8412-3BA5AEC79172}"/>
    <cellStyle name="Warning Text 60 2" xfId="37829" xr:uid="{794ABF1C-5858-42B1-8805-8A6DFAF430AB}"/>
    <cellStyle name="Warning Text 60 2 2" xfId="37830" xr:uid="{2A6C9256-EEEE-4FEA-919A-9F00D9D8DB6F}"/>
    <cellStyle name="Warning Text 60 2 3" xfId="37831" xr:uid="{FDFB2AB9-3076-4A71-931A-11D6D65FF7D0}"/>
    <cellStyle name="Warning Text 61" xfId="37832" xr:uid="{2EF45746-EDD4-4624-9023-D89AE7A50E70}"/>
    <cellStyle name="Warning Text 62" xfId="37833" xr:uid="{8D031F68-83F3-4703-BDC0-1EBD72EA76AB}"/>
    <cellStyle name="Warning Text 63" xfId="37834" xr:uid="{92570F00-F838-4FDC-B97D-338A7C482F87}"/>
    <cellStyle name="Warning Text 64" xfId="37835" xr:uid="{1CE7602E-0CD0-4AF9-9431-8352D67F32CE}"/>
    <cellStyle name="Warning Text 65" xfId="37836" xr:uid="{F439A414-708A-4EDB-A7FE-85592D9B551D}"/>
    <cellStyle name="Warning Text 7" xfId="37837" xr:uid="{1A8448BB-74CE-432D-AF68-4A8B6F5F1CB6}"/>
    <cellStyle name="Warning Text 8" xfId="37838" xr:uid="{47A494E3-737B-4676-AB92-FA684367FB50}"/>
    <cellStyle name="Warning Text 9" xfId="37839" xr:uid="{0845702A-62D6-4E74-8331-36D346DB9114}"/>
    <cellStyle name="Warnings" xfId="37840" xr:uid="{BF6F3BC7-15EA-46A7-86AC-73EAFFEE5327}"/>
    <cellStyle name="Warnings 2" xfId="37841" xr:uid="{1B501F8E-FC2E-4B76-BFC0-98577BB0C506}"/>
    <cellStyle name="whole number" xfId="37842" xr:uid="{1A090AF2-0742-4E92-9732-51B5D51AFF3F}"/>
    <cellStyle name="WIP" xfId="37843" xr:uid="{B19CDDE9-417F-410E-8587-B8CD36289F4F}"/>
    <cellStyle name="WIP 2" xfId="37844" xr:uid="{13360224-194C-4522-9260-18A8A7AA28B0}"/>
    <cellStyle name="WIP 3" xfId="37845" xr:uid="{636EFDA6-B645-4DF6-92A4-24BAB3DB790E}"/>
    <cellStyle name="WIP 4" xfId="37846" xr:uid="{2440FA00-95D1-44E8-8B4B-DCC3B59FB780}"/>
    <cellStyle name="WIP 5" xfId="37847" xr:uid="{D4B2B513-B166-4C97-9F9F-1CB52AC93EFF}"/>
    <cellStyle name="WIP 6" xfId="37848" xr:uid="{A4BFE7E3-69CA-4552-9E09-06C5B02A7CF9}"/>
    <cellStyle name="WIP 7" xfId="37849" xr:uid="{C9E52198-A0FF-4522-8034-A968CE100758}"/>
    <cellStyle name="WIP 8" xfId="37850" xr:uid="{5248C926-16AF-4C60-A0B4-51EBBF457AC8}"/>
    <cellStyle name="Work in progress" xfId="37851" xr:uid="{84F4D6FA-F460-4150-9C80-628442FB9130}"/>
    <cellStyle name="Work in progress 2" xfId="37852" xr:uid="{E43AD431-16B7-4758-9D61-9574B8706AAE}"/>
    <cellStyle name="Year" xfId="37853" xr:uid="{6BEF480A-80A3-4CD0-B5A8-0432818AF915}"/>
    <cellStyle name="Year 2" xfId="37854" xr:uid="{4A69B6A4-D624-4497-B75C-9C58F4849F4A}"/>
    <cellStyle name="Year 3" xfId="37855" xr:uid="{42B9E7A7-E273-4696-9C45-E484FC5B73DA}"/>
    <cellStyle name="Обычный_2++_CRFReport-template" xfId="37856" xr:uid="{8FF0361E-36E8-4B7D-8608-39B5F431D0A2}"/>
    <cellStyle name="常规_November Issue Standard" xfId="37857" xr:uid="{A9B81FEE-ED1E-4704-9903-02AB886B14B7}"/>
  </cellStyles>
  <dxfs count="29">
    <dxf>
      <font>
        <color theme="0" tint="-0.34998626667073579"/>
      </font>
      <fill>
        <patternFill>
          <bgColor theme="0" tint="-4.9989318521683403E-2"/>
        </patternFill>
      </fill>
    </dxf>
    <dxf>
      <font>
        <color theme="0" tint="-0.14996795556505021"/>
      </font>
    </dxf>
    <dxf>
      <font>
        <color theme="0" tint="-0.34998626667073579"/>
      </font>
      <fill>
        <patternFill>
          <bgColor theme="0" tint="-4.9989318521683403E-2"/>
        </patternFill>
      </fill>
    </dxf>
    <dxf>
      <font>
        <color theme="0" tint="-0.14996795556505021"/>
      </font>
      <fill>
        <patternFill>
          <bgColor theme="0"/>
        </patternFill>
      </fill>
    </dxf>
    <dxf>
      <font>
        <b/>
        <i val="0"/>
        <color rgb="FFFF0000"/>
      </font>
      <fill>
        <patternFill>
          <bgColor rgb="FFFF8181"/>
        </patternFill>
      </fill>
    </dxf>
    <dxf>
      <font>
        <color rgb="FF9C0006"/>
      </font>
      <fill>
        <patternFill>
          <bgColor rgb="FFFFC7CE"/>
        </patternFill>
      </fill>
    </dxf>
    <dxf>
      <fill>
        <patternFill>
          <bgColor theme="2"/>
        </patternFill>
      </fill>
    </dxf>
    <dxf>
      <font>
        <color rgb="FF9C0006"/>
      </font>
      <fill>
        <patternFill>
          <bgColor rgb="FFFFC7CE"/>
        </patternFill>
      </fill>
    </dxf>
    <dxf>
      <font>
        <b/>
        <i val="0"/>
        <color rgb="FFFF0000"/>
      </font>
      <fill>
        <patternFill>
          <bgColor rgb="FFFF8181"/>
        </patternFill>
      </fill>
    </dxf>
    <dxf>
      <font>
        <color rgb="FF9C0006"/>
      </font>
      <fill>
        <patternFill>
          <bgColor rgb="FFFFC7CE"/>
        </patternFill>
      </fill>
    </dxf>
    <dxf>
      <fill>
        <patternFill>
          <bgColor theme="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lightUp">
          <fgColor theme="4"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lightUp">
          <fgColor theme="4"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lightUp">
          <f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1EAFC"/>
      <color rgb="FFFFFFCC"/>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238125</xdr:colOff>
      <xdr:row>1</xdr:row>
      <xdr:rowOff>0</xdr:rowOff>
    </xdr:to>
    <xdr:pic>
      <xdr:nvPicPr>
        <xdr:cNvPr id="2" name="Picture 3" descr="DfT_3298_SML_AW">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0953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333375</xdr:colOff>
      <xdr:row>1</xdr:row>
      <xdr:rowOff>0</xdr:rowOff>
    </xdr:to>
    <xdr:pic>
      <xdr:nvPicPr>
        <xdr:cNvPr id="2" name="Picture 5" descr="DfT_3298_SML_AW">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190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342900</xdr:colOff>
      <xdr:row>1</xdr:row>
      <xdr:rowOff>0</xdr:rowOff>
    </xdr:to>
    <xdr:pic>
      <xdr:nvPicPr>
        <xdr:cNvPr id="3" name="Picture 5" descr="DfT_3298_SML_AW">
          <a:extLst>
            <a:ext uri="{FF2B5EF4-FFF2-40B4-BE49-F238E27FC236}">
              <a16:creationId xmlns:a16="http://schemas.microsoft.com/office/drawing/2014/main" id="{868609A7-F14A-4532-AB36-B6F6891BB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268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314325</xdr:colOff>
      <xdr:row>1</xdr:row>
      <xdr:rowOff>0</xdr:rowOff>
    </xdr:to>
    <xdr:pic>
      <xdr:nvPicPr>
        <xdr:cNvPr id="2" name="Picture 1" descr="DfT_3298_SML_AW">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71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320040</xdr:colOff>
      <xdr:row>1</xdr:row>
      <xdr:rowOff>0</xdr:rowOff>
    </xdr:to>
    <xdr:pic>
      <xdr:nvPicPr>
        <xdr:cNvPr id="3" name="Picture 1" descr="DfT_3298_SML_AW">
          <a:extLst>
            <a:ext uri="{FF2B5EF4-FFF2-40B4-BE49-F238E27FC236}">
              <a16:creationId xmlns:a16="http://schemas.microsoft.com/office/drawing/2014/main" id="{93680729-17EA-4379-BCE2-B0FDAECF3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039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361950</xdr:colOff>
      <xdr:row>1</xdr:row>
      <xdr:rowOff>0</xdr:rowOff>
    </xdr:to>
    <xdr:pic>
      <xdr:nvPicPr>
        <xdr:cNvPr id="2" name="Picture 1" descr="DfT_3298_SML_AW">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192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373380</xdr:colOff>
      <xdr:row>1</xdr:row>
      <xdr:rowOff>0</xdr:rowOff>
    </xdr:to>
    <xdr:pic>
      <xdr:nvPicPr>
        <xdr:cNvPr id="3" name="Picture 1" descr="DfT_3298_SML_AW">
          <a:extLst>
            <a:ext uri="{FF2B5EF4-FFF2-40B4-BE49-F238E27FC236}">
              <a16:creationId xmlns:a16="http://schemas.microsoft.com/office/drawing/2014/main" id="{F0B7B047-D6BF-4D54-8CB7-BF7169A39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573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1" descr="DfT_3298_SML_AW">
          <a:extLst>
            <a:ext uri="{FF2B5EF4-FFF2-40B4-BE49-F238E27FC236}">
              <a16:creationId xmlns:a16="http://schemas.microsoft.com/office/drawing/2014/main" id="{C379CBE8-32CA-40C0-9062-1F3321798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268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731520</xdr:colOff>
      <xdr:row>22</xdr:row>
      <xdr:rowOff>22860</xdr:rowOff>
    </xdr:from>
    <xdr:to>
      <xdr:col>14</xdr:col>
      <xdr:colOff>701040</xdr:colOff>
      <xdr:row>31</xdr:row>
      <xdr:rowOff>15240</xdr:rowOff>
    </xdr:to>
    <xdr:sp macro="" textlink="">
      <xdr:nvSpPr>
        <xdr:cNvPr id="3" name="TextBox 2">
          <a:extLst>
            <a:ext uri="{FF2B5EF4-FFF2-40B4-BE49-F238E27FC236}">
              <a16:creationId xmlns:a16="http://schemas.microsoft.com/office/drawing/2014/main" id="{40F78717-F7C2-4CA1-BF8D-9A28274C08D2}"/>
            </a:ext>
          </a:extLst>
        </xdr:cNvPr>
        <xdr:cNvSpPr txBox="1"/>
      </xdr:nvSpPr>
      <xdr:spPr>
        <a:xfrm>
          <a:off x="7802880" y="3970020"/>
          <a:ext cx="5273040" cy="1546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b="1">
              <a:solidFill>
                <a:srgbClr val="FF0000"/>
              </a:solidFill>
              <a:latin typeface="Arial" panose="020B0604020202020204" pitchFamily="34" charset="0"/>
              <a:cs typeface="Arial" panose="020B0604020202020204" pitchFamily="34" charset="0"/>
            </a:rPr>
            <a:t>NOT</a:t>
          </a:r>
          <a:r>
            <a:rPr lang="en-GB" sz="2400" b="1" baseline="0">
              <a:solidFill>
                <a:srgbClr val="FF0000"/>
              </a:solidFill>
              <a:latin typeface="Arial" panose="020B0604020202020204" pitchFamily="34" charset="0"/>
              <a:cs typeface="Arial" panose="020B0604020202020204" pitchFamily="34" charset="0"/>
            </a:rPr>
            <a:t> CURRENTLY USED IN THE CALCULATIONS</a:t>
          </a:r>
          <a:endParaRPr lang="en-GB" sz="2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320040</xdr:colOff>
      <xdr:row>1</xdr:row>
      <xdr:rowOff>0</xdr:rowOff>
    </xdr:to>
    <xdr:pic>
      <xdr:nvPicPr>
        <xdr:cNvPr id="2" name="Picture 1" descr="DfT_3298_SML_AW">
          <a:extLst>
            <a:ext uri="{FF2B5EF4-FFF2-40B4-BE49-F238E27FC236}">
              <a16:creationId xmlns:a16="http://schemas.microsoft.com/office/drawing/2014/main" id="{CC901CC5-5064-4772-AAC6-B5B7B0A09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039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295275</xdr:colOff>
      <xdr:row>1</xdr:row>
      <xdr:rowOff>0</xdr:rowOff>
    </xdr:to>
    <xdr:pic>
      <xdr:nvPicPr>
        <xdr:cNvPr id="2" name="Picture 1" descr="DfT_3298_SML_AW">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52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29" descr="DfT_3298_SML_AW">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1" descr="DfT_3298_SML_AW">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342900</xdr:colOff>
      <xdr:row>1</xdr:row>
      <xdr:rowOff>0</xdr:rowOff>
    </xdr:to>
    <xdr:pic>
      <xdr:nvPicPr>
        <xdr:cNvPr id="3" name="Picture 1" descr="DfT_3298_SML_AW">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1" descr="DfT_3298_SML_AW">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350520</xdr:colOff>
      <xdr:row>1</xdr:row>
      <xdr:rowOff>0</xdr:rowOff>
    </xdr:to>
    <xdr:pic>
      <xdr:nvPicPr>
        <xdr:cNvPr id="3" name="Picture 1" descr="DfT_3298_SML_AW">
          <a:extLst>
            <a:ext uri="{FF2B5EF4-FFF2-40B4-BE49-F238E27FC236}">
              <a16:creationId xmlns:a16="http://schemas.microsoft.com/office/drawing/2014/main" id="{47042FCE-B207-49AE-9845-30F1C2B1A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344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3" descr="DfT_3298_SML_AW">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350520</xdr:colOff>
      <xdr:row>1</xdr:row>
      <xdr:rowOff>0</xdr:rowOff>
    </xdr:to>
    <xdr:pic>
      <xdr:nvPicPr>
        <xdr:cNvPr id="3" name="Picture 3" descr="DfT_3298_SML_AW">
          <a:extLst>
            <a:ext uri="{FF2B5EF4-FFF2-40B4-BE49-F238E27FC236}">
              <a16:creationId xmlns:a16="http://schemas.microsoft.com/office/drawing/2014/main" id="{6AEDEF14-DC71-4ED9-84D2-9A8FDF93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344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333375</xdr:colOff>
      <xdr:row>1</xdr:row>
      <xdr:rowOff>0</xdr:rowOff>
    </xdr:to>
    <xdr:pic>
      <xdr:nvPicPr>
        <xdr:cNvPr id="2" name="Picture 20" descr="DfT_3298_SML_AW">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90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342900</xdr:colOff>
      <xdr:row>1</xdr:row>
      <xdr:rowOff>0</xdr:rowOff>
    </xdr:to>
    <xdr:pic>
      <xdr:nvPicPr>
        <xdr:cNvPr id="3" name="Picture 20" descr="DfT_3298_SML_AW">
          <a:extLst>
            <a:ext uri="{FF2B5EF4-FFF2-40B4-BE49-F238E27FC236}">
              <a16:creationId xmlns:a16="http://schemas.microsoft.com/office/drawing/2014/main" id="{BC388784-52B9-41E5-AB79-3CCBCF796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268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295275</xdr:colOff>
      <xdr:row>1</xdr:row>
      <xdr:rowOff>0</xdr:rowOff>
    </xdr:to>
    <xdr:pic>
      <xdr:nvPicPr>
        <xdr:cNvPr id="2" name="Picture 9" descr="DfT_3298_SML_AW">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52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304800</xdr:colOff>
      <xdr:row>1</xdr:row>
      <xdr:rowOff>0</xdr:rowOff>
    </xdr:to>
    <xdr:pic>
      <xdr:nvPicPr>
        <xdr:cNvPr id="3" name="Picture 9" descr="DfT_3298_SML_AW">
          <a:extLst>
            <a:ext uri="{FF2B5EF4-FFF2-40B4-BE49-F238E27FC236}">
              <a16:creationId xmlns:a16="http://schemas.microsoft.com/office/drawing/2014/main" id="{AFB10B85-9AB1-48D5-BB1E-53CF0DE6A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1887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371475</xdr:colOff>
      <xdr:row>1</xdr:row>
      <xdr:rowOff>0</xdr:rowOff>
    </xdr:to>
    <xdr:pic>
      <xdr:nvPicPr>
        <xdr:cNvPr id="2" name="Picture 1" descr="DfT_3298_SML_AW">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287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381000</xdr:colOff>
      <xdr:row>1</xdr:row>
      <xdr:rowOff>0</xdr:rowOff>
    </xdr:to>
    <xdr:pic>
      <xdr:nvPicPr>
        <xdr:cNvPr id="3" name="Picture 1" descr="DfT_3298_SML_AW">
          <a:extLst>
            <a:ext uri="{FF2B5EF4-FFF2-40B4-BE49-F238E27FC236}">
              <a16:creationId xmlns:a16="http://schemas.microsoft.com/office/drawing/2014/main" id="{02A6CB7B-3D58-4BF3-948F-FE7543346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42"/>
        <a:stretch>
          <a:fillRect/>
        </a:stretch>
      </xdr:blipFill>
      <xdr:spPr bwMode="auto">
        <a:xfrm>
          <a:off x="0" y="0"/>
          <a:ext cx="12649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partmentfortransportuk.sharepoint.com/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epartmentfortransportuk.sharepoint.com/Users/htyndall/AppData/Local/Microsoft/Windows/Temporary%20Internet%20Files/Content.Outlook/BPMFPX9Q/Challenge%20fund%20toolkit%20I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epartmentfortransportuk.sharepoint.com/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epartmentfortransportuk-my.sharepoint.com/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cell r="K11">
            <v>796.2</v>
          </cell>
          <cell r="L11"/>
          <cell r="M11">
            <v>539.4</v>
          </cell>
          <cell r="N11"/>
          <cell r="O11">
            <v>1335.6</v>
          </cell>
        </row>
        <row r="12">
          <cell r="A12" t="str">
            <v>1994</v>
          </cell>
          <cell r="E12">
            <v>453.1</v>
          </cell>
          <cell r="G12">
            <v>439.3</v>
          </cell>
          <cell r="I12">
            <v>4</v>
          </cell>
          <cell r="J12"/>
          <cell r="K12">
            <v>896.5</v>
          </cell>
          <cell r="L12"/>
          <cell r="M12">
            <v>701.6</v>
          </cell>
          <cell r="N12"/>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Scheme Info"/>
      <sheetName val="Proforma"/>
      <sheetName val="Proforma Scrutiny"/>
      <sheetName val="VfM Scrutiny"/>
      <sheetName val="HDM-4 Output"/>
      <sheetName val="Carraigeways"/>
      <sheetName val="Cycleways"/>
      <sheetName val="Diversion"/>
      <sheetName val="Table A1.3.11"/>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2"/>
      <sheetName val="Table A1.3.13"/>
      <sheetName val="Table A.3.14"/>
      <sheetName val="Table 1.3.15"/>
      <sheetName val="Table A3.3"/>
      <sheetName val="Table A.3.4"/>
      <sheetName val="Table A5.4.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cell r="M27">
            <v>0.15077083357405516</v>
          </cell>
          <cell r="N27"/>
          <cell r="O27"/>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cell r="M28">
            <v>0.15077083357405516</v>
          </cell>
          <cell r="N28"/>
          <cell r="O28"/>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cell r="M29">
            <v>0.15102162817112577</v>
          </cell>
          <cell r="N29"/>
          <cell r="O29"/>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cell r="M30">
            <v>0.15049593329477051</v>
          </cell>
          <cell r="N30"/>
          <cell r="O30"/>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cell r="M31">
            <v>0.15129307779200288</v>
          </cell>
          <cell r="N31"/>
          <cell r="O31"/>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cell r="M32">
            <v>0.15248115805721735</v>
          </cell>
          <cell r="N32"/>
          <cell r="O32"/>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cell r="M33">
            <v>0.15236971124261492</v>
          </cell>
          <cell r="N33"/>
          <cell r="O33"/>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cell r="M34">
            <v>0.15121857670269931</v>
          </cell>
          <cell r="N34"/>
          <cell r="O34"/>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cell r="M35">
            <v>0.14988421304729319</v>
          </cell>
          <cell r="N35"/>
          <cell r="O35"/>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cell r="M36">
            <v>0.14916819362367367</v>
          </cell>
          <cell r="N36"/>
          <cell r="O36"/>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cell r="M37">
            <v>0.14872258535747154</v>
          </cell>
          <cell r="N37"/>
          <cell r="O37"/>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cell r="M38">
            <v>0.14818979209153552</v>
          </cell>
          <cell r="N38"/>
          <cell r="O38"/>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cell r="M39">
            <v>0.14732766195498542</v>
          </cell>
          <cell r="N39"/>
          <cell r="O39"/>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cell r="M40">
            <v>0.14632834521270321</v>
          </cell>
          <cell r="N40"/>
          <cell r="O40"/>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cell r="M41">
            <v>0.14520721861489844</v>
          </cell>
          <cell r="N41"/>
          <cell r="O41"/>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cell r="M42">
            <v>0.14396575681022078</v>
          </cell>
          <cell r="N42"/>
          <cell r="O42"/>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cell r="M43">
            <v>0.14248147045738493</v>
          </cell>
          <cell r="N43"/>
          <cell r="O43"/>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cell r="M44">
            <v>0.14083926840828284</v>
          </cell>
          <cell r="N44"/>
          <cell r="O44"/>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cell r="M45">
            <v>0.13903141390833137</v>
          </cell>
          <cell r="N45"/>
          <cell r="O45"/>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cell r="M46">
            <v>0.13710110088250133</v>
          </cell>
          <cell r="N46"/>
          <cell r="O46"/>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cell r="M47">
            <v>0.13507138906215221</v>
          </cell>
          <cell r="N47"/>
          <cell r="O47"/>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cell r="M48">
            <v>0.13335949413114495</v>
          </cell>
          <cell r="N48"/>
          <cell r="O48"/>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cell r="M49">
            <v>0.13190012337912307</v>
          </cell>
          <cell r="N49"/>
          <cell r="O49"/>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cell r="M50">
            <v>0.13061804721824036</v>
          </cell>
          <cell r="N50"/>
          <cell r="O50"/>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cell r="M51">
            <v>0.12947648965247605</v>
          </cell>
          <cell r="N51"/>
          <cell r="O51"/>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cell r="M52">
            <v>0.12846896288836482</v>
          </cell>
          <cell r="N52"/>
          <cell r="O52"/>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cell r="M53">
            <v>0.12846896288836482</v>
          </cell>
          <cell r="N53"/>
          <cell r="O53"/>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cell r="M54">
            <v>0.12846896288836482</v>
          </cell>
          <cell r="N54"/>
          <cell r="O54"/>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cell r="M55">
            <v>0.12846896288836482</v>
          </cell>
          <cell r="N55"/>
          <cell r="O55"/>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cell r="M56">
            <v>0.12846896288836482</v>
          </cell>
          <cell r="N56"/>
          <cell r="O56"/>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cell r="M57">
            <v>0.12846896288836482</v>
          </cell>
          <cell r="N57"/>
          <cell r="O57"/>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cell r="M58">
            <v>0.12846896288836482</v>
          </cell>
          <cell r="N58"/>
          <cell r="O58"/>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cell r="M59">
            <v>0.12846896288836482</v>
          </cell>
          <cell r="N59"/>
          <cell r="O59"/>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cell r="M60">
            <v>0.12846896288836482</v>
          </cell>
          <cell r="N60"/>
          <cell r="O60"/>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cell r="M61">
            <v>0.12846896288836482</v>
          </cell>
          <cell r="N61"/>
          <cell r="O61"/>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cell r="M62">
            <v>0.12846896288836482</v>
          </cell>
          <cell r="N62"/>
          <cell r="O62"/>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cell r="M63">
            <v>0.12846896288836482</v>
          </cell>
          <cell r="N63"/>
          <cell r="O63"/>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cell r="M64">
            <v>0.12846896288836482</v>
          </cell>
          <cell r="N64"/>
          <cell r="O64"/>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cell r="M65">
            <v>0.12846896288836482</v>
          </cell>
          <cell r="N65"/>
          <cell r="O65"/>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cell r="M66">
            <v>0.12846896288836482</v>
          </cell>
          <cell r="N66"/>
          <cell r="O66"/>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cell r="M67">
            <v>0.12846896288836482</v>
          </cell>
          <cell r="N67"/>
          <cell r="O67"/>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cell r="M68">
            <v>0.12846896288836482</v>
          </cell>
          <cell r="N68"/>
          <cell r="O68"/>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cell r="M69">
            <v>0.12846896288836482</v>
          </cell>
          <cell r="N69"/>
          <cell r="O69"/>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cell r="M70">
            <v>0.12846896288836482</v>
          </cell>
          <cell r="N70"/>
          <cell r="O70"/>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cell r="M71">
            <v>0.12846896288836482</v>
          </cell>
          <cell r="N71"/>
          <cell r="O71"/>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cell r="M72">
            <v>0.12846896288836482</v>
          </cell>
          <cell r="N72"/>
          <cell r="O72"/>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cell r="M73">
            <v>0.12846896288836482</v>
          </cell>
          <cell r="N73"/>
          <cell r="O73"/>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cell r="M74">
            <v>0.12846896288836482</v>
          </cell>
          <cell r="N74"/>
          <cell r="O74"/>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cell r="M75">
            <v>0.12846896288836482</v>
          </cell>
          <cell r="N75"/>
          <cell r="O75"/>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cell r="M76">
            <v>0.12846896288836482</v>
          </cell>
          <cell r="N76"/>
          <cell r="O76"/>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cell r="M77">
            <v>0.12846896288836482</v>
          </cell>
          <cell r="N77"/>
          <cell r="O77"/>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cell r="M78">
            <v>0.12846896288836482</v>
          </cell>
          <cell r="N78"/>
          <cell r="O78"/>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cell r="M79">
            <v>0.12846896288836482</v>
          </cell>
          <cell r="N79"/>
          <cell r="O79"/>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cell r="M80">
            <v>0.12846896288836482</v>
          </cell>
          <cell r="N80"/>
          <cell r="O80"/>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cell r="M81">
            <v>0.12846896288836482</v>
          </cell>
          <cell r="N81"/>
          <cell r="O81"/>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cell r="M82">
            <v>0.12846896288836482</v>
          </cell>
          <cell r="N82"/>
          <cell r="O82"/>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cell r="M83">
            <v>0.12846896288836482</v>
          </cell>
          <cell r="N83"/>
          <cell r="O83"/>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cell r="M84">
            <v>0.12846896288836482</v>
          </cell>
          <cell r="N84"/>
          <cell r="O84"/>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cell r="M85">
            <v>0.12846896288836482</v>
          </cell>
          <cell r="N85"/>
          <cell r="O85"/>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cell r="M86">
            <v>0.12846896288836482</v>
          </cell>
          <cell r="N86"/>
          <cell r="O86"/>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cell r="M87">
            <v>0.12846896288836482</v>
          </cell>
          <cell r="N87"/>
          <cell r="O87"/>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cell r="M88">
            <v>0.12846896288836482</v>
          </cell>
          <cell r="N88"/>
          <cell r="O88"/>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cell r="M89">
            <v>0.12846896288836482</v>
          </cell>
          <cell r="N89"/>
          <cell r="O89"/>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cell r="M90">
            <v>0.12846896288836482</v>
          </cell>
          <cell r="N90"/>
          <cell r="O90"/>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cell r="M91">
            <v>0.12846896288836482</v>
          </cell>
          <cell r="N91"/>
          <cell r="O91"/>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cell r="M92">
            <v>0.12846896288836482</v>
          </cell>
          <cell r="N92"/>
          <cell r="O92"/>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cell r="M93">
            <v>0.12846896288836482</v>
          </cell>
          <cell r="N93"/>
          <cell r="O93"/>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cell r="M94">
            <v>0.12846896288836482</v>
          </cell>
          <cell r="N94"/>
          <cell r="O94"/>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cell r="M95">
            <v>0.12846896288836482</v>
          </cell>
          <cell r="N95"/>
          <cell r="O95"/>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cell r="M96">
            <v>0.12846896288836482</v>
          </cell>
          <cell r="N96"/>
          <cell r="O96"/>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cell r="M97">
            <v>0.12846896288836482</v>
          </cell>
          <cell r="N97"/>
          <cell r="O97"/>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cell r="M98">
            <v>0.12846896288836482</v>
          </cell>
          <cell r="N98"/>
          <cell r="O98"/>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cell r="M99">
            <v>0.12846896288836482</v>
          </cell>
          <cell r="N99"/>
          <cell r="O99"/>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cell r="M100">
            <v>0.12846896288836482</v>
          </cell>
          <cell r="N100"/>
          <cell r="O100"/>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cell r="M101">
            <v>0.12846896288836482</v>
          </cell>
          <cell r="N101"/>
          <cell r="O101"/>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cell r="M102">
            <v>0.12846896288836482</v>
          </cell>
          <cell r="N102"/>
          <cell r="O102"/>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cell r="M103">
            <v>0.12846896288836482</v>
          </cell>
          <cell r="N103"/>
          <cell r="O103"/>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cell r="M104">
            <v>0.12846896288836482</v>
          </cell>
          <cell r="N104"/>
          <cell r="O104"/>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cell r="M105">
            <v>0.12846896288836482</v>
          </cell>
          <cell r="N105"/>
          <cell r="O105"/>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cell r="M106">
            <v>0.12846896288836482</v>
          </cell>
          <cell r="N106"/>
          <cell r="O106"/>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11" refreshError="1"/>
      <sheetData sheetId="12" refreshError="1"/>
      <sheetData sheetId="13" refreshError="1"/>
      <sheetData sheetId="14" refreshError="1"/>
      <sheetData sheetId="15">
        <row r="2">
          <cell r="C2" t="str">
            <v>Yes</v>
          </cell>
        </row>
        <row r="3">
          <cell r="C3" t="str">
            <v>No</v>
          </cell>
        </row>
        <row r="6">
          <cell r="C6" t="str">
            <v>Scheme Promoter value</v>
          </cell>
        </row>
        <row r="7">
          <cell r="C7" t="str">
            <v>Toolkit Calculation</v>
          </cell>
        </row>
        <row r="10">
          <cell r="C10" t="str">
            <v>Please Enter</v>
          </cell>
        </row>
        <row r="11">
          <cell r="C11" t="str">
            <v>R</v>
          </cell>
        </row>
        <row r="12">
          <cell r="C12" t="str">
            <v>A</v>
          </cell>
        </row>
        <row r="13">
          <cell r="C13" t="str">
            <v>G</v>
          </cell>
        </row>
        <row r="17">
          <cell r="F17" t="str">
            <v>Poor VfM</v>
          </cell>
        </row>
        <row r="18">
          <cell r="F18" t="str">
            <v>Low VfM</v>
          </cell>
        </row>
        <row r="19">
          <cell r="F19" t="str">
            <v>Medium VfM</v>
          </cell>
        </row>
        <row r="20">
          <cell r="F20" t="str">
            <v>High VfM</v>
          </cell>
        </row>
        <row r="21">
          <cell r="F21" t="str">
            <v>Very High VfM</v>
          </cell>
        </row>
      </sheetData>
      <sheetData sheetId="16">
        <row r="28">
          <cell r="B28" t="str">
            <v>Year</v>
          </cell>
        </row>
        <row r="29">
          <cell r="B29">
            <v>1990</v>
          </cell>
          <cell r="D29">
            <v>62.49971190348932</v>
          </cell>
        </row>
        <row r="30">
          <cell r="B30">
            <v>1991</v>
          </cell>
          <cell r="D30">
            <v>66.557098533396697</v>
          </cell>
        </row>
        <row r="31">
          <cell r="B31">
            <v>1992</v>
          </cell>
          <cell r="D31">
            <v>68.540409788476794</v>
          </cell>
        </row>
        <row r="32">
          <cell r="B32">
            <v>1993</v>
          </cell>
          <cell r="D32">
            <v>70.291378067130324</v>
          </cell>
        </row>
        <row r="33">
          <cell r="B33">
            <v>1994</v>
          </cell>
          <cell r="D33">
            <v>71.110559916940403</v>
          </cell>
        </row>
        <row r="34">
          <cell r="B34">
            <v>1995</v>
          </cell>
          <cell r="D34">
            <v>72.812030471281986</v>
          </cell>
        </row>
        <row r="35">
          <cell r="B35">
            <v>1996</v>
          </cell>
          <cell r="D35">
            <v>75.779150153706354</v>
          </cell>
        </row>
        <row r="36">
          <cell r="B36">
            <v>1997</v>
          </cell>
          <cell r="D36">
            <v>77.263423376754488</v>
          </cell>
        </row>
        <row r="37">
          <cell r="B37">
            <v>1998</v>
          </cell>
          <cell r="D37">
            <v>78.177869139431024</v>
          </cell>
        </row>
        <row r="38">
          <cell r="B38">
            <v>1999</v>
          </cell>
          <cell r="D38">
            <v>78.858106157802254</v>
          </cell>
        </row>
        <row r="39">
          <cell r="B39">
            <v>2000</v>
          </cell>
          <cell r="D39">
            <v>80.447301386265536</v>
          </cell>
        </row>
        <row r="40">
          <cell r="B40">
            <v>2001</v>
          </cell>
          <cell r="D40">
            <v>81.189108744634538</v>
          </cell>
        </row>
        <row r="41">
          <cell r="B41">
            <v>2002</v>
          </cell>
          <cell r="D41">
            <v>82.970697566709433</v>
          </cell>
        </row>
        <row r="42">
          <cell r="B42">
            <v>2003</v>
          </cell>
          <cell r="D42">
            <v>84.963666914338205</v>
          </cell>
        </row>
        <row r="43">
          <cell r="B43">
            <v>2004</v>
          </cell>
          <cell r="D43">
            <v>87.034888761821549</v>
          </cell>
        </row>
        <row r="44">
          <cell r="B44">
            <v>2005</v>
          </cell>
          <cell r="D44">
            <v>89.35008719721057</v>
          </cell>
        </row>
        <row r="45">
          <cell r="B45">
            <v>2006</v>
          </cell>
          <cell r="D45">
            <v>91.987624471411493</v>
          </cell>
        </row>
        <row r="46">
          <cell r="B46">
            <v>2007</v>
          </cell>
          <cell r="D46">
            <v>94.329053408154266</v>
          </cell>
        </row>
        <row r="47">
          <cell r="B47">
            <v>2008</v>
          </cell>
          <cell r="D47">
            <v>97.012247119858017</v>
          </cell>
        </row>
        <row r="48">
          <cell r="B48">
            <v>2009</v>
          </cell>
          <cell r="D48">
            <v>98.482252706186543</v>
          </cell>
        </row>
        <row r="49">
          <cell r="B49">
            <v>2010</v>
          </cell>
          <cell r="D49">
            <v>100</v>
          </cell>
        </row>
        <row r="50">
          <cell r="B50">
            <v>2011</v>
          </cell>
          <cell r="D50">
            <v>102.01239528377779</v>
          </cell>
        </row>
        <row r="51">
          <cell r="B51">
            <v>2012</v>
          </cell>
          <cell r="D51">
            <v>103.57887204454134</v>
          </cell>
        </row>
        <row r="52">
          <cell r="B52">
            <v>2013</v>
          </cell>
          <cell r="D52">
            <v>105.55274470917617</v>
          </cell>
        </row>
        <row r="53">
          <cell r="B53">
            <v>2014</v>
          </cell>
          <cell r="D53">
            <v>107.28966485321345</v>
          </cell>
        </row>
        <row r="54">
          <cell r="B54">
            <v>2015</v>
          </cell>
          <cell r="D54">
            <v>107.88210103023313</v>
          </cell>
        </row>
        <row r="55">
          <cell r="B55">
            <v>2016</v>
          </cell>
          <cell r="D55">
            <v>109.75105168945281</v>
          </cell>
        </row>
        <row r="56">
          <cell r="B56">
            <v>2017</v>
          </cell>
          <cell r="D56">
            <v>111.72163645637178</v>
          </cell>
        </row>
        <row r="57">
          <cell r="B57">
            <v>2018</v>
          </cell>
          <cell r="D57">
            <v>113.47381949303457</v>
          </cell>
        </row>
        <row r="58">
          <cell r="B58">
            <v>2019</v>
          </cell>
          <cell r="D58">
            <v>115.29483063174546</v>
          </cell>
        </row>
        <row r="59">
          <cell r="B59">
            <v>2020</v>
          </cell>
          <cell r="D59">
            <v>117.4294184848808</v>
          </cell>
        </row>
        <row r="60">
          <cell r="B60">
            <v>2021</v>
          </cell>
          <cell r="D60">
            <v>119.67753517002693</v>
          </cell>
        </row>
        <row r="61">
          <cell r="B61">
            <v>2022</v>
          </cell>
          <cell r="D61">
            <v>122.08404765820893</v>
          </cell>
        </row>
        <row r="62">
          <cell r="B62">
            <v>2023</v>
          </cell>
          <cell r="D62">
            <v>124.65662760857469</v>
          </cell>
        </row>
        <row r="63">
          <cell r="B63">
            <v>2024</v>
          </cell>
          <cell r="D63">
            <v>127.4035737659423</v>
          </cell>
        </row>
        <row r="64">
          <cell r="B64">
            <v>2025</v>
          </cell>
          <cell r="D64">
            <v>130.33385596255894</v>
          </cell>
        </row>
        <row r="65">
          <cell r="B65">
            <v>2026</v>
          </cell>
          <cell r="D65">
            <v>133.3315346496978</v>
          </cell>
        </row>
        <row r="66">
          <cell r="B66">
            <v>2027</v>
          </cell>
          <cell r="D66">
            <v>136.39815994664085</v>
          </cell>
        </row>
        <row r="67">
          <cell r="B67">
            <v>2028</v>
          </cell>
          <cell r="D67">
            <v>139.53531762541357</v>
          </cell>
        </row>
        <row r="68">
          <cell r="B68">
            <v>2029</v>
          </cell>
          <cell r="D68">
            <v>142.74462993079806</v>
          </cell>
        </row>
        <row r="69">
          <cell r="B69">
            <v>2030</v>
          </cell>
          <cell r="D69">
            <v>146.02775641920641</v>
          </cell>
        </row>
        <row r="70">
          <cell r="B70">
            <v>2031</v>
          </cell>
          <cell r="D70">
            <v>149.38639481684811</v>
          </cell>
        </row>
        <row r="71">
          <cell r="B71">
            <v>2032</v>
          </cell>
          <cell r="D71">
            <v>152.82228189763563</v>
          </cell>
        </row>
        <row r="72">
          <cell r="B72">
            <v>2033</v>
          </cell>
          <cell r="D72">
            <v>156.33719438128122</v>
          </cell>
        </row>
        <row r="73">
          <cell r="B73">
            <v>2034</v>
          </cell>
          <cell r="D73">
            <v>159.93294985205065</v>
          </cell>
        </row>
        <row r="74">
          <cell r="B74">
            <v>2035</v>
          </cell>
          <cell r="D74">
            <v>163.61140769864781</v>
          </cell>
        </row>
        <row r="75">
          <cell r="B75">
            <v>2036</v>
          </cell>
          <cell r="D75">
            <v>167.37447007571672</v>
          </cell>
        </row>
        <row r="76">
          <cell r="B76">
            <v>2037</v>
          </cell>
          <cell r="D76">
            <v>171.22408288745817</v>
          </cell>
        </row>
        <row r="77">
          <cell r="B77">
            <v>2038</v>
          </cell>
          <cell r="D77">
            <v>175.16223679386968</v>
          </cell>
        </row>
        <row r="78">
          <cell r="B78">
            <v>2039</v>
          </cell>
          <cell r="D78">
            <v>179.19096824012865</v>
          </cell>
        </row>
        <row r="79">
          <cell r="B79">
            <v>2040</v>
          </cell>
          <cell r="D79">
            <v>183.3123605096516</v>
          </cell>
        </row>
        <row r="80">
          <cell r="B80">
            <v>2041</v>
          </cell>
          <cell r="D80">
            <v>187.52854480137358</v>
          </cell>
        </row>
        <row r="81">
          <cell r="B81">
            <v>2042</v>
          </cell>
          <cell r="D81">
            <v>191.84170133180513</v>
          </cell>
        </row>
        <row r="82">
          <cell r="B82">
            <v>2043</v>
          </cell>
          <cell r="D82">
            <v>196.25406046243666</v>
          </cell>
        </row>
        <row r="83">
          <cell r="B83">
            <v>2044</v>
          </cell>
          <cell r="D83">
            <v>200.76790385307265</v>
          </cell>
        </row>
        <row r="84">
          <cell r="B84">
            <v>2045</v>
          </cell>
          <cell r="D84">
            <v>205.38556564169332</v>
          </cell>
        </row>
        <row r="85">
          <cell r="B85">
            <v>2046</v>
          </cell>
          <cell r="D85">
            <v>210.10943365145224</v>
          </cell>
        </row>
        <row r="86">
          <cell r="B86">
            <v>2047</v>
          </cell>
          <cell r="D86">
            <v>214.94195062543562</v>
          </cell>
        </row>
        <row r="87">
          <cell r="B87">
            <v>2048</v>
          </cell>
          <cell r="D87">
            <v>219.88561548982059</v>
          </cell>
        </row>
        <row r="88">
          <cell r="B88">
            <v>2049</v>
          </cell>
          <cell r="D88">
            <v>224.94298464608647</v>
          </cell>
        </row>
        <row r="89">
          <cell r="B89">
            <v>2050</v>
          </cell>
          <cell r="D89">
            <v>230.11667329294644</v>
          </cell>
        </row>
        <row r="90">
          <cell r="B90">
            <v>2051</v>
          </cell>
          <cell r="D90">
            <v>235.40935677868418</v>
          </cell>
        </row>
        <row r="91">
          <cell r="B91">
            <v>2052</v>
          </cell>
          <cell r="D91">
            <v>240.82377198459392</v>
          </cell>
        </row>
        <row r="92">
          <cell r="B92">
            <v>2053</v>
          </cell>
          <cell r="D92">
            <v>246.36271874023953</v>
          </cell>
        </row>
        <row r="93">
          <cell r="B93">
            <v>2054</v>
          </cell>
          <cell r="D93">
            <v>252.02906127126502</v>
          </cell>
        </row>
        <row r="94">
          <cell r="B94">
            <v>2055</v>
          </cell>
          <cell r="D94">
            <v>257.82572968050408</v>
          </cell>
        </row>
        <row r="95">
          <cell r="B95">
            <v>2056</v>
          </cell>
          <cell r="D95">
            <v>263.75572146315568</v>
          </cell>
        </row>
        <row r="96">
          <cell r="B96">
            <v>2057</v>
          </cell>
          <cell r="D96">
            <v>269.8221030568082</v>
          </cell>
        </row>
        <row r="97">
          <cell r="B97">
            <v>2058</v>
          </cell>
          <cell r="D97">
            <v>276.02801142711479</v>
          </cell>
        </row>
        <row r="98">
          <cell r="B98">
            <v>2059</v>
          </cell>
          <cell r="D98">
            <v>282.37665568993839</v>
          </cell>
        </row>
        <row r="99">
          <cell r="B99">
            <v>2060</v>
          </cell>
          <cell r="D99">
            <v>288.87131877080691</v>
          </cell>
        </row>
        <row r="100">
          <cell r="B100">
            <v>2061</v>
          </cell>
          <cell r="D100">
            <v>295.51535910253546</v>
          </cell>
        </row>
        <row r="101">
          <cell r="B101">
            <v>2062</v>
          </cell>
          <cell r="D101">
            <v>302.31221236189378</v>
          </cell>
        </row>
        <row r="102">
          <cell r="B102">
            <v>2063</v>
          </cell>
          <cell r="D102">
            <v>309.26539324621729</v>
          </cell>
        </row>
        <row r="103">
          <cell r="B103">
            <v>2064</v>
          </cell>
          <cell r="D103">
            <v>316.37849729088026</v>
          </cell>
        </row>
        <row r="104">
          <cell r="B104">
            <v>2065</v>
          </cell>
          <cell r="D104">
            <v>323.65520272857049</v>
          </cell>
        </row>
        <row r="105">
          <cell r="B105">
            <v>2066</v>
          </cell>
          <cell r="D105">
            <v>331.09927239132759</v>
          </cell>
        </row>
        <row r="106">
          <cell r="B106">
            <v>2067</v>
          </cell>
          <cell r="D106">
            <v>338.71455565632812</v>
          </cell>
        </row>
        <row r="107">
          <cell r="B107">
            <v>2068</v>
          </cell>
          <cell r="D107">
            <v>346.50499043642367</v>
          </cell>
        </row>
        <row r="108">
          <cell r="B108">
            <v>2069</v>
          </cell>
          <cell r="D108">
            <v>354.47460521646138</v>
          </cell>
        </row>
        <row r="109">
          <cell r="B109">
            <v>2070</v>
          </cell>
          <cell r="D109">
            <v>362.62752113643995</v>
          </cell>
        </row>
        <row r="110">
          <cell r="B110">
            <v>2071</v>
          </cell>
          <cell r="D110">
            <v>370.96795412257802</v>
          </cell>
        </row>
        <row r="111">
          <cell r="B111">
            <v>2072</v>
          </cell>
          <cell r="D111">
            <v>379.50021706739727</v>
          </cell>
        </row>
        <row r="112">
          <cell r="B112">
            <v>2073</v>
          </cell>
          <cell r="D112">
            <v>388.22872205994742</v>
          </cell>
        </row>
        <row r="113">
          <cell r="B113">
            <v>2074</v>
          </cell>
          <cell r="D113">
            <v>397.15798266732617</v>
          </cell>
        </row>
        <row r="114">
          <cell r="B114">
            <v>2075</v>
          </cell>
          <cell r="D114">
            <v>406.29261626867458</v>
          </cell>
        </row>
        <row r="115">
          <cell r="B115">
            <v>2076</v>
          </cell>
          <cell r="D115">
            <v>415.63734644285404</v>
          </cell>
        </row>
        <row r="116">
          <cell r="B116">
            <v>2077</v>
          </cell>
          <cell r="D116">
            <v>425.19700541103964</v>
          </cell>
        </row>
        <row r="117">
          <cell r="B117">
            <v>2078</v>
          </cell>
          <cell r="D117">
            <v>434.97653653549355</v>
          </cell>
        </row>
        <row r="118">
          <cell r="B118">
            <v>2079</v>
          </cell>
          <cell r="D118">
            <v>444.98099687580981</v>
          </cell>
        </row>
        <row r="119">
          <cell r="B119">
            <v>2080</v>
          </cell>
          <cell r="D119">
            <v>455.21555980395345</v>
          </cell>
        </row>
        <row r="120">
          <cell r="B120">
            <v>2081</v>
          </cell>
          <cell r="D120">
            <v>465.68551767944433</v>
          </cell>
        </row>
        <row r="121">
          <cell r="B121">
            <v>2082</v>
          </cell>
          <cell r="D121">
            <v>476.39628458607149</v>
          </cell>
        </row>
        <row r="122">
          <cell r="B122">
            <v>2083</v>
          </cell>
          <cell r="D122">
            <v>487.35339913155104</v>
          </cell>
        </row>
        <row r="123">
          <cell r="B123">
            <v>2084</v>
          </cell>
          <cell r="D123">
            <v>498.56252731157673</v>
          </cell>
        </row>
        <row r="124">
          <cell r="B124">
            <v>2085</v>
          </cell>
          <cell r="D124">
            <v>510.02946543974292</v>
          </cell>
        </row>
        <row r="125">
          <cell r="B125">
            <v>2086</v>
          </cell>
          <cell r="D125">
            <v>521.7601431448569</v>
          </cell>
        </row>
        <row r="126">
          <cell r="B126">
            <v>2087</v>
          </cell>
          <cell r="D126">
            <v>533.76062643718865</v>
          </cell>
        </row>
        <row r="127">
          <cell r="B127">
            <v>2088</v>
          </cell>
          <cell r="D127">
            <v>546.03712084524386</v>
          </cell>
        </row>
        <row r="128">
          <cell r="B128">
            <v>2089</v>
          </cell>
          <cell r="D128">
            <v>558.59597462468446</v>
          </cell>
        </row>
        <row r="129">
          <cell r="B129">
            <v>2090</v>
          </cell>
          <cell r="D129">
            <v>571.44368204105217</v>
          </cell>
        </row>
        <row r="130">
          <cell r="B130">
            <v>2091</v>
          </cell>
          <cell r="D130">
            <v>584.58688672799633</v>
          </cell>
        </row>
        <row r="131">
          <cell r="B131">
            <v>2092</v>
          </cell>
          <cell r="D131">
            <v>598.03238512274004</v>
          </cell>
        </row>
        <row r="132">
          <cell r="B132">
            <v>2093</v>
          </cell>
          <cell r="D132">
            <v>611.78712998056312</v>
          </cell>
        </row>
        <row r="133">
          <cell r="B133">
            <v>2094</v>
          </cell>
          <cell r="D133">
            <v>625.85823397011598</v>
          </cell>
        </row>
        <row r="134">
          <cell r="B134">
            <v>2095</v>
          </cell>
          <cell r="D134">
            <v>640.25297335142864</v>
          </cell>
        </row>
        <row r="135">
          <cell r="B135">
            <v>2096</v>
          </cell>
          <cell r="D135">
            <v>654.97879173851152</v>
          </cell>
        </row>
        <row r="136">
          <cell r="B136">
            <v>2097</v>
          </cell>
          <cell r="D136">
            <v>670.04330394849717</v>
          </cell>
        </row>
        <row r="137">
          <cell r="B137">
            <v>2098</v>
          </cell>
          <cell r="D137">
            <v>685.45429993931259</v>
          </cell>
        </row>
        <row r="138">
          <cell r="B138">
            <v>2099</v>
          </cell>
          <cell r="D138">
            <v>701.21974883791665</v>
          </cell>
        </row>
        <row r="139">
          <cell r="B139">
            <v>2100</v>
          </cell>
          <cell r="D139">
            <v>717.34780306118876</v>
          </cell>
        </row>
      </sheetData>
      <sheetData sheetId="17">
        <row r="59">
          <cell r="D59">
            <v>1</v>
          </cell>
          <cell r="E59">
            <v>1.0633122157860719</v>
          </cell>
          <cell r="F59">
            <v>1.1455508362047746</v>
          </cell>
          <cell r="G59">
            <v>1.2323355797863802</v>
          </cell>
          <cell r="H59">
            <v>1.2826314046352225</v>
          </cell>
          <cell r="I59">
            <v>1.3359661847321496</v>
          </cell>
          <cell r="J59">
            <v>1.3832145830396265</v>
          </cell>
        </row>
        <row r="60">
          <cell r="D60">
            <v>1</v>
          </cell>
          <cell r="E60">
            <v>1.0800095600100486</v>
          </cell>
          <cell r="F60">
            <v>1.2300250615964028</v>
          </cell>
          <cell r="G60">
            <v>1.3796063420725428</v>
          </cell>
          <cell r="H60">
            <v>1.5210643367099583</v>
          </cell>
          <cell r="I60">
            <v>1.6483805026235951</v>
          </cell>
          <cell r="J60">
            <v>1.7755943688066342</v>
          </cell>
        </row>
        <row r="63">
          <cell r="D63">
            <v>1</v>
          </cell>
          <cell r="E63">
            <v>0.90522585897023877</v>
          </cell>
          <cell r="F63">
            <v>0.90522585897023855</v>
          </cell>
          <cell r="G63">
            <v>0.89787765011286447</v>
          </cell>
          <cell r="H63">
            <v>0.89127788646238204</v>
          </cell>
          <cell r="I63">
            <v>0.88538514825040726</v>
          </cell>
          <cell r="J63">
            <v>0.88014112226967123</v>
          </cell>
        </row>
        <row r="64">
          <cell r="D64">
            <v>1</v>
          </cell>
          <cell r="E64">
            <v>1.0086838177867377</v>
          </cell>
          <cell r="F64">
            <v>1.1032321271096583</v>
          </cell>
          <cell r="G64">
            <v>1.1842471610383614</v>
          </cell>
          <cell r="H64">
            <v>1.2745598577245079</v>
          </cell>
          <cell r="I64">
            <v>1.3749508481709358</v>
          </cell>
          <cell r="J64">
            <v>1.480811434633869</v>
          </cell>
        </row>
      </sheetData>
      <sheetData sheetId="18" refreshError="1"/>
      <sheetData sheetId="19" refreshError="1"/>
      <sheetData sheetId="20">
        <row r="29">
          <cell r="B29">
            <v>2010</v>
          </cell>
          <cell r="D29">
            <v>19.999723130530565</v>
          </cell>
          <cell r="E29">
            <v>11.270862371732015</v>
          </cell>
          <cell r="F29">
            <v>7.7760218476864438</v>
          </cell>
          <cell r="G29">
            <v>11.32794161259922</v>
          </cell>
          <cell r="H29">
            <v>14.615979367528489</v>
          </cell>
          <cell r="I29">
            <v>8.9218938643805572</v>
          </cell>
          <cell r="J29">
            <v>13.932689107150736</v>
          </cell>
          <cell r="K29">
            <v>14.350951963873458</v>
          </cell>
          <cell r="L29">
            <v>14.350951963873458</v>
          </cell>
          <cell r="M29">
            <v>16.353039511604919</v>
          </cell>
          <cell r="N29">
            <v>22.386087851109579</v>
          </cell>
          <cell r="O29">
            <v>44.437994334995601</v>
          </cell>
          <cell r="P29">
            <v>83.177121697710106</v>
          </cell>
          <cell r="Q29">
            <v>20.494168490363094</v>
          </cell>
          <cell r="R29">
            <v>11.454127644907835</v>
          </cell>
          <cell r="S29">
            <v>8.2833001204758325</v>
          </cell>
          <cell r="T29">
            <v>10.668764536900987</v>
          </cell>
          <cell r="U29">
            <v>14.615979367528489</v>
          </cell>
          <cell r="V29">
            <v>8.9218938643805572</v>
          </cell>
          <cell r="W29">
            <v>13.932689107150736</v>
          </cell>
          <cell r="X29">
            <v>14.350951963873458</v>
          </cell>
          <cell r="Y29">
            <v>14.350951963873458</v>
          </cell>
          <cell r="Z29">
            <v>16.686819590400443</v>
          </cell>
          <cell r="AA29">
            <v>7.8456114326819071</v>
          </cell>
          <cell r="AB29">
            <v>50.923435071437268</v>
          </cell>
          <cell r="AC29">
            <v>75.455866094519621</v>
          </cell>
          <cell r="AD29">
            <v>20.288349647451106</v>
          </cell>
          <cell r="AE29">
            <v>11.309739599833186</v>
          </cell>
          <cell r="AF29">
            <v>8.1431097826307859</v>
          </cell>
          <cell r="AG29">
            <v>10.88382638300256</v>
          </cell>
          <cell r="AH29">
            <v>14.615979367528489</v>
          </cell>
          <cell r="AI29">
            <v>8.9218938643805572</v>
          </cell>
          <cell r="AJ29">
            <v>13.932689107150736</v>
          </cell>
          <cell r="AK29">
            <v>14.350951963873458</v>
          </cell>
          <cell r="AL29">
            <v>14.350951963873458</v>
          </cell>
          <cell r="AM29">
            <v>17.459203708545985</v>
          </cell>
          <cell r="AN29">
            <v>31.483290963073703</v>
          </cell>
          <cell r="AO29">
            <v>39.784444442195543</v>
          </cell>
          <cell r="AP29">
            <v>88.726939113815234</v>
          </cell>
          <cell r="AQ29">
            <v>20.672217845378672</v>
          </cell>
          <cell r="AR29">
            <v>11.475268410148226</v>
          </cell>
          <cell r="AS29">
            <v>8.1140370950830043</v>
          </cell>
          <cell r="AT29">
            <v>11.026892102487622</v>
          </cell>
          <cell r="AU29">
            <v>14.615979367528489</v>
          </cell>
          <cell r="AV29">
            <v>8.9218938643805572</v>
          </cell>
          <cell r="AW29">
            <v>13.932689107150736</v>
          </cell>
          <cell r="AX29">
            <v>14.350951963873458</v>
          </cell>
          <cell r="AY29">
            <v>14.350951963873458</v>
          </cell>
          <cell r="AZ29">
            <v>17.445084919239434</v>
          </cell>
          <cell r="BA29">
            <v>43.036876716181169</v>
          </cell>
          <cell r="BB29">
            <v>34.517439812347341</v>
          </cell>
          <cell r="BC29">
            <v>94.999401447767951</v>
          </cell>
          <cell r="BD29">
            <v>20.324448501218679</v>
          </cell>
          <cell r="BE29">
            <v>11.348192808668021</v>
          </cell>
          <cell r="BF29">
            <v>8.1341976352977419</v>
          </cell>
          <cell r="BG29">
            <v>10.947480544217941</v>
          </cell>
          <cell r="BH29">
            <v>14.615979367528489</v>
          </cell>
          <cell r="BI29">
            <v>8.9218938643805572</v>
          </cell>
          <cell r="BJ29">
            <v>13.932689107150736</v>
          </cell>
          <cell r="BK29">
            <v>14.350951963873458</v>
          </cell>
          <cell r="BL29">
            <v>14.350951963873458</v>
          </cell>
          <cell r="BM29">
            <v>16.820398427886772</v>
          </cell>
          <cell r="BN29">
            <v>19.428287954262593</v>
          </cell>
          <cell r="BO29">
            <v>45.576216008051169</v>
          </cell>
          <cell r="BP29">
            <v>81.824902390200535</v>
          </cell>
          <cell r="BQ29">
            <v>23.228300341310018</v>
          </cell>
          <cell r="BR29">
            <v>12.014921062722701</v>
          </cell>
          <cell r="BS29">
            <v>9.6310860851467268</v>
          </cell>
          <cell r="BT29">
            <v>10.29142286110474</v>
          </cell>
          <cell r="BU29">
            <v>15.346778335904915</v>
          </cell>
          <cell r="BV29">
            <v>12.40509900321406</v>
          </cell>
          <cell r="BW29">
            <v>14.993776815982015</v>
          </cell>
          <cell r="BX29">
            <v>14.350951963873458</v>
          </cell>
          <cell r="BY29">
            <v>14.350951963873458</v>
          </cell>
          <cell r="BZ29">
            <v>15.31891368008262</v>
          </cell>
          <cell r="CA29">
            <v>7.3601851659359987</v>
          </cell>
          <cell r="CB29">
            <v>51.764932861755518</v>
          </cell>
          <cell r="CC29">
            <v>74.444031707774144</v>
          </cell>
          <cell r="CD29">
            <v>20.530572028098529</v>
          </cell>
          <cell r="CE29">
            <v>11.40213156390921</v>
          </cell>
          <cell r="CF29">
            <v>8.6624023032908735</v>
          </cell>
          <cell r="CG29">
            <v>10.791932383216057</v>
          </cell>
          <cell r="CH29">
            <v>14.615979367528489</v>
          </cell>
          <cell r="CI29">
            <v>9.7163090714829359</v>
          </cell>
          <cell r="CJ29">
            <v>14.028018932003022</v>
          </cell>
          <cell r="CK29">
            <v>14.350951963873458</v>
          </cell>
          <cell r="CL29">
            <v>14.350951963873458</v>
          </cell>
          <cell r="CM29">
            <v>16.449620432533145</v>
          </cell>
          <cell r="CN29">
            <v>16.447605488532375</v>
          </cell>
          <cell r="CO29">
            <v>47.104725446545615</v>
          </cell>
          <cell r="CP29">
            <v>80.001951367611127</v>
          </cell>
        </row>
        <row r="30">
          <cell r="B30">
            <v>2011</v>
          </cell>
          <cell r="D30">
            <v>20.132933689134756</v>
          </cell>
          <cell r="E30">
            <v>11.345933304598949</v>
          </cell>
          <cell r="F30">
            <v>7.8278149753856692</v>
          </cell>
          <cell r="G30">
            <v>11.403392728607244</v>
          </cell>
          <cell r="H30">
            <v>14.713330854016</v>
          </cell>
          <cell r="I30">
            <v>8.9813192103078272</v>
          </cell>
          <cell r="J30">
            <v>14.02548945677102</v>
          </cell>
          <cell r="K30">
            <v>14.446538203499506</v>
          </cell>
          <cell r="L30">
            <v>14.446538203499506</v>
          </cell>
          <cell r="M30">
            <v>16.461960895866078</v>
          </cell>
          <cell r="N30">
            <v>22.535193078624278</v>
          </cell>
          <cell r="O30">
            <v>44.733978934881293</v>
          </cell>
          <cell r="P30">
            <v>83.731132909371652</v>
          </cell>
          <cell r="Q30">
            <v>20.630672361687299</v>
          </cell>
          <cell r="R30">
            <v>11.530419238143574</v>
          </cell>
          <cell r="S30">
            <v>8.3384720360535205</v>
          </cell>
          <cell r="T30">
            <v>10.739825124805211</v>
          </cell>
          <cell r="U30">
            <v>14.713330854016</v>
          </cell>
          <cell r="V30">
            <v>8.9813192103078272</v>
          </cell>
          <cell r="W30">
            <v>14.02548945677102</v>
          </cell>
          <cell r="X30">
            <v>14.446538203499506</v>
          </cell>
          <cell r="Y30">
            <v>14.446538203499506</v>
          </cell>
          <cell r="Z30">
            <v>16.797964156975535</v>
          </cell>
          <cell r="AA30">
            <v>7.8978680701722297</v>
          </cell>
          <cell r="AB30">
            <v>51.262616728485064</v>
          </cell>
          <cell r="AC30">
            <v>75.958448955632832</v>
          </cell>
          <cell r="AD30">
            <v>20.423482637645776</v>
          </cell>
          <cell r="AE30">
            <v>11.385069479148456</v>
          </cell>
          <cell r="AF30">
            <v>8.1973479436213044</v>
          </cell>
          <cell r="AG30">
            <v>10.956319416169483</v>
          </cell>
          <cell r="AH30">
            <v>14.713330854016</v>
          </cell>
          <cell r="AI30">
            <v>8.9813192103078272</v>
          </cell>
          <cell r="AJ30">
            <v>14.02548945677102</v>
          </cell>
          <cell r="AK30">
            <v>14.446538203499506</v>
          </cell>
          <cell r="AL30">
            <v>14.446538203499506</v>
          </cell>
          <cell r="AM30">
            <v>17.575492832331374</v>
          </cell>
          <cell r="AN30">
            <v>31.692989204820211</v>
          </cell>
          <cell r="AO30">
            <v>40.049433513959841</v>
          </cell>
          <cell r="AP30">
            <v>89.317915551111426</v>
          </cell>
          <cell r="AQ30">
            <v>20.809907635822157</v>
          </cell>
          <cell r="AR30">
            <v>11.551700813990623</v>
          </cell>
          <cell r="AS30">
            <v>8.1680816139454251</v>
          </cell>
          <cell r="AT30">
            <v>11.100338042066566</v>
          </cell>
          <cell r="AU30">
            <v>14.713330854016</v>
          </cell>
          <cell r="AV30">
            <v>8.9813192103078272</v>
          </cell>
          <cell r="AW30">
            <v>14.02548945677102</v>
          </cell>
          <cell r="AX30">
            <v>14.446538203499506</v>
          </cell>
          <cell r="AY30">
            <v>14.446538203499506</v>
          </cell>
          <cell r="AZ30">
            <v>17.561280003132467</v>
          </cell>
          <cell r="BA30">
            <v>43.323529003841614</v>
          </cell>
          <cell r="BB30">
            <v>34.747347367015941</v>
          </cell>
          <cell r="BC30">
            <v>95.632156373990028</v>
          </cell>
          <cell r="BD30">
            <v>20.459821932165653</v>
          </cell>
          <cell r="BE30">
            <v>11.423778810200362</v>
          </cell>
          <cell r="BF30">
            <v>8.1883764358602757</v>
          </cell>
          <cell r="BG30">
            <v>11.020397553572812</v>
          </cell>
          <cell r="BH30">
            <v>14.713330854016</v>
          </cell>
          <cell r="BI30">
            <v>8.9813192103078272</v>
          </cell>
          <cell r="BJ30">
            <v>14.02548945677102</v>
          </cell>
          <cell r="BK30">
            <v>14.446538203499506</v>
          </cell>
          <cell r="BL30">
            <v>14.446538203499506</v>
          </cell>
          <cell r="BM30">
            <v>16.932432712356611</v>
          </cell>
          <cell r="BN30">
            <v>19.557692400225125</v>
          </cell>
          <cell r="BO30">
            <v>45.879781870132021</v>
          </cell>
          <cell r="BP30">
            <v>82.369906982713758</v>
          </cell>
          <cell r="BQ30">
            <v>23.383015226296017</v>
          </cell>
          <cell r="BR30">
            <v>12.094947887889457</v>
          </cell>
          <cell r="BS30">
            <v>9.6952350910601606</v>
          </cell>
          <cell r="BT30">
            <v>10.359970119444876</v>
          </cell>
          <cell r="BU30">
            <v>15.448997396716802</v>
          </cell>
          <cell r="BV30">
            <v>12.487724655428003</v>
          </cell>
          <cell r="BW30">
            <v>15.093644667762145</v>
          </cell>
          <cell r="BX30">
            <v>14.446538203499506</v>
          </cell>
          <cell r="BY30">
            <v>14.446538203499506</v>
          </cell>
          <cell r="BZ30">
            <v>15.420947145006846</v>
          </cell>
          <cell r="CA30">
            <v>7.4092085634593312</v>
          </cell>
          <cell r="CB30">
            <v>52.109719415930179</v>
          </cell>
          <cell r="CC30">
            <v>74.939875124396352</v>
          </cell>
          <cell r="CD30">
            <v>20.667318369559208</v>
          </cell>
          <cell r="CE30">
            <v>11.478076831000839</v>
          </cell>
          <cell r="CF30">
            <v>8.7200992745011447</v>
          </cell>
          <cell r="CG30">
            <v>10.863813345357594</v>
          </cell>
          <cell r="CH30">
            <v>14.713330854016</v>
          </cell>
          <cell r="CI30">
            <v>9.7810257153352378</v>
          </cell>
          <cell r="CJ30">
            <v>14.12145423737431</v>
          </cell>
          <cell r="CK30">
            <v>14.446538203499506</v>
          </cell>
          <cell r="CL30">
            <v>14.446538203499506</v>
          </cell>
          <cell r="CM30">
            <v>16.559185105621026</v>
          </cell>
          <cell r="CN30">
            <v>16.557156740843663</v>
          </cell>
          <cell r="CO30">
            <v>47.418472129371068</v>
          </cell>
          <cell r="CP30">
            <v>80.53481397583576</v>
          </cell>
        </row>
        <row r="31">
          <cell r="B31">
            <v>2012</v>
          </cell>
          <cell r="D31">
            <v>20.26283784806099</v>
          </cell>
          <cell r="E31">
            <v>11.419140912885192</v>
          </cell>
          <cell r="F31">
            <v>7.8783225534817722</v>
          </cell>
          <cell r="G31">
            <v>11.476971083564756</v>
          </cell>
          <cell r="H31">
            <v>14.808265993579186</v>
          </cell>
          <cell r="I31">
            <v>9.0392695684661462</v>
          </cell>
          <cell r="J31">
            <v>14.115986422565619</v>
          </cell>
          <cell r="K31">
            <v>14.539751911133884</v>
          </cell>
          <cell r="L31">
            <v>14.539751911133884</v>
          </cell>
          <cell r="M31">
            <v>16.568178758472364</v>
          </cell>
          <cell r="N31">
            <v>22.680597387222324</v>
          </cell>
          <cell r="O31">
            <v>45.022616944556738</v>
          </cell>
          <cell r="P31">
            <v>84.271393090251422</v>
          </cell>
          <cell r="Q31">
            <v>20.763788090503017</v>
          </cell>
          <cell r="R31">
            <v>11.604817208967184</v>
          </cell>
          <cell r="S31">
            <v>8.3922745376312218</v>
          </cell>
          <cell r="T31">
            <v>10.809121928311079</v>
          </cell>
          <cell r="U31">
            <v>14.808265993579186</v>
          </cell>
          <cell r="V31">
            <v>9.0392695684661462</v>
          </cell>
          <cell r="W31">
            <v>14.115986422565619</v>
          </cell>
          <cell r="X31">
            <v>14.539751911133884</v>
          </cell>
          <cell r="Y31">
            <v>14.539751911133884</v>
          </cell>
          <cell r="Z31">
            <v>16.9063500206146</v>
          </cell>
          <cell r="AA31">
            <v>7.9488276533510964</v>
          </cell>
          <cell r="AB31">
            <v>51.593379607521683</v>
          </cell>
          <cell r="AC31">
            <v>76.448557281487382</v>
          </cell>
          <cell r="AD31">
            <v>20.555261511770798</v>
          </cell>
          <cell r="AE31">
            <v>11.458529606611334</v>
          </cell>
          <cell r="AF31">
            <v>8.2502398671970774</v>
          </cell>
          <cell r="AG31">
            <v>11.027013110424919</v>
          </cell>
          <cell r="AH31">
            <v>14.808265993579186</v>
          </cell>
          <cell r="AI31">
            <v>9.0392695684661462</v>
          </cell>
          <cell r="AJ31">
            <v>14.115986422565619</v>
          </cell>
          <cell r="AK31">
            <v>14.539751911133884</v>
          </cell>
          <cell r="AL31">
            <v>14.539751911133884</v>
          </cell>
          <cell r="AM31">
            <v>17.688895560883061</v>
          </cell>
          <cell r="AN31">
            <v>31.897482557357911</v>
          </cell>
          <cell r="AO31">
            <v>40.30784533095752</v>
          </cell>
          <cell r="AP31">
            <v>89.894223449198492</v>
          </cell>
          <cell r="AQ31">
            <v>20.944179848233155</v>
          </cell>
          <cell r="AR31">
            <v>11.626236100381536</v>
          </cell>
          <cell r="AS31">
            <v>8.2207847017558731</v>
          </cell>
          <cell r="AT31">
            <v>11.171960990784155</v>
          </cell>
          <cell r="AU31">
            <v>14.808265993579186</v>
          </cell>
          <cell r="AV31">
            <v>9.0392695684661462</v>
          </cell>
          <cell r="AW31">
            <v>14.115986422565619</v>
          </cell>
          <cell r="AX31">
            <v>14.539751911133884</v>
          </cell>
          <cell r="AY31">
            <v>14.539751911133884</v>
          </cell>
          <cell r="AZ31">
            <v>17.674591025942131</v>
          </cell>
          <cell r="BA31">
            <v>43.603066337240648</v>
          </cell>
          <cell r="BB31">
            <v>34.971548420092766</v>
          </cell>
          <cell r="BC31">
            <v>96.249205783275556</v>
          </cell>
          <cell r="BD31">
            <v>20.591835279098436</v>
          </cell>
          <cell r="BE31">
            <v>11.497488702708441</v>
          </cell>
          <cell r="BF31">
            <v>8.2412104723845143</v>
          </cell>
          <cell r="BG31">
            <v>11.091504700565613</v>
          </cell>
          <cell r="BH31">
            <v>14.808265993579186</v>
          </cell>
          <cell r="BI31">
            <v>9.0392695684661462</v>
          </cell>
          <cell r="BJ31">
            <v>14.115986422565619</v>
          </cell>
          <cell r="BK31">
            <v>14.539751911133884</v>
          </cell>
          <cell r="BL31">
            <v>14.539751911133884</v>
          </cell>
          <cell r="BM31">
            <v>17.041686210333449</v>
          </cell>
          <cell r="BN31">
            <v>19.683884917471648</v>
          </cell>
          <cell r="BO31">
            <v>46.175812968608987</v>
          </cell>
          <cell r="BP31">
            <v>82.901384096414091</v>
          </cell>
          <cell r="BQ31">
            <v>23.533889955882525</v>
          </cell>
          <cell r="BR31">
            <v>12.172988379001831</v>
          </cell>
          <cell r="BS31">
            <v>9.7577918639350436</v>
          </cell>
          <cell r="BT31">
            <v>10.426815976370026</v>
          </cell>
          <cell r="BU31">
            <v>15.548679293258145</v>
          </cell>
          <cell r="BV31">
            <v>12.568299468483751</v>
          </cell>
          <cell r="BW31">
            <v>15.191033714285219</v>
          </cell>
          <cell r="BX31">
            <v>14.539751911133884</v>
          </cell>
          <cell r="BY31">
            <v>14.539751911133884</v>
          </cell>
          <cell r="BZ31">
            <v>15.520448052308749</v>
          </cell>
          <cell r="CA31">
            <v>7.4570151584447739</v>
          </cell>
          <cell r="CB31">
            <v>52.445948073766651</v>
          </cell>
          <cell r="CC31">
            <v>75.423411284520171</v>
          </cell>
          <cell r="CD31">
            <v>20.800670550195814</v>
          </cell>
          <cell r="CE31">
            <v>11.552137071790613</v>
          </cell>
          <cell r="CF31">
            <v>8.7763641576770457</v>
          </cell>
          <cell r="CG31">
            <v>10.933910160712522</v>
          </cell>
          <cell r="CH31">
            <v>14.808265993579186</v>
          </cell>
          <cell r="CI31">
            <v>9.8441360368912143</v>
          </cell>
          <cell r="CJ31">
            <v>14.212570398776629</v>
          </cell>
          <cell r="CK31">
            <v>14.539751911133884</v>
          </cell>
          <cell r="CL31">
            <v>14.539751911133884</v>
          </cell>
          <cell r="CM31">
            <v>16.666030290076701</v>
          </cell>
          <cell r="CN31">
            <v>16.663988837637877</v>
          </cell>
          <cell r="CO31">
            <v>47.724431351938676</v>
          </cell>
          <cell r="CP31">
            <v>81.054450479653255</v>
          </cell>
        </row>
        <row r="32">
          <cell r="B32">
            <v>2013</v>
          </cell>
          <cell r="D32">
            <v>20.521000904801205</v>
          </cell>
          <cell r="E32">
            <v>11.564628941044081</v>
          </cell>
          <cell r="F32">
            <v>7.9786980215007741</v>
          </cell>
          <cell r="G32">
            <v>11.623195909488423</v>
          </cell>
          <cell r="H32">
            <v>14.996933900937011</v>
          </cell>
          <cell r="I32">
            <v>9.1544363323712012</v>
          </cell>
          <cell r="J32">
            <v>14.295834192709112</v>
          </cell>
          <cell r="K32">
            <v>14.724998756899957</v>
          </cell>
          <cell r="L32">
            <v>14.724998756899957</v>
          </cell>
          <cell r="M32">
            <v>16.77926921406296</v>
          </cell>
          <cell r="N32">
            <v>22.969564430934803</v>
          </cell>
          <cell r="O32">
            <v>45.596237308101372</v>
          </cell>
          <cell r="P32">
            <v>85.345070953099139</v>
          </cell>
          <cell r="Q32">
            <v>21.028333611872984</v>
          </cell>
          <cell r="R32">
            <v>11.752670886030741</v>
          </cell>
          <cell r="S32">
            <v>8.4991981217749561</v>
          </cell>
          <cell r="T32">
            <v>10.946837878002576</v>
          </cell>
          <cell r="U32">
            <v>14.996933900937011</v>
          </cell>
          <cell r="V32">
            <v>9.1544363323712012</v>
          </cell>
          <cell r="W32">
            <v>14.295834192709112</v>
          </cell>
          <cell r="X32">
            <v>14.724998756899957</v>
          </cell>
          <cell r="Y32">
            <v>14.724998756899957</v>
          </cell>
          <cell r="Z32">
            <v>17.121749020121452</v>
          </cell>
          <cell r="AA32">
            <v>8.0501014068044725</v>
          </cell>
          <cell r="AB32">
            <v>52.250716190230946</v>
          </cell>
          <cell r="AC32">
            <v>77.422566617156875</v>
          </cell>
          <cell r="AD32">
            <v>20.817150255280687</v>
          </cell>
          <cell r="AE32">
            <v>11.604519474919643</v>
          </cell>
          <cell r="AF32">
            <v>8.355353827982162</v>
          </cell>
          <cell r="AG32">
            <v>11.167505149726026</v>
          </cell>
          <cell r="AH32">
            <v>14.996933900937011</v>
          </cell>
          <cell r="AI32">
            <v>9.1544363323712012</v>
          </cell>
          <cell r="AJ32">
            <v>14.295834192709112</v>
          </cell>
          <cell r="AK32">
            <v>14.724998756899957</v>
          </cell>
          <cell r="AL32">
            <v>14.724998756899957</v>
          </cell>
          <cell r="AM32">
            <v>17.914264750657878</v>
          </cell>
          <cell r="AN32">
            <v>32.303879314864076</v>
          </cell>
          <cell r="AO32">
            <v>40.821396129679812</v>
          </cell>
          <cell r="AP32">
            <v>91.039540195201766</v>
          </cell>
          <cell r="AQ32">
            <v>21.211023689706927</v>
          </cell>
          <cell r="AR32">
            <v>11.77436266945168</v>
          </cell>
          <cell r="AS32">
            <v>8.3255233826515322</v>
          </cell>
          <cell r="AT32">
            <v>11.314299769823405</v>
          </cell>
          <cell r="AU32">
            <v>14.996933900937011</v>
          </cell>
          <cell r="AV32">
            <v>9.1544363323712012</v>
          </cell>
          <cell r="AW32">
            <v>14.295834192709112</v>
          </cell>
          <cell r="AX32">
            <v>14.724998756899957</v>
          </cell>
          <cell r="AY32">
            <v>14.724998756899957</v>
          </cell>
          <cell r="AZ32">
            <v>17.899777965703734</v>
          </cell>
          <cell r="BA32">
            <v>44.158600610044672</v>
          </cell>
          <cell r="BB32">
            <v>35.417110976866304</v>
          </cell>
          <cell r="BC32">
            <v>97.475489552614704</v>
          </cell>
          <cell r="BD32">
            <v>20.854189998580722</v>
          </cell>
          <cell r="BE32">
            <v>11.643974937784904</v>
          </cell>
          <cell r="BF32">
            <v>8.346209392217153</v>
          </cell>
          <cell r="BG32">
            <v>11.232818408883155</v>
          </cell>
          <cell r="BH32">
            <v>14.996933900937011</v>
          </cell>
          <cell r="BI32">
            <v>9.1544363323712012</v>
          </cell>
          <cell r="BJ32">
            <v>14.295834192709112</v>
          </cell>
          <cell r="BK32">
            <v>14.724998756899957</v>
          </cell>
          <cell r="BL32">
            <v>14.724998756899957</v>
          </cell>
          <cell r="BM32">
            <v>17.258809489760388</v>
          </cell>
          <cell r="BN32">
            <v>19.934671699506886</v>
          </cell>
          <cell r="BO32">
            <v>46.764125874867652</v>
          </cell>
          <cell r="BP32">
            <v>83.957607064134919</v>
          </cell>
          <cell r="BQ32">
            <v>23.833728557639876</v>
          </cell>
          <cell r="BR32">
            <v>12.328080963424153</v>
          </cell>
          <cell r="BS32">
            <v>9.882113116146483</v>
          </cell>
          <cell r="BT32">
            <v>10.559661074609066</v>
          </cell>
          <cell r="BU32">
            <v>15.746780595983862</v>
          </cell>
          <cell r="BV32">
            <v>12.728428599118862</v>
          </cell>
          <cell r="BW32">
            <v>15.384578356360061</v>
          </cell>
          <cell r="BX32">
            <v>14.724998756899957</v>
          </cell>
          <cell r="BY32">
            <v>14.724998756899957</v>
          </cell>
          <cell r="BZ32">
            <v>15.718189668819056</v>
          </cell>
          <cell r="CA32">
            <v>7.5520228687120916</v>
          </cell>
          <cell r="CB32">
            <v>53.114146988937755</v>
          </cell>
          <cell r="CC32">
            <v>76.384359526468899</v>
          </cell>
          <cell r="CD32">
            <v>21.06568598049985</v>
          </cell>
          <cell r="CE32">
            <v>11.699319566202213</v>
          </cell>
          <cell r="CF32">
            <v>8.8881813184815002</v>
          </cell>
          <cell r="CG32">
            <v>11.073216001798478</v>
          </cell>
          <cell r="CH32">
            <v>14.996933900937011</v>
          </cell>
          <cell r="CI32">
            <v>9.9695573756645288</v>
          </cell>
          <cell r="CJ32">
            <v>14.393648717904311</v>
          </cell>
          <cell r="CK32">
            <v>14.724998756899957</v>
          </cell>
          <cell r="CL32">
            <v>14.724998756899957</v>
          </cell>
          <cell r="CM32">
            <v>16.878367444214415</v>
          </cell>
          <cell r="CN32">
            <v>16.876299982210409</v>
          </cell>
          <cell r="CO32">
            <v>48.332474764780983</v>
          </cell>
          <cell r="CP32">
            <v>82.0871421912058</v>
          </cell>
        </row>
        <row r="33">
          <cell r="B33">
            <v>2014</v>
          </cell>
          <cell r="D33">
            <v>20.990292786885743</v>
          </cell>
          <cell r="E33">
            <v>11.829098812983032</v>
          </cell>
          <cell r="F33">
            <v>8.161161743834036</v>
          </cell>
          <cell r="G33">
            <v>11.889005141187489</v>
          </cell>
          <cell r="H33">
            <v>15.339896672027844</v>
          </cell>
          <cell r="I33">
            <v>9.3637878486920449</v>
          </cell>
          <cell r="J33">
            <v>14.622763613227548</v>
          </cell>
          <cell r="K33">
            <v>15.061742681447093</v>
          </cell>
          <cell r="L33">
            <v>15.061742681447093</v>
          </cell>
          <cell r="M33">
            <v>17.162991960628815</v>
          </cell>
          <cell r="N33">
            <v>23.494852167749499</v>
          </cell>
          <cell r="O33">
            <v>46.638971243037545</v>
          </cell>
          <cell r="P33">
            <v>87.29681537141586</v>
          </cell>
          <cell r="Q33">
            <v>21.509227614246353</v>
          </cell>
          <cell r="R33">
            <v>12.021441062749316</v>
          </cell>
          <cell r="S33">
            <v>8.6935650876593513</v>
          </cell>
          <cell r="T33">
            <v>11.197179573053141</v>
          </cell>
          <cell r="U33">
            <v>15.339896672027844</v>
          </cell>
          <cell r="V33">
            <v>9.3637878486920449</v>
          </cell>
          <cell r="W33">
            <v>14.622763613227548</v>
          </cell>
          <cell r="X33">
            <v>15.061742681447093</v>
          </cell>
          <cell r="Y33">
            <v>15.061742681447093</v>
          </cell>
          <cell r="Z33">
            <v>17.513303889180101</v>
          </cell>
          <cell r="AA33">
            <v>8.2341980431087372</v>
          </cell>
          <cell r="AB33">
            <v>53.445630466339253</v>
          </cell>
          <cell r="AC33">
            <v>79.193132398628094</v>
          </cell>
          <cell r="AD33">
            <v>21.293214735188759</v>
          </cell>
          <cell r="AE33">
            <v>11.869901597864608</v>
          </cell>
          <cell r="AF33">
            <v>8.5464312389528221</v>
          </cell>
          <cell r="AG33">
            <v>11.422893253562497</v>
          </cell>
          <cell r="AH33">
            <v>15.339896672027844</v>
          </cell>
          <cell r="AI33">
            <v>9.3637878486920449</v>
          </cell>
          <cell r="AJ33">
            <v>14.622763613227548</v>
          </cell>
          <cell r="AK33">
            <v>15.061742681447093</v>
          </cell>
          <cell r="AL33">
            <v>15.061742681447093</v>
          </cell>
          <cell r="AM33">
            <v>18.32394355043952</v>
          </cell>
          <cell r="AN33">
            <v>33.042632185283637</v>
          </cell>
          <cell r="AO33">
            <v>41.754934893597202</v>
          </cell>
          <cell r="AP33">
            <v>93.121510629320369</v>
          </cell>
          <cell r="AQ33">
            <v>21.696095605763094</v>
          </cell>
          <cell r="AR33">
            <v>12.043628912512958</v>
          </cell>
          <cell r="AS33">
            <v>8.515918605365508</v>
          </cell>
          <cell r="AT33">
            <v>11.573044899170714</v>
          </cell>
          <cell r="AU33">
            <v>15.339896672027844</v>
          </cell>
          <cell r="AV33">
            <v>9.3637878486920449</v>
          </cell>
          <cell r="AW33">
            <v>14.622763613227548</v>
          </cell>
          <cell r="AX33">
            <v>15.061742681447093</v>
          </cell>
          <cell r="AY33">
            <v>15.061742681447093</v>
          </cell>
          <cell r="AZ33">
            <v>18.309125469238761</v>
          </cell>
          <cell r="BA33">
            <v>45.168457433629662</v>
          </cell>
          <cell r="BB33">
            <v>36.227059904086602</v>
          </cell>
          <cell r="BC33">
            <v>99.704642806955022</v>
          </cell>
          <cell r="BD33">
            <v>21.331101535166287</v>
          </cell>
          <cell r="BE33">
            <v>11.910259362158168</v>
          </cell>
          <cell r="BF33">
            <v>8.5370776803730593</v>
          </cell>
          <cell r="BG33">
            <v>11.489700152452752</v>
          </cell>
          <cell r="BH33">
            <v>15.339896672027844</v>
          </cell>
          <cell r="BI33">
            <v>9.3637878486920449</v>
          </cell>
          <cell r="BJ33">
            <v>14.622763613227548</v>
          </cell>
          <cell r="BK33">
            <v>15.061742681447093</v>
          </cell>
          <cell r="BL33">
            <v>15.061742681447093</v>
          </cell>
          <cell r="BM33">
            <v>17.653498775412782</v>
          </cell>
          <cell r="BN33">
            <v>20.39055490150071</v>
          </cell>
          <cell r="BO33">
            <v>47.833568089098058</v>
          </cell>
          <cell r="BP33">
            <v>85.877621766011544</v>
          </cell>
          <cell r="BQ33">
            <v>24.378778742267563</v>
          </cell>
          <cell r="BR33">
            <v>12.61001011223396</v>
          </cell>
          <cell r="BS33">
            <v>10.108105770440632</v>
          </cell>
          <cell r="BT33">
            <v>10.801148477824311</v>
          </cell>
          <cell r="BU33">
            <v>16.106891505629239</v>
          </cell>
          <cell r="BV33">
            <v>13.019513241674556</v>
          </cell>
          <cell r="BW33">
            <v>15.736406113954677</v>
          </cell>
          <cell r="BX33">
            <v>15.061742681447093</v>
          </cell>
          <cell r="BY33">
            <v>15.061742681447093</v>
          </cell>
          <cell r="BZ33">
            <v>16.077646736574263</v>
          </cell>
          <cell r="CA33">
            <v>7.7247290170157141</v>
          </cell>
          <cell r="CB33">
            <v>54.328806942484242</v>
          </cell>
          <cell r="CC33">
            <v>78.13118269607422</v>
          </cell>
          <cell r="CD33">
            <v>21.54743418893532</v>
          </cell>
          <cell r="CE33">
            <v>11.96686965909495</v>
          </cell>
          <cell r="CF33">
            <v>9.0914438863557052</v>
          </cell>
          <cell r="CG33">
            <v>11.326447820378867</v>
          </cell>
          <cell r="CH33">
            <v>15.339896672027844</v>
          </cell>
          <cell r="CI33">
            <v>10.1975497804249</v>
          </cell>
          <cell r="CJ33">
            <v>14.722815045035491</v>
          </cell>
          <cell r="CK33">
            <v>15.061742681447093</v>
          </cell>
          <cell r="CL33">
            <v>15.061742681447093</v>
          </cell>
          <cell r="CM33">
            <v>17.264356454261023</v>
          </cell>
          <cell r="CN33">
            <v>17.262241711759369</v>
          </cell>
          <cell r="CO33">
            <v>49.437783329085008</v>
          </cell>
          <cell r="CP33">
            <v>83.9643814951054</v>
          </cell>
        </row>
        <row r="34">
          <cell r="B34">
            <v>2015</v>
          </cell>
          <cell r="D34">
            <v>21.281791163495637</v>
          </cell>
          <cell r="E34">
            <v>11.993372991325932</v>
          </cell>
          <cell r="F34">
            <v>8.2744982000584422</v>
          </cell>
          <cell r="G34">
            <v>12.054111256349831</v>
          </cell>
          <cell r="H34">
            <v>15.55292633400823</v>
          </cell>
          <cell r="I34">
            <v>9.4938255277528398</v>
          </cell>
          <cell r="J34">
            <v>14.825834237257585</v>
          </cell>
          <cell r="K34">
            <v>15.27090953705669</v>
          </cell>
          <cell r="L34">
            <v>15.27090953705669</v>
          </cell>
          <cell r="M34">
            <v>17.401339483699942</v>
          </cell>
          <cell r="N34">
            <v>23.821132097959303</v>
          </cell>
          <cell r="O34">
            <v>47.286660369727322</v>
          </cell>
          <cell r="P34">
            <v>88.509131951386564</v>
          </cell>
          <cell r="Q34">
            <v>21.807932591606306</v>
          </cell>
          <cell r="R34">
            <v>12.188386354550692</v>
          </cell>
          <cell r="S34">
            <v>8.8142951858878238</v>
          </cell>
          <cell r="T34">
            <v>11.352678102839903</v>
          </cell>
          <cell r="U34">
            <v>15.55292633400823</v>
          </cell>
          <cell r="V34">
            <v>9.4938255277528398</v>
          </cell>
          <cell r="W34">
            <v>14.825834237257585</v>
          </cell>
          <cell r="X34">
            <v>15.27090953705669</v>
          </cell>
          <cell r="Y34">
            <v>15.27090953705669</v>
          </cell>
          <cell r="Z34">
            <v>17.756516297153812</v>
          </cell>
          <cell r="AA34">
            <v>8.3485487759270125</v>
          </cell>
          <cell r="AB34">
            <v>54.187845673911944</v>
          </cell>
          <cell r="AC34">
            <v>80.29291074699276</v>
          </cell>
          <cell r="AD34">
            <v>21.588919878091353</v>
          </cell>
          <cell r="AE34">
            <v>12.034742416495709</v>
          </cell>
          <cell r="AF34">
            <v>8.6651180461001385</v>
          </cell>
          <cell r="AG34">
            <v>11.58152633569282</v>
          </cell>
          <cell r="AH34">
            <v>15.55292633400823</v>
          </cell>
          <cell r="AI34">
            <v>9.4938255277528398</v>
          </cell>
          <cell r="AJ34">
            <v>14.825834237257585</v>
          </cell>
          <cell r="AK34">
            <v>15.27090953705669</v>
          </cell>
          <cell r="AL34">
            <v>15.27090953705669</v>
          </cell>
          <cell r="AM34">
            <v>18.578413550085337</v>
          </cell>
          <cell r="AN34">
            <v>33.501504947980202</v>
          </cell>
          <cell r="AO34">
            <v>42.334797969377625</v>
          </cell>
          <cell r="AP34">
            <v>94.414716467443156</v>
          </cell>
          <cell r="AQ34">
            <v>21.997395673945295</v>
          </cell>
          <cell r="AR34">
            <v>12.210882333517304</v>
          </cell>
          <cell r="AS34">
            <v>8.6341816745856264</v>
          </cell>
          <cell r="AT34">
            <v>11.733763181416371</v>
          </cell>
          <cell r="AU34">
            <v>15.55292633400823</v>
          </cell>
          <cell r="AV34">
            <v>9.4938255277528398</v>
          </cell>
          <cell r="AW34">
            <v>14.825834237257585</v>
          </cell>
          <cell r="AX34">
            <v>15.27090953705669</v>
          </cell>
          <cell r="AY34">
            <v>15.27090953705669</v>
          </cell>
          <cell r="AZ34">
            <v>18.563389685827701</v>
          </cell>
          <cell r="BA34">
            <v>45.795725102049339</v>
          </cell>
          <cell r="BB34">
            <v>36.730155752182071</v>
          </cell>
          <cell r="BC34">
            <v>101.08927054005912</v>
          </cell>
          <cell r="BD34">
            <v>21.627332823216094</v>
          </cell>
          <cell r="BE34">
            <v>12.075660640945525</v>
          </cell>
          <cell r="BF34">
            <v>8.655634591898183</v>
          </cell>
          <cell r="BG34">
            <v>11.649261001659529</v>
          </cell>
          <cell r="BH34">
            <v>15.55292633400823</v>
          </cell>
          <cell r="BI34">
            <v>9.4938255277528398</v>
          </cell>
          <cell r="BJ34">
            <v>14.825834237257585</v>
          </cell>
          <cell r="BK34">
            <v>15.27090953705669</v>
          </cell>
          <cell r="BL34">
            <v>15.27090953705669</v>
          </cell>
          <cell r="BM34">
            <v>17.898658111052573</v>
          </cell>
          <cell r="BN34">
            <v>20.673724541500967</v>
          </cell>
          <cell r="BO34">
            <v>48.497846933943052</v>
          </cell>
          <cell r="BP34">
            <v>87.070229586496595</v>
          </cell>
          <cell r="BQ34">
            <v>24.717334021093528</v>
          </cell>
          <cell r="BR34">
            <v>12.785129035732115</v>
          </cell>
          <cell r="BS34">
            <v>10.248480011648235</v>
          </cell>
          <cell r="BT34">
            <v>10.951147207178638</v>
          </cell>
          <cell r="BU34">
            <v>16.330572650708643</v>
          </cell>
          <cell r="BV34">
            <v>13.200319055711141</v>
          </cell>
          <cell r="BW34">
            <v>15.954942219308942</v>
          </cell>
          <cell r="BX34">
            <v>15.27090953705669</v>
          </cell>
          <cell r="BY34">
            <v>15.27090953705669</v>
          </cell>
          <cell r="BZ34">
            <v>16.30092175093456</v>
          </cell>
          <cell r="CA34">
            <v>7.8320046034533775</v>
          </cell>
          <cell r="CB34">
            <v>55.083287081836126</v>
          </cell>
          <cell r="CC34">
            <v>79.216213436224066</v>
          </cell>
          <cell r="CD34">
            <v>21.846669752248062</v>
          </cell>
          <cell r="CE34">
            <v>12.133057101745001</v>
          </cell>
          <cell r="CF34">
            <v>9.2176994446187308</v>
          </cell>
          <cell r="CG34">
            <v>11.483741536379812</v>
          </cell>
          <cell r="CH34">
            <v>15.55292633400823</v>
          </cell>
          <cell r="CI34">
            <v>10.339166156936313</v>
          </cell>
          <cell r="CJ34">
            <v>14.927275112759601</v>
          </cell>
          <cell r="CK34">
            <v>15.27090953705669</v>
          </cell>
          <cell r="CL34">
            <v>15.27090953705669</v>
          </cell>
          <cell r="CM34">
            <v>17.504111655902413</v>
          </cell>
          <cell r="CN34">
            <v>17.501967545348943</v>
          </cell>
          <cell r="CO34">
            <v>50.124340383335507</v>
          </cell>
          <cell r="CP34">
            <v>85.130419584586861</v>
          </cell>
        </row>
        <row r="35">
          <cell r="B35">
            <v>2016</v>
          </cell>
          <cell r="D35">
            <v>21.488552608499312</v>
          </cell>
          <cell r="E35">
            <v>12.109893593896647</v>
          </cell>
          <cell r="F35">
            <v>8.3548883886182779</v>
          </cell>
          <cell r="G35">
            <v>12.171221956405615</v>
          </cell>
          <cell r="H35">
            <v>15.704029476509284</v>
          </cell>
          <cell r="I35">
            <v>9.5860619880042695</v>
          </cell>
          <cell r="J35">
            <v>14.969873377888682</v>
          </cell>
          <cell r="K35">
            <v>15.419272769180601</v>
          </cell>
          <cell r="L35">
            <v>15.419272769180601</v>
          </cell>
          <cell r="M35">
            <v>17.570400728075878</v>
          </cell>
          <cell r="N35">
            <v>24.052564295388521</v>
          </cell>
          <cell r="O35">
            <v>47.746069925639773</v>
          </cell>
          <cell r="P35">
            <v>89.369034949104176</v>
          </cell>
          <cell r="Q35">
            <v>22.019805719227143</v>
          </cell>
          <cell r="R35">
            <v>12.306801592984788</v>
          </cell>
          <cell r="S35">
            <v>8.8999297264827515</v>
          </cell>
          <cell r="T35">
            <v>11.462974088322134</v>
          </cell>
          <cell r="U35">
            <v>15.704029476509284</v>
          </cell>
          <cell r="V35">
            <v>9.5860619880042695</v>
          </cell>
          <cell r="W35">
            <v>14.969873377888682</v>
          </cell>
          <cell r="X35">
            <v>15.419272769180601</v>
          </cell>
          <cell r="Y35">
            <v>15.419272769180601</v>
          </cell>
          <cell r="Z35">
            <v>17.929028231869548</v>
          </cell>
          <cell r="AA35">
            <v>8.4296583966038288</v>
          </cell>
          <cell r="AB35">
            <v>54.714303112907608</v>
          </cell>
          <cell r="AC35">
            <v>81.072989741380979</v>
          </cell>
          <cell r="AD35">
            <v>21.798665206187582</v>
          </cell>
          <cell r="AE35">
            <v>12.151664940223403</v>
          </cell>
          <cell r="AF35">
            <v>8.7493032687900527</v>
          </cell>
          <cell r="AG35">
            <v>11.694045676857272</v>
          </cell>
          <cell r="AH35">
            <v>15.704029476509284</v>
          </cell>
          <cell r="AI35">
            <v>9.5860619880042695</v>
          </cell>
          <cell r="AJ35">
            <v>14.969873377888682</v>
          </cell>
          <cell r="AK35">
            <v>15.419272769180601</v>
          </cell>
          <cell r="AL35">
            <v>15.419272769180601</v>
          </cell>
          <cell r="AM35">
            <v>18.758910558160508</v>
          </cell>
          <cell r="AN35">
            <v>33.826985990418194</v>
          </cell>
          <cell r="AO35">
            <v>42.74609812427726</v>
          </cell>
          <cell r="AP35">
            <v>95.331994672855956</v>
          </cell>
          <cell r="AQ35">
            <v>22.211109514144233</v>
          </cell>
          <cell r="AR35">
            <v>12.329516129735479</v>
          </cell>
          <cell r="AS35">
            <v>8.7180663375703737</v>
          </cell>
          <cell r="AT35">
            <v>11.847761566800493</v>
          </cell>
          <cell r="AU35">
            <v>15.704029476509284</v>
          </cell>
          <cell r="AV35">
            <v>9.5860619880042695</v>
          </cell>
          <cell r="AW35">
            <v>14.969873377888682</v>
          </cell>
          <cell r="AX35">
            <v>15.419272769180601</v>
          </cell>
          <cell r="AY35">
            <v>15.419272769180601</v>
          </cell>
          <cell r="AZ35">
            <v>18.743740730818299</v>
          </cell>
          <cell r="BA35">
            <v>46.240649602263986</v>
          </cell>
          <cell r="BB35">
            <v>37.087004478879379</v>
          </cell>
          <cell r="BC35">
            <v>102.07139481196167</v>
          </cell>
          <cell r="BD35">
            <v>21.837451349037071</v>
          </cell>
          <cell r="BE35">
            <v>12.192980702227706</v>
          </cell>
          <cell r="BF35">
            <v>8.7397276788895866</v>
          </cell>
          <cell r="BG35">
            <v>11.76243841325163</v>
          </cell>
          <cell r="BH35">
            <v>15.704029476509284</v>
          </cell>
          <cell r="BI35">
            <v>9.5860619880042695</v>
          </cell>
          <cell r="BJ35">
            <v>14.969873377888682</v>
          </cell>
          <cell r="BK35">
            <v>15.419272769180601</v>
          </cell>
          <cell r="BL35">
            <v>15.419272769180601</v>
          </cell>
          <cell r="BM35">
            <v>18.072551012558712</v>
          </cell>
          <cell r="BN35">
            <v>20.874578366584107</v>
          </cell>
          <cell r="BO35">
            <v>48.969023670646934</v>
          </cell>
          <cell r="BP35">
            <v>87.916153049789756</v>
          </cell>
          <cell r="BQ35">
            <v>24.957473192631213</v>
          </cell>
          <cell r="BR35">
            <v>12.909341877295974</v>
          </cell>
          <cell r="BS35">
            <v>10.348048253814543</v>
          </cell>
          <cell r="BT35">
            <v>11.057542153149546</v>
          </cell>
          <cell r="BU35">
            <v>16.489230950334747</v>
          </cell>
          <cell r="BV35">
            <v>13.328565640855251</v>
          </cell>
          <cell r="BW35">
            <v>16.109951113197209</v>
          </cell>
          <cell r="BX35">
            <v>15.419272769180601</v>
          </cell>
          <cell r="BY35">
            <v>15.419272769180601</v>
          </cell>
          <cell r="BZ35">
            <v>16.459291979747647</v>
          </cell>
          <cell r="CA35">
            <v>7.9080957828397773</v>
          </cell>
          <cell r="CB35">
            <v>55.618444106218945</v>
          </cell>
          <cell r="CC35">
            <v>79.985831868806372</v>
          </cell>
          <cell r="CD35">
            <v>22.058919227482129</v>
          </cell>
          <cell r="CE35">
            <v>12.250934793495494</v>
          </cell>
          <cell r="CF35">
            <v>9.307253225225697</v>
          </cell>
          <cell r="CG35">
            <v>11.595310857583536</v>
          </cell>
          <cell r="CH35">
            <v>15.704029476509284</v>
          </cell>
          <cell r="CI35">
            <v>10.439615452689582</v>
          </cell>
          <cell r="CJ35">
            <v>15.07229979365092</v>
          </cell>
          <cell r="CK35">
            <v>15.419272769180601</v>
          </cell>
          <cell r="CL35">
            <v>15.419272769180601</v>
          </cell>
          <cell r="CM35">
            <v>17.674171374639247</v>
          </cell>
          <cell r="CN35">
            <v>17.672006433160742</v>
          </cell>
          <cell r="CO35">
            <v>50.611319179805029</v>
          </cell>
          <cell r="CP35">
            <v>85.957496987605026</v>
          </cell>
        </row>
        <row r="36">
          <cell r="B36">
            <v>2017</v>
          </cell>
          <cell r="D36">
            <v>21.768030451468654</v>
          </cell>
          <cell r="E36">
            <v>12.267393589446458</v>
          </cell>
          <cell r="F36">
            <v>8.4635511835324895</v>
          </cell>
          <cell r="G36">
            <v>12.329519582153191</v>
          </cell>
          <cell r="H36">
            <v>15.908274423294849</v>
          </cell>
          <cell r="I36">
            <v>9.7107372965645222</v>
          </cell>
          <cell r="J36">
            <v>15.164569968087211</v>
          </cell>
          <cell r="K36">
            <v>15.619814200341585</v>
          </cell>
          <cell r="L36">
            <v>15.619814200341585</v>
          </cell>
          <cell r="M36">
            <v>17.798919502004253</v>
          </cell>
          <cell r="N36">
            <v>24.365389403232122</v>
          </cell>
          <cell r="O36">
            <v>48.367050262296011</v>
          </cell>
          <cell r="P36">
            <v>90.531359167532386</v>
          </cell>
          <cell r="Q36">
            <v>22.306192983978491</v>
          </cell>
          <cell r="R36">
            <v>12.466862553149165</v>
          </cell>
          <cell r="S36">
            <v>9.0156812714031069</v>
          </cell>
          <cell r="T36">
            <v>11.612060317189435</v>
          </cell>
          <cell r="U36">
            <v>15.908274423294849</v>
          </cell>
          <cell r="V36">
            <v>9.7107372965645222</v>
          </cell>
          <cell r="W36">
            <v>15.164569968087211</v>
          </cell>
          <cell r="X36">
            <v>15.619814200341585</v>
          </cell>
          <cell r="Y36">
            <v>15.619814200341585</v>
          </cell>
          <cell r="Z36">
            <v>18.162211277190035</v>
          </cell>
          <cell r="AA36">
            <v>8.5392936423355241</v>
          </cell>
          <cell r="AB36">
            <v>55.42591155355791</v>
          </cell>
          <cell r="AC36">
            <v>82.127416473083471</v>
          </cell>
          <cell r="AD36">
            <v>22.082176340810324</v>
          </cell>
          <cell r="AE36">
            <v>12.309708209486528</v>
          </cell>
          <cell r="AF36">
            <v>8.8630957819292995</v>
          </cell>
          <cell r="AG36">
            <v>11.846137198370934</v>
          </cell>
          <cell r="AH36">
            <v>15.908274423294849</v>
          </cell>
          <cell r="AI36">
            <v>9.7107372965645222</v>
          </cell>
          <cell r="AJ36">
            <v>15.164569968087211</v>
          </cell>
          <cell r="AK36">
            <v>15.619814200341585</v>
          </cell>
          <cell r="AL36">
            <v>15.619814200341585</v>
          </cell>
          <cell r="AM36">
            <v>19.002886965262768</v>
          </cell>
          <cell r="AN36">
            <v>34.266936193253962</v>
          </cell>
          <cell r="AO36">
            <v>43.302049356395315</v>
          </cell>
          <cell r="AP36">
            <v>96.571872514912044</v>
          </cell>
          <cell r="AQ36">
            <v>22.499984855823303</v>
          </cell>
          <cell r="AR36">
            <v>12.48987251276294</v>
          </cell>
          <cell r="AS36">
            <v>8.8314525864852538</v>
          </cell>
          <cell r="AT36">
            <v>12.00185230092443</v>
          </cell>
          <cell r="AU36">
            <v>15.908274423294849</v>
          </cell>
          <cell r="AV36">
            <v>9.7107372965645222</v>
          </cell>
          <cell r="AW36">
            <v>15.164569968087211</v>
          </cell>
          <cell r="AX36">
            <v>15.619814200341585</v>
          </cell>
          <cell r="AY36">
            <v>15.619814200341585</v>
          </cell>
          <cell r="AZ36">
            <v>18.987519840750242</v>
          </cell>
          <cell r="BA36">
            <v>46.842050601381565</v>
          </cell>
          <cell r="BB36">
            <v>37.569354137453026</v>
          </cell>
          <cell r="BC36">
            <v>103.39892457958484</v>
          </cell>
          <cell r="BD36">
            <v>22.121466932132364</v>
          </cell>
          <cell r="BE36">
            <v>12.35156131992262</v>
          </cell>
          <cell r="BF36">
            <v>8.8533956529191364</v>
          </cell>
          <cell r="BG36">
            <v>11.915419443462808</v>
          </cell>
          <cell r="BH36">
            <v>15.908274423294849</v>
          </cell>
          <cell r="BI36">
            <v>9.7107372965645222</v>
          </cell>
          <cell r="BJ36">
            <v>15.164569968087211</v>
          </cell>
          <cell r="BK36">
            <v>15.619814200341585</v>
          </cell>
          <cell r="BL36">
            <v>15.619814200341585</v>
          </cell>
          <cell r="BM36">
            <v>18.307600699988363</v>
          </cell>
          <cell r="BN36">
            <v>21.146070925486377</v>
          </cell>
          <cell r="BO36">
            <v>49.605909614392345</v>
          </cell>
          <cell r="BP36">
            <v>89.059581239867086</v>
          </cell>
          <cell r="BQ36">
            <v>25.282067449904869</v>
          </cell>
          <cell r="BR36">
            <v>13.077239412683888</v>
          </cell>
          <cell r="BS36">
            <v>10.482633875173464</v>
          </cell>
          <cell r="BT36">
            <v>11.201355377139443</v>
          </cell>
          <cell r="BU36">
            <v>16.703688144459594</v>
          </cell>
          <cell r="BV36">
            <v>13.501915556182176</v>
          </cell>
          <cell r="BW36">
            <v>16.319475433866302</v>
          </cell>
          <cell r="BX36">
            <v>15.619814200341585</v>
          </cell>
          <cell r="BY36">
            <v>15.619814200341585</v>
          </cell>
          <cell r="BZ36">
            <v>16.673359790786861</v>
          </cell>
          <cell r="CA36">
            <v>8.0109476403682773</v>
          </cell>
          <cell r="CB36">
            <v>56.341811709021975</v>
          </cell>
          <cell r="CC36">
            <v>81.026119140177116</v>
          </cell>
          <cell r="CD36">
            <v>22.345815198385875</v>
          </cell>
          <cell r="CE36">
            <v>12.410269155973218</v>
          </cell>
          <cell r="CF36">
            <v>9.4283023764992322</v>
          </cell>
          <cell r="CG36">
            <v>11.746118244478208</v>
          </cell>
          <cell r="CH36">
            <v>15.908274423294849</v>
          </cell>
          <cell r="CI36">
            <v>10.575391987354514</v>
          </cell>
          <cell r="CJ36">
            <v>15.268328530982011</v>
          </cell>
          <cell r="CK36">
            <v>15.619814200341585</v>
          </cell>
          <cell r="CL36">
            <v>15.619814200341585</v>
          </cell>
          <cell r="CM36">
            <v>17.90403977862384</v>
          </cell>
          <cell r="CN36">
            <v>17.901846680145397</v>
          </cell>
          <cell r="CO36">
            <v>51.269564645281847</v>
          </cell>
          <cell r="CP36">
            <v>87.075451104051083</v>
          </cell>
        </row>
        <row r="37">
          <cell r="B37">
            <v>2018</v>
          </cell>
          <cell r="D37">
            <v>21.953709491321501</v>
          </cell>
          <cell r="E37">
            <v>12.372033183196733</v>
          </cell>
          <cell r="F37">
            <v>8.5357443964649757</v>
          </cell>
          <cell r="G37">
            <v>12.434689104171504</v>
          </cell>
          <cell r="H37">
            <v>16.043970352571428</v>
          </cell>
          <cell r="I37">
            <v>9.7935688775616718</v>
          </cell>
          <cell r="J37">
            <v>15.293922175570257</v>
          </cell>
          <cell r="K37">
            <v>15.753049593863533</v>
          </cell>
          <cell r="L37">
            <v>15.753049593863533</v>
          </cell>
          <cell r="M37">
            <v>17.950742437520553</v>
          </cell>
          <cell r="N37">
            <v>24.573223645292703</v>
          </cell>
          <cell r="O37">
            <v>48.779616179696745</v>
          </cell>
          <cell r="P37">
            <v>91.303582262510005</v>
          </cell>
          <cell r="Q37">
            <v>22.496462494363062</v>
          </cell>
          <cell r="R37">
            <v>12.573203596451494</v>
          </cell>
          <cell r="S37">
            <v>9.0925840966644724</v>
          </cell>
          <cell r="T37">
            <v>11.711109986162292</v>
          </cell>
          <cell r="U37">
            <v>16.043970352571428</v>
          </cell>
          <cell r="V37">
            <v>9.7935688775616718</v>
          </cell>
          <cell r="W37">
            <v>15.293922175570257</v>
          </cell>
          <cell r="X37">
            <v>15.753049593863533</v>
          </cell>
          <cell r="Y37">
            <v>15.753049593863533</v>
          </cell>
          <cell r="Z37">
            <v>18.317133053832698</v>
          </cell>
          <cell r="AA37">
            <v>8.6121329305782179</v>
          </cell>
          <cell r="AB37">
            <v>55.898688824941175</v>
          </cell>
          <cell r="AC37">
            <v>82.827954809352093</v>
          </cell>
          <cell r="AD37">
            <v>22.270535012485475</v>
          </cell>
          <cell r="AE37">
            <v>12.414708742552754</v>
          </cell>
          <cell r="AF37">
            <v>8.9386970688064675</v>
          </cell>
          <cell r="AG37">
            <v>11.947183518839038</v>
          </cell>
          <cell r="AH37">
            <v>16.043970352571428</v>
          </cell>
          <cell r="AI37">
            <v>9.7935688775616718</v>
          </cell>
          <cell r="AJ37">
            <v>15.293922175570257</v>
          </cell>
          <cell r="AK37">
            <v>15.753049593863533</v>
          </cell>
          <cell r="AL37">
            <v>15.753049593863533</v>
          </cell>
          <cell r="AM37">
            <v>19.164979618248008</v>
          </cell>
          <cell r="AN37">
            <v>34.559229601481555</v>
          </cell>
          <cell r="AO37">
            <v>43.671411341903443</v>
          </cell>
          <cell r="AP37">
            <v>97.395620561632995</v>
          </cell>
          <cell r="AQ37">
            <v>22.691907390755759</v>
          </cell>
          <cell r="AR37">
            <v>12.596409828631941</v>
          </cell>
          <cell r="AS37">
            <v>8.9067839601903955</v>
          </cell>
          <cell r="AT37">
            <v>12.104226855051392</v>
          </cell>
          <cell r="AU37">
            <v>16.043970352571428</v>
          </cell>
          <cell r="AV37">
            <v>9.7935688775616718</v>
          </cell>
          <cell r="AW37">
            <v>15.293922175570257</v>
          </cell>
          <cell r="AX37">
            <v>15.753049593863533</v>
          </cell>
          <cell r="AY37">
            <v>15.753049593863533</v>
          </cell>
          <cell r="AZ37">
            <v>19.149481413758767</v>
          </cell>
          <cell r="BA37">
            <v>47.241608429996035</v>
          </cell>
          <cell r="BB37">
            <v>37.889816827896524</v>
          </cell>
          <cell r="BC37">
            <v>104.28090667165132</v>
          </cell>
          <cell r="BD37">
            <v>22.310160748472448</v>
          </cell>
          <cell r="BE37">
            <v>12.456918855675788</v>
          </cell>
          <cell r="BF37">
            <v>8.9289141987028895</v>
          </cell>
          <cell r="BG37">
            <v>12.01705673428885</v>
          </cell>
          <cell r="BH37">
            <v>16.043970352571428</v>
          </cell>
          <cell r="BI37">
            <v>9.7935688775616718</v>
          </cell>
          <cell r="BJ37">
            <v>15.293922175570257</v>
          </cell>
          <cell r="BK37">
            <v>15.753049593863533</v>
          </cell>
          <cell r="BL37">
            <v>15.753049593863533</v>
          </cell>
          <cell r="BM37">
            <v>18.463762633313557</v>
          </cell>
          <cell r="BN37">
            <v>21.326444715152746</v>
          </cell>
          <cell r="BO37">
            <v>50.029042873451431</v>
          </cell>
          <cell r="BP37">
            <v>89.819250221917741</v>
          </cell>
          <cell r="BQ37">
            <v>25.497720860536532</v>
          </cell>
          <cell r="BR37">
            <v>13.188786907230368</v>
          </cell>
          <cell r="BS37">
            <v>10.57204965384993</v>
          </cell>
          <cell r="BT37">
            <v>11.296901775611952</v>
          </cell>
          <cell r="BU37">
            <v>16.8461688702</v>
          </cell>
          <cell r="BV37">
            <v>13.617085494143968</v>
          </cell>
          <cell r="BW37">
            <v>16.458678865073274</v>
          </cell>
          <cell r="BX37">
            <v>15.753049593863533</v>
          </cell>
          <cell r="BY37">
            <v>15.753049593863533</v>
          </cell>
          <cell r="BZ37">
            <v>16.815581818819052</v>
          </cell>
          <cell r="CA37">
            <v>8.0792801920656494</v>
          </cell>
          <cell r="CB37">
            <v>56.822401513645069</v>
          </cell>
          <cell r="CC37">
            <v>81.71726352452977</v>
          </cell>
          <cell r="CD37">
            <v>22.536422682145869</v>
          </cell>
          <cell r="CE37">
            <v>12.516127463473008</v>
          </cell>
          <cell r="CF37">
            <v>9.5087248169498579</v>
          </cell>
          <cell r="CG37">
            <v>11.846311413653304</v>
          </cell>
          <cell r="CH37">
            <v>16.043970352571428</v>
          </cell>
          <cell r="CI37">
            <v>10.665598983097986</v>
          </cell>
          <cell r="CJ37">
            <v>15.398565788234617</v>
          </cell>
          <cell r="CK37">
            <v>15.753049593863533</v>
          </cell>
          <cell r="CL37">
            <v>15.753049593863533</v>
          </cell>
          <cell r="CM37">
            <v>18.056759379186403</v>
          </cell>
          <cell r="CN37">
            <v>18.054547573805614</v>
          </cell>
          <cell r="CO37">
            <v>51.706888709038239</v>
          </cell>
          <cell r="CP37">
            <v>87.818195662030263</v>
          </cell>
        </row>
        <row r="38">
          <cell r="B38">
            <v>2019</v>
          </cell>
          <cell r="D38">
            <v>22.18902009820275</v>
          </cell>
          <cell r="E38">
            <v>12.504642692211322</v>
          </cell>
          <cell r="F38">
            <v>8.6272346840133931</v>
          </cell>
          <cell r="G38">
            <v>12.567970190023489</v>
          </cell>
          <cell r="H38">
            <v>16.215937481950672</v>
          </cell>
          <cell r="I38">
            <v>9.8985411437303288</v>
          </cell>
          <cell r="J38">
            <v>15.457849921364232</v>
          </cell>
          <cell r="K38">
            <v>15.921898492115918</v>
          </cell>
          <cell r="L38">
            <v>15.921898492115918</v>
          </cell>
          <cell r="M38">
            <v>18.143147283663378</v>
          </cell>
          <cell r="N38">
            <v>24.836611487392396</v>
          </cell>
          <cell r="O38">
            <v>49.302459988448824</v>
          </cell>
          <cell r="P38">
            <v>92.282218759504588</v>
          </cell>
          <cell r="Q38">
            <v>22.737590593663207</v>
          </cell>
          <cell r="R38">
            <v>12.707969348448538</v>
          </cell>
          <cell r="S38">
            <v>9.1900428647487793</v>
          </cell>
          <cell r="T38">
            <v>11.836635396762549</v>
          </cell>
          <cell r="U38">
            <v>16.215937481950672</v>
          </cell>
          <cell r="V38">
            <v>9.8985411437303288</v>
          </cell>
          <cell r="W38">
            <v>15.457849921364232</v>
          </cell>
          <cell r="X38">
            <v>15.921898492115918</v>
          </cell>
          <cell r="Y38">
            <v>15.921898492115918</v>
          </cell>
          <cell r="Z38">
            <v>18.513465053986288</v>
          </cell>
          <cell r="AA38">
            <v>8.7044419878351498</v>
          </cell>
          <cell r="AB38">
            <v>56.497838339808496</v>
          </cell>
          <cell r="AC38">
            <v>83.71574538162993</v>
          </cell>
          <cell r="AD38">
            <v>22.509241510420583</v>
          </cell>
          <cell r="AE38">
            <v>12.547775669106509</v>
          </cell>
          <cell r="AF38">
            <v>9.034506400382984</v>
          </cell>
          <cell r="AG38">
            <v>12.075239281144313</v>
          </cell>
          <cell r="AH38">
            <v>16.215937481950672</v>
          </cell>
          <cell r="AI38">
            <v>9.8985411437303288</v>
          </cell>
          <cell r="AJ38">
            <v>15.457849921364232</v>
          </cell>
          <cell r="AK38">
            <v>15.921898492115918</v>
          </cell>
          <cell r="AL38">
            <v>15.921898492115918</v>
          </cell>
          <cell r="AM38">
            <v>19.37039925298534</v>
          </cell>
          <cell r="AN38">
            <v>34.929652344575977</v>
          </cell>
          <cell r="AO38">
            <v>44.13950291022298</v>
          </cell>
          <cell r="AP38">
            <v>98.439554507784294</v>
          </cell>
          <cell r="AQ38">
            <v>22.935130364145415</v>
          </cell>
          <cell r="AR38">
            <v>12.731424316387285</v>
          </cell>
          <cell r="AS38">
            <v>9.0022512314440828</v>
          </cell>
          <cell r="AT38">
            <v>12.233965884722734</v>
          </cell>
          <cell r="AU38">
            <v>16.215937481950672</v>
          </cell>
          <cell r="AV38">
            <v>9.8985411437303288</v>
          </cell>
          <cell r="AW38">
            <v>15.457849921364232</v>
          </cell>
          <cell r="AX38">
            <v>15.921898492115918</v>
          </cell>
          <cell r="AY38">
            <v>15.921898492115918</v>
          </cell>
          <cell r="AZ38">
            <v>19.35473493115245</v>
          </cell>
          <cell r="BA38">
            <v>47.747967118677032</v>
          </cell>
          <cell r="BB38">
            <v>38.295938435541757</v>
          </cell>
          <cell r="BC38">
            <v>105.39864048537123</v>
          </cell>
          <cell r="BD38">
            <v>22.549291974446657</v>
          </cell>
          <cell r="BE38">
            <v>12.590438210888101</v>
          </cell>
          <cell r="BF38">
            <v>9.0246186726879341</v>
          </cell>
          <cell r="BG38">
            <v>12.145861431927296</v>
          </cell>
          <cell r="BH38">
            <v>16.215937481950672</v>
          </cell>
          <cell r="BI38">
            <v>9.8985411437303288</v>
          </cell>
          <cell r="BJ38">
            <v>15.457849921364232</v>
          </cell>
          <cell r="BK38">
            <v>15.921898492115918</v>
          </cell>
          <cell r="BL38">
            <v>15.921898492115918</v>
          </cell>
          <cell r="BM38">
            <v>18.661666281089982</v>
          </cell>
          <cell r="BN38">
            <v>21.555031991053703</v>
          </cell>
          <cell r="BO38">
            <v>50.565278649227444</v>
          </cell>
          <cell r="BP38">
            <v>90.781976921371125</v>
          </cell>
          <cell r="BQ38">
            <v>25.771017916423759</v>
          </cell>
          <cell r="BR38">
            <v>13.330150782542409</v>
          </cell>
          <cell r="BS38">
            <v>10.685366058123641</v>
          </cell>
          <cell r="BT38">
            <v>11.417987499814872</v>
          </cell>
          <cell r="BU38">
            <v>17.026734356048205</v>
          </cell>
          <cell r="BV38">
            <v>13.763040083405869</v>
          </cell>
          <cell r="BW38">
            <v>16.635091043331123</v>
          </cell>
          <cell r="BX38">
            <v>15.921898492115918</v>
          </cell>
          <cell r="BY38">
            <v>15.921898492115918</v>
          </cell>
          <cell r="BZ38">
            <v>16.995819457675111</v>
          </cell>
          <cell r="CA38">
            <v>8.165877872786087</v>
          </cell>
          <cell r="CB38">
            <v>57.43145183336037</v>
          </cell>
          <cell r="CC38">
            <v>82.593149163821565</v>
          </cell>
          <cell r="CD38">
            <v>22.777979094303205</v>
          </cell>
          <cell r="CE38">
            <v>12.65028144553227</v>
          </cell>
          <cell r="CF38">
            <v>9.6106439850170045</v>
          </cell>
          <cell r="CG38">
            <v>11.973285979348139</v>
          </cell>
          <cell r="CH38">
            <v>16.215937481950672</v>
          </cell>
          <cell r="CI38">
            <v>10.779918094884401</v>
          </cell>
          <cell r="CJ38">
            <v>15.56361515550272</v>
          </cell>
          <cell r="CK38">
            <v>15.921898492115918</v>
          </cell>
          <cell r="CL38">
            <v>15.921898492115918</v>
          </cell>
          <cell r="CM38">
            <v>18.25030056681598</v>
          </cell>
          <cell r="CN38">
            <v>18.248065054222224</v>
          </cell>
          <cell r="CO38">
            <v>52.261108457954705</v>
          </cell>
          <cell r="CP38">
            <v>88.759474078992909</v>
          </cell>
        </row>
        <row r="39">
          <cell r="B39">
            <v>2020</v>
          </cell>
          <cell r="D39">
            <v>22.463943417196873</v>
          </cell>
          <cell r="E39">
            <v>12.659575981584329</v>
          </cell>
          <cell r="F39">
            <v>8.7341266505163322</v>
          </cell>
          <cell r="G39">
            <v>12.723688110975763</v>
          </cell>
          <cell r="H39">
            <v>16.416853941235871</v>
          </cell>
          <cell r="I39">
            <v>10.021184675188241</v>
          </cell>
          <cell r="J39">
            <v>15.649373629310155</v>
          </cell>
          <cell r="K39">
            <v>16.119171790295248</v>
          </cell>
          <cell r="L39">
            <v>16.119171790295248</v>
          </cell>
          <cell r="M39">
            <v>18.367941990511557</v>
          </cell>
          <cell r="N39">
            <v>25.144338625970924</v>
          </cell>
          <cell r="O39">
            <v>49.913320489480896</v>
          </cell>
          <cell r="P39">
            <v>93.425601105963381</v>
          </cell>
          <cell r="Q39">
            <v>23.019310734718275</v>
          </cell>
          <cell r="R39">
            <v>12.865421867554328</v>
          </cell>
          <cell r="S39">
            <v>9.3039080591058561</v>
          </cell>
          <cell r="T39">
            <v>11.983292034802407</v>
          </cell>
          <cell r="U39">
            <v>16.416853941235871</v>
          </cell>
          <cell r="V39">
            <v>10.021184675188241</v>
          </cell>
          <cell r="W39">
            <v>15.649373629310155</v>
          </cell>
          <cell r="X39">
            <v>16.119171790295248</v>
          </cell>
          <cell r="Y39">
            <v>16.119171790295248</v>
          </cell>
          <cell r="Z39">
            <v>18.742848020705754</v>
          </cell>
          <cell r="AA39">
            <v>8.8122905575645198</v>
          </cell>
          <cell r="AB39">
            <v>57.197850019622656</v>
          </cell>
          <cell r="AC39">
            <v>84.752988597892937</v>
          </cell>
          <cell r="AD39">
            <v>22.788132392338632</v>
          </cell>
          <cell r="AE39">
            <v>12.70324337870689</v>
          </cell>
          <cell r="AF39">
            <v>9.1464444884136515</v>
          </cell>
          <cell r="AG39">
            <v>12.224852235935826</v>
          </cell>
          <cell r="AH39">
            <v>16.416853941235871</v>
          </cell>
          <cell r="AI39">
            <v>10.021184675188241</v>
          </cell>
          <cell r="AJ39">
            <v>15.649373629310155</v>
          </cell>
          <cell r="AK39">
            <v>16.119171790295248</v>
          </cell>
          <cell r="AL39">
            <v>16.119171790295248</v>
          </cell>
          <cell r="AM39">
            <v>19.610399686952377</v>
          </cell>
          <cell r="AN39">
            <v>35.362432877983096</v>
          </cell>
          <cell r="AO39">
            <v>44.686394056615327</v>
          </cell>
          <cell r="AP39">
            <v>99.6592266215508</v>
          </cell>
          <cell r="AQ39">
            <v>23.219298035064078</v>
          </cell>
          <cell r="AR39">
            <v>12.889167443983403</v>
          </cell>
          <cell r="AS39">
            <v>9.1137896759546599</v>
          </cell>
          <cell r="AT39">
            <v>12.385545471861024</v>
          </cell>
          <cell r="AU39">
            <v>16.416853941235871</v>
          </cell>
          <cell r="AV39">
            <v>10.021184675188241</v>
          </cell>
          <cell r="AW39">
            <v>15.649373629310155</v>
          </cell>
          <cell r="AX39">
            <v>16.119171790295248</v>
          </cell>
          <cell r="AY39">
            <v>16.119171790295248</v>
          </cell>
          <cell r="AZ39">
            <v>19.5945412832119</v>
          </cell>
          <cell r="BA39">
            <v>48.339567357776914</v>
          </cell>
          <cell r="BB39">
            <v>38.770427459937487</v>
          </cell>
          <cell r="BC39">
            <v>106.7045361009263</v>
          </cell>
          <cell r="BD39">
            <v>22.828679084068707</v>
          </cell>
          <cell r="BE39">
            <v>12.746434511995966</v>
          </cell>
          <cell r="BF39">
            <v>9.1364342511664365</v>
          </cell>
          <cell r="BG39">
            <v>12.296349399495481</v>
          </cell>
          <cell r="BH39">
            <v>16.416853941235871</v>
          </cell>
          <cell r="BI39">
            <v>10.021184675188241</v>
          </cell>
          <cell r="BJ39">
            <v>15.649373629310155</v>
          </cell>
          <cell r="BK39">
            <v>16.119171790295248</v>
          </cell>
          <cell r="BL39">
            <v>16.119171790295248</v>
          </cell>
          <cell r="BM39">
            <v>18.892885470096594</v>
          </cell>
          <cell r="BN39">
            <v>21.82210015854276</v>
          </cell>
          <cell r="BO39">
            <v>51.191785550865433</v>
          </cell>
          <cell r="BP39">
            <v>91.906771179504787</v>
          </cell>
          <cell r="BQ39">
            <v>26.090322407928277</v>
          </cell>
          <cell r="BR39">
            <v>13.495312167750468</v>
          </cell>
          <cell r="BS39">
            <v>10.817758398495823</v>
          </cell>
          <cell r="BT39">
            <v>11.559457064752385</v>
          </cell>
          <cell r="BU39">
            <v>17.237696638297663</v>
          </cell>
          <cell r="BV39">
            <v>13.933564993583651</v>
          </cell>
          <cell r="BW39">
            <v>16.841200840931982</v>
          </cell>
          <cell r="BX39">
            <v>16.119171790295248</v>
          </cell>
          <cell r="BY39">
            <v>16.119171790295248</v>
          </cell>
          <cell r="BZ39">
            <v>17.206398702438936</v>
          </cell>
          <cell r="CA39">
            <v>8.2670536001211037</v>
          </cell>
          <cell r="CB39">
            <v>58.143031041581331</v>
          </cell>
          <cell r="CC39">
            <v>83.616483344141372</v>
          </cell>
          <cell r="CD39">
            <v>23.060199651356637</v>
          </cell>
          <cell r="CE39">
            <v>12.807019207985205</v>
          </cell>
          <cell r="CF39">
            <v>9.7297204530330799</v>
          </cell>
          <cell r="CG39">
            <v>12.121635726481617</v>
          </cell>
          <cell r="CH39">
            <v>16.416853941235871</v>
          </cell>
          <cell r="CI39">
            <v>10.913481940787197</v>
          </cell>
          <cell r="CJ39">
            <v>15.75644930118203</v>
          </cell>
          <cell r="CK39">
            <v>16.119171790295248</v>
          </cell>
          <cell r="CL39">
            <v>16.119171790295248</v>
          </cell>
          <cell r="CM39">
            <v>18.476422909409905</v>
          </cell>
          <cell r="CN39">
            <v>18.474159698678097</v>
          </cell>
          <cell r="CO39">
            <v>52.908626794861171</v>
          </cell>
          <cell r="CP39">
            <v>89.859209402949176</v>
          </cell>
        </row>
        <row r="40">
          <cell r="B40">
            <v>2021</v>
          </cell>
          <cell r="D40">
            <v>22.77100073141386</v>
          </cell>
          <cell r="E40">
            <v>12.832618413531309</v>
          </cell>
          <cell r="F40">
            <v>8.8535125224236442</v>
          </cell>
          <cell r="G40">
            <v>12.897606884974275</v>
          </cell>
          <cell r="H40">
            <v>16.641254216177337</v>
          </cell>
          <cell r="I40">
            <v>10.158163209833239</v>
          </cell>
          <cell r="J40">
            <v>15.863283295416045</v>
          </cell>
          <cell r="K40">
            <v>16.339503078769798</v>
          </cell>
          <cell r="L40">
            <v>16.339503078769798</v>
          </cell>
          <cell r="M40">
            <v>18.619011485771338</v>
          </cell>
          <cell r="N40">
            <v>25.488033984477859</v>
          </cell>
          <cell r="O40">
            <v>50.595580493813848</v>
          </cell>
          <cell r="P40">
            <v>94.702625964063046</v>
          </cell>
          <cell r="Q40">
            <v>23.333959307235503</v>
          </cell>
          <cell r="R40">
            <v>13.041277985581027</v>
          </cell>
          <cell r="S40">
            <v>9.4310822140302246</v>
          </cell>
          <cell r="T40">
            <v>12.147090411576603</v>
          </cell>
          <cell r="U40">
            <v>16.641254216177337</v>
          </cell>
          <cell r="V40">
            <v>10.158163209833239</v>
          </cell>
          <cell r="W40">
            <v>15.863283295416045</v>
          </cell>
          <cell r="X40">
            <v>16.339503078769798</v>
          </cell>
          <cell r="Y40">
            <v>16.339503078769798</v>
          </cell>
          <cell r="Z40">
            <v>18.99904206763383</v>
          </cell>
          <cell r="AA40">
            <v>8.9327448438157031</v>
          </cell>
          <cell r="AB40">
            <v>57.979681503073003</v>
          </cell>
          <cell r="AC40">
            <v>85.911468414522545</v>
          </cell>
          <cell r="AD40">
            <v>23.099621012055149</v>
          </cell>
          <cell r="AE40">
            <v>12.876882695779083</v>
          </cell>
          <cell r="AF40">
            <v>9.271466290111082</v>
          </cell>
          <cell r="AG40">
            <v>12.391952474061977</v>
          </cell>
          <cell r="AH40">
            <v>16.641254216177337</v>
          </cell>
          <cell r="AI40">
            <v>10.158163209833239</v>
          </cell>
          <cell r="AJ40">
            <v>15.863283295416045</v>
          </cell>
          <cell r="AK40">
            <v>16.339503078769798</v>
          </cell>
          <cell r="AL40">
            <v>16.339503078769798</v>
          </cell>
          <cell r="AM40">
            <v>19.878452207686003</v>
          </cell>
          <cell r="AN40">
            <v>35.845798307731265</v>
          </cell>
          <cell r="AO40">
            <v>45.297207745300206</v>
          </cell>
          <cell r="AP40">
            <v>101.02145826071748</v>
          </cell>
          <cell r="AQ40">
            <v>23.536680213261366</v>
          </cell>
          <cell r="AR40">
            <v>13.065348137833121</v>
          </cell>
          <cell r="AS40">
            <v>9.2383651224052095</v>
          </cell>
          <cell r="AT40">
            <v>12.554842209173433</v>
          </cell>
          <cell r="AU40">
            <v>16.641254216177337</v>
          </cell>
          <cell r="AV40">
            <v>10.158163209833239</v>
          </cell>
          <cell r="AW40">
            <v>15.863283295416045</v>
          </cell>
          <cell r="AX40">
            <v>16.339503078769798</v>
          </cell>
          <cell r="AY40">
            <v>16.339503078769798</v>
          </cell>
          <cell r="AZ40">
            <v>19.862377037068498</v>
          </cell>
          <cell r="BA40">
            <v>49.000315893669644</v>
          </cell>
          <cell r="BB40">
            <v>39.300376414393078</v>
          </cell>
          <cell r="BC40">
            <v>108.16306934513122</v>
          </cell>
          <cell r="BD40">
            <v>23.14072193231188</v>
          </cell>
          <cell r="BE40">
            <v>12.920664204192393</v>
          </cell>
          <cell r="BF40">
            <v>9.2613192239684796</v>
          </cell>
          <cell r="BG40">
            <v>12.46442692493976</v>
          </cell>
          <cell r="BH40">
            <v>16.641254216177337</v>
          </cell>
          <cell r="BI40">
            <v>10.158163209833239</v>
          </cell>
          <cell r="BJ40">
            <v>15.863283295416045</v>
          </cell>
          <cell r="BK40">
            <v>16.339503078769798</v>
          </cell>
          <cell r="BL40">
            <v>16.339503078769798</v>
          </cell>
          <cell r="BM40">
            <v>19.151130363369248</v>
          </cell>
          <cell r="BN40">
            <v>22.120384183783255</v>
          </cell>
          <cell r="BO40">
            <v>51.891520761611538</v>
          </cell>
          <cell r="BP40">
            <v>93.163035308764051</v>
          </cell>
          <cell r="BQ40">
            <v>26.446948320701051</v>
          </cell>
          <cell r="BR40">
            <v>13.679778191003402</v>
          </cell>
          <cell r="BS40">
            <v>10.965625216801088</v>
          </cell>
          <cell r="BT40">
            <v>11.7174620852508</v>
          </cell>
          <cell r="BU40">
            <v>17.473316926986204</v>
          </cell>
          <cell r="BV40">
            <v>14.12402144928868</v>
          </cell>
          <cell r="BW40">
            <v>17.071401469662501</v>
          </cell>
          <cell r="BX40">
            <v>16.339503078769798</v>
          </cell>
          <cell r="BY40">
            <v>16.339503078769798</v>
          </cell>
          <cell r="BZ40">
            <v>17.441591182886199</v>
          </cell>
          <cell r="CA40">
            <v>8.3800550989139548</v>
          </cell>
          <cell r="CB40">
            <v>58.937782106454286</v>
          </cell>
          <cell r="CC40">
            <v>84.759428388254435</v>
          </cell>
          <cell r="CD40">
            <v>23.375407130237328</v>
          </cell>
          <cell r="CE40">
            <v>12.982077026111599</v>
          </cell>
          <cell r="CF40">
            <v>9.8627149934352509</v>
          </cell>
          <cell r="CG40">
            <v>12.287325108838273</v>
          </cell>
          <cell r="CH40">
            <v>16.641254216177337</v>
          </cell>
          <cell r="CI40">
            <v>11.062657194270445</v>
          </cell>
          <cell r="CJ40">
            <v>15.97182257354851</v>
          </cell>
          <cell r="CK40">
            <v>16.339503078769798</v>
          </cell>
          <cell r="CL40">
            <v>16.339503078769798</v>
          </cell>
          <cell r="CM40">
            <v>18.728975219106228</v>
          </cell>
          <cell r="CN40">
            <v>18.726681072781503</v>
          </cell>
          <cell r="CO40">
            <v>53.631829330623546</v>
          </cell>
          <cell r="CP40">
            <v>91.087485622511281</v>
          </cell>
        </row>
        <row r="41">
          <cell r="B41">
            <v>2022</v>
          </cell>
          <cell r="D41">
            <v>23.124146381092718</v>
          </cell>
          <cell r="E41">
            <v>13.031633969333193</v>
          </cell>
          <cell r="F41">
            <v>8.9908178375720436</v>
          </cell>
          <cell r="G41">
            <v>13.097630319008656</v>
          </cell>
          <cell r="H41">
            <v>16.899336265401267</v>
          </cell>
          <cell r="I41">
            <v>10.315701790969534</v>
          </cell>
          <cell r="J41">
            <v>16.109300128469457</v>
          </cell>
          <cell r="K41">
            <v>16.592905399477708</v>
          </cell>
          <cell r="L41">
            <v>16.592905399477708</v>
          </cell>
          <cell r="M41">
            <v>18.907765721260425</v>
          </cell>
          <cell r="N41">
            <v>25.883316933464286</v>
          </cell>
          <cell r="O41">
            <v>51.380245575296961</v>
          </cell>
          <cell r="P41">
            <v>96.171328230021672</v>
          </cell>
          <cell r="Q41">
            <v>23.69583563916877</v>
          </cell>
          <cell r="R41">
            <v>13.243529552878513</v>
          </cell>
          <cell r="S41">
            <v>9.5773448089390989</v>
          </cell>
          <cell r="T41">
            <v>12.335474408648203</v>
          </cell>
          <cell r="U41">
            <v>16.899336265401267</v>
          </cell>
          <cell r="V41">
            <v>10.315701790969534</v>
          </cell>
          <cell r="W41">
            <v>16.109300128469457</v>
          </cell>
          <cell r="X41">
            <v>16.592905399477708</v>
          </cell>
          <cell r="Y41">
            <v>16.592905399477708</v>
          </cell>
          <cell r="Z41">
            <v>19.29369003385143</v>
          </cell>
          <cell r="AA41">
            <v>9.071278938934892</v>
          </cell>
          <cell r="AB41">
            <v>58.87886342898323</v>
          </cell>
          <cell r="AC41">
            <v>87.243832401769552</v>
          </cell>
          <cell r="AD41">
            <v>23.457863092227932</v>
          </cell>
          <cell r="AE41">
            <v>13.076584727282949</v>
          </cell>
          <cell r="AF41">
            <v>9.4152534703547683</v>
          </cell>
          <cell r="AG41">
            <v>12.584133931471751</v>
          </cell>
          <cell r="AH41">
            <v>16.899336265401267</v>
          </cell>
          <cell r="AI41">
            <v>10.315701790969534</v>
          </cell>
          <cell r="AJ41">
            <v>16.109300128469457</v>
          </cell>
          <cell r="AK41">
            <v>16.592905399477708</v>
          </cell>
          <cell r="AL41">
            <v>16.592905399477708</v>
          </cell>
          <cell r="AM41">
            <v>20.186738567266548</v>
          </cell>
          <cell r="AN41">
            <v>36.401715365613477</v>
          </cell>
          <cell r="AO41">
            <v>45.999702644252281</v>
          </cell>
          <cell r="AP41">
            <v>102.58815657713231</v>
          </cell>
          <cell r="AQ41">
            <v>23.901700456474877</v>
          </cell>
          <cell r="AR41">
            <v>13.267972998762064</v>
          </cell>
          <cell r="AS41">
            <v>9.3816389508857245</v>
          </cell>
          <cell r="AT41">
            <v>12.749549853377125</v>
          </cell>
          <cell r="AU41">
            <v>16.899336265401267</v>
          </cell>
          <cell r="AV41">
            <v>10.315701790969534</v>
          </cell>
          <cell r="AW41">
            <v>16.109300128469457</v>
          </cell>
          <cell r="AX41">
            <v>16.592905399477708</v>
          </cell>
          <cell r="AY41">
            <v>16.592905399477708</v>
          </cell>
          <cell r="AZ41">
            <v>20.170414093746707</v>
          </cell>
          <cell r="BA41">
            <v>49.760240703072824</v>
          </cell>
          <cell r="BB41">
            <v>39.909869037277154</v>
          </cell>
          <cell r="BC41">
            <v>109.8405238340967</v>
          </cell>
          <cell r="BD41">
            <v>23.49960142896704</v>
          </cell>
          <cell r="BE41">
            <v>13.121045224266631</v>
          </cell>
          <cell r="BF41">
            <v>9.4049490377306686</v>
          </cell>
          <cell r="BG41">
            <v>12.657732357415112</v>
          </cell>
          <cell r="BH41">
            <v>16.899336265401267</v>
          </cell>
          <cell r="BI41">
            <v>10.315701790969534</v>
          </cell>
          <cell r="BJ41">
            <v>16.109300128469457</v>
          </cell>
          <cell r="BK41">
            <v>16.592905399477708</v>
          </cell>
          <cell r="BL41">
            <v>16.592905399477708</v>
          </cell>
          <cell r="BM41">
            <v>19.448137001506435</v>
          </cell>
          <cell r="BN41">
            <v>22.463439701451016</v>
          </cell>
          <cell r="BO41">
            <v>52.69628402293376</v>
          </cell>
          <cell r="BP41">
            <v>94.607860725891214</v>
          </cell>
          <cell r="BQ41">
            <v>26.857102659410138</v>
          </cell>
          <cell r="BR41">
            <v>13.891931983175569</v>
          </cell>
          <cell r="BS41">
            <v>11.135686378670879</v>
          </cell>
          <cell r="BT41">
            <v>11.899183161521934</v>
          </cell>
          <cell r="BU41">
            <v>17.744303078671329</v>
          </cell>
          <cell r="BV41">
            <v>14.34306481895079</v>
          </cell>
          <cell r="BW41">
            <v>17.336154487504864</v>
          </cell>
          <cell r="BX41">
            <v>16.592905399477708</v>
          </cell>
          <cell r="BY41">
            <v>16.592905399477708</v>
          </cell>
          <cell r="BZ41">
            <v>17.712085313660882</v>
          </cell>
          <cell r="CA41">
            <v>8.5100177666577572</v>
          </cell>
          <cell r="CB41">
            <v>59.851822802254773</v>
          </cell>
          <cell r="CC41">
            <v>86.073925882573405</v>
          </cell>
          <cell r="CD41">
            <v>23.737926258618337</v>
          </cell>
          <cell r="CE41">
            <v>13.183410471208832</v>
          </cell>
          <cell r="CF41">
            <v>10.015671595344676</v>
          </cell>
          <cell r="CG41">
            <v>12.477883945472529</v>
          </cell>
          <cell r="CH41">
            <v>16.899336265401267</v>
          </cell>
          <cell r="CI41">
            <v>11.234223183316137</v>
          </cell>
          <cell r="CJ41">
            <v>16.219522695551049</v>
          </cell>
          <cell r="CK41">
            <v>16.592905399477708</v>
          </cell>
          <cell r="CL41">
            <v>16.592905399477708</v>
          </cell>
          <cell r="CM41">
            <v>19.019434834807093</v>
          </cell>
          <cell r="CN41">
            <v>19.017105109554421</v>
          </cell>
          <cell r="CO41">
            <v>54.46358228851178</v>
          </cell>
          <cell r="CP41">
            <v>92.500122232873295</v>
          </cell>
        </row>
        <row r="42">
          <cell r="B42">
            <v>2023</v>
          </cell>
          <cell r="D42">
            <v>23.495080471036438</v>
          </cell>
          <cell r="E42">
            <v>13.240674217013282</v>
          </cell>
          <cell r="F42">
            <v>9.1350394134723043</v>
          </cell>
          <cell r="G42">
            <v>13.307729213157376</v>
          </cell>
          <cell r="H42">
            <v>17.170418268384299</v>
          </cell>
          <cell r="I42">
            <v>10.481175810762657</v>
          </cell>
          <cell r="J42">
            <v>16.367709173469702</v>
          </cell>
          <cell r="K42">
            <v>16.859071949474554</v>
          </cell>
          <cell r="L42">
            <v>16.859071949474554</v>
          </cell>
          <cell r="M42">
            <v>19.211064911427261</v>
          </cell>
          <cell r="N42">
            <v>26.298510837412653</v>
          </cell>
          <cell r="O42">
            <v>52.204435334324799</v>
          </cell>
          <cell r="P42">
            <v>97.714011083164706</v>
          </cell>
          <cell r="Q42">
            <v>24.075940188042313</v>
          </cell>
          <cell r="R42">
            <v>13.455968814478949</v>
          </cell>
          <cell r="S42">
            <v>9.7309748553085367</v>
          </cell>
          <cell r="T42">
            <v>12.533347571116037</v>
          </cell>
          <cell r="U42">
            <v>17.170418268384299</v>
          </cell>
          <cell r="V42">
            <v>10.481175810762657</v>
          </cell>
          <cell r="W42">
            <v>16.367709173469702</v>
          </cell>
          <cell r="X42">
            <v>16.859071949474554</v>
          </cell>
          <cell r="Y42">
            <v>16.859071949474554</v>
          </cell>
          <cell r="Z42">
            <v>19.603179830206223</v>
          </cell>
          <cell r="AA42">
            <v>9.2167911901715769</v>
          </cell>
          <cell r="AB42">
            <v>59.823338406049089</v>
          </cell>
          <cell r="AC42">
            <v>88.643309426426896</v>
          </cell>
          <cell r="AD42">
            <v>23.834150326997147</v>
          </cell>
          <cell r="AE42">
            <v>13.286346029406198</v>
          </cell>
          <cell r="AF42">
            <v>9.5662834119603524</v>
          </cell>
          <cell r="AG42">
            <v>12.785995837665919</v>
          </cell>
          <cell r="AH42">
            <v>17.170418268384299</v>
          </cell>
          <cell r="AI42">
            <v>10.481175810762657</v>
          </cell>
          <cell r="AJ42">
            <v>16.367709173469702</v>
          </cell>
          <cell r="AK42">
            <v>16.859071949474554</v>
          </cell>
          <cell r="AL42">
            <v>16.859071949474554</v>
          </cell>
          <cell r="AM42">
            <v>20.510553741931901</v>
          </cell>
          <cell r="AN42">
            <v>36.985634743176938</v>
          </cell>
          <cell r="AO42">
            <v>46.737583193736199</v>
          </cell>
          <cell r="AP42">
            <v>104.23377167884505</v>
          </cell>
          <cell r="AQ42">
            <v>24.285107279836758</v>
          </cell>
          <cell r="AR42">
            <v>13.480804357316241</v>
          </cell>
          <cell r="AS42">
            <v>9.5321296824818837</v>
          </cell>
          <cell r="AT42">
            <v>12.954065193927006</v>
          </cell>
          <cell r="AU42">
            <v>17.170418268384299</v>
          </cell>
          <cell r="AV42">
            <v>10.481175810762657</v>
          </cell>
          <cell r="AW42">
            <v>16.367709173469702</v>
          </cell>
          <cell r="AX42">
            <v>16.859071949474554</v>
          </cell>
          <cell r="AY42">
            <v>16.859071949474554</v>
          </cell>
          <cell r="AZ42">
            <v>20.493967407773873</v>
          </cell>
          <cell r="BA42">
            <v>50.558443987915652</v>
          </cell>
          <cell r="BB42">
            <v>40.550062655979531</v>
          </cell>
          <cell r="BC42">
            <v>111.60247405166905</v>
          </cell>
          <cell r="BD42">
            <v>23.876558187778308</v>
          </cell>
          <cell r="BE42">
            <v>13.331519716564138</v>
          </cell>
          <cell r="BF42">
            <v>9.5558136860850009</v>
          </cell>
          <cell r="BG42">
            <v>12.860774854870842</v>
          </cell>
          <cell r="BH42">
            <v>17.170418268384299</v>
          </cell>
          <cell r="BI42">
            <v>10.481175810762657</v>
          </cell>
          <cell r="BJ42">
            <v>16.367709173469702</v>
          </cell>
          <cell r="BK42">
            <v>16.859071949474554</v>
          </cell>
          <cell r="BL42">
            <v>16.859071949474554</v>
          </cell>
          <cell r="BM42">
            <v>19.760104279384116</v>
          </cell>
          <cell r="BN42">
            <v>22.823775405322717</v>
          </cell>
          <cell r="BO42">
            <v>53.541584335227434</v>
          </cell>
          <cell r="BP42">
            <v>96.12546401993427</v>
          </cell>
          <cell r="BQ42">
            <v>27.287917045779828</v>
          </cell>
          <cell r="BR42">
            <v>14.114772258566342</v>
          </cell>
          <cell r="BS42">
            <v>11.314313759102454</v>
          </cell>
          <cell r="BT42">
            <v>12.090057782550177</v>
          </cell>
          <cell r="BU42">
            <v>18.028939181803516</v>
          </cell>
          <cell r="BV42">
            <v>14.573141709485064</v>
          </cell>
          <cell r="BW42">
            <v>17.614243485125304</v>
          </cell>
          <cell r="BX42">
            <v>16.859071949474554</v>
          </cell>
          <cell r="BY42">
            <v>16.859071949474554</v>
          </cell>
          <cell r="BZ42">
            <v>17.996204612101241</v>
          </cell>
          <cell r="CA42">
            <v>8.646526835734619</v>
          </cell>
          <cell r="CB42">
            <v>60.81190500623093</v>
          </cell>
          <cell r="CC42">
            <v>87.454636454066787</v>
          </cell>
          <cell r="CD42">
            <v>24.118705982495676</v>
          </cell>
          <cell r="CE42">
            <v>13.394885363509754</v>
          </cell>
          <cell r="CF42">
            <v>10.176332835209164</v>
          </cell>
          <cell r="CG42">
            <v>12.678041497213403</v>
          </cell>
          <cell r="CH42">
            <v>17.170418268384299</v>
          </cell>
          <cell r="CI42">
            <v>11.414431191173033</v>
          </cell>
          <cell r="CJ42">
            <v>16.479699819118949</v>
          </cell>
          <cell r="CK42">
            <v>16.859071949474554</v>
          </cell>
          <cell r="CL42">
            <v>16.859071949474554</v>
          </cell>
          <cell r="CM42">
            <v>19.324525307572021</v>
          </cell>
          <cell r="CN42">
            <v>19.322158211231045</v>
          </cell>
          <cell r="CO42">
            <v>55.337231806133843</v>
          </cell>
          <cell r="CP42">
            <v>93.983915324936902</v>
          </cell>
        </row>
        <row r="43">
          <cell r="B43">
            <v>2024</v>
          </cell>
          <cell r="D43">
            <v>23.886572011934426</v>
          </cell>
          <cell r="E43">
            <v>13.461299635093329</v>
          </cell>
          <cell r="F43">
            <v>9.2872538594093079</v>
          </cell>
          <cell r="G43">
            <v>13.529471948702998</v>
          </cell>
          <cell r="H43">
            <v>17.456523843295585</v>
          </cell>
          <cell r="I43">
            <v>10.65582052728689</v>
          </cell>
          <cell r="J43">
            <v>16.64043944537454</v>
          </cell>
          <cell r="K43">
            <v>17.139989653235823</v>
          </cell>
          <cell r="L43">
            <v>17.139989653235823</v>
          </cell>
          <cell r="M43">
            <v>19.531173174675704</v>
          </cell>
          <cell r="N43">
            <v>26.73671510505724</v>
          </cell>
          <cell r="O43">
            <v>53.074302320136518</v>
          </cell>
          <cell r="P43">
            <v>99.342190599869468</v>
          </cell>
          <cell r="Q43">
            <v>24.477110421717562</v>
          </cell>
          <cell r="R43">
            <v>13.680181622430368</v>
          </cell>
          <cell r="S43">
            <v>9.8931191963436991</v>
          </cell>
          <cell r="T43">
            <v>12.742187015580804</v>
          </cell>
          <cell r="U43">
            <v>17.456523843295585</v>
          </cell>
          <cell r="V43">
            <v>10.65582052728689</v>
          </cell>
          <cell r="W43">
            <v>16.64043944537454</v>
          </cell>
          <cell r="X43">
            <v>17.139989653235823</v>
          </cell>
          <cell r="Y43">
            <v>17.139989653235823</v>
          </cell>
          <cell r="Z43">
            <v>19.929821787772131</v>
          </cell>
          <cell r="AA43">
            <v>9.3703678416592524</v>
          </cell>
          <cell r="AB43">
            <v>60.820156908676367</v>
          </cell>
          <cell r="AC43">
            <v>90.120346538107754</v>
          </cell>
          <cell r="AD43">
            <v>24.231291688100935</v>
          </cell>
          <cell r="AE43">
            <v>13.507732463318106</v>
          </cell>
          <cell r="AF43">
            <v>9.7256835484370949</v>
          </cell>
          <cell r="AG43">
            <v>12.999045085084918</v>
          </cell>
          <cell r="AH43">
            <v>17.456523843295585</v>
          </cell>
          <cell r="AI43">
            <v>10.65582052728689</v>
          </cell>
          <cell r="AJ43">
            <v>16.64043944537454</v>
          </cell>
          <cell r="AK43">
            <v>17.139989653235823</v>
          </cell>
          <cell r="AL43">
            <v>17.139989653235823</v>
          </cell>
          <cell r="AM43">
            <v>20.852315001230355</v>
          </cell>
          <cell r="AN43">
            <v>37.60191537922524</v>
          </cell>
          <cell r="AO43">
            <v>47.516357647601964</v>
          </cell>
          <cell r="AP43">
            <v>105.97058802805756</v>
          </cell>
          <cell r="AQ43">
            <v>24.689762802578063</v>
          </cell>
          <cell r="AR43">
            <v>13.705430992534453</v>
          </cell>
          <cell r="AS43">
            <v>9.690960725518087</v>
          </cell>
          <cell r="AT43">
            <v>13.169914931063055</v>
          </cell>
          <cell r="AU43">
            <v>17.456523843295585</v>
          </cell>
          <cell r="AV43">
            <v>10.65582052728689</v>
          </cell>
          <cell r="AW43">
            <v>16.64043944537454</v>
          </cell>
          <cell r="AX43">
            <v>17.139989653235823</v>
          </cell>
          <cell r="AY43">
            <v>17.139989653235823</v>
          </cell>
          <cell r="AZ43">
            <v>20.835452293917299</v>
          </cell>
          <cell r="BA43">
            <v>51.400884309268619</v>
          </cell>
          <cell r="BB43">
            <v>41.225736294649089</v>
          </cell>
          <cell r="BC43">
            <v>113.46207289783501</v>
          </cell>
          <cell r="BD43">
            <v>24.274406178458612</v>
          </cell>
          <cell r="BE43">
            <v>13.553658866195207</v>
          </cell>
          <cell r="BF43">
            <v>9.7150393686320875</v>
          </cell>
          <cell r="BG43">
            <v>13.075070122822028</v>
          </cell>
          <cell r="BH43">
            <v>17.456523843295585</v>
          </cell>
          <cell r="BI43">
            <v>10.65582052728689</v>
          </cell>
          <cell r="BJ43">
            <v>16.64043944537454</v>
          </cell>
          <cell r="BK43">
            <v>17.139989653235823</v>
          </cell>
          <cell r="BL43">
            <v>17.139989653235823</v>
          </cell>
          <cell r="BM43">
            <v>20.089361022393675</v>
          </cell>
          <cell r="BN43">
            <v>23.204081189486956</v>
          </cell>
          <cell r="BO43">
            <v>54.433731837312287</v>
          </cell>
          <cell r="BP43">
            <v>97.727174049192911</v>
          </cell>
          <cell r="BQ43">
            <v>27.742607494928034</v>
          </cell>
          <cell r="BR43">
            <v>14.349962512447032</v>
          </cell>
          <cell r="BS43">
            <v>11.502840805571385</v>
          </cell>
          <cell r="BT43">
            <v>12.291510821056306</v>
          </cell>
          <cell r="BU43">
            <v>18.329350035460365</v>
          </cell>
          <cell r="BV43">
            <v>14.815969637255057</v>
          </cell>
          <cell r="BW43">
            <v>17.907744387675727</v>
          </cell>
          <cell r="BX43">
            <v>17.139989653235823</v>
          </cell>
          <cell r="BY43">
            <v>17.139989653235823</v>
          </cell>
          <cell r="BZ43">
            <v>18.296070019354993</v>
          </cell>
          <cell r="CA43">
            <v>8.7906013418215618</v>
          </cell>
          <cell r="CB43">
            <v>61.825195700220249</v>
          </cell>
          <cell r="CC43">
            <v>88.911867061396805</v>
          </cell>
          <cell r="CD43">
            <v>24.520588809889812</v>
          </cell>
          <cell r="CE43">
            <v>13.618080356077533</v>
          </cell>
          <cell r="CF43">
            <v>10.345898043860315</v>
          </cell>
          <cell r="CG43">
            <v>12.889291933551824</v>
          </cell>
          <cell r="CH43">
            <v>17.456523843295585</v>
          </cell>
          <cell r="CI43">
            <v>11.604626464648053</v>
          </cell>
          <cell r="CJ43">
            <v>16.75429615785788</v>
          </cell>
          <cell r="CK43">
            <v>17.139989653235823</v>
          </cell>
          <cell r="CL43">
            <v>17.139989653235823</v>
          </cell>
          <cell r="CM43">
            <v>19.646524127670116</v>
          </cell>
          <cell r="CN43">
            <v>19.644117589106536</v>
          </cell>
          <cell r="CO43">
            <v>56.259299648187799</v>
          </cell>
          <cell r="CP43">
            <v>95.54994136496444</v>
          </cell>
        </row>
        <row r="44">
          <cell r="B44">
            <v>2025</v>
          </cell>
          <cell r="D44">
            <v>24.308279324961436</v>
          </cell>
          <cell r="E44">
            <v>13.698953179357884</v>
          </cell>
          <cell r="F44">
            <v>9.4512163931916557</v>
          </cell>
          <cell r="G44">
            <v>13.768329046293697</v>
          </cell>
          <cell r="H44">
            <v>17.764711378998499</v>
          </cell>
          <cell r="I44">
            <v>10.843944526009484</v>
          </cell>
          <cell r="J44">
            <v>16.934219356639815</v>
          </cell>
          <cell r="K44">
            <v>17.442588911863876</v>
          </cell>
          <cell r="L44">
            <v>17.442588911863876</v>
          </cell>
          <cell r="M44">
            <v>19.875987765720527</v>
          </cell>
          <cell r="N44">
            <v>27.208740487372005</v>
          </cell>
          <cell r="O44">
            <v>54.011306650897154</v>
          </cell>
          <cell r="P44">
            <v>101.09603490398969</v>
          </cell>
          <cell r="Q44">
            <v>24.909243440279234</v>
          </cell>
          <cell r="R44">
            <v>13.921699435485934</v>
          </cell>
          <cell r="S44">
            <v>10.067778026068687</v>
          </cell>
          <cell r="T44">
            <v>12.967144931088463</v>
          </cell>
          <cell r="U44">
            <v>17.764711378998499</v>
          </cell>
          <cell r="V44">
            <v>10.843944526009484</v>
          </cell>
          <cell r="W44">
            <v>16.934219356639815</v>
          </cell>
          <cell r="X44">
            <v>17.442588911863876</v>
          </cell>
          <cell r="Y44">
            <v>17.442588911863876</v>
          </cell>
          <cell r="Z44">
            <v>20.281674351255475</v>
          </cell>
          <cell r="AA44">
            <v>9.5357977175998681</v>
          </cell>
          <cell r="AB44">
            <v>61.893911021867027</v>
          </cell>
          <cell r="AC44">
            <v>91.711383090722364</v>
          </cell>
          <cell r="AD44">
            <v>24.659084881023606</v>
          </cell>
          <cell r="AE44">
            <v>13.746205759500901</v>
          </cell>
          <cell r="AF44">
            <v>9.8973863727064497</v>
          </cell>
          <cell r="AG44">
            <v>13.228537721031563</v>
          </cell>
          <cell r="AH44">
            <v>17.764711378998499</v>
          </cell>
          <cell r="AI44">
            <v>10.843944526009484</v>
          </cell>
          <cell r="AJ44">
            <v>16.934219356639815</v>
          </cell>
          <cell r="AK44">
            <v>17.442588911863876</v>
          </cell>
          <cell r="AL44">
            <v>17.442588911863876</v>
          </cell>
          <cell r="AM44">
            <v>21.220453791726047</v>
          </cell>
          <cell r="AN44">
            <v>38.265761271022512</v>
          </cell>
          <cell r="AO44">
            <v>48.355238818930758</v>
          </cell>
          <cell r="AP44">
            <v>107.84145388167931</v>
          </cell>
          <cell r="AQ44">
            <v>25.125650108866605</v>
          </cell>
          <cell r="AR44">
            <v>13.947394572526223</v>
          </cell>
          <cell r="AS44">
            <v>9.8620505330537505</v>
          </cell>
          <cell r="AT44">
            <v>13.402424201777917</v>
          </cell>
          <cell r="AU44">
            <v>17.764711378998499</v>
          </cell>
          <cell r="AV44">
            <v>10.843944526009484</v>
          </cell>
          <cell r="AW44">
            <v>16.934219356639815</v>
          </cell>
          <cell r="AX44">
            <v>17.442588911863876</v>
          </cell>
          <cell r="AY44">
            <v>17.442588911863876</v>
          </cell>
          <cell r="AZ44">
            <v>21.203293380456653</v>
          </cell>
          <cell r="BA44">
            <v>52.30834515373153</v>
          </cell>
          <cell r="BB44">
            <v>41.953559210038151</v>
          </cell>
          <cell r="BC44">
            <v>115.46519774422633</v>
          </cell>
          <cell r="BD44">
            <v>24.702960539449776</v>
          </cell>
          <cell r="BE44">
            <v>13.792942973571195</v>
          </cell>
          <cell r="BF44">
            <v>9.8865542744147419</v>
          </cell>
          <cell r="BG44">
            <v>13.305904948613698</v>
          </cell>
          <cell r="BH44">
            <v>17.764711378998499</v>
          </cell>
          <cell r="BI44">
            <v>10.843944526009484</v>
          </cell>
          <cell r="BJ44">
            <v>16.934219356639815</v>
          </cell>
          <cell r="BK44">
            <v>17.442588911863876</v>
          </cell>
          <cell r="BL44">
            <v>17.442588911863876</v>
          </cell>
          <cell r="BM44">
            <v>20.4440301835002</v>
          </cell>
          <cell r="BN44">
            <v>23.613739416075109</v>
          </cell>
          <cell r="BO44">
            <v>55.39473632048707</v>
          </cell>
          <cell r="BP44">
            <v>99.452505920062379</v>
          </cell>
          <cell r="BQ44">
            <v>28.232391481395567</v>
          </cell>
          <cell r="BR44">
            <v>14.603305023466987</v>
          </cell>
          <cell r="BS44">
            <v>11.705918588598243</v>
          </cell>
          <cell r="BT44">
            <v>12.508512239208745</v>
          </cell>
          <cell r="BU44">
            <v>18.652946947948422</v>
          </cell>
          <cell r="BV44">
            <v>15.077539306711815</v>
          </cell>
          <cell r="BW44">
            <v>18.223898031000029</v>
          </cell>
          <cell r="BX44">
            <v>17.442588911863876</v>
          </cell>
          <cell r="BY44">
            <v>17.442588911863876</v>
          </cell>
          <cell r="BZ44">
            <v>18.619079387252633</v>
          </cell>
          <cell r="CA44">
            <v>8.945795685735753</v>
          </cell>
          <cell r="CB44">
            <v>62.916693347646721</v>
          </cell>
          <cell r="CC44">
            <v>90.481568420635114</v>
          </cell>
          <cell r="CD44">
            <v>24.953489420981782</v>
          </cell>
          <cell r="CE44">
            <v>13.858501797575213</v>
          </cell>
          <cell r="CF44">
            <v>10.528550492388632</v>
          </cell>
          <cell r="CG44">
            <v>13.116846924088064</v>
          </cell>
          <cell r="CH44">
            <v>17.764711378998499</v>
          </cell>
          <cell r="CI44">
            <v>11.809501230380192</v>
          </cell>
          <cell r="CJ44">
            <v>17.050086161164302</v>
          </cell>
          <cell r="CK44">
            <v>17.442588911863876</v>
          </cell>
          <cell r="CL44">
            <v>17.442588911863876</v>
          </cell>
          <cell r="CM44">
            <v>19.993375190939503</v>
          </cell>
          <cell r="CN44">
            <v>19.99092616595674</v>
          </cell>
          <cell r="CO44">
            <v>57.252533757944754</v>
          </cell>
          <cell r="CP44">
            <v>97.236835114841</v>
          </cell>
        </row>
        <row r="45">
          <cell r="B45">
            <v>2026</v>
          </cell>
          <cell r="D45">
            <v>24.755794443516134</v>
          </cell>
          <cell r="E45">
            <v>13.951150736173041</v>
          </cell>
          <cell r="F45">
            <v>9.6252131688639686</v>
          </cell>
          <cell r="G45">
            <v>14.021803811952045</v>
          </cell>
          <cell r="H45">
            <v>18.091759493453019</v>
          </cell>
          <cell r="I45">
            <v>11.043581409199913</v>
          </cell>
          <cell r="J45">
            <v>17.245978123342645</v>
          </cell>
          <cell r="K45">
            <v>17.76370675572451</v>
          </cell>
          <cell r="L45">
            <v>17.76370675572451</v>
          </cell>
          <cell r="M45">
            <v>20.241904452066741</v>
          </cell>
          <cell r="N45">
            <v>27.709653059675173</v>
          </cell>
          <cell r="O45">
            <v>55.005654131278035</v>
          </cell>
          <cell r="P45">
            <v>102.95721164301995</v>
          </cell>
          <cell r="Q45">
            <v>25.367822300685763</v>
          </cell>
          <cell r="R45">
            <v>14.177997748092405</v>
          </cell>
          <cell r="S45">
            <v>10.25312569369615</v>
          </cell>
          <cell r="T45">
            <v>13.205869907199503</v>
          </cell>
          <cell r="U45">
            <v>18.091759493453019</v>
          </cell>
          <cell r="V45">
            <v>11.043581409199913</v>
          </cell>
          <cell r="W45">
            <v>17.245978123342645</v>
          </cell>
          <cell r="X45">
            <v>17.76370675572451</v>
          </cell>
          <cell r="Y45">
            <v>17.76370675572451</v>
          </cell>
          <cell r="Z45">
            <v>20.655059722570901</v>
          </cell>
          <cell r="AA45">
            <v>9.7113516343973956</v>
          </cell>
          <cell r="AB45">
            <v>63.033377150196472</v>
          </cell>
          <cell r="AC45">
            <v>93.399788507164772</v>
          </cell>
          <cell r="AD45">
            <v>25.113058325480853</v>
          </cell>
          <cell r="AE45">
            <v>13.999273235725902</v>
          </cell>
          <cell r="AF45">
            <v>10.079597132125159</v>
          </cell>
          <cell r="AG45">
            <v>13.47207493513843</v>
          </cell>
          <cell r="AH45">
            <v>18.091759493453019</v>
          </cell>
          <cell r="AI45">
            <v>11.043581409199913</v>
          </cell>
          <cell r="AJ45">
            <v>17.245978123342645</v>
          </cell>
          <cell r="AK45">
            <v>17.76370675572451</v>
          </cell>
          <cell r="AL45">
            <v>17.76370675572451</v>
          </cell>
          <cell r="AM45">
            <v>21.611122080807171</v>
          </cell>
          <cell r="AN45">
            <v>38.970233457756144</v>
          </cell>
          <cell r="AO45">
            <v>49.245458161217691</v>
          </cell>
          <cell r="AP45">
            <v>109.82681369978101</v>
          </cell>
          <cell r="AQ45">
            <v>25.588213013337061</v>
          </cell>
          <cell r="AR45">
            <v>14.204165932284456</v>
          </cell>
          <cell r="AS45">
            <v>10.0436107601061</v>
          </cell>
          <cell r="AT45">
            <v>13.649162663822004</v>
          </cell>
          <cell r="AU45">
            <v>18.091759493453019</v>
          </cell>
          <cell r="AV45">
            <v>11.043581409199913</v>
          </cell>
          <cell r="AW45">
            <v>17.245978123342645</v>
          </cell>
          <cell r="AX45">
            <v>17.76370675572451</v>
          </cell>
          <cell r="AY45">
            <v>17.76370675572451</v>
          </cell>
          <cell r="AZ45">
            <v>21.593645746580787</v>
          </cell>
          <cell r="BA45">
            <v>53.271341134234135</v>
          </cell>
          <cell r="BB45">
            <v>42.725923710736986</v>
          </cell>
          <cell r="BC45">
            <v>117.5909105915519</v>
          </cell>
          <cell r="BD45">
            <v>25.157741734230267</v>
          </cell>
          <cell r="BE45">
            <v>14.046870881323084</v>
          </cell>
          <cell r="BF45">
            <v>10.068565615039287</v>
          </cell>
          <cell r="BG45">
            <v>13.550866492413379</v>
          </cell>
          <cell r="BH45">
            <v>18.091759493453019</v>
          </cell>
          <cell r="BI45">
            <v>11.043581409199913</v>
          </cell>
          <cell r="BJ45">
            <v>17.245978123342645</v>
          </cell>
          <cell r="BK45">
            <v>17.76370675572451</v>
          </cell>
          <cell r="BL45">
            <v>17.76370675572451</v>
          </cell>
          <cell r="BM45">
            <v>20.820404523658041</v>
          </cell>
          <cell r="BN45">
            <v>24.04846806358794</v>
          </cell>
          <cell r="BO45">
            <v>56.414552723794259</v>
          </cell>
          <cell r="BP45">
            <v>101.28342531104025</v>
          </cell>
          <cell r="BQ45">
            <v>28.752149455704572</v>
          </cell>
          <cell r="BR45">
            <v>14.87215168642912</v>
          </cell>
          <cell r="BS45">
            <v>11.921424403507519</v>
          </cell>
          <cell r="BT45">
            <v>12.738793793194517</v>
          </cell>
          <cell r="BU45">
            <v>18.996347468125673</v>
          </cell>
          <cell r="BV45">
            <v>15.355116616901247</v>
          </cell>
          <cell r="BW45">
            <v>18.559399765978743</v>
          </cell>
          <cell r="BX45">
            <v>17.76370675572451</v>
          </cell>
          <cell r="BY45">
            <v>17.76370675572451</v>
          </cell>
          <cell r="BZ45">
            <v>18.961856406060765</v>
          </cell>
          <cell r="CA45">
            <v>9.1104876725008239</v>
          </cell>
          <cell r="CB45">
            <v>64.074988885810484</v>
          </cell>
          <cell r="CC45">
            <v>92.147332964372069</v>
          </cell>
          <cell r="CD45">
            <v>25.412882849340033</v>
          </cell>
          <cell r="CE45">
            <v>14.113636642457628</v>
          </cell>
          <cell r="CF45">
            <v>10.722380975362064</v>
          </cell>
          <cell r="CG45">
            <v>13.358327912019172</v>
          </cell>
          <cell r="CH45">
            <v>18.091759493453019</v>
          </cell>
          <cell r="CI45">
            <v>12.026914000430043</v>
          </cell>
          <cell r="CJ45">
            <v>17.363978034290263</v>
          </cell>
          <cell r="CK45">
            <v>17.76370675572451</v>
          </cell>
          <cell r="CL45">
            <v>17.76370675572451</v>
          </cell>
          <cell r="CM45">
            <v>20.361452978316827</v>
          </cell>
          <cell r="CN45">
            <v>20.358958866814746</v>
          </cell>
          <cell r="CO45">
            <v>58.306552188855797</v>
          </cell>
          <cell r="CP45">
            <v>99.026964033987369</v>
          </cell>
        </row>
        <row r="46">
          <cell r="B46">
            <v>2027</v>
          </cell>
          <cell r="D46">
            <v>25.218143891469488</v>
          </cell>
          <cell r="E46">
            <v>14.211708192969706</v>
          </cell>
          <cell r="F46">
            <v>9.8049776278560401</v>
          </cell>
          <cell r="G46">
            <v>14.283680814791039</v>
          </cell>
          <cell r="H46">
            <v>18.4296486706066</v>
          </cell>
          <cell r="I46">
            <v>11.249835899623218</v>
          </cell>
          <cell r="J46">
            <v>17.568071138088595</v>
          </cell>
          <cell r="K46">
            <v>18.095469084372603</v>
          </cell>
          <cell r="L46">
            <v>18.095469084372603</v>
          </cell>
          <cell r="M46">
            <v>20.619950625066402</v>
          </cell>
          <cell r="N46">
            <v>28.227169991896879</v>
          </cell>
          <cell r="O46">
            <v>56.032962460240611</v>
          </cell>
          <cell r="P46">
            <v>104.88008307720389</v>
          </cell>
          <cell r="Q46">
            <v>25.84160223383482</v>
          </cell>
          <cell r="R46">
            <v>14.442791893433647</v>
          </cell>
          <cell r="S46">
            <v>10.444617306501909</v>
          </cell>
          <cell r="T46">
            <v>13.452508191229072</v>
          </cell>
          <cell r="U46">
            <v>18.4296486706066</v>
          </cell>
          <cell r="V46">
            <v>11.249835899623218</v>
          </cell>
          <cell r="W46">
            <v>17.568071138088595</v>
          </cell>
          <cell r="X46">
            <v>18.095469084372603</v>
          </cell>
          <cell r="Y46">
            <v>18.095469084372603</v>
          </cell>
          <cell r="Z46">
            <v>21.040822154148831</v>
          </cell>
          <cell r="AA46">
            <v>9.8927248509705557</v>
          </cell>
          <cell r="AB46">
            <v>64.210614551909586</v>
          </cell>
          <cell r="AC46">
            <v>95.14416155702898</v>
          </cell>
          <cell r="AD46">
            <v>25.582080181341656</v>
          </cell>
          <cell r="AE46">
            <v>14.260729448211993</v>
          </cell>
          <cell r="AF46">
            <v>10.267847853800175</v>
          </cell>
          <cell r="AG46">
            <v>13.723684974285399</v>
          </cell>
          <cell r="AH46">
            <v>18.4296486706066</v>
          </cell>
          <cell r="AI46">
            <v>11.249835899623218</v>
          </cell>
          <cell r="AJ46">
            <v>17.568071138088595</v>
          </cell>
          <cell r="AK46">
            <v>18.095469084372603</v>
          </cell>
          <cell r="AL46">
            <v>18.095469084372603</v>
          </cell>
          <cell r="AM46">
            <v>22.014740328103237</v>
          </cell>
          <cell r="AN46">
            <v>39.698057643197536</v>
          </cell>
          <cell r="AO46">
            <v>50.165186689704178</v>
          </cell>
          <cell r="AP46">
            <v>111.87798466100494</v>
          </cell>
          <cell r="AQ46">
            <v>26.066109054517344</v>
          </cell>
          <cell r="AR46">
            <v>14.469448805448298</v>
          </cell>
          <cell r="AS46">
            <v>10.231189385425056</v>
          </cell>
          <cell r="AT46">
            <v>13.904080066575618</v>
          </cell>
          <cell r="AU46">
            <v>18.4296486706066</v>
          </cell>
          <cell r="AV46">
            <v>11.249835899623218</v>
          </cell>
          <cell r="AW46">
            <v>17.568071138088595</v>
          </cell>
          <cell r="AX46">
            <v>18.095469084372603</v>
          </cell>
          <cell r="AY46">
            <v>18.095469084372603</v>
          </cell>
          <cell r="AZ46">
            <v>21.996937598636329</v>
          </cell>
          <cell r="BA46">
            <v>54.266258716917427</v>
          </cell>
          <cell r="BB46">
            <v>43.523890719472199</v>
          </cell>
          <cell r="BC46">
            <v>119.78708703502596</v>
          </cell>
          <cell r="BD46">
            <v>25.627598115899364</v>
          </cell>
          <cell r="BE46">
            <v>14.309216047109217</v>
          </cell>
          <cell r="BF46">
            <v>10.256610307542168</v>
          </cell>
          <cell r="BG46">
            <v>13.803948075246518</v>
          </cell>
          <cell r="BH46">
            <v>18.4296486706066</v>
          </cell>
          <cell r="BI46">
            <v>11.249835899623218</v>
          </cell>
          <cell r="BJ46">
            <v>17.568071138088595</v>
          </cell>
          <cell r="BK46">
            <v>18.095469084372603</v>
          </cell>
          <cell r="BL46">
            <v>18.095469084372603</v>
          </cell>
          <cell r="BM46">
            <v>21.209255003073778</v>
          </cell>
          <cell r="BN46">
            <v>24.497607191750145</v>
          </cell>
          <cell r="BO46">
            <v>57.468174225131825</v>
          </cell>
          <cell r="BP46">
            <v>103.17503641995575</v>
          </cell>
          <cell r="BQ46">
            <v>29.289136481455188</v>
          </cell>
          <cell r="BR46">
            <v>15.149910137598516</v>
          </cell>
          <cell r="BS46">
            <v>12.144073852482201</v>
          </cell>
          <cell r="BT46">
            <v>12.976708770688514</v>
          </cell>
          <cell r="BU46">
            <v>19.351131104136929</v>
          </cell>
          <cell r="BV46">
            <v>15.641895120708993</v>
          </cell>
          <cell r="BW46">
            <v>18.906022786125575</v>
          </cell>
          <cell r="BX46">
            <v>18.095469084372603</v>
          </cell>
          <cell r="BY46">
            <v>18.095469084372603</v>
          </cell>
          <cell r="BZ46">
            <v>19.31599587274264</v>
          </cell>
          <cell r="CA46">
            <v>9.2806389054001492</v>
          </cell>
          <cell r="CB46">
            <v>65.271679858768977</v>
          </cell>
          <cell r="CC46">
            <v>93.868314636911762</v>
          </cell>
          <cell r="CD46">
            <v>25.887504351918111</v>
          </cell>
          <cell r="CE46">
            <v>14.377228753191263</v>
          </cell>
          <cell r="CF46">
            <v>10.922636593739226</v>
          </cell>
          <cell r="CG46">
            <v>13.60781356475368</v>
          </cell>
          <cell r="CH46">
            <v>18.4296486706066</v>
          </cell>
          <cell r="CI46">
            <v>12.251533616712958</v>
          </cell>
          <cell r="CJ46">
            <v>17.688274864139363</v>
          </cell>
          <cell r="CK46">
            <v>18.095469084372603</v>
          </cell>
          <cell r="CL46">
            <v>18.095469084372603</v>
          </cell>
          <cell r="CM46">
            <v>20.741731888999034</v>
          </cell>
          <cell r="CN46">
            <v>20.739191196439783</v>
          </cell>
          <cell r="CO46">
            <v>59.395509454117047</v>
          </cell>
          <cell r="CP46">
            <v>100.87643253955586</v>
          </cell>
        </row>
        <row r="47">
          <cell r="B47">
            <v>2028</v>
          </cell>
          <cell r="D47">
            <v>25.688156101909922</v>
          </cell>
          <cell r="E47">
            <v>14.476584006616395</v>
          </cell>
          <cell r="F47">
            <v>9.9877214185180723</v>
          </cell>
          <cell r="G47">
            <v>14.549898044016091</v>
          </cell>
          <cell r="H47">
            <v>18.773137864204333</v>
          </cell>
          <cell r="I47">
            <v>11.459508755049455</v>
          </cell>
          <cell r="J47">
            <v>17.895502371105746</v>
          </cell>
          <cell r="K47">
            <v>18.4327298859568</v>
          </cell>
          <cell r="L47">
            <v>18.4327298859568</v>
          </cell>
          <cell r="M47">
            <v>21.004262357689143</v>
          </cell>
          <cell r="N47">
            <v>28.753264006566113</v>
          </cell>
          <cell r="O47">
            <v>57.077296914703481</v>
          </cell>
          <cell r="P47">
            <v>106.83482327895874</v>
          </cell>
          <cell r="Q47">
            <v>26.32323437296127</v>
          </cell>
          <cell r="R47">
            <v>14.711974612509986</v>
          </cell>
          <cell r="S47">
            <v>10.639282611314213</v>
          </cell>
          <cell r="T47">
            <v>13.703234142279994</v>
          </cell>
          <cell r="U47">
            <v>18.773137864204333</v>
          </cell>
          <cell r="V47">
            <v>11.459508755049455</v>
          </cell>
          <cell r="W47">
            <v>17.895502371105746</v>
          </cell>
          <cell r="X47">
            <v>18.4327298859568</v>
          </cell>
          <cell r="Y47">
            <v>18.4327298859568</v>
          </cell>
          <cell r="Z47">
            <v>21.432978030993556</v>
          </cell>
          <cell r="AA47">
            <v>10.077104062005855</v>
          </cell>
          <cell r="AB47">
            <v>65.407362933121377</v>
          </cell>
          <cell r="AC47">
            <v>96.917445026120788</v>
          </cell>
          <cell r="AD47">
            <v>26.058875385042754</v>
          </cell>
          <cell r="AE47">
            <v>14.526518913102571</v>
          </cell>
          <cell r="AF47">
            <v>10.459218554475067</v>
          </cell>
          <cell r="AG47">
            <v>13.97946507998676</v>
          </cell>
          <cell r="AH47">
            <v>18.773137864204333</v>
          </cell>
          <cell r="AI47">
            <v>11.459508755049455</v>
          </cell>
          <cell r="AJ47">
            <v>17.895502371105746</v>
          </cell>
          <cell r="AK47">
            <v>18.4327298859568</v>
          </cell>
          <cell r="AL47">
            <v>18.4327298859568</v>
          </cell>
          <cell r="AM47">
            <v>22.425047954565162</v>
          </cell>
          <cell r="AN47">
            <v>40.437944444675544</v>
          </cell>
          <cell r="AO47">
            <v>51.100158366630843</v>
          </cell>
          <cell r="AP47">
            <v>113.96315076587155</v>
          </cell>
          <cell r="AQ47">
            <v>26.551925520115329</v>
          </cell>
          <cell r="AR47">
            <v>14.739128352292511</v>
          </cell>
          <cell r="AS47">
            <v>10.421876850734707</v>
          </cell>
          <cell r="AT47">
            <v>14.163222350573877</v>
          </cell>
          <cell r="AU47">
            <v>18.773137864204333</v>
          </cell>
          <cell r="AV47">
            <v>11.459508755049455</v>
          </cell>
          <cell r="AW47">
            <v>17.895502371105746</v>
          </cell>
          <cell r="AX47">
            <v>18.4327298859568</v>
          </cell>
          <cell r="AY47">
            <v>18.4327298859568</v>
          </cell>
          <cell r="AZ47">
            <v>22.406913420336387</v>
          </cell>
          <cell r="BA47">
            <v>55.277665596092994</v>
          </cell>
          <cell r="BB47">
            <v>44.335082858436365</v>
          </cell>
          <cell r="BC47">
            <v>122.01966187486575</v>
          </cell>
          <cell r="BD47">
            <v>26.105241676447349</v>
          </cell>
          <cell r="BE47">
            <v>14.575909198394102</v>
          </cell>
          <cell r="BF47">
            <v>10.447771564414241</v>
          </cell>
          <cell r="BG47">
            <v>14.061224113307608</v>
          </cell>
          <cell r="BH47">
            <v>18.773137864204333</v>
          </cell>
          <cell r="BI47">
            <v>11.459508755049455</v>
          </cell>
          <cell r="BJ47">
            <v>17.895502371105746</v>
          </cell>
          <cell r="BK47">
            <v>18.4327298859568</v>
          </cell>
          <cell r="BL47">
            <v>18.4327298859568</v>
          </cell>
          <cell r="BM47">
            <v>21.604550107610073</v>
          </cell>
          <cell r="BN47">
            <v>24.954190140766912</v>
          </cell>
          <cell r="BO47">
            <v>58.539257954123769</v>
          </cell>
          <cell r="BP47">
            <v>105.09799820250075</v>
          </cell>
          <cell r="BQ47">
            <v>29.835023277834239</v>
          </cell>
          <cell r="BR47">
            <v>15.432272026815726</v>
          </cell>
          <cell r="BS47">
            <v>12.370413388798665</v>
          </cell>
          <cell r="BT47">
            <v>13.218566839220525</v>
          </cell>
          <cell r="BU47">
            <v>19.711794757414552</v>
          </cell>
          <cell r="BV47">
            <v>15.93342655667835</v>
          </cell>
          <cell r="BW47">
            <v>19.258390573326206</v>
          </cell>
          <cell r="BX47">
            <v>18.4327298859568</v>
          </cell>
          <cell r="BY47">
            <v>18.4327298859568</v>
          </cell>
          <cell r="BZ47">
            <v>19.676004680531118</v>
          </cell>
          <cell r="CA47">
            <v>9.4536101448775405</v>
          </cell>
          <cell r="CB47">
            <v>66.488204225574506</v>
          </cell>
          <cell r="CC47">
            <v>95.617819050983172</v>
          </cell>
          <cell r="CD47">
            <v>26.369992008249838</v>
          </cell>
          <cell r="CE47">
            <v>14.645189515703256</v>
          </cell>
          <cell r="CF47">
            <v>11.126211154632964</v>
          </cell>
          <cell r="CG47">
            <v>13.861434075460449</v>
          </cell>
          <cell r="CH47">
            <v>18.773137864204333</v>
          </cell>
          <cell r="CI47">
            <v>12.47987597296482</v>
          </cell>
          <cell r="CJ47">
            <v>18.017946437255592</v>
          </cell>
          <cell r="CK47">
            <v>18.4327298859568</v>
          </cell>
          <cell r="CL47">
            <v>18.4327298859568</v>
          </cell>
          <cell r="CM47">
            <v>21.128313363649482</v>
          </cell>
          <cell r="CN47">
            <v>21.125725318020518</v>
          </cell>
          <cell r="CO47">
            <v>60.502514585379259</v>
          </cell>
          <cell r="CP47">
            <v>102.75655326704926</v>
          </cell>
        </row>
        <row r="48">
          <cell r="B48">
            <v>2029</v>
          </cell>
          <cell r="D48">
            <v>26.154593192134733</v>
          </cell>
          <cell r="E48">
            <v>14.73944505797613</v>
          </cell>
          <cell r="F48">
            <v>10.169075179292019</v>
          </cell>
          <cell r="G48">
            <v>14.814090307555546</v>
          </cell>
          <cell r="H48">
            <v>19.114014327467398</v>
          </cell>
          <cell r="I48">
            <v>11.667586746241415</v>
          </cell>
          <cell r="J48">
            <v>18.220443017720282</v>
          </cell>
          <cell r="K48">
            <v>18.767425333103599</v>
          </cell>
          <cell r="L48">
            <v>18.767425333103599</v>
          </cell>
          <cell r="M48">
            <v>21.385650845736773</v>
          </cell>
          <cell r="N48">
            <v>29.275356318076593</v>
          </cell>
          <cell r="O48">
            <v>58.113687700603926</v>
          </cell>
          <cell r="P48">
            <v>108.77469486441728</v>
          </cell>
          <cell r="Q48">
            <v>26.801203005568457</v>
          </cell>
          <cell r="R48">
            <v>14.979109809076705</v>
          </cell>
          <cell r="S48">
            <v>10.832467205942702</v>
          </cell>
          <cell r="T48">
            <v>13.952052961140998</v>
          </cell>
          <cell r="U48">
            <v>19.114014327467398</v>
          </cell>
          <cell r="V48">
            <v>11.667586746241415</v>
          </cell>
          <cell r="W48">
            <v>18.220443017720282</v>
          </cell>
          <cell r="X48">
            <v>18.767425333103599</v>
          </cell>
          <cell r="Y48">
            <v>18.767425333103599</v>
          </cell>
          <cell r="Z48">
            <v>21.822150997241824</v>
          </cell>
          <cell r="AA48">
            <v>10.26008080342425</v>
          </cell>
          <cell r="AB48">
            <v>66.59500831820742</v>
          </cell>
          <cell r="AC48">
            <v>98.677240118873499</v>
          </cell>
          <cell r="AD48">
            <v>26.532043874089215</v>
          </cell>
          <cell r="AE48">
            <v>14.790286666071781</v>
          </cell>
          <cell r="AF48">
            <v>10.649133605178607</v>
          </cell>
          <cell r="AG48">
            <v>14.233299609368318</v>
          </cell>
          <cell r="AH48">
            <v>19.114014327467398</v>
          </cell>
          <cell r="AI48">
            <v>11.667586746241415</v>
          </cell>
          <cell r="AJ48">
            <v>18.220443017720282</v>
          </cell>
          <cell r="AK48">
            <v>18.767425333103599</v>
          </cell>
          <cell r="AL48">
            <v>18.767425333103599</v>
          </cell>
          <cell r="AM48">
            <v>22.832234600215504</v>
          </cell>
          <cell r="AN48">
            <v>41.172203340744936</v>
          </cell>
          <cell r="AO48">
            <v>52.028018236525753</v>
          </cell>
          <cell r="AP48">
            <v>116.0324561774862</v>
          </cell>
          <cell r="AQ48">
            <v>27.034046651361013</v>
          </cell>
          <cell r="AR48">
            <v>15.006756597535929</v>
          </cell>
          <cell r="AS48">
            <v>10.611113863062602</v>
          </cell>
          <cell r="AT48">
            <v>14.420393484041002</v>
          </cell>
          <cell r="AU48">
            <v>19.114014327467398</v>
          </cell>
          <cell r="AV48">
            <v>11.667586746241415</v>
          </cell>
          <cell r="AW48">
            <v>18.220443017720282</v>
          </cell>
          <cell r="AX48">
            <v>18.767425333103599</v>
          </cell>
          <cell r="AY48">
            <v>18.767425333103599</v>
          </cell>
          <cell r="AZ48">
            <v>22.813770785078255</v>
          </cell>
          <cell r="BA48">
            <v>56.281379268369541</v>
          </cell>
          <cell r="BB48">
            <v>45.140104712139106</v>
          </cell>
          <cell r="BC48">
            <v>124.2352547655869</v>
          </cell>
          <cell r="BD48">
            <v>26.579252069364276</v>
          </cell>
          <cell r="BE48">
            <v>14.840573763920251</v>
          </cell>
          <cell r="BF48">
            <v>10.637478764436922</v>
          </cell>
          <cell r="BG48">
            <v>14.316543196327443</v>
          </cell>
          <cell r="BH48">
            <v>19.114014327467398</v>
          </cell>
          <cell r="BI48">
            <v>11.667586746241415</v>
          </cell>
          <cell r="BJ48">
            <v>18.220443017720282</v>
          </cell>
          <cell r="BK48">
            <v>18.767425333103599</v>
          </cell>
          <cell r="BL48">
            <v>18.767425333103599</v>
          </cell>
          <cell r="BM48">
            <v>21.996838423199232</v>
          </cell>
          <cell r="BN48">
            <v>25.407300118454657</v>
          </cell>
          <cell r="BO48">
            <v>59.602194547770949</v>
          </cell>
          <cell r="BP48">
            <v>107.00633308942484</v>
          </cell>
          <cell r="BQ48">
            <v>30.376757818425418</v>
          </cell>
          <cell r="BR48">
            <v>15.712486146941316</v>
          </cell>
          <cell r="BS48">
            <v>12.595031286753603</v>
          </cell>
          <cell r="BT48">
            <v>13.458585228589071</v>
          </cell>
          <cell r="BU48">
            <v>20.069715043840766</v>
          </cell>
          <cell r="BV48">
            <v>16.222740475938409</v>
          </cell>
          <cell r="BW48">
            <v>19.608078095692484</v>
          </cell>
          <cell r="BX48">
            <v>18.767425333103599</v>
          </cell>
          <cell r="BY48">
            <v>18.767425333103599</v>
          </cell>
          <cell r="BZ48">
            <v>20.033275102511858</v>
          </cell>
          <cell r="CA48">
            <v>9.6252656888022567</v>
          </cell>
          <cell r="CB48">
            <v>67.695475171383819</v>
          </cell>
          <cell r="CC48">
            <v>97.354015962697929</v>
          </cell>
          <cell r="CD48">
            <v>26.848809650621028</v>
          </cell>
          <cell r="CE48">
            <v>14.91111205044632</v>
          </cell>
          <cell r="CF48">
            <v>11.328237237610868</v>
          </cell>
          <cell r="CG48">
            <v>14.113125436679644</v>
          </cell>
          <cell r="CH48">
            <v>19.114014327467398</v>
          </cell>
          <cell r="CI48">
            <v>12.706481456523187</v>
          </cell>
          <cell r="CJ48">
            <v>18.345110382954093</v>
          </cell>
          <cell r="CK48">
            <v>18.767425333103599</v>
          </cell>
          <cell r="CL48">
            <v>18.767425333103599</v>
          </cell>
          <cell r="CM48">
            <v>21.51195432906567</v>
          </cell>
          <cell r="CN48">
            <v>21.509319290555325</v>
          </cell>
          <cell r="CO48">
            <v>61.601099347264537</v>
          </cell>
          <cell r="CP48">
            <v>104.62237296688554</v>
          </cell>
        </row>
        <row r="49">
          <cell r="B49">
            <v>2030</v>
          </cell>
          <cell r="D49">
            <v>26.623433734208987</v>
          </cell>
          <cell r="E49">
            <v>15.003660576837015</v>
          </cell>
          <cell r="F49">
            <v>10.351363417706938</v>
          </cell>
          <cell r="G49">
            <v>15.079643898051456</v>
          </cell>
          <cell r="H49">
            <v>19.456647255178151</v>
          </cell>
          <cell r="I49">
            <v>11.876736919391547</v>
          </cell>
          <cell r="J49">
            <v>18.54705801488376</v>
          </cell>
          <cell r="K49">
            <v>19.103845395227005</v>
          </cell>
          <cell r="L49">
            <v>19.103845395227005</v>
          </cell>
          <cell r="M49">
            <v>21.769004548142711</v>
          </cell>
          <cell r="N49">
            <v>29.800138861041614</v>
          </cell>
          <cell r="O49">
            <v>59.155418789416217</v>
          </cell>
          <cell r="P49">
            <v>110.72456219860054</v>
          </cell>
          <cell r="Q49">
            <v>27.281634509628383</v>
          </cell>
          <cell r="R49">
            <v>15.247621496912448</v>
          </cell>
          <cell r="S49">
            <v>11.026647240001232</v>
          </cell>
          <cell r="T49">
            <v>14.202153890843743</v>
          </cell>
          <cell r="U49">
            <v>19.456647255178151</v>
          </cell>
          <cell r="V49">
            <v>11.876736919391547</v>
          </cell>
          <cell r="W49">
            <v>18.54705801488376</v>
          </cell>
          <cell r="X49">
            <v>19.103845395227005</v>
          </cell>
          <cell r="Y49">
            <v>19.103845395227005</v>
          </cell>
          <cell r="Z49">
            <v>22.213329289621072</v>
          </cell>
          <cell r="AA49">
            <v>10.444000385360232</v>
          </cell>
          <cell r="AB49">
            <v>67.788773389221291</v>
          </cell>
          <cell r="AC49">
            <v>100.44610306420259</v>
          </cell>
          <cell r="AD49">
            <v>27.007650500462077</v>
          </cell>
          <cell r="AE49">
            <v>15.055413558584108</v>
          </cell>
          <cell r="AF49">
            <v>10.840027248042627</v>
          </cell>
          <cell r="AG49">
            <v>14.488442094488992</v>
          </cell>
          <cell r="AH49">
            <v>19.456647255178151</v>
          </cell>
          <cell r="AI49">
            <v>11.876736919391547</v>
          </cell>
          <cell r="AJ49">
            <v>18.54705801488376</v>
          </cell>
          <cell r="AK49">
            <v>19.103845395227005</v>
          </cell>
          <cell r="AL49">
            <v>19.103845395227005</v>
          </cell>
          <cell r="AM49">
            <v>23.241519392683649</v>
          </cell>
          <cell r="AN49">
            <v>41.910245717885452</v>
          </cell>
          <cell r="AO49">
            <v>52.960659172435903</v>
          </cell>
          <cell r="AP49">
            <v>118.112424283005</v>
          </cell>
          <cell r="AQ49">
            <v>27.518652051008225</v>
          </cell>
          <cell r="AR49">
            <v>15.275763874624108</v>
          </cell>
          <cell r="AS49">
            <v>10.801325973762376</v>
          </cell>
          <cell r="AT49">
            <v>14.678889766063655</v>
          </cell>
          <cell r="AU49">
            <v>19.456647255178151</v>
          </cell>
          <cell r="AV49">
            <v>11.876736919391547</v>
          </cell>
          <cell r="AW49">
            <v>18.54705801488376</v>
          </cell>
          <cell r="AX49">
            <v>19.103845395227005</v>
          </cell>
          <cell r="AY49">
            <v>19.103845395227005</v>
          </cell>
          <cell r="AZ49">
            <v>23.222724599922923</v>
          </cell>
          <cell r="BA49">
            <v>57.290264865290403</v>
          </cell>
          <cell r="BB49">
            <v>45.949274673493818</v>
          </cell>
          <cell r="BC49">
            <v>126.46226413870714</v>
          </cell>
          <cell r="BD49">
            <v>27.055704937760499</v>
          </cell>
          <cell r="BE49">
            <v>15.106602090075281</v>
          </cell>
          <cell r="BF49">
            <v>10.828163485609405</v>
          </cell>
          <cell r="BG49">
            <v>14.573177884677866</v>
          </cell>
          <cell r="BH49">
            <v>19.456647255178151</v>
          </cell>
          <cell r="BI49">
            <v>11.876736919391547</v>
          </cell>
          <cell r="BJ49">
            <v>18.54705801488376</v>
          </cell>
          <cell r="BK49">
            <v>19.103845395227005</v>
          </cell>
          <cell r="BL49">
            <v>19.103845395227005</v>
          </cell>
          <cell r="BM49">
            <v>22.391148117656797</v>
          </cell>
          <cell r="BN49">
            <v>25.86274487619464</v>
          </cell>
          <cell r="BO49">
            <v>60.670608229272801</v>
          </cell>
          <cell r="BP49">
            <v>108.92450122312424</v>
          </cell>
          <cell r="BQ49">
            <v>30.921283802730599</v>
          </cell>
          <cell r="BR49">
            <v>15.994144151267744</v>
          </cell>
          <cell r="BS49">
            <v>12.820806593314268</v>
          </cell>
          <cell r="BT49">
            <v>13.699840382044172</v>
          </cell>
          <cell r="BU49">
            <v>20.429479617937059</v>
          </cell>
          <cell r="BV49">
            <v>16.51354516874304</v>
          </cell>
          <cell r="BW49">
            <v>19.959567484033776</v>
          </cell>
          <cell r="BX49">
            <v>19.103845395227005</v>
          </cell>
          <cell r="BY49">
            <v>19.103845395227005</v>
          </cell>
          <cell r="BZ49">
            <v>20.392386463548394</v>
          </cell>
          <cell r="CA49">
            <v>9.7978057375040599</v>
          </cell>
          <cell r="CB49">
            <v>68.908966929491925</v>
          </cell>
          <cell r="CC49">
            <v>99.099159130544379</v>
          </cell>
          <cell r="CD49">
            <v>27.330094539213025</v>
          </cell>
          <cell r="CE49">
            <v>15.178404827868054</v>
          </cell>
          <cell r="CF49">
            <v>11.53130431834162</v>
          </cell>
          <cell r="CG49">
            <v>14.36611371034488</v>
          </cell>
          <cell r="CH49">
            <v>19.456647255178151</v>
          </cell>
          <cell r="CI49">
            <v>12.934254590296275</v>
          </cell>
          <cell r="CJ49">
            <v>18.673960135392328</v>
          </cell>
          <cell r="CK49">
            <v>19.103845395227005</v>
          </cell>
          <cell r="CL49">
            <v>19.103845395227005</v>
          </cell>
          <cell r="CM49">
            <v>21.897572115380495</v>
          </cell>
          <cell r="CN49">
            <v>21.894889841844375</v>
          </cell>
          <cell r="CO49">
            <v>62.7053448844892</v>
          </cell>
          <cell r="CP49">
            <v>106.49780684171407</v>
          </cell>
        </row>
        <row r="50">
          <cell r="B50">
            <v>2031</v>
          </cell>
          <cell r="D50">
            <v>27.099274473661865</v>
          </cell>
          <cell r="E50">
            <v>15.271821063371428</v>
          </cell>
          <cell r="F50">
            <v>10.536373378187662</v>
          </cell>
          <cell r="G50">
            <v>15.349162434795085</v>
          </cell>
          <cell r="H50">
            <v>19.804395990732193</v>
          </cell>
          <cell r="I50">
            <v>12.089009886674088</v>
          </cell>
          <cell r="J50">
            <v>18.87854965824522</v>
          </cell>
          <cell r="K50">
            <v>19.445288501702709</v>
          </cell>
          <cell r="L50">
            <v>19.445288501702709</v>
          </cell>
          <cell r="M50">
            <v>22.158082055002073</v>
          </cell>
          <cell r="N50">
            <v>30.332756864151268</v>
          </cell>
          <cell r="O50">
            <v>60.212703830121988</v>
          </cell>
          <cell r="P50">
            <v>112.70354274927533</v>
          </cell>
          <cell r="Q50">
            <v>27.769239274218318</v>
          </cell>
          <cell r="R50">
            <v>15.520142297963959</v>
          </cell>
          <cell r="S50">
            <v>11.223726550985313</v>
          </cell>
          <cell r="T50">
            <v>14.455989045118349</v>
          </cell>
          <cell r="U50">
            <v>19.804395990732193</v>
          </cell>
          <cell r="V50">
            <v>12.089009886674088</v>
          </cell>
          <cell r="W50">
            <v>18.87854965824522</v>
          </cell>
          <cell r="X50">
            <v>19.445288501702709</v>
          </cell>
          <cell r="Y50">
            <v>19.445288501702709</v>
          </cell>
          <cell r="Z50">
            <v>22.610348214392673</v>
          </cell>
          <cell r="AA50">
            <v>10.63066604674073</v>
          </cell>
          <cell r="AB50">
            <v>69.000362411815459</v>
          </cell>
          <cell r="AC50">
            <v>102.24137667294886</v>
          </cell>
          <cell r="AD50">
            <v>27.490358347741438</v>
          </cell>
          <cell r="AE50">
            <v>15.324499026371852</v>
          </cell>
          <cell r="AF50">
            <v>11.03377109915114</v>
          </cell>
          <cell r="AG50">
            <v>14.747394078992153</v>
          </cell>
          <cell r="AH50">
            <v>19.804395990732193</v>
          </cell>
          <cell r="AI50">
            <v>12.089009886674088</v>
          </cell>
          <cell r="AJ50">
            <v>18.87854965824522</v>
          </cell>
          <cell r="AK50">
            <v>19.445288501702709</v>
          </cell>
          <cell r="AL50">
            <v>19.445288501702709</v>
          </cell>
          <cell r="AM50">
            <v>23.656915163350632</v>
          </cell>
          <cell r="AN50">
            <v>42.659307710119229</v>
          </cell>
          <cell r="AO50">
            <v>53.907225249303096</v>
          </cell>
          <cell r="AP50">
            <v>120.22344812277295</v>
          </cell>
          <cell r="AQ50">
            <v>28.010493031079584</v>
          </cell>
          <cell r="AR50">
            <v>15.548787664506962</v>
          </cell>
          <cell r="AS50">
            <v>10.994378116838218</v>
          </cell>
          <cell r="AT50">
            <v>14.941245622575737</v>
          </cell>
          <cell r="AU50">
            <v>19.804395990732193</v>
          </cell>
          <cell r="AV50">
            <v>12.089009886674088</v>
          </cell>
          <cell r="AW50">
            <v>18.87854965824522</v>
          </cell>
          <cell r="AX50">
            <v>19.445288501702709</v>
          </cell>
          <cell r="AY50">
            <v>19.445288501702709</v>
          </cell>
          <cell r="AZ50">
            <v>23.637784451182426</v>
          </cell>
          <cell r="BA50">
            <v>58.314214002321627</v>
          </cell>
          <cell r="BB50">
            <v>46.770526246684568</v>
          </cell>
          <cell r="BC50">
            <v>128.72252470018861</v>
          </cell>
          <cell r="BD50">
            <v>27.539271662193215</v>
          </cell>
          <cell r="BE50">
            <v>15.376602450694634</v>
          </cell>
          <cell r="BF50">
            <v>11.021695295643681</v>
          </cell>
          <cell r="BG50">
            <v>14.833644352303835</v>
          </cell>
          <cell r="BH50">
            <v>19.804395990732193</v>
          </cell>
          <cell r="BI50">
            <v>12.089009886674088</v>
          </cell>
          <cell r="BJ50">
            <v>18.87854965824522</v>
          </cell>
          <cell r="BK50">
            <v>19.445288501702709</v>
          </cell>
          <cell r="BL50">
            <v>19.445288501702709</v>
          </cell>
          <cell r="BM50">
            <v>22.791345199065365</v>
          </cell>
          <cell r="BN50">
            <v>26.324989820593256</v>
          </cell>
          <cell r="BO50">
            <v>61.754974257001905</v>
          </cell>
          <cell r="BP50">
            <v>110.87130927666053</v>
          </cell>
          <cell r="BQ50">
            <v>31.473940033944601</v>
          </cell>
          <cell r="BR50">
            <v>16.280007554757884</v>
          </cell>
          <cell r="BS50">
            <v>13.049952921719916</v>
          </cell>
          <cell r="BT50">
            <v>13.944697684932267</v>
          </cell>
          <cell r="BU50">
            <v>20.794615790268804</v>
          </cell>
          <cell r="BV50">
            <v>16.808691828731778</v>
          </cell>
          <cell r="BW50">
            <v>20.316304914884359</v>
          </cell>
          <cell r="BX50">
            <v>19.445288501702709</v>
          </cell>
          <cell r="BY50">
            <v>19.445288501702709</v>
          </cell>
          <cell r="BZ50">
            <v>20.756859669780827</v>
          </cell>
          <cell r="CA50">
            <v>9.9729219593142862</v>
          </cell>
          <cell r="CB50">
            <v>70.140577175789019</v>
          </cell>
          <cell r="CC50">
            <v>100.87035880488413</v>
          </cell>
          <cell r="CD50">
            <v>27.818565430108894</v>
          </cell>
          <cell r="CE50">
            <v>15.449688519112117</v>
          </cell>
          <cell r="CF50">
            <v>11.737403367340152</v>
          </cell>
          <cell r="CG50">
            <v>14.622879319140527</v>
          </cell>
          <cell r="CH50">
            <v>19.804395990732193</v>
          </cell>
          <cell r="CI50">
            <v>13.165428575213562</v>
          </cell>
          <cell r="CJ50">
            <v>19.007719900869958</v>
          </cell>
          <cell r="CK50">
            <v>19.445288501702709</v>
          </cell>
          <cell r="CL50">
            <v>19.445288501702709</v>
          </cell>
          <cell r="CM50">
            <v>22.288947510892193</v>
          </cell>
          <cell r="CN50">
            <v>22.286217297070245</v>
          </cell>
          <cell r="CO50">
            <v>63.826077768735608</v>
          </cell>
          <cell r="CP50">
            <v>108.40124257669805</v>
          </cell>
        </row>
        <row r="51">
          <cell r="B51">
            <v>2032</v>
          </cell>
          <cell r="D51">
            <v>27.58427986988319</v>
          </cell>
          <cell r="E51">
            <v>15.54514630065999</v>
          </cell>
          <cell r="F51">
            <v>10.724946616559423</v>
          </cell>
          <cell r="G51">
            <v>15.623871878237511</v>
          </cell>
          <cell r="H51">
            <v>20.158842340716372</v>
          </cell>
          <cell r="I51">
            <v>12.305371215303323</v>
          </cell>
          <cell r="J51">
            <v>19.216425805666805</v>
          </cell>
          <cell r="K51">
            <v>19.793307776667888</v>
          </cell>
          <cell r="L51">
            <v>19.793307776667888</v>
          </cell>
          <cell r="M51">
            <v>22.554653165311151</v>
          </cell>
          <cell r="N51">
            <v>30.875633049846972</v>
          </cell>
          <cell r="O51">
            <v>61.290352101003499</v>
          </cell>
          <cell r="P51">
            <v>114.72063831616163</v>
          </cell>
          <cell r="Q51">
            <v>28.266235269813954</v>
          </cell>
          <cell r="R51">
            <v>15.797911829098499</v>
          </cell>
          <cell r="S51">
            <v>11.424601594641224</v>
          </cell>
          <cell r="T51">
            <v>14.714713045327764</v>
          </cell>
          <cell r="U51">
            <v>20.158842340716372</v>
          </cell>
          <cell r="V51">
            <v>12.305371215303323</v>
          </cell>
          <cell r="W51">
            <v>19.216425805666805</v>
          </cell>
          <cell r="X51">
            <v>19.793307776667888</v>
          </cell>
          <cell r="Y51">
            <v>19.793307776667888</v>
          </cell>
          <cell r="Z51">
            <v>23.015013693724288</v>
          </cell>
          <cell r="AA51">
            <v>10.820926874686773</v>
          </cell>
          <cell r="AB51">
            <v>70.235286547643625</v>
          </cell>
          <cell r="AC51">
            <v>104.07122711605469</v>
          </cell>
          <cell r="AD51">
            <v>27.982363111768276</v>
          </cell>
          <cell r="AE51">
            <v>15.598767059982949</v>
          </cell>
          <cell r="AF51">
            <v>11.231246442225739</v>
          </cell>
          <cell r="AG51">
            <v>15.011333459194571</v>
          </cell>
          <cell r="AH51">
            <v>20.158842340716372</v>
          </cell>
          <cell r="AI51">
            <v>12.305371215303323</v>
          </cell>
          <cell r="AJ51">
            <v>19.216425805666805</v>
          </cell>
          <cell r="AK51">
            <v>19.793307776667888</v>
          </cell>
          <cell r="AL51">
            <v>19.793307776667888</v>
          </cell>
          <cell r="AM51">
            <v>24.080311425244151</v>
          </cell>
          <cell r="AN51">
            <v>43.422796579851976</v>
          </cell>
          <cell r="AO51">
            <v>54.872022117449546</v>
          </cell>
          <cell r="AP51">
            <v>122.37513012254567</v>
          </cell>
          <cell r="AQ51">
            <v>28.51180683134745</v>
          </cell>
          <cell r="AR51">
            <v>15.827069871999814</v>
          </cell>
          <cell r="AS51">
            <v>11.191148429635582</v>
          </cell>
          <cell r="AT51">
            <v>15.208654433105348</v>
          </cell>
          <cell r="AU51">
            <v>20.158842340716372</v>
          </cell>
          <cell r="AV51">
            <v>12.305371215303323</v>
          </cell>
          <cell r="AW51">
            <v>19.216425805666805</v>
          </cell>
          <cell r="AX51">
            <v>19.793307776667888</v>
          </cell>
          <cell r="AY51">
            <v>19.793307776667888</v>
          </cell>
          <cell r="AZ51">
            <v>24.060838323885996</v>
          </cell>
          <cell r="BA51">
            <v>59.357884322536982</v>
          </cell>
          <cell r="BB51">
            <v>47.607595063261165</v>
          </cell>
          <cell r="BC51">
            <v>131.02631770968415</v>
          </cell>
          <cell r="BD51">
            <v>28.032151845282627</v>
          </cell>
          <cell r="BE51">
            <v>15.651802997904305</v>
          </cell>
          <cell r="BF51">
            <v>11.218954513748939</v>
          </cell>
          <cell r="BG51">
            <v>15.09912738445983</v>
          </cell>
          <cell r="BH51">
            <v>20.158842340716372</v>
          </cell>
          <cell r="BI51">
            <v>12.305371215303323</v>
          </cell>
          <cell r="BJ51">
            <v>19.216425805666805</v>
          </cell>
          <cell r="BK51">
            <v>19.793307776667888</v>
          </cell>
          <cell r="BL51">
            <v>19.793307776667888</v>
          </cell>
          <cell r="BM51">
            <v>23.199250046091173</v>
          </cell>
          <cell r="BN51">
            <v>26.796137567772544</v>
          </cell>
          <cell r="BO51">
            <v>62.860225092675179</v>
          </cell>
          <cell r="BP51">
            <v>112.85561270653889</v>
          </cell>
          <cell r="BQ51">
            <v>32.037240382507285</v>
          </cell>
          <cell r="BR51">
            <v>16.571376665848128</v>
          </cell>
          <cell r="BS51">
            <v>13.283512591135413</v>
          </cell>
          <cell r="BT51">
            <v>14.194270921014299</v>
          </cell>
          <cell r="BU51">
            <v>21.166784457752193</v>
          </cell>
          <cell r="BV51">
            <v>17.109522991140917</v>
          </cell>
          <cell r="BW51">
            <v>20.679913081758841</v>
          </cell>
          <cell r="BX51">
            <v>19.793307776667888</v>
          </cell>
          <cell r="BY51">
            <v>19.793307776667888</v>
          </cell>
          <cell r="BZ51">
            <v>21.128352602487812</v>
          </cell>
          <cell r="CA51">
            <v>10.151410906354643</v>
          </cell>
          <cell r="CB51">
            <v>71.395908142579231</v>
          </cell>
          <cell r="CC51">
            <v>102.67567165142168</v>
          </cell>
          <cell r="CD51">
            <v>28.316444233537819</v>
          </cell>
          <cell r="CE51">
            <v>15.72619711379758</v>
          </cell>
          <cell r="CF51">
            <v>11.947471868484675</v>
          </cell>
          <cell r="CG51">
            <v>14.884590214204128</v>
          </cell>
          <cell r="CH51">
            <v>20.158842340716372</v>
          </cell>
          <cell r="CI51">
            <v>13.401054953652249</v>
          </cell>
          <cell r="CJ51">
            <v>19.34790785426868</v>
          </cell>
          <cell r="CK51">
            <v>19.793307776667888</v>
          </cell>
          <cell r="CL51">
            <v>19.793307776667888</v>
          </cell>
          <cell r="CM51">
            <v>22.687860767015817</v>
          </cell>
          <cell r="CN51">
            <v>22.685081689581761</v>
          </cell>
          <cell r="CO51">
            <v>64.96839588384104</v>
          </cell>
          <cell r="CP51">
            <v>110.34133834043863</v>
          </cell>
        </row>
        <row r="52">
          <cell r="B52">
            <v>2033</v>
          </cell>
          <cell r="D52">
            <v>28.080124765924104</v>
          </cell>
          <cell r="E52">
            <v>15.82458014804519</v>
          </cell>
          <cell r="F52">
            <v>10.91773432264482</v>
          </cell>
          <cell r="G52">
            <v>15.904720867725887</v>
          </cell>
          <cell r="H52">
            <v>20.521210295648959</v>
          </cell>
          <cell r="I52">
            <v>12.526568054219489</v>
          </cell>
          <cell r="J52">
            <v>19.561853226677421</v>
          </cell>
          <cell r="K52">
            <v>20.149105016368289</v>
          </cell>
          <cell r="L52">
            <v>20.149105016368289</v>
          </cell>
          <cell r="M52">
            <v>22.960087336757592</v>
          </cell>
          <cell r="N52">
            <v>31.430642103264894</v>
          </cell>
          <cell r="O52">
            <v>62.392084986878629</v>
          </cell>
          <cell r="P52">
            <v>116.78281442690111</v>
          </cell>
          <cell r="Q52">
            <v>28.774338745958403</v>
          </cell>
          <cell r="R52">
            <v>16.081889296899476</v>
          </cell>
          <cell r="S52">
            <v>11.629966041954159</v>
          </cell>
          <cell r="T52">
            <v>14.979219329147725</v>
          </cell>
          <cell r="U52">
            <v>20.521210295648959</v>
          </cell>
          <cell r="V52">
            <v>12.526568054219489</v>
          </cell>
          <cell r="W52">
            <v>19.561853226677421</v>
          </cell>
          <cell r="X52">
            <v>20.149105016368289</v>
          </cell>
          <cell r="Y52">
            <v>20.149105016368289</v>
          </cell>
          <cell r="Z52">
            <v>23.42872313715278</v>
          </cell>
          <cell r="AA52">
            <v>11.015439886683275</v>
          </cell>
          <cell r="AB52">
            <v>71.497810293809792</v>
          </cell>
          <cell r="AC52">
            <v>105.94197331764585</v>
          </cell>
          <cell r="AD52">
            <v>28.485363806134149</v>
          </cell>
          <cell r="AE52">
            <v>15.879164774467727</v>
          </cell>
          <cell r="AF52">
            <v>11.433135208248435</v>
          </cell>
          <cell r="AG52">
            <v>15.281171682763226</v>
          </cell>
          <cell r="AH52">
            <v>20.521210295648959</v>
          </cell>
          <cell r="AI52">
            <v>12.526568054219489</v>
          </cell>
          <cell r="AJ52">
            <v>19.561853226677421</v>
          </cell>
          <cell r="AK52">
            <v>20.149105016368289</v>
          </cell>
          <cell r="AL52">
            <v>20.149105016368289</v>
          </cell>
          <cell r="AM52">
            <v>24.513170269905146</v>
          </cell>
          <cell r="AN52">
            <v>44.203348842137075</v>
          </cell>
          <cell r="AO52">
            <v>55.858381458013227</v>
          </cell>
          <cell r="AP52">
            <v>124.57490057005545</v>
          </cell>
          <cell r="AQ52">
            <v>29.024324611797592</v>
          </cell>
          <cell r="AR52">
            <v>16.111571474083775</v>
          </cell>
          <cell r="AS52">
            <v>11.392316408493341</v>
          </cell>
          <cell r="AT52">
            <v>15.482039626116634</v>
          </cell>
          <cell r="AU52">
            <v>20.521210295648959</v>
          </cell>
          <cell r="AV52">
            <v>12.526568054219489</v>
          </cell>
          <cell r="AW52">
            <v>19.561853226677421</v>
          </cell>
          <cell r="AX52">
            <v>20.149105016368289</v>
          </cell>
          <cell r="AY52">
            <v>20.149105016368289</v>
          </cell>
          <cell r="AZ52">
            <v>24.49334712722041</v>
          </cell>
          <cell r="BA52">
            <v>60.424879876524663</v>
          </cell>
          <cell r="BB52">
            <v>48.463371727950332</v>
          </cell>
          <cell r="BC52">
            <v>133.38159873169542</v>
          </cell>
          <cell r="BD52">
            <v>28.536047523657864</v>
          </cell>
          <cell r="BE52">
            <v>15.93315406695368</v>
          </cell>
          <cell r="BF52">
            <v>11.420622324574454</v>
          </cell>
          <cell r="BG52">
            <v>15.370543759423104</v>
          </cell>
          <cell r="BH52">
            <v>20.521210295648959</v>
          </cell>
          <cell r="BI52">
            <v>12.526568054219489</v>
          </cell>
          <cell r="BJ52">
            <v>19.561853226677421</v>
          </cell>
          <cell r="BK52">
            <v>20.149105016368289</v>
          </cell>
          <cell r="BL52">
            <v>20.149105016368289</v>
          </cell>
          <cell r="BM52">
            <v>23.61627125460533</v>
          </cell>
          <cell r="BN52">
            <v>27.277815106909493</v>
          </cell>
          <cell r="BO52">
            <v>63.990177439563062</v>
          </cell>
          <cell r="BP52">
            <v>114.88426380107788</v>
          </cell>
          <cell r="BQ52">
            <v>32.613130063218001</v>
          </cell>
          <cell r="BR52">
            <v>16.869257653819961</v>
          </cell>
          <cell r="BS52">
            <v>13.522292140606309</v>
          </cell>
          <cell r="BT52">
            <v>14.449421928124382</v>
          </cell>
          <cell r="BU52">
            <v>21.54727081043141</v>
          </cell>
          <cell r="BV52">
            <v>17.417077500044904</v>
          </cell>
          <cell r="BW52">
            <v>21.051647613185029</v>
          </cell>
          <cell r="BX52">
            <v>20.149105016368289</v>
          </cell>
          <cell r="BY52">
            <v>20.149105016368289</v>
          </cell>
          <cell r="BZ52">
            <v>21.508148118234981</v>
          </cell>
          <cell r="CA52">
            <v>10.3338889449068</v>
          </cell>
          <cell r="CB52">
            <v>72.679294796778464</v>
          </cell>
          <cell r="CC52">
            <v>104.52133185992025</v>
          </cell>
          <cell r="CD52">
            <v>28.825450247595722</v>
          </cell>
          <cell r="CE52">
            <v>16.00888546418383</v>
          </cell>
          <cell r="CF52">
            <v>12.162235240032707</v>
          </cell>
          <cell r="CG52">
            <v>15.152150147694789</v>
          </cell>
          <cell r="CH52">
            <v>20.521210295648959</v>
          </cell>
          <cell r="CI52">
            <v>13.641947401513006</v>
          </cell>
          <cell r="CJ52">
            <v>19.695698748352644</v>
          </cell>
          <cell r="CK52">
            <v>20.149105016368289</v>
          </cell>
          <cell r="CL52">
            <v>20.149105016368289</v>
          </cell>
          <cell r="CM52">
            <v>23.095689429445187</v>
          </cell>
          <cell r="CN52">
            <v>23.092860396334636</v>
          </cell>
          <cell r="CO52">
            <v>66.136243935518493</v>
          </cell>
          <cell r="CP52">
            <v>112.32479376129831</v>
          </cell>
        </row>
        <row r="53">
          <cell r="B53">
            <v>2034</v>
          </cell>
          <cell r="D53">
            <v>28.58968355755146</v>
          </cell>
          <cell r="E53">
            <v>16.11174247390613</v>
          </cell>
          <cell r="F53">
            <v>11.115854080129177</v>
          </cell>
          <cell r="G53">
            <v>16.193337475169297</v>
          </cell>
          <cell r="H53">
            <v>20.893600490071147</v>
          </cell>
          <cell r="I53">
            <v>12.753882673871457</v>
          </cell>
          <cell r="J53">
            <v>19.916834352127186</v>
          </cell>
          <cell r="K53">
            <v>20.514742765135441</v>
          </cell>
          <cell r="L53">
            <v>20.514742765135441</v>
          </cell>
          <cell r="M53">
            <v>23.376734857254878</v>
          </cell>
          <cell r="N53">
            <v>32.00100139275235</v>
          </cell>
          <cell r="O53">
            <v>63.524289195301719</v>
          </cell>
          <cell r="P53">
            <v>118.90202544530895</v>
          </cell>
          <cell r="Q53">
            <v>29.296495160984726</v>
          </cell>
          <cell r="R53">
            <v>16.373720908956894</v>
          </cell>
          <cell r="S53">
            <v>11.84101038354472</v>
          </cell>
          <cell r="T53">
            <v>15.251041230386004</v>
          </cell>
          <cell r="U53">
            <v>20.893600490071147</v>
          </cell>
          <cell r="V53">
            <v>12.753882673871457</v>
          </cell>
          <cell r="W53">
            <v>19.916834352127186</v>
          </cell>
          <cell r="X53">
            <v>20.514742765135441</v>
          </cell>
          <cell r="Y53">
            <v>20.514742765135441</v>
          </cell>
          <cell r="Z53">
            <v>23.853874804058009</v>
          </cell>
          <cell r="AA53">
            <v>11.215332667954447</v>
          </cell>
          <cell r="AB53">
            <v>72.795252456941725</v>
          </cell>
          <cell r="AC53">
            <v>107.86445992895418</v>
          </cell>
          <cell r="AD53">
            <v>29.002276308522088</v>
          </cell>
          <cell r="AE53">
            <v>16.167317625709632</v>
          </cell>
          <cell r="AF53">
            <v>11.640607739435227</v>
          </cell>
          <cell r="AG53">
            <v>15.558472992576789</v>
          </cell>
          <cell r="AH53">
            <v>20.893600490071147</v>
          </cell>
          <cell r="AI53">
            <v>12.753882673871457</v>
          </cell>
          <cell r="AJ53">
            <v>19.916834352127186</v>
          </cell>
          <cell r="AK53">
            <v>20.514742765135441</v>
          </cell>
          <cell r="AL53">
            <v>20.514742765135441</v>
          </cell>
          <cell r="AM53">
            <v>24.9580009651322</v>
          </cell>
          <cell r="AN53">
            <v>45.005489331527478</v>
          </cell>
          <cell r="AO53">
            <v>56.87202116208411</v>
          </cell>
          <cell r="AP53">
            <v>126.83551145874378</v>
          </cell>
          <cell r="AQ53">
            <v>29.551017420332947</v>
          </cell>
          <cell r="AR53">
            <v>16.403941716737208</v>
          </cell>
          <cell r="AS53">
            <v>11.599048217249152</v>
          </cell>
          <cell r="AT53">
            <v>15.762986006147834</v>
          </cell>
          <cell r="AU53">
            <v>20.893600490071147</v>
          </cell>
          <cell r="AV53">
            <v>12.753882673871457</v>
          </cell>
          <cell r="AW53">
            <v>19.916834352127186</v>
          </cell>
          <cell r="AX53">
            <v>20.514742765135441</v>
          </cell>
          <cell r="AY53">
            <v>20.514742765135441</v>
          </cell>
          <cell r="AZ53">
            <v>24.937818099806741</v>
          </cell>
          <cell r="BA53">
            <v>61.521386000723744</v>
          </cell>
          <cell r="BB53">
            <v>49.342817148572159</v>
          </cell>
          <cell r="BC53">
            <v>135.80202124910264</v>
          </cell>
          <cell r="BD53">
            <v>29.053879763193407</v>
          </cell>
          <cell r="BE53">
            <v>16.222286640289745</v>
          </cell>
          <cell r="BF53">
            <v>11.627867789466567</v>
          </cell>
          <cell r="BG53">
            <v>15.649466868561547</v>
          </cell>
          <cell r="BH53">
            <v>20.893600490071147</v>
          </cell>
          <cell r="BI53">
            <v>12.753882673871457</v>
          </cell>
          <cell r="BJ53">
            <v>19.916834352127186</v>
          </cell>
          <cell r="BK53">
            <v>20.514742765135441</v>
          </cell>
          <cell r="BL53">
            <v>20.514742765135441</v>
          </cell>
          <cell r="BM53">
            <v>24.044826282175716</v>
          </cell>
          <cell r="BN53">
            <v>27.772814706091435</v>
          </cell>
          <cell r="BO53">
            <v>65.151381592462428</v>
          </cell>
          <cell r="BP53">
            <v>116.96902258072959</v>
          </cell>
          <cell r="BQ53">
            <v>33.20494748870059</v>
          </cell>
          <cell r="BR53">
            <v>17.175377324490455</v>
          </cell>
          <cell r="BS53">
            <v>13.767675766948347</v>
          </cell>
          <cell r="BT53">
            <v>14.71162980785374</v>
          </cell>
          <cell r="BU53">
            <v>21.938280514574707</v>
          </cell>
          <cell r="BV53">
            <v>17.733138238328124</v>
          </cell>
          <cell r="BW53">
            <v>21.433663441425118</v>
          </cell>
          <cell r="BX53">
            <v>20.514742765135441</v>
          </cell>
          <cell r="BY53">
            <v>20.514742765135441</v>
          </cell>
          <cell r="BZ53">
            <v>21.898447878532689</v>
          </cell>
          <cell r="CA53">
            <v>10.521413893868854</v>
          </cell>
          <cell r="CB53">
            <v>73.998176886573034</v>
          </cell>
          <cell r="CC53">
            <v>106.41803865897458</v>
          </cell>
          <cell r="CD53">
            <v>29.348534162596838</v>
          </cell>
          <cell r="CE53">
            <v>16.299392304891658</v>
          </cell>
          <cell r="CF53">
            <v>12.382938457844592</v>
          </cell>
          <cell r="CG53">
            <v>15.427110155322143</v>
          </cell>
          <cell r="CH53">
            <v>20.893600490071147</v>
          </cell>
          <cell r="CI53">
            <v>13.889502364010699</v>
          </cell>
          <cell r="CJ53">
            <v>20.053108714943892</v>
          </cell>
          <cell r="CK53">
            <v>20.514742765135441</v>
          </cell>
          <cell r="CL53">
            <v>20.514742765135441</v>
          </cell>
          <cell r="CM53">
            <v>23.514797666875467</v>
          </cell>
          <cell r="CN53">
            <v>23.511917296432721</v>
          </cell>
          <cell r="CO53">
            <v>67.336391898658974</v>
          </cell>
          <cell r="CP53">
            <v>114.36310686196717</v>
          </cell>
        </row>
        <row r="54">
          <cell r="B54">
            <v>2035</v>
          </cell>
          <cell r="D54">
            <v>29.114865811571757</v>
          </cell>
          <cell r="E54">
            <v>16.407709416373589</v>
          </cell>
          <cell r="F54">
            <v>11.320048340950963</v>
          </cell>
          <cell r="G54">
            <v>16.490803288605157</v>
          </cell>
          <cell r="H54">
            <v>21.277408452754134</v>
          </cell>
          <cell r="I54">
            <v>12.988166933670659</v>
          </cell>
          <cell r="J54">
            <v>20.282699470464117</v>
          </cell>
          <cell r="K54">
            <v>20.891591247013608</v>
          </cell>
          <cell r="L54">
            <v>20.891591247013608</v>
          </cell>
          <cell r="M54">
            <v>23.806157109489817</v>
          </cell>
          <cell r="N54">
            <v>32.588848334413001</v>
          </cell>
          <cell r="O54">
            <v>64.69120765095613</v>
          </cell>
          <cell r="P54">
            <v>121.08621309485895</v>
          </cell>
          <cell r="Q54">
            <v>29.834661291175305</v>
          </cell>
          <cell r="R54">
            <v>16.67450030150788</v>
          </cell>
          <cell r="S54">
            <v>12.058525506109456</v>
          </cell>
          <cell r="T54">
            <v>15.531197399075568</v>
          </cell>
          <cell r="U54">
            <v>21.277408452754134</v>
          </cell>
          <cell r="V54">
            <v>12.988166933670659</v>
          </cell>
          <cell r="W54">
            <v>20.282699470464117</v>
          </cell>
          <cell r="X54">
            <v>20.891591247013608</v>
          </cell>
          <cell r="Y54">
            <v>20.891591247013608</v>
          </cell>
          <cell r="Z54">
            <v>24.292061946335917</v>
          </cell>
          <cell r="AA54">
            <v>11.421354314828816</v>
          </cell>
          <cell r="AB54">
            <v>74.132475189412844</v>
          </cell>
          <cell r="AC54">
            <v>109.84589145057757</v>
          </cell>
          <cell r="AD54">
            <v>29.535037743700897</v>
          </cell>
          <cell r="AE54">
            <v>16.464305463824044</v>
          </cell>
          <cell r="AF54">
            <v>11.854441537156575</v>
          </cell>
          <cell r="AG54">
            <v>15.844276572700615</v>
          </cell>
          <cell r="AH54">
            <v>21.277408452754134</v>
          </cell>
          <cell r="AI54">
            <v>12.988166933670659</v>
          </cell>
          <cell r="AJ54">
            <v>20.282699470464117</v>
          </cell>
          <cell r="AK54">
            <v>20.891591247013608</v>
          </cell>
          <cell r="AL54">
            <v>20.891591247013608</v>
          </cell>
          <cell r="AM54">
            <v>25.416470509795868</v>
          </cell>
          <cell r="AN54">
            <v>45.832224062005984</v>
          </cell>
          <cell r="AO54">
            <v>57.916739834974237</v>
          </cell>
          <cell r="AP54">
            <v>129.16543440677609</v>
          </cell>
          <cell r="AQ54">
            <v>30.093859033328147</v>
          </cell>
          <cell r="AR54">
            <v>16.70527625471037</v>
          </cell>
          <cell r="AS54">
            <v>11.812118581423089</v>
          </cell>
          <cell r="AT54">
            <v>16.052546417130863</v>
          </cell>
          <cell r="AU54">
            <v>21.277408452754134</v>
          </cell>
          <cell r="AV54">
            <v>12.988166933670659</v>
          </cell>
          <cell r="AW54">
            <v>20.282699470464117</v>
          </cell>
          <cell r="AX54">
            <v>20.891591247013608</v>
          </cell>
          <cell r="AY54">
            <v>20.891591247013608</v>
          </cell>
          <cell r="AZ54">
            <v>25.395916892458306</v>
          </cell>
          <cell r="BA54">
            <v>62.651511841580728</v>
          </cell>
          <cell r="BB54">
            <v>50.249227038616361</v>
          </cell>
          <cell r="BC54">
            <v>138.29665577265538</v>
          </cell>
          <cell r="BD54">
            <v>29.587589135364418</v>
          </cell>
          <cell r="BE54">
            <v>16.520284239527268</v>
          </cell>
          <cell r="BF54">
            <v>11.841467558866924</v>
          </cell>
          <cell r="BG54">
            <v>15.936941973618326</v>
          </cell>
          <cell r="BH54">
            <v>21.277408452754134</v>
          </cell>
          <cell r="BI54">
            <v>12.988166933670659</v>
          </cell>
          <cell r="BJ54">
            <v>20.282699470464117</v>
          </cell>
          <cell r="BK54">
            <v>20.891591247013608</v>
          </cell>
          <cell r="BL54">
            <v>20.891591247013608</v>
          </cell>
          <cell r="BM54">
            <v>24.486521134760544</v>
          </cell>
          <cell r="BN54">
            <v>28.282991371687324</v>
          </cell>
          <cell r="BO54">
            <v>66.348189153077371</v>
          </cell>
          <cell r="BP54">
            <v>119.11770165952524</v>
          </cell>
          <cell r="BQ54">
            <v>33.81491048922269</v>
          </cell>
          <cell r="BR54">
            <v>17.490882858462779</v>
          </cell>
          <cell r="BS54">
            <v>14.020583043006562</v>
          </cell>
          <cell r="BT54">
            <v>14.981877181779645</v>
          </cell>
          <cell r="BU54">
            <v>22.341278875391843</v>
          </cell>
          <cell r="BV54">
            <v>18.058889640651667</v>
          </cell>
          <cell r="BW54">
            <v>21.827392167223021</v>
          </cell>
          <cell r="BX54">
            <v>20.891591247013608</v>
          </cell>
          <cell r="BY54">
            <v>20.891591247013608</v>
          </cell>
          <cell r="BZ54">
            <v>22.300714528082789</v>
          </cell>
          <cell r="CA54">
            <v>10.714688501233406</v>
          </cell>
          <cell r="CB54">
            <v>75.357496910261048</v>
          </cell>
          <cell r="CC54">
            <v>108.37289993957725</v>
          </cell>
          <cell r="CD54">
            <v>29.88765623062103</v>
          </cell>
          <cell r="CE54">
            <v>16.598806307589953</v>
          </cell>
          <cell r="CF54">
            <v>12.61040860516519</v>
          </cell>
          <cell r="CG54">
            <v>15.710500647143503</v>
          </cell>
          <cell r="CH54">
            <v>21.277408452754134</v>
          </cell>
          <cell r="CI54">
            <v>14.144647551052291</v>
          </cell>
          <cell r="CJ54">
            <v>20.421477144549911</v>
          </cell>
          <cell r="CK54">
            <v>20.891591247013608</v>
          </cell>
          <cell r="CL54">
            <v>20.891591247013608</v>
          </cell>
          <cell r="CM54">
            <v>23.946756083507154</v>
          </cell>
          <cell r="CN54">
            <v>23.943822801690327</v>
          </cell>
          <cell r="CO54">
            <v>68.57333731653128</v>
          </cell>
          <cell r="CP54">
            <v>116.46391620172876</v>
          </cell>
        </row>
        <row r="55">
          <cell r="B55">
            <v>2036</v>
          </cell>
          <cell r="D55">
            <v>29.656054596208076</v>
          </cell>
          <cell r="E55">
            <v>16.712696853897132</v>
          </cell>
          <cell r="F55">
            <v>11.530466044515604</v>
          </cell>
          <cell r="G55">
            <v>16.797335279760333</v>
          </cell>
          <cell r="H55">
            <v>21.672914133435647</v>
          </cell>
          <cell r="I55">
            <v>13.229591720684208</v>
          </cell>
          <cell r="J55">
            <v>20.659715443905476</v>
          </cell>
          <cell r="K55">
            <v>21.279925335491402</v>
          </cell>
          <cell r="L55">
            <v>21.279925335491402</v>
          </cell>
          <cell r="M55">
            <v>24.248667314287854</v>
          </cell>
          <cell r="N55">
            <v>33.194611704127333</v>
          </cell>
          <cell r="O55">
            <v>65.893691504801041</v>
          </cell>
          <cell r="P55">
            <v>123.33697052321622</v>
          </cell>
          <cell r="Q55">
            <v>30.389229675199594</v>
          </cell>
          <cell r="R55">
            <v>16.984446863205733</v>
          </cell>
          <cell r="S55">
            <v>12.282670065297623</v>
          </cell>
          <cell r="T55">
            <v>15.819892181278952</v>
          </cell>
          <cell r="U55">
            <v>21.672914133435647</v>
          </cell>
          <cell r="V55">
            <v>13.229591720684208</v>
          </cell>
          <cell r="W55">
            <v>20.659715443905476</v>
          </cell>
          <cell r="X55">
            <v>21.279925335491402</v>
          </cell>
          <cell r="Y55">
            <v>21.279925335491402</v>
          </cell>
          <cell r="Z55">
            <v>24.743604177927537</v>
          </cell>
          <cell r="AA55">
            <v>11.633655099608195</v>
          </cell>
          <cell r="AB55">
            <v>75.510453862214916</v>
          </cell>
          <cell r="AC55">
            <v>111.88771313975064</v>
          </cell>
          <cell r="AD55">
            <v>30.084036708152535</v>
          </cell>
          <cell r="AE55">
            <v>16.77034491190237</v>
          </cell>
          <cell r="AF55">
            <v>12.07479257190138</v>
          </cell>
          <cell r="AG55">
            <v>16.138790888422221</v>
          </cell>
          <cell r="AH55">
            <v>21.672914133435647</v>
          </cell>
          <cell r="AI55">
            <v>13.229591720684208</v>
          </cell>
          <cell r="AJ55">
            <v>20.659715443905476</v>
          </cell>
          <cell r="AK55">
            <v>21.279925335491402</v>
          </cell>
          <cell r="AL55">
            <v>21.279925335491402</v>
          </cell>
          <cell r="AM55">
            <v>25.888913311832557</v>
          </cell>
          <cell r="AN55">
            <v>46.684156054336789</v>
          </cell>
          <cell r="AO55">
            <v>58.993299495054472</v>
          </cell>
          <cell r="AP55">
            <v>131.56636886122382</v>
          </cell>
          <cell r="AQ55">
            <v>30.653245399752358</v>
          </cell>
          <cell r="AR55">
            <v>17.015794881579925</v>
          </cell>
          <cell r="AS55">
            <v>12.031682914655208</v>
          </cell>
          <cell r="AT55">
            <v>16.350932064587706</v>
          </cell>
          <cell r="AU55">
            <v>21.672914133435647</v>
          </cell>
          <cell r="AV55">
            <v>13.229591720684208</v>
          </cell>
          <cell r="AW55">
            <v>20.659715443905476</v>
          </cell>
          <cell r="AX55">
            <v>21.279925335491402</v>
          </cell>
          <cell r="AY55">
            <v>21.279925335491402</v>
          </cell>
          <cell r="AZ55">
            <v>25.867977642684806</v>
          </cell>
          <cell r="BA55">
            <v>63.816081713501518</v>
          </cell>
          <cell r="BB55">
            <v>51.183262533952032</v>
          </cell>
          <cell r="BC55">
            <v>140.86732189013836</v>
          </cell>
          <cell r="BD55">
            <v>30.137564928078614</v>
          </cell>
          <cell r="BE55">
            <v>16.827364224277972</v>
          </cell>
          <cell r="BF55">
            <v>12.061577432564039</v>
          </cell>
          <cell r="BG55">
            <v>16.233178759092159</v>
          </cell>
          <cell r="BH55">
            <v>21.672914133435647</v>
          </cell>
          <cell r="BI55">
            <v>13.229591720684208</v>
          </cell>
          <cell r="BJ55">
            <v>20.659715443905476</v>
          </cell>
          <cell r="BK55">
            <v>21.279925335491402</v>
          </cell>
          <cell r="BL55">
            <v>21.279925335491402</v>
          </cell>
          <cell r="BM55">
            <v>24.941677984826654</v>
          </cell>
          <cell r="BN55">
            <v>28.808717226835842</v>
          </cell>
          <cell r="BO55">
            <v>67.581473073496582</v>
          </cell>
          <cell r="BP55">
            <v>121.33186828515908</v>
          </cell>
          <cell r="BQ55">
            <v>34.443463972130203</v>
          </cell>
          <cell r="BR55">
            <v>17.816004385645826</v>
          </cell>
          <cell r="BS55">
            <v>14.281198439486303</v>
          </cell>
          <cell r="BT55">
            <v>15.260361168484311</v>
          </cell>
          <cell r="BU55">
            <v>22.756559840107428</v>
          </cell>
          <cell r="BV55">
            <v>18.394569310266402</v>
          </cell>
          <cell r="BW55">
            <v>22.233120976526507</v>
          </cell>
          <cell r="BX55">
            <v>21.279925335491402</v>
          </cell>
          <cell r="BY55">
            <v>21.279925335491402</v>
          </cell>
          <cell r="BZ55">
            <v>22.715241480399285</v>
          </cell>
          <cell r="CA55">
            <v>10.913853741604685</v>
          </cell>
          <cell r="CB55">
            <v>76.758246356610542</v>
          </cell>
          <cell r="CC55">
            <v>110.38734157861451</v>
          </cell>
          <cell r="CD55">
            <v>30.443209687599325</v>
          </cell>
          <cell r="CE55">
            <v>16.907345865015905</v>
          </cell>
          <cell r="CF55">
            <v>12.844811598844256</v>
          </cell>
          <cell r="CG55">
            <v>16.002528328338464</v>
          </cell>
          <cell r="CH55">
            <v>21.672914133435647</v>
          </cell>
          <cell r="CI55">
            <v>14.40756906567664</v>
          </cell>
          <cell r="CJ55">
            <v>20.801072725304564</v>
          </cell>
          <cell r="CK55">
            <v>21.279925335491402</v>
          </cell>
          <cell r="CL55">
            <v>21.279925335491402</v>
          </cell>
          <cell r="CM55">
            <v>24.391879750045391</v>
          </cell>
          <cell r="CN55">
            <v>24.388891944219019</v>
          </cell>
          <cell r="CO55">
            <v>69.847982417799088</v>
          </cell>
          <cell r="CP55">
            <v>118.62875411206349</v>
          </cell>
        </row>
        <row r="56">
          <cell r="B56">
            <v>2037</v>
          </cell>
          <cell r="D56">
            <v>30.218103003427235</v>
          </cell>
          <cell r="E56">
            <v>17.029439750919938</v>
          </cell>
          <cell r="F56">
            <v>11.748994104402682</v>
          </cell>
          <cell r="G56">
            <v>17.115682263810012</v>
          </cell>
          <cell r="H56">
            <v>22.083664215816889</v>
          </cell>
          <cell r="I56">
            <v>13.480322003454898</v>
          </cell>
          <cell r="J56">
            <v>21.051263150333448</v>
          </cell>
          <cell r="K56">
            <v>21.683227403261569</v>
          </cell>
          <cell r="L56">
            <v>21.683227403261569</v>
          </cell>
          <cell r="M56">
            <v>24.708233666816941</v>
          </cell>
          <cell r="N56">
            <v>33.823723664251268</v>
          </cell>
          <cell r="O56">
            <v>67.142523989780329</v>
          </cell>
          <cell r="P56">
            <v>125.67448132084854</v>
          </cell>
          <cell r="Q56">
            <v>30.96517338612556</v>
          </cell>
          <cell r="R56">
            <v>17.306340029270505</v>
          </cell>
          <cell r="S56">
            <v>12.5154540697984</v>
          </cell>
          <cell r="T56">
            <v>16.119714437608476</v>
          </cell>
          <cell r="U56">
            <v>22.083664215816889</v>
          </cell>
          <cell r="V56">
            <v>13.480322003454898</v>
          </cell>
          <cell r="W56">
            <v>21.051263150333448</v>
          </cell>
          <cell r="X56">
            <v>21.683227403261569</v>
          </cell>
          <cell r="Y56">
            <v>21.683227403261569</v>
          </cell>
          <cell r="Z56">
            <v>25.212550688393012</v>
          </cell>
          <cell r="AA56">
            <v>11.854138822338724</v>
          </cell>
          <cell r="AB56">
            <v>76.941545452094857</v>
          </cell>
          <cell r="AC56">
            <v>114.00823496282659</v>
          </cell>
          <cell r="AD56">
            <v>30.654196331364918</v>
          </cell>
          <cell r="AE56">
            <v>17.088180368256563</v>
          </cell>
          <cell r="AF56">
            <v>12.303636834057773</v>
          </cell>
          <cell r="AG56">
            <v>16.444656986822267</v>
          </cell>
          <cell r="AH56">
            <v>22.083664215816889</v>
          </cell>
          <cell r="AI56">
            <v>13.480322003454898</v>
          </cell>
          <cell r="AJ56">
            <v>21.051263150333448</v>
          </cell>
          <cell r="AK56">
            <v>21.683227403261569</v>
          </cell>
          <cell r="AL56">
            <v>21.683227403261569</v>
          </cell>
          <cell r="AM56">
            <v>26.37956598595499</v>
          </cell>
          <cell r="AN56">
            <v>47.568924979602571</v>
          </cell>
          <cell r="AO56">
            <v>60.111354154356242</v>
          </cell>
          <cell r="AP56">
            <v>134.0598451199138</v>
          </cell>
          <cell r="AQ56">
            <v>31.234192797766376</v>
          </cell>
          <cell r="AR56">
            <v>17.33828216254085</v>
          </cell>
          <cell r="AS56">
            <v>12.259710152614657</v>
          </cell>
          <cell r="AT56">
            <v>16.660818711634317</v>
          </cell>
          <cell r="AU56">
            <v>22.083664215816889</v>
          </cell>
          <cell r="AV56">
            <v>13.480322003454898</v>
          </cell>
          <cell r="AW56">
            <v>21.051263150333448</v>
          </cell>
          <cell r="AX56">
            <v>21.683227403261569</v>
          </cell>
          <cell r="AY56">
            <v>21.683227403261569</v>
          </cell>
          <cell r="AZ56">
            <v>26.358233539162377</v>
          </cell>
          <cell r="BA56">
            <v>65.02553885709024</v>
          </cell>
          <cell r="BB56">
            <v>52.153299566024607</v>
          </cell>
          <cell r="BC56">
            <v>143.53707196227722</v>
          </cell>
          <cell r="BD56">
            <v>30.708739030498037</v>
          </cell>
          <cell r="BE56">
            <v>17.146280323830922</v>
          </cell>
          <cell r="BF56">
            <v>12.290171238342573</v>
          </cell>
          <cell r="BG56">
            <v>16.540833718252443</v>
          </cell>
          <cell r="BH56">
            <v>22.083664215816889</v>
          </cell>
          <cell r="BI56">
            <v>13.480322003454898</v>
          </cell>
          <cell r="BJ56">
            <v>21.051263150333448</v>
          </cell>
          <cell r="BK56">
            <v>21.683227403261569</v>
          </cell>
          <cell r="BL56">
            <v>21.683227403261569</v>
          </cell>
          <cell r="BM56">
            <v>25.41437843590208</v>
          </cell>
          <cell r="BN56">
            <v>29.35470670021105</v>
          </cell>
          <cell r="BO56">
            <v>68.862292785210357</v>
          </cell>
          <cell r="BP56">
            <v>123.63137792132349</v>
          </cell>
          <cell r="BQ56">
            <v>35.096244469341777</v>
          </cell>
          <cell r="BR56">
            <v>18.153657422245036</v>
          </cell>
          <cell r="BS56">
            <v>14.551859016066182</v>
          </cell>
          <cell r="BT56">
            <v>15.549579063619706</v>
          </cell>
          <cell r="BU56">
            <v>23.187847426607732</v>
          </cell>
          <cell r="BV56">
            <v>18.74318744315989</v>
          </cell>
          <cell r="BW56">
            <v>22.654488228593991</v>
          </cell>
          <cell r="BX56">
            <v>21.683227403261569</v>
          </cell>
          <cell r="BY56">
            <v>21.683227403261569</v>
          </cell>
          <cell r="BZ56">
            <v>23.14574599178798</v>
          </cell>
          <cell r="CA56">
            <v>11.120695622482394</v>
          </cell>
          <cell r="CB56">
            <v>78.212986398503531</v>
          </cell>
          <cell r="CC56">
            <v>112.47942801277391</v>
          </cell>
          <cell r="CD56">
            <v>31.020176440207809</v>
          </cell>
          <cell r="CE56">
            <v>17.227777795126748</v>
          </cell>
          <cell r="CF56">
            <v>13.088249439732358</v>
          </cell>
          <cell r="CG56">
            <v>16.305811947177368</v>
          </cell>
          <cell r="CH56">
            <v>22.083664215816889</v>
          </cell>
          <cell r="CI56">
            <v>14.680624647598144</v>
          </cell>
          <cell r="CJ56">
            <v>21.19529946763064</v>
          </cell>
          <cell r="CK56">
            <v>21.683227403261569</v>
          </cell>
          <cell r="CL56">
            <v>21.683227403261569</v>
          </cell>
          <cell r="CM56">
            <v>24.854160297787139</v>
          </cell>
          <cell r="CN56">
            <v>24.851115866373554</v>
          </cell>
          <cell r="CO56">
            <v>71.171757538931189</v>
          </cell>
          <cell r="CP56">
            <v>120.87703370309188</v>
          </cell>
        </row>
        <row r="57">
          <cell r="B57">
            <v>2038</v>
          </cell>
          <cell r="D57">
            <v>30.813747905364142</v>
          </cell>
          <cell r="E57">
            <v>17.365115983452693</v>
          </cell>
          <cell r="F57">
            <v>11.980584698967155</v>
          </cell>
          <cell r="G57">
            <v>17.453058467817726</v>
          </cell>
          <cell r="H57">
            <v>22.51896692177252</v>
          </cell>
          <cell r="I57">
            <v>13.746039711707965</v>
          </cell>
          <cell r="J57">
            <v>21.466215656564774</v>
          </cell>
          <cell r="K57">
            <v>22.110636888854575</v>
          </cell>
          <cell r="L57">
            <v>22.110636888854575</v>
          </cell>
          <cell r="M57">
            <v>25.195270639913375</v>
          </cell>
          <cell r="N57">
            <v>34.49044084907419</v>
          </cell>
          <cell r="O57">
            <v>68.466005550259268</v>
          </cell>
          <cell r="P57">
            <v>128.15171703924682</v>
          </cell>
          <cell r="Q57">
            <v>31.575544184813559</v>
          </cell>
          <cell r="R57">
            <v>17.647474388646156</v>
          </cell>
          <cell r="S57">
            <v>12.762152759363904</v>
          </cell>
          <cell r="T57">
            <v>16.437458596609829</v>
          </cell>
          <cell r="U57">
            <v>22.51896692177252</v>
          </cell>
          <cell r="V57">
            <v>13.746039711707965</v>
          </cell>
          <cell r="W57">
            <v>21.466215656564774</v>
          </cell>
          <cell r="X57">
            <v>22.110636888854575</v>
          </cell>
          <cell r="Y57">
            <v>22.110636888854575</v>
          </cell>
          <cell r="Z57">
            <v>25.70952851922058</v>
          </cell>
          <cell r="AA57">
            <v>12.087801979671189</v>
          </cell>
          <cell r="AB57">
            <v>78.458180672065126</v>
          </cell>
          <cell r="AC57">
            <v>116.25551117095689</v>
          </cell>
          <cell r="AD57">
            <v>31.258437297969596</v>
          </cell>
          <cell r="AE57">
            <v>17.425014467954217</v>
          </cell>
          <cell r="AF57">
            <v>12.54616028282153</v>
          </cell>
          <cell r="AG57">
            <v>16.76880625910421</v>
          </cell>
          <cell r="AH57">
            <v>22.51896692177252</v>
          </cell>
          <cell r="AI57">
            <v>13.746039711707965</v>
          </cell>
          <cell r="AJ57">
            <v>21.466215656564774</v>
          </cell>
          <cell r="AK57">
            <v>22.110636888854575</v>
          </cell>
          <cell r="AL57">
            <v>22.110636888854575</v>
          </cell>
          <cell r="AM57">
            <v>26.899547468348516</v>
          </cell>
          <cell r="AN57">
            <v>48.50658104793704</v>
          </cell>
          <cell r="AO57">
            <v>61.296240632720064</v>
          </cell>
          <cell r="AP57">
            <v>136.70236914900562</v>
          </cell>
          <cell r="AQ57">
            <v>31.84986637939372</v>
          </cell>
          <cell r="AR57">
            <v>17.680046150084664</v>
          </cell>
          <cell r="AS57">
            <v>12.501367739485707</v>
          </cell>
          <cell r="AT57">
            <v>16.989228861224266</v>
          </cell>
          <cell r="AU57">
            <v>22.51896692177252</v>
          </cell>
          <cell r="AV57">
            <v>13.746039711707965</v>
          </cell>
          <cell r="AW57">
            <v>21.466215656564774</v>
          </cell>
          <cell r="AX57">
            <v>22.110636888854575</v>
          </cell>
          <cell r="AY57">
            <v>22.110636888854575</v>
          </cell>
          <cell r="AZ57">
            <v>26.877794526491193</v>
          </cell>
          <cell r="BA57">
            <v>66.307291411561749</v>
          </cell>
          <cell r="BB57">
            <v>53.181320650014143</v>
          </cell>
          <cell r="BC57">
            <v>146.36640658806709</v>
          </cell>
          <cell r="BD57">
            <v>31.314055116896728</v>
          </cell>
          <cell r="BE57">
            <v>17.484259662272937</v>
          </cell>
          <cell r="BF57">
            <v>12.532429259675682</v>
          </cell>
          <cell r="BG57">
            <v>16.866878780609465</v>
          </cell>
          <cell r="BH57">
            <v>22.51896692177252</v>
          </cell>
          <cell r="BI57">
            <v>13.746039711707965</v>
          </cell>
          <cell r="BJ57">
            <v>21.466215656564774</v>
          </cell>
          <cell r="BK57">
            <v>22.110636888854575</v>
          </cell>
          <cell r="BL57">
            <v>22.110636888854575</v>
          </cell>
          <cell r="BM57">
            <v>25.915334599481358</v>
          </cell>
          <cell r="BN57">
            <v>29.933332744071276</v>
          </cell>
          <cell r="BO57">
            <v>70.219673611814358</v>
          </cell>
          <cell r="BP57">
            <v>126.06834095536699</v>
          </cell>
          <cell r="BQ57">
            <v>35.788044980211836</v>
          </cell>
          <cell r="BR57">
            <v>18.511493699851311</v>
          </cell>
          <cell r="BS57">
            <v>14.838698353255593</v>
          </cell>
          <cell r="BT57">
            <v>15.856084984770995</v>
          </cell>
          <cell r="BU57">
            <v>23.644915267861148</v>
          </cell>
          <cell r="BV57">
            <v>19.112644256689844</v>
          </cell>
          <cell r="BW57">
            <v>23.101042746520594</v>
          </cell>
          <cell r="BX57">
            <v>22.110636888854575</v>
          </cell>
          <cell r="BY57">
            <v>22.110636888854575</v>
          </cell>
          <cell r="BZ57">
            <v>23.601983949543683</v>
          </cell>
          <cell r="CA57">
            <v>11.339901495623156</v>
          </cell>
          <cell r="CB57">
            <v>79.754683658859207</v>
          </cell>
          <cell r="CC57">
            <v>114.69656910402605</v>
          </cell>
          <cell r="CD57">
            <v>31.631631432988051</v>
          </cell>
          <cell r="CE57">
            <v>17.567363573036278</v>
          </cell>
          <cell r="CF57">
            <v>13.346238799725306</v>
          </cell>
          <cell r="CG57">
            <v>16.627224371947264</v>
          </cell>
          <cell r="CH57">
            <v>22.51896692177252</v>
          </cell>
          <cell r="CI57">
            <v>14.970002151791554</v>
          </cell>
          <cell r="CJ57">
            <v>21.613091149374803</v>
          </cell>
          <cell r="CK57">
            <v>22.110636888854575</v>
          </cell>
          <cell r="CL57">
            <v>22.110636888854575</v>
          </cell>
          <cell r="CM57">
            <v>25.344073707362206</v>
          </cell>
          <cell r="CN57">
            <v>25.340969265561782</v>
          </cell>
          <cell r="CO57">
            <v>72.574661438462741</v>
          </cell>
          <cell r="CP57">
            <v>123.25970441138674</v>
          </cell>
        </row>
        <row r="58">
          <cell r="B58">
            <v>2039</v>
          </cell>
          <cell r="D58">
            <v>31.435966213601624</v>
          </cell>
          <cell r="E58">
            <v>17.715767683556031</v>
          </cell>
          <cell r="F58">
            <v>12.22250720595922</v>
          </cell>
          <cell r="G58">
            <v>17.805485979938862</v>
          </cell>
          <cell r="H58">
            <v>22.973689714480312</v>
          </cell>
          <cell r="I58">
            <v>14.023611839598818</v>
          </cell>
          <cell r="J58">
            <v>21.899680369494536</v>
          </cell>
          <cell r="K58">
            <v>22.557114322281013</v>
          </cell>
          <cell r="L58">
            <v>22.557114322281013</v>
          </cell>
          <cell r="M58">
            <v>25.704035711961726</v>
          </cell>
          <cell r="N58">
            <v>35.186902176056748</v>
          </cell>
          <cell r="O58">
            <v>69.8485313720482</v>
          </cell>
          <cell r="P58">
            <v>130.73946926006667</v>
          </cell>
          <cell r="Q58">
            <v>32.213145353768809</v>
          </cell>
          <cell r="R58">
            <v>18.003827718091554</v>
          </cell>
          <cell r="S58">
            <v>13.01985737627022</v>
          </cell>
          <cell r="T58">
            <v>16.769378222587093</v>
          </cell>
          <cell r="U58">
            <v>22.973689714480312</v>
          </cell>
          <cell r="V58">
            <v>14.023611839598818</v>
          </cell>
          <cell r="W58">
            <v>21.899680369494536</v>
          </cell>
          <cell r="X58">
            <v>22.557114322281013</v>
          </cell>
          <cell r="Y58">
            <v>22.557114322281013</v>
          </cell>
          <cell r="Z58">
            <v>26.228677938821949</v>
          </cell>
          <cell r="AA58">
            <v>12.331889512327072</v>
          </cell>
          <cell r="AB58">
            <v>80.042477285222802</v>
          </cell>
          <cell r="AC58">
            <v>118.60304473637183</v>
          </cell>
          <cell r="AD58">
            <v>31.889635165668906</v>
          </cell>
          <cell r="AE58">
            <v>17.776875690956455</v>
          </cell>
          <cell r="AF58">
            <v>12.799503389607139</v>
          </cell>
          <cell r="AG58">
            <v>17.107416748608653</v>
          </cell>
          <cell r="AH58">
            <v>22.973689714480312</v>
          </cell>
          <cell r="AI58">
            <v>14.023611839598818</v>
          </cell>
          <cell r="AJ58">
            <v>21.899680369494536</v>
          </cell>
          <cell r="AK58">
            <v>22.557114322281013</v>
          </cell>
          <cell r="AL58">
            <v>22.557114322281013</v>
          </cell>
          <cell r="AM58">
            <v>27.442726797572405</v>
          </cell>
          <cell r="AN58">
            <v>49.486068609486722</v>
          </cell>
          <cell r="AO58">
            <v>62.533988253195957</v>
          </cell>
          <cell r="AP58">
            <v>139.46278366025507</v>
          </cell>
          <cell r="AQ58">
            <v>32.493006903455914</v>
          </cell>
          <cell r="AR58">
            <v>18.037057197194297</v>
          </cell>
          <cell r="AS58">
            <v>12.75380635582693</v>
          </cell>
          <cell r="AT58">
            <v>17.332290317842794</v>
          </cell>
          <cell r="AU58">
            <v>22.973689714480312</v>
          </cell>
          <cell r="AV58">
            <v>14.023611839598818</v>
          </cell>
          <cell r="AW58">
            <v>21.899680369494536</v>
          </cell>
          <cell r="AX58">
            <v>22.557114322281013</v>
          </cell>
          <cell r="AY58">
            <v>22.557114322281013</v>
          </cell>
          <cell r="AZ58">
            <v>27.420534601174438</v>
          </cell>
          <cell r="BA58">
            <v>67.646226578183573</v>
          </cell>
          <cell r="BB58">
            <v>54.255204666535427</v>
          </cell>
          <cell r="BC58">
            <v>149.32196584589343</v>
          </cell>
          <cell r="BD58">
            <v>31.946376068529453</v>
          </cell>
          <cell r="BE58">
            <v>17.837317216363928</v>
          </cell>
          <cell r="BF58">
            <v>12.785495097561109</v>
          </cell>
          <cell r="BG58">
            <v>17.207469636754244</v>
          </cell>
          <cell r="BH58">
            <v>22.973689714480312</v>
          </cell>
          <cell r="BI58">
            <v>14.023611839598818</v>
          </cell>
          <cell r="BJ58">
            <v>21.899680369494536</v>
          </cell>
          <cell r="BK58">
            <v>22.557114322281013</v>
          </cell>
          <cell r="BL58">
            <v>22.557114322281013</v>
          </cell>
          <cell r="BM58">
            <v>26.438639836527532</v>
          </cell>
          <cell r="BN58">
            <v>30.537772934765616</v>
          </cell>
          <cell r="BO58">
            <v>71.637611042013333</v>
          </cell>
          <cell r="BP58">
            <v>128.61402381330649</v>
          </cell>
          <cell r="BQ58">
            <v>36.510708671467569</v>
          </cell>
          <cell r="BR58">
            <v>18.885294067409493</v>
          </cell>
          <cell r="BS58">
            <v>15.138334405778814</v>
          </cell>
          <cell r="BT58">
            <v>16.176265003274242</v>
          </cell>
          <cell r="BU58">
            <v>24.122374200204327</v>
          </cell>
          <cell r="BV58">
            <v>19.498583585195615</v>
          </cell>
          <cell r="BW58">
            <v>23.567519326403282</v>
          </cell>
          <cell r="BX58">
            <v>22.557114322281013</v>
          </cell>
          <cell r="BY58">
            <v>22.557114322281013</v>
          </cell>
          <cell r="BZ58">
            <v>24.078575974935596</v>
          </cell>
          <cell r="CA58">
            <v>11.568886763687805</v>
          </cell>
          <cell r="CB58">
            <v>81.365160401014677</v>
          </cell>
          <cell r="CC58">
            <v>117.01262313963808</v>
          </cell>
          <cell r="CD58">
            <v>32.270365165005082</v>
          </cell>
          <cell r="CE58">
            <v>17.922099234409835</v>
          </cell>
          <cell r="CF58">
            <v>13.615737795848814</v>
          </cell>
          <cell r="CG58">
            <v>16.962975915419747</v>
          </cell>
          <cell r="CH58">
            <v>22.973689714480312</v>
          </cell>
          <cell r="CI58">
            <v>15.272289606138438</v>
          </cell>
          <cell r="CJ58">
            <v>22.049521701479289</v>
          </cell>
          <cell r="CK58">
            <v>22.557114322281013</v>
          </cell>
          <cell r="CL58">
            <v>22.557114322281013</v>
          </cell>
          <cell r="CM58">
            <v>25.855843541868307</v>
          </cell>
          <cell r="CN58">
            <v>25.852676412447703</v>
          </cell>
          <cell r="CO58">
            <v>74.040152854821315</v>
          </cell>
          <cell r="CP58">
            <v>125.74867280913733</v>
          </cell>
        </row>
        <row r="59">
          <cell r="B59">
            <v>2040</v>
          </cell>
          <cell r="D59">
            <v>32.082766335617187</v>
          </cell>
          <cell r="E59">
            <v>18.080272487431461</v>
          </cell>
          <cell r="F59">
            <v>12.47398728131094</v>
          </cell>
          <cell r="G59">
            <v>18.171836752366787</v>
          </cell>
          <cell r="H59">
            <v>23.446377120030597</v>
          </cell>
          <cell r="I59">
            <v>14.312149935972867</v>
          </cell>
          <cell r="J59">
            <v>22.350269857943672</v>
          </cell>
          <cell r="K59">
            <v>23.021230621326332</v>
          </cell>
          <cell r="L59">
            <v>23.021230621326332</v>
          </cell>
          <cell r="M59">
            <v>26.23290043085801</v>
          </cell>
          <cell r="N59">
            <v>35.910878416080067</v>
          </cell>
          <cell r="O59">
            <v>71.285676275025665</v>
          </cell>
          <cell r="P59">
            <v>133.42945512196374</v>
          </cell>
          <cell r="Q59">
            <v>32.875936063103133</v>
          </cell>
          <cell r="R59">
            <v>18.374259404068187</v>
          </cell>
          <cell r="S59">
            <v>13.287743061169364</v>
          </cell>
          <cell r="T59">
            <v>17.114410909249088</v>
          </cell>
          <cell r="U59">
            <v>23.446377120030597</v>
          </cell>
          <cell r="V59">
            <v>14.312149935972867</v>
          </cell>
          <cell r="W59">
            <v>22.350269857943672</v>
          </cell>
          <cell r="X59">
            <v>23.021230621326332</v>
          </cell>
          <cell r="Y59">
            <v>23.021230621326332</v>
          </cell>
          <cell r="Z59">
            <v>26.768337256937542</v>
          </cell>
          <cell r="AA59">
            <v>12.585620146437645</v>
          </cell>
          <cell r="AB59">
            <v>81.689364284742183</v>
          </cell>
          <cell r="AC59">
            <v>121.04332168811737</v>
          </cell>
          <cell r="AD59">
            <v>32.545769600221838</v>
          </cell>
          <cell r="AE59">
            <v>18.142637802031359</v>
          </cell>
          <cell r="AF59">
            <v>13.062855255361297</v>
          </cell>
          <cell r="AG59">
            <v>17.459404632969708</v>
          </cell>
          <cell r="AH59">
            <v>23.446377120030597</v>
          </cell>
          <cell r="AI59">
            <v>14.312149935972867</v>
          </cell>
          <cell r="AJ59">
            <v>22.350269857943672</v>
          </cell>
          <cell r="AK59">
            <v>23.021230621326332</v>
          </cell>
          <cell r="AL59">
            <v>23.021230621326332</v>
          </cell>
          <cell r="AM59">
            <v>28.007365368580594</v>
          </cell>
          <cell r="AN59">
            <v>50.504252526507152</v>
          </cell>
          <cell r="AO59">
            <v>63.820635240836097</v>
          </cell>
          <cell r="AP59">
            <v>142.33225313592385</v>
          </cell>
          <cell r="AQ59">
            <v>33.161555809731126</v>
          </cell>
          <cell r="AR59">
            <v>18.408172585112588</v>
          </cell>
          <cell r="AS59">
            <v>13.016217997672463</v>
          </cell>
          <cell r="AT59">
            <v>17.688905012495937</v>
          </cell>
          <cell r="AU59">
            <v>23.446377120030597</v>
          </cell>
          <cell r="AV59">
            <v>14.312149935972867</v>
          </cell>
          <cell r="AW59">
            <v>22.350269857943672</v>
          </cell>
          <cell r="AX59">
            <v>23.021230621326332</v>
          </cell>
          <cell r="AY59">
            <v>23.021230621326332</v>
          </cell>
          <cell r="AZ59">
            <v>27.984716564129279</v>
          </cell>
          <cell r="BA59">
            <v>69.038058701534396</v>
          </cell>
          <cell r="BB59">
            <v>55.371514334253277</v>
          </cell>
          <cell r="BC59">
            <v>152.39428959991696</v>
          </cell>
          <cell r="BD59">
            <v>32.603677956395067</v>
          </cell>
          <cell r="BE59">
            <v>18.204322921662808</v>
          </cell>
          <cell r="BF59">
            <v>13.04855874042614</v>
          </cell>
          <cell r="BG59">
            <v>17.561516125575583</v>
          </cell>
          <cell r="BH59">
            <v>23.446377120030597</v>
          </cell>
          <cell r="BI59">
            <v>14.312149935972867</v>
          </cell>
          <cell r="BJ59">
            <v>22.350269857943672</v>
          </cell>
          <cell r="BK59">
            <v>23.021230621326332</v>
          </cell>
          <cell r="BL59">
            <v>23.021230621326332</v>
          </cell>
          <cell r="BM59">
            <v>26.982619154866178</v>
          </cell>
          <cell r="BN59">
            <v>31.166092583860546</v>
          </cell>
          <cell r="BO59">
            <v>73.111566550428108</v>
          </cell>
          <cell r="BP59">
            <v>131.26027828915483</v>
          </cell>
          <cell r="BQ59">
            <v>37.261922445624201</v>
          </cell>
          <cell r="BR59">
            <v>19.273862067009112</v>
          </cell>
          <cell r="BS59">
            <v>15.449808100407413</v>
          </cell>
          <cell r="BT59">
            <v>16.509094288901448</v>
          </cell>
          <cell r="BU59">
            <v>24.618695976032129</v>
          </cell>
          <cell r="BV59">
            <v>19.899770116455421</v>
          </cell>
          <cell r="BW59">
            <v>24.05242487288292</v>
          </cell>
          <cell r="BX59">
            <v>23.021230621326332</v>
          </cell>
          <cell r="BY59">
            <v>23.021230621326332</v>
          </cell>
          <cell r="BZ59">
            <v>24.57399659514898</v>
          </cell>
          <cell r="CA59">
            <v>11.806918492042952</v>
          </cell>
          <cell r="CB59">
            <v>83.039261820948852</v>
          </cell>
          <cell r="CC59">
            <v>119.42017690814077</v>
          </cell>
          <cell r="CD59">
            <v>32.934333181269878</v>
          </cell>
          <cell r="CE59">
            <v>18.290849343530891</v>
          </cell>
          <cell r="CF59">
            <v>13.895883817378659</v>
          </cell>
          <cell r="CG59">
            <v>17.311991906125755</v>
          </cell>
          <cell r="CH59">
            <v>23.446377120030597</v>
          </cell>
          <cell r="CI59">
            <v>15.586519450819766</v>
          </cell>
          <cell r="CJ59">
            <v>22.5031941997253</v>
          </cell>
          <cell r="CK59">
            <v>23.021230621326332</v>
          </cell>
          <cell r="CL59">
            <v>23.021230621326332</v>
          </cell>
          <cell r="CM59">
            <v>26.387831731576313</v>
          </cell>
          <cell r="CN59">
            <v>26.384599437952328</v>
          </cell>
          <cell r="CO59">
            <v>75.563541052122204</v>
          </cell>
          <cell r="CP59">
            <v>128.33597222165085</v>
          </cell>
        </row>
        <row r="60">
          <cell r="B60">
            <v>2041</v>
          </cell>
          <cell r="D60">
            <v>32.742503252582857</v>
          </cell>
          <cell r="E60">
            <v>18.452067834004019</v>
          </cell>
          <cell r="F60">
            <v>12.730497266302626</v>
          </cell>
          <cell r="G60">
            <v>18.545514989124705</v>
          </cell>
          <cell r="H60">
            <v>23.928518852865231</v>
          </cell>
          <cell r="I60">
            <v>14.606459147813698</v>
          </cell>
          <cell r="J60">
            <v>22.809871688259051</v>
          </cell>
          <cell r="K60">
            <v>23.494629815023924</v>
          </cell>
          <cell r="L60">
            <v>23.494629815023924</v>
          </cell>
          <cell r="M60">
            <v>26.772343092138371</v>
          </cell>
          <cell r="N60">
            <v>36.649335067975812</v>
          </cell>
          <cell r="O60">
            <v>72.751565836964303</v>
          </cell>
          <cell r="P60">
            <v>136.17324399707849</v>
          </cell>
          <cell r="Q60">
            <v>33.55198339872684</v>
          </cell>
          <cell r="R60">
            <v>18.752100177646046</v>
          </cell>
          <cell r="S60">
            <v>13.560986788000847</v>
          </cell>
          <cell r="T60">
            <v>17.466344672405182</v>
          </cell>
          <cell r="U60">
            <v>23.928518852865231</v>
          </cell>
          <cell r="V60">
            <v>14.606459147813698</v>
          </cell>
          <cell r="W60">
            <v>22.809871688259051</v>
          </cell>
          <cell r="X60">
            <v>23.494629815023924</v>
          </cell>
          <cell r="Y60">
            <v>23.494629815023924</v>
          </cell>
          <cell r="Z60">
            <v>27.318790422647989</v>
          </cell>
          <cell r="AA60">
            <v>12.844425704120923</v>
          </cell>
          <cell r="AB60">
            <v>83.369191042145886</v>
          </cell>
          <cell r="AC60">
            <v>123.5324071689148</v>
          </cell>
          <cell r="AD60">
            <v>33.215027527412744</v>
          </cell>
          <cell r="AE60">
            <v>18.515715603487926</v>
          </cell>
          <cell r="AF60">
            <v>13.33147448110971</v>
          </cell>
          <cell r="AG60">
            <v>17.818432706300904</v>
          </cell>
          <cell r="AH60">
            <v>23.928518852865231</v>
          </cell>
          <cell r="AI60">
            <v>14.606459147813698</v>
          </cell>
          <cell r="AJ60">
            <v>22.809871688259051</v>
          </cell>
          <cell r="AK60">
            <v>23.494629815023924</v>
          </cell>
          <cell r="AL60">
            <v>23.494629815023924</v>
          </cell>
          <cell r="AM60">
            <v>28.583297402848011</v>
          </cell>
          <cell r="AN60">
            <v>51.542801369426066</v>
          </cell>
          <cell r="AO60">
            <v>65.13301674472892</v>
          </cell>
          <cell r="AP60">
            <v>145.25911551700301</v>
          </cell>
          <cell r="AQ60">
            <v>33.843476513289936</v>
          </cell>
          <cell r="AR60">
            <v>18.786710735508667</v>
          </cell>
          <cell r="AS60">
            <v>13.283878193882041</v>
          </cell>
          <cell r="AT60">
            <v>18.052652437994183</v>
          </cell>
          <cell r="AU60">
            <v>23.928518852865231</v>
          </cell>
          <cell r="AV60">
            <v>14.606459147813698</v>
          </cell>
          <cell r="AW60">
            <v>22.809871688259051</v>
          </cell>
          <cell r="AX60">
            <v>23.494629815023924</v>
          </cell>
          <cell r="AY60">
            <v>23.494629815023924</v>
          </cell>
          <cell r="AZ60">
            <v>28.560182857622806</v>
          </cell>
          <cell r="BA60">
            <v>70.457729172733139</v>
          </cell>
          <cell r="BB60">
            <v>56.510151563114839</v>
          </cell>
          <cell r="BC60">
            <v>155.52806359347079</v>
          </cell>
          <cell r="BD60">
            <v>33.274126687395366</v>
          </cell>
          <cell r="BE60">
            <v>18.578669190751583</v>
          </cell>
          <cell r="BF60">
            <v>13.316883978474488</v>
          </cell>
          <cell r="BG60">
            <v>17.922643977978623</v>
          </cell>
          <cell r="BH60">
            <v>23.928518852865231</v>
          </cell>
          <cell r="BI60">
            <v>14.606459147813698</v>
          </cell>
          <cell r="BJ60">
            <v>22.809871688259051</v>
          </cell>
          <cell r="BK60">
            <v>23.494629815023924</v>
          </cell>
          <cell r="BL60">
            <v>23.494629815023924</v>
          </cell>
          <cell r="BM60">
            <v>27.537478726097337</v>
          </cell>
          <cell r="BN60">
            <v>31.806979395803442</v>
          </cell>
          <cell r="BO60">
            <v>74.615002975015997</v>
          </cell>
          <cell r="BP60">
            <v>133.95946109691678</v>
          </cell>
          <cell r="BQ60">
            <v>38.028161415709484</v>
          </cell>
          <cell r="BR60">
            <v>19.670201902704438</v>
          </cell>
          <cell r="BS60">
            <v>15.767511650570359</v>
          </cell>
          <cell r="BT60">
            <v>16.848580568049506</v>
          </cell>
          <cell r="BU60">
            <v>25.124944795508494</v>
          </cell>
          <cell r="BV60">
            <v>20.308980869905344</v>
          </cell>
          <cell r="BW60">
            <v>24.547029124436111</v>
          </cell>
          <cell r="BX60">
            <v>23.494629815023924</v>
          </cell>
          <cell r="BY60">
            <v>23.494629815023924</v>
          </cell>
          <cell r="BZ60">
            <v>25.079326234794483</v>
          </cell>
          <cell r="CA60">
            <v>12.049711146620176</v>
          </cell>
          <cell r="CB60">
            <v>84.746847320520857</v>
          </cell>
          <cell r="CC60">
            <v>121.87588470193552</v>
          </cell>
          <cell r="CD60">
            <v>33.611581371405201</v>
          </cell>
          <cell r="CE60">
            <v>18.666974906655664</v>
          </cell>
          <cell r="CF60">
            <v>14.181633102595775</v>
          </cell>
          <cell r="CG60">
            <v>17.667988644287401</v>
          </cell>
          <cell r="CH60">
            <v>23.928518852865231</v>
          </cell>
          <cell r="CI60">
            <v>15.907034277413548</v>
          </cell>
          <cell r="CJ60">
            <v>22.965940703811029</v>
          </cell>
          <cell r="CK60">
            <v>23.494629815023924</v>
          </cell>
          <cell r="CL60">
            <v>23.494629815023924</v>
          </cell>
          <cell r="CM60">
            <v>26.930460336911754</v>
          </cell>
          <cell r="CN60">
            <v>26.927161575720483</v>
          </cell>
          <cell r="CO60">
            <v>77.117398879942712</v>
          </cell>
          <cell r="CP60">
            <v>130.97502079257495</v>
          </cell>
        </row>
        <row r="61">
          <cell r="B61">
            <v>2042</v>
          </cell>
          <cell r="D61">
            <v>33.410165677679096</v>
          </cell>
          <cell r="E61">
            <v>18.828329607975732</v>
          </cell>
          <cell r="F61">
            <v>12.990088740171691</v>
          </cell>
          <cell r="G61">
            <v>18.92368227269429</v>
          </cell>
          <cell r="H61">
            <v>24.416452619047416</v>
          </cell>
          <cell r="I61">
            <v>14.904303935717296</v>
          </cell>
          <cell r="J61">
            <v>23.274994777047802</v>
          </cell>
          <cell r="K61">
            <v>23.973716016773018</v>
          </cell>
          <cell r="L61">
            <v>23.973716016773018</v>
          </cell>
          <cell r="M61">
            <v>27.318266150510386</v>
          </cell>
          <cell r="N61">
            <v>37.39666289874328</v>
          </cell>
          <cell r="O61">
            <v>74.235065326955933</v>
          </cell>
          <cell r="P61">
            <v>138.94999437620959</v>
          </cell>
          <cell r="Q61">
            <v>34.236152181729572</v>
          </cell>
          <cell r="R61">
            <v>19.134480003149068</v>
          </cell>
          <cell r="S61">
            <v>13.837513028396364</v>
          </cell>
          <cell r="T61">
            <v>17.822506263093118</v>
          </cell>
          <cell r="U61">
            <v>24.416452619047416</v>
          </cell>
          <cell r="V61">
            <v>14.904303935717296</v>
          </cell>
          <cell r="W61">
            <v>23.274994777047802</v>
          </cell>
          <cell r="X61">
            <v>23.973716016773018</v>
          </cell>
          <cell r="Y61">
            <v>23.973716016773018</v>
          </cell>
          <cell r="Z61">
            <v>27.875856256117586</v>
          </cell>
          <cell r="AA61">
            <v>13.106340327704425</v>
          </cell>
          <cell r="AB61">
            <v>85.069197783845453</v>
          </cell>
          <cell r="AC61">
            <v>126.05139436766746</v>
          </cell>
          <cell r="AD61">
            <v>33.892325339907927</v>
          </cell>
          <cell r="AE61">
            <v>18.8932752386463</v>
          </cell>
          <cell r="AF61">
            <v>13.603320665669962</v>
          </cell>
          <cell r="AG61">
            <v>18.181773832064234</v>
          </cell>
          <cell r="AH61">
            <v>24.416452619047416</v>
          </cell>
          <cell r="AI61">
            <v>14.904303935717296</v>
          </cell>
          <cell r="AJ61">
            <v>23.274994777047802</v>
          </cell>
          <cell r="AK61">
            <v>23.973716016773018</v>
          </cell>
          <cell r="AL61">
            <v>23.973716016773018</v>
          </cell>
          <cell r="AM61">
            <v>29.16614818594222</v>
          </cell>
          <cell r="AN61">
            <v>52.59382643898455</v>
          </cell>
          <cell r="AO61">
            <v>66.461164063770241</v>
          </cell>
          <cell r="AP61">
            <v>148.22113868869701</v>
          </cell>
          <cell r="AQ61">
            <v>34.533589221785071</v>
          </cell>
          <cell r="AR61">
            <v>19.169796315511221</v>
          </cell>
          <cell r="AS61">
            <v>13.554753827952894</v>
          </cell>
          <cell r="AT61">
            <v>18.420769610135562</v>
          </cell>
          <cell r="AU61">
            <v>24.416452619047416</v>
          </cell>
          <cell r="AV61">
            <v>14.904303935717296</v>
          </cell>
          <cell r="AW61">
            <v>23.274994777047802</v>
          </cell>
          <cell r="AX61">
            <v>23.973716016773018</v>
          </cell>
          <cell r="AY61">
            <v>23.973716016773018</v>
          </cell>
          <cell r="AZ61">
            <v>29.142562304936696</v>
          </cell>
          <cell r="BA61">
            <v>71.894454335844486</v>
          </cell>
          <cell r="BB61">
            <v>57.662467393829736</v>
          </cell>
          <cell r="BC61">
            <v>158.69948403461092</v>
          </cell>
          <cell r="BD61">
            <v>33.952629608985923</v>
          </cell>
          <cell r="BE61">
            <v>18.957512531814071</v>
          </cell>
          <cell r="BF61">
            <v>13.58843264362098</v>
          </cell>
          <cell r="BG61">
            <v>18.288110107741616</v>
          </cell>
          <cell r="BH61">
            <v>24.416452619047416</v>
          </cell>
          <cell r="BI61">
            <v>14.904303935717296</v>
          </cell>
          <cell r="BJ61">
            <v>23.274994777047802</v>
          </cell>
          <cell r="BK61">
            <v>23.973716016773018</v>
          </cell>
          <cell r="BL61">
            <v>23.973716016773018</v>
          </cell>
          <cell r="BM61">
            <v>28.099003899828574</v>
          </cell>
          <cell r="BN61">
            <v>32.455565267035297</v>
          </cell>
          <cell r="BO61">
            <v>76.136500383157269</v>
          </cell>
          <cell r="BP61">
            <v>136.69106955002115</v>
          </cell>
          <cell r="BQ61">
            <v>38.803605317383699</v>
          </cell>
          <cell r="BR61">
            <v>20.071303022041008</v>
          </cell>
          <cell r="BS61">
            <v>16.089031816122226</v>
          </cell>
          <cell r="BT61">
            <v>17.192145141433365</v>
          </cell>
          <cell r="BU61">
            <v>25.637275249999789</v>
          </cell>
          <cell r="BV61">
            <v>20.723107527058978</v>
          </cell>
          <cell r="BW61">
            <v>25.047575123246894</v>
          </cell>
          <cell r="BX61">
            <v>23.973716016773018</v>
          </cell>
          <cell r="BY61">
            <v>23.973716016773018</v>
          </cell>
          <cell r="BZ61">
            <v>25.590726467224229</v>
          </cell>
          <cell r="CA61">
            <v>12.295420501943427</v>
          </cell>
          <cell r="CB61">
            <v>86.474946273884058</v>
          </cell>
          <cell r="CC61">
            <v>124.36109324305171</v>
          </cell>
          <cell r="CD61">
            <v>34.29696543494596</v>
          </cell>
          <cell r="CE61">
            <v>19.047618916652219</v>
          </cell>
          <cell r="CF61">
            <v>14.470815132328255</v>
          </cell>
          <cell r="CG61">
            <v>18.028262019044938</v>
          </cell>
          <cell r="CH61">
            <v>24.416452619047416</v>
          </cell>
          <cell r="CI61">
            <v>16.23139949163733</v>
          </cell>
          <cell r="CJ61">
            <v>23.434246243758206</v>
          </cell>
          <cell r="CK61">
            <v>23.973716016773018</v>
          </cell>
          <cell r="CL61">
            <v>23.973716016773018</v>
          </cell>
          <cell r="CM61">
            <v>27.479607612512382</v>
          </cell>
          <cell r="CN61">
            <v>27.476241585270017</v>
          </cell>
          <cell r="CO61">
            <v>78.689923410400993</v>
          </cell>
          <cell r="CP61">
            <v>133.64577260818339</v>
          </cell>
        </row>
        <row r="62">
          <cell r="B62">
            <v>2043</v>
          </cell>
          <cell r="D62">
            <v>34.083617953834043</v>
          </cell>
          <cell r="E62">
            <v>19.207854257838758</v>
          </cell>
          <cell r="F62">
            <v>13.251931345620605</v>
          </cell>
          <cell r="G62">
            <v>19.305128956399102</v>
          </cell>
          <cell r="H62">
            <v>24.908617660985907</v>
          </cell>
          <cell r="I62">
            <v>15.204731581208435</v>
          </cell>
          <cell r="J62">
            <v>23.74415133141261</v>
          </cell>
          <cell r="K62">
            <v>24.456956769756609</v>
          </cell>
          <cell r="L62">
            <v>24.456956769756609</v>
          </cell>
          <cell r="M62">
            <v>27.86892335757593</v>
          </cell>
          <cell r="N62">
            <v>38.150471424948336</v>
          </cell>
          <cell r="O62">
            <v>75.731429463466341</v>
          </cell>
          <cell r="P62">
            <v>141.7508242459906</v>
          </cell>
          <cell r="Q62">
            <v>34.92625395602208</v>
          </cell>
          <cell r="R62">
            <v>19.520175759209661</v>
          </cell>
          <cell r="S62">
            <v>14.116437255686954</v>
          </cell>
          <cell r="T62">
            <v>18.181756424420051</v>
          </cell>
          <cell r="U62">
            <v>24.908617660985907</v>
          </cell>
          <cell r="V62">
            <v>15.204731581208435</v>
          </cell>
          <cell r="W62">
            <v>23.74415133141261</v>
          </cell>
          <cell r="X62">
            <v>24.456956769756609</v>
          </cell>
          <cell r="Y62">
            <v>24.456956769756609</v>
          </cell>
          <cell r="Z62">
            <v>28.437752866465512</v>
          </cell>
          <cell r="AA62">
            <v>13.370526228813285</v>
          </cell>
          <cell r="AB62">
            <v>86.783946684850775</v>
          </cell>
          <cell r="AC62">
            <v>128.59222578012958</v>
          </cell>
          <cell r="AD62">
            <v>34.575496559845753</v>
          </cell>
          <cell r="AE62">
            <v>19.274109004519808</v>
          </cell>
          <cell r="AF62">
            <v>13.877524252504658</v>
          </cell>
          <cell r="AG62">
            <v>18.548265788131324</v>
          </cell>
          <cell r="AH62">
            <v>24.908617660985907</v>
          </cell>
          <cell r="AI62">
            <v>15.204731581208435</v>
          </cell>
          <cell r="AJ62">
            <v>23.74415133141261</v>
          </cell>
          <cell r="AK62">
            <v>24.456956769756609</v>
          </cell>
          <cell r="AL62">
            <v>24.456956769756609</v>
          </cell>
          <cell r="AM62">
            <v>29.754053348460399</v>
          </cell>
          <cell r="AN62">
            <v>53.653965812992382</v>
          </cell>
          <cell r="AO62">
            <v>67.800828842641891</v>
          </cell>
          <cell r="AP62">
            <v>151.20884800409468</v>
          </cell>
          <cell r="AQ62">
            <v>35.229686466245866</v>
          </cell>
          <cell r="AR62">
            <v>19.556203946250172</v>
          </cell>
          <cell r="AS62">
            <v>13.827978447855136</v>
          </cell>
          <cell r="AT62">
            <v>18.792079029614424</v>
          </cell>
          <cell r="AU62">
            <v>24.908617660985907</v>
          </cell>
          <cell r="AV62">
            <v>15.204731581208435</v>
          </cell>
          <cell r="AW62">
            <v>23.74415133141261</v>
          </cell>
          <cell r="AX62">
            <v>24.456956769756609</v>
          </cell>
          <cell r="AY62">
            <v>24.456956769756609</v>
          </cell>
          <cell r="AZ62">
            <v>29.729992044333617</v>
          </cell>
          <cell r="BA62">
            <v>73.343638526743007</v>
          </cell>
          <cell r="BB62">
            <v>58.824775904650103</v>
          </cell>
          <cell r="BC62">
            <v>161.89840647572672</v>
          </cell>
          <cell r="BD62">
            <v>34.637016388513132</v>
          </cell>
          <cell r="BE62">
            <v>19.339641135663399</v>
          </cell>
          <cell r="BF62">
            <v>13.862336131005915</v>
          </cell>
          <cell r="BG62">
            <v>18.65674549546911</v>
          </cell>
          <cell r="BH62">
            <v>24.908617660985907</v>
          </cell>
          <cell r="BI62">
            <v>15.204731581208435</v>
          </cell>
          <cell r="BJ62">
            <v>23.74415133141261</v>
          </cell>
          <cell r="BK62">
            <v>24.456956769756609</v>
          </cell>
          <cell r="BL62">
            <v>24.456956769756609</v>
          </cell>
          <cell r="BM62">
            <v>28.665398521052161</v>
          </cell>
          <cell r="BN62">
            <v>33.109775560807741</v>
          </cell>
          <cell r="BO62">
            <v>77.671191949076828</v>
          </cell>
          <cell r="BP62">
            <v>139.44636603093673</v>
          </cell>
          <cell r="BQ62">
            <v>39.585773732114703</v>
          </cell>
          <cell r="BR62">
            <v>20.475882419700799</v>
          </cell>
          <cell r="BS62">
            <v>16.413340147970331</v>
          </cell>
          <cell r="BT62">
            <v>17.538689046338924</v>
          </cell>
          <cell r="BU62">
            <v>26.154048544035202</v>
          </cell>
          <cell r="BV62">
            <v>21.140825417707614</v>
          </cell>
          <cell r="BW62">
            <v>25.55246176887589</v>
          </cell>
          <cell r="BX62">
            <v>24.456956769756609</v>
          </cell>
          <cell r="BY62">
            <v>24.456956769756609</v>
          </cell>
          <cell r="BZ62">
            <v>26.106561472476081</v>
          </cell>
          <cell r="CA62">
            <v>12.543260605557402</v>
          </cell>
          <cell r="CB62">
            <v>88.218030997269054</v>
          </cell>
          <cell r="CC62">
            <v>126.86785307530253</v>
          </cell>
          <cell r="CD62">
            <v>34.988293028475468</v>
          </cell>
          <cell r="CE62">
            <v>19.43156380451973</v>
          </cell>
          <cell r="CF62">
            <v>14.762504897733837</v>
          </cell>
          <cell r="CG62">
            <v>18.391659621109358</v>
          </cell>
          <cell r="CH62">
            <v>24.908617660985907</v>
          </cell>
          <cell r="CI62">
            <v>16.558577543918773</v>
          </cell>
          <cell r="CJ62">
            <v>23.90661284693785</v>
          </cell>
          <cell r="CK62">
            <v>24.456956769756609</v>
          </cell>
          <cell r="CL62">
            <v>24.456956769756609</v>
          </cell>
          <cell r="CM62">
            <v>28.033516996650967</v>
          </cell>
          <cell r="CN62">
            <v>28.03008312003815</v>
          </cell>
          <cell r="CO62">
            <v>80.276084596862802</v>
          </cell>
          <cell r="CP62">
            <v>136.33968471355192</v>
          </cell>
        </row>
        <row r="63">
          <cell r="B63">
            <v>2044</v>
          </cell>
          <cell r="D63">
            <v>34.766050126547086</v>
          </cell>
          <cell r="E63">
            <v>19.592439536669399</v>
          </cell>
          <cell r="F63">
            <v>13.517265392994489</v>
          </cell>
          <cell r="G63">
            <v>19.691661897710247</v>
          </cell>
          <cell r="H63">
            <v>25.407345292914222</v>
          </cell>
          <cell r="I63">
            <v>15.509165166355913</v>
          </cell>
          <cell r="J63">
            <v>24.219563677727223</v>
          </cell>
          <cell r="K63">
            <v>24.94664111514918</v>
          </cell>
          <cell r="L63">
            <v>24.94664111514918</v>
          </cell>
          <cell r="M63">
            <v>28.426923096448853</v>
          </cell>
          <cell r="N63">
            <v>38.91433132796152</v>
          </cell>
          <cell r="O63">
            <v>77.247746305810367</v>
          </cell>
          <cell r="P63">
            <v>144.58900073022073</v>
          </cell>
          <cell r="Q63">
            <v>35.625557633355271</v>
          </cell>
          <cell r="R63">
            <v>19.911014430536788</v>
          </cell>
          <cell r="S63">
            <v>14.399080693376414</v>
          </cell>
          <cell r="T63">
            <v>18.545796872158398</v>
          </cell>
          <cell r="U63">
            <v>25.407345292914222</v>
          </cell>
          <cell r="V63">
            <v>15.509165166355913</v>
          </cell>
          <cell r="W63">
            <v>24.219563677727223</v>
          </cell>
          <cell r="X63">
            <v>24.94664111514918</v>
          </cell>
          <cell r="Y63">
            <v>24.94664111514918</v>
          </cell>
          <cell r="Z63">
            <v>29.007141876224544</v>
          </cell>
          <cell r="AA63">
            <v>13.638234817643401</v>
          </cell>
          <cell r="AB63">
            <v>88.521560261348853</v>
          </cell>
          <cell r="AC63">
            <v>131.16693695521678</v>
          </cell>
          <cell r="AD63">
            <v>35.267777269948994</v>
          </cell>
          <cell r="AE63">
            <v>19.660020855276915</v>
          </cell>
          <cell r="AF63">
            <v>14.155384104130222</v>
          </cell>
          <cell r="AG63">
            <v>18.919644593603163</v>
          </cell>
          <cell r="AH63">
            <v>25.407345292914222</v>
          </cell>
          <cell r="AI63">
            <v>15.509165166355913</v>
          </cell>
          <cell r="AJ63">
            <v>24.219563677727223</v>
          </cell>
          <cell r="AK63">
            <v>24.94664111514918</v>
          </cell>
          <cell r="AL63">
            <v>24.94664111514918</v>
          </cell>
          <cell r="AM63">
            <v>30.349797711664824</v>
          </cell>
          <cell r="AN63">
            <v>54.7282412174998</v>
          </cell>
          <cell r="AO63">
            <v>69.158356878588691</v>
          </cell>
          <cell r="AP63">
            <v>154.2363958077533</v>
          </cell>
          <cell r="AQ63">
            <v>35.935065558093569</v>
          </cell>
          <cell r="AR63">
            <v>19.947763984481313</v>
          </cell>
          <cell r="AS63">
            <v>14.104846278881197</v>
          </cell>
          <cell r="AT63">
            <v>19.168339535155397</v>
          </cell>
          <cell r="AU63">
            <v>25.407345292914222</v>
          </cell>
          <cell r="AV63">
            <v>15.509165166355913</v>
          </cell>
          <cell r="AW63">
            <v>24.219563677727223</v>
          </cell>
          <cell r="AX63">
            <v>24.94664111514918</v>
          </cell>
          <cell r="AY63">
            <v>24.94664111514918</v>
          </cell>
          <cell r="AZ63">
            <v>30.325254645065645</v>
          </cell>
          <cell r="BA63">
            <v>74.812146320202018</v>
          </cell>
          <cell r="BB63">
            <v>60.002582781969963</v>
          </cell>
          <cell r="BC63">
            <v>165.13998374723764</v>
          </cell>
          <cell r="BD63">
            <v>35.330528866628775</v>
          </cell>
          <cell r="BE63">
            <v>19.726865089927227</v>
          </cell>
          <cell r="BF63">
            <v>14.139891881618261</v>
          </cell>
          <cell r="BG63">
            <v>19.030296313386167</v>
          </cell>
          <cell r="BH63">
            <v>25.407345292914222</v>
          </cell>
          <cell r="BI63">
            <v>15.509165166355913</v>
          </cell>
          <cell r="BJ63">
            <v>24.219563677727223</v>
          </cell>
          <cell r="BK63">
            <v>24.94664111514918</v>
          </cell>
          <cell r="BL63">
            <v>24.94664111514918</v>
          </cell>
          <cell r="BM63">
            <v>29.239345518724292</v>
          </cell>
          <cell r="BN63">
            <v>33.772709176147757</v>
          </cell>
          <cell r="BO63">
            <v>79.226347283549117</v>
          </cell>
          <cell r="BP63">
            <v>142.23840197842117</v>
          </cell>
          <cell r="BQ63">
            <v>40.378371677940905</v>
          </cell>
          <cell r="BR63">
            <v>20.885856529456987</v>
          </cell>
          <cell r="BS63">
            <v>16.741972847522042</v>
          </cell>
          <cell r="BT63">
            <v>17.889853810849644</v>
          </cell>
          <cell r="BU63">
            <v>26.677712557559932</v>
          </cell>
          <cell r="BV63">
            <v>21.564113210755139</v>
          </cell>
          <cell r="BW63">
            <v>26.064080635943355</v>
          </cell>
          <cell r="BX63">
            <v>24.94664111514918</v>
          </cell>
          <cell r="BY63">
            <v>24.94664111514918</v>
          </cell>
          <cell r="BZ63">
            <v>26.629274685957704</v>
          </cell>
          <cell r="CA63">
            <v>12.794405439992254</v>
          </cell>
          <cell r="CB63">
            <v>89.984358229532873</v>
          </cell>
          <cell r="CC63">
            <v>129.40803835548283</v>
          </cell>
          <cell r="CD63">
            <v>35.688838870272086</v>
          </cell>
          <cell r="CE63">
            <v>19.82062826135914</v>
          </cell>
          <cell r="CF63">
            <v>15.05808409081402</v>
          </cell>
          <cell r="CG63">
            <v>18.759902812076724</v>
          </cell>
          <cell r="CH63">
            <v>25.407345292914222</v>
          </cell>
          <cell r="CI63">
            <v>16.890118229113632</v>
          </cell>
          <cell r="CJ63">
            <v>24.385278045258151</v>
          </cell>
          <cell r="CK63">
            <v>24.94664111514918</v>
          </cell>
          <cell r="CL63">
            <v>24.94664111514918</v>
          </cell>
          <cell r="CM63">
            <v>28.594812277531222</v>
          </cell>
          <cell r="CN63">
            <v>28.591309646835988</v>
          </cell>
          <cell r="CO63">
            <v>81.883395854210434</v>
          </cell>
          <cell r="CP63">
            <v>139.06951777857765</v>
          </cell>
        </row>
        <row r="64">
          <cell r="B64">
            <v>2045</v>
          </cell>
          <cell r="D64">
            <v>35.459125548590237</v>
          </cell>
          <cell r="E64">
            <v>19.983022828452757</v>
          </cell>
          <cell r="F64">
            <v>13.786737604621004</v>
          </cell>
          <cell r="G64">
            <v>20.084223227824229</v>
          </cell>
          <cell r="H64">
            <v>25.913851108150233</v>
          </cell>
          <cell r="I64">
            <v>15.818346714276457</v>
          </cell>
          <cell r="J64">
            <v>24.702390580885382</v>
          </cell>
          <cell r="K64">
            <v>25.443962604260161</v>
          </cell>
          <cell r="L64">
            <v>25.443962604260161</v>
          </cell>
          <cell r="M64">
            <v>28.993625429637259</v>
          </cell>
          <cell r="N64">
            <v>39.690104431621045</v>
          </cell>
          <cell r="O64">
            <v>78.787711708204483</v>
          </cell>
          <cell r="P64">
            <v>147.4714415694628</v>
          </cell>
          <cell r="Q64">
            <v>36.335767688923426</v>
          </cell>
          <cell r="R64">
            <v>20.30794864306656</v>
          </cell>
          <cell r="S64">
            <v>14.686132253512515</v>
          </cell>
          <cell r="T64">
            <v>18.91551491454489</v>
          </cell>
          <cell r="U64">
            <v>25.913851108150233</v>
          </cell>
          <cell r="V64">
            <v>15.818346714276457</v>
          </cell>
          <cell r="W64">
            <v>24.702390580885382</v>
          </cell>
          <cell r="X64">
            <v>25.443962604260161</v>
          </cell>
          <cell r="Y64">
            <v>25.443962604260161</v>
          </cell>
          <cell r="Z64">
            <v>29.585411107988044</v>
          </cell>
          <cell r="AA64">
            <v>13.910118604204015</v>
          </cell>
          <cell r="AB64">
            <v>90.286273753814442</v>
          </cell>
          <cell r="AC64">
            <v>133.78180346600649</v>
          </cell>
          <cell r="AD64">
            <v>35.970854827707825</v>
          </cell>
          <cell r="AE64">
            <v>20.051951408274757</v>
          </cell>
          <cell r="AF64">
            <v>14.437577473133667</v>
          </cell>
          <cell r="AG64">
            <v>19.29681544315001</v>
          </cell>
          <cell r="AH64">
            <v>25.913851108150233</v>
          </cell>
          <cell r="AI64">
            <v>15.818346714276457</v>
          </cell>
          <cell r="AJ64">
            <v>24.702390580885382</v>
          </cell>
          <cell r="AK64">
            <v>25.443962604260161</v>
          </cell>
          <cell r="AL64">
            <v>25.443962604260161</v>
          </cell>
          <cell r="AM64">
            <v>30.954833336401329</v>
          </cell>
          <cell r="AN64">
            <v>55.819271079719734</v>
          </cell>
          <cell r="AO64">
            <v>70.537056995713542</v>
          </cell>
          <cell r="AP64">
            <v>157.3111614118346</v>
          </cell>
          <cell r="AQ64">
            <v>36.651445780671864</v>
          </cell>
          <cell r="AR64">
            <v>20.345430814392618</v>
          </cell>
          <cell r="AS64">
            <v>14.386032155677846</v>
          </cell>
          <cell r="AT64">
            <v>19.550468220031505</v>
          </cell>
          <cell r="AU64">
            <v>25.913851108150233</v>
          </cell>
          <cell r="AV64">
            <v>15.818346714276457</v>
          </cell>
          <cell r="AW64">
            <v>24.702390580885382</v>
          </cell>
          <cell r="AX64">
            <v>25.443962604260161</v>
          </cell>
          <cell r="AY64">
            <v>25.443962604260161</v>
          </cell>
          <cell r="AZ64">
            <v>30.929800993736002</v>
          </cell>
          <cell r="BA64">
            <v>76.30355704118108</v>
          </cell>
          <cell r="BB64">
            <v>61.198758799490513</v>
          </cell>
          <cell r="BC64">
            <v>168.43211683440759</v>
          </cell>
          <cell r="BD64">
            <v>36.034857403121009</v>
          </cell>
          <cell r="BE64">
            <v>20.120128210069531</v>
          </cell>
          <cell r="BF64">
            <v>14.421776406832528</v>
          </cell>
          <cell r="BG64">
            <v>19.40967305020261</v>
          </cell>
          <cell r="BH64">
            <v>25.913851108150233</v>
          </cell>
          <cell r="BI64">
            <v>15.818346714276457</v>
          </cell>
          <cell r="BJ64">
            <v>24.702390580885382</v>
          </cell>
          <cell r="BK64">
            <v>25.443962604260161</v>
          </cell>
          <cell r="BL64">
            <v>25.443962604260161</v>
          </cell>
          <cell r="BM64">
            <v>29.822243825028604</v>
          </cell>
          <cell r="BN64">
            <v>34.445981940255223</v>
          </cell>
          <cell r="BO64">
            <v>80.805756905309821</v>
          </cell>
          <cell r="BP64">
            <v>145.07398267059364</v>
          </cell>
          <cell r="BQ64">
            <v>41.183331024494187</v>
          </cell>
          <cell r="BR64">
            <v>21.302224617755655</v>
          </cell>
          <cell r="BS64">
            <v>17.075730920552921</v>
          </cell>
          <cell r="BT64">
            <v>18.246495360151705</v>
          </cell>
          <cell r="BU64">
            <v>27.209543663557746</v>
          </cell>
          <cell r="BV64">
            <v>21.994002623274799</v>
          </cell>
          <cell r="BW64">
            <v>26.583678738723794</v>
          </cell>
          <cell r="BX64">
            <v>25.443962604260161</v>
          </cell>
          <cell r="BY64">
            <v>25.443962604260161</v>
          </cell>
          <cell r="BZ64">
            <v>27.16014016318314</v>
          </cell>
          <cell r="CA64">
            <v>13.049467142942014</v>
          </cell>
          <cell r="CB64">
            <v>91.778233197503226</v>
          </cell>
          <cell r="CC64">
            <v>131.98784050362838</v>
          </cell>
          <cell r="CD64">
            <v>36.400310463168296</v>
          </cell>
          <cell r="CE64">
            <v>20.215760588655428</v>
          </cell>
          <cell r="CF64">
            <v>15.358273153086385</v>
          </cell>
          <cell r="CG64">
            <v>19.133889143904522</v>
          </cell>
          <cell r="CH64">
            <v>25.913851108150233</v>
          </cell>
          <cell r="CI64">
            <v>17.226829640890113</v>
          </cell>
          <cell r="CJ64">
            <v>24.871408532079016</v>
          </cell>
          <cell r="CK64">
            <v>25.443962604260161</v>
          </cell>
          <cell r="CL64">
            <v>25.443962604260161</v>
          </cell>
          <cell r="CM64">
            <v>29.164861550179577</v>
          </cell>
          <cell r="CN64">
            <v>29.16128909310952</v>
          </cell>
          <cell r="CO64">
            <v>83.515774825459985</v>
          </cell>
          <cell r="CP64">
            <v>141.84192546874908</v>
          </cell>
        </row>
        <row r="65">
          <cell r="B65">
            <v>2046</v>
          </cell>
          <cell r="D65">
            <v>36.15003358590242</v>
          </cell>
          <cell r="E65">
            <v>20.372384688576798</v>
          </cell>
          <cell r="F65">
            <v>14.055367123030699</v>
          </cell>
          <cell r="G65">
            <v>20.475556940559496</v>
          </cell>
          <cell r="H65">
            <v>26.418772978933479</v>
          </cell>
          <cell r="I65">
            <v>16.126561389985483</v>
          </cell>
          <cell r="J65">
            <v>25.183707588259722</v>
          </cell>
          <cell r="K65">
            <v>25.939728870133369</v>
          </cell>
          <cell r="L65">
            <v>25.939728870133369</v>
          </cell>
          <cell r="M65">
            <v>29.558555571885279</v>
          </cell>
          <cell r="N65">
            <v>40.463451538446613</v>
          </cell>
          <cell r="O65">
            <v>80.322861332411648</v>
          </cell>
          <cell r="P65">
            <v>150.34486844274352</v>
          </cell>
          <cell r="Q65">
            <v>37.043756776352673</v>
          </cell>
          <cell r="R65">
            <v>20.70364156334433</v>
          </cell>
          <cell r="S65">
            <v>14.972286146311623</v>
          </cell>
          <cell r="T65">
            <v>19.284076775058033</v>
          </cell>
          <cell r="U65">
            <v>26.418772978933479</v>
          </cell>
          <cell r="V65">
            <v>16.126561389985483</v>
          </cell>
          <cell r="W65">
            <v>25.183707588259722</v>
          </cell>
          <cell r="X65">
            <v>25.939728870133369</v>
          </cell>
          <cell r="Y65">
            <v>25.939728870133369</v>
          </cell>
          <cell r="Z65">
            <v>30.161871976818098</v>
          </cell>
          <cell r="AA65">
            <v>14.181152156073216</v>
          </cell>
          <cell r="AB65">
            <v>92.045468636102171</v>
          </cell>
          <cell r="AC65">
            <v>136.3884927689935</v>
          </cell>
          <cell r="AD65">
            <v>36.671733722067394</v>
          </cell>
          <cell r="AE65">
            <v>20.44265631645942</v>
          </cell>
          <cell r="AF65">
            <v>14.718888367330321</v>
          </cell>
          <cell r="AG65">
            <v>19.672806804412787</v>
          </cell>
          <cell r="AH65">
            <v>26.418772978933479</v>
          </cell>
          <cell r="AI65">
            <v>16.126561389985483</v>
          </cell>
          <cell r="AJ65">
            <v>25.183707588259722</v>
          </cell>
          <cell r="AK65">
            <v>25.939728870133369</v>
          </cell>
          <cell r="AL65">
            <v>25.939728870133369</v>
          </cell>
          <cell r="AM65">
            <v>31.557976894368434</v>
          </cell>
          <cell r="AN65">
            <v>56.906889074501876</v>
          </cell>
          <cell r="AO65">
            <v>71.911445643281965</v>
          </cell>
          <cell r="AP65">
            <v>160.37631161215228</v>
          </cell>
          <cell r="AQ65">
            <v>37.365585739771461</v>
          </cell>
          <cell r="AR65">
            <v>20.741854061011615</v>
          </cell>
          <cell r="AS65">
            <v>14.666338708296271</v>
          </cell>
          <cell r="AT65">
            <v>19.931401912486116</v>
          </cell>
          <cell r="AU65">
            <v>26.418772978933479</v>
          </cell>
          <cell r="AV65">
            <v>16.126561389985483</v>
          </cell>
          <cell r="AW65">
            <v>25.183707588259722</v>
          </cell>
          <cell r="AX65">
            <v>25.939728870133369</v>
          </cell>
          <cell r="AY65">
            <v>25.939728870133369</v>
          </cell>
          <cell r="AZ65">
            <v>31.532456805700559</v>
          </cell>
          <cell r="BA65">
            <v>77.790303824121892</v>
          </cell>
          <cell r="BB65">
            <v>62.391194136626979</v>
          </cell>
          <cell r="BC65">
            <v>171.71395476644943</v>
          </cell>
          <cell r="BD65">
            <v>36.736983364154597</v>
          </cell>
          <cell r="BE65">
            <v>20.512161518196084</v>
          </cell>
          <cell r="BF65">
            <v>14.702779423055976</v>
          </cell>
          <cell r="BG65">
            <v>19.787863400486636</v>
          </cell>
          <cell r="BH65">
            <v>26.418772978933479</v>
          </cell>
          <cell r="BI65">
            <v>16.126561389985483</v>
          </cell>
          <cell r="BJ65">
            <v>25.183707588259722</v>
          </cell>
          <cell r="BK65">
            <v>25.939728870133369</v>
          </cell>
          <cell r="BL65">
            <v>25.939728870133369</v>
          </cell>
          <cell r="BM65">
            <v>30.403319292362436</v>
          </cell>
          <cell r="BN65">
            <v>35.117149246482796</v>
          </cell>
          <cell r="BO65">
            <v>82.380227398962248</v>
          </cell>
          <cell r="BP65">
            <v>147.90069593780748</v>
          </cell>
          <cell r="BQ65">
            <v>41.985773103025437</v>
          </cell>
          <cell r="BR65">
            <v>21.717290640206457</v>
          </cell>
          <cell r="BS65">
            <v>17.408445265688801</v>
          </cell>
          <cell r="BT65">
            <v>18.602021620375837</v>
          </cell>
          <cell r="BU65">
            <v>27.739711627880151</v>
          </cell>
          <cell r="BV65">
            <v>22.422547686075703</v>
          </cell>
          <cell r="BW65">
            <v>27.10165195486362</v>
          </cell>
          <cell r="BX65">
            <v>25.939728870133369</v>
          </cell>
          <cell r="BY65">
            <v>25.939728870133369</v>
          </cell>
          <cell r="BZ65">
            <v>27.689345518446476</v>
          </cell>
          <cell r="CA65">
            <v>13.303731217202536</v>
          </cell>
          <cell r="CB65">
            <v>93.566498361560193</v>
          </cell>
          <cell r="CC65">
            <v>134.5595750972092</v>
          </cell>
          <cell r="CD65">
            <v>37.109557142847386</v>
          </cell>
          <cell r="CE65">
            <v>20.60965725855332</v>
          </cell>
          <cell r="CF65">
            <v>15.65752346443889</v>
          </cell>
          <cell r="CG65">
            <v>19.506705946068706</v>
          </cell>
          <cell r="CH65">
            <v>26.418772978933479</v>
          </cell>
          <cell r="CI65">
            <v>17.56248808909378</v>
          </cell>
          <cell r="CJ65">
            <v>25.356018792152717</v>
          </cell>
          <cell r="CK65">
            <v>25.939728870133369</v>
          </cell>
          <cell r="CL65">
            <v>25.939728870133369</v>
          </cell>
          <cell r="CM65">
            <v>29.733128165341988</v>
          </cell>
          <cell r="CN65">
            <v>29.729486100258068</v>
          </cell>
          <cell r="CO65">
            <v>85.143049022907263</v>
          </cell>
          <cell r="CP65">
            <v>144.60566328850732</v>
          </cell>
        </row>
        <row r="66">
          <cell r="B66">
            <v>2047</v>
          </cell>
          <cell r="D66">
            <v>36.844353869311426</v>
          </cell>
          <cell r="E66">
            <v>20.763669523128268</v>
          </cell>
          <cell r="F66">
            <v>14.32532334481651</v>
          </cell>
          <cell r="G66">
            <v>20.868823366277855</v>
          </cell>
          <cell r="H66">
            <v>26.926188550165605</v>
          </cell>
          <cell r="I66">
            <v>16.43629827164288</v>
          </cell>
          <cell r="J66">
            <v>25.66740171674288</v>
          </cell>
          <cell r="K66">
            <v>26.437943618893303</v>
          </cell>
          <cell r="L66">
            <v>26.437943618893303</v>
          </cell>
          <cell r="M66">
            <v>30.126275782519762</v>
          </cell>
          <cell r="N66">
            <v>41.240618040190526</v>
          </cell>
          <cell r="O66">
            <v>81.865592730212953</v>
          </cell>
          <cell r="P66">
            <v>153.23248655292326</v>
          </cell>
          <cell r="Q66">
            <v>37.755242469509035</v>
          </cell>
          <cell r="R66">
            <v>21.10128872579304</v>
          </cell>
          <cell r="S66">
            <v>15.259853291600304</v>
          </cell>
          <cell r="T66">
            <v>19.654458883277176</v>
          </cell>
          <cell r="U66">
            <v>26.926188550165605</v>
          </cell>
          <cell r="V66">
            <v>16.43629827164288</v>
          </cell>
          <cell r="W66">
            <v>25.66740171674288</v>
          </cell>
          <cell r="X66">
            <v>26.437943618893303</v>
          </cell>
          <cell r="Y66">
            <v>26.437943618893303</v>
          </cell>
          <cell r="Z66">
            <v>30.741179861811521</v>
          </cell>
          <cell r="AA66">
            <v>14.453524284322381</v>
          </cell>
          <cell r="AB66">
            <v>93.813351803293941</v>
          </cell>
          <cell r="AC66">
            <v>139.00805594942784</v>
          </cell>
          <cell r="AD66">
            <v>37.376074106440782</v>
          </cell>
          <cell r="AE66">
            <v>20.835290832096831</v>
          </cell>
          <cell r="AF66">
            <v>15.001588595488775</v>
          </cell>
          <cell r="AG66">
            <v>20.050655106086761</v>
          </cell>
          <cell r="AH66">
            <v>26.926188550165605</v>
          </cell>
          <cell r="AI66">
            <v>16.43629827164288</v>
          </cell>
          <cell r="AJ66">
            <v>25.66740171674288</v>
          </cell>
          <cell r="AK66">
            <v>26.437943618893303</v>
          </cell>
          <cell r="AL66">
            <v>26.437943618893303</v>
          </cell>
          <cell r="AM66">
            <v>32.164099248557825</v>
          </cell>
          <cell r="AN66">
            <v>57.999878580479582</v>
          </cell>
          <cell r="AO66">
            <v>73.292622100580374</v>
          </cell>
          <cell r="AP66">
            <v>163.45659992961777</v>
          </cell>
          <cell r="AQ66">
            <v>38.083252682429553</v>
          </cell>
          <cell r="AR66">
            <v>21.140235156726174</v>
          </cell>
          <cell r="AS66">
            <v>14.948029634649602</v>
          </cell>
          <cell r="AT66">
            <v>20.314216954461987</v>
          </cell>
          <cell r="AU66">
            <v>26.926188550165605</v>
          </cell>
          <cell r="AV66">
            <v>16.43629827164288</v>
          </cell>
          <cell r="AW66">
            <v>25.66740171674288</v>
          </cell>
          <cell r="AX66">
            <v>26.437943618893303</v>
          </cell>
          <cell r="AY66">
            <v>26.437943618893303</v>
          </cell>
          <cell r="AZ66">
            <v>32.138089005014869</v>
          </cell>
          <cell r="BA66">
            <v>79.284393329441201</v>
          </cell>
          <cell r="BB66">
            <v>63.589518655253791</v>
          </cell>
          <cell r="BC66">
            <v>175.01200098970986</v>
          </cell>
          <cell r="BD66">
            <v>37.442576974195923</v>
          </cell>
          <cell r="BE66">
            <v>20.906130994456799</v>
          </cell>
          <cell r="BF66">
            <v>14.985170252698177</v>
          </cell>
          <cell r="BG66">
            <v>20.16792155151537</v>
          </cell>
          <cell r="BH66">
            <v>26.926188550165605</v>
          </cell>
          <cell r="BI66">
            <v>16.43629827164288</v>
          </cell>
          <cell r="BJ66">
            <v>25.66740171674288</v>
          </cell>
          <cell r="BK66">
            <v>26.437943618893303</v>
          </cell>
          <cell r="BL66">
            <v>26.437943618893303</v>
          </cell>
          <cell r="BM66">
            <v>30.987264566368481</v>
          </cell>
          <cell r="BN66">
            <v>35.791631303585035</v>
          </cell>
          <cell r="BO66">
            <v>83.962473863520245</v>
          </cell>
          <cell r="BP66">
            <v>150.74136973347376</v>
          </cell>
          <cell r="BQ66">
            <v>42.79217827027837</v>
          </cell>
          <cell r="BR66">
            <v>22.134406584410286</v>
          </cell>
          <cell r="BS66">
            <v>17.742802815367455</v>
          </cell>
          <cell r="BT66">
            <v>18.959303748281709</v>
          </cell>
          <cell r="BU66">
            <v>28.272497977673886</v>
          </cell>
          <cell r="BV66">
            <v>22.853209240708928</v>
          </cell>
          <cell r="BW66">
            <v>27.622183329238087</v>
          </cell>
          <cell r="BX66">
            <v>26.437943618893303</v>
          </cell>
          <cell r="BY66">
            <v>26.437943618893303</v>
          </cell>
          <cell r="BZ66">
            <v>28.221164505062159</v>
          </cell>
          <cell r="CA66">
            <v>13.559251047002293</v>
          </cell>
          <cell r="CB66">
            <v>95.363595382386265</v>
          </cell>
          <cell r="CC66">
            <v>137.14401093445071</v>
          </cell>
          <cell r="CD66">
            <v>37.822306639231051</v>
          </cell>
          <cell r="CE66">
            <v>21.005499299328118</v>
          </cell>
          <cell r="CF66">
            <v>15.958251708673552</v>
          </cell>
          <cell r="CG66">
            <v>19.881364010179951</v>
          </cell>
          <cell r="CH66">
            <v>26.926188550165605</v>
          </cell>
          <cell r="CI66">
            <v>17.899804282131626</v>
          </cell>
          <cell r="CJ66">
            <v>25.84302243800153</v>
          </cell>
          <cell r="CK66">
            <v>26.437943618893303</v>
          </cell>
          <cell r="CL66">
            <v>26.437943618893303</v>
          </cell>
          <cell r="CM66">
            <v>30.3042013270125</v>
          </cell>
          <cell r="CN66">
            <v>30.30048931013572</v>
          </cell>
          <cell r="CO66">
            <v>86.778359977388547</v>
          </cell>
          <cell r="CP66">
            <v>147.38305061453678</v>
          </cell>
        </row>
        <row r="67">
          <cell r="B67">
            <v>2048</v>
          </cell>
          <cell r="D67">
            <v>37.547349919423823</v>
          </cell>
          <cell r="E67">
            <v>21.159843593987915</v>
          </cell>
          <cell r="F67">
            <v>14.598652760870596</v>
          </cell>
          <cell r="G67">
            <v>21.267003788956035</v>
          </cell>
          <cell r="H67">
            <v>27.439944450526628</v>
          </cell>
          <cell r="I67">
            <v>16.7499054203642</v>
          </cell>
          <cell r="J67">
            <v>26.157139766907139</v>
          </cell>
          <cell r="K67">
            <v>26.942383729394393</v>
          </cell>
          <cell r="L67">
            <v>26.942383729394393</v>
          </cell>
          <cell r="M67">
            <v>30.701089849142559</v>
          </cell>
          <cell r="N67">
            <v>42.027495500147737</v>
          </cell>
          <cell r="O67">
            <v>83.427601078455041</v>
          </cell>
          <cell r="P67">
            <v>156.15618642774535</v>
          </cell>
          <cell r="Q67">
            <v>38.475618416967514</v>
          </cell>
          <cell r="R67">
            <v>21.503904623988223</v>
          </cell>
          <cell r="S67">
            <v>15.551013685600999</v>
          </cell>
          <cell r="T67">
            <v>20.029469041171382</v>
          </cell>
          <cell r="U67">
            <v>27.439944450526628</v>
          </cell>
          <cell r="V67">
            <v>16.7499054203642</v>
          </cell>
          <cell r="W67">
            <v>26.157139766907139</v>
          </cell>
          <cell r="X67">
            <v>26.942383729394393</v>
          </cell>
          <cell r="Y67">
            <v>26.942383729394393</v>
          </cell>
          <cell r="Z67">
            <v>31.327726394702378</v>
          </cell>
          <cell r="AA67">
            <v>14.729299794407943</v>
          </cell>
          <cell r="AB67">
            <v>95.603325268412902</v>
          </cell>
          <cell r="AC67">
            <v>141.66035145752323</v>
          </cell>
          <cell r="AD67">
            <v>38.089215462067088</v>
          </cell>
          <cell r="AE67">
            <v>21.232831448763942</v>
          </cell>
          <cell r="AF67">
            <v>15.287821258584108</v>
          </cell>
          <cell r="AG67">
            <v>20.433224750047476</v>
          </cell>
          <cell r="AH67">
            <v>27.439944450526628</v>
          </cell>
          <cell r="AI67">
            <v>16.7499054203642</v>
          </cell>
          <cell r="AJ67">
            <v>26.157139766907139</v>
          </cell>
          <cell r="AK67">
            <v>26.942383729394393</v>
          </cell>
          <cell r="AL67">
            <v>26.942383729394393</v>
          </cell>
          <cell r="AM67">
            <v>32.777795306503705</v>
          </cell>
          <cell r="AN67">
            <v>59.106525359893936</v>
          </cell>
          <cell r="AO67">
            <v>74.691056824713371</v>
          </cell>
          <cell r="AP67">
            <v>166.575377491111</v>
          </cell>
          <cell r="AQ67">
            <v>38.809887116192265</v>
          </cell>
          <cell r="AR67">
            <v>21.543594158931512</v>
          </cell>
          <cell r="AS67">
            <v>15.233240384372492</v>
          </cell>
          <cell r="AT67">
            <v>20.701815399824</v>
          </cell>
          <cell r="AU67">
            <v>27.439944450526628</v>
          </cell>
          <cell r="AV67">
            <v>16.7499054203642</v>
          </cell>
          <cell r="AW67">
            <v>26.157139766907139</v>
          </cell>
          <cell r="AX67">
            <v>26.942383729394393</v>
          </cell>
          <cell r="AY67">
            <v>26.942383729394393</v>
          </cell>
          <cell r="AZ67">
            <v>32.751288783434767</v>
          </cell>
          <cell r="BA67">
            <v>80.797151988308059</v>
          </cell>
          <cell r="BB67">
            <v>64.802816643915946</v>
          </cell>
          <cell r="BC67">
            <v>178.35125741565878</v>
          </cell>
          <cell r="BD67">
            <v>38.156987214968616</v>
          </cell>
          <cell r="BE67">
            <v>21.305023252531573</v>
          </cell>
          <cell r="BF67">
            <v>15.271089651238183</v>
          </cell>
          <cell r="BG67">
            <v>20.552728657645712</v>
          </cell>
          <cell r="BH67">
            <v>27.439944450526628</v>
          </cell>
          <cell r="BI67">
            <v>16.7499054203642</v>
          </cell>
          <cell r="BJ67">
            <v>26.157139766907139</v>
          </cell>
          <cell r="BK67">
            <v>26.942383729394393</v>
          </cell>
          <cell r="BL67">
            <v>26.942383729394393</v>
          </cell>
          <cell r="BM67">
            <v>31.578506434015651</v>
          </cell>
          <cell r="BN67">
            <v>36.474541242045298</v>
          </cell>
          <cell r="BO67">
            <v>85.564491032638898</v>
          </cell>
          <cell r="BP67">
            <v>153.61753870869984</v>
          </cell>
          <cell r="BQ67">
            <v>43.608659742756245</v>
          </cell>
          <cell r="BR67">
            <v>22.556734533371365</v>
          </cell>
          <cell r="BS67">
            <v>18.081338275681649</v>
          </cell>
          <cell r="BT67">
            <v>19.321050237179282</v>
          </cell>
          <cell r="BU67">
            <v>28.81194167305296</v>
          </cell>
          <cell r="BV67">
            <v>23.289252057081733</v>
          </cell>
          <cell r="BW67">
            <v>28.149218919136416</v>
          </cell>
          <cell r="BX67">
            <v>26.942383729394393</v>
          </cell>
          <cell r="BY67">
            <v>26.942383729394393</v>
          </cell>
          <cell r="BZ67">
            <v>28.759628749733189</v>
          </cell>
          <cell r="CA67">
            <v>13.817963683471259</v>
          </cell>
          <cell r="CB67">
            <v>97.183147738118421</v>
          </cell>
          <cell r="CC67">
            <v>139.76074017132288</v>
          </cell>
          <cell r="CD67">
            <v>38.543962181565476</v>
          </cell>
          <cell r="CE67">
            <v>21.40628752024373</v>
          </cell>
          <cell r="CF67">
            <v>16.262737654001562</v>
          </cell>
          <cell r="CG67">
            <v>20.260703553480905</v>
          </cell>
          <cell r="CH67">
            <v>27.439944450526628</v>
          </cell>
          <cell r="CI67">
            <v>18.241335355054165</v>
          </cell>
          <cell r="CJ67">
            <v>26.336111359069932</v>
          </cell>
          <cell r="CK67">
            <v>26.942383729394393</v>
          </cell>
          <cell r="CL67">
            <v>26.942383729394393</v>
          </cell>
          <cell r="CM67">
            <v>30.882410240928209</v>
          </cell>
          <cell r="CN67">
            <v>30.878627398187277</v>
          </cell>
          <cell r="CO67">
            <v>88.434104695174156</v>
          </cell>
          <cell r="CP67">
            <v>150.19514233428964</v>
          </cell>
        </row>
        <row r="68">
          <cell r="B68">
            <v>2049</v>
          </cell>
          <cell r="D68">
            <v>38.262957243998507</v>
          </cell>
          <cell r="E68">
            <v>21.563124760174269</v>
          </cell>
          <cell r="F68">
            <v>14.876885522091301</v>
          </cell>
          <cell r="G68">
            <v>21.672327299557814</v>
          </cell>
          <cell r="H68">
            <v>27.962916784842051</v>
          </cell>
          <cell r="I68">
            <v>17.069138469579883</v>
          </cell>
          <cell r="J68">
            <v>26.655663387010591</v>
          </cell>
          <cell r="K68">
            <v>27.455873154869987</v>
          </cell>
          <cell r="L68">
            <v>27.455873154869987</v>
          </cell>
          <cell r="M68">
            <v>31.286215691994823</v>
          </cell>
          <cell r="N68">
            <v>42.828489010421464</v>
          </cell>
          <cell r="O68">
            <v>85.017630801765876</v>
          </cell>
          <cell r="P68">
            <v>159.13233550418215</v>
          </cell>
          <cell r="Q68">
            <v>39.208917422511419</v>
          </cell>
          <cell r="R68">
            <v>21.913743179542863</v>
          </cell>
          <cell r="S68">
            <v>15.847397300472849</v>
          </cell>
          <cell r="T68">
            <v>20.411206628083981</v>
          </cell>
          <cell r="U68">
            <v>27.962916784842051</v>
          </cell>
          <cell r="V68">
            <v>17.069138469579883</v>
          </cell>
          <cell r="W68">
            <v>26.655663387010591</v>
          </cell>
          <cell r="X68">
            <v>27.455873154869987</v>
          </cell>
          <cell r="Y68">
            <v>27.455873154869987</v>
          </cell>
          <cell r="Z68">
            <v>31.924795176345558</v>
          </cell>
          <cell r="AA68">
            <v>15.0100225309354</v>
          </cell>
          <cell r="AB68">
            <v>97.425409648870868</v>
          </cell>
          <cell r="AC68">
            <v>144.36022735615182</v>
          </cell>
          <cell r="AD68">
            <v>38.815150092086292</v>
          </cell>
          <cell r="AE68">
            <v>21.637503675666828</v>
          </cell>
          <cell r="AF68">
            <v>15.579188742385456</v>
          </cell>
          <cell r="AG68">
            <v>20.822657435102311</v>
          </cell>
          <cell r="AH68">
            <v>27.962916784842051</v>
          </cell>
          <cell r="AI68">
            <v>17.069138469579883</v>
          </cell>
          <cell r="AJ68">
            <v>26.655663387010591</v>
          </cell>
          <cell r="AK68">
            <v>27.455873154869987</v>
          </cell>
          <cell r="AL68">
            <v>27.455873154869987</v>
          </cell>
          <cell r="AM68">
            <v>33.402500657349499</v>
          </cell>
          <cell r="AN68">
            <v>60.233024635301341</v>
          </cell>
          <cell r="AO68">
            <v>76.114578523546712</v>
          </cell>
          <cell r="AP68">
            <v>169.75010381619757</v>
          </cell>
          <cell r="AQ68">
            <v>39.549556881058855</v>
          </cell>
          <cell r="AR68">
            <v>21.954189149280495</v>
          </cell>
          <cell r="AS68">
            <v>15.52356762236551</v>
          </cell>
          <cell r="AT68">
            <v>21.09636709958173</v>
          </cell>
          <cell r="AU68">
            <v>27.962916784842051</v>
          </cell>
          <cell r="AV68">
            <v>17.069138469579883</v>
          </cell>
          <cell r="AW68">
            <v>26.655663387010591</v>
          </cell>
          <cell r="AX68">
            <v>27.455873154869987</v>
          </cell>
          <cell r="AY68">
            <v>27.455873154869987</v>
          </cell>
          <cell r="AZ68">
            <v>33.375488951834996</v>
          </cell>
          <cell r="BA68">
            <v>82.337048516070624</v>
          </cell>
          <cell r="BB68">
            <v>66.037880379252073</v>
          </cell>
          <cell r="BC68">
            <v>181.75041784715768</v>
          </cell>
          <cell r="BD68">
            <v>38.884213493076956</v>
          </cell>
          <cell r="BE68">
            <v>21.71107136837632</v>
          </cell>
          <cell r="BF68">
            <v>15.562138250729603</v>
          </cell>
          <cell r="BG68">
            <v>20.944438943430718</v>
          </cell>
          <cell r="BH68">
            <v>27.962916784842051</v>
          </cell>
          <cell r="BI68">
            <v>17.069138469579883</v>
          </cell>
          <cell r="BJ68">
            <v>26.655663387010591</v>
          </cell>
          <cell r="BK68">
            <v>27.455873154869987</v>
          </cell>
          <cell r="BL68">
            <v>27.455873154869987</v>
          </cell>
          <cell r="BM68">
            <v>32.180354781550292</v>
          </cell>
          <cell r="BN68">
            <v>37.169702123687344</v>
          </cell>
          <cell r="BO68">
            <v>87.195247308058086</v>
          </cell>
          <cell r="BP68">
            <v>156.54530421329571</v>
          </cell>
          <cell r="BQ68">
            <v>44.439788341546056</v>
          </cell>
          <cell r="BR68">
            <v>22.986638760572678</v>
          </cell>
          <cell r="BS68">
            <v>18.425946833568091</v>
          </cell>
          <cell r="BT68">
            <v>19.689286213829352</v>
          </cell>
          <cell r="BU68">
            <v>29.361062624084152</v>
          </cell>
          <cell r="BV68">
            <v>23.733117187155585</v>
          </cell>
          <cell r="BW68">
            <v>28.685709171652725</v>
          </cell>
          <cell r="BX68">
            <v>27.455873154869987</v>
          </cell>
          <cell r="BY68">
            <v>27.455873154869987</v>
          </cell>
          <cell r="BZ68">
            <v>29.307752679371987</v>
          </cell>
          <cell r="CA68">
            <v>14.081317449950625</v>
          </cell>
          <cell r="CB68">
            <v>99.035341634514921</v>
          </cell>
          <cell r="CC68">
            <v>142.42441176383753</v>
          </cell>
          <cell r="CD68">
            <v>39.278563737053389</v>
          </cell>
          <cell r="CE68">
            <v>21.814265611222488</v>
          </cell>
          <cell r="CF68">
            <v>16.572685871593865</v>
          </cell>
          <cell r="CG68">
            <v>20.64684819205117</v>
          </cell>
          <cell r="CH68">
            <v>27.962916784842051</v>
          </cell>
          <cell r="CI68">
            <v>18.588993264816448</v>
          </cell>
          <cell r="CJ68">
            <v>26.838045962438979</v>
          </cell>
          <cell r="CK68">
            <v>27.455873154869987</v>
          </cell>
          <cell r="CL68">
            <v>27.455873154869987</v>
          </cell>
          <cell r="CM68">
            <v>31.470991832341561</v>
          </cell>
          <cell r="CN68">
            <v>31.467136893168281</v>
          </cell>
          <cell r="CO68">
            <v>90.119552355205485</v>
          </cell>
          <cell r="CP68">
            <v>153.05768108071533</v>
          </cell>
        </row>
        <row r="69">
          <cell r="B69">
            <v>2050</v>
          </cell>
          <cell r="D69">
            <v>38.996436705876427</v>
          </cell>
          <cell r="E69">
            <v>21.976477785781814</v>
          </cell>
          <cell r="F69">
            <v>15.162067086014318</v>
          </cell>
          <cell r="G69">
            <v>22.087773676688403</v>
          </cell>
          <cell r="H69">
            <v>28.498950239472641</v>
          </cell>
          <cell r="I69">
            <v>17.396344294773929</v>
          </cell>
          <cell r="J69">
            <v>27.166637526108797</v>
          </cell>
          <cell r="K69">
            <v>27.982186867074791</v>
          </cell>
          <cell r="L69">
            <v>27.982186867074791</v>
          </cell>
          <cell r="M69">
            <v>31.885954925521009</v>
          </cell>
          <cell r="N69">
            <v>43.649487159416736</v>
          </cell>
          <cell r="O69">
            <v>86.647371171621785</v>
          </cell>
          <cell r="P69">
            <v>162.18281325655954</v>
          </cell>
          <cell r="Q69">
            <v>39.960530411243241</v>
          </cell>
          <cell r="R69">
            <v>22.333817363892084</v>
          </cell>
          <cell r="S69">
            <v>16.151183031669557</v>
          </cell>
          <cell r="T69">
            <v>20.802478028210654</v>
          </cell>
          <cell r="U69">
            <v>28.498950239472641</v>
          </cell>
          <cell r="V69">
            <v>17.396344294773929</v>
          </cell>
          <cell r="W69">
            <v>27.166637526108797</v>
          </cell>
          <cell r="X69">
            <v>27.982186867074791</v>
          </cell>
          <cell r="Y69">
            <v>27.982186867074791</v>
          </cell>
          <cell r="Z69">
            <v>32.536775620961649</v>
          </cell>
          <cell r="AA69">
            <v>15.297756256756937</v>
          </cell>
          <cell r="AB69">
            <v>99.293000190469641</v>
          </cell>
          <cell r="AC69">
            <v>147.12753206818823</v>
          </cell>
          <cell r="AD69">
            <v>39.559214781616262</v>
          </cell>
          <cell r="AE69">
            <v>22.052282503429772</v>
          </cell>
          <cell r="AF69">
            <v>15.877833065729067</v>
          </cell>
          <cell r="AG69">
            <v>21.221816116773802</v>
          </cell>
          <cell r="AH69">
            <v>28.498950239472641</v>
          </cell>
          <cell r="AI69">
            <v>17.396344294773929</v>
          </cell>
          <cell r="AJ69">
            <v>27.166637526108797</v>
          </cell>
          <cell r="AK69">
            <v>27.982186867074791</v>
          </cell>
          <cell r="AL69">
            <v>27.982186867074791</v>
          </cell>
          <cell r="AM69">
            <v>34.042807888473732</v>
          </cell>
          <cell r="AN69">
            <v>61.387657985124541</v>
          </cell>
          <cell r="AO69">
            <v>77.573652367225449</v>
          </cell>
          <cell r="AP69">
            <v>173.00411824082374</v>
          </cell>
          <cell r="AQ69">
            <v>40.307699737441958</v>
          </cell>
          <cell r="AR69">
            <v>22.375038660218543</v>
          </cell>
          <cell r="AS69">
            <v>15.82114571998796</v>
          </cell>
          <cell r="AT69">
            <v>21.500772642235059</v>
          </cell>
          <cell r="AU69">
            <v>28.498950239472641</v>
          </cell>
          <cell r="AV69">
            <v>17.396344294773929</v>
          </cell>
          <cell r="AW69">
            <v>27.166637526108797</v>
          </cell>
          <cell r="AX69">
            <v>27.982186867074791</v>
          </cell>
          <cell r="AY69">
            <v>27.982186867074791</v>
          </cell>
          <cell r="AZ69">
            <v>34.015278383691935</v>
          </cell>
          <cell r="BA69">
            <v>83.915403624722231</v>
          </cell>
          <cell r="BB69">
            <v>67.30378956278048</v>
          </cell>
          <cell r="BC69">
            <v>185.23447157119466</v>
          </cell>
          <cell r="BD69">
            <v>39.629602089326184</v>
          </cell>
          <cell r="BE69">
            <v>22.127260447608229</v>
          </cell>
          <cell r="BF69">
            <v>15.860455725696996</v>
          </cell>
          <cell r="BG69">
            <v>21.345932108415294</v>
          </cell>
          <cell r="BH69">
            <v>28.498950239472641</v>
          </cell>
          <cell r="BI69">
            <v>17.396344294773929</v>
          </cell>
          <cell r="BJ69">
            <v>27.166637526108797</v>
          </cell>
          <cell r="BK69">
            <v>27.982186867074791</v>
          </cell>
          <cell r="BL69">
            <v>27.982186867074791</v>
          </cell>
          <cell r="BM69">
            <v>32.797234160676545</v>
          </cell>
          <cell r="BN69">
            <v>37.882224497167002</v>
          </cell>
          <cell r="BO69">
            <v>88.866731366804174</v>
          </cell>
          <cell r="BP69">
            <v>159.54619002464773</v>
          </cell>
          <cell r="BQ69">
            <v>45.291674196339429</v>
          </cell>
          <cell r="BR69">
            <v>23.427279752354128</v>
          </cell>
          <cell r="BS69">
            <v>18.779161915243371</v>
          </cell>
          <cell r="BT69">
            <v>20.06671880391346</v>
          </cell>
          <cell r="BU69">
            <v>29.923897751446273</v>
          </cell>
          <cell r="BV69">
            <v>24.188067752322652</v>
          </cell>
          <cell r="BW69">
            <v>29.235598151551439</v>
          </cell>
          <cell r="BX69">
            <v>27.982186867074791</v>
          </cell>
          <cell r="BY69">
            <v>27.982186867074791</v>
          </cell>
          <cell r="BZ69">
            <v>29.86956588494926</v>
          </cell>
          <cell r="CA69">
            <v>14.351248419474466</v>
          </cell>
          <cell r="CB69">
            <v>100.93379367066468</v>
          </cell>
          <cell r="CC69">
            <v>145.15460797508842</v>
          </cell>
          <cell r="CD69">
            <v>40.031511806630803</v>
          </cell>
          <cell r="CE69">
            <v>22.232432866297657</v>
          </cell>
          <cell r="CF69">
            <v>16.890374978513982</v>
          </cell>
          <cell r="CG69">
            <v>21.042636708992212</v>
          </cell>
          <cell r="CH69">
            <v>28.498950239472641</v>
          </cell>
          <cell r="CI69">
            <v>18.945333855267499</v>
          </cell>
          <cell r="CJ69">
            <v>27.352516273368025</v>
          </cell>
          <cell r="CK69">
            <v>27.982186867074791</v>
          </cell>
          <cell r="CL69">
            <v>27.982186867074791</v>
          </cell>
          <cell r="CM69">
            <v>32.074273120997596</v>
          </cell>
          <cell r="CN69">
            <v>32.070344284799248</v>
          </cell>
          <cell r="CO69">
            <v>91.847093704000301</v>
          </cell>
          <cell r="CP69">
            <v>155.99171110979717</v>
          </cell>
        </row>
        <row r="70">
          <cell r="B70">
            <v>2051</v>
          </cell>
          <cell r="D70">
            <v>39.749525204141072</v>
          </cell>
          <cell r="E70">
            <v>22.400881501887163</v>
          </cell>
          <cell r="F70">
            <v>15.454872770249402</v>
          </cell>
          <cell r="G70">
            <v>22.514326708537084</v>
          </cell>
          <cell r="H70">
            <v>29.049314156048872</v>
          </cell>
          <cell r="I70">
            <v>17.732297728136519</v>
          </cell>
          <cell r="J70">
            <v>27.691272184699386</v>
          </cell>
          <cell r="K70">
            <v>28.522571191027922</v>
          </cell>
          <cell r="L70">
            <v>28.522571191027922</v>
          </cell>
          <cell r="M70">
            <v>32.501727748348593</v>
          </cell>
          <cell r="N70">
            <v>44.492434092820879</v>
          </cell>
          <cell r="O70">
            <v>88.320681457030062</v>
          </cell>
          <cell r="P70">
            <v>165.31484329819955</v>
          </cell>
          <cell r="Q70">
            <v>40.732237222925519</v>
          </cell>
          <cell r="R70">
            <v>22.765121923997086</v>
          </cell>
          <cell r="S70">
            <v>16.46309025196911</v>
          </cell>
          <cell r="T70">
            <v>21.204209782745227</v>
          </cell>
          <cell r="U70">
            <v>29.049314156048872</v>
          </cell>
          <cell r="V70">
            <v>17.732297728136519</v>
          </cell>
          <cell r="W70">
            <v>27.691272184699386</v>
          </cell>
          <cell r="X70">
            <v>28.522571191027922</v>
          </cell>
          <cell r="Y70">
            <v>28.522571191027922</v>
          </cell>
          <cell r="Z70">
            <v>33.165116914695069</v>
          </cell>
          <cell r="AA70">
            <v>15.593182333070308</v>
          </cell>
          <cell r="AB70">
            <v>101.21051939781719</v>
          </cell>
          <cell r="AC70">
            <v>149.96881864558259</v>
          </cell>
          <cell r="AD70">
            <v>40.323171495844122</v>
          </cell>
          <cell r="AE70">
            <v>22.478150139467228</v>
          </cell>
          <cell r="AF70">
            <v>16.184461426400919</v>
          </cell>
          <cell r="AG70">
            <v>21.631646013550537</v>
          </cell>
          <cell r="AH70">
            <v>29.049314156048872</v>
          </cell>
          <cell r="AI70">
            <v>17.732297728136519</v>
          </cell>
          <cell r="AJ70">
            <v>27.691272184699386</v>
          </cell>
          <cell r="AK70">
            <v>28.522571191027922</v>
          </cell>
          <cell r="AL70">
            <v>28.522571191027922</v>
          </cell>
          <cell r="AM70">
            <v>34.700233264612763</v>
          </cell>
          <cell r="AN70">
            <v>62.573159612175381</v>
          </cell>
          <cell r="AO70">
            <v>79.071733481834912</v>
          </cell>
          <cell r="AP70">
            <v>176.34512635862305</v>
          </cell>
          <cell r="AQ70">
            <v>41.08611098800624</v>
          </cell>
          <cell r="AR70">
            <v>22.807139274701054</v>
          </cell>
          <cell r="AS70">
            <v>16.126679350174648</v>
          </cell>
          <cell r="AT70">
            <v>21.915989670980416</v>
          </cell>
          <cell r="AU70">
            <v>29.049314156048872</v>
          </cell>
          <cell r="AV70">
            <v>17.732297728136519</v>
          </cell>
          <cell r="AW70">
            <v>27.691272184699386</v>
          </cell>
          <cell r="AX70">
            <v>28.522571191027922</v>
          </cell>
          <cell r="AY70">
            <v>28.522571191027922</v>
          </cell>
          <cell r="AZ70">
            <v>34.672172117579379</v>
          </cell>
          <cell r="BA70">
            <v>85.53595490159033</v>
          </cell>
          <cell r="BB70">
            <v>68.603541901478536</v>
          </cell>
          <cell r="BC70">
            <v>188.81166892064823</v>
          </cell>
          <cell r="BD70">
            <v>40.394918103950125</v>
          </cell>
          <cell r="BE70">
            <v>22.554576037155133</v>
          </cell>
          <cell r="BF70">
            <v>16.166748499940599</v>
          </cell>
          <cell r="BG70">
            <v>21.758158899207263</v>
          </cell>
          <cell r="BH70">
            <v>29.049314156048872</v>
          </cell>
          <cell r="BI70">
            <v>17.732297728136519</v>
          </cell>
          <cell r="BJ70">
            <v>27.691272184699386</v>
          </cell>
          <cell r="BK70">
            <v>28.522571191027922</v>
          </cell>
          <cell r="BL70">
            <v>28.522571191027922</v>
          </cell>
          <cell r="BM70">
            <v>33.430605358347435</v>
          </cell>
          <cell r="BN70">
            <v>38.613795634619073</v>
          </cell>
          <cell r="BO70">
            <v>90.582901328061922</v>
          </cell>
          <cell r="BP70">
            <v>162.62730232102842</v>
          </cell>
          <cell r="BQ70">
            <v>46.166334595741333</v>
          </cell>
          <cell r="BR70">
            <v>23.879700958429805</v>
          </cell>
          <cell r="BS70">
            <v>19.141819943516197</v>
          </cell>
          <cell r="BT70">
            <v>20.45424177795126</v>
          </cell>
          <cell r="BU70">
            <v>30.501779863851318</v>
          </cell>
          <cell r="BV70">
            <v>24.655181087751458</v>
          </cell>
          <cell r="BW70">
            <v>29.800188010719335</v>
          </cell>
          <cell r="BX70">
            <v>28.522571191027922</v>
          </cell>
          <cell r="BY70">
            <v>28.522571191027922</v>
          </cell>
          <cell r="BZ70">
            <v>30.446398755238757</v>
          </cell>
          <cell r="CA70">
            <v>14.628395795835045</v>
          </cell>
          <cell r="CB70">
            <v>102.88299943202441</v>
          </cell>
          <cell r="CC70">
            <v>147.95779398309821</v>
          </cell>
          <cell r="CD70">
            <v>40.804589391567582</v>
          </cell>
          <cell r="CE70">
            <v>22.661779516770643</v>
          </cell>
          <cell r="CF70">
            <v>17.216557271107373</v>
          </cell>
          <cell r="CG70">
            <v>21.449006342151943</v>
          </cell>
          <cell r="CH70">
            <v>29.049314156048872</v>
          </cell>
          <cell r="CI70">
            <v>19.311200950504841</v>
          </cell>
          <cell r="CJ70">
            <v>27.880740571383583</v>
          </cell>
          <cell r="CK70">
            <v>28.522571191027922</v>
          </cell>
          <cell r="CL70">
            <v>28.522571191027922</v>
          </cell>
          <cell r="CM70">
            <v>32.693682693205574</v>
          </cell>
          <cell r="CN70">
            <v>32.68967798439931</v>
          </cell>
          <cell r="CO70">
            <v>93.620819605913127</v>
          </cell>
          <cell r="CP70">
            <v>159.004180283518</v>
          </cell>
        </row>
        <row r="71">
          <cell r="B71">
            <v>2052</v>
          </cell>
          <cell r="D71">
            <v>40.539643184614839</v>
          </cell>
          <cell r="E71">
            <v>22.846153216761866</v>
          </cell>
          <cell r="F71">
            <v>15.762075756926492</v>
          </cell>
          <cell r="G71">
            <v>22.961853421354839</v>
          </cell>
          <cell r="H71">
            <v>29.626739554647955</v>
          </cell>
          <cell r="I71">
            <v>18.084770045683978</v>
          </cell>
          <cell r="J71">
            <v>28.241703213572279</v>
          </cell>
          <cell r="K71">
            <v>29.089526298834507</v>
          </cell>
          <cell r="L71">
            <v>29.089526298834507</v>
          </cell>
          <cell r="M71">
            <v>33.147778219607012</v>
          </cell>
          <cell r="N71">
            <v>45.37682886209776</v>
          </cell>
          <cell r="O71">
            <v>90.076268677468747</v>
          </cell>
          <cell r="P71">
            <v>168.6008757591735</v>
          </cell>
          <cell r="Q71">
            <v>41.541888982272916</v>
          </cell>
          <cell r="R71">
            <v>23.217633798477383</v>
          </cell>
          <cell r="S71">
            <v>16.790334000301684</v>
          </cell>
          <cell r="T71">
            <v>21.625694752063538</v>
          </cell>
          <cell r="U71">
            <v>29.626739554647955</v>
          </cell>
          <cell r="V71">
            <v>18.084770045683978</v>
          </cell>
          <cell r="W71">
            <v>28.241703213572279</v>
          </cell>
          <cell r="X71">
            <v>29.089526298834507</v>
          </cell>
          <cell r="Y71">
            <v>29.089526298834507</v>
          </cell>
          <cell r="Z71">
            <v>33.82435385058897</v>
          </cell>
          <cell r="AA71">
            <v>15.903134556924323</v>
          </cell>
          <cell r="AB71">
            <v>103.22232333204315</v>
          </cell>
          <cell r="AC71">
            <v>152.94981173955642</v>
          </cell>
          <cell r="AD71">
            <v>41.124692084202607</v>
          </cell>
          <cell r="AE71">
            <v>22.924957755451828</v>
          </cell>
          <cell r="AF71">
            <v>16.506166752731492</v>
          </cell>
          <cell r="AG71">
            <v>22.061627312063489</v>
          </cell>
          <cell r="AH71">
            <v>29.626739554647955</v>
          </cell>
          <cell r="AI71">
            <v>18.084770045683978</v>
          </cell>
          <cell r="AJ71">
            <v>28.241703213572279</v>
          </cell>
          <cell r="AK71">
            <v>29.089526298834507</v>
          </cell>
          <cell r="AL71">
            <v>29.089526298834507</v>
          </cell>
          <cell r="AM71">
            <v>35.389984351907465</v>
          </cell>
          <cell r="AN71">
            <v>63.816952544310432</v>
          </cell>
          <cell r="AO71">
            <v>80.643475485050558</v>
          </cell>
          <cell r="AP71">
            <v>179.85041238126846</v>
          </cell>
          <cell r="AQ71">
            <v>41.902796844570453</v>
          </cell>
          <cell r="AR71">
            <v>23.260486345680238</v>
          </cell>
          <cell r="AS71">
            <v>16.44723611794657</v>
          </cell>
          <cell r="AT71">
            <v>22.35162298760466</v>
          </cell>
          <cell r="AU71">
            <v>29.626739554647955</v>
          </cell>
          <cell r="AV71">
            <v>18.084770045683978</v>
          </cell>
          <cell r="AW71">
            <v>28.241703213572279</v>
          </cell>
          <cell r="AX71">
            <v>29.089526298834507</v>
          </cell>
          <cell r="AY71">
            <v>29.089526298834507</v>
          </cell>
          <cell r="AZ71">
            <v>35.361365421687751</v>
          </cell>
          <cell r="BA71">
            <v>87.236188944579581</v>
          </cell>
          <cell r="BB71">
            <v>69.967203271071369</v>
          </cell>
          <cell r="BC71">
            <v>192.56475763733869</v>
          </cell>
          <cell r="BD71">
            <v>41.197864829723123</v>
          </cell>
          <cell r="BE71">
            <v>23.002902802755404</v>
          </cell>
          <cell r="BF71">
            <v>16.488101739004438</v>
          </cell>
          <cell r="BG71">
            <v>22.190654947398503</v>
          </cell>
          <cell r="BH71">
            <v>29.626739554647955</v>
          </cell>
          <cell r="BI71">
            <v>18.084770045683978</v>
          </cell>
          <cell r="BJ71">
            <v>28.241703213572279</v>
          </cell>
          <cell r="BK71">
            <v>29.089526298834507</v>
          </cell>
          <cell r="BL71">
            <v>29.089526298834507</v>
          </cell>
          <cell r="BM71">
            <v>34.095119519361901</v>
          </cell>
          <cell r="BN71">
            <v>39.381338242199043</v>
          </cell>
          <cell r="BO71">
            <v>92.383455641483678</v>
          </cell>
          <cell r="BP71">
            <v>165.85991340304463</v>
          </cell>
          <cell r="BQ71">
            <v>47.084002187223987</v>
          </cell>
          <cell r="BR71">
            <v>24.354367787748973</v>
          </cell>
          <cell r="BS71">
            <v>19.522309925187422</v>
          </cell>
          <cell r="BT71">
            <v>20.860819318757546</v>
          </cell>
          <cell r="BU71">
            <v>31.108076532380352</v>
          </cell>
          <cell r="BV71">
            <v>25.145262460779776</v>
          </cell>
          <cell r="BW71">
            <v>30.392538843788284</v>
          </cell>
          <cell r="BX71">
            <v>29.089526298834507</v>
          </cell>
          <cell r="BY71">
            <v>29.089526298834507</v>
          </cell>
          <cell r="BZ71">
            <v>31.051594590249191</v>
          </cell>
          <cell r="CA71">
            <v>14.919170553128801</v>
          </cell>
          <cell r="CB71">
            <v>104.92804795320387</v>
          </cell>
          <cell r="CC71">
            <v>150.89881309658188</v>
          </cell>
          <cell r="CD71">
            <v>41.615679325310182</v>
          </cell>
          <cell r="CE71">
            <v>23.112237210888388</v>
          </cell>
          <cell r="CF71">
            <v>17.558777999327319</v>
          </cell>
          <cell r="CG71">
            <v>21.875357235331027</v>
          </cell>
          <cell r="CH71">
            <v>29.626739554647955</v>
          </cell>
          <cell r="CI71">
            <v>19.695057789477758</v>
          </cell>
          <cell r="CJ71">
            <v>28.434937742827533</v>
          </cell>
          <cell r="CK71">
            <v>29.089526298834507</v>
          </cell>
          <cell r="CL71">
            <v>29.089526298834507</v>
          </cell>
          <cell r="CM71">
            <v>33.34354873339452</v>
          </cell>
          <cell r="CN71">
            <v>33.33946442131203</v>
          </cell>
          <cell r="CO71">
            <v>95.481759894820442</v>
          </cell>
          <cell r="CP71">
            <v>162.16477304952699</v>
          </cell>
        </row>
        <row r="72">
          <cell r="B72">
            <v>2053</v>
          </cell>
          <cell r="D72">
            <v>41.356468773372427</v>
          </cell>
          <cell r="E72">
            <v>23.306476028858292</v>
          </cell>
          <cell r="F72">
            <v>16.079662834631197</v>
          </cell>
          <cell r="G72">
            <v>23.424507454949829</v>
          </cell>
          <cell r="H72">
            <v>30.223683116027825</v>
          </cell>
          <cell r="I72">
            <v>18.44915665049054</v>
          </cell>
          <cell r="J72">
            <v>28.810739940163348</v>
          </cell>
          <cell r="K72">
            <v>29.675645652118366</v>
          </cell>
          <cell r="L72">
            <v>29.675645652118366</v>
          </cell>
          <cell r="M72">
            <v>33.815666521853139</v>
          </cell>
          <cell r="N72">
            <v>46.291117988483109</v>
          </cell>
          <cell r="O72">
            <v>91.89119834669394</v>
          </cell>
          <cell r="P72">
            <v>171.99798285703019</v>
          </cell>
          <cell r="Q72">
            <v>42.378908631694124</v>
          </cell>
          <cell r="R72">
            <v>23.685441502423739</v>
          </cell>
          <cell r="S72">
            <v>17.128639258509725</v>
          </cell>
          <cell r="T72">
            <v>22.061426777816791</v>
          </cell>
          <cell r="U72">
            <v>30.223683116027825</v>
          </cell>
          <cell r="V72">
            <v>18.44915665049054</v>
          </cell>
          <cell r="W72">
            <v>28.810739940163348</v>
          </cell>
          <cell r="X72">
            <v>29.675645652118366</v>
          </cell>
          <cell r="Y72">
            <v>29.675645652118366</v>
          </cell>
          <cell r="Z72">
            <v>34.505874347020907</v>
          </cell>
          <cell r="AA72">
            <v>16.223563801661253</v>
          </cell>
          <cell r="AB72">
            <v>105.30213036548592</v>
          </cell>
          <cell r="AC72">
            <v>156.0315685141681</v>
          </cell>
          <cell r="AD72">
            <v>41.953305712378338</v>
          </cell>
          <cell r="AE72">
            <v>23.386868385265814</v>
          </cell>
          <cell r="AF72">
            <v>16.838746378914479</v>
          </cell>
          <cell r="AG72">
            <v>22.50614286036426</v>
          </cell>
          <cell r="AH72">
            <v>30.223683116027825</v>
          </cell>
          <cell r="AI72">
            <v>18.44915665049054</v>
          </cell>
          <cell r="AJ72">
            <v>28.810739940163348</v>
          </cell>
          <cell r="AK72">
            <v>29.675645652118366</v>
          </cell>
          <cell r="AL72">
            <v>29.675645652118366</v>
          </cell>
          <cell r="AM72">
            <v>36.103050440642527</v>
          </cell>
          <cell r="AN72">
            <v>65.102788228589574</v>
          </cell>
          <cell r="AO72">
            <v>82.268345591641278</v>
          </cell>
          <cell r="AP72">
            <v>183.47418426087336</v>
          </cell>
          <cell r="AQ72">
            <v>42.747088358121445</v>
          </cell>
          <cell r="AR72">
            <v>23.72915747748015</v>
          </cell>
          <cell r="AS72">
            <v>16.778628361935912</v>
          </cell>
          <cell r="AT72">
            <v>22.801981603821261</v>
          </cell>
          <cell r="AU72">
            <v>30.223683116027825</v>
          </cell>
          <cell r="AV72">
            <v>18.44915665049054</v>
          </cell>
          <cell r="AW72">
            <v>28.810739940163348</v>
          </cell>
          <cell r="AX72">
            <v>29.675645652118366</v>
          </cell>
          <cell r="AY72">
            <v>29.675645652118366</v>
          </cell>
          <cell r="AZ72">
            <v>36.07385487302075</v>
          </cell>
          <cell r="BA72">
            <v>88.993894385427339</v>
          </cell>
          <cell r="BB72">
            <v>71.376959191846325</v>
          </cell>
          <cell r="BC72">
            <v>196.4447084502944</v>
          </cell>
          <cell r="BD72">
            <v>42.027952801683</v>
          </cell>
          <cell r="BE72">
            <v>23.466383932557871</v>
          </cell>
          <cell r="BF72">
            <v>16.820317376648937</v>
          </cell>
          <cell r="BG72">
            <v>22.637770249074475</v>
          </cell>
          <cell r="BH72">
            <v>30.223683116027825</v>
          </cell>
          <cell r="BI72">
            <v>18.44915665049054</v>
          </cell>
          <cell r="BJ72">
            <v>28.810739940163348</v>
          </cell>
          <cell r="BK72">
            <v>29.675645652118366</v>
          </cell>
          <cell r="BL72">
            <v>29.675645652118366</v>
          </cell>
          <cell r="BM72">
            <v>34.782095621947136</v>
          </cell>
          <cell r="BN72">
            <v>40.17482536415659</v>
          </cell>
          <cell r="BO72">
            <v>94.244872383662937</v>
          </cell>
          <cell r="BP72">
            <v>169.20179336976668</v>
          </cell>
          <cell r="BQ72">
            <v>48.03268882544873</v>
          </cell>
          <cell r="BR72">
            <v>24.845079329447902</v>
          </cell>
          <cell r="BS72">
            <v>19.915661248629785</v>
          </cell>
          <cell r="BT72">
            <v>21.281140014339702</v>
          </cell>
          <cell r="BU72">
            <v>31.73486727182922</v>
          </cell>
          <cell r="BV72">
            <v>25.651909589380679</v>
          </cell>
          <cell r="BW72">
            <v>31.004912349935399</v>
          </cell>
          <cell r="BX72">
            <v>29.675645652118366</v>
          </cell>
          <cell r="BY72">
            <v>29.675645652118366</v>
          </cell>
          <cell r="BZ72">
            <v>31.677247285748685</v>
          </cell>
          <cell r="CA72">
            <v>15.219774093602464</v>
          </cell>
          <cell r="CB72">
            <v>107.04222330882436</v>
          </cell>
          <cell r="CC72">
            <v>153.93924468817551</v>
          </cell>
          <cell r="CD72">
            <v>42.454185762370884</v>
          </cell>
          <cell r="CE72">
            <v>23.577921298962785</v>
          </cell>
          <cell r="CF72">
            <v>17.912566490060939</v>
          </cell>
          <cell r="CG72">
            <v>22.316119663151632</v>
          </cell>
          <cell r="CH72">
            <v>30.223683116027825</v>
          </cell>
          <cell r="CI72">
            <v>20.091889776904083</v>
          </cell>
          <cell r="CJ72">
            <v>29.007867915332977</v>
          </cell>
          <cell r="CK72">
            <v>29.675645652118366</v>
          </cell>
          <cell r="CL72">
            <v>29.675645652118366</v>
          </cell>
          <cell r="CM72">
            <v>34.015381578626815</v>
          </cell>
          <cell r="CN72">
            <v>34.011214972514111</v>
          </cell>
          <cell r="CO72">
            <v>97.405603782309228</v>
          </cell>
          <cell r="CP72">
            <v>165.43220033345017</v>
          </cell>
        </row>
        <row r="73">
          <cell r="B73">
            <v>2054</v>
          </cell>
          <cell r="D73">
            <v>42.190811142236946</v>
          </cell>
          <cell r="E73">
            <v>23.776670438500968</v>
          </cell>
          <cell r="F73">
            <v>16.404060549859409</v>
          </cell>
          <cell r="G73">
            <v>23.897083079008688</v>
          </cell>
          <cell r="H73">
            <v>30.833428099455251</v>
          </cell>
          <cell r="I73">
            <v>18.821357506121466</v>
          </cell>
          <cell r="J73">
            <v>29.3919796282552</v>
          </cell>
          <cell r="K73">
            <v>30.274334302898765</v>
          </cell>
          <cell r="L73">
            <v>30.274334302898765</v>
          </cell>
          <cell r="M73">
            <v>34.497877652237193</v>
          </cell>
          <cell r="N73">
            <v>47.225013995212898</v>
          </cell>
          <cell r="O73">
            <v>93.745049083479827</v>
          </cell>
          <cell r="P73">
            <v>175.46794073092991</v>
          </cell>
          <cell r="Q73">
            <v>43.233878121749484</v>
          </cell>
          <cell r="R73">
            <v>24.163281317012984</v>
          </cell>
          <cell r="S73">
            <v>17.474199454489806</v>
          </cell>
          <cell r="T73">
            <v>22.506503053047183</v>
          </cell>
          <cell r="U73">
            <v>30.833428099455251</v>
          </cell>
          <cell r="V73">
            <v>18.821357506121466</v>
          </cell>
          <cell r="W73">
            <v>29.3919796282552</v>
          </cell>
          <cell r="X73">
            <v>30.274334302898765</v>
          </cell>
          <cell r="Y73">
            <v>30.274334302898765</v>
          </cell>
          <cell r="Z73">
            <v>35.202010013250003</v>
          </cell>
          <cell r="AA73">
            <v>16.550864634038359</v>
          </cell>
          <cell r="AB73">
            <v>107.42653874708806</v>
          </cell>
          <cell r="AC73">
            <v>159.17941339437641</v>
          </cell>
          <cell r="AD73">
            <v>42.799688914522044</v>
          </cell>
          <cell r="AE73">
            <v>23.858684663290223</v>
          </cell>
          <cell r="AF73">
            <v>17.178458157003664</v>
          </cell>
          <cell r="AG73">
            <v>22.960191020303142</v>
          </cell>
          <cell r="AH73">
            <v>30.833428099455251</v>
          </cell>
          <cell r="AI73">
            <v>18.821357506121466</v>
          </cell>
          <cell r="AJ73">
            <v>29.3919796282552</v>
          </cell>
          <cell r="AK73">
            <v>30.274334302898765</v>
          </cell>
          <cell r="AL73">
            <v>30.274334302898765</v>
          </cell>
          <cell r="AM73">
            <v>36.831408192677571</v>
          </cell>
          <cell r="AN73">
            <v>66.416198588840132</v>
          </cell>
          <cell r="AO73">
            <v>83.928060948859795</v>
          </cell>
          <cell r="AP73">
            <v>187.17566773037748</v>
          </cell>
          <cell r="AQ73">
            <v>43.609485657035407</v>
          </cell>
          <cell r="AR73">
            <v>24.207879236086075</v>
          </cell>
          <cell r="AS73">
            <v>17.117127294485208</v>
          </cell>
          <cell r="AT73">
            <v>23.261998135948062</v>
          </cell>
          <cell r="AU73">
            <v>30.833428099455251</v>
          </cell>
          <cell r="AV73">
            <v>18.821357506121466</v>
          </cell>
          <cell r="AW73">
            <v>29.3919796282552</v>
          </cell>
          <cell r="AX73">
            <v>30.274334302898765</v>
          </cell>
          <cell r="AY73">
            <v>30.274334302898765</v>
          </cell>
          <cell r="AZ73">
            <v>36.801623621696166</v>
          </cell>
          <cell r="BA73">
            <v>90.789293723385867</v>
          </cell>
          <cell r="BB73">
            <v>72.816947251291424</v>
          </cell>
          <cell r="BC73">
            <v>200.40786459637346</v>
          </cell>
          <cell r="BD73">
            <v>42.875841964832723</v>
          </cell>
          <cell r="BE73">
            <v>23.93980438985718</v>
          </cell>
          <cell r="BF73">
            <v>17.159657360485323</v>
          </cell>
          <cell r="BG73">
            <v>23.094473913957589</v>
          </cell>
          <cell r="BH73">
            <v>30.833428099455251</v>
          </cell>
          <cell r="BI73">
            <v>18.821357506121466</v>
          </cell>
          <cell r="BJ73">
            <v>29.3919796282552</v>
          </cell>
          <cell r="BK73">
            <v>30.274334302898765</v>
          </cell>
          <cell r="BL73">
            <v>30.274334302898765</v>
          </cell>
          <cell r="BM73">
            <v>35.483803889505324</v>
          </cell>
          <cell r="BN73">
            <v>40.985328774076109</v>
          </cell>
          <cell r="BO73">
            <v>96.146207106141631</v>
          </cell>
          <cell r="BP73">
            <v>172.61533976972305</v>
          </cell>
          <cell r="BQ73">
            <v>49.0017199967793</v>
          </cell>
          <cell r="BR73">
            <v>25.346314153338497</v>
          </cell>
          <cell r="BS73">
            <v>20.317447969704567</v>
          </cell>
          <cell r="BT73">
            <v>21.710474464265801</v>
          </cell>
          <cell r="BU73">
            <v>32.375099504428015</v>
          </cell>
          <cell r="BV73">
            <v>26.169421737963404</v>
          </cell>
          <cell r="BW73">
            <v>31.630418172452263</v>
          </cell>
          <cell r="BX73">
            <v>30.274334302898765</v>
          </cell>
          <cell r="BY73">
            <v>30.274334302898765</v>
          </cell>
          <cell r="BZ73">
            <v>32.316317069107839</v>
          </cell>
          <cell r="CA73">
            <v>15.526824060571961</v>
          </cell>
          <cell r="CB73">
            <v>109.20173703939487</v>
          </cell>
          <cell r="CC73">
            <v>157.04487816907468</v>
          </cell>
          <cell r="CD73">
            <v>43.310673924145391</v>
          </cell>
          <cell r="CE73">
            <v>24.053591956853762</v>
          </cell>
          <cell r="CF73">
            <v>18.273941955641867</v>
          </cell>
          <cell r="CG73">
            <v>22.766334217146774</v>
          </cell>
          <cell r="CH73">
            <v>30.833428099455251</v>
          </cell>
          <cell r="CI73">
            <v>20.497231804611733</v>
          </cell>
          <cell r="CJ73">
            <v>29.593084544074028</v>
          </cell>
          <cell r="CK73">
            <v>30.274334302898765</v>
          </cell>
          <cell r="CL73">
            <v>30.274334302898765</v>
          </cell>
          <cell r="CM73">
            <v>34.701621842505801</v>
          </cell>
          <cell r="CN73">
            <v>34.697371177571888</v>
          </cell>
          <cell r="CO73">
            <v>99.37070439681662</v>
          </cell>
          <cell r="CP73">
            <v>168.7696974168943</v>
          </cell>
        </row>
        <row r="74">
          <cell r="B74">
            <v>2055</v>
          </cell>
          <cell r="D74">
            <v>43.03966995249597</v>
          </cell>
          <cell r="E74">
            <v>24.255045602047939</v>
          </cell>
          <cell r="F74">
            <v>16.734102351493103</v>
          </cell>
          <cell r="G74">
            <v>24.377880886918128</v>
          </cell>
          <cell r="H74">
            <v>31.453781830140198</v>
          </cell>
          <cell r="I74">
            <v>19.200034158870434</v>
          </cell>
          <cell r="J74">
            <v>29.983332109587824</v>
          </cell>
          <cell r="K74">
            <v>30.883439335535037</v>
          </cell>
          <cell r="L74">
            <v>30.883439335535037</v>
          </cell>
          <cell r="M74">
            <v>35.19195834392184</v>
          </cell>
          <cell r="N74">
            <v>48.175158543496096</v>
          </cell>
          <cell r="O74">
            <v>95.631154343803075</v>
          </cell>
          <cell r="P74">
            <v>178.998271231221</v>
          </cell>
          <cell r="Q74">
            <v>44.103722937521994</v>
          </cell>
          <cell r="R74">
            <v>24.649434905327862</v>
          </cell>
          <cell r="S74">
            <v>17.825771935738405</v>
          </cell>
          <cell r="T74">
            <v>22.959323060235317</v>
          </cell>
          <cell r="U74">
            <v>31.453781830140198</v>
          </cell>
          <cell r="V74">
            <v>19.200034158870434</v>
          </cell>
          <cell r="W74">
            <v>29.983332109587824</v>
          </cell>
          <cell r="X74">
            <v>30.883439335535037</v>
          </cell>
          <cell r="Y74">
            <v>30.883439335535037</v>
          </cell>
          <cell r="Z74">
            <v>35.910257509081148</v>
          </cell>
          <cell r="AA74">
            <v>16.883860063176801</v>
          </cell>
          <cell r="AB74">
            <v>109.5879089934119</v>
          </cell>
          <cell r="AC74">
            <v>162.38202656566983</v>
          </cell>
          <cell r="AD74">
            <v>43.660798052456272</v>
          </cell>
          <cell r="AE74">
            <v>24.338709913559732</v>
          </cell>
          <cell r="AF74">
            <v>17.52408046571156</v>
          </cell>
          <cell r="AG74">
            <v>23.422139010994961</v>
          </cell>
          <cell r="AH74">
            <v>31.453781830140198</v>
          </cell>
          <cell r="AI74">
            <v>19.200034158870434</v>
          </cell>
          <cell r="AJ74">
            <v>29.983332109587824</v>
          </cell>
          <cell r="AK74">
            <v>30.883439335535037</v>
          </cell>
          <cell r="AL74">
            <v>30.883439335535037</v>
          </cell>
          <cell r="AM74">
            <v>37.572438395514844</v>
          </cell>
          <cell r="AN74">
            <v>67.75246053284458</v>
          </cell>
          <cell r="AO74">
            <v>85.616653133641847</v>
          </cell>
          <cell r="AP74">
            <v>190.94155206200128</v>
          </cell>
          <cell r="AQ74">
            <v>44.486887515606931</v>
          </cell>
          <cell r="AR74">
            <v>24.694930113064046</v>
          </cell>
          <cell r="AS74">
            <v>17.461515655762845</v>
          </cell>
          <cell r="AT74">
            <v>23.730018340521969</v>
          </cell>
          <cell r="AU74">
            <v>31.453781830140198</v>
          </cell>
          <cell r="AV74">
            <v>19.200034158870434</v>
          </cell>
          <cell r="AW74">
            <v>29.983332109587824</v>
          </cell>
          <cell r="AX74">
            <v>30.883439335535037</v>
          </cell>
          <cell r="AY74">
            <v>30.883439335535037</v>
          </cell>
          <cell r="AZ74">
            <v>37.542054573303069</v>
          </cell>
          <cell r="BA74">
            <v>92.615930608713242</v>
          </cell>
          <cell r="BB74">
            <v>74.281989177175305</v>
          </cell>
          <cell r="BC74">
            <v>204.43997435919164</v>
          </cell>
          <cell r="BD74">
            <v>43.738483265480447</v>
          </cell>
          <cell r="BE74">
            <v>24.42146172997559</v>
          </cell>
          <cell r="BF74">
            <v>17.504901406217648</v>
          </cell>
          <cell r="BG74">
            <v>23.559123611828294</v>
          </cell>
          <cell r="BH74">
            <v>31.453781830140198</v>
          </cell>
          <cell r="BI74">
            <v>19.200034158870434</v>
          </cell>
          <cell r="BJ74">
            <v>29.983332109587824</v>
          </cell>
          <cell r="BK74">
            <v>30.883439335535037</v>
          </cell>
          <cell r="BL74">
            <v>30.883439335535037</v>
          </cell>
          <cell r="BM74">
            <v>36.197720942476053</v>
          </cell>
          <cell r="BN74">
            <v>41.809933859385993</v>
          </cell>
          <cell r="BO74">
            <v>98.080622510005114</v>
          </cell>
          <cell r="BP74">
            <v>176.08827731186716</v>
          </cell>
          <cell r="BQ74">
            <v>49.987611014538629</v>
          </cell>
          <cell r="BR74">
            <v>25.856269792828815</v>
          </cell>
          <cell r="BS74">
            <v>20.726225242388896</v>
          </cell>
          <cell r="BT74">
            <v>22.147278759441971</v>
          </cell>
          <cell r="BU74">
            <v>33.02647092164721</v>
          </cell>
          <cell r="BV74">
            <v>26.695937905826696</v>
          </cell>
          <cell r="BW74">
            <v>32.266806959748749</v>
          </cell>
          <cell r="BX74">
            <v>30.883439335535037</v>
          </cell>
          <cell r="BY74">
            <v>30.883439335535037</v>
          </cell>
          <cell r="BZ74">
            <v>32.96650581202524</v>
          </cell>
          <cell r="CA74">
            <v>15.839216286327581</v>
          </cell>
          <cell r="CB74">
            <v>111.39882342081034</v>
          </cell>
          <cell r="CC74">
            <v>160.20454551916316</v>
          </cell>
          <cell r="CD74">
            <v>44.182063834493945</v>
          </cell>
          <cell r="CE74">
            <v>24.537538648044791</v>
          </cell>
          <cell r="CF74">
            <v>18.641604871031511</v>
          </cell>
          <cell r="CG74">
            <v>23.224381902278381</v>
          </cell>
          <cell r="CH74">
            <v>31.453781830140198</v>
          </cell>
          <cell r="CI74">
            <v>20.909626241509585</v>
          </cell>
          <cell r="CJ74">
            <v>30.188483159504521</v>
          </cell>
          <cell r="CK74">
            <v>30.883439335535037</v>
          </cell>
          <cell r="CL74">
            <v>30.883439335535037</v>
          </cell>
          <cell r="CM74">
            <v>35.399801769219735</v>
          </cell>
          <cell r="CN74">
            <v>35.395465582953548</v>
          </cell>
          <cell r="CO74">
            <v>101.36999513395156</v>
          </cell>
          <cell r="CP74">
            <v>172.16526248612485</v>
          </cell>
        </row>
        <row r="75">
          <cell r="B75">
            <v>2056</v>
          </cell>
          <cell r="D75">
            <v>43.895479885073641</v>
          </cell>
          <cell r="E75">
            <v>24.737338076973234</v>
          </cell>
          <cell r="F75">
            <v>17.066846794491521</v>
          </cell>
          <cell r="G75">
            <v>24.862615844719777</v>
          </cell>
          <cell r="H75">
            <v>32.079215504168744</v>
          </cell>
          <cell r="I75">
            <v>19.581811713324917</v>
          </cell>
          <cell r="J75">
            <v>30.579527049267487</v>
          </cell>
          <cell r="K75">
            <v>31.49753219834469</v>
          </cell>
          <cell r="L75">
            <v>31.49753219834469</v>
          </cell>
          <cell r="M75">
            <v>35.891722713184649</v>
          </cell>
          <cell r="N75">
            <v>49.133083621233304</v>
          </cell>
          <cell r="O75">
            <v>97.532704514648387</v>
          </cell>
          <cell r="P75">
            <v>182.55751084906632</v>
          </cell>
          <cell r="Q75">
            <v>44.980690725500963</v>
          </cell>
          <cell r="R75">
            <v>25.139569500869371</v>
          </cell>
          <cell r="S75">
            <v>18.180223368458662</v>
          </cell>
          <cell r="T75">
            <v>23.415851113119924</v>
          </cell>
          <cell r="U75">
            <v>32.079215504168744</v>
          </cell>
          <cell r="V75">
            <v>19.581811713324917</v>
          </cell>
          <cell r="W75">
            <v>30.579527049267487</v>
          </cell>
          <cell r="X75">
            <v>31.49753219834469</v>
          </cell>
          <cell r="Y75">
            <v>31.49753219834469</v>
          </cell>
          <cell r="Z75">
            <v>36.624304691404198</v>
          </cell>
          <cell r="AA75">
            <v>17.21958232030067</v>
          </cell>
          <cell r="AB75">
            <v>111.76697823605465</v>
          </cell>
          <cell r="AC75">
            <v>165.61086524775953</v>
          </cell>
          <cell r="AD75">
            <v>44.528958628009036</v>
          </cell>
          <cell r="AE75">
            <v>24.822665987413021</v>
          </cell>
          <cell r="AF75">
            <v>17.87253300120728</v>
          </cell>
          <cell r="AG75">
            <v>23.887869794477936</v>
          </cell>
          <cell r="AH75">
            <v>32.079215504168744</v>
          </cell>
          <cell r="AI75">
            <v>19.581811713324917</v>
          </cell>
          <cell r="AJ75">
            <v>30.579527049267487</v>
          </cell>
          <cell r="AK75">
            <v>31.49753219834469</v>
          </cell>
          <cell r="AL75">
            <v>31.49753219834469</v>
          </cell>
          <cell r="AM75">
            <v>38.319536735384425</v>
          </cell>
          <cell r="AN75">
            <v>69.099664838653226</v>
          </cell>
          <cell r="AO75">
            <v>87.319072836829619</v>
          </cell>
          <cell r="AP75">
            <v>194.73827441086729</v>
          </cell>
          <cell r="AQ75">
            <v>45.371474229383864</v>
          </cell>
          <cell r="AR75">
            <v>25.185969344972612</v>
          </cell>
          <cell r="AS75">
            <v>17.808724139298061</v>
          </cell>
          <cell r="AT75">
            <v>24.201871061941162</v>
          </cell>
          <cell r="AU75">
            <v>32.079215504168744</v>
          </cell>
          <cell r="AV75">
            <v>19.581811713324917</v>
          </cell>
          <cell r="AW75">
            <v>30.579527049267487</v>
          </cell>
          <cell r="AX75">
            <v>31.49753219834469</v>
          </cell>
          <cell r="AY75">
            <v>31.49753219834469</v>
          </cell>
          <cell r="AZ75">
            <v>38.288548754802768</v>
          </cell>
          <cell r="BA75">
            <v>94.457525430823765</v>
          </cell>
          <cell r="BB75">
            <v>75.759028016451239</v>
          </cell>
          <cell r="BC75">
            <v>208.50510220207775</v>
          </cell>
          <cell r="BD75">
            <v>44.608188550297804</v>
          </cell>
          <cell r="BE75">
            <v>24.907063258510703</v>
          </cell>
          <cell r="BF75">
            <v>17.852972581223604</v>
          </cell>
          <cell r="BG75">
            <v>24.027578226189448</v>
          </cell>
          <cell r="BH75">
            <v>32.079215504168744</v>
          </cell>
          <cell r="BI75">
            <v>19.581811713324917</v>
          </cell>
          <cell r="BJ75">
            <v>30.579527049267487</v>
          </cell>
          <cell r="BK75">
            <v>31.49753219834469</v>
          </cell>
          <cell r="BL75">
            <v>31.49753219834469</v>
          </cell>
          <cell r="BM75">
            <v>36.917484108723315</v>
          </cell>
          <cell r="BN75">
            <v>42.641291458474718</v>
          </cell>
          <cell r="BO75">
            <v>100.03087842577092</v>
          </cell>
          <cell r="BP75">
            <v>179.58965399296898</v>
          </cell>
          <cell r="BQ75">
            <v>50.981575281906125</v>
          </cell>
          <cell r="BR75">
            <v>26.370401349426121</v>
          </cell>
          <cell r="BS75">
            <v>21.138349904284677</v>
          </cell>
          <cell r="BT75">
            <v>22.587659951091833</v>
          </cell>
          <cell r="BU75">
            <v>33.683176279377179</v>
          </cell>
          <cell r="BV75">
            <v>27.226765601403823</v>
          </cell>
          <cell r="BW75">
            <v>32.908406998020375</v>
          </cell>
          <cell r="BX75">
            <v>31.49753219834469</v>
          </cell>
          <cell r="BY75">
            <v>31.49753219834469</v>
          </cell>
          <cell r="BZ75">
            <v>33.622018810787786</v>
          </cell>
          <cell r="CA75">
            <v>16.154166624865184</v>
          </cell>
          <cell r="CB75">
            <v>113.61390127029712</v>
          </cell>
          <cell r="CC75">
            <v>163.3900867059501</v>
          </cell>
          <cell r="CD75">
            <v>45.060589369496292</v>
          </cell>
          <cell r="CE75">
            <v>25.025448274656309</v>
          </cell>
          <cell r="CF75">
            <v>19.012278498999049</v>
          </cell>
          <cell r="CG75">
            <v>23.686180441437354</v>
          </cell>
          <cell r="CH75">
            <v>32.079215504168744</v>
          </cell>
          <cell r="CI75">
            <v>21.325397687799054</v>
          </cell>
          <cell r="CJ75">
            <v>30.788757366204383</v>
          </cell>
          <cell r="CK75">
            <v>31.49753219834469</v>
          </cell>
          <cell r="CL75">
            <v>31.49753219834469</v>
          </cell>
          <cell r="CM75">
            <v>36.103698941266288</v>
          </cell>
          <cell r="CN75">
            <v>36.099276533352025</v>
          </cell>
          <cell r="CO75">
            <v>103.38565763314679</v>
          </cell>
          <cell r="CP75">
            <v>175.58863310776511</v>
          </cell>
        </row>
        <row r="76">
          <cell r="B76">
            <v>2057</v>
          </cell>
          <cell r="D76">
            <v>44.762036379288041</v>
          </cell>
          <cell r="E76">
            <v>25.22568678659669</v>
          </cell>
          <cell r="F76">
            <v>17.403769570236317</v>
          </cell>
          <cell r="G76">
            <v>25.353437707923185</v>
          </cell>
          <cell r="H76">
            <v>32.712502863077262</v>
          </cell>
          <cell r="I76">
            <v>19.968383318262202</v>
          </cell>
          <cell r="J76">
            <v>31.183208517699455</v>
          </cell>
          <cell r="K76">
            <v>32.119336337396462</v>
          </cell>
          <cell r="L76">
            <v>32.119336337396462</v>
          </cell>
          <cell r="M76">
            <v>36.600274151443983</v>
          </cell>
          <cell r="N76">
            <v>50.103037539136274</v>
          </cell>
          <cell r="O76">
            <v>99.458132798306409</v>
          </cell>
          <cell r="P76">
            <v>186.16144448888667</v>
          </cell>
          <cell r="Q76">
            <v>45.868670758171405</v>
          </cell>
          <cell r="R76">
            <v>25.635858806049971</v>
          </cell>
          <cell r="S76">
            <v>18.539125712560004</v>
          </cell>
          <cell r="T76">
            <v>23.878111872149265</v>
          </cell>
          <cell r="U76">
            <v>32.712502863077262</v>
          </cell>
          <cell r="V76">
            <v>19.968383318262202</v>
          </cell>
          <cell r="W76">
            <v>31.183208517699455</v>
          </cell>
          <cell r="X76">
            <v>32.119336337396462</v>
          </cell>
          <cell r="Y76">
            <v>32.119336337396462</v>
          </cell>
          <cell r="Z76">
            <v>37.347318294616116</v>
          </cell>
          <cell r="AA76">
            <v>17.559520303126774</v>
          </cell>
          <cell r="AB76">
            <v>113.97341044918342</v>
          </cell>
          <cell r="AC76">
            <v>168.88024904692631</v>
          </cell>
          <cell r="AD76">
            <v>45.40802085447821</v>
          </cell>
          <cell r="AE76">
            <v>25.312699186080057</v>
          </cell>
          <cell r="AF76">
            <v>18.225361118835945</v>
          </cell>
          <cell r="AG76">
            <v>24.359448844474645</v>
          </cell>
          <cell r="AH76">
            <v>32.712502863077262</v>
          </cell>
          <cell r="AI76">
            <v>19.968383318262202</v>
          </cell>
          <cell r="AJ76">
            <v>31.183208517699455</v>
          </cell>
          <cell r="AK76">
            <v>32.119336337396462</v>
          </cell>
          <cell r="AL76">
            <v>32.119336337396462</v>
          </cell>
          <cell r="AM76">
            <v>39.076016525564967</v>
          </cell>
          <cell r="AN76">
            <v>70.463786234996221</v>
          </cell>
          <cell r="AO76">
            <v>89.042870135176614</v>
          </cell>
          <cell r="AP76">
            <v>198.5826728957378</v>
          </cell>
          <cell r="AQ76">
            <v>46.267168860095111</v>
          </cell>
          <cell r="AR76">
            <v>25.683174646204368</v>
          </cell>
          <cell r="AS76">
            <v>18.160292583178521</v>
          </cell>
          <cell r="AT76">
            <v>24.679648924166926</v>
          </cell>
          <cell r="AU76">
            <v>32.712502863077262</v>
          </cell>
          <cell r="AV76">
            <v>19.968383318262202</v>
          </cell>
          <cell r="AW76">
            <v>31.183208517699455</v>
          </cell>
          <cell r="AX76">
            <v>32.119336337396462</v>
          </cell>
          <cell r="AY76">
            <v>32.119336337396462</v>
          </cell>
          <cell r="AZ76">
            <v>39.044416800086438</v>
          </cell>
          <cell r="BA76">
            <v>96.322245495482036</v>
          </cell>
          <cell r="BB76">
            <v>77.254614302212516</v>
          </cell>
          <cell r="BC76">
            <v>212.62127659778099</v>
          </cell>
          <cell r="BD76">
            <v>45.488814883227946</v>
          </cell>
          <cell r="BE76">
            <v>25.398762574134548</v>
          </cell>
          <cell r="BF76">
            <v>18.205414549549175</v>
          </cell>
          <cell r="BG76">
            <v>24.501915310706181</v>
          </cell>
          <cell r="BH76">
            <v>32.712502863077262</v>
          </cell>
          <cell r="BI76">
            <v>19.968383318262202</v>
          </cell>
          <cell r="BJ76">
            <v>31.183208517699455</v>
          </cell>
          <cell r="BK76">
            <v>32.119336337396462</v>
          </cell>
          <cell r="BL76">
            <v>32.119336337396462</v>
          </cell>
          <cell r="BM76">
            <v>37.646285472513611</v>
          </cell>
          <cell r="BN76">
            <v>43.483088566782328</v>
          </cell>
          <cell r="BO76">
            <v>102.00562406128449</v>
          </cell>
          <cell r="BP76">
            <v>183.13499810058045</v>
          </cell>
          <cell r="BQ76">
            <v>51.988020940126134</v>
          </cell>
          <cell r="BR76">
            <v>26.890988949885536</v>
          </cell>
          <cell r="BS76">
            <v>21.555649690834294</v>
          </cell>
          <cell r="BT76">
            <v>23.033571089800688</v>
          </cell>
          <cell r="BU76">
            <v>34.348128006231128</v>
          </cell>
          <cell r="BV76">
            <v>27.764258997309767</v>
          </cell>
          <cell r="BW76">
            <v>33.558063725160565</v>
          </cell>
          <cell r="BX76">
            <v>32.119336337396462</v>
          </cell>
          <cell r="BY76">
            <v>32.119336337396462</v>
          </cell>
          <cell r="BZ76">
            <v>34.285763206004987</v>
          </cell>
          <cell r="CA76">
            <v>16.473071852329351</v>
          </cell>
          <cell r="CB76">
            <v>115.85679425692301</v>
          </cell>
          <cell r="CC76">
            <v>166.61562931525737</v>
          </cell>
          <cell r="CD76">
            <v>45.950146710104001</v>
          </cell>
          <cell r="CE76">
            <v>25.519484671565682</v>
          </cell>
          <cell r="CF76">
            <v>19.387606743416367</v>
          </cell>
          <cell r="CG76">
            <v>24.153777869199871</v>
          </cell>
          <cell r="CH76">
            <v>32.712502863077262</v>
          </cell>
          <cell r="CI76">
            <v>21.746390052080066</v>
          </cell>
          <cell r="CJ76">
            <v>31.3965693257576</v>
          </cell>
          <cell r="CK76">
            <v>32.119336337396462</v>
          </cell>
          <cell r="CL76">
            <v>32.119336337396462</v>
          </cell>
          <cell r="CM76">
            <v>36.816435078668775</v>
          </cell>
          <cell r="CN76">
            <v>36.811925366405433</v>
          </cell>
          <cell r="CO76">
            <v>105.42663117450438</v>
          </cell>
          <cell r="CP76">
            <v>179.05499161957857</v>
          </cell>
        </row>
        <row r="77">
          <cell r="B77">
            <v>2058</v>
          </cell>
          <cell r="D77">
            <v>45.646506771199761</v>
          </cell>
          <cell r="E77">
            <v>25.724130889749851</v>
          </cell>
          <cell r="F77">
            <v>17.747657385395026</v>
          </cell>
          <cell r="G77">
            <v>25.854406090948135</v>
          </cell>
          <cell r="H77">
            <v>33.35888186117635</v>
          </cell>
          <cell r="I77">
            <v>20.36294632852594</v>
          </cell>
          <cell r="J77">
            <v>31.799369597258302</v>
          </cell>
          <cell r="K77">
            <v>32.753994728662732</v>
          </cell>
          <cell r="L77">
            <v>32.753994728662732</v>
          </cell>
          <cell r="M77">
            <v>37.323473126318653</v>
          </cell>
          <cell r="N77">
            <v>51.093042839000432</v>
          </cell>
          <cell r="O77">
            <v>101.42336451720178</v>
          </cell>
          <cell r="P77">
            <v>189.83988048252087</v>
          </cell>
          <cell r="Q77">
            <v>46.77500756684978</v>
          </cell>
          <cell r="R77">
            <v>26.142407656800472</v>
          </cell>
          <cell r="S77">
            <v>18.905447468919501</v>
          </cell>
          <cell r="T77">
            <v>24.349928721291629</v>
          </cell>
          <cell r="U77">
            <v>33.35888186117635</v>
          </cell>
          <cell r="V77">
            <v>20.36294632852594</v>
          </cell>
          <cell r="W77">
            <v>31.799369597258302</v>
          </cell>
          <cell r="X77">
            <v>32.753994728662732</v>
          </cell>
          <cell r="Y77">
            <v>32.753994728662732</v>
          </cell>
          <cell r="Z77">
            <v>38.085278403691376</v>
          </cell>
          <cell r="AA77">
            <v>17.906485657265012</v>
          </cell>
          <cell r="AB77">
            <v>116.2254551540608</v>
          </cell>
          <cell r="AC77">
            <v>172.21721921501717</v>
          </cell>
          <cell r="AD77">
            <v>46.305255503518424</v>
          </cell>
          <cell r="AE77">
            <v>25.812862600893222</v>
          </cell>
          <cell r="AF77">
            <v>18.585483079215926</v>
          </cell>
          <cell r="AG77">
            <v>24.840776617046568</v>
          </cell>
          <cell r="AH77">
            <v>33.35888186117635</v>
          </cell>
          <cell r="AI77">
            <v>20.36294632852594</v>
          </cell>
          <cell r="AJ77">
            <v>31.799369597258302</v>
          </cell>
          <cell r="AK77">
            <v>32.753994728662732</v>
          </cell>
          <cell r="AL77">
            <v>32.753994728662732</v>
          </cell>
          <cell r="AM77">
            <v>39.848134651689961</v>
          </cell>
          <cell r="AN77">
            <v>71.856107444396983</v>
          </cell>
          <cell r="AO77">
            <v>90.802302650222884</v>
          </cell>
          <cell r="AP77">
            <v>202.50654474630983</v>
          </cell>
          <cell r="AQ77">
            <v>47.181379746918594</v>
          </cell>
          <cell r="AR77">
            <v>26.190658428943451</v>
          </cell>
          <cell r="AS77">
            <v>18.519128829192287</v>
          </cell>
          <cell r="AT77">
            <v>25.167303653975015</v>
          </cell>
          <cell r="AU77">
            <v>33.35888186117635</v>
          </cell>
          <cell r="AV77">
            <v>20.36294632852594</v>
          </cell>
          <cell r="AW77">
            <v>31.799369597258302</v>
          </cell>
          <cell r="AX77">
            <v>32.753994728662732</v>
          </cell>
          <cell r="AY77">
            <v>32.753994728662732</v>
          </cell>
          <cell r="AZ77">
            <v>39.815910535012122</v>
          </cell>
          <cell r="BA77">
            <v>98.225514004120001</v>
          </cell>
          <cell r="BB77">
            <v>78.781118110258276</v>
          </cell>
          <cell r="BC77">
            <v>216.82254264939041</v>
          </cell>
          <cell r="BD77">
            <v>46.387645972735406</v>
          </cell>
          <cell r="BE77">
            <v>25.900626548723785</v>
          </cell>
          <cell r="BF77">
            <v>18.565142377950782</v>
          </cell>
          <cell r="BG77">
            <v>24.986058133294023</v>
          </cell>
          <cell r="BH77">
            <v>33.35888186117635</v>
          </cell>
          <cell r="BI77">
            <v>20.36294632852594</v>
          </cell>
          <cell r="BJ77">
            <v>31.799369597258302</v>
          </cell>
          <cell r="BK77">
            <v>32.753994728662732</v>
          </cell>
          <cell r="BL77">
            <v>32.753994728662732</v>
          </cell>
          <cell r="BM77">
            <v>38.390152989705058</v>
          </cell>
          <cell r="BN77">
            <v>44.34228773413723</v>
          </cell>
          <cell r="BO77">
            <v>104.02119264547942</v>
          </cell>
          <cell r="BP77">
            <v>186.7536333693217</v>
          </cell>
          <cell r="BQ77">
            <v>53.015272356169937</v>
          </cell>
          <cell r="BR77">
            <v>27.422338402664327</v>
          </cell>
          <cell r="BS77">
            <v>21.981576111348655</v>
          </cell>
          <cell r="BT77">
            <v>23.48870033093479</v>
          </cell>
          <cell r="BU77">
            <v>35.026825954235171</v>
          </cell>
          <cell r="BV77">
            <v>28.312863730758664</v>
          </cell>
          <cell r="BW77">
            <v>34.221150487417987</v>
          </cell>
          <cell r="BX77">
            <v>32.753994728662732</v>
          </cell>
          <cell r="BY77">
            <v>32.753994728662732</v>
          </cell>
          <cell r="BZ77">
            <v>34.963228863797056</v>
          </cell>
          <cell r="CA77">
            <v>16.798569651262408</v>
          </cell>
          <cell r="CB77">
            <v>118.14605347099823</v>
          </cell>
          <cell r="CC77">
            <v>169.90785198605769</v>
          </cell>
          <cell r="CD77">
            <v>46.858093433633584</v>
          </cell>
          <cell r="CE77">
            <v>26.023734040776439</v>
          </cell>
          <cell r="CF77">
            <v>19.770693964678582</v>
          </cell>
          <cell r="CG77">
            <v>24.631041709412575</v>
          </cell>
          <cell r="CH77">
            <v>33.35888186117635</v>
          </cell>
          <cell r="CI77">
            <v>22.176085385175508</v>
          </cell>
          <cell r="CJ77">
            <v>32.016946284056246</v>
          </cell>
          <cell r="CK77">
            <v>32.753994728662732</v>
          </cell>
          <cell r="CL77">
            <v>32.753994728662732</v>
          </cell>
          <cell r="CM77">
            <v>37.543905260921015</v>
          </cell>
          <cell r="CN77">
            <v>37.539306439508607</v>
          </cell>
          <cell r="CO77">
            <v>107.50979676158192</v>
          </cell>
          <cell r="CP77">
            <v>182.59300846201154</v>
          </cell>
        </row>
        <row r="78">
          <cell r="B78">
            <v>2059</v>
          </cell>
          <cell r="D78">
            <v>46.553894012004037</v>
          </cell>
          <cell r="E78">
            <v>26.235489804181956</v>
          </cell>
          <cell r="F78">
            <v>18.100455419785561</v>
          </cell>
          <cell r="G78">
            <v>26.368354689974353</v>
          </cell>
          <cell r="H78">
            <v>34.022008700652869</v>
          </cell>
          <cell r="I78">
            <v>20.767732564990911</v>
          </cell>
          <cell r="J78">
            <v>32.431495564373428</v>
          </cell>
          <cell r="K78">
            <v>33.405097277454288</v>
          </cell>
          <cell r="L78">
            <v>33.405097277454288</v>
          </cell>
          <cell r="M78">
            <v>38.065410367367093</v>
          </cell>
          <cell r="N78">
            <v>52.108699423596448</v>
          </cell>
          <cell r="O78">
            <v>103.43951588106511</v>
          </cell>
          <cell r="P78">
            <v>193.61362567202866</v>
          </cell>
          <cell r="Q78">
            <v>47.704827788743785</v>
          </cell>
          <cell r="R78">
            <v>26.66208131486562</v>
          </cell>
          <cell r="S78">
            <v>19.281260713533804</v>
          </cell>
          <cell r="T78">
            <v>24.8339704629071</v>
          </cell>
          <cell r="U78">
            <v>34.022008700652869</v>
          </cell>
          <cell r="V78">
            <v>20.767732564990911</v>
          </cell>
          <cell r="W78">
            <v>32.431495564373428</v>
          </cell>
          <cell r="X78">
            <v>33.405097277454288</v>
          </cell>
          <cell r="Y78">
            <v>33.405097277454288</v>
          </cell>
          <cell r="Z78">
            <v>38.842359243616514</v>
          </cell>
          <cell r="AA78">
            <v>18.262440970439133</v>
          </cell>
          <cell r="AB78">
            <v>118.53585090005039</v>
          </cell>
          <cell r="AC78">
            <v>175.64065111410605</v>
          </cell>
          <cell r="AD78">
            <v>47.225737726543315</v>
          </cell>
          <cell r="AE78">
            <v>26.325985374780107</v>
          </cell>
          <cell r="AF78">
            <v>18.954935889587492</v>
          </cell>
          <cell r="AG78">
            <v>25.334575712494519</v>
          </cell>
          <cell r="AH78">
            <v>34.022008700652869</v>
          </cell>
          <cell r="AI78">
            <v>20.767732564990911</v>
          </cell>
          <cell r="AJ78">
            <v>32.431495564373428</v>
          </cell>
          <cell r="AK78">
            <v>33.405097277454288</v>
          </cell>
          <cell r="AL78">
            <v>33.405097277454288</v>
          </cell>
          <cell r="AM78">
            <v>40.640258551423024</v>
          </cell>
          <cell r="AN78">
            <v>73.284504044288511</v>
          </cell>
          <cell r="AO78">
            <v>92.607322501434069</v>
          </cell>
          <cell r="AP78">
            <v>206.53208509714563</v>
          </cell>
          <cell r="AQ78">
            <v>48.119278066290256</v>
          </cell>
          <cell r="AR78">
            <v>26.711291243318652</v>
          </cell>
          <cell r="AS78">
            <v>18.887262612017093</v>
          </cell>
          <cell r="AT78">
            <v>25.6675936397023</v>
          </cell>
          <cell r="AU78">
            <v>34.022008700652869</v>
          </cell>
          <cell r="AV78">
            <v>20.767732564990911</v>
          </cell>
          <cell r="AW78">
            <v>32.431495564373428</v>
          </cell>
          <cell r="AX78">
            <v>33.405097277454288</v>
          </cell>
          <cell r="AY78">
            <v>33.405097277454288</v>
          </cell>
          <cell r="AZ78">
            <v>40.607393865413862</v>
          </cell>
          <cell r="BA78">
            <v>100.1780966754629</v>
          </cell>
          <cell r="BB78">
            <v>80.347174013459323</v>
          </cell>
          <cell r="BC78">
            <v>221.13266455433609</v>
          </cell>
          <cell r="BD78">
            <v>47.309766000399023</v>
          </cell>
          <cell r="BE78">
            <v>26.415493944315532</v>
          </cell>
          <cell r="BF78">
            <v>18.934190844285915</v>
          </cell>
          <cell r="BG78">
            <v>25.48274521740732</v>
          </cell>
          <cell r="BH78">
            <v>34.022008700652869</v>
          </cell>
          <cell r="BI78">
            <v>20.767732564990911</v>
          </cell>
          <cell r="BJ78">
            <v>32.431495564373428</v>
          </cell>
          <cell r="BK78">
            <v>33.405097277454288</v>
          </cell>
          <cell r="BL78">
            <v>33.405097277454288</v>
          </cell>
          <cell r="BM78">
            <v>39.153294300166984</v>
          </cell>
          <cell r="BN78">
            <v>45.223748966640883</v>
          </cell>
          <cell r="BO78">
            <v>106.08898511540191</v>
          </cell>
          <cell r="BP78">
            <v>190.4660283822098</v>
          </cell>
          <cell r="BQ78">
            <v>54.069140113123993</v>
          </cell>
          <cell r="BR78">
            <v>27.967455252554238</v>
          </cell>
          <cell r="BS78">
            <v>22.418538391861887</v>
          </cell>
          <cell r="BT78">
            <v>23.955622084448102</v>
          </cell>
          <cell r="BU78">
            <v>35.723109135685512</v>
          </cell>
          <cell r="BV78">
            <v>28.875682949953113</v>
          </cell>
          <cell r="BW78">
            <v>34.901417993397622</v>
          </cell>
          <cell r="BX78">
            <v>33.405097277454288</v>
          </cell>
          <cell r="BY78">
            <v>33.405097277454288</v>
          </cell>
          <cell r="BZ78">
            <v>35.658247826088079</v>
          </cell>
          <cell r="CA78">
            <v>17.132501179511024</v>
          </cell>
          <cell r="CB78">
            <v>120.49462796341929</v>
          </cell>
          <cell r="CC78">
            <v>173.28537696901839</v>
          </cell>
          <cell r="CD78">
            <v>47.789565283674918</v>
          </cell>
          <cell r="CE78">
            <v>26.541048637160479</v>
          </cell>
          <cell r="CF78">
            <v>20.16370707158109</v>
          </cell>
          <cell r="CG78">
            <v>25.120671574998269</v>
          </cell>
          <cell r="CH78">
            <v>34.022008700652869</v>
          </cell>
          <cell r="CI78">
            <v>22.616914231736679</v>
          </cell>
          <cell r="CJ78">
            <v>32.653397364382926</v>
          </cell>
          <cell r="CK78">
            <v>33.405097277454288</v>
          </cell>
          <cell r="CL78">
            <v>33.405097277454288</v>
          </cell>
          <cell r="CM78">
            <v>38.2902243773976</v>
          </cell>
          <cell r="CN78">
            <v>38.285534137995789</v>
          </cell>
          <cell r="CO78">
            <v>109.64693768962489</v>
          </cell>
          <cell r="CP78">
            <v>186.22269620501828</v>
          </cell>
        </row>
        <row r="79">
          <cell r="B79">
            <v>2060</v>
          </cell>
          <cell r="D79">
            <v>47.501841008324149</v>
          </cell>
          <cell r="E79">
            <v>26.769706206153579</v>
          </cell>
          <cell r="F79">
            <v>18.469023349737615</v>
          </cell>
          <cell r="G79">
            <v>26.905276534145308</v>
          </cell>
          <cell r="H79">
            <v>34.714776977958394</v>
          </cell>
          <cell r="I79">
            <v>21.190612543629996</v>
          </cell>
          <cell r="J79">
            <v>33.09187724583898</v>
          </cell>
          <cell r="K79">
            <v>34.08530378429942</v>
          </cell>
          <cell r="L79">
            <v>34.08530378429942</v>
          </cell>
          <cell r="M79">
            <v>38.840511831750149</v>
          </cell>
          <cell r="N79">
            <v>53.169755349186879</v>
          </cell>
          <cell r="O79">
            <v>105.54578820180754</v>
          </cell>
          <cell r="P79">
            <v>197.55605538274457</v>
          </cell>
          <cell r="Q79">
            <v>48.676210509180599</v>
          </cell>
          <cell r="R79">
            <v>27.204984125349153</v>
          </cell>
          <cell r="S79">
            <v>19.673872622087494</v>
          </cell>
          <cell r="T79">
            <v>25.339648628109455</v>
          </cell>
          <cell r="U79">
            <v>34.714776977958394</v>
          </cell>
          <cell r="V79">
            <v>21.190612543629996</v>
          </cell>
          <cell r="W79">
            <v>33.09187724583898</v>
          </cell>
          <cell r="X79">
            <v>34.08530378429942</v>
          </cell>
          <cell r="Y79">
            <v>34.08530378429942</v>
          </cell>
          <cell r="Z79">
            <v>39.633281218166672</v>
          </cell>
          <cell r="AA79">
            <v>18.634307307956192</v>
          </cell>
          <cell r="AB79">
            <v>120.94952017953057</v>
          </cell>
          <cell r="AC79">
            <v>179.21710870565343</v>
          </cell>
          <cell r="AD79">
            <v>48.18736504423525</v>
          </cell>
          <cell r="AE79">
            <v>26.86204447984133</v>
          </cell>
          <cell r="AF79">
            <v>19.340903055671202</v>
          </cell>
          <cell r="AG79">
            <v>25.850447380362112</v>
          </cell>
          <cell r="AH79">
            <v>34.714776977958394</v>
          </cell>
          <cell r="AI79">
            <v>21.190612543629996</v>
          </cell>
          <cell r="AJ79">
            <v>33.09187724583898</v>
          </cell>
          <cell r="AK79">
            <v>34.08530378429942</v>
          </cell>
          <cell r="AL79">
            <v>34.08530378429942</v>
          </cell>
          <cell r="AM79">
            <v>41.467789993015437</v>
          </cell>
          <cell r="AN79">
            <v>74.776749257281423</v>
          </cell>
          <cell r="AO79">
            <v>94.49302583658033</v>
          </cell>
          <cell r="AP79">
            <v>210.7375650868772</v>
          </cell>
          <cell r="AQ79">
            <v>49.099099971118889</v>
          </cell>
          <cell r="AR79">
            <v>27.255196083919238</v>
          </cell>
          <cell r="AS79">
            <v>19.271851790682877</v>
          </cell>
          <cell r="AT79">
            <v>26.190246337396005</v>
          </cell>
          <cell r="AU79">
            <v>34.714776977958394</v>
          </cell>
          <cell r="AV79">
            <v>21.190612543629996</v>
          </cell>
          <cell r="AW79">
            <v>33.09187724583898</v>
          </cell>
          <cell r="AX79">
            <v>34.08530378429942</v>
          </cell>
          <cell r="AY79">
            <v>34.08530378429942</v>
          </cell>
          <cell r="AZ79">
            <v>41.434256104546449</v>
          </cell>
          <cell r="BA79">
            <v>102.21795881494546</v>
          </cell>
          <cell r="BB79">
            <v>81.983231831721056</v>
          </cell>
          <cell r="BC79">
            <v>225.63544675121295</v>
          </cell>
          <cell r="BD79">
            <v>48.273104331777304</v>
          </cell>
          <cell r="BE79">
            <v>26.953375654798638</v>
          </cell>
          <cell r="BF79">
            <v>19.319735592357134</v>
          </cell>
          <cell r="BG79">
            <v>26.001633965588145</v>
          </cell>
          <cell r="BH79">
            <v>34.714776977958394</v>
          </cell>
          <cell r="BI79">
            <v>21.190612543629996</v>
          </cell>
          <cell r="BJ79">
            <v>33.09187724583898</v>
          </cell>
          <cell r="BK79">
            <v>34.08530378429942</v>
          </cell>
          <cell r="BL79">
            <v>34.08530378429942</v>
          </cell>
          <cell r="BM79">
            <v>39.950547645253657</v>
          </cell>
          <cell r="BN79">
            <v>46.144611075065328</v>
          </cell>
          <cell r="BO79">
            <v>108.24920687379793</v>
          </cell>
          <cell r="BP79">
            <v>194.34436559411691</v>
          </cell>
          <cell r="BQ79">
            <v>55.170115231352142</v>
          </cell>
          <cell r="BR79">
            <v>28.536938552802759</v>
          </cell>
          <cell r="BS79">
            <v>22.875032667614043</v>
          </cell>
          <cell r="BT79">
            <v>24.443415006648692</v>
          </cell>
          <cell r="BU79">
            <v>36.450515826856311</v>
          </cell>
          <cell r="BV79">
            <v>29.463659906554032</v>
          </cell>
          <cell r="BW79">
            <v>35.612093116420034</v>
          </cell>
          <cell r="BX79">
            <v>34.08530378429942</v>
          </cell>
          <cell r="BY79">
            <v>34.08530378429942</v>
          </cell>
          <cell r="BZ79">
            <v>36.384333788135905</v>
          </cell>
          <cell r="CA79">
            <v>17.481359279939326</v>
          </cell>
          <cell r="CB79">
            <v>122.9481825601879</v>
          </cell>
          <cell r="CC79">
            <v>176.81387562826313</v>
          </cell>
          <cell r="CD79">
            <v>48.762673459210617</v>
          </cell>
          <cell r="CE79">
            <v>27.081486937086471</v>
          </cell>
          <cell r="CF79">
            <v>20.574287667658727</v>
          </cell>
          <cell r="CG79">
            <v>25.632187650515462</v>
          </cell>
          <cell r="CH79">
            <v>34.714776977958394</v>
          </cell>
          <cell r="CI79">
            <v>23.077447907103899</v>
          </cell>
          <cell r="CJ79">
            <v>33.318297489455851</v>
          </cell>
          <cell r="CK79">
            <v>34.08530378429942</v>
          </cell>
          <cell r="CL79">
            <v>34.08530378429942</v>
          </cell>
          <cell r="CM79">
            <v>39.06990358484731</v>
          </cell>
          <cell r="CN79">
            <v>39.065117841117726</v>
          </cell>
          <cell r="CO79">
            <v>111.87960774751041</v>
          </cell>
          <cell r="CP79">
            <v>190.01462917347544</v>
          </cell>
        </row>
        <row r="80">
          <cell r="B80">
            <v>2061</v>
          </cell>
          <cell r="D80">
            <v>48.480131636090526</v>
          </cell>
          <cell r="E80">
            <v>27.32102278954558</v>
          </cell>
          <cell r="F80">
            <v>18.849389080065421</v>
          </cell>
          <cell r="G80">
            <v>27.45938516050791</v>
          </cell>
          <cell r="H80">
            <v>35.429720656806239</v>
          </cell>
          <cell r="I80">
            <v>21.627028842619943</v>
          </cell>
          <cell r="J80">
            <v>33.773397639103884</v>
          </cell>
          <cell r="K80">
            <v>34.787283592427421</v>
          </cell>
          <cell r="L80">
            <v>34.787283592427421</v>
          </cell>
          <cell r="M80">
            <v>39.640424169800198</v>
          </cell>
          <cell r="N80">
            <v>54.26477550492411</v>
          </cell>
          <cell r="O80">
            <v>107.71948196201254</v>
          </cell>
          <cell r="P80">
            <v>201.62468163673685</v>
          </cell>
          <cell r="Q80">
            <v>49.678687034837154</v>
          </cell>
          <cell r="R80">
            <v>27.765265167797555</v>
          </cell>
          <cell r="S80">
            <v>20.079051974918997</v>
          </cell>
          <cell r="T80">
            <v>25.861513470346381</v>
          </cell>
          <cell r="U80">
            <v>35.429720656806239</v>
          </cell>
          <cell r="V80">
            <v>21.627028842619943</v>
          </cell>
          <cell r="W80">
            <v>33.773397639103884</v>
          </cell>
          <cell r="X80">
            <v>34.787283592427421</v>
          </cell>
          <cell r="Y80">
            <v>34.787283592427421</v>
          </cell>
          <cell r="Z80">
            <v>40.449520478379071</v>
          </cell>
          <cell r="AA80">
            <v>19.018077027346592</v>
          </cell>
          <cell r="AB80">
            <v>123.44045062586297</v>
          </cell>
          <cell r="AC80">
            <v>182.90804813158863</v>
          </cell>
          <cell r="AD80">
            <v>49.17977389826833</v>
          </cell>
          <cell r="AE80">
            <v>27.415262750953541</v>
          </cell>
          <cell r="AF80">
            <v>19.739224968891062</v>
          </cell>
          <cell r="AG80">
            <v>26.382832017651104</v>
          </cell>
          <cell r="AH80">
            <v>35.429720656806239</v>
          </cell>
          <cell r="AI80">
            <v>21.627028842619943</v>
          </cell>
          <cell r="AJ80">
            <v>33.773397639103884</v>
          </cell>
          <cell r="AK80">
            <v>34.787283592427421</v>
          </cell>
          <cell r="AL80">
            <v>34.787283592427421</v>
          </cell>
          <cell r="AM80">
            <v>42.321810583443551</v>
          </cell>
          <cell r="AN80">
            <v>76.316761000413962</v>
          </cell>
          <cell r="AO80">
            <v>96.439090233305791</v>
          </cell>
          <cell r="AP80">
            <v>215.07766181716329</v>
          </cell>
          <cell r="AQ80">
            <v>50.110285818107272</v>
          </cell>
          <cell r="AR80">
            <v>27.816511231308166</v>
          </cell>
          <cell r="AS80">
            <v>19.668751607328382</v>
          </cell>
          <cell r="AT80">
            <v>26.729629064189211</v>
          </cell>
          <cell r="AU80">
            <v>35.429720656806239</v>
          </cell>
          <cell r="AV80">
            <v>21.627028842619943</v>
          </cell>
          <cell r="AW80">
            <v>33.773397639103884</v>
          </cell>
          <cell r="AX80">
            <v>34.787283592427421</v>
          </cell>
          <cell r="AY80">
            <v>34.787283592427421</v>
          </cell>
          <cell r="AZ80">
            <v>42.287586071451237</v>
          </cell>
          <cell r="BA80">
            <v>104.32311661463046</v>
          </cell>
          <cell r="BB80">
            <v>83.671659598571537</v>
          </cell>
          <cell r="BC80">
            <v>230.28236228465323</v>
          </cell>
          <cell r="BD80">
            <v>49.267278968770654</v>
          </cell>
          <cell r="BE80">
            <v>27.508474872640218</v>
          </cell>
          <cell r="BF80">
            <v>19.717621566031617</v>
          </cell>
          <cell r="BG80">
            <v>26.537132259447731</v>
          </cell>
          <cell r="BH80">
            <v>35.429720656806239</v>
          </cell>
          <cell r="BI80">
            <v>21.627028842619943</v>
          </cell>
          <cell r="BJ80">
            <v>33.773397639103884</v>
          </cell>
          <cell r="BK80">
            <v>34.787283592427421</v>
          </cell>
          <cell r="BL80">
            <v>34.787283592427421</v>
          </cell>
          <cell r="BM80">
            <v>40.773320942158861</v>
          </cell>
          <cell r="BN80">
            <v>47.09494983201477</v>
          </cell>
          <cell r="BO80">
            <v>110.47857698451054</v>
          </cell>
          <cell r="BP80">
            <v>198.34684775868416</v>
          </cell>
          <cell r="BQ80">
            <v>56.306332386686506</v>
          </cell>
          <cell r="BR80">
            <v>29.124650922234075</v>
          </cell>
          <cell r="BS80">
            <v>23.346139251981057</v>
          </cell>
          <cell r="BT80">
            <v>24.946822102121438</v>
          </cell>
          <cell r="BU80">
            <v>37.201206689646554</v>
          </cell>
          <cell r="BV80">
            <v>30.070457911314026</v>
          </cell>
          <cell r="BW80">
            <v>36.345516836246652</v>
          </cell>
          <cell r="BX80">
            <v>34.787283592427421</v>
          </cell>
          <cell r="BY80">
            <v>34.787283592427421</v>
          </cell>
          <cell r="BZ80">
            <v>37.133661645475563</v>
          </cell>
          <cell r="CA80">
            <v>17.841384272258772</v>
          </cell>
          <cell r="CB80">
            <v>125.48027504642363</v>
          </cell>
          <cell r="CC80">
            <v>180.45532096415798</v>
          </cell>
          <cell r="CD80">
            <v>49.766930671507261</v>
          </cell>
          <cell r="CE80">
            <v>27.639224580389318</v>
          </cell>
          <cell r="CF80">
            <v>20.998010882822385</v>
          </cell>
          <cell r="CG80">
            <v>26.160077273640891</v>
          </cell>
          <cell r="CH80">
            <v>35.429720656806239</v>
          </cell>
          <cell r="CI80">
            <v>23.552723191620348</v>
          </cell>
          <cell r="CJ80">
            <v>34.004480960983933</v>
          </cell>
          <cell r="CK80">
            <v>34.787283592427421</v>
          </cell>
          <cell r="CL80">
            <v>34.787283592427421</v>
          </cell>
          <cell r="CM80">
            <v>39.874540198786008</v>
          </cell>
          <cell r="CN80">
            <v>39.86965589365041</v>
          </cell>
          <cell r="CO80">
            <v>114.18374521616953</v>
          </cell>
          <cell r="CP80">
            <v>193.92794130860597</v>
          </cell>
        </row>
        <row r="81">
          <cell r="B81">
            <v>2062</v>
          </cell>
          <cell r="D81">
            <v>49.484901630478383</v>
          </cell>
          <cell r="E81">
            <v>27.887261844360488</v>
          </cell>
          <cell r="F81">
            <v>19.240050159584698</v>
          </cell>
          <cell r="G81">
            <v>28.028491830446857</v>
          </cell>
          <cell r="H81">
            <v>36.164015697354387</v>
          </cell>
          <cell r="I81">
            <v>22.07525761006513</v>
          </cell>
          <cell r="J81">
            <v>34.47336472687968</v>
          </cell>
          <cell r="K81">
            <v>35.508263869508838</v>
          </cell>
          <cell r="L81">
            <v>35.508263869508838</v>
          </cell>
          <cell r="M81">
            <v>40.461987714008309</v>
          </cell>
          <cell r="N81">
            <v>55.389434542337931</v>
          </cell>
          <cell r="O81">
            <v>109.95201103389854</v>
          </cell>
          <cell r="P81">
            <v>205.80343329024478</v>
          </cell>
          <cell r="Q81">
            <v>50.708297566175524</v>
          </cell>
          <cell r="R81">
            <v>28.340711322445721</v>
          </cell>
          <cell r="S81">
            <v>20.495198306607868</v>
          </cell>
          <cell r="T81">
            <v>26.397503614505084</v>
          </cell>
          <cell r="U81">
            <v>36.164015697354387</v>
          </cell>
          <cell r="V81">
            <v>22.07525761006513</v>
          </cell>
          <cell r="W81">
            <v>34.47336472687968</v>
          </cell>
          <cell r="X81">
            <v>35.508263869508838</v>
          </cell>
          <cell r="Y81">
            <v>35.508263869508838</v>
          </cell>
          <cell r="Z81">
            <v>41.287852865121117</v>
          </cell>
          <cell r="AA81">
            <v>19.412234231610647</v>
          </cell>
          <cell r="AB81">
            <v>125.99880302089338</v>
          </cell>
          <cell r="AC81">
            <v>186.69889011762513</v>
          </cell>
          <cell r="AD81">
            <v>50.199044256580912</v>
          </cell>
          <cell r="AE81">
            <v>27.98345496642003</v>
          </cell>
          <cell r="AF81">
            <v>20.14832825083117</v>
          </cell>
          <cell r="AG81">
            <v>26.929626695877122</v>
          </cell>
          <cell r="AH81">
            <v>36.164015697354387</v>
          </cell>
          <cell r="AI81">
            <v>22.07525761006513</v>
          </cell>
          <cell r="AJ81">
            <v>34.47336472687968</v>
          </cell>
          <cell r="AK81">
            <v>35.508263869508838</v>
          </cell>
          <cell r="AL81">
            <v>35.508263869508838</v>
          </cell>
          <cell r="AM81">
            <v>43.198946926669862</v>
          </cell>
          <cell r="AN81">
            <v>77.898456200783457</v>
          </cell>
          <cell r="AO81">
            <v>98.437828703734198</v>
          </cell>
          <cell r="AP81">
            <v>219.5352318311875</v>
          </cell>
          <cell r="AQ81">
            <v>51.148841405748286</v>
          </cell>
          <cell r="AR81">
            <v>28.393019480988013</v>
          </cell>
          <cell r="AS81">
            <v>20.07639430084366</v>
          </cell>
          <cell r="AT81">
            <v>27.283611249023487</v>
          </cell>
          <cell r="AU81">
            <v>36.164015697354387</v>
          </cell>
          <cell r="AV81">
            <v>22.07525761006513</v>
          </cell>
          <cell r="AW81">
            <v>34.47336472687968</v>
          </cell>
          <cell r="AX81">
            <v>35.508263869508838</v>
          </cell>
          <cell r="AY81">
            <v>35.508263869508838</v>
          </cell>
          <cell r="AZ81">
            <v>43.164013098065524</v>
          </cell>
          <cell r="BA81">
            <v>106.48525466496061</v>
          </cell>
          <cell r="BB81">
            <v>85.405787995258748</v>
          </cell>
          <cell r="BC81">
            <v>235.05505575828488</v>
          </cell>
          <cell r="BD81">
            <v>50.288362904444313</v>
          </cell>
          <cell r="BE81">
            <v>28.078598946371592</v>
          </cell>
          <cell r="BF81">
            <v>20.126277108862173</v>
          </cell>
          <cell r="BG81">
            <v>27.087124871504617</v>
          </cell>
          <cell r="BH81">
            <v>36.164015697354387</v>
          </cell>
          <cell r="BI81">
            <v>22.07525761006513</v>
          </cell>
          <cell r="BJ81">
            <v>34.47336472687968</v>
          </cell>
          <cell r="BK81">
            <v>35.508263869508838</v>
          </cell>
          <cell r="BL81">
            <v>35.508263869508838</v>
          </cell>
          <cell r="BM81">
            <v>41.618364222192554</v>
          </cell>
          <cell r="BN81">
            <v>48.071011383035462</v>
          </cell>
          <cell r="BO81">
            <v>112.76828939721503</v>
          </cell>
          <cell r="BP81">
            <v>202.45766500244304</v>
          </cell>
          <cell r="BQ81">
            <v>57.473303501799052</v>
          </cell>
          <cell r="BR81">
            <v>29.728270886869161</v>
          </cell>
          <cell r="BS81">
            <v>23.829997265842724</v>
          </cell>
          <cell r="BT81">
            <v>25.463854904171075</v>
          </cell>
          <cell r="BU81">
            <v>37.972216482222109</v>
          </cell>
          <cell r="BV81">
            <v>30.693680101665894</v>
          </cell>
          <cell r="BW81">
            <v>37.098792116555366</v>
          </cell>
          <cell r="BX81">
            <v>35.508263869508838</v>
          </cell>
          <cell r="BY81">
            <v>35.508263869508838</v>
          </cell>
          <cell r="BZ81">
            <v>37.903271540167957</v>
          </cell>
          <cell r="CA81">
            <v>18.211154051550455</v>
          </cell>
          <cell r="CB81">
            <v>128.08090361320586</v>
          </cell>
          <cell r="CC81">
            <v>184.19532920492429</v>
          </cell>
          <cell r="CD81">
            <v>50.798370087284049</v>
          </cell>
          <cell r="CE81">
            <v>28.212058493774332</v>
          </cell>
          <cell r="CF81">
            <v>21.433203003076098</v>
          </cell>
          <cell r="CG81">
            <v>26.702255271273522</v>
          </cell>
          <cell r="CH81">
            <v>36.164015697354387</v>
          </cell>
          <cell r="CI81">
            <v>24.04086273972846</v>
          </cell>
          <cell r="CJ81">
            <v>34.709237342439273</v>
          </cell>
          <cell r="CK81">
            <v>35.508263869508838</v>
          </cell>
          <cell r="CL81">
            <v>35.508263869508838</v>
          </cell>
          <cell r="CM81">
            <v>40.700955890733646</v>
          </cell>
          <cell r="CN81">
            <v>40.695970356433072</v>
          </cell>
          <cell r="CO81">
            <v>116.55024871292625</v>
          </cell>
          <cell r="CP81">
            <v>197.94717496009298</v>
          </cell>
        </row>
        <row r="82">
          <cell r="B82">
            <v>2063</v>
          </cell>
          <cell r="D82">
            <v>50.511879719097401</v>
          </cell>
          <cell r="E82">
            <v>28.466016291112787</v>
          </cell>
          <cell r="F82">
            <v>19.63934588993439</v>
          </cell>
          <cell r="G82">
            <v>28.610177274258621</v>
          </cell>
          <cell r="H82">
            <v>36.91454061493414</v>
          </cell>
          <cell r="I82">
            <v>22.533393427641325</v>
          </cell>
          <cell r="J82">
            <v>35.188802952459</v>
          </cell>
          <cell r="K82">
            <v>36.245179731870131</v>
          </cell>
          <cell r="L82">
            <v>36.245179731870131</v>
          </cell>
          <cell r="M82">
            <v>41.30171000171849</v>
          </cell>
          <cell r="N82">
            <v>56.538951541295503</v>
          </cell>
          <cell r="O82">
            <v>112.23388494717037</v>
          </cell>
          <cell r="P82">
            <v>210.07454649018436</v>
          </cell>
          <cell r="Q82">
            <v>51.760665233802875</v>
          </cell>
          <cell r="R82">
            <v>28.928876370471244</v>
          </cell>
          <cell r="S82">
            <v>20.920542581109249</v>
          </cell>
          <cell r="T82">
            <v>26.945340569073085</v>
          </cell>
          <cell r="U82">
            <v>36.91454061493414</v>
          </cell>
          <cell r="V82">
            <v>22.533393427641325</v>
          </cell>
          <cell r="W82">
            <v>35.188802952459</v>
          </cell>
          <cell r="X82">
            <v>36.245179731870131</v>
          </cell>
          <cell r="Y82">
            <v>36.245179731870131</v>
          </cell>
          <cell r="Z82">
            <v>42.14471463146824</v>
          </cell>
          <cell r="AA82">
            <v>19.815103360377901</v>
          </cell>
          <cell r="AB82">
            <v>128.61370182095453</v>
          </cell>
          <cell r="AC82">
            <v>190.57351981280067</v>
          </cell>
          <cell r="AD82">
            <v>51.24084320580571</v>
          </cell>
          <cell r="AE82">
            <v>28.564205743878784</v>
          </cell>
          <cell r="AF82">
            <v>20.566473805417115</v>
          </cell>
          <cell r="AG82">
            <v>27.488506993505553</v>
          </cell>
          <cell r="AH82">
            <v>36.91454061493414</v>
          </cell>
          <cell r="AI82">
            <v>22.533393427641325</v>
          </cell>
          <cell r="AJ82">
            <v>35.188802952459</v>
          </cell>
          <cell r="AK82">
            <v>36.245179731870131</v>
          </cell>
          <cell r="AL82">
            <v>36.245179731870131</v>
          </cell>
          <cell r="AM82">
            <v>44.095470320338308</v>
          </cell>
          <cell r="AN82">
            <v>79.515111079737068</v>
          </cell>
          <cell r="AO82">
            <v>100.48074462028728</v>
          </cell>
          <cell r="AP82">
            <v>224.09132602036266</v>
          </cell>
          <cell r="AQ82">
            <v>52.21035183925796</v>
          </cell>
          <cell r="AR82">
            <v>28.982270099175526</v>
          </cell>
          <cell r="AS82">
            <v>20.493046984108638</v>
          </cell>
          <cell r="AT82">
            <v>27.849837916308378</v>
          </cell>
          <cell r="AU82">
            <v>36.91454061493414</v>
          </cell>
          <cell r="AV82">
            <v>22.533393427641325</v>
          </cell>
          <cell r="AW82">
            <v>35.188802952459</v>
          </cell>
          <cell r="AX82">
            <v>36.245179731870131</v>
          </cell>
          <cell r="AY82">
            <v>36.245179731870131</v>
          </cell>
          <cell r="AZ82">
            <v>44.059811497334749</v>
          </cell>
          <cell r="BA82">
            <v>108.69518172753307</v>
          </cell>
          <cell r="BB82">
            <v>87.178245250349065</v>
          </cell>
          <cell r="BC82">
            <v>239.93323847521685</v>
          </cell>
          <cell r="BD82">
            <v>51.332015515922421</v>
          </cell>
          <cell r="BE82">
            <v>28.661324281310605</v>
          </cell>
          <cell r="BF82">
            <v>20.543965028111174</v>
          </cell>
          <cell r="BG82">
            <v>27.649273785822942</v>
          </cell>
          <cell r="BH82">
            <v>36.91454061493414</v>
          </cell>
          <cell r="BI82">
            <v>22.533393427641325</v>
          </cell>
          <cell r="BJ82">
            <v>35.188802952459</v>
          </cell>
          <cell r="BK82">
            <v>36.245179731870131</v>
          </cell>
          <cell r="BL82">
            <v>36.245179731870131</v>
          </cell>
          <cell r="BM82">
            <v>42.482085210455217</v>
          </cell>
          <cell r="BN82">
            <v>49.068646495191089</v>
          </cell>
          <cell r="BO82">
            <v>115.10861055551069</v>
          </cell>
          <cell r="BP82">
            <v>206.65934226115701</v>
          </cell>
          <cell r="BQ82">
            <v>58.666067788119165</v>
          </cell>
          <cell r="BR82">
            <v>30.345232461155515</v>
          </cell>
          <cell r="BS82">
            <v>24.324549831120503</v>
          </cell>
          <cell r="BT82">
            <v>25.992315508854809</v>
          </cell>
          <cell r="BU82">
            <v>38.760267645680848</v>
          </cell>
          <cell r="BV82">
            <v>31.330677163090339</v>
          </cell>
          <cell r="BW82">
            <v>37.868716787769984</v>
          </cell>
          <cell r="BX82">
            <v>36.245179731870131</v>
          </cell>
          <cell r="BY82">
            <v>36.245179731870131</v>
          </cell>
          <cell r="BZ82">
            <v>38.689891864270095</v>
          </cell>
          <cell r="CA82">
            <v>18.589096728269624</v>
          </cell>
          <cell r="CB82">
            <v>130.73901300106556</v>
          </cell>
          <cell r="CC82">
            <v>188.01800159360528</v>
          </cell>
          <cell r="CD82">
            <v>51.852607062569241</v>
          </cell>
          <cell r="CE82">
            <v>28.797553563044094</v>
          </cell>
          <cell r="CF82">
            <v>21.878014028819866</v>
          </cell>
          <cell r="CG82">
            <v>27.256416847365646</v>
          </cell>
          <cell r="CH82">
            <v>36.91454061493414</v>
          </cell>
          <cell r="CI82">
            <v>24.539791472568297</v>
          </cell>
          <cell r="CJ82">
            <v>35.42957071785024</v>
          </cell>
          <cell r="CK82">
            <v>36.245179731870131</v>
          </cell>
          <cell r="CL82">
            <v>36.245179731870131</v>
          </cell>
          <cell r="CM82">
            <v>41.54563757157765</v>
          </cell>
          <cell r="CN82">
            <v>41.540548570677807</v>
          </cell>
          <cell r="CO82">
            <v>118.96905824285267</v>
          </cell>
          <cell r="CP82">
            <v>202.05524438510813</v>
          </cell>
        </row>
        <row r="83">
          <cell r="B83">
            <v>2064</v>
          </cell>
          <cell r="D83">
            <v>51.554457909142258</v>
          </cell>
          <cell r="E83">
            <v>29.053562189377097</v>
          </cell>
          <cell r="F83">
            <v>20.044707040726241</v>
          </cell>
          <cell r="G83">
            <v>29.200698692296083</v>
          </cell>
          <cell r="H83">
            <v>37.676466228367708</v>
          </cell>
          <cell r="I83">
            <v>22.99848846401704</v>
          </cell>
          <cell r="J83">
            <v>35.915108896645627</v>
          </cell>
          <cell r="K83">
            <v>36.993289564504551</v>
          </cell>
          <cell r="L83">
            <v>36.993289564504551</v>
          </cell>
          <cell r="M83">
            <v>42.154187919760986</v>
          </cell>
          <cell r="N83">
            <v>57.705930044031206</v>
          </cell>
          <cell r="O83">
            <v>114.55042120122874</v>
          </cell>
          <cell r="P83">
            <v>214.41053916502094</v>
          </cell>
          <cell r="Q83">
            <v>52.829018678083287</v>
          </cell>
          <cell r="R83">
            <v>29.525975819830172</v>
          </cell>
          <cell r="S83">
            <v>21.352347961155779</v>
          </cell>
          <cell r="T83">
            <v>27.501499329286979</v>
          </cell>
          <cell r="U83">
            <v>37.676466228367708</v>
          </cell>
          <cell r="V83">
            <v>22.99848846401704</v>
          </cell>
          <cell r="W83">
            <v>35.915108896645627</v>
          </cell>
          <cell r="X83">
            <v>36.993289564504551</v>
          </cell>
          <cell r="Y83">
            <v>36.993289564504551</v>
          </cell>
          <cell r="Z83">
            <v>43.014592381906041</v>
          </cell>
          <cell r="AA83">
            <v>20.224092190567962</v>
          </cell>
          <cell r="AB83">
            <v>131.26832170849684</v>
          </cell>
          <cell r="AC83">
            <v>194.50700628097084</v>
          </cell>
          <cell r="AD83">
            <v>52.298467389719882</v>
          </cell>
          <cell r="AE83">
            <v>29.153778297704434</v>
          </cell>
          <cell r="AF83">
            <v>20.990971114859953</v>
          </cell>
          <cell r="AG83">
            <v>28.05587684843276</v>
          </cell>
          <cell r="AH83">
            <v>37.676466228367708</v>
          </cell>
          <cell r="AI83">
            <v>22.99848846401704</v>
          </cell>
          <cell r="AJ83">
            <v>35.915108896645627</v>
          </cell>
          <cell r="AK83">
            <v>36.993289564504551</v>
          </cell>
          <cell r="AL83">
            <v>36.993289564504551</v>
          </cell>
          <cell r="AM83">
            <v>45.005612169966874</v>
          </cell>
          <cell r="AN83">
            <v>81.156323425263494</v>
          </cell>
          <cell r="AO83">
            <v>102.55469303486139</v>
          </cell>
          <cell r="AP83">
            <v>228.71662863009175</v>
          </cell>
          <cell r="AQ83">
            <v>53.287986930743152</v>
          </cell>
          <cell r="AR83">
            <v>29.580471608828823</v>
          </cell>
          <cell r="AS83">
            <v>20.916028745072854</v>
          </cell>
          <cell r="AT83">
            <v>28.424665734423606</v>
          </cell>
          <cell r="AU83">
            <v>37.676466228367708</v>
          </cell>
          <cell r="AV83">
            <v>22.99848846401704</v>
          </cell>
          <cell r="AW83">
            <v>35.915108896645627</v>
          </cell>
          <cell r="AX83">
            <v>36.993289564504551</v>
          </cell>
          <cell r="AY83">
            <v>36.993289564504551</v>
          </cell>
          <cell r="AZ83">
            <v>44.969217339684377</v>
          </cell>
          <cell r="BA83">
            <v>110.93867823691448</v>
          </cell>
          <cell r="BB83">
            <v>88.977626656264817</v>
          </cell>
          <cell r="BC83">
            <v>244.88552223286368</v>
          </cell>
          <cell r="BD83">
            <v>52.391521519768695</v>
          </cell>
          <cell r="BE83">
            <v>29.252901386729633</v>
          </cell>
          <cell r="BF83">
            <v>20.967997750600716</v>
          </cell>
          <cell r="BG83">
            <v>28.219961908695932</v>
          </cell>
          <cell r="BH83">
            <v>37.676466228367708</v>
          </cell>
          <cell r="BI83">
            <v>22.99848846401704</v>
          </cell>
          <cell r="BJ83">
            <v>35.915108896645627</v>
          </cell>
          <cell r="BK83">
            <v>36.993289564504551</v>
          </cell>
          <cell r="BL83">
            <v>36.993289564504551</v>
          </cell>
          <cell r="BM83">
            <v>43.358926376421614</v>
          </cell>
          <cell r="BN83">
            <v>50.081435980266733</v>
          </cell>
          <cell r="BO83">
            <v>117.48448188556083</v>
          </cell>
          <cell r="BP83">
            <v>210.92484424224918</v>
          </cell>
          <cell r="BQ83">
            <v>59.876950517325163</v>
          </cell>
          <cell r="BR83">
            <v>30.971565864540636</v>
          </cell>
          <cell r="BS83">
            <v>24.826614796384462</v>
          </cell>
          <cell r="BT83">
            <v>26.528803586689129</v>
          </cell>
          <cell r="BU83">
            <v>39.560289539786098</v>
          </cell>
          <cell r="BV83">
            <v>31.977350398599036</v>
          </cell>
          <cell r="BW83">
            <v>38.65033684284365</v>
          </cell>
          <cell r="BX83">
            <v>36.993289564504551</v>
          </cell>
          <cell r="BY83">
            <v>36.993289564504551</v>
          </cell>
          <cell r="BZ83">
            <v>39.488461184144988</v>
          </cell>
          <cell r="CA83">
            <v>18.972780466220101</v>
          </cell>
          <cell r="CB83">
            <v>133.43749985803694</v>
          </cell>
          <cell r="CC83">
            <v>191.89874150840203</v>
          </cell>
          <cell r="CD83">
            <v>52.922858209844634</v>
          </cell>
          <cell r="CE83">
            <v>29.391942475878931</v>
          </cell>
          <cell r="CF83">
            <v>22.329581865827514</v>
          </cell>
          <cell r="CG83">
            <v>27.818996301978395</v>
          </cell>
          <cell r="CH83">
            <v>37.676466228367708</v>
          </cell>
          <cell r="CI83">
            <v>25.046299080676093</v>
          </cell>
          <cell r="CJ83">
            <v>36.16084617064471</v>
          </cell>
          <cell r="CK83">
            <v>36.993289564504551</v>
          </cell>
          <cell r="CL83">
            <v>36.993289564504551</v>
          </cell>
          <cell r="CM83">
            <v>42.403150217404978</v>
          </cell>
          <cell r="CN83">
            <v>42.397956178217576</v>
          </cell>
          <cell r="CO83">
            <v>121.42461020615214</v>
          </cell>
          <cell r="CP83">
            <v>206.22571660177471</v>
          </cell>
        </row>
        <row r="84">
          <cell r="B84">
            <v>2065</v>
          </cell>
          <cell r="D84">
            <v>52.612335155160444</v>
          </cell>
          <cell r="E84">
            <v>29.649729884711665</v>
          </cell>
          <cell r="F84">
            <v>20.456016563539094</v>
          </cell>
          <cell r="G84">
            <v>29.799885570933302</v>
          </cell>
          <cell r="H84">
            <v>38.449572530903282</v>
          </cell>
          <cell r="I84">
            <v>23.470408422554339</v>
          </cell>
          <cell r="J84">
            <v>36.652072837901407</v>
          </cell>
          <cell r="K84">
            <v>37.752377349980257</v>
          </cell>
          <cell r="L84">
            <v>37.752377349980257</v>
          </cell>
          <cell r="M84">
            <v>43.019175314319199</v>
          </cell>
          <cell r="N84">
            <v>58.890033084382878</v>
          </cell>
          <cell r="O84">
            <v>116.90095089400803</v>
          </cell>
          <cell r="P84">
            <v>218.81015929271013</v>
          </cell>
          <cell r="Q84">
            <v>53.913049410934889</v>
          </cell>
          <cell r="R84">
            <v>30.131837257483703</v>
          </cell>
          <cell r="S84">
            <v>21.790489762529738</v>
          </cell>
          <cell r="T84">
            <v>28.065819303771242</v>
          </cell>
          <cell r="U84">
            <v>38.449572530903282</v>
          </cell>
          <cell r="V84">
            <v>23.470408422554339</v>
          </cell>
          <cell r="W84">
            <v>36.652072837901407</v>
          </cell>
          <cell r="X84">
            <v>37.752377349980257</v>
          </cell>
          <cell r="Y84">
            <v>37.752377349980257</v>
          </cell>
          <cell r="Z84">
            <v>43.897234938399613</v>
          </cell>
          <cell r="AA84">
            <v>20.639082626263765</v>
          </cell>
          <cell r="AB84">
            <v>133.96189615948117</v>
          </cell>
          <cell r="AC84">
            <v>198.49821372414453</v>
          </cell>
          <cell r="AD84">
            <v>53.371611418325756</v>
          </cell>
          <cell r="AE84">
            <v>29.752002388256475</v>
          </cell>
          <cell r="AF84">
            <v>21.421697605154353</v>
          </cell>
          <cell r="AG84">
            <v>28.631572432068836</v>
          </cell>
          <cell r="AH84">
            <v>38.449572530903282</v>
          </cell>
          <cell r="AI84">
            <v>23.470408422554339</v>
          </cell>
          <cell r="AJ84">
            <v>36.652072837901407</v>
          </cell>
          <cell r="AK84">
            <v>37.752377349980257</v>
          </cell>
          <cell r="AL84">
            <v>37.752377349980257</v>
          </cell>
          <cell r="AM84">
            <v>45.929109671223387</v>
          </cell>
          <cell r="AN84">
            <v>82.821619335723526</v>
          </cell>
          <cell r="AO84">
            <v>104.65907509286224</v>
          </cell>
          <cell r="AP84">
            <v>233.40980409980915</v>
          </cell>
          <cell r="AQ84">
            <v>54.381435512037442</v>
          </cell>
          <cell r="AR84">
            <v>30.18745127868813</v>
          </cell>
          <cell r="AS84">
            <v>21.345217447347057</v>
          </cell>
          <cell r="AT84">
            <v>29.007928721285253</v>
          </cell>
          <cell r="AU84">
            <v>38.449572530903282</v>
          </cell>
          <cell r="AV84">
            <v>23.470408422554339</v>
          </cell>
          <cell r="AW84">
            <v>36.652072837901407</v>
          </cell>
          <cell r="AX84">
            <v>37.752377349980257</v>
          </cell>
          <cell r="AY84">
            <v>37.752377349980257</v>
          </cell>
          <cell r="AZ84">
            <v>45.891968033305041</v>
          </cell>
          <cell r="BA84">
            <v>113.21509638133557</v>
          </cell>
          <cell r="BB84">
            <v>90.803412639898866</v>
          </cell>
          <cell r="BC84">
            <v>249.91047705453946</v>
          </cell>
          <cell r="BD84">
            <v>53.466574982608179</v>
          </cell>
          <cell r="BE84">
            <v>29.853159444171979</v>
          </cell>
          <cell r="BF84">
            <v>21.398252836475404</v>
          </cell>
          <cell r="BG84">
            <v>28.799024453380657</v>
          </cell>
          <cell r="BH84">
            <v>38.449572530903282</v>
          </cell>
          <cell r="BI84">
            <v>23.470408422554339</v>
          </cell>
          <cell r="BJ84">
            <v>36.652072837901407</v>
          </cell>
          <cell r="BK84">
            <v>37.752377349980257</v>
          </cell>
          <cell r="BL84">
            <v>37.752377349980257</v>
          </cell>
          <cell r="BM84">
            <v>44.248634531363933</v>
          </cell>
          <cell r="BN84">
            <v>51.109087394326998</v>
          </cell>
          <cell r="BO84">
            <v>119.89521735223965</v>
          </cell>
          <cell r="BP84">
            <v>215.25293927793058</v>
          </cell>
          <cell r="BQ84">
            <v>61.105602045867428</v>
          </cell>
          <cell r="BR84">
            <v>31.607090242653452</v>
          </cell>
          <cell r="BS84">
            <v>25.336047189894238</v>
          </cell>
          <cell r="BT84">
            <v>27.073164226226901</v>
          </cell>
          <cell r="BU84">
            <v>40.372051157448446</v>
          </cell>
          <cell r="BV84">
            <v>32.633513080674867</v>
          </cell>
          <cell r="BW84">
            <v>39.443426588235617</v>
          </cell>
          <cell r="BX84">
            <v>37.752377349980257</v>
          </cell>
          <cell r="BY84">
            <v>37.752377349980257</v>
          </cell>
          <cell r="BZ84">
            <v>40.298748912135459</v>
          </cell>
          <cell r="CA84">
            <v>19.362094476354486</v>
          </cell>
          <cell r="CB84">
            <v>136.17558499345137</v>
          </cell>
          <cell r="CC84">
            <v>195.83642838194132</v>
          </cell>
          <cell r="CD84">
            <v>54.008814493064776</v>
          </cell>
          <cell r="CE84">
            <v>29.995053601910069</v>
          </cell>
          <cell r="CF84">
            <v>22.787776123452911</v>
          </cell>
          <cell r="CG84">
            <v>28.389831189754577</v>
          </cell>
          <cell r="CH84">
            <v>38.449572530903282</v>
          </cell>
          <cell r="CI84">
            <v>25.560239309494111</v>
          </cell>
          <cell r="CJ84">
            <v>36.902852544334181</v>
          </cell>
          <cell r="CK84">
            <v>37.752377349980257</v>
          </cell>
          <cell r="CL84">
            <v>37.752377349980257</v>
          </cell>
          <cell r="CM84">
            <v>43.273246220616549</v>
          </cell>
          <cell r="CN84">
            <v>43.26794560178319</v>
          </cell>
          <cell r="CO84">
            <v>123.91619555983959</v>
          </cell>
          <cell r="CP84">
            <v>210.45738738223935</v>
          </cell>
        </row>
        <row r="85">
          <cell r="B85">
            <v>2066</v>
          </cell>
          <cell r="D85">
            <v>53.679947915455564</v>
          </cell>
          <cell r="E85">
            <v>30.251384038074537</v>
          </cell>
          <cell r="F85">
            <v>20.871111317338492</v>
          </cell>
          <cell r="G85">
            <v>30.404586692771694</v>
          </cell>
          <cell r="H85">
            <v>39.229793635722629</v>
          </cell>
          <cell r="I85">
            <v>23.946671402468837</v>
          </cell>
          <cell r="J85">
            <v>37.395818967732176</v>
          </cell>
          <cell r="K85">
            <v>38.518450927050189</v>
          </cell>
          <cell r="L85">
            <v>38.518450927050189</v>
          </cell>
          <cell r="M85">
            <v>43.892123081558445</v>
          </cell>
          <cell r="N85">
            <v>60.085033279482992</v>
          </cell>
          <cell r="O85">
            <v>119.27311222265863</v>
          </cell>
          <cell r="P85">
            <v>223.25026858370006</v>
          </cell>
          <cell r="Q85">
            <v>55.007056345388349</v>
          </cell>
          <cell r="R85">
            <v>30.743274363484698</v>
          </cell>
          <cell r="S85">
            <v>22.232663729052014</v>
          </cell>
          <cell r="T85">
            <v>28.635332645623055</v>
          </cell>
          <cell r="U85">
            <v>39.229793635722629</v>
          </cell>
          <cell r="V85">
            <v>23.946671402468837</v>
          </cell>
          <cell r="W85">
            <v>37.395818967732176</v>
          </cell>
          <cell r="X85">
            <v>38.518450927050189</v>
          </cell>
          <cell r="Y85">
            <v>38.518450927050189</v>
          </cell>
          <cell r="Z85">
            <v>44.788000345859608</v>
          </cell>
          <cell r="AA85">
            <v>21.05789216793497</v>
          </cell>
          <cell r="AB85">
            <v>136.68025924508476</v>
          </cell>
          <cell r="AC85">
            <v>202.52615175887934</v>
          </cell>
          <cell r="AD85">
            <v>54.454631459532351</v>
          </cell>
          <cell r="AE85">
            <v>30.355731861589273</v>
          </cell>
          <cell r="AF85">
            <v>21.856388018400587</v>
          </cell>
          <cell r="AG85">
            <v>29.21256607140538</v>
          </cell>
          <cell r="AH85">
            <v>39.229793635722629</v>
          </cell>
          <cell r="AI85">
            <v>23.946671402468837</v>
          </cell>
          <cell r="AJ85">
            <v>37.395818967732176</v>
          </cell>
          <cell r="AK85">
            <v>38.518450927050189</v>
          </cell>
          <cell r="AL85">
            <v>38.518450927050189</v>
          </cell>
          <cell r="AM85">
            <v>46.86110600648172</v>
          </cell>
          <cell r="AN85">
            <v>84.502240759774708</v>
          </cell>
          <cell r="AO85">
            <v>106.78282352030426</v>
          </cell>
          <cell r="AP85">
            <v>238.14617028656068</v>
          </cell>
          <cell r="AQ85">
            <v>55.48494696623532</v>
          </cell>
          <cell r="AR85">
            <v>30.800016907848459</v>
          </cell>
          <cell r="AS85">
            <v>21.778355920498946</v>
          </cell>
          <cell r="AT85">
            <v>29.596559405729185</v>
          </cell>
          <cell r="AU85">
            <v>39.229793635722629</v>
          </cell>
          <cell r="AV85">
            <v>23.946671402468837</v>
          </cell>
          <cell r="AW85">
            <v>37.395818967732176</v>
          </cell>
          <cell r="AX85">
            <v>38.518450927050189</v>
          </cell>
          <cell r="AY85">
            <v>38.518450927050189</v>
          </cell>
          <cell r="AZ85">
            <v>46.823210688148635</v>
          </cell>
          <cell r="BA85">
            <v>115.5124641221571</v>
          </cell>
          <cell r="BB85">
            <v>92.646001107542475</v>
          </cell>
          <cell r="BC85">
            <v>254.98167591784821</v>
          </cell>
          <cell r="BD85">
            <v>54.551522030336955</v>
          </cell>
          <cell r="BE85">
            <v>30.458941602742389</v>
          </cell>
          <cell r="BF85">
            <v>21.83246750702499</v>
          </cell>
          <cell r="BG85">
            <v>29.383416039494559</v>
          </cell>
          <cell r="BH85">
            <v>39.229793635722629</v>
          </cell>
          <cell r="BI85">
            <v>23.946671402468837</v>
          </cell>
          <cell r="BJ85">
            <v>37.395818967732176</v>
          </cell>
          <cell r="BK85">
            <v>38.518450927050189</v>
          </cell>
          <cell r="BL85">
            <v>38.518450927050189</v>
          </cell>
          <cell r="BM85">
            <v>45.1465305611068</v>
          </cell>
          <cell r="BN85">
            <v>52.146196158047601</v>
          </cell>
          <cell r="BO85">
            <v>122.32813852112741</v>
          </cell>
          <cell r="BP85">
            <v>219.62086524028183</v>
          </cell>
          <cell r="BQ85">
            <v>62.345560703419707</v>
          </cell>
          <cell r="BR85">
            <v>32.24846327350906</v>
          </cell>
          <cell r="BS85">
            <v>25.850167827109811</v>
          </cell>
          <cell r="BT85">
            <v>27.622534549825819</v>
          </cell>
          <cell r="BU85">
            <v>41.191283317508763</v>
          </cell>
          <cell r="BV85">
            <v>33.295714347268309</v>
          </cell>
          <cell r="BW85">
            <v>40.243815041079912</v>
          </cell>
          <cell r="BX85">
            <v>38.518450927050189</v>
          </cell>
          <cell r="BY85">
            <v>38.518450927050189</v>
          </cell>
          <cell r="BZ85">
            <v>41.116493618498396</v>
          </cell>
          <cell r="CA85">
            <v>19.754991295475588</v>
          </cell>
          <cell r="CB85">
            <v>138.93886838984326</v>
          </cell>
          <cell r="CC85">
            <v>199.81035330381724</v>
          </cell>
          <cell r="CD85">
            <v>55.104764698490172</v>
          </cell>
          <cell r="CE85">
            <v>30.603715085508835</v>
          </cell>
          <cell r="CF85">
            <v>23.250187086516966</v>
          </cell>
          <cell r="CG85">
            <v>28.965919400844623</v>
          </cell>
          <cell r="CH85">
            <v>39.229793635722629</v>
          </cell>
          <cell r="CI85">
            <v>26.078909267072227</v>
          </cell>
          <cell r="CJ85">
            <v>37.651687511484582</v>
          </cell>
          <cell r="CK85">
            <v>38.518450927050189</v>
          </cell>
          <cell r="CL85">
            <v>38.518450927050189</v>
          </cell>
          <cell r="CM85">
            <v>44.151349610406719</v>
          </cell>
          <cell r="CN85">
            <v>44.145941431088026</v>
          </cell>
          <cell r="CO85">
            <v>126.43071066730928</v>
          </cell>
          <cell r="CP85">
            <v>214.72800170880402</v>
          </cell>
        </row>
        <row r="86">
          <cell r="B86">
            <v>2067</v>
          </cell>
          <cell r="D86">
            <v>54.764228838763515</v>
          </cell>
          <cell r="E86">
            <v>30.862431550039485</v>
          </cell>
          <cell r="F86">
            <v>21.292686760840571</v>
          </cell>
          <cell r="G86">
            <v>31.01872874417527</v>
          </cell>
          <cell r="H86">
            <v>40.022195985507217</v>
          </cell>
          <cell r="I86">
            <v>24.430370064384732</v>
          </cell>
          <cell r="J86">
            <v>38.151176874972514</v>
          </cell>
          <cell r="K86">
            <v>39.296484870029261</v>
          </cell>
          <cell r="L86">
            <v>39.296484870029261</v>
          </cell>
          <cell r="M86">
            <v>44.778699793886354</v>
          </cell>
          <cell r="N86">
            <v>61.298690480936969</v>
          </cell>
          <cell r="O86">
            <v>121.68230905068611</v>
          </cell>
          <cell r="P86">
            <v>227.75969932550944</v>
          </cell>
          <cell r="Q86">
            <v>56.118143523352202</v>
          </cell>
          <cell r="R86">
            <v>31.364257564974565</v>
          </cell>
          <cell r="S86">
            <v>22.681741160976848</v>
          </cell>
          <cell r="T86">
            <v>29.213737545887252</v>
          </cell>
          <cell r="U86">
            <v>40.022195985507217</v>
          </cell>
          <cell r="V86">
            <v>24.430370064384732</v>
          </cell>
          <cell r="W86">
            <v>38.151176874972514</v>
          </cell>
          <cell r="X86">
            <v>39.296484870029261</v>
          </cell>
          <cell r="Y86">
            <v>39.296484870029261</v>
          </cell>
          <cell r="Z86">
            <v>45.692672877297426</v>
          </cell>
          <cell r="AA86">
            <v>21.483240396639079</v>
          </cell>
          <cell r="AB86">
            <v>139.44106292406076</v>
          </cell>
          <cell r="AC86">
            <v>206.61697619799725</v>
          </cell>
          <cell r="AD86">
            <v>55.554560210773481</v>
          </cell>
          <cell r="AE86">
            <v>30.968887094571457</v>
          </cell>
          <cell r="AF86">
            <v>22.297865059661742</v>
          </cell>
          <cell r="AG86">
            <v>29.802630505931003</v>
          </cell>
          <cell r="AH86">
            <v>40.022195985507217</v>
          </cell>
          <cell r="AI86">
            <v>24.430370064384732</v>
          </cell>
          <cell r="AJ86">
            <v>38.151176874972514</v>
          </cell>
          <cell r="AK86">
            <v>39.296484870029261</v>
          </cell>
          <cell r="AL86">
            <v>39.296484870029261</v>
          </cell>
          <cell r="AM86">
            <v>47.807653185848665</v>
          </cell>
          <cell r="AN86">
            <v>86.209100978359601</v>
          </cell>
          <cell r="AO86">
            <v>108.93972908702314</v>
          </cell>
          <cell r="AP86">
            <v>242.95648325123142</v>
          </cell>
          <cell r="AQ86">
            <v>56.605687053781502</v>
          </cell>
          <cell r="AR86">
            <v>31.42214625162763</v>
          </cell>
          <cell r="AS86">
            <v>22.218256791915568</v>
          </cell>
          <cell r="AT86">
            <v>30.194380119149493</v>
          </cell>
          <cell r="AU86">
            <v>40.022195985507217</v>
          </cell>
          <cell r="AV86">
            <v>24.430370064384732</v>
          </cell>
          <cell r="AW86">
            <v>38.151176874972514</v>
          </cell>
          <cell r="AX86">
            <v>39.296484870029261</v>
          </cell>
          <cell r="AY86">
            <v>39.296484870029261</v>
          </cell>
          <cell r="AZ86">
            <v>47.768992420223874</v>
          </cell>
          <cell r="BA86">
            <v>117.84569964334672</v>
          </cell>
          <cell r="BB86">
            <v>94.517357089107279</v>
          </cell>
          <cell r="BC86">
            <v>260.13204915267789</v>
          </cell>
          <cell r="BD86">
            <v>55.653407873595704</v>
          </cell>
          <cell r="BE86">
            <v>31.074181568623498</v>
          </cell>
          <cell r="BF86">
            <v>22.27346137803044</v>
          </cell>
          <cell r="BG86">
            <v>29.976931471428717</v>
          </cell>
          <cell r="BH86">
            <v>40.022195985507217</v>
          </cell>
          <cell r="BI86">
            <v>24.430370064384732</v>
          </cell>
          <cell r="BJ86">
            <v>38.151176874972514</v>
          </cell>
          <cell r="BK86">
            <v>39.296484870029261</v>
          </cell>
          <cell r="BL86">
            <v>39.296484870029261</v>
          </cell>
          <cell r="BM86">
            <v>46.058445042060548</v>
          </cell>
          <cell r="BN86">
            <v>53.199496839454667</v>
          </cell>
          <cell r="BO86">
            <v>124.79904380574379</v>
          </cell>
          <cell r="BP86">
            <v>224.05698568725902</v>
          </cell>
          <cell r="BQ86">
            <v>63.604878283796722</v>
          </cell>
          <cell r="BR86">
            <v>32.899849776128889</v>
          </cell>
          <cell r="BS86">
            <v>26.372315201086192</v>
          </cell>
          <cell r="BT86">
            <v>28.180481947855377</v>
          </cell>
          <cell r="BU86">
            <v>42.023305784782586</v>
          </cell>
          <cell r="BV86">
            <v>33.968254267603427</v>
          </cell>
          <cell r="BW86">
            <v>41.056699602721082</v>
          </cell>
          <cell r="BX86">
            <v>39.296484870029261</v>
          </cell>
          <cell r="BY86">
            <v>39.296484870029261</v>
          </cell>
          <cell r="BZ86">
            <v>41.94700540912207</v>
          </cell>
          <cell r="CA86">
            <v>20.154022237821781</v>
          </cell>
          <cell r="CB86">
            <v>141.74529370043351</v>
          </cell>
          <cell r="CC86">
            <v>203.84632134737734</v>
          </cell>
          <cell r="CD86">
            <v>56.217825486851019</v>
          </cell>
          <cell r="CE86">
            <v>31.221879330038867</v>
          </cell>
          <cell r="CF86">
            <v>23.719817466206528</v>
          </cell>
          <cell r="CG86">
            <v>29.55100182085511</v>
          </cell>
          <cell r="CH86">
            <v>40.022195985507217</v>
          </cell>
          <cell r="CI86">
            <v>26.60567698792584</v>
          </cell>
          <cell r="CJ86">
            <v>38.412213705797448</v>
          </cell>
          <cell r="CK86">
            <v>39.296484870029261</v>
          </cell>
          <cell r="CL86">
            <v>39.296484870029261</v>
          </cell>
          <cell r="CM86">
            <v>45.043162437726551</v>
          </cell>
          <cell r="CN86">
            <v>45.037645018628531</v>
          </cell>
          <cell r="CO86">
            <v>128.98448378036701</v>
          </cell>
          <cell r="CP86">
            <v>219.06529123672209</v>
          </cell>
        </row>
        <row r="87">
          <cell r="B87">
            <v>2068</v>
          </cell>
          <cell r="D87">
            <v>55.868485488175573</v>
          </cell>
          <cell r="E87">
            <v>31.484736400829835</v>
          </cell>
          <cell r="F87">
            <v>21.722028895991084</v>
          </cell>
          <cell r="G87">
            <v>31.644185145157575</v>
          </cell>
          <cell r="H87">
            <v>40.829196777414417</v>
          </cell>
          <cell r="I87">
            <v>24.922979915070673</v>
          </cell>
          <cell r="J87">
            <v>38.920450753933167</v>
          </cell>
          <cell r="K87">
            <v>40.088852545725182</v>
          </cell>
          <cell r="L87">
            <v>40.088852545725182</v>
          </cell>
          <cell r="M87">
            <v>45.681609924238188</v>
          </cell>
          <cell r="N87">
            <v>62.534706909893117</v>
          </cell>
          <cell r="O87">
            <v>124.13589055332424</v>
          </cell>
          <cell r="P87">
            <v>232.35220738745556</v>
          </cell>
          <cell r="Q87">
            <v>57.249700279510861</v>
          </cell>
          <cell r="R87">
            <v>31.996681150668891</v>
          </cell>
          <cell r="S87">
            <v>23.139091954155976</v>
          </cell>
          <cell r="T87">
            <v>29.802798409579918</v>
          </cell>
          <cell r="U87">
            <v>40.829196777414417</v>
          </cell>
          <cell r="V87">
            <v>24.922979915070673</v>
          </cell>
          <cell r="W87">
            <v>38.920450753933167</v>
          </cell>
          <cell r="X87">
            <v>40.088852545725182</v>
          </cell>
          <cell r="Y87">
            <v>40.088852545725182</v>
          </cell>
          <cell r="Z87">
            <v>46.61401220634594</v>
          </cell>
          <cell r="AA87">
            <v>21.916424823078305</v>
          </cell>
          <cell r="AB87">
            <v>142.25272893671149</v>
          </cell>
          <cell r="AC87">
            <v>210.78316596613575</v>
          </cell>
          <cell r="AD87">
            <v>56.67475296832194</v>
          </cell>
          <cell r="AE87">
            <v>31.59333849695961</v>
          </cell>
          <cell r="AF87">
            <v>22.747475440049232</v>
          </cell>
          <cell r="AG87">
            <v>30.40356570768537</v>
          </cell>
          <cell r="AH87">
            <v>40.829196777414417</v>
          </cell>
          <cell r="AI87">
            <v>24.922979915070673</v>
          </cell>
          <cell r="AJ87">
            <v>38.920450753933167</v>
          </cell>
          <cell r="AK87">
            <v>40.088852545725182</v>
          </cell>
          <cell r="AL87">
            <v>40.088852545725182</v>
          </cell>
          <cell r="AM87">
            <v>48.771638620185534</v>
          </cell>
          <cell r="AN87">
            <v>87.947406712116333</v>
          </cell>
          <cell r="AO87">
            <v>111.13637136210512</v>
          </cell>
          <cell r="AP87">
            <v>247.85541669440698</v>
          </cell>
          <cell r="AQ87">
            <v>57.747074555241802</v>
          </cell>
          <cell r="AR87">
            <v>32.055737095010372</v>
          </cell>
          <cell r="AS87">
            <v>22.666261964654364</v>
          </cell>
          <cell r="AT87">
            <v>30.803214493858068</v>
          </cell>
          <cell r="AU87">
            <v>40.829196777414417</v>
          </cell>
          <cell r="AV87">
            <v>24.922979915070673</v>
          </cell>
          <cell r="AW87">
            <v>38.920450753933167</v>
          </cell>
          <cell r="AX87">
            <v>40.088852545725182</v>
          </cell>
          <cell r="AY87">
            <v>40.088852545725182</v>
          </cell>
          <cell r="AZ87">
            <v>48.732198305420397</v>
          </cell>
          <cell r="BA87">
            <v>120.22192040268425</v>
          </cell>
          <cell r="BB87">
            <v>96.423189094115315</v>
          </cell>
          <cell r="BC87">
            <v>265.37730780222</v>
          </cell>
          <cell r="BD87">
            <v>56.775593778701698</v>
          </cell>
          <cell r="BE87">
            <v>31.700756110980638</v>
          </cell>
          <cell r="BF87">
            <v>22.722579686708297</v>
          </cell>
          <cell r="BG87">
            <v>30.581381248376257</v>
          </cell>
          <cell r="BH87">
            <v>40.829196777414417</v>
          </cell>
          <cell r="BI87">
            <v>24.922979915070673</v>
          </cell>
          <cell r="BJ87">
            <v>38.920450753933167</v>
          </cell>
          <cell r="BK87">
            <v>40.088852545725182</v>
          </cell>
          <cell r="BL87">
            <v>40.088852545725182</v>
          </cell>
          <cell r="BM87">
            <v>46.987159739185529</v>
          </cell>
          <cell r="BN87">
            <v>54.272202497436318</v>
          </cell>
          <cell r="BO87">
            <v>127.31547062092817</v>
          </cell>
          <cell r="BP87">
            <v>228.57483285755001</v>
          </cell>
          <cell r="BQ87">
            <v>64.887396293622373</v>
          </cell>
          <cell r="BR87">
            <v>33.563236783492947</v>
          </cell>
          <cell r="BS87">
            <v>26.904082105116377</v>
          </cell>
          <cell r="BT87">
            <v>28.748708420397783</v>
          </cell>
          <cell r="BU87">
            <v>42.870656616285139</v>
          </cell>
          <cell r="BV87">
            <v>34.653184402461278</v>
          </cell>
          <cell r="BW87">
            <v>41.884559950626283</v>
          </cell>
          <cell r="BX87">
            <v>40.088852545725182</v>
          </cell>
          <cell r="BY87">
            <v>40.088852545725182</v>
          </cell>
          <cell r="BZ87">
            <v>42.792817732752567</v>
          </cell>
          <cell r="CA87">
            <v>20.560404534083759</v>
          </cell>
          <cell r="CB87">
            <v>144.60342183280258</v>
          </cell>
          <cell r="CC87">
            <v>207.95664409963891</v>
          </cell>
          <cell r="CD87">
            <v>57.351392213264972</v>
          </cell>
          <cell r="CE87">
            <v>31.85143202508079</v>
          </cell>
          <cell r="CF87">
            <v>24.19809985446064</v>
          </cell>
          <cell r="CG87">
            <v>30.146863224355219</v>
          </cell>
          <cell r="CH87">
            <v>40.829196777414417</v>
          </cell>
          <cell r="CI87">
            <v>27.142149359563273</v>
          </cell>
          <cell r="CJ87">
            <v>39.186751087272278</v>
          </cell>
          <cell r="CK87">
            <v>40.088852545725182</v>
          </cell>
          <cell r="CL87">
            <v>40.088852545725182</v>
          </cell>
          <cell r="CM87">
            <v>45.951405148106879</v>
          </cell>
          <cell r="CN87">
            <v>45.94577647670318</v>
          </cell>
          <cell r="CO87">
            <v>131.58530509942179</v>
          </cell>
          <cell r="CP87">
            <v>223.48248672423185</v>
          </cell>
        </row>
        <row r="88">
          <cell r="B88">
            <v>2069</v>
          </cell>
          <cell r="D88">
            <v>56.99291089392527</v>
          </cell>
          <cell r="E88">
            <v>32.118407372811312</v>
          </cell>
          <cell r="F88">
            <v>22.159212774194678</v>
          </cell>
          <cell r="G88">
            <v>32.281065228992908</v>
          </cell>
          <cell r="H88">
            <v>41.650937079692618</v>
          </cell>
          <cell r="I88">
            <v>25.42458706548155</v>
          </cell>
          <cell r="J88">
            <v>39.703775077987288</v>
          </cell>
          <cell r="K88">
            <v>40.895692464435839</v>
          </cell>
          <cell r="L88">
            <v>40.895692464435839</v>
          </cell>
          <cell r="M88">
            <v>46.601011306350699</v>
          </cell>
          <cell r="N88">
            <v>63.793298628930799</v>
          </cell>
          <cell r="O88">
            <v>126.63428563033177</v>
          </cell>
          <cell r="P88">
            <v>237.02859556561327</v>
          </cell>
          <cell r="Q88">
            <v>58.4019244163091</v>
          </cell>
          <cell r="R88">
            <v>32.640655671744803</v>
          </cell>
          <cell r="S88">
            <v>23.604796056063989</v>
          </cell>
          <cell r="T88">
            <v>30.402618207832028</v>
          </cell>
          <cell r="U88">
            <v>41.650937079692618</v>
          </cell>
          <cell r="V88">
            <v>25.42458706548155</v>
          </cell>
          <cell r="W88">
            <v>39.703775077987288</v>
          </cell>
          <cell r="X88">
            <v>40.895692464435839</v>
          </cell>
          <cell r="Y88">
            <v>40.895692464435839</v>
          </cell>
          <cell r="Z88">
            <v>47.552179388268847</v>
          </cell>
          <cell r="AA88">
            <v>22.357521170311276</v>
          </cell>
          <cell r="AB88">
            <v>145.1157487779692</v>
          </cell>
          <cell r="AC88">
            <v>215.02544933654934</v>
          </cell>
          <cell r="AD88">
            <v>57.81540554813202</v>
          </cell>
          <cell r="AE88">
            <v>32.229195226348665</v>
          </cell>
          <cell r="AF88">
            <v>23.205297753970243</v>
          </cell>
          <cell r="AG88">
            <v>31.015476723500132</v>
          </cell>
          <cell r="AH88">
            <v>41.650937079692618</v>
          </cell>
          <cell r="AI88">
            <v>25.42458706548155</v>
          </cell>
          <cell r="AJ88">
            <v>39.703775077987288</v>
          </cell>
          <cell r="AK88">
            <v>40.895692464435839</v>
          </cell>
          <cell r="AL88">
            <v>40.895692464435839</v>
          </cell>
          <cell r="AM88">
            <v>49.753230819533542</v>
          </cell>
          <cell r="AN88">
            <v>89.717461826601848</v>
          </cell>
          <cell r="AO88">
            <v>113.37313433089608</v>
          </cell>
          <cell r="AP88">
            <v>252.84382697703145</v>
          </cell>
          <cell r="AQ88">
            <v>58.909308991530196</v>
          </cell>
          <cell r="AR88">
            <v>32.700900193216988</v>
          </cell>
          <cell r="AS88">
            <v>23.122449752523249</v>
          </cell>
          <cell r="AT88">
            <v>31.423168957506132</v>
          </cell>
          <cell r="AU88">
            <v>41.650937079692618</v>
          </cell>
          <cell r="AV88">
            <v>25.42458706548155</v>
          </cell>
          <cell r="AW88">
            <v>39.703775077987288</v>
          </cell>
          <cell r="AX88">
            <v>40.895692464435839</v>
          </cell>
          <cell r="AY88">
            <v>40.895692464435839</v>
          </cell>
          <cell r="AZ88">
            <v>49.712996717509895</v>
          </cell>
          <cell r="BA88">
            <v>122.64154177683814</v>
          </cell>
          <cell r="BB88">
            <v>98.363830272651995</v>
          </cell>
          <cell r="BC88">
            <v>270.71836876700002</v>
          </cell>
          <cell r="BD88">
            <v>57.918275910022558</v>
          </cell>
          <cell r="BE88">
            <v>32.338774758545476</v>
          </cell>
          <cell r="BF88">
            <v>23.179900941448857</v>
          </cell>
          <cell r="BG88">
            <v>31.196871031536208</v>
          </cell>
          <cell r="BH88">
            <v>41.650937079692618</v>
          </cell>
          <cell r="BI88">
            <v>25.42458706548155</v>
          </cell>
          <cell r="BJ88">
            <v>39.703775077987288</v>
          </cell>
          <cell r="BK88">
            <v>40.895692464435839</v>
          </cell>
          <cell r="BL88">
            <v>40.895692464435839</v>
          </cell>
          <cell r="BM88">
            <v>47.932836997000976</v>
          </cell>
          <cell r="BN88">
            <v>55.364500646936456</v>
          </cell>
          <cell r="BO88">
            <v>129.87785885215115</v>
          </cell>
          <cell r="BP88">
            <v>233.17519649608857</v>
          </cell>
          <cell r="BQ88">
            <v>66.193338924212199</v>
          </cell>
          <cell r="BR88">
            <v>34.23874025935752</v>
          </cell>
          <cell r="BS88">
            <v>27.445561495027025</v>
          </cell>
          <cell r="BT88">
            <v>29.327313296616012</v>
          </cell>
          <cell r="BU88">
            <v>43.733483933677249</v>
          </cell>
          <cell r="BV88">
            <v>35.350624481457217</v>
          </cell>
          <cell r="BW88">
            <v>42.727540799410846</v>
          </cell>
          <cell r="BX88">
            <v>40.895692464435839</v>
          </cell>
          <cell r="BY88">
            <v>40.895692464435839</v>
          </cell>
          <cell r="BZ88">
            <v>43.654078442110929</v>
          </cell>
          <cell r="CA88">
            <v>20.974209222158002</v>
          </cell>
          <cell r="CB88">
            <v>147.51375240372096</v>
          </cell>
          <cell r="CC88">
            <v>212.14204006798988</v>
          </cell>
          <cell r="CD88">
            <v>58.505663031530837</v>
          </cell>
          <cell r="CE88">
            <v>32.492483219964001</v>
          </cell>
          <cell r="CF88">
            <v>24.685117857713703</v>
          </cell>
          <cell r="CG88">
            <v>30.753607771248316</v>
          </cell>
          <cell r="CH88">
            <v>41.650937079692618</v>
          </cell>
          <cell r="CI88">
            <v>27.688420160353196</v>
          </cell>
          <cell r="CJ88">
            <v>39.975435049371889</v>
          </cell>
          <cell r="CK88">
            <v>40.895692464435839</v>
          </cell>
          <cell r="CL88">
            <v>40.895692464435839</v>
          </cell>
          <cell r="CM88">
            <v>46.876236507449256</v>
          </cell>
          <cell r="CN88">
            <v>46.870494551766015</v>
          </cell>
          <cell r="CO88">
            <v>134.23362926257514</v>
          </cell>
          <cell r="CP88">
            <v>227.98036032179041</v>
          </cell>
        </row>
        <row r="89">
          <cell r="B89">
            <v>2070</v>
          </cell>
          <cell r="D89">
            <v>58.137893717349158</v>
          </cell>
          <cell r="E89">
            <v>32.763663496437736</v>
          </cell>
          <cell r="F89">
            <v>22.604389509495498</v>
          </cell>
          <cell r="G89">
            <v>32.929589135375153</v>
          </cell>
          <cell r="H89">
            <v>42.487700929577677</v>
          </cell>
          <cell r="I89">
            <v>25.935364897777255</v>
          </cell>
          <cell r="J89">
            <v>40.501420605761624</v>
          </cell>
          <cell r="K89">
            <v>41.717283513030544</v>
          </cell>
          <cell r="L89">
            <v>41.717283513030544</v>
          </cell>
          <cell r="M89">
            <v>47.537221734332903</v>
          </cell>
          <cell r="N89">
            <v>65.074900674413655</v>
          </cell>
          <cell r="O89">
            <v>129.1783578601771</v>
          </cell>
          <cell r="P89">
            <v>241.79048026892366</v>
          </cell>
          <cell r="Q89">
            <v>59.575214203806183</v>
          </cell>
          <cell r="R89">
            <v>33.296403720111726</v>
          </cell>
          <cell r="S89">
            <v>24.079014438854085</v>
          </cell>
          <cell r="T89">
            <v>31.013404270327957</v>
          </cell>
          <cell r="U89">
            <v>42.487700929577677</v>
          </cell>
          <cell r="V89">
            <v>25.935364897777255</v>
          </cell>
          <cell r="W89">
            <v>40.501420605761624</v>
          </cell>
          <cell r="X89">
            <v>41.717283513030544</v>
          </cell>
          <cell r="Y89">
            <v>41.717283513030544</v>
          </cell>
          <cell r="Z89">
            <v>48.507498703635527</v>
          </cell>
          <cell r="AA89">
            <v>22.806681904739932</v>
          </cell>
          <cell r="AB89">
            <v>148.03111206005033</v>
          </cell>
          <cell r="AC89">
            <v>219.3452926684258</v>
          </cell>
          <cell r="AD89">
            <v>58.976912220516304</v>
          </cell>
          <cell r="AE89">
            <v>32.876677068706677</v>
          </cell>
          <cell r="AF89">
            <v>23.671490249212049</v>
          </cell>
          <cell r="AG89">
            <v>31.638575062428746</v>
          </cell>
          <cell r="AH89">
            <v>42.487700929577677</v>
          </cell>
          <cell r="AI89">
            <v>25.935364897777255</v>
          </cell>
          <cell r="AJ89">
            <v>40.501420605761624</v>
          </cell>
          <cell r="AK89">
            <v>41.717283513030544</v>
          </cell>
          <cell r="AL89">
            <v>41.717283513030544</v>
          </cell>
          <cell r="AM89">
            <v>50.752769074462037</v>
          </cell>
          <cell r="AN89">
            <v>91.519878147183164</v>
          </cell>
          <cell r="AO89">
            <v>115.65079113786645</v>
          </cell>
          <cell r="AP89">
            <v>257.92343835951164</v>
          </cell>
          <cell r="AQ89">
            <v>60.092792092798881</v>
          </cell>
          <cell r="AR89">
            <v>33.357858548992482</v>
          </cell>
          <cell r="AS89">
            <v>23.586977838330196</v>
          </cell>
          <cell r="AT89">
            <v>32.054457799391315</v>
          </cell>
          <cell r="AU89">
            <v>42.487700929577677</v>
          </cell>
          <cell r="AV89">
            <v>25.935364897777255</v>
          </cell>
          <cell r="AW89">
            <v>40.501420605761624</v>
          </cell>
          <cell r="AX89">
            <v>41.717283513030544</v>
          </cell>
          <cell r="AY89">
            <v>41.717283513030544</v>
          </cell>
          <cell r="AZ89">
            <v>50.711726672686545</v>
          </cell>
          <cell r="BA89">
            <v>125.10540011588765</v>
          </cell>
          <cell r="BB89">
            <v>100.33995141371787</v>
          </cell>
          <cell r="BC89">
            <v>276.15707820229204</v>
          </cell>
          <cell r="BD89">
            <v>59.081849239392007</v>
          </cell>
          <cell r="BE89">
            <v>32.988458044560183</v>
          </cell>
          <cell r="BF89">
            <v>23.645583216846639</v>
          </cell>
          <cell r="BG89">
            <v>31.823613566974711</v>
          </cell>
          <cell r="BH89">
            <v>42.487700929577677</v>
          </cell>
          <cell r="BI89">
            <v>25.935364897777255</v>
          </cell>
          <cell r="BJ89">
            <v>40.501420605761624</v>
          </cell>
          <cell r="BK89">
            <v>41.717283513030544</v>
          </cell>
          <cell r="BL89">
            <v>41.717283513030544</v>
          </cell>
          <cell r="BM89">
            <v>48.895803691958697</v>
          </cell>
          <cell r="BN89">
            <v>56.476768844399942</v>
          </cell>
          <cell r="BO89">
            <v>132.48709419732521</v>
          </cell>
          <cell r="BP89">
            <v>237.85966673368384</v>
          </cell>
          <cell r="BQ89">
            <v>67.523157578928036</v>
          </cell>
          <cell r="BR89">
            <v>34.926593693718864</v>
          </cell>
          <cell r="BS89">
            <v>27.996940534948628</v>
          </cell>
          <cell r="BT89">
            <v>29.916496573186919</v>
          </cell>
          <cell r="BU89">
            <v>44.612085976056562</v>
          </cell>
          <cell r="BV89">
            <v>36.060815577046462</v>
          </cell>
          <cell r="BW89">
            <v>43.585933528175346</v>
          </cell>
          <cell r="BX89">
            <v>41.717283513030544</v>
          </cell>
          <cell r="BY89">
            <v>41.717283513030544</v>
          </cell>
          <cell r="BZ89">
            <v>44.53108523479159</v>
          </cell>
          <cell r="CA89">
            <v>21.395579334994785</v>
          </cell>
          <cell r="CB89">
            <v>150.47729137851417</v>
          </cell>
          <cell r="CC89">
            <v>216.40395594830053</v>
          </cell>
          <cell r="CD89">
            <v>59.681036919150053</v>
          </cell>
          <cell r="CE89">
            <v>33.145254496140616</v>
          </cell>
          <cell r="CF89">
            <v>25.181039815338945</v>
          </cell>
          <cell r="CG89">
            <v>31.371445184780878</v>
          </cell>
          <cell r="CH89">
            <v>42.487700929577677</v>
          </cell>
          <cell r="CI89">
            <v>28.24467821059304</v>
          </cell>
          <cell r="CJ89">
            <v>40.778538203299519</v>
          </cell>
          <cell r="CK89">
            <v>41.717283513030544</v>
          </cell>
          <cell r="CL89">
            <v>41.717283513030544</v>
          </cell>
          <cell r="CM89">
            <v>47.817976186752169</v>
          </cell>
          <cell r="CN89">
            <v>47.81211887565847</v>
          </cell>
          <cell r="CO89">
            <v>136.93037167177678</v>
          </cell>
          <cell r="CP89">
            <v>232.56046673418743</v>
          </cell>
        </row>
        <row r="90">
          <cell r="B90">
            <v>2071</v>
          </cell>
          <cell r="D90">
            <v>59.303896072040146</v>
          </cell>
          <cell r="E90">
            <v>33.420765196249555</v>
          </cell>
          <cell r="F90">
            <v>23.05773877465057</v>
          </cell>
          <cell r="G90">
            <v>33.59001860771766</v>
          </cell>
          <cell r="H90">
            <v>43.339826043881743</v>
          </cell>
          <cell r="I90">
            <v>26.455519561233082</v>
          </cell>
          <cell r="J90">
            <v>41.313709265963901</v>
          </cell>
          <cell r="K90">
            <v>42.55395728459839</v>
          </cell>
          <cell r="L90">
            <v>42.55395728459839</v>
          </cell>
          <cell r="M90">
            <v>48.490619061507822</v>
          </cell>
          <cell r="N90">
            <v>66.38003029927664</v>
          </cell>
          <cell r="O90">
            <v>131.76913402713572</v>
          </cell>
          <cell r="P90">
            <v>246.63978338792018</v>
          </cell>
          <cell r="Q90">
            <v>60.770043180249289</v>
          </cell>
          <cell r="R90">
            <v>33.96418995483743</v>
          </cell>
          <cell r="S90">
            <v>24.561938496454811</v>
          </cell>
          <cell r="T90">
            <v>31.635403109535901</v>
          </cell>
          <cell r="U90">
            <v>43.339826043881743</v>
          </cell>
          <cell r="V90">
            <v>26.455519561233082</v>
          </cell>
          <cell r="W90">
            <v>41.313709265963901</v>
          </cell>
          <cell r="X90">
            <v>42.55395728459839</v>
          </cell>
          <cell r="Y90">
            <v>42.55395728459839</v>
          </cell>
          <cell r="Z90">
            <v>49.480355718091332</v>
          </cell>
          <cell r="AA90">
            <v>23.264088307058209</v>
          </cell>
          <cell r="AB90">
            <v>150.99999541982083</v>
          </cell>
          <cell r="AC90">
            <v>223.74443944497037</v>
          </cell>
          <cell r="AD90">
            <v>60.159741768071875</v>
          </cell>
          <cell r="AE90">
            <v>33.536045346871312</v>
          </cell>
          <cell r="AF90">
            <v>24.14624108046532</v>
          </cell>
          <cell r="AG90">
            <v>32.273112206158302</v>
          </cell>
          <cell r="AH90">
            <v>43.339826043881743</v>
          </cell>
          <cell r="AI90">
            <v>26.455519561233082</v>
          </cell>
          <cell r="AJ90">
            <v>41.313709265963901</v>
          </cell>
          <cell r="AK90">
            <v>42.55395728459839</v>
          </cell>
          <cell r="AL90">
            <v>42.55395728459839</v>
          </cell>
          <cell r="AM90">
            <v>51.77065679732344</v>
          </cell>
          <cell r="AN90">
            <v>93.355383126765915</v>
          </cell>
          <cell r="AO90">
            <v>117.97026104237018</v>
          </cell>
          <cell r="AP90">
            <v>263.09630096645952</v>
          </cell>
          <cell r="AQ90">
            <v>61.298001511303326</v>
          </cell>
          <cell r="AR90">
            <v>34.026877309883147</v>
          </cell>
          <cell r="AS90">
            <v>24.060033705012376</v>
          </cell>
          <cell r="AT90">
            <v>32.697335806877156</v>
          </cell>
          <cell r="AU90">
            <v>43.339826043881743</v>
          </cell>
          <cell r="AV90">
            <v>26.455519561233082</v>
          </cell>
          <cell r="AW90">
            <v>41.313709265963901</v>
          </cell>
          <cell r="AX90">
            <v>42.55395728459839</v>
          </cell>
          <cell r="AY90">
            <v>42.55395728459839</v>
          </cell>
          <cell r="AZ90">
            <v>51.728791257074008</v>
          </cell>
          <cell r="BA90">
            <v>127.61448982988517</v>
          </cell>
          <cell r="BB90">
            <v>102.35235007726044</v>
          </cell>
          <cell r="BC90">
            <v>281.69563116421961</v>
          </cell>
          <cell r="BD90">
            <v>60.266783383507239</v>
          </cell>
          <cell r="BE90">
            <v>33.650068180362254</v>
          </cell>
          <cell r="BF90">
            <v>24.119814461668245</v>
          </cell>
          <cell r="BG90">
            <v>32.461861807171879</v>
          </cell>
          <cell r="BH90">
            <v>43.339826043881743</v>
          </cell>
          <cell r="BI90">
            <v>26.455519561233082</v>
          </cell>
          <cell r="BJ90">
            <v>41.313709265963901</v>
          </cell>
          <cell r="BK90">
            <v>42.55395728459839</v>
          </cell>
          <cell r="BL90">
            <v>42.55395728459839</v>
          </cell>
          <cell r="BM90">
            <v>49.876448476176584</v>
          </cell>
          <cell r="BN90">
            <v>57.609455999838758</v>
          </cell>
          <cell r="BO90">
            <v>135.14422974047523</v>
          </cell>
          <cell r="BP90">
            <v>242.63013421649057</v>
          </cell>
          <cell r="BQ90">
            <v>68.877388970866235</v>
          </cell>
          <cell r="BR90">
            <v>35.627074703337186</v>
          </cell>
          <cell r="BS90">
            <v>28.558441760751585</v>
          </cell>
          <cell r="BT90">
            <v>30.51649604372211</v>
          </cell>
          <cell r="BU90">
            <v>45.506817346075835</v>
          </cell>
          <cell r="BV90">
            <v>36.784044321440511</v>
          </cell>
          <cell r="BW90">
            <v>44.460084583119595</v>
          </cell>
          <cell r="BX90">
            <v>42.55395728459839</v>
          </cell>
          <cell r="BY90">
            <v>42.55395728459839</v>
          </cell>
          <cell r="BZ90">
            <v>45.424192069606583</v>
          </cell>
          <cell r="CA90">
            <v>21.824684937028952</v>
          </cell>
          <cell r="CB90">
            <v>153.49523483769576</v>
          </cell>
          <cell r="CC90">
            <v>220.74411184433131</v>
          </cell>
          <cell r="CD90">
            <v>60.877988255509919</v>
          </cell>
          <cell r="CE90">
            <v>33.810009311256991</v>
          </cell>
          <cell r="CF90">
            <v>25.686065880799774</v>
          </cell>
          <cell r="CG90">
            <v>32.000624823337304</v>
          </cell>
          <cell r="CH90">
            <v>43.339826043881743</v>
          </cell>
          <cell r="CI90">
            <v>28.811148015315485</v>
          </cell>
          <cell r="CJ90">
            <v>41.596384680453795</v>
          </cell>
          <cell r="CK90">
            <v>42.55395728459839</v>
          </cell>
          <cell r="CL90">
            <v>42.55395728459839</v>
          </cell>
          <cell r="CM90">
            <v>48.777004270937347</v>
          </cell>
          <cell r="CN90">
            <v>48.771029486744929</v>
          </cell>
          <cell r="CO90">
            <v>139.67662072879</v>
          </cell>
          <cell r="CP90">
            <v>237.22465448647228</v>
          </cell>
        </row>
        <row r="91">
          <cell r="B91">
            <v>2072</v>
          </cell>
          <cell r="D91">
            <v>60.491486734481541</v>
          </cell>
          <cell r="E91">
            <v>34.090033006757288</v>
          </cell>
          <cell r="F91">
            <v>23.519481713639333</v>
          </cell>
          <cell r="G91">
            <v>34.262675803819917</v>
          </cell>
          <cell r="H91">
            <v>44.207728089626336</v>
          </cell>
          <cell r="I91">
            <v>26.985304787532385</v>
          </cell>
          <cell r="J91">
            <v>42.141037293375064</v>
          </cell>
          <cell r="K91">
            <v>43.406121908988816</v>
          </cell>
          <cell r="L91">
            <v>43.406121908988816</v>
          </cell>
          <cell r="M91">
            <v>49.461668355528808</v>
          </cell>
          <cell r="N91">
            <v>67.709324146349275</v>
          </cell>
          <cell r="O91">
            <v>134.40787791300991</v>
          </cell>
          <cell r="P91">
            <v>251.578870414888</v>
          </cell>
          <cell r="Q91">
            <v>61.986994183761013</v>
          </cell>
          <cell r="R91">
            <v>34.644340122353455</v>
          </cell>
          <cell r="S91">
            <v>25.053803799442928</v>
          </cell>
          <cell r="T91">
            <v>32.268918136774857</v>
          </cell>
          <cell r="U91">
            <v>44.207728089626336</v>
          </cell>
          <cell r="V91">
            <v>26.985304787532385</v>
          </cell>
          <cell r="W91">
            <v>42.141037293375064</v>
          </cell>
          <cell r="X91">
            <v>43.406121908988816</v>
          </cell>
          <cell r="Y91">
            <v>43.406121908988816</v>
          </cell>
          <cell r="Z91">
            <v>50.471224991734012</v>
          </cell>
          <cell r="AA91">
            <v>23.72996350031891</v>
          </cell>
          <cell r="AB91">
            <v>154.02384707994506</v>
          </cell>
          <cell r="AC91">
            <v>228.22503557199798</v>
          </cell>
          <cell r="AD91">
            <v>61.364471175594417</v>
          </cell>
          <cell r="AE91">
            <v>34.207621700991027</v>
          </cell>
          <cell r="AF91">
            <v>24.629781831403257</v>
          </cell>
          <cell r="AG91">
            <v>32.919397682198507</v>
          </cell>
          <cell r="AH91">
            <v>44.207728089626336</v>
          </cell>
          <cell r="AI91">
            <v>26.985304787532385</v>
          </cell>
          <cell r="AJ91">
            <v>42.141037293375064</v>
          </cell>
          <cell r="AK91">
            <v>43.406121908988816</v>
          </cell>
          <cell r="AL91">
            <v>43.406121908988816</v>
          </cell>
          <cell r="AM91">
            <v>52.807390514215712</v>
          </cell>
          <cell r="AN91">
            <v>95.224872125520875</v>
          </cell>
          <cell r="AO91">
            <v>120.33267548289032</v>
          </cell>
          <cell r="AP91">
            <v>268.36493812262688</v>
          </cell>
          <cell r="AQ91">
            <v>62.525525148750532</v>
          </cell>
          <cell r="AR91">
            <v>34.708282823547336</v>
          </cell>
          <cell r="AS91">
            <v>24.54184810943849</v>
          </cell>
          <cell r="AT91">
            <v>33.352116576150515</v>
          </cell>
          <cell r="AU91">
            <v>44.207728089626336</v>
          </cell>
          <cell r="AV91">
            <v>26.985304787532385</v>
          </cell>
          <cell r="AW91">
            <v>42.141037293375064</v>
          </cell>
          <cell r="AX91">
            <v>43.406121908988816</v>
          </cell>
          <cell r="AY91">
            <v>43.406121908988816</v>
          </cell>
          <cell r="AZ91">
            <v>52.764686595242935</v>
          </cell>
          <cell r="BA91">
            <v>130.17003485394383</v>
          </cell>
          <cell r="BB91">
            <v>104.40200791227065</v>
          </cell>
          <cell r="BC91">
            <v>287.3367293614574</v>
          </cell>
          <cell r="BD91">
            <v>61.473656353787099</v>
          </cell>
          <cell r="BE91">
            <v>34.323927899679333</v>
          </cell>
          <cell r="BF91">
            <v>24.602826006132375</v>
          </cell>
          <cell r="BG91">
            <v>33.11192708991198</v>
          </cell>
          <cell r="BH91">
            <v>44.207728089626336</v>
          </cell>
          <cell r="BI91">
            <v>26.985304787532385</v>
          </cell>
          <cell r="BJ91">
            <v>42.141037293375064</v>
          </cell>
          <cell r="BK91">
            <v>43.406121908988816</v>
          </cell>
          <cell r="BL91">
            <v>43.406121908988816</v>
          </cell>
          <cell r="BM91">
            <v>50.875249708630051</v>
          </cell>
          <cell r="BN91">
            <v>58.763114638566762</v>
          </cell>
          <cell r="BO91">
            <v>137.85056163353769</v>
          </cell>
          <cell r="BP91">
            <v>247.48892598073451</v>
          </cell>
          <cell r="BQ91">
            <v>70.256693694720781</v>
          </cell>
          <cell r="BR91">
            <v>36.340524983170205</v>
          </cell>
          <cell r="BS91">
            <v>29.13033907299133</v>
          </cell>
          <cell r="BT91">
            <v>31.12760438823846</v>
          </cell>
          <cell r="BU91">
            <v>46.418114494107655</v>
          </cell>
          <cell r="BV91">
            <v>37.520663505952555</v>
          </cell>
          <cell r="BW91">
            <v>45.35042037552904</v>
          </cell>
          <cell r="BX91">
            <v>43.406121908988816</v>
          </cell>
          <cell r="BY91">
            <v>43.406121908988816</v>
          </cell>
          <cell r="BZ91">
            <v>46.333834604479463</v>
          </cell>
          <cell r="CA91">
            <v>22.26173534616996</v>
          </cell>
          <cell r="CB91">
            <v>156.5690549354691</v>
          </cell>
          <cell r="CC91">
            <v>225.16462488611853</v>
          </cell>
          <cell r="CD91">
            <v>62.097100914021176</v>
          </cell>
          <cell r="CE91">
            <v>34.487071933016779</v>
          </cell>
          <cell r="CF91">
            <v>26.200442406042512</v>
          </cell>
          <cell r="CG91">
            <v>32.641453601033803</v>
          </cell>
          <cell r="CH91">
            <v>44.207728089626336</v>
          </cell>
          <cell r="CI91">
            <v>29.388105898751022</v>
          </cell>
          <cell r="CJ91">
            <v>42.429373426721298</v>
          </cell>
          <cell r="CK91">
            <v>43.406121908988816</v>
          </cell>
          <cell r="CL91">
            <v>43.406121908988816</v>
          </cell>
          <cell r="CM91">
            <v>49.753788574344007</v>
          </cell>
          <cell r="CN91">
            <v>49.747694142061221</v>
          </cell>
          <cell r="CO91">
            <v>142.47371605516409</v>
          </cell>
          <cell r="CP91">
            <v>241.97519877156932</v>
          </cell>
        </row>
        <row r="92">
          <cell r="B92">
            <v>2073</v>
          </cell>
          <cell r="D92">
            <v>61.701330716539445</v>
          </cell>
          <cell r="E92">
            <v>34.771841696009936</v>
          </cell>
          <cell r="F92">
            <v>23.989876887381151</v>
          </cell>
          <cell r="G92">
            <v>34.947937389675822</v>
          </cell>
          <cell r="H92">
            <v>45.091893063525035</v>
          </cell>
          <cell r="I92">
            <v>27.525017239046395</v>
          </cell>
          <cell r="J92">
            <v>42.983867964587596</v>
          </cell>
          <cell r="K92">
            <v>44.274254570475001</v>
          </cell>
          <cell r="L92">
            <v>44.274254570475001</v>
          </cell>
          <cell r="M92">
            <v>50.450913372189483</v>
          </cell>
          <cell r="N92">
            <v>69.063526576638921</v>
          </cell>
          <cell r="O92">
            <v>137.09606712793186</v>
          </cell>
          <cell r="P92">
            <v>256.61050707676026</v>
          </cell>
          <cell r="Q92">
            <v>63.226748667036638</v>
          </cell>
          <cell r="R92">
            <v>35.337235084472219</v>
          </cell>
          <cell r="S92">
            <v>25.554885776274837</v>
          </cell>
          <cell r="T92">
            <v>32.914304099706428</v>
          </cell>
          <cell r="U92">
            <v>45.091893063525035</v>
          </cell>
          <cell r="V92">
            <v>27.525017239046395</v>
          </cell>
          <cell r="W92">
            <v>42.983867964587596</v>
          </cell>
          <cell r="X92">
            <v>44.274254570475001</v>
          </cell>
          <cell r="Y92">
            <v>44.274254570475001</v>
          </cell>
          <cell r="Z92">
            <v>51.480661378896464</v>
          </cell>
          <cell r="AA92">
            <v>24.204568359368434</v>
          </cell>
          <cell r="AB92">
            <v>157.10436029829279</v>
          </cell>
          <cell r="AC92">
            <v>232.78959003655768</v>
          </cell>
          <cell r="AD92">
            <v>62.591775052085843</v>
          </cell>
          <cell r="AE92">
            <v>34.891782191823644</v>
          </cell>
          <cell r="AF92">
            <v>25.122383269005823</v>
          </cell>
          <cell r="AG92">
            <v>33.577793389243944</v>
          </cell>
          <cell r="AH92">
            <v>45.091893063525035</v>
          </cell>
          <cell r="AI92">
            <v>27.525017239046395</v>
          </cell>
          <cell r="AJ92">
            <v>42.983867964587596</v>
          </cell>
          <cell r="AK92">
            <v>44.274254570475001</v>
          </cell>
          <cell r="AL92">
            <v>44.274254570475001</v>
          </cell>
          <cell r="AM92">
            <v>53.863550762057464</v>
          </cell>
          <cell r="AN92">
            <v>97.129391996043807</v>
          </cell>
          <cell r="AO92">
            <v>122.73935733412203</v>
          </cell>
          <cell r="AP92">
            <v>273.73230009222328</v>
          </cell>
          <cell r="AQ92">
            <v>63.776050378164449</v>
          </cell>
          <cell r="AR92">
            <v>35.402456654750203</v>
          </cell>
          <cell r="AS92">
            <v>25.032690851891008</v>
          </cell>
          <cell r="AT92">
            <v>34.019166762991908</v>
          </cell>
          <cell r="AU92">
            <v>45.091893063525035</v>
          </cell>
          <cell r="AV92">
            <v>27.525017239046395</v>
          </cell>
          <cell r="AW92">
            <v>42.983867964587596</v>
          </cell>
          <cell r="AX92">
            <v>44.274254570475001</v>
          </cell>
          <cell r="AY92">
            <v>44.274254570475001</v>
          </cell>
          <cell r="AZ92">
            <v>53.819992754647309</v>
          </cell>
          <cell r="BA92">
            <v>132.77346620955873</v>
          </cell>
          <cell r="BB92">
            <v>106.49007265999029</v>
          </cell>
          <cell r="BC92">
            <v>293.08353162419633</v>
          </cell>
          <cell r="BD92">
            <v>62.703143959558417</v>
          </cell>
          <cell r="BE92">
            <v>35.010414541878944</v>
          </cell>
          <cell r="BF92">
            <v>25.094888320880703</v>
          </cell>
          <cell r="BG92">
            <v>33.774173430457523</v>
          </cell>
          <cell r="BH92">
            <v>45.091893063525035</v>
          </cell>
          <cell r="BI92">
            <v>27.525017239046395</v>
          </cell>
          <cell r="BJ92">
            <v>42.983867964587596</v>
          </cell>
          <cell r="BK92">
            <v>44.274254570475001</v>
          </cell>
          <cell r="BL92">
            <v>44.274254570475001</v>
          </cell>
          <cell r="BM92">
            <v>51.892766685289082</v>
          </cell>
          <cell r="BN92">
            <v>59.938390771628363</v>
          </cell>
          <cell r="BO92">
            <v>140.60760533371459</v>
          </cell>
          <cell r="BP92">
            <v>252.43876279063204</v>
          </cell>
          <cell r="BQ92">
            <v>71.661844115951737</v>
          </cell>
          <cell r="BR92">
            <v>37.067344042002354</v>
          </cell>
          <cell r="BS92">
            <v>29.712952715427651</v>
          </cell>
          <cell r="BT92">
            <v>31.750163807389299</v>
          </cell>
          <cell r="BU92">
            <v>47.34648771670129</v>
          </cell>
          <cell r="BV92">
            <v>38.271085613194643</v>
          </cell>
          <cell r="BW92">
            <v>46.257439464280495</v>
          </cell>
          <cell r="BX92">
            <v>44.274254570475001</v>
          </cell>
          <cell r="BY92">
            <v>44.274254570475001</v>
          </cell>
          <cell r="BZ92">
            <v>47.26052220943037</v>
          </cell>
          <cell r="CA92">
            <v>22.706975296329375</v>
          </cell>
          <cell r="CB92">
            <v>159.70047291039205</v>
          </cell>
          <cell r="CC92">
            <v>229.6679704161518</v>
          </cell>
          <cell r="CD92">
            <v>63.339057557835098</v>
          </cell>
          <cell r="CE92">
            <v>35.17682149430793</v>
          </cell>
          <cell r="CF92">
            <v>26.724457425070572</v>
          </cell>
          <cell r="CG92">
            <v>33.294290360992655</v>
          </cell>
          <cell r="CH92">
            <v>45.091893063525035</v>
          </cell>
          <cell r="CI92">
            <v>29.975874938413543</v>
          </cell>
          <cell r="CJ92">
            <v>43.277970888511653</v>
          </cell>
          <cell r="CK92">
            <v>44.274254570475001</v>
          </cell>
          <cell r="CL92">
            <v>44.274254570475001</v>
          </cell>
          <cell r="CM92">
            <v>50.748876064183129</v>
          </cell>
          <cell r="CN92">
            <v>50.742659741819274</v>
          </cell>
          <cell r="CO92">
            <v>145.32322393265045</v>
          </cell>
          <cell r="CP92">
            <v>246.81475973865287</v>
          </cell>
        </row>
        <row r="93">
          <cell r="B93">
            <v>2074</v>
          </cell>
          <cell r="D93">
            <v>62.934171311410694</v>
          </cell>
          <cell r="E93">
            <v>35.466610147572467</v>
          </cell>
          <cell r="F93">
            <v>24.469213293083648</v>
          </cell>
          <cell r="G93">
            <v>35.646224370210291</v>
          </cell>
          <cell r="H93">
            <v>45.992864170999148</v>
          </cell>
          <cell r="I93">
            <v>28.074988499516003</v>
          </cell>
          <cell r="J93">
            <v>43.84271909042117</v>
          </cell>
          <cell r="K93">
            <v>45.158888624688586</v>
          </cell>
          <cell r="L93">
            <v>45.158888624688586</v>
          </cell>
          <cell r="M93">
            <v>51.458961875054186</v>
          </cell>
          <cell r="N93">
            <v>70.443469573003284</v>
          </cell>
          <cell r="O93">
            <v>139.83535321770825</v>
          </cell>
          <cell r="P93">
            <v>261.73778466576573</v>
          </cell>
          <cell r="Q93">
            <v>64.490068299420997</v>
          </cell>
          <cell r="R93">
            <v>36.043300535844537</v>
          </cell>
          <cell r="S93">
            <v>26.065492277243614</v>
          </cell>
          <cell r="T93">
            <v>33.57195750482461</v>
          </cell>
          <cell r="U93">
            <v>45.992864170999148</v>
          </cell>
          <cell r="V93">
            <v>28.074988499516003</v>
          </cell>
          <cell r="W93">
            <v>43.84271909042117</v>
          </cell>
          <cell r="X93">
            <v>45.158888624688586</v>
          </cell>
          <cell r="Y93">
            <v>45.158888624688586</v>
          </cell>
          <cell r="Z93">
            <v>52.509285048137862</v>
          </cell>
          <cell r="AA93">
            <v>24.688194467723445</v>
          </cell>
          <cell r="AB93">
            <v>160.24342765320637</v>
          </cell>
          <cell r="AC93">
            <v>237.44090716906766</v>
          </cell>
          <cell r="AD93">
            <v>63.842407417597791</v>
          </cell>
          <cell r="AE93">
            <v>35.58894714781308</v>
          </cell>
          <cell r="AF93">
            <v>25.624348033367742</v>
          </cell>
          <cell r="AG93">
            <v>34.248703826599595</v>
          </cell>
          <cell r="AH93">
            <v>45.992864170999148</v>
          </cell>
          <cell r="AI93">
            <v>28.074988499516003</v>
          </cell>
          <cell r="AJ93">
            <v>43.84271909042117</v>
          </cell>
          <cell r="AK93">
            <v>45.158888624688586</v>
          </cell>
          <cell r="AL93">
            <v>45.158888624688586</v>
          </cell>
          <cell r="AM93">
            <v>54.939786415198277</v>
          </cell>
          <cell r="AN93">
            <v>99.070112820332085</v>
          </cell>
          <cell r="AO93">
            <v>125.19178519187895</v>
          </cell>
          <cell r="AP93">
            <v>279.2016844274093</v>
          </cell>
          <cell r="AQ93">
            <v>65.050345486125195</v>
          </cell>
          <cell r="AR93">
            <v>36.109825283842774</v>
          </cell>
          <cell r="AS93">
            <v>25.53286349197316</v>
          </cell>
          <cell r="AT93">
            <v>34.69889618376871</v>
          </cell>
          <cell r="AU93">
            <v>45.992864170999148</v>
          </cell>
          <cell r="AV93">
            <v>28.074988499516003</v>
          </cell>
          <cell r="AW93">
            <v>43.84271909042117</v>
          </cell>
          <cell r="AX93">
            <v>45.158888624688586</v>
          </cell>
          <cell r="AY93">
            <v>45.158888624688586</v>
          </cell>
          <cell r="AZ93">
            <v>54.895358084909454</v>
          </cell>
          <cell r="BA93">
            <v>135.42638336975594</v>
          </cell>
          <cell r="BB93">
            <v>108.61782716708771</v>
          </cell>
          <cell r="BC93">
            <v>298.9395686217531</v>
          </cell>
          <cell r="BD93">
            <v>63.956001562493022</v>
          </cell>
          <cell r="BE93">
            <v>35.709949864525221</v>
          </cell>
          <cell r="BF93">
            <v>25.596303714786444</v>
          </cell>
          <cell r="BG93">
            <v>34.449007693831504</v>
          </cell>
          <cell r="BH93">
            <v>45.992864170999148</v>
          </cell>
          <cell r="BI93">
            <v>28.074988499516003</v>
          </cell>
          <cell r="BJ93">
            <v>43.84271909042117</v>
          </cell>
          <cell r="BK93">
            <v>45.158888624688586</v>
          </cell>
          <cell r="BL93">
            <v>45.158888624688586</v>
          </cell>
          <cell r="BM93">
            <v>52.92962453919364</v>
          </cell>
          <cell r="BN93">
            <v>61.136006454732453</v>
          </cell>
          <cell r="BO93">
            <v>143.41705468901952</v>
          </cell>
          <cell r="BP93">
            <v>257.4826856829456</v>
          </cell>
          <cell r="BQ93">
            <v>73.093703518390825</v>
          </cell>
          <cell r="BR93">
            <v>37.807978416469581</v>
          </cell>
          <cell r="BS93">
            <v>30.306640629053959</v>
          </cell>
          <cell r="BT93">
            <v>32.384556783699431</v>
          </cell>
          <cell r="BU93">
            <v>48.292507379549107</v>
          </cell>
          <cell r="BV93">
            <v>39.035771680833896</v>
          </cell>
          <cell r="BW93">
            <v>47.18169909570328</v>
          </cell>
          <cell r="BX93">
            <v>45.158888624688586</v>
          </cell>
          <cell r="BY93">
            <v>45.158888624688586</v>
          </cell>
          <cell r="BZ93">
            <v>48.204824214556844</v>
          </cell>
          <cell r="CA93">
            <v>23.160678330072042</v>
          </cell>
          <cell r="CB93">
            <v>162.89141261521905</v>
          </cell>
          <cell r="CC93">
            <v>234.25691515984795</v>
          </cell>
          <cell r="CD93">
            <v>64.604621209240335</v>
          </cell>
          <cell r="CE93">
            <v>35.879681757337842</v>
          </cell>
          <cell r="CF93">
            <v>27.258432877575743</v>
          </cell>
          <cell r="CG93">
            <v>33.95953618726233</v>
          </cell>
          <cell r="CH93">
            <v>45.992864170999148</v>
          </cell>
          <cell r="CI93">
            <v>30.574816242623601</v>
          </cell>
          <cell r="CJ93">
            <v>44.142698419594083</v>
          </cell>
          <cell r="CK93">
            <v>45.158888624688586</v>
          </cell>
          <cell r="CL93">
            <v>45.158888624688586</v>
          </cell>
          <cell r="CM93">
            <v>51.762878093465844</v>
          </cell>
          <cell r="CN93">
            <v>51.756537564144509</v>
          </cell>
          <cell r="CO93">
            <v>148.22689501658238</v>
          </cell>
          <cell r="CP93">
            <v>251.74631067419273</v>
          </cell>
        </row>
        <row r="94">
          <cell r="B94">
            <v>2075</v>
          </cell>
          <cell r="D94">
            <v>64.19080005872776</v>
          </cell>
          <cell r="E94">
            <v>36.174784434333056</v>
          </cell>
          <cell r="F94">
            <v>24.957798686480999</v>
          </cell>
          <cell r="G94">
            <v>36.357985077366841</v>
          </cell>
          <cell r="H94">
            <v>46.911219876403464</v>
          </cell>
          <cell r="I94">
            <v>28.635571675458944</v>
          </cell>
          <cell r="J94">
            <v>44.718142092290115</v>
          </cell>
          <cell r="K94">
            <v>46.060592046854474</v>
          </cell>
          <cell r="L94">
            <v>46.060592046854474</v>
          </cell>
          <cell r="M94">
            <v>52.486461077026867</v>
          </cell>
          <cell r="N94">
            <v>71.850039121495001</v>
          </cell>
          <cell r="O94">
            <v>142.62749492837139</v>
          </cell>
          <cell r="P94">
            <v>266.96399512689322</v>
          </cell>
          <cell r="Q94">
            <v>65.777764189472393</v>
          </cell>
          <cell r="R94">
            <v>36.762989802545327</v>
          </cell>
          <cell r="S94">
            <v>26.585951134904249</v>
          </cell>
          <cell r="T94">
            <v>34.242300595472742</v>
          </cell>
          <cell r="U94">
            <v>46.911219876403464</v>
          </cell>
          <cell r="V94">
            <v>28.635571675458944</v>
          </cell>
          <cell r="W94">
            <v>44.718142092290115</v>
          </cell>
          <cell r="X94">
            <v>46.060592046854474</v>
          </cell>
          <cell r="Y94">
            <v>46.060592046854474</v>
          </cell>
          <cell r="Z94">
            <v>53.557756422553069</v>
          </cell>
          <cell r="AA94">
            <v>25.181152335301984</v>
          </cell>
          <cell r="AB94">
            <v>163.44306456844024</v>
          </cell>
          <cell r="AC94">
            <v>242.18197332629529</v>
          </cell>
          <cell r="AD94">
            <v>65.117171234887238</v>
          </cell>
          <cell r="AE94">
            <v>36.299564180512156</v>
          </cell>
          <cell r="AF94">
            <v>26.135998408656775</v>
          </cell>
          <cell r="AG94">
            <v>34.932559749225362</v>
          </cell>
          <cell r="AH94">
            <v>46.911219876403464</v>
          </cell>
          <cell r="AI94">
            <v>28.635571675458944</v>
          </cell>
          <cell r="AJ94">
            <v>44.718142092290115</v>
          </cell>
          <cell r="AK94">
            <v>46.060592046854474</v>
          </cell>
          <cell r="AL94">
            <v>46.060592046854474</v>
          </cell>
          <cell r="AM94">
            <v>56.036788465788248</v>
          </cell>
          <cell r="AN94">
            <v>101.04828062926298</v>
          </cell>
          <cell r="AO94">
            <v>127.69153362618518</v>
          </cell>
          <cell r="AP94">
            <v>284.77660272123637</v>
          </cell>
          <cell r="AQ94">
            <v>66.349228627944711</v>
          </cell>
          <cell r="AR94">
            <v>36.830842873599238</v>
          </cell>
          <cell r="AS94">
            <v>26.042687163227548</v>
          </cell>
          <cell r="AT94">
            <v>35.39174125562856</v>
          </cell>
          <cell r="AU94">
            <v>46.911219876403464</v>
          </cell>
          <cell r="AV94">
            <v>28.635571675458944</v>
          </cell>
          <cell r="AW94">
            <v>44.718142092290115</v>
          </cell>
          <cell r="AX94">
            <v>46.060592046854474</v>
          </cell>
          <cell r="AY94">
            <v>46.060592046854474</v>
          </cell>
          <cell r="AZ94">
            <v>55.991473019392664</v>
          </cell>
          <cell r="BA94">
            <v>138.13048962779388</v>
          </cell>
          <cell r="BB94">
            <v>110.78663754855582</v>
          </cell>
          <cell r="BC94">
            <v>304.90860019574234</v>
          </cell>
          <cell r="BD94">
            <v>65.23303355405136</v>
          </cell>
          <cell r="BE94">
            <v>36.422983001053986</v>
          </cell>
          <cell r="BF94">
            <v>26.107394119296586</v>
          </cell>
          <cell r="BG94">
            <v>35.136863154268255</v>
          </cell>
          <cell r="BH94">
            <v>46.911219876403464</v>
          </cell>
          <cell r="BI94">
            <v>28.635571675458944</v>
          </cell>
          <cell r="BJ94">
            <v>44.718142092290115</v>
          </cell>
          <cell r="BK94">
            <v>46.060592046854474</v>
          </cell>
          <cell r="BL94">
            <v>46.060592046854474</v>
          </cell>
          <cell r="BM94">
            <v>53.986488980158967</v>
          </cell>
          <cell r="BN94">
            <v>62.356730611518955</v>
          </cell>
          <cell r="BO94">
            <v>146.2807134934867</v>
          </cell>
          <cell r="BP94">
            <v>262.62393308516459</v>
          </cell>
          <cell r="BQ94">
            <v>74.553191220780377</v>
          </cell>
          <cell r="BR94">
            <v>38.562903627464848</v>
          </cell>
          <cell r="BS94">
            <v>30.911783988464041</v>
          </cell>
          <cell r="BT94">
            <v>33.031190626260894</v>
          </cell>
          <cell r="BU94">
            <v>49.256780870223636</v>
          </cell>
          <cell r="BV94">
            <v>39.815212672042229</v>
          </cell>
          <cell r="BW94">
            <v>48.123792686441867</v>
          </cell>
          <cell r="BX94">
            <v>46.060592046854474</v>
          </cell>
          <cell r="BY94">
            <v>46.060592046854474</v>
          </cell>
          <cell r="BZ94">
            <v>49.167346904617204</v>
          </cell>
          <cell r="CA94">
            <v>23.623135745343593</v>
          </cell>
          <cell r="CB94">
            <v>166.14392277810822</v>
          </cell>
          <cell r="CC94">
            <v>238.934405428069</v>
          </cell>
          <cell r="CD94">
            <v>65.894604417557275</v>
          </cell>
          <cell r="CE94">
            <v>36.596103990305004</v>
          </cell>
          <cell r="CF94">
            <v>27.802711600040848</v>
          </cell>
          <cell r="CG94">
            <v>34.637618197865223</v>
          </cell>
          <cell r="CH94">
            <v>46.911219876403464</v>
          </cell>
          <cell r="CI94">
            <v>31.185314358890224</v>
          </cell>
          <cell r="CJ94">
            <v>45.024111214301875</v>
          </cell>
          <cell r="CK94">
            <v>46.060592046854474</v>
          </cell>
          <cell r="CL94">
            <v>46.060592046854474</v>
          </cell>
          <cell r="CM94">
            <v>52.796445697530324</v>
          </cell>
          <cell r="CN94">
            <v>52.789978564628576</v>
          </cell>
          <cell r="CO94">
            <v>151.1865935956215</v>
          </cell>
          <cell r="CP94">
            <v>256.77301785778042</v>
          </cell>
        </row>
        <row r="95">
          <cell r="B95">
            <v>2076</v>
          </cell>
          <cell r="D95">
            <v>65.472014112352994</v>
          </cell>
          <cell r="E95">
            <v>36.896813793084277</v>
          </cell>
          <cell r="F95">
            <v>25.455943006156311</v>
          </cell>
          <cell r="G95">
            <v>37.083671023016386</v>
          </cell>
          <cell r="H95">
            <v>47.847542747022992</v>
          </cell>
          <cell r="I95">
            <v>29.207122377905797</v>
          </cell>
          <cell r="J95">
            <v>45.610692302728928</v>
          </cell>
          <cell r="K95">
            <v>46.979936840730517</v>
          </cell>
          <cell r="L95">
            <v>46.979936840730517</v>
          </cell>
          <cell r="M95">
            <v>53.534062781561126</v>
          </cell>
          <cell r="N95">
            <v>73.284127492285862</v>
          </cell>
          <cell r="O95">
            <v>145.47426348038206</v>
          </cell>
          <cell r="P95">
            <v>272.29245375422909</v>
          </cell>
          <cell r="Q95">
            <v>67.090653198777389</v>
          </cell>
          <cell r="R95">
            <v>37.496759425999308</v>
          </cell>
          <cell r="S95">
            <v>27.116592507061469</v>
          </cell>
          <cell r="T95">
            <v>34.925758609880432</v>
          </cell>
          <cell r="U95">
            <v>47.847542747022992</v>
          </cell>
          <cell r="V95">
            <v>29.207122377905797</v>
          </cell>
          <cell r="W95">
            <v>45.610692302728928</v>
          </cell>
          <cell r="X95">
            <v>46.979936840730517</v>
          </cell>
          <cell r="Y95">
            <v>46.979936840730517</v>
          </cell>
          <cell r="Z95">
            <v>54.626740609483804</v>
          </cell>
          <cell r="AA95">
            <v>25.683754674405883</v>
          </cell>
          <cell r="AB95">
            <v>166.70530076274034</v>
          </cell>
          <cell r="AC95">
            <v>247.01579604663002</v>
          </cell>
          <cell r="AD95">
            <v>66.416875161962906</v>
          </cell>
          <cell r="AE95">
            <v>37.024084076291523</v>
          </cell>
          <cell r="AF95">
            <v>26.657658964936832</v>
          </cell>
          <cell r="AG95">
            <v>35.629794967338611</v>
          </cell>
          <cell r="AH95">
            <v>47.847542747022992</v>
          </cell>
          <cell r="AI95">
            <v>29.207122377905797</v>
          </cell>
          <cell r="AJ95">
            <v>45.610692302728928</v>
          </cell>
          <cell r="AK95">
            <v>46.979936840730517</v>
          </cell>
          <cell r="AL95">
            <v>46.979936840730517</v>
          </cell>
          <cell r="AM95">
            <v>57.155252807044441</v>
          </cell>
          <cell r="AN95">
            <v>103.06515029155777</v>
          </cell>
          <cell r="AO95">
            <v>130.24018837517025</v>
          </cell>
          <cell r="AP95">
            <v>290.46059147377247</v>
          </cell>
          <cell r="AQ95">
            <v>67.673523761944338</v>
          </cell>
          <cell r="AR95">
            <v>37.565966808078109</v>
          </cell>
          <cell r="AS95">
            <v>26.562485276931788</v>
          </cell>
          <cell r="AT95">
            <v>36.098141491137291</v>
          </cell>
          <cell r="AU95">
            <v>47.847542747022992</v>
          </cell>
          <cell r="AV95">
            <v>29.207122377905797</v>
          </cell>
          <cell r="AW95">
            <v>45.610692302728928</v>
          </cell>
          <cell r="AX95">
            <v>46.979936840730517</v>
          </cell>
          <cell r="AY95">
            <v>46.979936840730517</v>
          </cell>
          <cell r="AZ95">
            <v>57.109032888563831</v>
          </cell>
          <cell r="BA95">
            <v>140.88750035804421</v>
          </cell>
          <cell r="BB95">
            <v>112.99787960896376</v>
          </cell>
          <cell r="BC95">
            <v>310.9944128555718</v>
          </cell>
          <cell r="BD95">
            <v>66.535050031079095</v>
          </cell>
          <cell r="BE95">
            <v>37.149966270513318</v>
          </cell>
          <cell r="BF95">
            <v>26.628483749252489</v>
          </cell>
          <cell r="BG95">
            <v>35.838176159128281</v>
          </cell>
          <cell r="BH95">
            <v>47.847542747022992</v>
          </cell>
          <cell r="BI95">
            <v>29.207122377905797</v>
          </cell>
          <cell r="BJ95">
            <v>45.610692302728928</v>
          </cell>
          <cell r="BK95">
            <v>46.979936840730517</v>
          </cell>
          <cell r="BL95">
            <v>46.979936840730517</v>
          </cell>
          <cell r="BM95">
            <v>55.064030439744798</v>
          </cell>
          <cell r="BN95">
            <v>63.601337619447015</v>
          </cell>
          <cell r="BO95">
            <v>149.20039833509509</v>
          </cell>
          <cell r="BP95">
            <v>267.86576639428688</v>
          </cell>
          <cell r="BQ95">
            <v>76.041233062403833</v>
          </cell>
          <cell r="BR95">
            <v>39.332598568654262</v>
          </cell>
          <cell r="BS95">
            <v>31.528766671845677</v>
          </cell>
          <cell r="BT95">
            <v>33.690475533126389</v>
          </cell>
          <cell r="BU95">
            <v>50.239919884374139</v>
          </cell>
          <cell r="BV95">
            <v>40.609903032293673</v>
          </cell>
          <cell r="BW95">
            <v>49.084317862124479</v>
          </cell>
          <cell r="BX95">
            <v>46.979936840730517</v>
          </cell>
          <cell r="BY95">
            <v>46.979936840730517</v>
          </cell>
          <cell r="BZ95">
            <v>50.148700864624402</v>
          </cell>
          <cell r="CA95">
            <v>24.094640906206841</v>
          </cell>
          <cell r="CB95">
            <v>169.46006665843046</v>
          </cell>
          <cell r="CC95">
            <v>243.70340842926171</v>
          </cell>
          <cell r="CD95">
            <v>67.209825495353613</v>
          </cell>
          <cell r="CE95">
            <v>37.3265426621616</v>
          </cell>
          <cell r="CF95">
            <v>28.357638860618252</v>
          </cell>
          <cell r="CG95">
            <v>35.328966540285137</v>
          </cell>
          <cell r="CH95">
            <v>47.847542747022992</v>
          </cell>
          <cell r="CI95">
            <v>31.807756562239877</v>
          </cell>
          <cell r="CJ95">
            <v>45.922768404849009</v>
          </cell>
          <cell r="CK95">
            <v>46.979936840730517</v>
          </cell>
          <cell r="CL95">
            <v>46.979936840730517</v>
          </cell>
          <cell r="CM95">
            <v>53.850234529376181</v>
          </cell>
          <cell r="CN95">
            <v>53.843638315958962</v>
          </cell>
          <cell r="CO95">
            <v>154.20419718145033</v>
          </cell>
          <cell r="CP95">
            <v>261.89807002678549</v>
          </cell>
        </row>
        <row r="96">
          <cell r="B96">
            <v>2077</v>
          </cell>
          <cell r="D96">
            <v>66.77865623614062</v>
          </cell>
          <cell r="E96">
            <v>37.633173164171588</v>
          </cell>
          <cell r="F96">
            <v>25.963973924152842</v>
          </cell>
          <cell r="G96">
            <v>37.823759552753756</v>
          </cell>
          <cell r="H96">
            <v>48.80244868233914</v>
          </cell>
          <cell r="I96">
            <v>29.7900165645441</v>
          </cell>
          <cell r="J96">
            <v>46.520956828203737</v>
          </cell>
          <cell r="K96">
            <v>47.917527737867715</v>
          </cell>
          <cell r="L96">
            <v>47.917527737867715</v>
          </cell>
          <cell r="M96">
            <v>54.6024560857268</v>
          </cell>
          <cell r="N96">
            <v>74.746678007718614</v>
          </cell>
          <cell r="O96">
            <v>148.37753143643201</v>
          </cell>
          <cell r="P96">
            <v>277.72666552987744</v>
          </cell>
          <cell r="Q96">
            <v>68.429598926512526</v>
          </cell>
          <cell r="R96">
            <v>38.245092069126244</v>
          </cell>
          <cell r="S96">
            <v>27.65776544184407</v>
          </cell>
          <cell r="T96">
            <v>35.622781116727332</v>
          </cell>
          <cell r="U96">
            <v>48.80244868233914</v>
          </cell>
          <cell r="V96">
            <v>29.7900165645441</v>
          </cell>
          <cell r="W96">
            <v>46.520956828203737</v>
          </cell>
          <cell r="X96">
            <v>47.917527737867715</v>
          </cell>
          <cell r="Y96">
            <v>47.917527737867715</v>
          </cell>
          <cell r="Z96">
            <v>55.716940771083898</v>
          </cell>
          <cell r="AA96">
            <v>26.196332089498323</v>
          </cell>
          <cell r="AB96">
            <v>170.03228208733321</v>
          </cell>
          <cell r="AC96">
            <v>251.94555494791544</v>
          </cell>
          <cell r="AD96">
            <v>67.742374125047235</v>
          </cell>
          <cell r="AE96">
            <v>37.762983413735441</v>
          </cell>
          <cell r="AF96">
            <v>27.189672842887457</v>
          </cell>
          <cell r="AG96">
            <v>36.340868112061941</v>
          </cell>
          <cell r="AH96">
            <v>48.80244868233914</v>
          </cell>
          <cell r="AI96">
            <v>29.7900165645441</v>
          </cell>
          <cell r="AJ96">
            <v>46.520956828203737</v>
          </cell>
          <cell r="AK96">
            <v>47.917527737867715</v>
          </cell>
          <cell r="AL96">
            <v>47.917527737867715</v>
          </cell>
          <cell r="AM96">
            <v>58.295915148442063</v>
          </cell>
          <cell r="AN96">
            <v>105.1220484745639</v>
          </cell>
          <cell r="AO96">
            <v>132.83942590662909</v>
          </cell>
          <cell r="AP96">
            <v>296.25738952963502</v>
          </cell>
          <cell r="AQ96">
            <v>69.024101990082514</v>
          </cell>
          <cell r="AR96">
            <v>38.315680641045113</v>
          </cell>
          <cell r="AS96">
            <v>27.092599748677952</v>
          </cell>
          <cell r="AT96">
            <v>36.818561550031831</v>
          </cell>
          <cell r="AU96">
            <v>48.80244868233914</v>
          </cell>
          <cell r="AV96">
            <v>29.7900165645441</v>
          </cell>
          <cell r="AW96">
            <v>46.520956828203737</v>
          </cell>
          <cell r="AX96">
            <v>47.917527737867715</v>
          </cell>
          <cell r="AY96">
            <v>47.917527737867715</v>
          </cell>
          <cell r="AZ96">
            <v>58.248772806949674</v>
          </cell>
          <cell r="BA96">
            <v>143.69922908181704</v>
          </cell>
          <cell r="BB96">
            <v>115.25300787097785</v>
          </cell>
          <cell r="BC96">
            <v>317.20100975974458</v>
          </cell>
          <cell r="BD96">
            <v>67.862907440960171</v>
          </cell>
          <cell r="BE96">
            <v>37.891377871858616</v>
          </cell>
          <cell r="BF96">
            <v>27.15991536978671</v>
          </cell>
          <cell r="BG96">
            <v>36.553408021842621</v>
          </cell>
          <cell r="BH96">
            <v>48.80244868233914</v>
          </cell>
          <cell r="BI96">
            <v>29.7900165645441</v>
          </cell>
          <cell r="BJ96">
            <v>46.520956828203737</v>
          </cell>
          <cell r="BK96">
            <v>47.917527737867715</v>
          </cell>
          <cell r="BL96">
            <v>47.917527737867715</v>
          </cell>
          <cell r="BM96">
            <v>56.162957708953691</v>
          </cell>
          <cell r="BN96">
            <v>64.870646162791914</v>
          </cell>
          <cell r="BO96">
            <v>152.1780297398046</v>
          </cell>
          <cell r="BP96">
            <v>273.21163361155021</v>
          </cell>
          <cell r="BQ96">
            <v>77.558807855407537</v>
          </cell>
          <cell r="BR96">
            <v>40.117569534105819</v>
          </cell>
          <cell r="BS96">
            <v>32.15799452137859</v>
          </cell>
          <cell r="BT96">
            <v>34.362845172259163</v>
          </cell>
          <cell r="BU96">
            <v>51.242571116456098</v>
          </cell>
          <cell r="BV96">
            <v>41.420365497277068</v>
          </cell>
          <cell r="BW96">
            <v>50.063906442154618</v>
          </cell>
          <cell r="BX96">
            <v>47.917527737867715</v>
          </cell>
          <cell r="BY96">
            <v>47.917527737867715</v>
          </cell>
          <cell r="BZ96">
            <v>51.149531614851462</v>
          </cell>
          <cell r="CA96">
            <v>24.575503961856231</v>
          </cell>
          <cell r="CB96">
            <v>172.84202556709926</v>
          </cell>
          <cell r="CC96">
            <v>248.56706114380694</v>
          </cell>
          <cell r="CD96">
            <v>68.55114957580642</v>
          </cell>
          <cell r="CE96">
            <v>38.071478244776181</v>
          </cell>
          <cell r="CF96">
            <v>28.923579682338737</v>
          </cell>
          <cell r="CG96">
            <v>36.034035973344018</v>
          </cell>
          <cell r="CH96">
            <v>48.80244868233914</v>
          </cell>
          <cell r="CI96">
            <v>32.442552286044602</v>
          </cell>
          <cell r="CJ96">
            <v>46.839261114783795</v>
          </cell>
          <cell r="CK96">
            <v>47.917527737867715</v>
          </cell>
          <cell r="CL96">
            <v>47.917527737867715</v>
          </cell>
          <cell r="CM96">
            <v>54.92493775587505</v>
          </cell>
          <cell r="CN96">
            <v>54.918209900100017</v>
          </cell>
          <cell r="CO96">
            <v>157.28169070954567</v>
          </cell>
          <cell r="CP96">
            <v>267.12483836552076</v>
          </cell>
        </row>
        <row r="97">
          <cell r="B97">
            <v>2078</v>
          </cell>
          <cell r="D97">
            <v>68.111562422329655</v>
          </cell>
          <cell r="E97">
            <v>38.384333671790486</v>
          </cell>
          <cell r="F97">
            <v>26.482216479666029</v>
          </cell>
          <cell r="G97">
            <v>38.578724176697584</v>
          </cell>
          <cell r="H97">
            <v>49.776548633075471</v>
          </cell>
          <cell r="I97">
            <v>30.384627172238016</v>
          </cell>
          <cell r="J97">
            <v>47.449518057774974</v>
          </cell>
          <cell r="K97">
            <v>48.873964610793607</v>
          </cell>
          <cell r="L97">
            <v>48.873964610793607</v>
          </cell>
          <cell r="M97">
            <v>55.692324549692565</v>
          </cell>
          <cell r="N97">
            <v>76.238626410532504</v>
          </cell>
          <cell r="O97">
            <v>151.33915631315489</v>
          </cell>
          <cell r="P97">
            <v>283.27010727337995</v>
          </cell>
          <cell r="Q97">
            <v>69.795458032827085</v>
          </cell>
          <cell r="R97">
            <v>39.008466516644972</v>
          </cell>
          <cell r="S97">
            <v>28.209816182775992</v>
          </cell>
          <cell r="T97">
            <v>36.333814072404664</v>
          </cell>
          <cell r="U97">
            <v>49.776548633075471</v>
          </cell>
          <cell r="V97">
            <v>30.384627172238016</v>
          </cell>
          <cell r="W97">
            <v>47.449518057774974</v>
          </cell>
          <cell r="X97">
            <v>48.873964610793607</v>
          </cell>
          <cell r="Y97">
            <v>48.873964610793607</v>
          </cell>
          <cell r="Z97">
            <v>56.829054419592943</v>
          </cell>
          <cell r="AA97">
            <v>26.719212528632664</v>
          </cell>
          <cell r="AB97">
            <v>173.42613715151148</v>
          </cell>
          <cell r="AC97">
            <v>256.97440409973706</v>
          </cell>
          <cell r="AD97">
            <v>69.094516181022584</v>
          </cell>
          <cell r="AE97">
            <v>38.516734942114965</v>
          </cell>
          <cell r="AF97">
            <v>27.73238042604974</v>
          </cell>
          <cell r="AG97">
            <v>37.066234129412734</v>
          </cell>
          <cell r="AH97">
            <v>49.776548633075471</v>
          </cell>
          <cell r="AI97">
            <v>30.384627172238016</v>
          </cell>
          <cell r="AJ97">
            <v>47.449518057774974</v>
          </cell>
          <cell r="AK97">
            <v>48.873964610793607</v>
          </cell>
          <cell r="AL97">
            <v>48.873964610793607</v>
          </cell>
          <cell r="AM97">
            <v>59.459505288024062</v>
          </cell>
          <cell r="AN97">
            <v>107.22029118584472</v>
          </cell>
          <cell r="AO97">
            <v>135.49090921792279</v>
          </cell>
          <cell r="AP97">
            <v>302.17070569179157</v>
          </cell>
          <cell r="AQ97">
            <v>70.401827415005499</v>
          </cell>
          <cell r="AR97">
            <v>39.080464040907124</v>
          </cell>
          <cell r="AS97">
            <v>27.633369746763247</v>
          </cell>
          <cell r="AT97">
            <v>37.553462358503914</v>
          </cell>
          <cell r="AU97">
            <v>49.776548633075471</v>
          </cell>
          <cell r="AV97">
            <v>30.384627172238016</v>
          </cell>
          <cell r="AW97">
            <v>47.449518057774974</v>
          </cell>
          <cell r="AX97">
            <v>48.873964610793607</v>
          </cell>
          <cell r="AY97">
            <v>48.873964610793607</v>
          </cell>
          <cell r="AZ97">
            <v>59.411421982425054</v>
          </cell>
          <cell r="BA97">
            <v>146.56747474876244</v>
          </cell>
          <cell r="BB97">
            <v>117.55346517016172</v>
          </cell>
          <cell r="BC97">
            <v>323.53236190134919</v>
          </cell>
          <cell r="BD97">
            <v>69.21745534951593</v>
          </cell>
          <cell r="BE97">
            <v>38.647692161712392</v>
          </cell>
          <cell r="BF97">
            <v>27.702028991910886</v>
          </cell>
          <cell r="BG97">
            <v>37.283016349184749</v>
          </cell>
          <cell r="BH97">
            <v>49.776548633075471</v>
          </cell>
          <cell r="BI97">
            <v>30.384627172238016</v>
          </cell>
          <cell r="BJ97">
            <v>47.449518057774974</v>
          </cell>
          <cell r="BK97">
            <v>48.873964610793607</v>
          </cell>
          <cell r="BL97">
            <v>48.873964610793607</v>
          </cell>
          <cell r="BM97">
            <v>57.283973883646091</v>
          </cell>
          <cell r="BN97">
            <v>66.165468347693391</v>
          </cell>
          <cell r="BO97">
            <v>155.21551280213174</v>
          </cell>
          <cell r="BP97">
            <v>278.66495503347119</v>
          </cell>
          <cell r="BQ97">
            <v>79.106886547173275</v>
          </cell>
          <cell r="BR97">
            <v>40.91831874981014</v>
          </cell>
          <cell r="BS97">
            <v>32.799870118296951</v>
          </cell>
          <cell r="BT97">
            <v>35.048729727096486</v>
          </cell>
          <cell r="BU97">
            <v>52.265376064729246</v>
          </cell>
          <cell r="BV97">
            <v>42.24711860249532</v>
          </cell>
          <cell r="BW97">
            <v>51.063185169261168</v>
          </cell>
          <cell r="BX97">
            <v>48.873964610793607</v>
          </cell>
          <cell r="BY97">
            <v>48.873964610793607</v>
          </cell>
          <cell r="BZ97">
            <v>52.170479488810166</v>
          </cell>
          <cell r="CA97">
            <v>25.06603256943464</v>
          </cell>
          <cell r="CB97">
            <v>176.29196328817528</v>
          </cell>
          <cell r="CC97">
            <v>253.52847534642009</v>
          </cell>
          <cell r="CD97">
            <v>69.919434840739783</v>
          </cell>
          <cell r="CE97">
            <v>38.831387349421504</v>
          </cell>
          <cell r="CF97">
            <v>29.500896155269743</v>
          </cell>
          <cell r="CG97">
            <v>36.753277601872554</v>
          </cell>
          <cell r="CH97">
            <v>49.776548633075471</v>
          </cell>
          <cell r="CI97">
            <v>33.09010767387565</v>
          </cell>
          <cell r="CJ97">
            <v>47.774175717971481</v>
          </cell>
          <cell r="CK97">
            <v>48.873964610793607</v>
          </cell>
          <cell r="CL97">
            <v>48.873964610793607</v>
          </cell>
          <cell r="CM97">
            <v>56.021242974296506</v>
          </cell>
          <cell r="CN97">
            <v>56.014380830096272</v>
          </cell>
          <cell r="CO97">
            <v>160.42104316640996</v>
          </cell>
          <cell r="CP97">
            <v>272.45666697080276</v>
          </cell>
        </row>
        <row r="98">
          <cell r="B98">
            <v>2079</v>
          </cell>
          <cell r="D98">
            <v>69.471569572342389</v>
          </cell>
          <cell r="E98">
            <v>39.150766952507531</v>
          </cell>
          <cell r="F98">
            <v>27.010996065387641</v>
          </cell>
          <cell r="G98">
            <v>39.349038919932383</v>
          </cell>
          <cell r="H98">
            <v>50.770454214394896</v>
          </cell>
          <cell r="I98">
            <v>30.991327543439127</v>
          </cell>
          <cell r="J98">
            <v>48.396959013880206</v>
          </cell>
          <cell r="K98">
            <v>49.849847984427086</v>
          </cell>
          <cell r="L98">
            <v>49.849847984427086</v>
          </cell>
          <cell r="M98">
            <v>56.804352477032864</v>
          </cell>
          <cell r="N98">
            <v>77.76090946113365</v>
          </cell>
          <cell r="O98">
            <v>154.36099764732623</v>
          </cell>
          <cell r="P98">
            <v>288.92625958549274</v>
          </cell>
          <cell r="Q98">
            <v>71.18908810953107</v>
          </cell>
          <cell r="R98">
            <v>39.787362073976624</v>
          </cell>
          <cell r="S98">
            <v>28.773091349938255</v>
          </cell>
          <cell r="T98">
            <v>37.059303918303492</v>
          </cell>
          <cell r="U98">
            <v>50.770454214394896</v>
          </cell>
          <cell r="V98">
            <v>30.991327543439127</v>
          </cell>
          <cell r="W98">
            <v>48.396959013880206</v>
          </cell>
          <cell r="X98">
            <v>49.849847984427086</v>
          </cell>
          <cell r="Y98">
            <v>49.849847984427086</v>
          </cell>
          <cell r="Z98">
            <v>57.963779825829874</v>
          </cell>
          <cell r="AA98">
            <v>27.252724296522128</v>
          </cell>
          <cell r="AB98">
            <v>176.88899687953651</v>
          </cell>
          <cell r="AC98">
            <v>262.10550100188851</v>
          </cell>
          <cell r="AD98">
            <v>70.47415030907564</v>
          </cell>
          <cell r="AE98">
            <v>39.285811924839543</v>
          </cell>
          <cell r="AF98">
            <v>28.286122468148843</v>
          </cell>
          <cell r="AG98">
            <v>37.806348460184878</v>
          </cell>
          <cell r="AH98">
            <v>50.770454214394896</v>
          </cell>
          <cell r="AI98">
            <v>30.991327543439127</v>
          </cell>
          <cell r="AJ98">
            <v>48.396959013880206</v>
          </cell>
          <cell r="AK98">
            <v>49.849847984427086</v>
          </cell>
          <cell r="AL98">
            <v>49.849847984427086</v>
          </cell>
          <cell r="AM98">
            <v>60.646753817525173</v>
          </cell>
          <cell r="AN98">
            <v>109.36119586418744</v>
          </cell>
          <cell r="AO98">
            <v>138.19630311500501</v>
          </cell>
          <cell r="AP98">
            <v>308.20425279671758</v>
          </cell>
          <cell r="AQ98">
            <v>71.807565079114369</v>
          </cell>
          <cell r="AR98">
            <v>39.860797197734335</v>
          </cell>
          <cell r="AS98">
            <v>28.185134808347318</v>
          </cell>
          <cell r="AT98">
            <v>38.303305344025503</v>
          </cell>
          <cell r="AU98">
            <v>50.770454214394896</v>
          </cell>
          <cell r="AV98">
            <v>30.991327543439127</v>
          </cell>
          <cell r="AW98">
            <v>48.396959013880206</v>
          </cell>
          <cell r="AX98">
            <v>49.849847984427086</v>
          </cell>
          <cell r="AY98">
            <v>49.849847984427086</v>
          </cell>
          <cell r="AZ98">
            <v>60.597710415914776</v>
          </cell>
          <cell r="BA98">
            <v>149.49403826497803</v>
          </cell>
          <cell r="BB98">
            <v>119.90069591123458</v>
          </cell>
          <cell r="BC98">
            <v>329.99244459212741</v>
          </cell>
          <cell r="BD98">
            <v>70.599544246513076</v>
          </cell>
          <cell r="BE98">
            <v>39.419384012583649</v>
          </cell>
          <cell r="BF98">
            <v>28.255164996415576</v>
          </cell>
          <cell r="BG98">
            <v>38.02745924559833</v>
          </cell>
          <cell r="BH98">
            <v>50.770454214394896</v>
          </cell>
          <cell r="BI98">
            <v>30.991327543439127</v>
          </cell>
          <cell r="BJ98">
            <v>48.396959013880206</v>
          </cell>
          <cell r="BK98">
            <v>49.849847984427086</v>
          </cell>
          <cell r="BL98">
            <v>49.849847984427086</v>
          </cell>
          <cell r="BM98">
            <v>58.427782824334287</v>
          </cell>
          <cell r="BN98">
            <v>67.486617163497158</v>
          </cell>
          <cell r="BO98">
            <v>158.31475468847833</v>
          </cell>
          <cell r="BP98">
            <v>284.2291546763098</v>
          </cell>
          <cell r="BQ98">
            <v>80.686441141036653</v>
          </cell>
          <cell r="BR98">
            <v>41.73534898795365</v>
          </cell>
          <cell r="BS98">
            <v>33.454796481662079</v>
          </cell>
          <cell r="BT98">
            <v>35.748559848921566</v>
          </cell>
          <cell r="BU98">
            <v>53.308976925114642</v>
          </cell>
          <cell r="BV98">
            <v>43.09068144738454</v>
          </cell>
          <cell r="BW98">
            <v>52.082781467787029</v>
          </cell>
          <cell r="BX98">
            <v>49.849847984427086</v>
          </cell>
          <cell r="BY98">
            <v>49.849847984427086</v>
          </cell>
          <cell r="BZ98">
            <v>53.212185516406954</v>
          </cell>
          <cell r="CA98">
            <v>25.566534720677428</v>
          </cell>
          <cell r="CB98">
            <v>179.81204595894224</v>
          </cell>
          <cell r="CC98">
            <v>258.59076619602661</v>
          </cell>
          <cell r="CD98">
            <v>71.315540405293405</v>
          </cell>
          <cell r="CE98">
            <v>39.606747105708848</v>
          </cell>
          <cell r="CF98">
            <v>30.089950763269709</v>
          </cell>
          <cell r="CG98">
            <v>37.487143021300412</v>
          </cell>
          <cell r="CH98">
            <v>50.770454214394896</v>
          </cell>
          <cell r="CI98">
            <v>33.750829311005624</v>
          </cell>
          <cell r="CJ98">
            <v>48.728099225988188</v>
          </cell>
          <cell r="CK98">
            <v>49.849847984427086</v>
          </cell>
          <cell r="CL98">
            <v>49.849847984427086</v>
          </cell>
          <cell r="CM98">
            <v>57.139838529706452</v>
          </cell>
          <cell r="CN98">
            <v>57.132839366696999</v>
          </cell>
          <cell r="CO98">
            <v>163.62422567991661</v>
          </cell>
          <cell r="CP98">
            <v>277.89690357632003</v>
          </cell>
        </row>
        <row r="99">
          <cell r="B99">
            <v>2080</v>
          </cell>
          <cell r="D99">
            <v>70.859482509612818</v>
          </cell>
          <cell r="E99">
            <v>39.932926565309444</v>
          </cell>
          <cell r="F99">
            <v>27.55062560187989</v>
          </cell>
          <cell r="G99">
            <v>40.135159638412219</v>
          </cell>
          <cell r="H99">
            <v>51.78475359857503</v>
          </cell>
          <cell r="I99">
            <v>31.610476710580564</v>
          </cell>
          <cell r="J99">
            <v>49.363840372015694</v>
          </cell>
          <cell r="K99">
            <v>50.845755365884813</v>
          </cell>
          <cell r="L99">
            <v>50.845755365884813</v>
          </cell>
          <cell r="M99">
            <v>57.939197942328498</v>
          </cell>
          <cell r="N99">
            <v>79.31442801439789</v>
          </cell>
          <cell r="O99">
            <v>157.44484370066178</v>
          </cell>
          <cell r="P99">
            <v>294.69846965738816</v>
          </cell>
          <cell r="Q99">
            <v>72.611313877394494</v>
          </cell>
          <cell r="R99">
            <v>40.582239675019331</v>
          </cell>
          <cell r="S99">
            <v>29.347924277647742</v>
          </cell>
          <cell r="T99">
            <v>37.79967998395275</v>
          </cell>
          <cell r="U99">
            <v>51.78475359857503</v>
          </cell>
          <cell r="V99">
            <v>31.610476710580564</v>
          </cell>
          <cell r="W99">
            <v>49.363840372015694</v>
          </cell>
          <cell r="X99">
            <v>50.845755365884813</v>
          </cell>
          <cell r="Y99">
            <v>50.845755365884813</v>
          </cell>
          <cell r="Z99">
            <v>59.121788496262901</v>
          </cell>
          <cell r="AA99">
            <v>27.797183114134121</v>
          </cell>
          <cell r="AB99">
            <v>180.42291051847113</v>
          </cell>
          <cell r="AC99">
            <v>267.34188212886818</v>
          </cell>
          <cell r="AD99">
            <v>71.882092947470369</v>
          </cell>
          <cell r="AE99">
            <v>40.070669485382766</v>
          </cell>
          <cell r="AF99">
            <v>28.851226662000091</v>
          </cell>
          <cell r="AG99">
            <v>38.561649088367815</v>
          </cell>
          <cell r="AH99">
            <v>51.78475359857503</v>
          </cell>
          <cell r="AI99">
            <v>31.610476710580564</v>
          </cell>
          <cell r="AJ99">
            <v>49.363840372015694</v>
          </cell>
          <cell r="AK99">
            <v>50.845755365884813</v>
          </cell>
          <cell r="AL99">
            <v>50.845755365884813</v>
          </cell>
          <cell r="AM99">
            <v>61.85836332548579</v>
          </cell>
          <cell r="AN99">
            <v>111.5460294516482</v>
          </cell>
          <cell r="AO99">
            <v>140.95720859269872</v>
          </cell>
          <cell r="AP99">
            <v>314.36160136983267</v>
          </cell>
          <cell r="AQ99">
            <v>73.242146868192989</v>
          </cell>
          <cell r="AR99">
            <v>40.657141896165804</v>
          </cell>
          <cell r="AS99">
            <v>28.748221456310283</v>
          </cell>
          <cell r="AT99">
            <v>39.068534247797913</v>
          </cell>
          <cell r="AU99">
            <v>51.78475359857503</v>
          </cell>
          <cell r="AV99">
            <v>31.610476710580564</v>
          </cell>
          <cell r="AW99">
            <v>49.363840372015694</v>
          </cell>
          <cell r="AX99">
            <v>50.845755365884813</v>
          </cell>
          <cell r="AY99">
            <v>50.845755365884813</v>
          </cell>
          <cell r="AZ99">
            <v>61.80834012779475</v>
          </cell>
          <cell r="BA99">
            <v>152.48065150878423</v>
          </cell>
          <cell r="BB99">
            <v>122.29608913564763</v>
          </cell>
          <cell r="BC99">
            <v>336.58508077222666</v>
          </cell>
          <cell r="BD99">
            <v>72.009992022895844</v>
          </cell>
          <cell r="BE99">
            <v>40.206910095369558</v>
          </cell>
          <cell r="BF99">
            <v>28.819650717475891</v>
          </cell>
          <cell r="BG99">
            <v>38.787177256626279</v>
          </cell>
          <cell r="BH99">
            <v>51.78475359857503</v>
          </cell>
          <cell r="BI99">
            <v>31.610476710580564</v>
          </cell>
          <cell r="BJ99">
            <v>49.363840372015694</v>
          </cell>
          <cell r="BK99">
            <v>50.845755365884813</v>
          </cell>
          <cell r="BL99">
            <v>50.845755365884813</v>
          </cell>
          <cell r="BM99">
            <v>59.595061412929816</v>
          </cell>
          <cell r="BN99">
            <v>68.834874438097785</v>
          </cell>
          <cell r="BO99">
            <v>161.47758946456793</v>
          </cell>
          <cell r="BP99">
            <v>289.90752531559554</v>
          </cell>
          <cell r="BQ99">
            <v>82.298406383960085</v>
          </cell>
          <cell r="BR99">
            <v>42.569143749731104</v>
          </cell>
          <cell r="BS99">
            <v>34.123161183028103</v>
          </cell>
          <cell r="BT99">
            <v>36.462749682381975</v>
          </cell>
          <cell r="BU99">
            <v>54.373991278503787</v>
          </cell>
          <cell r="BV99">
            <v>43.951553234574341</v>
          </cell>
          <cell r="BW99">
            <v>53.123298713232252</v>
          </cell>
          <cell r="BX99">
            <v>50.845755365884813</v>
          </cell>
          <cell r="BY99">
            <v>50.845755365884813</v>
          </cell>
          <cell r="BZ99">
            <v>54.275266157211377</v>
          </cell>
          <cell r="CA99">
            <v>26.07730660215984</v>
          </cell>
          <cell r="CB99">
            <v>183.40435668978881</v>
          </cell>
          <cell r="CC99">
            <v>263.75692944916</v>
          </cell>
          <cell r="CD99">
            <v>72.740292455178633</v>
          </cell>
          <cell r="CE99">
            <v>40.398016355124163</v>
          </cell>
          <cell r="CF99">
            <v>30.691092096382732</v>
          </cell>
          <cell r="CG99">
            <v>38.236066517643629</v>
          </cell>
          <cell r="CH99">
            <v>51.78475359857503</v>
          </cell>
          <cell r="CI99">
            <v>34.425108198508973</v>
          </cell>
          <cell r="CJ99">
            <v>49.701596150567099</v>
          </cell>
          <cell r="CK99">
            <v>50.845755365884813</v>
          </cell>
          <cell r="CL99">
            <v>50.845755365884813</v>
          </cell>
          <cell r="CM99">
            <v>58.281386383268909</v>
          </cell>
          <cell r="CN99">
            <v>58.274247389981397</v>
          </cell>
          <cell r="CO99">
            <v>166.89313382565138</v>
          </cell>
          <cell r="CP99">
            <v>283.44876759890167</v>
          </cell>
        </row>
        <row r="100">
          <cell r="B100">
            <v>2081</v>
          </cell>
          <cell r="D100">
            <v>72.276057246774187</v>
          </cell>
          <cell r="E100">
            <v>40.73123856181131</v>
          </cell>
          <cell r="F100">
            <v>28.101399031749626</v>
          </cell>
          <cell r="G100">
            <v>40.937514541413393</v>
          </cell>
          <cell r="H100">
            <v>52.819999286516889</v>
          </cell>
          <cell r="I100">
            <v>32.242411931554862</v>
          </cell>
          <cell r="J100">
            <v>50.350688803921436</v>
          </cell>
          <cell r="K100">
            <v>51.862229237725863</v>
          </cell>
          <cell r="L100">
            <v>51.862229237725863</v>
          </cell>
          <cell r="M100">
            <v>59.097479109360172</v>
          </cell>
          <cell r="N100">
            <v>80.900028290301108</v>
          </cell>
          <cell r="O100">
            <v>160.59237428067158</v>
          </cell>
          <cell r="P100">
            <v>300.58988168033284</v>
          </cell>
          <cell r="Q100">
            <v>74.062910039656316</v>
          </cell>
          <cell r="R100">
            <v>41.393532299027157</v>
          </cell>
          <cell r="S100">
            <v>29.934628084215912</v>
          </cell>
          <cell r="T100">
            <v>38.555345560973976</v>
          </cell>
          <cell r="U100">
            <v>52.819999286516889</v>
          </cell>
          <cell r="V100">
            <v>32.242411931554862</v>
          </cell>
          <cell r="W100">
            <v>50.350688803921436</v>
          </cell>
          <cell r="X100">
            <v>51.862229237725863</v>
          </cell>
          <cell r="Y100">
            <v>51.862229237725863</v>
          </cell>
          <cell r="Z100">
            <v>60.303711211945199</v>
          </cell>
          <cell r="AA100">
            <v>28.352885554642199</v>
          </cell>
          <cell r="AB100">
            <v>184.02980303297571</v>
          </cell>
          <cell r="AC100">
            <v>272.68639979956311</v>
          </cell>
          <cell r="AD100">
            <v>73.319111019255715</v>
          </cell>
          <cell r="AE100">
            <v>40.871735144963843</v>
          </cell>
          <cell r="AF100">
            <v>29.42800082655825</v>
          </cell>
          <cell r="AG100">
            <v>39.332547435169211</v>
          </cell>
          <cell r="AH100">
            <v>52.819999286516889</v>
          </cell>
          <cell r="AI100">
            <v>32.242411931554862</v>
          </cell>
          <cell r="AJ100">
            <v>50.350688803921436</v>
          </cell>
          <cell r="AK100">
            <v>51.862229237725863</v>
          </cell>
          <cell r="AL100">
            <v>51.862229237725863</v>
          </cell>
          <cell r="AM100">
            <v>63.094993789970843</v>
          </cell>
          <cell r="AN100">
            <v>113.77598205298743</v>
          </cell>
          <cell r="AO100">
            <v>143.77512954895343</v>
          </cell>
          <cell r="AP100">
            <v>320.6461053919117</v>
          </cell>
          <cell r="AQ100">
            <v>74.706354215951563</v>
          </cell>
          <cell r="AR100">
            <v>41.469931914600963</v>
          </cell>
          <cell r="AS100">
            <v>29.322936410625744</v>
          </cell>
          <cell r="AT100">
            <v>39.849565899078272</v>
          </cell>
          <cell r="AU100">
            <v>52.819999286516889</v>
          </cell>
          <cell r="AV100">
            <v>32.242411931554862</v>
          </cell>
          <cell r="AW100">
            <v>50.350688803921436</v>
          </cell>
          <cell r="AX100">
            <v>51.862229237725863</v>
          </cell>
          <cell r="AY100">
            <v>51.862229237725863</v>
          </cell>
          <cell r="AZ100">
            <v>63.043970562423368</v>
          </cell>
          <cell r="BA100">
            <v>155.52894132382696</v>
          </cell>
          <cell r="BB100">
            <v>124.74094964249215</v>
          </cell>
          <cell r="BC100">
            <v>343.31386152874245</v>
          </cell>
          <cell r="BD100">
            <v>73.44956696629157</v>
          </cell>
          <cell r="BE100">
            <v>41.010699384865042</v>
          </cell>
          <cell r="BF100">
            <v>29.395793637157141</v>
          </cell>
          <cell r="BG100">
            <v>39.562584209677105</v>
          </cell>
          <cell r="BH100">
            <v>52.819999286516889</v>
          </cell>
          <cell r="BI100">
            <v>32.242411931554862</v>
          </cell>
          <cell r="BJ100">
            <v>50.350688803921436</v>
          </cell>
          <cell r="BK100">
            <v>51.862229237725863</v>
          </cell>
          <cell r="BL100">
            <v>51.862229237725863</v>
          </cell>
          <cell r="BM100">
            <v>60.786445479920204</v>
          </cell>
          <cell r="BN100">
            <v>70.210974583218885</v>
          </cell>
          <cell r="BO100">
            <v>164.70573996400447</v>
          </cell>
          <cell r="BP100">
            <v>295.70316002714355</v>
          </cell>
          <cell r="BQ100">
            <v>83.943660332524303</v>
          </cell>
          <cell r="BR100">
            <v>43.420157213035459</v>
          </cell>
          <cell r="BS100">
            <v>34.805328288572596</v>
          </cell>
          <cell r="BT100">
            <v>37.191688255148073</v>
          </cell>
          <cell r="BU100">
            <v>55.460999250842733</v>
          </cell>
          <cell r="BV100">
            <v>44.830202891134505</v>
          </cell>
          <cell r="BW100">
            <v>54.185303687677752</v>
          </cell>
          <cell r="BX100">
            <v>51.862229237725863</v>
          </cell>
          <cell r="BY100">
            <v>51.862229237725863</v>
          </cell>
          <cell r="BZ100">
            <v>55.360300483853337</v>
          </cell>
          <cell r="CA100">
            <v>26.598626437381892</v>
          </cell>
          <cell r="CB100">
            <v>187.07085225496374</v>
          </cell>
          <cell r="CC100">
            <v>269.02977917619899</v>
          </cell>
          <cell r="CD100">
            <v>74.194467069730138</v>
          </cell>
          <cell r="CE100">
            <v>41.205626111409607</v>
          </cell>
          <cell r="CF100">
            <v>31.30464760342063</v>
          </cell>
          <cell r="CG100">
            <v>39.000456038410555</v>
          </cell>
          <cell r="CH100">
            <v>52.819999286516889</v>
          </cell>
          <cell r="CI100">
            <v>35.113311624090571</v>
          </cell>
          <cell r="CJ100">
            <v>50.695196767025728</v>
          </cell>
          <cell r="CK100">
            <v>51.862229237725863</v>
          </cell>
          <cell r="CL100">
            <v>51.862229237725863</v>
          </cell>
          <cell r="CM100">
            <v>59.446508349634939</v>
          </cell>
          <cell r="CN100">
            <v>59.439226638433304</v>
          </cell>
          <cell r="CO100">
            <v>170.22954821664044</v>
          </cell>
          <cell r="CP100">
            <v>289.1152832047087</v>
          </cell>
        </row>
        <row r="101">
          <cell r="B101">
            <v>2082</v>
          </cell>
          <cell r="D101">
            <v>73.722050471206202</v>
          </cell>
          <cell r="E101">
            <v>41.54612937388216</v>
          </cell>
          <cell r="F101">
            <v>28.6636105599495</v>
          </cell>
          <cell r="G101">
            <v>41.756532220391904</v>
          </cell>
          <cell r="H101">
            <v>53.876744272232273</v>
          </cell>
          <cell r="I101">
            <v>32.887470765259508</v>
          </cell>
          <cell r="J101">
            <v>51.358031451395533</v>
          </cell>
          <cell r="K101">
            <v>52.899812566678676</v>
          </cell>
          <cell r="L101">
            <v>52.899812566678676</v>
          </cell>
          <cell r="M101">
            <v>60.279814693623955</v>
          </cell>
          <cell r="N101">
            <v>82.518557264076222</v>
          </cell>
          <cell r="O101">
            <v>163.80527069410547</v>
          </cell>
          <cell r="P101">
            <v>306.60364265180567</v>
          </cell>
          <cell r="Q101">
            <v>75.544651990983368</v>
          </cell>
          <cell r="R101">
            <v>42.221673311691099</v>
          </cell>
          <cell r="S101">
            <v>30.533516167414454</v>
          </cell>
          <cell r="T101">
            <v>39.326704300929201</v>
          </cell>
          <cell r="U101">
            <v>53.876744272232273</v>
          </cell>
          <cell r="V101">
            <v>32.887470765259508</v>
          </cell>
          <cell r="W101">
            <v>51.358031451395533</v>
          </cell>
          <cell r="X101">
            <v>52.899812566678676</v>
          </cell>
          <cell r="Y101">
            <v>52.899812566678676</v>
          </cell>
          <cell r="Z101">
            <v>61.510179316906331</v>
          </cell>
          <cell r="AA101">
            <v>28.920128455913474</v>
          </cell>
          <cell r="AB101">
            <v>187.71160110575477</v>
          </cell>
          <cell r="AC101">
            <v>278.14190887857455</v>
          </cell>
          <cell r="AD101">
            <v>74.785972131964712</v>
          </cell>
          <cell r="AE101">
            <v>41.689436806367553</v>
          </cell>
          <cell r="AF101">
            <v>30.016753055508627</v>
          </cell>
          <cell r="AG101">
            <v>40.119455288993024</v>
          </cell>
          <cell r="AH101">
            <v>53.876744272232273</v>
          </cell>
          <cell r="AI101">
            <v>32.887470765259508</v>
          </cell>
          <cell r="AJ101">
            <v>51.358031451395533</v>
          </cell>
          <cell r="AK101">
            <v>52.899812566678676</v>
          </cell>
          <cell r="AL101">
            <v>52.899812566678676</v>
          </cell>
          <cell r="AM101">
            <v>64.357305778080146</v>
          </cell>
          <cell r="AN101">
            <v>116.05224483514218</v>
          </cell>
          <cell r="AO101">
            <v>146.6515712239578</v>
          </cell>
          <cell r="AP101">
            <v>327.06112183718017</v>
          </cell>
          <cell r="AQ101">
            <v>76.200969253535192</v>
          </cell>
          <cell r="AR101">
            <v>42.299601418589383</v>
          </cell>
          <cell r="AS101">
            <v>29.909586665016981</v>
          </cell>
          <cell r="AT101">
            <v>40.646817499146643</v>
          </cell>
          <cell r="AU101">
            <v>53.876744272232273</v>
          </cell>
          <cell r="AV101">
            <v>32.887470765259508</v>
          </cell>
          <cell r="AW101">
            <v>51.358031451395533</v>
          </cell>
          <cell r="AX101">
            <v>52.899812566678676</v>
          </cell>
          <cell r="AY101">
            <v>52.899812566678676</v>
          </cell>
          <cell r="AZ101">
            <v>64.30526175271757</v>
          </cell>
          <cell r="BA101">
            <v>158.64053600572109</v>
          </cell>
          <cell r="BB101">
            <v>127.23658339540152</v>
          </cell>
          <cell r="BC101">
            <v>350.1823811538402</v>
          </cell>
          <cell r="BD101">
            <v>74.919038050029513</v>
          </cell>
          <cell r="BE101">
            <v>41.831181238727922</v>
          </cell>
          <cell r="BF101">
            <v>29.983901511954478</v>
          </cell>
          <cell r="BG101">
            <v>40.354094301503082</v>
          </cell>
          <cell r="BH101">
            <v>53.876744272232273</v>
          </cell>
          <cell r="BI101">
            <v>32.887470765259508</v>
          </cell>
          <cell r="BJ101">
            <v>51.358031451395533</v>
          </cell>
          <cell r="BK101">
            <v>52.899812566678676</v>
          </cell>
          <cell r="BL101">
            <v>52.899812566678676</v>
          </cell>
          <cell r="BM101">
            <v>62.002571423276002</v>
          </cell>
          <cell r="BN101">
            <v>71.61565266605156</v>
          </cell>
          <cell r="BO101">
            <v>168.00093055803265</v>
          </cell>
          <cell r="BP101">
            <v>301.61915464736023</v>
          </cell>
          <cell r="BQ101">
            <v>85.623081826981519</v>
          </cell>
          <cell r="BR101">
            <v>44.288843961116541</v>
          </cell>
          <cell r="BS101">
            <v>35.501662189404662</v>
          </cell>
          <cell r="BT101">
            <v>37.935764942100057</v>
          </cell>
          <cell r="BU101">
            <v>56.570581485843888</v>
          </cell>
          <cell r="BV101">
            <v>45.727099762655335</v>
          </cell>
          <cell r="BW101">
            <v>55.269363679061264</v>
          </cell>
          <cell r="BX101">
            <v>52.899812566678676</v>
          </cell>
          <cell r="BY101">
            <v>52.899812566678676</v>
          </cell>
          <cell r="BZ101">
            <v>56.467868085788972</v>
          </cell>
          <cell r="CA101">
            <v>27.130772698159959</v>
          </cell>
          <cell r="CB101">
            <v>190.8134911751502</v>
          </cell>
          <cell r="CC101">
            <v>274.41213195909916</v>
          </cell>
          <cell r="CD101">
            <v>75.678841020938748</v>
          </cell>
          <cell r="CE101">
            <v>42.030007772990018</v>
          </cell>
          <cell r="CF101">
            <v>31.930945025445524</v>
          </cell>
          <cell r="CG101">
            <v>39.7807198952055</v>
          </cell>
          <cell r="CH101">
            <v>53.876744272232273</v>
          </cell>
          <cell r="CI101">
            <v>35.815807203262068</v>
          </cell>
          <cell r="CJ101">
            <v>51.709431823955846</v>
          </cell>
          <cell r="CK101">
            <v>52.899812566678676</v>
          </cell>
          <cell r="CL101">
            <v>52.899812566678676</v>
          </cell>
          <cell r="CM101">
            <v>60.635826798429406</v>
          </cell>
          <cell r="CN101">
            <v>60.628399405442387</v>
          </cell>
          <cell r="CO101">
            <v>173.63525105511911</v>
          </cell>
          <cell r="CP101">
            <v>294.89947725899094</v>
          </cell>
        </row>
        <row r="102">
          <cell r="B102">
            <v>2083</v>
          </cell>
          <cell r="D102">
            <v>75.198147783879222</v>
          </cell>
          <cell r="E102">
            <v>42.377985372579666</v>
          </cell>
          <cell r="F102">
            <v>29.237526752575924</v>
          </cell>
          <cell r="G102">
            <v>42.592601003111639</v>
          </cell>
          <cell r="H102">
            <v>54.955489599139241</v>
          </cell>
          <cell r="I102">
            <v>33.545959058883035</v>
          </cell>
          <cell r="J102">
            <v>52.386345934308501</v>
          </cell>
          <cell r="K102">
            <v>53.958997310883241</v>
          </cell>
          <cell r="L102">
            <v>53.958997310883241</v>
          </cell>
          <cell r="M102">
            <v>61.486765285868231</v>
          </cell>
          <cell r="N102">
            <v>84.170782342524518</v>
          </cell>
          <cell r="O102">
            <v>167.08505629865377</v>
          </cell>
          <cell r="P102">
            <v>312.7426039270465</v>
          </cell>
          <cell r="Q102">
            <v>77.057242282191581</v>
          </cell>
          <cell r="R102">
            <v>43.067055366498259</v>
          </cell>
          <cell r="S102">
            <v>31.144872483104319</v>
          </cell>
          <cell r="T102">
            <v>40.114121934647358</v>
          </cell>
          <cell r="U102">
            <v>54.955489599139241</v>
          </cell>
          <cell r="V102">
            <v>33.545959058883035</v>
          </cell>
          <cell r="W102">
            <v>52.386345934308501</v>
          </cell>
          <cell r="X102">
            <v>53.958997310883241</v>
          </cell>
          <cell r="Y102">
            <v>53.958997310883241</v>
          </cell>
          <cell r="Z102">
            <v>62.741764844050365</v>
          </cell>
          <cell r="AA102">
            <v>29.499180769611741</v>
          </cell>
          <cell r="AB102">
            <v>191.47005041879953</v>
          </cell>
          <cell r="AC102">
            <v>283.71099603246165</v>
          </cell>
          <cell r="AD102">
            <v>76.283371780835679</v>
          </cell>
          <cell r="AE102">
            <v>42.524162173383303</v>
          </cell>
          <cell r="AF102">
            <v>30.61776249891405</v>
          </cell>
          <cell r="AG102">
            <v>40.922745753100742</v>
          </cell>
          <cell r="AH102">
            <v>54.955489599139241</v>
          </cell>
          <cell r="AI102">
            <v>33.545959058883035</v>
          </cell>
          <cell r="AJ102">
            <v>52.386345934308501</v>
          </cell>
          <cell r="AK102">
            <v>53.958997310883241</v>
          </cell>
          <cell r="AL102">
            <v>53.958997310883241</v>
          </cell>
          <cell r="AM102">
            <v>65.64589780044939</v>
          </cell>
          <cell r="AN102">
            <v>118.37589706179493</v>
          </cell>
          <cell r="AO102">
            <v>149.5878974492777</v>
          </cell>
          <cell r="AP102">
            <v>333.60969231152205</v>
          </cell>
          <cell r="AQ102">
            <v>77.72670063538483</v>
          </cell>
          <cell r="AR102">
            <v>43.146543786334654</v>
          </cell>
          <cell r="AS102">
            <v>30.508450372919899</v>
          </cell>
          <cell r="AT102">
            <v>41.460667055632257</v>
          </cell>
          <cell r="AU102">
            <v>54.955489599139241</v>
          </cell>
          <cell r="AV102">
            <v>33.545959058883035</v>
          </cell>
          <cell r="AW102">
            <v>52.386345934308501</v>
          </cell>
          <cell r="AX102">
            <v>53.958997310883241</v>
          </cell>
          <cell r="AY102">
            <v>53.958997310883241</v>
          </cell>
          <cell r="AZ102">
            <v>65.592811725313538</v>
          </cell>
          <cell r="BA102">
            <v>161.81691088111216</v>
          </cell>
          <cell r="BB102">
            <v>129.78417367026785</v>
          </cell>
          <cell r="BC102">
            <v>357.19389627669352</v>
          </cell>
          <cell r="BD102">
            <v>76.419102006835601</v>
          </cell>
          <cell r="BE102">
            <v>42.668744678943696</v>
          </cell>
          <cell r="BF102">
            <v>30.584253186417673</v>
          </cell>
          <cell r="BG102">
            <v>41.162082817463691</v>
          </cell>
          <cell r="BH102">
            <v>54.955489599139241</v>
          </cell>
          <cell r="BI102">
            <v>33.545959058883035</v>
          </cell>
          <cell r="BJ102">
            <v>52.386345934308501</v>
          </cell>
          <cell r="BK102">
            <v>53.958997310883241</v>
          </cell>
          <cell r="BL102">
            <v>53.958997310883241</v>
          </cell>
          <cell r="BM102">
            <v>63.244015855053703</v>
          </cell>
          <cell r="BN102">
            <v>73.049574698469399</v>
          </cell>
          <cell r="BO102">
            <v>171.36472362317718</v>
          </cell>
          <cell r="BP102">
            <v>307.65831417670029</v>
          </cell>
          <cell r="BQ102">
            <v>87.337467145617666</v>
          </cell>
          <cell r="BR102">
            <v>45.175615871753131</v>
          </cell>
          <cell r="BS102">
            <v>36.212493044193124</v>
          </cell>
          <cell r="BT102">
            <v>38.695332538596851</v>
          </cell>
          <cell r="BU102">
            <v>57.703264079096201</v>
          </cell>
          <cell r="BV102">
            <v>46.642669102419553</v>
          </cell>
          <cell r="BW102">
            <v>56.375992681895006</v>
          </cell>
          <cell r="BX102">
            <v>53.958997310883241</v>
          </cell>
          <cell r="BY102">
            <v>53.958997310883241</v>
          </cell>
          <cell r="BZ102">
            <v>57.598494103392234</v>
          </cell>
          <cell r="CA102">
            <v>27.673997695491497</v>
          </cell>
          <cell r="CB102">
            <v>194.63404797932381</v>
          </cell>
          <cell r="CC102">
            <v>279.90653977820756</v>
          </cell>
          <cell r="CD102">
            <v>77.194118107552697</v>
          </cell>
          <cell r="CE102">
            <v>42.871552210899651</v>
          </cell>
          <cell r="CF102">
            <v>32.570281314139493</v>
          </cell>
          <cell r="CG102">
            <v>40.577228041115603</v>
          </cell>
          <cell r="CH102">
            <v>54.955489599139241</v>
          </cell>
          <cell r="CI102">
            <v>36.53292801618084</v>
          </cell>
          <cell r="CJ102">
            <v>52.74478220918423</v>
          </cell>
          <cell r="CK102">
            <v>53.958997310883241</v>
          </cell>
          <cell r="CL102">
            <v>53.958997310883241</v>
          </cell>
          <cell r="CM102">
            <v>61.849905631245178</v>
          </cell>
          <cell r="CN102">
            <v>61.842329523528207</v>
          </cell>
          <cell r="CO102">
            <v>177.1118571157152</v>
          </cell>
          <cell r="CP102">
            <v>300.80409227048858</v>
          </cell>
        </row>
        <row r="103">
          <cell r="B103">
            <v>2084</v>
          </cell>
          <cell r="D103">
            <v>76.704964600695575</v>
          </cell>
          <cell r="E103">
            <v>43.227153376101811</v>
          </cell>
          <cell r="F103">
            <v>29.823386887316417</v>
          </cell>
          <cell r="G103">
            <v>43.446069464168552</v>
          </cell>
          <cell r="H103">
            <v>56.056685018770459</v>
          </cell>
          <cell r="I103">
            <v>34.218151349994145</v>
          </cell>
          <cell r="J103">
            <v>53.436060978517297</v>
          </cell>
          <cell r="K103">
            <v>55.040225066655395</v>
          </cell>
          <cell r="L103">
            <v>55.040225066655395</v>
          </cell>
          <cell r="M103">
            <v>62.718834089087451</v>
          </cell>
          <cell r="N103">
            <v>85.857392372904727</v>
          </cell>
          <cell r="O103">
            <v>170.4330985056653</v>
          </cell>
          <cell r="P103">
            <v>319.00932496765745</v>
          </cell>
          <cell r="Q103">
            <v>78.601311543870793</v>
          </cell>
          <cell r="R103">
            <v>43.930030920942862</v>
          </cell>
          <cell r="S103">
            <v>31.768951918544918</v>
          </cell>
          <cell r="T103">
            <v>40.917926753040859</v>
          </cell>
          <cell r="U103">
            <v>56.056685018770459</v>
          </cell>
          <cell r="V103">
            <v>34.218151349994145</v>
          </cell>
          <cell r="W103">
            <v>53.436060978517297</v>
          </cell>
          <cell r="X103">
            <v>55.040225066655395</v>
          </cell>
          <cell r="Y103">
            <v>55.040225066655395</v>
          </cell>
          <cell r="Z103">
            <v>63.998981267192363</v>
          </cell>
          <cell r="AA103">
            <v>30.090283914781033</v>
          </cell>
          <cell r="AB103">
            <v>195.30671794838952</v>
          </cell>
          <cell r="AC103">
            <v>289.39598313036288</v>
          </cell>
          <cell r="AD103">
            <v>77.811934263161334</v>
          </cell>
          <cell r="AE103">
            <v>43.376259260508839</v>
          </cell>
          <cell r="AF103">
            <v>31.231279730206051</v>
          </cell>
          <cell r="AG103">
            <v>41.742753736120385</v>
          </cell>
          <cell r="AH103">
            <v>56.056685018770459</v>
          </cell>
          <cell r="AI103">
            <v>34.218151349994145</v>
          </cell>
          <cell r="AJ103">
            <v>53.436060978517297</v>
          </cell>
          <cell r="AK103">
            <v>55.040225066655395</v>
          </cell>
          <cell r="AL103">
            <v>55.040225066655395</v>
          </cell>
          <cell r="AM103">
            <v>66.961307098096071</v>
          </cell>
          <cell r="AN103">
            <v>120.74790751225275</v>
          </cell>
          <cell r="AO103">
            <v>152.58533244084927</v>
          </cell>
          <cell r="AP103">
            <v>340.29454705119809</v>
          </cell>
          <cell r="AQ103">
            <v>79.284184470886373</v>
          </cell>
          <cell r="AR103">
            <v>44.011112125858162</v>
          </cell>
          <cell r="AS103">
            <v>31.119777213163928</v>
          </cell>
          <cell r="AT103">
            <v>42.291453879469998</v>
          </cell>
          <cell r="AU103">
            <v>56.056685018770459</v>
          </cell>
          <cell r="AV103">
            <v>34.218151349994145</v>
          </cell>
          <cell r="AW103">
            <v>53.436060978517297</v>
          </cell>
          <cell r="AX103">
            <v>55.040225066655395</v>
          </cell>
          <cell r="AY103">
            <v>55.040225066655395</v>
          </cell>
          <cell r="AZ103">
            <v>66.90715728677641</v>
          </cell>
          <cell r="BA103">
            <v>165.05939024724893</v>
          </cell>
          <cell r="BB103">
            <v>132.38478261086328</v>
          </cell>
          <cell r="BC103">
            <v>364.35133014488861</v>
          </cell>
          <cell r="BD103">
            <v>77.950384244808362</v>
          </cell>
          <cell r="BE103">
            <v>43.52373890326232</v>
          </cell>
          <cell r="BF103">
            <v>31.197098959740597</v>
          </cell>
          <cell r="BG103">
            <v>41.986886624903178</v>
          </cell>
          <cell r="BH103">
            <v>56.056685018770459</v>
          </cell>
          <cell r="BI103">
            <v>34.218151349994145</v>
          </cell>
          <cell r="BJ103">
            <v>53.436060978517297</v>
          </cell>
          <cell r="BK103">
            <v>55.040225066655395</v>
          </cell>
          <cell r="BL103">
            <v>55.040225066655395</v>
          </cell>
          <cell r="BM103">
            <v>64.511296359452302</v>
          </cell>
          <cell r="BN103">
            <v>74.513338512616599</v>
          </cell>
          <cell r="BO103">
            <v>174.79852159525763</v>
          </cell>
          <cell r="BP103">
            <v>313.8231564673265</v>
          </cell>
          <cell r="BQ103">
            <v>89.087531051598276</v>
          </cell>
          <cell r="BR103">
            <v>46.080842658737716</v>
          </cell>
          <cell r="BS103">
            <v>36.938117213217311</v>
          </cell>
          <cell r="BT103">
            <v>39.470707724286704</v>
          </cell>
          <cell r="BU103">
            <v>58.859519269708983</v>
          </cell>
          <cell r="BV103">
            <v>47.577292630471298</v>
          </cell>
          <cell r="BW103">
            <v>57.505652073000462</v>
          </cell>
          <cell r="BX103">
            <v>55.040225066655395</v>
          </cell>
          <cell r="BY103">
            <v>55.040225066655395</v>
          </cell>
          <cell r="BZ103">
            <v>58.752649918342961</v>
          </cell>
          <cell r="CA103">
            <v>28.228527911261555</v>
          </cell>
          <cell r="CB103">
            <v>198.5341155376787</v>
          </cell>
          <cell r="CC103">
            <v>285.51529336728322</v>
          </cell>
          <cell r="CD103">
            <v>78.740930080343134</v>
          </cell>
          <cell r="CE103">
            <v>43.73061028264982</v>
          </cell>
          <cell r="CF103">
            <v>33.222923022199026</v>
          </cell>
          <cell r="CG103">
            <v>41.390312557078268</v>
          </cell>
          <cell r="CH103">
            <v>56.056685018770459</v>
          </cell>
          <cell r="CI103">
            <v>37.264973045541566</v>
          </cell>
          <cell r="CJ103">
            <v>53.801679581982988</v>
          </cell>
          <cell r="CK103">
            <v>55.040225066655395</v>
          </cell>
          <cell r="CL103">
            <v>55.040225066655395</v>
          </cell>
          <cell r="CM103">
            <v>63.089251022989565</v>
          </cell>
          <cell r="CN103">
            <v>63.081523105595757</v>
          </cell>
          <cell r="CO103">
            <v>180.66081586835014</v>
          </cell>
          <cell r="CP103">
            <v>306.83158999693546</v>
          </cell>
        </row>
        <row r="104">
          <cell r="B104">
            <v>2085</v>
          </cell>
          <cell r="D104">
            <v>78.243051933213422</v>
          </cell>
          <cell r="E104">
            <v>44.09394390751919</v>
          </cell>
          <cell r="F104">
            <v>30.421405201032503</v>
          </cell>
          <cell r="G104">
            <v>44.317249699221058</v>
          </cell>
          <cell r="H104">
            <v>57.180733215378744</v>
          </cell>
          <cell r="I104">
            <v>34.904293445327653</v>
          </cell>
          <cell r="J104">
            <v>54.507560442972611</v>
          </cell>
          <cell r="K104">
            <v>56.143891216488761</v>
          </cell>
          <cell r="L104">
            <v>56.143891216488761</v>
          </cell>
          <cell r="M104">
            <v>63.976471645207759</v>
          </cell>
          <cell r="N104">
            <v>87.579004113412353</v>
          </cell>
          <cell r="O104">
            <v>173.85062162451374</v>
          </cell>
          <cell r="P104">
            <v>325.40609738313384</v>
          </cell>
          <cell r="Q104">
            <v>80.177424410023136</v>
          </cell>
          <cell r="R104">
            <v>44.810915547229577</v>
          </cell>
          <cell r="S104">
            <v>32.405982686600829</v>
          </cell>
          <cell r="T104">
            <v>41.738412690807316</v>
          </cell>
          <cell r="U104">
            <v>57.180733215378744</v>
          </cell>
          <cell r="V104">
            <v>34.904293445327653</v>
          </cell>
          <cell r="W104">
            <v>54.507560442972611</v>
          </cell>
          <cell r="X104">
            <v>56.143891216488761</v>
          </cell>
          <cell r="Y104">
            <v>56.143891216488761</v>
          </cell>
          <cell r="Z104">
            <v>65.282288324219834</v>
          </cell>
          <cell r="AA104">
            <v>30.693654045542694</v>
          </cell>
          <cell r="AB104">
            <v>199.22300668401238</v>
          </cell>
          <cell r="AC104">
            <v>295.19894905377487</v>
          </cell>
          <cell r="AD104">
            <v>79.372218542437238</v>
          </cell>
          <cell r="AE104">
            <v>44.246039661919703</v>
          </cell>
          <cell r="AF104">
            <v>31.857529099870913</v>
          </cell>
          <cell r="AG104">
            <v>42.579779097909757</v>
          </cell>
          <cell r="AH104">
            <v>57.180733215378744</v>
          </cell>
          <cell r="AI104">
            <v>34.904293445327653</v>
          </cell>
          <cell r="AJ104">
            <v>54.507560442972611</v>
          </cell>
          <cell r="AK104">
            <v>56.143891216488761</v>
          </cell>
          <cell r="AL104">
            <v>56.143891216488761</v>
          </cell>
          <cell r="AM104">
            <v>68.304014688831145</v>
          </cell>
          <cell r="AN104">
            <v>123.16914358138391</v>
          </cell>
          <cell r="AO104">
            <v>155.64497229828251</v>
          </cell>
          <cell r="AP104">
            <v>347.11813056849758</v>
          </cell>
          <cell r="AQ104">
            <v>80.873990299472496</v>
          </cell>
          <cell r="AR104">
            <v>44.893622591812942</v>
          </cell>
          <cell r="AS104">
            <v>31.743790735254919</v>
          </cell>
          <cell r="AT104">
            <v>43.139481772115495</v>
          </cell>
          <cell r="AU104">
            <v>57.180733215378744</v>
          </cell>
          <cell r="AV104">
            <v>34.904293445327653</v>
          </cell>
          <cell r="AW104">
            <v>54.507560442972611</v>
          </cell>
          <cell r="AX104">
            <v>56.143891216488761</v>
          </cell>
          <cell r="AY104">
            <v>56.143891216488761</v>
          </cell>
          <cell r="AZ104">
            <v>68.248779065930933</v>
          </cell>
          <cell r="BA104">
            <v>168.36915981137062</v>
          </cell>
          <cell r="BB104">
            <v>135.03936120576756</v>
          </cell>
          <cell r="BC104">
            <v>371.65730008306912</v>
          </cell>
          <cell r="BD104">
            <v>79.513444722001395</v>
          </cell>
          <cell r="BE104">
            <v>44.396476565282114</v>
          </cell>
          <cell r="BF104">
            <v>31.822662936871321</v>
          </cell>
          <cell r="BG104">
            <v>42.828807337412591</v>
          </cell>
          <cell r="BH104">
            <v>57.180733215378744</v>
          </cell>
          <cell r="BI104">
            <v>34.904293445327653</v>
          </cell>
          <cell r="BJ104">
            <v>54.507560442972611</v>
          </cell>
          <cell r="BK104">
            <v>56.143891216488761</v>
          </cell>
          <cell r="BL104">
            <v>56.143891216488761</v>
          </cell>
          <cell r="BM104">
            <v>65.804876354584422</v>
          </cell>
          <cell r="BN104">
            <v>76.007479376464033</v>
          </cell>
          <cell r="BO104">
            <v>178.30358014274665</v>
          </cell>
          <cell r="BP104">
            <v>320.11593587379514</v>
          </cell>
          <cell r="BQ104">
            <v>90.873913506880854</v>
          </cell>
          <cell r="BR104">
            <v>47.004855344671604</v>
          </cell>
          <cell r="BS104">
            <v>37.67880004213805</v>
          </cell>
          <cell r="BT104">
            <v>40.262174037742106</v>
          </cell>
          <cell r="BU104">
            <v>60.039769876147687</v>
          </cell>
          <cell r="BV104">
            <v>48.531312119188456</v>
          </cell>
          <cell r="BW104">
            <v>58.658754945312573</v>
          </cell>
          <cell r="BX104">
            <v>56.143891216488761</v>
          </cell>
          <cell r="BY104">
            <v>56.143891216488761</v>
          </cell>
          <cell r="BZ104">
            <v>59.930757581408614</v>
          </cell>
          <cell r="CA104">
            <v>28.794566125632155</v>
          </cell>
          <cell r="CB104">
            <v>202.51512002377382</v>
          </cell>
          <cell r="CC104">
            <v>291.2404437308146</v>
          </cell>
          <cell r="CD104">
            <v>80.319842576264563</v>
          </cell>
          <cell r="CE104">
            <v>44.607496127903289</v>
          </cell>
          <cell r="CF104">
            <v>33.889108807117523</v>
          </cell>
          <cell r="CG104">
            <v>42.220270771183479</v>
          </cell>
          <cell r="CH104">
            <v>57.180733215378744</v>
          </cell>
          <cell r="CI104">
            <v>38.012209984980117</v>
          </cell>
          <cell r="CJ104">
            <v>54.880510427730904</v>
          </cell>
          <cell r="CK104">
            <v>56.143891216488761</v>
          </cell>
          <cell r="CL104">
            <v>56.143891216488761</v>
          </cell>
          <cell r="CM104">
            <v>64.354316176485753</v>
          </cell>
          <cell r="CN104">
            <v>64.346433298954594</v>
          </cell>
          <cell r="CO104">
            <v>184.28342509339797</v>
          </cell>
          <cell r="CP104">
            <v>312.98417456883828</v>
          </cell>
        </row>
        <row r="105">
          <cell r="B105">
            <v>2086</v>
          </cell>
          <cell r="D105">
            <v>79.812931446595044</v>
          </cell>
          <cell r="E105">
            <v>44.978650951713981</v>
          </cell>
          <cell r="F105">
            <v>31.031784520516965</v>
          </cell>
          <cell r="G105">
            <v>45.206437181984512</v>
          </cell>
          <cell r="H105">
            <v>58.328015426604154</v>
          </cell>
          <cell r="I105">
            <v>35.604618060165699</v>
          </cell>
          <cell r="J105">
            <v>55.601207742631544</v>
          </cell>
          <cell r="K105">
            <v>57.270370085149537</v>
          </cell>
          <cell r="L105">
            <v>57.270370085149537</v>
          </cell>
          <cell r="M105">
            <v>65.260104500684577</v>
          </cell>
          <cell r="N105">
            <v>89.336201474238308</v>
          </cell>
          <cell r="O105">
            <v>177.33878475892149</v>
          </cell>
          <cell r="P105">
            <v>331.93509073384439</v>
          </cell>
          <cell r="Q105">
            <v>81.78611544273538</v>
          </cell>
          <cell r="R105">
            <v>45.710008010462182</v>
          </cell>
          <cell r="S105">
            <v>33.056180845718124</v>
          </cell>
          <cell r="T105">
            <v>42.575858027938295</v>
          </cell>
          <cell r="U105">
            <v>58.328015426604154</v>
          </cell>
          <cell r="V105">
            <v>35.604618060165699</v>
          </cell>
          <cell r="W105">
            <v>55.601207742631544</v>
          </cell>
          <cell r="X105">
            <v>57.270370085149537</v>
          </cell>
          <cell r="Y105">
            <v>57.270370085149537</v>
          </cell>
          <cell r="Z105">
            <v>66.592121267780684</v>
          </cell>
          <cell r="AA105">
            <v>31.309495803837734</v>
          </cell>
          <cell r="AB105">
            <v>203.22024489315692</v>
          </cell>
          <cell r="AC105">
            <v>301.12186196477535</v>
          </cell>
          <cell r="AD105">
            <v>80.964753812249839</v>
          </cell>
          <cell r="AE105">
            <v>45.133798376556861</v>
          </cell>
          <cell r="AF105">
            <v>32.496723009683329</v>
          </cell>
          <cell r="AG105">
            <v>43.434105728051712</v>
          </cell>
          <cell r="AH105">
            <v>58.328015426604154</v>
          </cell>
          <cell r="AI105">
            <v>35.604618060165699</v>
          </cell>
          <cell r="AJ105">
            <v>55.601207742631544</v>
          </cell>
          <cell r="AK105">
            <v>57.270370085149537</v>
          </cell>
          <cell r="AL105">
            <v>57.270370085149537</v>
          </cell>
          <cell r="AM105">
            <v>69.674475971875708</v>
          </cell>
          <cell r="AN105">
            <v>125.64042646736108</v>
          </cell>
          <cell r="AO105">
            <v>158.76785474387643</v>
          </cell>
          <cell r="AP105">
            <v>354.08275718311324</v>
          </cell>
          <cell r="AQ105">
            <v>82.496657327401564</v>
          </cell>
          <cell r="AR105">
            <v>45.794374500730449</v>
          </cell>
          <cell r="AS105">
            <v>32.380702582646656</v>
          </cell>
          <cell r="AT105">
            <v>44.005038354823348</v>
          </cell>
          <cell r="AU105">
            <v>58.328015426604154</v>
          </cell>
          <cell r="AV105">
            <v>35.604618060165699</v>
          </cell>
          <cell r="AW105">
            <v>55.601207742631544</v>
          </cell>
          <cell r="AX105">
            <v>57.270370085149537</v>
          </cell>
          <cell r="AY105">
            <v>57.270370085149537</v>
          </cell>
          <cell r="AZ105">
            <v>69.618132093729088</v>
          </cell>
          <cell r="BA105">
            <v>171.74734213098111</v>
          </cell>
          <cell r="BB105">
            <v>137.74880979473659</v>
          </cell>
          <cell r="BC105">
            <v>379.11428401944681</v>
          </cell>
          <cell r="BD105">
            <v>81.108813573589927</v>
          </cell>
          <cell r="BE105">
            <v>45.287253666942917</v>
          </cell>
          <cell r="BF105">
            <v>32.461157287123477</v>
          </cell>
          <cell r="BG105">
            <v>43.688130504905637</v>
          </cell>
          <cell r="BH105">
            <v>58.328015426604154</v>
          </cell>
          <cell r="BI105">
            <v>35.604618060165699</v>
          </cell>
          <cell r="BJ105">
            <v>55.601207742631544</v>
          </cell>
          <cell r="BK105">
            <v>57.270370085149537</v>
          </cell>
          <cell r="BL105">
            <v>57.270370085149537</v>
          </cell>
          <cell r="BM105">
            <v>67.125194577317515</v>
          </cell>
          <cell r="BN105">
            <v>77.532504050076426</v>
          </cell>
          <cell r="BO105">
            <v>181.88108805830734</v>
          </cell>
          <cell r="BP105">
            <v>326.53878668570127</v>
          </cell>
          <cell r="BQ105">
            <v>92.697220389606215</v>
          </cell>
          <cell r="BR105">
            <v>47.947967322180531</v>
          </cell>
          <cell r="BS105">
            <v>38.434792744537312</v>
          </cell>
          <cell r="BT105">
            <v>41.069999916518007</v>
          </cell>
          <cell r="BU105">
            <v>61.24441619793437</v>
          </cell>
          <cell r="BV105">
            <v>49.505051138449559</v>
          </cell>
          <cell r="BW105">
            <v>59.835692390796197</v>
          </cell>
          <cell r="BX105">
            <v>57.270370085149537</v>
          </cell>
          <cell r="BY105">
            <v>57.270370085149537</v>
          </cell>
          <cell r="BZ105">
            <v>61.133216665300196</v>
          </cell>
          <cell r="CA105">
            <v>29.37230431887042</v>
          </cell>
          <cell r="CB105">
            <v>206.57841165440598</v>
          </cell>
          <cell r="CC105">
            <v>297.08393263857658</v>
          </cell>
          <cell r="CD105">
            <v>81.931391106939785</v>
          </cell>
          <cell r="CE105">
            <v>45.502507155517861</v>
          </cell>
          <cell r="CF105">
            <v>34.569064615698032</v>
          </cell>
          <cell r="CG105">
            <v>43.067384176085959</v>
          </cell>
          <cell r="CH105">
            <v>58.328015426604154</v>
          </cell>
          <cell r="CI105">
            <v>38.774892271002365</v>
          </cell>
          <cell r="CJ105">
            <v>55.981640647931933</v>
          </cell>
          <cell r="CK105">
            <v>57.270370085149537</v>
          </cell>
          <cell r="CL105">
            <v>57.270370085149537</v>
          </cell>
          <cell r="CM105">
            <v>65.645530157369123</v>
          </cell>
          <cell r="CN105">
            <v>65.637489116683057</v>
          </cell>
          <cell r="CO105">
            <v>187.9809134525799</v>
          </cell>
          <cell r="CP105">
            <v>319.26393272663211</v>
          </cell>
        </row>
        <row r="106">
          <cell r="B106">
            <v>2087</v>
          </cell>
          <cell r="D106">
            <v>81.415077473687234</v>
          </cell>
          <cell r="E106">
            <v>45.881541819398429</v>
          </cell>
          <cell r="F106">
            <v>31.654709269451853</v>
          </cell>
          <cell r="G106">
            <v>46.113900576917871</v>
          </cell>
          <cell r="H106">
            <v>59.498878299200648</v>
          </cell>
          <cell r="I106">
            <v>36.31933679480332</v>
          </cell>
          <cell r="J106">
            <v>56.717333318672971</v>
          </cell>
          <cell r="K106">
            <v>58.420002033744453</v>
          </cell>
          <cell r="L106">
            <v>58.420002033744453</v>
          </cell>
          <cell r="M106">
            <v>66.5701205000763</v>
          </cell>
          <cell r="N106">
            <v>91.12951538557148</v>
          </cell>
          <cell r="O106">
            <v>180.89864184349653</v>
          </cell>
          <cell r="P106">
            <v>338.59827772914434</v>
          </cell>
          <cell r="Q106">
            <v>83.427870701600426</v>
          </cell>
          <cell r="R106">
            <v>46.627579967850039</v>
          </cell>
          <cell r="S106">
            <v>33.719742850682771</v>
          </cell>
          <cell r="T106">
            <v>43.430515795209324</v>
          </cell>
          <cell r="U106">
            <v>59.498878299200648</v>
          </cell>
          <cell r="V106">
            <v>36.31933679480332</v>
          </cell>
          <cell r="W106">
            <v>56.717333318672971</v>
          </cell>
          <cell r="X106">
            <v>58.420002033744453</v>
          </cell>
          <cell r="Y106">
            <v>58.420002033744453</v>
          </cell>
          <cell r="Z106">
            <v>67.928875858685615</v>
          </cell>
          <cell r="AA106">
            <v>31.93799526380236</v>
          </cell>
          <cell r="AB106">
            <v>207.29964032543893</v>
          </cell>
          <cell r="AC106">
            <v>307.16651144792689</v>
          </cell>
          <cell r="AD106">
            <v>82.59002125079256</v>
          </cell>
          <cell r="AE106">
            <v>46.039803637182658</v>
          </cell>
          <cell r="AF106">
            <v>33.149054589539126</v>
          </cell>
          <cell r="AG106">
            <v>44.305991757937278</v>
          </cell>
          <cell r="AH106">
            <v>59.498878299200648</v>
          </cell>
          <cell r="AI106">
            <v>36.31933679480332</v>
          </cell>
          <cell r="AJ106">
            <v>56.717333318672971</v>
          </cell>
          <cell r="AK106">
            <v>58.420002033744453</v>
          </cell>
          <cell r="AL106">
            <v>58.420002033744453</v>
          </cell>
          <cell r="AM106">
            <v>71.073105026651945</v>
          </cell>
          <cell r="AN106">
            <v>128.16250285847252</v>
          </cell>
          <cell r="AO106">
            <v>161.95492334413274</v>
          </cell>
          <cell r="AP106">
            <v>361.1905312292572</v>
          </cell>
          <cell r="AQ106">
            <v>84.152675837057757</v>
          </cell>
          <cell r="AR106">
            <v>46.713640011214935</v>
          </cell>
          <cell r="AS106">
            <v>33.03070519571888</v>
          </cell>
          <cell r="AT106">
            <v>44.888385152070043</v>
          </cell>
          <cell r="AU106">
            <v>59.498878299200648</v>
          </cell>
          <cell r="AV106">
            <v>36.31933679480332</v>
          </cell>
          <cell r="AW106">
            <v>56.717333318672971</v>
          </cell>
          <cell r="AX106">
            <v>58.420002033744453</v>
          </cell>
          <cell r="AY106">
            <v>58.420002033744453</v>
          </cell>
          <cell r="AZ106">
            <v>71.015630114738144</v>
          </cell>
          <cell r="BA106">
            <v>175.194957910423</v>
          </cell>
          <cell r="BB106">
            <v>140.51394702687784</v>
          </cell>
          <cell r="BC106">
            <v>386.72453505203896</v>
          </cell>
          <cell r="BD106">
            <v>82.73697283392282</v>
          </cell>
          <cell r="BE106">
            <v>46.196339353000681</v>
          </cell>
          <cell r="BF106">
            <v>33.112774929023772</v>
          </cell>
          <cell r="BG106">
            <v>44.565115768457275</v>
          </cell>
          <cell r="BH106">
            <v>59.498878299200648</v>
          </cell>
          <cell r="BI106">
            <v>36.31933679480332</v>
          </cell>
          <cell r="BJ106">
            <v>56.717333318672971</v>
          </cell>
          <cell r="BK106">
            <v>58.420002033744453</v>
          </cell>
          <cell r="BL106">
            <v>58.420002033744453</v>
          </cell>
          <cell r="BM106">
            <v>68.472649956547656</v>
          </cell>
          <cell r="BN106">
            <v>79.088873313589289</v>
          </cell>
          <cell r="BO106">
            <v>185.53212627171774</v>
          </cell>
          <cell r="BP106">
            <v>333.09364954185469</v>
          </cell>
          <cell r="BQ106">
            <v>94.558002604692149</v>
          </cell>
          <cell r="BR106">
            <v>48.910463548794887</v>
          </cell>
          <cell r="BS106">
            <v>39.206323740601228</v>
          </cell>
          <cell r="BT106">
            <v>41.894429441988514</v>
          </cell>
          <cell r="BU106">
            <v>62.473822214160684</v>
          </cell>
          <cell r="BV106">
            <v>50.498803899623795</v>
          </cell>
          <cell r="BW106">
            <v>61.036820016416257</v>
          </cell>
          <cell r="BX106">
            <v>58.420002033744453</v>
          </cell>
          <cell r="BY106">
            <v>58.420002033744453</v>
          </cell>
          <cell r="BZ106">
            <v>62.3603904882441</v>
          </cell>
          <cell r="CA106">
            <v>29.961917052272018</v>
          </cell>
          <cell r="CB106">
            <v>210.72521813696932</v>
          </cell>
          <cell r="CC106">
            <v>303.04752567748545</v>
          </cell>
          <cell r="CD106">
            <v>83.576062595343316</v>
          </cell>
          <cell r="CE106">
            <v>46.415913789513354</v>
          </cell>
          <cell r="CF106">
            <v>35.262995893881858</v>
          </cell>
          <cell r="CG106">
            <v>43.931908723729464</v>
          </cell>
          <cell r="CH106">
            <v>59.498878299200648</v>
          </cell>
          <cell r="CI106">
            <v>39.553250345025539</v>
          </cell>
          <cell r="CJ106">
            <v>57.105402944699634</v>
          </cell>
          <cell r="CK106">
            <v>58.420002033744453</v>
          </cell>
          <cell r="CL106">
            <v>58.420002033744453</v>
          </cell>
          <cell r="CM106">
            <v>66.963283100804915</v>
          </cell>
          <cell r="CN106">
            <v>66.955080646158038</v>
          </cell>
          <cell r="CO106">
            <v>191.75439812728749</v>
          </cell>
          <cell r="CP106">
            <v>325.67276187425045</v>
          </cell>
        </row>
        <row r="107">
          <cell r="B107">
            <v>2088</v>
          </cell>
          <cell r="D107">
            <v>83.049970325255003</v>
          </cell>
          <cell r="E107">
            <v>46.802887190146059</v>
          </cell>
          <cell r="F107">
            <v>32.290366195772513</v>
          </cell>
          <cell r="G107">
            <v>47.039911934402298</v>
          </cell>
          <cell r="H107">
            <v>60.693672848639004</v>
          </cell>
          <cell r="I107">
            <v>37.048663916290074</v>
          </cell>
          <cell r="J107">
            <v>57.85627177675714</v>
          </cell>
          <cell r="K107">
            <v>59.593131712880492</v>
          </cell>
          <cell r="L107">
            <v>59.593131712880492</v>
          </cell>
          <cell r="M107">
            <v>67.906912375865588</v>
          </cell>
          <cell r="N107">
            <v>92.959483468803427</v>
          </cell>
          <cell r="O107">
            <v>184.53126009536558</v>
          </cell>
          <cell r="P107">
            <v>345.39765594003461</v>
          </cell>
          <cell r="Q107">
            <v>85.10318237191909</v>
          </cell>
          <cell r="R107">
            <v>47.563906500241771</v>
          </cell>
          <cell r="S107">
            <v>34.396867632159534</v>
          </cell>
          <cell r="T107">
            <v>44.302642212290195</v>
          </cell>
          <cell r="U107">
            <v>60.693672848639004</v>
          </cell>
          <cell r="V107">
            <v>37.048663916290074</v>
          </cell>
          <cell r="W107">
            <v>57.85627177675714</v>
          </cell>
          <cell r="X107">
            <v>59.593131712880492</v>
          </cell>
          <cell r="Y107">
            <v>59.593131712880492</v>
          </cell>
          <cell r="Z107">
            <v>69.292952845436545</v>
          </cell>
          <cell r="AA107">
            <v>32.579340844626387</v>
          </cell>
          <cell r="AB107">
            <v>211.46241595149127</v>
          </cell>
          <cell r="AC107">
            <v>313.33470964155418</v>
          </cell>
          <cell r="AD107">
            <v>84.248508100447538</v>
          </cell>
          <cell r="AE107">
            <v>46.964327057041096</v>
          </cell>
          <cell r="AF107">
            <v>33.814719403310043</v>
          </cell>
          <cell r="AG107">
            <v>45.195698572133736</v>
          </cell>
          <cell r="AH107">
            <v>60.693672848639004</v>
          </cell>
          <cell r="AI107">
            <v>37.048663916290074</v>
          </cell>
          <cell r="AJ107">
            <v>57.85627177675714</v>
          </cell>
          <cell r="AK107">
            <v>59.593131712880492</v>
          </cell>
          <cell r="AL107">
            <v>59.593131712880492</v>
          </cell>
          <cell r="AM107">
            <v>72.500321151138877</v>
          </cell>
          <cell r="AN107">
            <v>130.73612885336354</v>
          </cell>
          <cell r="AO107">
            <v>165.20713355712556</v>
          </cell>
          <cell r="AP107">
            <v>368.44358356162797</v>
          </cell>
          <cell r="AQ107">
            <v>85.842542289752231</v>
          </cell>
          <cell r="AR107">
            <v>47.651694711828931</v>
          </cell>
          <cell r="AS107">
            <v>33.69399344013744</v>
          </cell>
          <cell r="AT107">
            <v>45.789786984270684</v>
          </cell>
          <cell r="AU107">
            <v>60.693672848639004</v>
          </cell>
          <cell r="AV107">
            <v>37.048663916290074</v>
          </cell>
          <cell r="AW107">
            <v>57.85627177675714</v>
          </cell>
          <cell r="AX107">
            <v>59.593131712880492</v>
          </cell>
          <cell r="AY107">
            <v>59.593131712880492</v>
          </cell>
          <cell r="AZ107">
            <v>72.441692087862108</v>
          </cell>
          <cell r="BA107">
            <v>178.71304071776339</v>
          </cell>
          <cell r="BB107">
            <v>143.33560186856315</v>
          </cell>
          <cell r="BC107">
            <v>394.4903346741886</v>
          </cell>
          <cell r="BD107">
            <v>84.398410612327609</v>
          </cell>
          <cell r="BE107">
            <v>47.124006160186717</v>
          </cell>
          <cell r="BF107">
            <v>33.777711212410956</v>
          </cell>
          <cell r="BG107">
            <v>45.460026041344847</v>
          </cell>
          <cell r="BH107">
            <v>60.693672848639004</v>
          </cell>
          <cell r="BI107">
            <v>37.048663916290074</v>
          </cell>
          <cell r="BJ107">
            <v>57.85627177675714</v>
          </cell>
          <cell r="BK107">
            <v>59.593131712880492</v>
          </cell>
          <cell r="BL107">
            <v>59.593131712880492</v>
          </cell>
          <cell r="BM107">
            <v>69.847646448788808</v>
          </cell>
          <cell r="BN107">
            <v>80.677053754254288</v>
          </cell>
          <cell r="BO107">
            <v>189.25778933548909</v>
          </cell>
          <cell r="BP107">
            <v>339.78248953853222</v>
          </cell>
          <cell r="BQ107">
            <v>96.456817999996545</v>
          </cell>
          <cell r="BR107">
            <v>49.892632573305534</v>
          </cell>
          <cell r="BS107">
            <v>39.993624329248043</v>
          </cell>
          <cell r="BT107">
            <v>42.735709771634504</v>
          </cell>
          <cell r="BU107">
            <v>63.728356491070954</v>
          </cell>
          <cell r="BV107">
            <v>51.512868321964966</v>
          </cell>
          <cell r="BW107">
            <v>62.262497910778229</v>
          </cell>
          <cell r="BX107">
            <v>59.593131712880492</v>
          </cell>
          <cell r="BY107">
            <v>59.593131712880492</v>
          </cell>
          <cell r="BZ107">
            <v>63.61264694729072</v>
          </cell>
          <cell r="CA107">
            <v>30.563581087092313</v>
          </cell>
          <cell r="CB107">
            <v>214.9567826513989</v>
          </cell>
          <cell r="CC107">
            <v>309.13301068578193</v>
          </cell>
          <cell r="CD107">
            <v>85.254350101038654</v>
          </cell>
          <cell r="CE107">
            <v>47.347989862007246</v>
          </cell>
          <cell r="CF107">
            <v>35.971110676802788</v>
          </cell>
          <cell r="CG107">
            <v>44.814103591766838</v>
          </cell>
          <cell r="CH107">
            <v>60.693672848639004</v>
          </cell>
          <cell r="CI107">
            <v>40.347517552672073</v>
          </cell>
          <cell r="CJ107">
            <v>58.252134213122972</v>
          </cell>
          <cell r="CK107">
            <v>59.593131712880492</v>
          </cell>
          <cell r="CL107">
            <v>59.593131712880492</v>
          </cell>
          <cell r="CM107">
            <v>68.30797005875074</v>
          </cell>
          <cell r="CN107">
            <v>68.299602890946488</v>
          </cell>
          <cell r="CO107">
            <v>195.60501037851699</v>
          </cell>
          <cell r="CP107">
            <v>332.21258332821424</v>
          </cell>
        </row>
        <row r="108">
          <cell r="B108">
            <v>2089</v>
          </cell>
          <cell r="D108">
            <v>84.718068468439583</v>
          </cell>
          <cell r="E108">
            <v>47.742945433536185</v>
          </cell>
          <cell r="F108">
            <v>32.938933554471966</v>
          </cell>
          <cell r="G108">
            <v>47.984730932483053</v>
          </cell>
          <cell r="H108">
            <v>61.912734126871399</v>
          </cell>
          <cell r="I108">
            <v>37.792803947216015</v>
          </cell>
          <cell r="J108">
            <v>59.018342505312759</v>
          </cell>
          <cell r="K108">
            <v>60.790088099107905</v>
          </cell>
          <cell r="L108">
            <v>60.790088099107905</v>
          </cell>
          <cell r="M108">
            <v>69.270854999805721</v>
          </cell>
          <cell r="N108">
            <v>94.82661889532335</v>
          </cell>
          <cell r="O108">
            <v>188.23765819664203</v>
          </cell>
          <cell r="P108">
            <v>352.33513209177113</v>
          </cell>
          <cell r="Q108">
            <v>86.812520255337063</v>
          </cell>
          <cell r="R108">
            <v>48.519250178330147</v>
          </cell>
          <cell r="S108">
            <v>35.087745073823392</v>
          </cell>
          <cell r="T108">
            <v>45.192481846465469</v>
          </cell>
          <cell r="U108">
            <v>61.912734126871399</v>
          </cell>
          <cell r="V108">
            <v>37.792803947216015</v>
          </cell>
          <cell r="W108">
            <v>59.018342505312759</v>
          </cell>
          <cell r="X108">
            <v>60.790088099107905</v>
          </cell>
          <cell r="Y108">
            <v>60.790088099107905</v>
          </cell>
          <cell r="Z108">
            <v>70.684734751252577</v>
          </cell>
          <cell r="AA108">
            <v>33.233712396551837</v>
          </cell>
          <cell r="AB108">
            <v>215.70973912355916</v>
          </cell>
          <cell r="AC108">
            <v>319.62818627136357</v>
          </cell>
          <cell r="AD108">
            <v>85.94067944473629</v>
          </cell>
          <cell r="AE108">
            <v>47.90762789692041</v>
          </cell>
          <cell r="AF108">
            <v>34.493904120993399</v>
          </cell>
          <cell r="AG108">
            <v>46.103475667933381</v>
          </cell>
          <cell r="AH108">
            <v>61.912734126871399</v>
          </cell>
          <cell r="AI108">
            <v>37.792803947216015</v>
          </cell>
          <cell r="AJ108">
            <v>59.018342505312759</v>
          </cell>
          <cell r="AK108">
            <v>60.790088099107905</v>
          </cell>
          <cell r="AL108">
            <v>60.790088099107905</v>
          </cell>
          <cell r="AM108">
            <v>73.956524574437665</v>
          </cell>
          <cell r="AN108">
            <v>133.36202616474552</v>
          </cell>
          <cell r="AO108">
            <v>168.52539738850572</v>
          </cell>
          <cell r="AP108">
            <v>375.84394812768892</v>
          </cell>
          <cell r="AQ108">
            <v>87.566730568676093</v>
          </cell>
          <cell r="AR108">
            <v>48.608801657889209</v>
          </cell>
          <cell r="AS108">
            <v>34.370753319446813</v>
          </cell>
          <cell r="AT108">
            <v>46.709496628309573</v>
          </cell>
          <cell r="AU108">
            <v>61.912734126871399</v>
          </cell>
          <cell r="AV108">
            <v>37.792803947216015</v>
          </cell>
          <cell r="AW108">
            <v>59.018342505312759</v>
          </cell>
          <cell r="AX108">
            <v>60.790088099107905</v>
          </cell>
          <cell r="AY108">
            <v>60.790088099107905</v>
          </cell>
          <cell r="AZ108">
            <v>73.896717918547608</v>
          </cell>
          <cell r="BA108">
            <v>182.30257711635164</v>
          </cell>
          <cell r="BB108">
            <v>146.21456558634409</v>
          </cell>
          <cell r="BC108">
            <v>402.41386062124332</v>
          </cell>
          <cell r="BD108">
            <v>86.093592819844218</v>
          </cell>
          <cell r="BE108">
            <v>48.07051423077808</v>
          </cell>
          <cell r="BF108">
            <v>34.456152602983174</v>
          </cell>
          <cell r="BG108">
            <v>46.373112280047934</v>
          </cell>
          <cell r="BH108">
            <v>61.912734126871399</v>
          </cell>
          <cell r="BI108">
            <v>37.792803947216015</v>
          </cell>
          <cell r="BJ108">
            <v>59.018342505312759</v>
          </cell>
          <cell r="BK108">
            <v>60.790088099107905</v>
          </cell>
          <cell r="BL108">
            <v>60.790088099107905</v>
          </cell>
          <cell r="BM108">
            <v>71.250569639377915</v>
          </cell>
          <cell r="BN108">
            <v>82.29749073981877</v>
          </cell>
          <cell r="BO108">
            <v>193.0591220239578</v>
          </cell>
          <cell r="BP108">
            <v>346.60718240315447</v>
          </cell>
          <cell r="BQ108">
            <v>98.394199053513418</v>
          </cell>
          <cell r="BR108">
            <v>50.894749821850951</v>
          </cell>
          <cell r="BS108">
            <v>40.796915290359358</v>
          </cell>
          <cell r="BT108">
            <v>43.594076822682808</v>
          </cell>
          <cell r="BU108">
            <v>65.008370833214983</v>
          </cell>
          <cell r="BV108">
            <v>52.547528775923638</v>
          </cell>
          <cell r="BW108">
            <v>63.513069786340019</v>
          </cell>
          <cell r="BX108">
            <v>60.790088099107905</v>
          </cell>
          <cell r="BY108">
            <v>60.790088099107905</v>
          </cell>
          <cell r="BZ108">
            <v>64.890337208229468</v>
          </cell>
          <cell r="CA108">
            <v>31.177465145819632</v>
          </cell>
          <cell r="CB108">
            <v>219.27429184016125</v>
          </cell>
          <cell r="CC108">
            <v>315.34209419421035</v>
          </cell>
          <cell r="CD108">
            <v>86.966724260174317</v>
          </cell>
          <cell r="CE108">
            <v>48.298996751751076</v>
          </cell>
          <cell r="CF108">
            <v>36.693607538550793</v>
          </cell>
          <cell r="CG108">
            <v>45.714216170942265</v>
          </cell>
          <cell r="CH108">
            <v>61.912734126871399</v>
          </cell>
          <cell r="CI108">
            <v>41.157916627447584</v>
          </cell>
          <cell r="CJ108">
            <v>59.422156026940542</v>
          </cell>
          <cell r="CK108">
            <v>60.790088099107905</v>
          </cell>
          <cell r="CL108">
            <v>60.790088099107905</v>
          </cell>
          <cell r="CM108">
            <v>69.679968116949425</v>
          </cell>
          <cell r="CN108">
            <v>69.67143289060138</v>
          </cell>
          <cell r="CO108">
            <v>199.53383001965759</v>
          </cell>
          <cell r="CP108">
            <v>338.88523102720842</v>
          </cell>
        </row>
      </sheetData>
      <sheetData sheetId="21" refreshError="1"/>
      <sheetData sheetId="22">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117.72345649619527</v>
          </cell>
          <cell r="E27">
            <v>4.6281515551681824</v>
          </cell>
          <cell r="F27">
            <v>-8.5594112992741587E-3</v>
          </cell>
          <cell r="G27">
            <v>2.5757954206050783E-4</v>
          </cell>
          <cell r="H27">
            <v>52.664096932232987</v>
          </cell>
          <cell r="I27">
            <v>6.6540418480737396</v>
          </cell>
          <cell r="J27">
            <v>-6.3240725149637578E-2</v>
          </cell>
          <cell r="K27">
            <v>4.9725997269206925E-4</v>
          </cell>
          <cell r="L27"/>
          <cell r="M27">
            <v>1.7217942464785683</v>
          </cell>
          <cell r="O27"/>
          <cell r="P27">
            <v>91.696722481816138</v>
          </cell>
          <cell r="Q27">
            <v>5.4386007841361899</v>
          </cell>
          <cell r="R27">
            <v>-3.0434450043561472E-2</v>
          </cell>
          <cell r="S27">
            <v>3.5346273024908182E-4</v>
          </cell>
          <cell r="T27">
            <v>205.17661225547636</v>
          </cell>
          <cell r="U27">
            <v>3.6314407799821877</v>
          </cell>
          <cell r="V27">
            <v>7.1504300042628593E-3</v>
          </cell>
          <cell r="W27">
            <v>3.9071032848000693E-4</v>
          </cell>
          <cell r="X27">
            <v>149.47936905221161</v>
          </cell>
          <cell r="Y27">
            <v>3.5823894366116242</v>
          </cell>
          <cell r="Z27">
            <v>-2.4609747174979137E-2</v>
          </cell>
          <cell r="AA27">
            <v>8.2110284192011651E-4</v>
          </cell>
          <cell r="AB27"/>
          <cell r="AC27">
            <v>3.8568046641846037</v>
          </cell>
          <cell r="AE27"/>
          <cell r="AF27">
            <v>151.52826314176491</v>
          </cell>
          <cell r="AG27">
            <v>3.5841938528041779</v>
          </cell>
          <cell r="AH27">
            <v>-2.3441408572146796E-2</v>
          </cell>
          <cell r="AI27">
            <v>8.0527030468380755E-4</v>
          </cell>
          <cell r="AJ27">
            <v>193.99731722180428</v>
          </cell>
          <cell r="AK27">
            <v>34.968936380321892</v>
          </cell>
          <cell r="AL27">
            <v>-0.52946274506795166</v>
          </cell>
          <cell r="AM27">
            <v>4.5569031719916945E-3</v>
          </cell>
          <cell r="AN27"/>
          <cell r="AO27"/>
          <cell r="AP27"/>
          <cell r="AQ27"/>
          <cell r="AR27">
            <v>193.99731722180428</v>
          </cell>
          <cell r="AS27">
            <v>34.968936380321892</v>
          </cell>
          <cell r="AT27">
            <v>-0.52946274506795166</v>
          </cell>
          <cell r="AU27">
            <v>4.5569031719916945E-3</v>
          </cell>
          <cell r="AV27">
            <v>309.60877565080415</v>
          </cell>
          <cell r="AW27">
            <v>64.578013757023342</v>
          </cell>
          <cell r="AX27">
            <v>-0.92423048697617693</v>
          </cell>
          <cell r="AY27">
            <v>6.966596369542004E-3</v>
          </cell>
          <cell r="AZ27"/>
          <cell r="BA27"/>
          <cell r="BB27"/>
          <cell r="BC27"/>
          <cell r="BD27">
            <v>309.60877565080415</v>
          </cell>
          <cell r="BE27">
            <v>64.578013757023342</v>
          </cell>
          <cell r="BF27">
            <v>-0.92423048697617693</v>
          </cell>
          <cell r="BG27">
            <v>6.966596369542004E-3</v>
          </cell>
          <cell r="BH27">
            <v>639.92082639834143</v>
          </cell>
          <cell r="BI27">
            <v>26.247034632599902</v>
          </cell>
          <cell r="BJ27">
            <v>-0.32798168552092266</v>
          </cell>
          <cell r="BK27">
            <v>3.2760627907648231E-3</v>
          </cell>
          <cell r="BL27"/>
          <cell r="BM27"/>
          <cell r="BN27"/>
          <cell r="BO27"/>
          <cell r="BP27">
            <v>639.92082639834143</v>
          </cell>
          <cell r="BQ27">
            <v>26.247034632599902</v>
          </cell>
          <cell r="BR27">
            <v>-0.32798168552092266</v>
          </cell>
          <cell r="BS27">
            <v>3.2760627907648231E-3</v>
          </cell>
        </row>
        <row r="28">
          <cell r="B28">
            <v>2011</v>
          </cell>
          <cell r="D28">
            <v>128.04326176573838</v>
          </cell>
          <cell r="E28">
            <v>5.0338618887652276</v>
          </cell>
          <cell r="F28">
            <v>-9.3097414412819327E-3</v>
          </cell>
          <cell r="G28">
            <v>2.8015933027432426E-4</v>
          </cell>
          <cell r="H28">
            <v>58.245012498630572</v>
          </cell>
          <cell r="I28">
            <v>7.3591834510364</v>
          </cell>
          <cell r="J28">
            <v>-6.9942466335326969E-2</v>
          </cell>
          <cell r="K28">
            <v>5.4995556767615541E-4</v>
          </cell>
          <cell r="L28"/>
          <cell r="M28">
            <v>1.8111475253297249</v>
          </cell>
          <cell r="P28">
            <v>98.544198389998897</v>
          </cell>
          <cell r="Q28">
            <v>6.0162506946783099</v>
          </cell>
          <cell r="R28">
            <v>-3.4929201682092376E-2</v>
          </cell>
          <cell r="S28">
            <v>3.9414595681623392E-4</v>
          </cell>
          <cell r="T28">
            <v>224.9262518614683</v>
          </cell>
          <cell r="U28">
            <v>3.9809915687721324</v>
          </cell>
          <cell r="V28">
            <v>7.8387073574156859E-3</v>
          </cell>
          <cell r="W28">
            <v>4.2831884581048509E-4</v>
          </cell>
          <cell r="X28">
            <v>166.43650073420571</v>
          </cell>
          <cell r="Y28">
            <v>3.9887802970894306</v>
          </cell>
          <cell r="Z28">
            <v>-2.7401508514036842E-2</v>
          </cell>
          <cell r="AA28">
            <v>9.1424980329132507E-4</v>
          </cell>
          <cell r="AB28"/>
          <cell r="AC28">
            <v>4.0487997250968712</v>
          </cell>
          <cell r="AE28"/>
          <cell r="AF28">
            <v>168.34935392081033</v>
          </cell>
          <cell r="AG28">
            <v>3.9885255739371823</v>
          </cell>
          <cell r="AH28">
            <v>-2.624900986380883E-2</v>
          </cell>
          <cell r="AI28">
            <v>8.9835788098745672E-4</v>
          </cell>
          <cell r="AJ28">
            <v>216.58907555874265</v>
          </cell>
          <cell r="AK28">
            <v>39.041207952514604</v>
          </cell>
          <cell r="AL28">
            <v>-0.59112078527327661</v>
          </cell>
          <cell r="AM28">
            <v>5.0875726508317525E-3</v>
          </cell>
          <cell r="AN28"/>
          <cell r="AO28"/>
          <cell r="AP28"/>
          <cell r="AQ28"/>
          <cell r="AR28">
            <v>216.58907555874265</v>
          </cell>
          <cell r="AS28">
            <v>39.041207952514604</v>
          </cell>
          <cell r="AT28">
            <v>-0.59112078527327661</v>
          </cell>
          <cell r="AU28">
            <v>5.0875726508317525E-3</v>
          </cell>
          <cell r="AV28">
            <v>345.66394764321444</v>
          </cell>
          <cell r="AW28">
            <v>72.098380025852222</v>
          </cell>
          <cell r="AX28">
            <v>-1.0318607991290187</v>
          </cell>
          <cell r="AY28">
            <v>7.7778841948872284E-3</v>
          </cell>
          <cell r="AZ28"/>
          <cell r="BA28"/>
          <cell r="BB28"/>
          <cell r="BC28"/>
          <cell r="BD28">
            <v>345.66394764321444</v>
          </cell>
          <cell r="BE28">
            <v>72.098380025852222</v>
          </cell>
          <cell r="BF28">
            <v>-1.0318607991290187</v>
          </cell>
          <cell r="BG28">
            <v>7.7778841948872284E-3</v>
          </cell>
          <cell r="BH28">
            <v>714.44214902176759</v>
          </cell>
          <cell r="BI28">
            <v>29.303606094374235</v>
          </cell>
          <cell r="BJ28">
            <v>-0.36617645586281683</v>
          </cell>
          <cell r="BK28">
            <v>3.6575733184644106E-3</v>
          </cell>
          <cell r="BL28"/>
          <cell r="BM28"/>
          <cell r="BN28"/>
          <cell r="BO28"/>
          <cell r="BP28">
            <v>714.44214902176759</v>
          </cell>
          <cell r="BQ28">
            <v>29.303606094374235</v>
          </cell>
          <cell r="BR28">
            <v>-0.36617645586281683</v>
          </cell>
          <cell r="BS28">
            <v>3.6575733184644106E-3</v>
          </cell>
        </row>
        <row r="29">
          <cell r="B29">
            <v>2012</v>
          </cell>
          <cell r="D29">
            <v>127.24820065255112</v>
          </cell>
          <cell r="E29">
            <v>5.0026050480559148</v>
          </cell>
          <cell r="F29">
            <v>-9.2519343119436236E-3</v>
          </cell>
          <cell r="G29">
            <v>2.7841973237650424E-4</v>
          </cell>
          <cell r="H29">
            <v>58.033067733922664</v>
          </cell>
          <cell r="I29">
            <v>7.3324044988469925</v>
          </cell>
          <cell r="J29">
            <v>-6.9687956310612309E-2</v>
          </cell>
          <cell r="K29">
            <v>5.4795436279370027E-4</v>
          </cell>
          <cell r="L29"/>
          <cell r="M29">
            <v>1.8497420090048469</v>
          </cell>
          <cell r="P29">
            <v>96.493265838959374</v>
          </cell>
          <cell r="Q29">
            <v>6.0368092596374128</v>
          </cell>
          <cell r="R29">
            <v>-3.6089546266397515E-2</v>
          </cell>
          <cell r="S29">
            <v>3.980786598117937E-4</v>
          </cell>
          <cell r="T29">
            <v>225.7225312636528</v>
          </cell>
          <cell r="U29">
            <v>3.9950849952185745</v>
          </cell>
          <cell r="V29">
            <v>7.8664577918661129E-3</v>
          </cell>
          <cell r="W29">
            <v>4.298351715913299E-4</v>
          </cell>
          <cell r="X29">
            <v>166.98020407925003</v>
          </cell>
          <cell r="Y29">
            <v>4.0018105709813208</v>
          </cell>
          <cell r="Z29">
            <v>-2.7491021882634602E-2</v>
          </cell>
          <cell r="AA29">
            <v>9.1723641184211075E-4</v>
          </cell>
          <cell r="AB29"/>
          <cell r="AC29">
            <v>4.2012643835868202</v>
          </cell>
          <cell r="AE29"/>
          <cell r="AF29">
            <v>168.72055030881683</v>
          </cell>
          <cell r="AG29">
            <v>4.0026173761717931</v>
          </cell>
          <cell r="AH29">
            <v>-2.6443493475301772E-2</v>
          </cell>
          <cell r="AI29">
            <v>9.0279628065538032E-4</v>
          </cell>
          <cell r="AJ29">
            <v>218.09923116066878</v>
          </cell>
          <cell r="AK29">
            <v>39.313420661042748</v>
          </cell>
          <cell r="AL29">
            <v>-0.59524234294183642</v>
          </cell>
          <cell r="AM29">
            <v>5.1230454756685528E-3</v>
          </cell>
          <cell r="AN29"/>
          <cell r="AO29"/>
          <cell r="AP29"/>
          <cell r="AQ29"/>
          <cell r="AR29">
            <v>218.09923116066878</v>
          </cell>
          <cell r="AS29">
            <v>39.313420661042748</v>
          </cell>
          <cell r="AT29">
            <v>-0.59524234294183642</v>
          </cell>
          <cell r="AU29">
            <v>5.1230454756685528E-3</v>
          </cell>
          <cell r="AV29">
            <v>348.07407080187636</v>
          </cell>
          <cell r="AW29">
            <v>72.601082076751879</v>
          </cell>
          <cell r="AX29">
            <v>-1.0390553926799295</v>
          </cell>
          <cell r="AY29">
            <v>7.8321150712956557E-3</v>
          </cell>
          <cell r="AZ29"/>
          <cell r="BA29"/>
          <cell r="BB29"/>
          <cell r="BC29"/>
          <cell r="BD29">
            <v>348.07407080187636</v>
          </cell>
          <cell r="BE29">
            <v>72.601082076751879</v>
          </cell>
          <cell r="BF29">
            <v>-1.0390553926799295</v>
          </cell>
          <cell r="BG29">
            <v>7.8321150712956557E-3</v>
          </cell>
          <cell r="BH29">
            <v>719.42355822171942</v>
          </cell>
          <cell r="BI29">
            <v>29.507923901197572</v>
          </cell>
          <cell r="BJ29">
            <v>-0.368729601374372</v>
          </cell>
          <cell r="BK29">
            <v>3.6830755503848588E-3</v>
          </cell>
          <cell r="BL29"/>
          <cell r="BM29"/>
          <cell r="BN29"/>
          <cell r="BO29"/>
          <cell r="BP29">
            <v>719.42355822171942</v>
          </cell>
          <cell r="BQ29">
            <v>29.507923901197572</v>
          </cell>
          <cell r="BR29">
            <v>-0.368729601374372</v>
          </cell>
          <cell r="BS29">
            <v>3.6830755503848588E-3</v>
          </cell>
        </row>
        <row r="30">
          <cell r="B30">
            <v>2013</v>
          </cell>
          <cell r="D30">
            <v>122.53747623926631</v>
          </cell>
          <cell r="E30">
            <v>4.8174087654440685</v>
          </cell>
          <cell r="F30">
            <v>-8.9094279927196384E-3</v>
          </cell>
          <cell r="G30">
            <v>2.6811264258096829E-4</v>
          </cell>
          <cell r="H30">
            <v>55.763633180337855</v>
          </cell>
          <cell r="I30">
            <v>7.0456643215598103</v>
          </cell>
          <cell r="J30">
            <v>-6.6962747008475668E-2</v>
          </cell>
          <cell r="K30">
            <v>5.2652612173615114E-4</v>
          </cell>
          <cell r="L30"/>
          <cell r="M30">
            <v>1.9166601529679974</v>
          </cell>
          <cell r="P30">
            <v>91.38585199937998</v>
          </cell>
          <cell r="Q30">
            <v>5.855185391813631</v>
          </cell>
          <cell r="R30">
            <v>-3.596366606839916E-2</v>
          </cell>
          <cell r="S30">
            <v>3.884820312697143E-4</v>
          </cell>
          <cell r="T30">
            <v>220.06158355190868</v>
          </cell>
          <cell r="U30">
            <v>3.8948913320725169</v>
          </cell>
          <cell r="V30">
            <v>7.6691730724936305E-3</v>
          </cell>
          <cell r="W30">
            <v>4.190552356344495E-4</v>
          </cell>
          <cell r="X30">
            <v>162.01392895584308</v>
          </cell>
          <cell r="Y30">
            <v>3.8827899218161117</v>
          </cell>
          <cell r="Z30">
            <v>-2.6673392159125776E-2</v>
          </cell>
          <cell r="AA30">
            <v>8.899562417193544E-4</v>
          </cell>
          <cell r="AB30"/>
          <cell r="AC30">
            <v>4.4215432660417919</v>
          </cell>
          <cell r="AE30"/>
          <cell r="AF30">
            <v>163.46688498158341</v>
          </cell>
          <cell r="AG30">
            <v>3.8832892064527709</v>
          </cell>
          <cell r="AH30">
            <v>-2.5771756988950886E-2</v>
          </cell>
          <cell r="AI30">
            <v>8.7741332269602893E-4</v>
          </cell>
          <cell r="AJ30">
            <v>211.87326825213745</v>
          </cell>
          <cell r="AK30">
            <v>38.191161322756365</v>
          </cell>
          <cell r="AL30">
            <v>-0.57825027594086165</v>
          </cell>
          <cell r="AM30">
            <v>4.97680061758038E-3</v>
          </cell>
          <cell r="AN30"/>
          <cell r="AO30"/>
          <cell r="AP30"/>
          <cell r="AQ30"/>
          <cell r="AR30">
            <v>211.87326825213745</v>
          </cell>
          <cell r="AS30">
            <v>38.191161322756365</v>
          </cell>
          <cell r="AT30">
            <v>-0.57825027594086165</v>
          </cell>
          <cell r="AU30">
            <v>4.97680061758038E-3</v>
          </cell>
          <cell r="AV30">
            <v>338.13778518224694</v>
          </cell>
          <cell r="AW30">
            <v>70.52857754877347</v>
          </cell>
          <cell r="AX30">
            <v>-1.0093940302793944</v>
          </cell>
          <cell r="AY30">
            <v>7.6085358423835011E-3</v>
          </cell>
          <cell r="AZ30"/>
          <cell r="BA30"/>
          <cell r="BB30"/>
          <cell r="BC30"/>
          <cell r="BD30">
            <v>338.13778518224694</v>
          </cell>
          <cell r="BE30">
            <v>70.52857754877347</v>
          </cell>
          <cell r="BF30">
            <v>-1.0093940302793944</v>
          </cell>
          <cell r="BG30">
            <v>7.6085358423835011E-3</v>
          </cell>
          <cell r="BH30">
            <v>698.88655602700555</v>
          </cell>
          <cell r="BI30">
            <v>28.665576870724625</v>
          </cell>
          <cell r="BJ30">
            <v>-0.35820367329467512</v>
          </cell>
          <cell r="BK30">
            <v>3.5779367489136961E-3</v>
          </cell>
          <cell r="BL30"/>
          <cell r="BM30"/>
          <cell r="BN30"/>
          <cell r="BO30"/>
          <cell r="BP30">
            <v>698.88655602700555</v>
          </cell>
          <cell r="BQ30">
            <v>28.665576870724625</v>
          </cell>
          <cell r="BR30">
            <v>-0.35820367329467512</v>
          </cell>
          <cell r="BS30">
            <v>3.5779367489136961E-3</v>
          </cell>
        </row>
        <row r="31">
          <cell r="B31">
            <v>2014</v>
          </cell>
          <cell r="D31">
            <v>113.14542600850743</v>
          </cell>
          <cell r="E31">
            <v>4.4481719695204855</v>
          </cell>
          <cell r="F31">
            <v>-8.2265528609390317E-3</v>
          </cell>
          <cell r="G31">
            <v>2.475627872721722E-4</v>
          </cell>
          <cell r="H31">
            <v>51.480565261983116</v>
          </cell>
          <cell r="I31">
            <v>6.5045041227331337</v>
          </cell>
          <cell r="J31">
            <v>-6.1819502619979927E-2</v>
          </cell>
          <cell r="K31">
            <v>4.8608494149793426E-4</v>
          </cell>
          <cell r="L31"/>
          <cell r="M31">
            <v>1.9544936626051219</v>
          </cell>
          <cell r="P31">
            <v>83.13858490851652</v>
          </cell>
          <cell r="Q31">
            <v>5.4445340069472969</v>
          </cell>
          <cell r="R31">
            <v>-3.4232845210884669E-2</v>
          </cell>
          <cell r="S31">
            <v>3.631632143111024E-4</v>
          </cell>
          <cell r="T31">
            <v>206.21538041906825</v>
          </cell>
          <cell r="U31">
            <v>3.6498260385589201</v>
          </cell>
          <cell r="V31">
            <v>7.1866312016740531E-3</v>
          </cell>
          <cell r="W31">
            <v>3.92688416752106E-4</v>
          </cell>
          <cell r="X31">
            <v>151.34959456577829</v>
          </cell>
          <cell r="Y31">
            <v>3.6272108468595001</v>
          </cell>
          <cell r="Z31">
            <v>-2.4917654395493261E-2</v>
          </cell>
          <cell r="AA31">
            <v>8.313761491594903E-4</v>
          </cell>
          <cell r="AB31"/>
          <cell r="AC31">
            <v>4.5782533319730554</v>
          </cell>
          <cell r="AE31"/>
          <cell r="AF31">
            <v>152.5320161471563</v>
          </cell>
          <cell r="AG31">
            <v>3.6283857750972768</v>
          </cell>
          <cell r="AH31">
            <v>-2.4148781754815468E-2</v>
          </cell>
          <cell r="AI31">
            <v>8.2053688277825367E-4</v>
          </cell>
          <cell r="AJ31">
            <v>198.12955208222289</v>
          </cell>
          <cell r="AK31">
            <v>35.713791309306885</v>
          </cell>
          <cell r="AL31">
            <v>-0.54074055263660614</v>
          </cell>
          <cell r="AM31">
            <v>4.6539673706750559E-3</v>
          </cell>
          <cell r="AN31"/>
          <cell r="AO31"/>
          <cell r="AP31"/>
          <cell r="AQ31"/>
          <cell r="AR31">
            <v>198.12955208222289</v>
          </cell>
          <cell r="AS31">
            <v>35.713791309306885</v>
          </cell>
          <cell r="AT31">
            <v>-0.54074055263660614</v>
          </cell>
          <cell r="AU31">
            <v>4.6539673706750559E-3</v>
          </cell>
          <cell r="AV31">
            <v>316.203589404713</v>
          </cell>
          <cell r="AW31">
            <v>65.953556076292955</v>
          </cell>
          <cell r="AX31">
            <v>-0.94391703466682397</v>
          </cell>
          <cell r="AY31">
            <v>7.1149881761347379E-3</v>
          </cell>
          <cell r="AZ31"/>
          <cell r="BA31"/>
          <cell r="BB31"/>
          <cell r="BC31"/>
          <cell r="BD31">
            <v>316.203589404713</v>
          </cell>
          <cell r="BE31">
            <v>65.953556076292955</v>
          </cell>
          <cell r="BF31">
            <v>-0.94391703466682397</v>
          </cell>
          <cell r="BG31">
            <v>7.1149881761347379E-3</v>
          </cell>
          <cell r="BH31">
            <v>653.55144348428689</v>
          </cell>
          <cell r="BI31">
            <v>26.806108917980037</v>
          </cell>
          <cell r="BJ31">
            <v>-0.33496785096845227</v>
          </cell>
          <cell r="BK31">
            <v>3.3458444818870812E-3</v>
          </cell>
          <cell r="BL31"/>
          <cell r="BM31"/>
          <cell r="BN31"/>
          <cell r="BO31"/>
          <cell r="BP31">
            <v>653.55144348428689</v>
          </cell>
          <cell r="BQ31">
            <v>26.806108917980037</v>
          </cell>
          <cell r="BR31">
            <v>-0.33496785096845227</v>
          </cell>
          <cell r="BS31">
            <v>3.3458444818870812E-3</v>
          </cell>
        </row>
        <row r="32">
          <cell r="B32">
            <v>2015</v>
          </cell>
          <cell r="D32">
            <v>96.589544879326468</v>
          </cell>
          <cell r="E32">
            <v>3.7972980547057702</v>
          </cell>
          <cell r="F32">
            <v>-7.0228114807228351E-3</v>
          </cell>
          <cell r="G32">
            <v>2.1133843227457276E-4</v>
          </cell>
          <cell r="H32">
            <v>43.334697488643144</v>
          </cell>
          <cell r="I32">
            <v>5.475284061817125</v>
          </cell>
          <cell r="J32">
            <v>-5.2037685120631789E-2</v>
          </cell>
          <cell r="K32">
            <v>4.0917079652101607E-4</v>
          </cell>
          <cell r="L32"/>
          <cell r="M32">
            <v>1.9078518448692623</v>
          </cell>
          <cell r="P32">
            <v>69.74994332158127</v>
          </cell>
          <cell r="Q32">
            <v>4.6358102463613085</v>
          </cell>
          <cell r="R32">
            <v>-2.9580784200298534E-2</v>
          </cell>
          <cell r="S32">
            <v>3.1021452480554782E-4</v>
          </cell>
          <cell r="T32">
            <v>179.13381113485289</v>
          </cell>
          <cell r="U32">
            <v>3.1705067145700925</v>
          </cell>
          <cell r="V32">
            <v>6.2428352034671064E-3</v>
          </cell>
          <cell r="W32">
            <v>3.4111797353991946E-4</v>
          </cell>
          <cell r="X32">
            <v>129.14532461975259</v>
          </cell>
          <cell r="Y32">
            <v>3.0950682334227828</v>
          </cell>
          <cell r="Z32">
            <v>-2.1262023032841377E-2</v>
          </cell>
          <cell r="AA32">
            <v>7.0940621263216328E-4</v>
          </cell>
          <cell r="AB32"/>
          <cell r="AC32">
            <v>4.5366647887203619</v>
          </cell>
          <cell r="AE32"/>
          <cell r="AF32">
            <v>130.09269719599723</v>
          </cell>
          <cell r="AG32">
            <v>3.0981718898568027</v>
          </cell>
          <cell r="AH32">
            <v>-2.0646321439169397E-2</v>
          </cell>
          <cell r="AI32">
            <v>7.0072757582355892E-4</v>
          </cell>
          <cell r="AJ32">
            <v>169.63963688397931</v>
          </cell>
          <cell r="AK32">
            <v>30.578348993323299</v>
          </cell>
          <cell r="AL32">
            <v>-0.46298510259412584</v>
          </cell>
          <cell r="AM32">
            <v>3.9847530392819264E-3</v>
          </cell>
          <cell r="AN32"/>
          <cell r="AO32"/>
          <cell r="AP32"/>
          <cell r="AQ32"/>
          <cell r="AR32">
            <v>169.63963688397931</v>
          </cell>
          <cell r="AS32">
            <v>30.578348993323299</v>
          </cell>
          <cell r="AT32">
            <v>-0.46298510259412584</v>
          </cell>
          <cell r="AU32">
            <v>3.9847530392819264E-3</v>
          </cell>
          <cell r="AV32">
            <v>270.73529175378019</v>
          </cell>
          <cell r="AW32">
            <v>56.469805672131102</v>
          </cell>
          <cell r="AX32">
            <v>-0.80818707419795233</v>
          </cell>
          <cell r="AY32">
            <v>6.0918928950710501E-3</v>
          </cell>
          <cell r="AZ32"/>
          <cell r="BA32"/>
          <cell r="BB32"/>
          <cell r="BC32"/>
          <cell r="BD32">
            <v>270.73529175378019</v>
          </cell>
          <cell r="BE32">
            <v>56.469805672131102</v>
          </cell>
          <cell r="BF32">
            <v>-0.80818707419795233</v>
          </cell>
          <cell r="BG32">
            <v>6.0918928950710501E-3</v>
          </cell>
          <cell r="BH32">
            <v>559.57442184932177</v>
          </cell>
          <cell r="BI32">
            <v>22.951541228091966</v>
          </cell>
          <cell r="BJ32">
            <v>-0.28680135804533341</v>
          </cell>
          <cell r="BK32">
            <v>2.8647308642884527E-3</v>
          </cell>
          <cell r="BL32"/>
          <cell r="BM32"/>
          <cell r="BN32"/>
          <cell r="BO32"/>
          <cell r="BP32">
            <v>559.57442184932177</v>
          </cell>
          <cell r="BQ32">
            <v>22.951541228091966</v>
          </cell>
          <cell r="BR32">
            <v>-0.28680135804533341</v>
          </cell>
          <cell r="BS32">
            <v>2.8647308642884527E-3</v>
          </cell>
        </row>
        <row r="33">
          <cell r="B33">
            <v>2016</v>
          </cell>
          <cell r="D33">
            <v>91.289056781399026</v>
          </cell>
          <cell r="E33">
            <v>3.5889159449401937</v>
          </cell>
          <cell r="F33">
            <v>-6.6374247526451175E-3</v>
          </cell>
          <cell r="G33">
            <v>1.9974093643477432E-4</v>
          </cell>
          <cell r="H33">
            <v>40.174646902607307</v>
          </cell>
          <cell r="I33">
            <v>5.0760156784900632</v>
          </cell>
          <cell r="J33">
            <v>-4.8242995717192524E-2</v>
          </cell>
          <cell r="K33">
            <v>3.7933326469853488E-4</v>
          </cell>
          <cell r="L33"/>
          <cell r="M33">
            <v>1.859215814253266</v>
          </cell>
          <cell r="P33">
            <v>64.480717723005071</v>
          </cell>
          <cell r="Q33">
            <v>4.3538071433957981</v>
          </cell>
          <cell r="R33">
            <v>-2.8180663796736422E-2</v>
          </cell>
          <cell r="S33">
            <v>2.9214584155179554E-4</v>
          </cell>
          <cell r="T33">
            <v>172.2862451578535</v>
          </cell>
          <cell r="U33">
            <v>3.0493109795438635</v>
          </cell>
          <cell r="V33">
            <v>6.0041966925770867E-3</v>
          </cell>
          <cell r="W33">
            <v>3.2807840376268462E-4</v>
          </cell>
          <cell r="X33">
            <v>121.38648069610308</v>
          </cell>
          <cell r="Y33">
            <v>2.9091214991768575</v>
          </cell>
          <cell r="Z33">
            <v>-1.9984634798318905E-2</v>
          </cell>
          <cell r="AA33">
            <v>6.6678622543180262E-4</v>
          </cell>
          <cell r="AB33"/>
          <cell r="AC33">
            <v>4.4640151272131492</v>
          </cell>
          <cell r="AE33"/>
          <cell r="AF33">
            <v>122.15316324085265</v>
          </cell>
          <cell r="AG33">
            <v>2.9144378635854546</v>
          </cell>
          <cell r="AH33">
            <v>-1.9454138651201675E-2</v>
          </cell>
          <cell r="AI33">
            <v>6.5918309203595355E-4</v>
          </cell>
          <cell r="AJ33">
            <v>159.82844906634611</v>
          </cell>
          <cell r="AK33">
            <v>28.809835863742535</v>
          </cell>
          <cell r="AL33">
            <v>-0.43620814243460942</v>
          </cell>
          <cell r="AM33">
            <v>3.7542929817541101E-3</v>
          </cell>
          <cell r="AN33"/>
          <cell r="AO33"/>
          <cell r="AP33"/>
          <cell r="AQ33"/>
          <cell r="AR33">
            <v>159.82844906634611</v>
          </cell>
          <cell r="AS33">
            <v>28.809835863742535</v>
          </cell>
          <cell r="AT33">
            <v>-0.43620814243460942</v>
          </cell>
          <cell r="AU33">
            <v>3.7542929817541101E-3</v>
          </cell>
          <cell r="AV33">
            <v>255.07718940783656</v>
          </cell>
          <cell r="AW33">
            <v>53.203848024193867</v>
          </cell>
          <cell r="AX33">
            <v>-0.76144519640106334</v>
          </cell>
          <cell r="AY33">
            <v>5.7395654175056224E-3</v>
          </cell>
          <cell r="AZ33"/>
          <cell r="BA33"/>
          <cell r="BB33"/>
          <cell r="BC33"/>
          <cell r="BD33">
            <v>255.07718940783656</v>
          </cell>
          <cell r="BE33">
            <v>53.203848024193867</v>
          </cell>
          <cell r="BF33">
            <v>-0.76144519640106334</v>
          </cell>
          <cell r="BG33">
            <v>5.7395654175056224E-3</v>
          </cell>
          <cell r="BH33">
            <v>527.21117319145048</v>
          </cell>
          <cell r="BI33">
            <v>21.624128096177699</v>
          </cell>
          <cell r="BJ33">
            <v>-0.27021406723393238</v>
          </cell>
          <cell r="BK33">
            <v>2.6990478136006738E-3</v>
          </cell>
          <cell r="BL33"/>
          <cell r="BM33"/>
          <cell r="BN33"/>
          <cell r="BO33"/>
          <cell r="BP33">
            <v>527.21117319145048</v>
          </cell>
          <cell r="BQ33">
            <v>21.624128096177699</v>
          </cell>
          <cell r="BR33">
            <v>-0.27021406723393238</v>
          </cell>
          <cell r="BS33">
            <v>2.6990478136006738E-3</v>
          </cell>
        </row>
        <row r="34">
          <cell r="B34">
            <v>2017</v>
          </cell>
          <cell r="D34">
            <v>85.778730310868994</v>
          </cell>
          <cell r="E34">
            <v>3.3722843000403331</v>
          </cell>
          <cell r="F34">
            <v>-6.2367811421165011E-3</v>
          </cell>
          <cell r="G34">
            <v>1.8768431313193328E-4</v>
          </cell>
          <cell r="H34">
            <v>38.366907998361746</v>
          </cell>
          <cell r="I34">
            <v>4.8476101608806133</v>
          </cell>
          <cell r="J34">
            <v>-4.6072205257559104E-2</v>
          </cell>
          <cell r="K34">
            <v>3.6226440278837541E-4</v>
          </cell>
          <cell r="L34"/>
          <cell r="M34">
            <v>1.9006832505559725</v>
          </cell>
          <cell r="P34">
            <v>60.186657271344188</v>
          </cell>
          <cell r="Q34">
            <v>4.1503311044643869</v>
          </cell>
          <cell r="R34">
            <v>-2.7393012102039024E-2</v>
          </cell>
          <cell r="S34">
            <v>2.7969322421727151E-4</v>
          </cell>
          <cell r="T34">
            <v>164.73771565952984</v>
          </cell>
          <cell r="U34">
            <v>2.9157088231003261</v>
          </cell>
          <cell r="V34">
            <v>5.7411295173296984E-3</v>
          </cell>
          <cell r="W34">
            <v>3.1370401475503909E-4</v>
          </cell>
          <cell r="X34">
            <v>117.58574130578188</v>
          </cell>
          <cell r="Y34">
            <v>2.8180338211278242</v>
          </cell>
          <cell r="Z34">
            <v>-1.9358894697414957E-2</v>
          </cell>
          <cell r="AA34">
            <v>6.4590844186489173E-4</v>
          </cell>
          <cell r="AB34"/>
          <cell r="AC34">
            <v>4.6079405241859206</v>
          </cell>
          <cell r="AE34"/>
          <cell r="AF34">
            <v>118.08095585991086</v>
          </cell>
          <cell r="AG34">
            <v>2.8244794618896094</v>
          </cell>
          <cell r="AH34">
            <v>-1.8876855203009465E-2</v>
          </cell>
          <cell r="AI34">
            <v>6.3848991064730702E-4</v>
          </cell>
          <cell r="AJ34">
            <v>154.95413040770177</v>
          </cell>
          <cell r="AK34">
            <v>27.931216811105493</v>
          </cell>
          <cell r="AL34">
            <v>-0.42290501961672489</v>
          </cell>
          <cell r="AM34">
            <v>3.6397975934932551E-3</v>
          </cell>
          <cell r="AN34"/>
          <cell r="AO34"/>
          <cell r="AP34"/>
          <cell r="AQ34"/>
          <cell r="AR34">
            <v>154.95413040770177</v>
          </cell>
          <cell r="AS34">
            <v>27.931216811105493</v>
          </cell>
          <cell r="AT34">
            <v>-0.42290501961672489</v>
          </cell>
          <cell r="AU34">
            <v>3.6397975934932551E-3</v>
          </cell>
          <cell r="AV34">
            <v>247.2980517700243</v>
          </cell>
          <cell r="AW34">
            <v>51.581280135617568</v>
          </cell>
          <cell r="AX34">
            <v>-0.73822325719040305</v>
          </cell>
          <cell r="AY34">
            <v>5.5645247975754115E-3</v>
          </cell>
          <cell r="AZ34"/>
          <cell r="BA34"/>
          <cell r="BB34"/>
          <cell r="BC34"/>
          <cell r="BD34">
            <v>247.2980517700243</v>
          </cell>
          <cell r="BE34">
            <v>51.581280135617568</v>
          </cell>
          <cell r="BF34">
            <v>-0.73822325719040305</v>
          </cell>
          <cell r="BG34">
            <v>5.5645247975754115E-3</v>
          </cell>
          <cell r="BH34">
            <v>511.1327136084127</v>
          </cell>
          <cell r="BI34">
            <v>20.96465294221208</v>
          </cell>
          <cell r="BJ34">
            <v>-0.26197329734946839</v>
          </cell>
          <cell r="BK34">
            <v>2.6167344382581788E-3</v>
          </cell>
          <cell r="BL34"/>
          <cell r="BM34"/>
          <cell r="BN34"/>
          <cell r="BO34"/>
          <cell r="BP34">
            <v>511.1327136084127</v>
          </cell>
          <cell r="BQ34">
            <v>20.96465294221208</v>
          </cell>
          <cell r="BR34">
            <v>-0.26197329734946839</v>
          </cell>
          <cell r="BS34">
            <v>2.6167344382581788E-3</v>
          </cell>
        </row>
        <row r="35">
          <cell r="B35">
            <v>2018</v>
          </cell>
          <cell r="D35">
            <v>86.190284421802176</v>
          </cell>
          <cell r="E35">
            <v>3.3884640390255938</v>
          </cell>
          <cell r="F35">
            <v>-6.2667043283041058E-3</v>
          </cell>
          <cell r="G35">
            <v>1.8858479569150465E-4</v>
          </cell>
          <cell r="H35">
            <v>38.785179069312036</v>
          </cell>
          <cell r="I35">
            <v>4.900458180158779</v>
          </cell>
          <cell r="J35">
            <v>-4.6574478483093554E-2</v>
          </cell>
          <cell r="K35">
            <v>3.6621376247427789E-4</v>
          </cell>
          <cell r="L35"/>
          <cell r="M35">
            <v>1.9409173833624536</v>
          </cell>
          <cell r="P35">
            <v>60.124160336625259</v>
          </cell>
          <cell r="Q35">
            <v>4.1958272330862956</v>
          </cell>
          <cell r="R35">
            <v>-2.7974954168187027E-2</v>
          </cell>
          <cell r="S35">
            <v>2.8332772266212008E-4</v>
          </cell>
          <cell r="T35">
            <v>168.10171815004819</v>
          </cell>
          <cell r="U35">
            <v>2.9752486297758498</v>
          </cell>
          <cell r="V35">
            <v>5.858365415116462E-3</v>
          </cell>
          <cell r="W35">
            <v>3.2010996182488065E-4</v>
          </cell>
          <cell r="X35">
            <v>120.47140453392164</v>
          </cell>
          <cell r="Y35">
            <v>2.8871909866393786</v>
          </cell>
          <cell r="Z35">
            <v>-1.9833979941130755E-2</v>
          </cell>
          <cell r="AA35">
            <v>6.6175963452427692E-4</v>
          </cell>
          <cell r="AB35"/>
          <cell r="AC35">
            <v>4.7512603518420367</v>
          </cell>
          <cell r="AE35"/>
          <cell r="AF35">
            <v>120.93270589350827</v>
          </cell>
          <cell r="AG35">
            <v>2.8928874263127109</v>
          </cell>
          <cell r="AH35">
            <v>-1.9388280739467294E-2</v>
          </cell>
          <cell r="AI35">
            <v>6.5490903382289648E-4</v>
          </cell>
          <cell r="AJ35">
            <v>158.85368923774675</v>
          </cell>
          <cell r="AK35">
            <v>28.634130782246938</v>
          </cell>
          <cell r="AL35">
            <v>-0.43354780144627447</v>
          </cell>
          <cell r="AM35">
            <v>3.7313963447362076E-3</v>
          </cell>
          <cell r="AN35"/>
          <cell r="AO35"/>
          <cell r="AP35"/>
          <cell r="AQ35"/>
          <cell r="AR35">
            <v>158.85368923774675</v>
          </cell>
          <cell r="AS35">
            <v>28.634130782246938</v>
          </cell>
          <cell r="AT35">
            <v>-0.43354780144627447</v>
          </cell>
          <cell r="AU35">
            <v>3.7313963447362076E-3</v>
          </cell>
          <cell r="AV35">
            <v>253.52152770380803</v>
          </cell>
          <cell r="AW35">
            <v>52.879369033852406</v>
          </cell>
          <cell r="AX35">
            <v>-0.75680130356804465</v>
          </cell>
          <cell r="AY35">
            <v>5.7045610247627504E-3</v>
          </cell>
          <cell r="AZ35"/>
          <cell r="BA35"/>
          <cell r="BB35"/>
          <cell r="BC35"/>
          <cell r="BD35">
            <v>253.52152770380803</v>
          </cell>
          <cell r="BE35">
            <v>52.879369033852406</v>
          </cell>
          <cell r="BF35">
            <v>-0.75680130356804465</v>
          </cell>
          <cell r="BG35">
            <v>5.7045610247627504E-3</v>
          </cell>
          <cell r="BH35">
            <v>523.99582401038924</v>
          </cell>
          <cell r="BI35">
            <v>21.492247123048248</v>
          </cell>
          <cell r="BJ35">
            <v>-0.26856608892093037</v>
          </cell>
          <cell r="BK35">
            <v>2.6825868931604413E-3</v>
          </cell>
          <cell r="BL35"/>
          <cell r="BM35"/>
          <cell r="BN35"/>
          <cell r="BO35"/>
          <cell r="BP35">
            <v>523.99582401038924</v>
          </cell>
          <cell r="BQ35">
            <v>21.492247123048248</v>
          </cell>
          <cell r="BR35">
            <v>-0.26856608892093037</v>
          </cell>
          <cell r="BS35">
            <v>2.6825868931604413E-3</v>
          </cell>
        </row>
        <row r="36">
          <cell r="B36">
            <v>2019</v>
          </cell>
          <cell r="D36">
            <v>85.90420654448458</v>
          </cell>
          <cell r="E36">
            <v>3.3772172424039759</v>
          </cell>
          <cell r="F36">
            <v>-6.2459042406370945E-3</v>
          </cell>
          <cell r="G36">
            <v>1.87958855791112E-4</v>
          </cell>
          <cell r="H36">
            <v>38.930925500756629</v>
          </cell>
          <cell r="I36">
            <v>4.9188730569065493</v>
          </cell>
          <cell r="J36">
            <v>-4.6749495440554893E-2</v>
          </cell>
          <cell r="K36">
            <v>3.6758991569329846E-4</v>
          </cell>
          <cell r="L36"/>
          <cell r="M36">
            <v>1.9365970422065366</v>
          </cell>
          <cell r="P36">
            <v>59.778580846414158</v>
          </cell>
          <cell r="Q36">
            <v>4.2027584473520481</v>
          </cell>
          <cell r="R36">
            <v>-2.8171808130234489E-2</v>
          </cell>
          <cell r="S36">
            <v>2.8399897781238102E-4</v>
          </cell>
          <cell r="T36">
            <v>170.99347948940971</v>
          </cell>
          <cell r="U36">
            <v>3.0264301944692842</v>
          </cell>
          <cell r="V36">
            <v>5.9591436510900205E-3</v>
          </cell>
          <cell r="W36">
            <v>3.2561663731955589E-4</v>
          </cell>
          <cell r="X36">
            <v>122.72559958280921</v>
          </cell>
          <cell r="Y36">
            <v>2.9412145256896158</v>
          </cell>
          <cell r="Z36">
            <v>-2.0205102528735711E-2</v>
          </cell>
          <cell r="AA36">
            <v>6.7414211896089059E-4</v>
          </cell>
          <cell r="AB36"/>
          <cell r="AC36">
            <v>4.7869070975956047</v>
          </cell>
          <cell r="AE36"/>
          <cell r="AF36">
            <v>123.14662703182211</v>
          </cell>
          <cell r="AG36">
            <v>2.9464971316560749</v>
          </cell>
          <cell r="AH36">
            <v>-1.9785984448328367E-2</v>
          </cell>
          <cell r="AI36">
            <v>6.6766777800016705E-4</v>
          </cell>
          <cell r="AJ36">
            <v>162.47599037046078</v>
          </cell>
          <cell r="AK36">
            <v>29.287067738665883</v>
          </cell>
          <cell r="AL36">
            <v>-0.44343388404089484</v>
          </cell>
          <cell r="AM36">
            <v>3.8164824467398829E-3</v>
          </cell>
          <cell r="AN36"/>
          <cell r="AO36"/>
          <cell r="AP36"/>
          <cell r="AQ36"/>
          <cell r="AR36">
            <v>162.47599037046078</v>
          </cell>
          <cell r="AS36">
            <v>29.287067738665883</v>
          </cell>
          <cell r="AT36">
            <v>-0.44343388404089484</v>
          </cell>
          <cell r="AU36">
            <v>3.8164824467398829E-3</v>
          </cell>
          <cell r="AV36">
            <v>259.30251599168145</v>
          </cell>
          <cell r="AW36">
            <v>54.085164122827983</v>
          </cell>
          <cell r="AX36">
            <v>-0.77405845530501916</v>
          </cell>
          <cell r="AY36">
            <v>5.8346407097910813E-3</v>
          </cell>
          <cell r="AZ36"/>
          <cell r="BA36"/>
          <cell r="BB36"/>
          <cell r="BC36"/>
          <cell r="BD36">
            <v>259.30251599168145</v>
          </cell>
          <cell r="BE36">
            <v>54.085164122827983</v>
          </cell>
          <cell r="BF36">
            <v>-0.77405845530501916</v>
          </cell>
          <cell r="BG36">
            <v>5.8346407097910813E-3</v>
          </cell>
          <cell r="BH36">
            <v>535.94437034858311</v>
          </cell>
          <cell r="BI36">
            <v>21.982329484194246</v>
          </cell>
          <cell r="BJ36">
            <v>-0.27469013459324015</v>
          </cell>
          <cell r="BK36">
            <v>2.7437572543168379E-3</v>
          </cell>
          <cell r="BL36"/>
          <cell r="BM36"/>
          <cell r="BN36"/>
          <cell r="BO36"/>
          <cell r="BP36">
            <v>535.94437034858311</v>
          </cell>
          <cell r="BQ36">
            <v>21.982329484194246</v>
          </cell>
          <cell r="BR36">
            <v>-0.27469013459324015</v>
          </cell>
          <cell r="BS36">
            <v>2.7437572543168379E-3</v>
          </cell>
        </row>
        <row r="37">
          <cell r="B37">
            <v>2020</v>
          </cell>
          <cell r="D37">
            <v>86.052723215962303</v>
          </cell>
          <cell r="E37">
            <v>3.3830559909807327</v>
          </cell>
          <cell r="F37">
            <v>-6.2567025582690441E-3</v>
          </cell>
          <cell r="G37">
            <v>1.8828381104953003E-4</v>
          </cell>
          <cell r="H37">
            <v>39.34993264680201</v>
          </cell>
          <cell r="I37">
            <v>4.9718140783393405</v>
          </cell>
          <cell r="J37">
            <v>-4.7252652568510342E-2</v>
          </cell>
          <cell r="K37">
            <v>3.7154622547809203E-4</v>
          </cell>
          <cell r="L37"/>
          <cell r="M37">
            <v>1.953869940149964</v>
          </cell>
          <cell r="P37">
            <v>59.93748053046572</v>
          </cell>
          <cell r="Q37">
            <v>4.2304434003410059</v>
          </cell>
          <cell r="R37">
            <v>-2.8410771400120827E-2</v>
          </cell>
          <cell r="S37">
            <v>2.8580895058395408E-4</v>
          </cell>
          <cell r="T37">
            <v>173.46262718251452</v>
          </cell>
          <cell r="U37">
            <v>3.0701318792079668</v>
          </cell>
          <cell r="V37">
            <v>6.0451937498593161E-3</v>
          </cell>
          <cell r="W37">
            <v>3.3031854508396236E-4</v>
          </cell>
          <cell r="X37">
            <v>124.07747210658782</v>
          </cell>
          <cell r="Y37">
            <v>2.9736132030424645</v>
          </cell>
          <cell r="Z37">
            <v>-2.0427669972215966E-2</v>
          </cell>
          <cell r="AA37">
            <v>6.8156806929923195E-4</v>
          </cell>
          <cell r="AB37"/>
          <cell r="AC37">
            <v>4.8770545791593358</v>
          </cell>
          <cell r="AE37"/>
          <cell r="AF37">
            <v>124.45342226514356</v>
          </cell>
          <cell r="AG37">
            <v>2.9792783883569092</v>
          </cell>
          <cell r="AH37">
            <v>-2.0026393986069722E-2</v>
          </cell>
          <cell r="AI37">
            <v>6.7530061197408164E-4</v>
          </cell>
          <cell r="AJ37">
            <v>166.48016139305818</v>
          </cell>
          <cell r="AK37">
            <v>30.008838553594451</v>
          </cell>
          <cell r="AL37">
            <v>-0.45436217630651432</v>
          </cell>
          <cell r="AM37">
            <v>3.910538487799509E-3</v>
          </cell>
          <cell r="AN37"/>
          <cell r="AO37"/>
          <cell r="AP37"/>
          <cell r="AQ37"/>
          <cell r="AR37">
            <v>166.48016139305818</v>
          </cell>
          <cell r="AS37">
            <v>30.008838553594451</v>
          </cell>
          <cell r="AT37">
            <v>-0.45436217630651432</v>
          </cell>
          <cell r="AU37">
            <v>3.910538487799509E-3</v>
          </cell>
          <cell r="AV37">
            <v>265.69294708401139</v>
          </cell>
          <cell r="AW37">
            <v>55.418076428450867</v>
          </cell>
          <cell r="AX37">
            <v>-0.79313488887198369</v>
          </cell>
          <cell r="AY37">
            <v>5.9784336431601467E-3</v>
          </cell>
          <cell r="AZ37"/>
          <cell r="BA37"/>
          <cell r="BB37"/>
          <cell r="BC37"/>
          <cell r="BD37">
            <v>265.69294708401139</v>
          </cell>
          <cell r="BE37">
            <v>55.418076428450867</v>
          </cell>
          <cell r="BF37">
            <v>-0.79313488887198369</v>
          </cell>
          <cell r="BG37">
            <v>5.9784336431601467E-3</v>
          </cell>
          <cell r="BH37">
            <v>549.15255521688823</v>
          </cell>
          <cell r="BI37">
            <v>22.524077261998848</v>
          </cell>
          <cell r="BJ37">
            <v>-0.28145978883337586</v>
          </cell>
          <cell r="BK37">
            <v>2.8113763115432421E-3</v>
          </cell>
          <cell r="BL37"/>
          <cell r="BM37"/>
          <cell r="BN37"/>
          <cell r="BO37"/>
          <cell r="BP37">
            <v>549.15255521688823</v>
          </cell>
          <cell r="BQ37">
            <v>22.524077261998848</v>
          </cell>
          <cell r="BR37">
            <v>-0.28145978883337586</v>
          </cell>
          <cell r="BS37">
            <v>2.8113763115432421E-3</v>
          </cell>
        </row>
        <row r="38">
          <cell r="B38">
            <v>2021</v>
          </cell>
          <cell r="D38">
            <v>85.641623399248857</v>
          </cell>
          <cell r="E38">
            <v>3.3668941120087776</v>
          </cell>
          <cell r="F38">
            <v>-6.2268124028060983E-3</v>
          </cell>
          <cell r="G38">
            <v>1.8738432248810105E-4</v>
          </cell>
          <cell r="H38">
            <v>39.645168834198607</v>
          </cell>
          <cell r="I38">
            <v>5.0091167961383487</v>
          </cell>
          <cell r="J38">
            <v>-4.7607181586740745E-2</v>
          </cell>
          <cell r="K38">
            <v>3.7433387678200504E-4</v>
          </cell>
          <cell r="L38"/>
          <cell r="M38">
            <v>1.9808415606823777</v>
          </cell>
          <cell r="P38">
            <v>59.757529276826133</v>
          </cell>
          <cell r="Q38">
            <v>4.2366360230160094</v>
          </cell>
          <cell r="R38">
            <v>-2.8493734157079783E-2</v>
          </cell>
          <cell r="S38">
            <v>2.8603281838435321E-4</v>
          </cell>
          <cell r="T38">
            <v>174.85241676913884</v>
          </cell>
          <cell r="U38">
            <v>3.0947299000300377</v>
          </cell>
          <cell r="V38">
            <v>6.0936280867487308E-3</v>
          </cell>
          <cell r="W38">
            <v>3.3296507063060679E-4</v>
          </cell>
          <cell r="X38">
            <v>125.17931828050813</v>
          </cell>
          <cell r="Y38">
            <v>3.0000198042962092</v>
          </cell>
          <cell r="Z38">
            <v>-2.060907397423865E-2</v>
          </cell>
          <cell r="AA38">
            <v>6.8762060370917305E-4</v>
          </cell>
          <cell r="AB38"/>
          <cell r="AC38">
            <v>4.8485070459189172</v>
          </cell>
          <cell r="AE38"/>
          <cell r="AF38">
            <v>125.46249731593917</v>
          </cell>
          <cell r="AG38">
            <v>3.0063378792306605</v>
          </cell>
          <cell r="AH38">
            <v>-2.0213497207287275E-2</v>
          </cell>
          <cell r="AI38">
            <v>6.8122085220059998E-4</v>
          </cell>
          <cell r="AJ38">
            <v>170.32043421154623</v>
          </cell>
          <cell r="AK38">
            <v>30.701065940013656</v>
          </cell>
          <cell r="AL38">
            <v>-0.46484315314374441</v>
          </cell>
          <cell r="AM38">
            <v>4.0007446392993952E-3</v>
          </cell>
          <cell r="AN38"/>
          <cell r="AO38"/>
          <cell r="AP38"/>
          <cell r="AQ38"/>
          <cell r="AR38">
            <v>170.32043421154623</v>
          </cell>
          <cell r="AS38">
            <v>30.701065940013656</v>
          </cell>
          <cell r="AT38">
            <v>-0.46484315314374441</v>
          </cell>
          <cell r="AU38">
            <v>4.0007446392993952E-3</v>
          </cell>
          <cell r="AV38">
            <v>271.82180588744393</v>
          </cell>
          <cell r="AW38">
            <v>56.696430142072067</v>
          </cell>
          <cell r="AX38">
            <v>-0.81143048835748866</v>
          </cell>
          <cell r="AY38">
            <v>6.116340863004539E-3</v>
          </cell>
          <cell r="AZ38"/>
          <cell r="BA38"/>
          <cell r="BB38"/>
          <cell r="BC38"/>
          <cell r="BD38">
            <v>271.82180588744393</v>
          </cell>
          <cell r="BE38">
            <v>56.696430142072067</v>
          </cell>
          <cell r="BF38">
            <v>-0.81143048835748866</v>
          </cell>
          <cell r="BG38">
            <v>6.116340863004539E-3</v>
          </cell>
          <cell r="BH38">
            <v>561.82010439125247</v>
          </cell>
          <cell r="BI38">
            <v>23.043650290682766</v>
          </cell>
          <cell r="BJ38">
            <v>-0.28795234847237239</v>
          </cell>
          <cell r="BK38">
            <v>2.8762275943712921E-3</v>
          </cell>
          <cell r="BL38"/>
          <cell r="BM38"/>
          <cell r="BN38"/>
          <cell r="BO38"/>
          <cell r="BP38">
            <v>561.82010439125247</v>
          </cell>
          <cell r="BQ38">
            <v>23.043650290682766</v>
          </cell>
          <cell r="BR38">
            <v>-0.28795234847237239</v>
          </cell>
          <cell r="BS38">
            <v>2.8762275943712921E-3</v>
          </cell>
        </row>
        <row r="39">
          <cell r="B39">
            <v>2022</v>
          </cell>
          <cell r="D39">
            <v>84.7898101401898</v>
          </cell>
          <cell r="E39">
            <v>3.3334061311342569</v>
          </cell>
          <cell r="F39">
            <v>-6.1648789508716708E-3</v>
          </cell>
          <cell r="G39">
            <v>1.8552055059658685E-4</v>
          </cell>
          <cell r="H39">
            <v>39.703634500054918</v>
          </cell>
          <cell r="I39">
            <v>5.0165038588612507</v>
          </cell>
          <cell r="J39">
            <v>-4.767738902065663E-2</v>
          </cell>
          <cell r="K39">
            <v>3.7488591578201954E-4</v>
          </cell>
          <cell r="L39"/>
          <cell r="M39">
            <v>1.9260948626254331</v>
          </cell>
          <cell r="P39">
            <v>59.209296706328921</v>
          </cell>
          <cell r="Q39">
            <v>4.2143276986946789</v>
          </cell>
          <cell r="R39">
            <v>-2.8354304170455129E-2</v>
          </cell>
          <cell r="S39">
            <v>2.8419302941051945E-4</v>
          </cell>
          <cell r="T39">
            <v>175.54579686968125</v>
          </cell>
          <cell r="U39">
            <v>3.1070021017466871</v>
          </cell>
          <cell r="V39">
            <v>6.1177924679653578E-3</v>
          </cell>
          <cell r="W39">
            <v>3.3428544902981298E-4</v>
          </cell>
          <cell r="X39">
            <v>125.78421437198338</v>
          </cell>
          <cell r="Y39">
            <v>3.014516609989788</v>
          </cell>
          <cell r="Z39">
            <v>-2.0708661897125454E-2</v>
          </cell>
          <cell r="AA39">
            <v>6.9094334920191864E-4</v>
          </cell>
          <cell r="AB39"/>
          <cell r="AC39">
            <v>4.6329369456416343</v>
          </cell>
          <cell r="AE39"/>
          <cell r="AF39">
            <v>125.87200310851324</v>
          </cell>
          <cell r="AG39">
            <v>3.0223026012674894</v>
          </cell>
          <cell r="AH39">
            <v>-2.0297030579816279E-2</v>
          </cell>
          <cell r="AI39">
            <v>6.837601943477478E-4</v>
          </cell>
          <cell r="AJ39">
            <v>173.38951063299783</v>
          </cell>
          <cell r="AK39">
            <v>31.254281518790869</v>
          </cell>
          <cell r="AL39">
            <v>-0.4732193598366814</v>
          </cell>
          <cell r="AM39">
            <v>4.0728357603534437E-3</v>
          </cell>
          <cell r="AN39"/>
          <cell r="AO39"/>
          <cell r="AP39"/>
          <cell r="AQ39"/>
          <cell r="AR39">
            <v>173.38951063299783</v>
          </cell>
          <cell r="AS39">
            <v>31.254281518790869</v>
          </cell>
          <cell r="AT39">
            <v>-0.4732193598366814</v>
          </cell>
          <cell r="AU39">
            <v>4.0728357603534437E-3</v>
          </cell>
          <cell r="AV39">
            <v>276.71987874139973</v>
          </cell>
          <cell r="AW39">
            <v>57.718067256461921</v>
          </cell>
          <cell r="AX39">
            <v>-0.8260519998102589</v>
          </cell>
          <cell r="AY39">
            <v>6.2265538131717106E-3</v>
          </cell>
          <cell r="AZ39"/>
          <cell r="BA39"/>
          <cell r="BB39"/>
          <cell r="BC39"/>
          <cell r="BD39">
            <v>276.71987874139973</v>
          </cell>
          <cell r="BE39">
            <v>57.718067256461921</v>
          </cell>
          <cell r="BF39">
            <v>-0.8260519998102589</v>
          </cell>
          <cell r="BG39">
            <v>6.2265538131717106E-3</v>
          </cell>
          <cell r="BH39">
            <v>571.94378005863041</v>
          </cell>
          <cell r="BI39">
            <v>23.458883636574015</v>
          </cell>
          <cell r="BJ39">
            <v>-0.29314108444107306</v>
          </cell>
          <cell r="BK39">
            <v>2.9280555640067464E-3</v>
          </cell>
          <cell r="BL39"/>
          <cell r="BM39"/>
          <cell r="BN39"/>
          <cell r="BO39"/>
          <cell r="BP39">
            <v>571.94378005863041</v>
          </cell>
          <cell r="BQ39">
            <v>23.458883636574015</v>
          </cell>
          <cell r="BR39">
            <v>-0.29314108444107306</v>
          </cell>
          <cell r="BS39">
            <v>2.9280555640067464E-3</v>
          </cell>
        </row>
        <row r="40">
          <cell r="B40">
            <v>2023</v>
          </cell>
          <cell r="D40">
            <v>84.487103957417773</v>
          </cell>
          <cell r="E40">
            <v>3.3215056133253813</v>
          </cell>
          <cell r="F40">
            <v>-6.1428698560124602E-3</v>
          </cell>
          <cell r="G40">
            <v>1.84858227876392E-4</v>
          </cell>
          <cell r="H40">
            <v>40.014664754007796</v>
          </cell>
          <cell r="I40">
            <v>5.0558021369363981</v>
          </cell>
          <cell r="J40">
            <v>-4.8050884057109382E-2</v>
          </cell>
          <cell r="K40">
            <v>3.7782269633264832E-4</v>
          </cell>
          <cell r="L40"/>
          <cell r="M40">
            <v>1.9401504256457869</v>
          </cell>
          <cell r="P40">
            <v>59.024550462075254</v>
          </cell>
          <cell r="Q40">
            <v>4.2171397184054014</v>
          </cell>
          <cell r="R40">
            <v>-2.8352138131156699E-2</v>
          </cell>
          <cell r="S40">
            <v>2.8386124955455811E-4</v>
          </cell>
          <cell r="T40">
            <v>176.41459906937828</v>
          </cell>
          <cell r="U40">
            <v>3.1223791162272141</v>
          </cell>
          <cell r="V40">
            <v>6.1480703307694676E-3</v>
          </cell>
          <cell r="W40">
            <v>3.3593987732500832E-4</v>
          </cell>
          <cell r="X40">
            <v>126.88082011143156</v>
          </cell>
          <cell r="Y40">
            <v>3.0407976201521647</v>
          </cell>
          <cell r="Z40">
            <v>-2.0889203132812794E-2</v>
          </cell>
          <cell r="AA40">
            <v>6.9696709746120051E-4</v>
          </cell>
          <cell r="AB40"/>
          <cell r="AC40">
            <v>4.5949749867612306</v>
          </cell>
          <cell r="AE40"/>
          <cell r="AF40">
            <v>126.63473904518078</v>
          </cell>
          <cell r="AG40">
            <v>3.051859542021444</v>
          </cell>
          <cell r="AH40">
            <v>-2.0437233906724139E-2</v>
          </cell>
          <cell r="AI40">
            <v>6.8821315140892871E-4</v>
          </cell>
          <cell r="AJ40">
            <v>177.02744714475938</v>
          </cell>
          <cell r="AK40">
            <v>31.910036826427369</v>
          </cell>
          <cell r="AL40">
            <v>-0.48314811493228899</v>
          </cell>
          <cell r="AM40">
            <v>4.1582891298502841E-3</v>
          </cell>
          <cell r="AN40"/>
          <cell r="AO40"/>
          <cell r="AP40"/>
          <cell r="AQ40"/>
          <cell r="AR40">
            <v>177.02744714475938</v>
          </cell>
          <cell r="AS40">
            <v>31.910036826427369</v>
          </cell>
          <cell r="AT40">
            <v>-0.48314811493228899</v>
          </cell>
          <cell r="AU40">
            <v>4.1582891298502841E-3</v>
          </cell>
          <cell r="AV40">
            <v>282.52582021230199</v>
          </cell>
          <cell r="AW40">
            <v>58.929067065470157</v>
          </cell>
          <cell r="AX40">
            <v>-0.84338364069068172</v>
          </cell>
          <cell r="AY40">
            <v>6.3571949769692772E-3</v>
          </cell>
          <cell r="AZ40"/>
          <cell r="BA40"/>
          <cell r="BB40"/>
          <cell r="BC40"/>
          <cell r="BD40">
            <v>282.52582021230199</v>
          </cell>
          <cell r="BE40">
            <v>58.929067065470157</v>
          </cell>
          <cell r="BF40">
            <v>-0.84338364069068172</v>
          </cell>
          <cell r="BG40">
            <v>6.3571949769692772E-3</v>
          </cell>
          <cell r="BH40">
            <v>583.94390136097536</v>
          </cell>
          <cell r="BI40">
            <v>23.951081399836038</v>
          </cell>
          <cell r="BJ40">
            <v>-0.29929156407673452</v>
          </cell>
          <cell r="BK40">
            <v>2.9894899622346371E-3</v>
          </cell>
          <cell r="BL40"/>
          <cell r="BM40"/>
          <cell r="BN40"/>
          <cell r="BO40"/>
          <cell r="BP40">
            <v>583.94390136097536</v>
          </cell>
          <cell r="BQ40">
            <v>23.951081399836038</v>
          </cell>
          <cell r="BR40">
            <v>-0.29929156407673452</v>
          </cell>
          <cell r="BS40">
            <v>2.9894899622346371E-3</v>
          </cell>
        </row>
        <row r="41">
          <cell r="B41">
            <v>2024</v>
          </cell>
          <cell r="D41">
            <v>84.170958938780601</v>
          </cell>
          <cell r="E41">
            <v>3.309076764366877</v>
          </cell>
          <cell r="F41">
            <v>-6.1198836532176098E-3</v>
          </cell>
          <cell r="G41">
            <v>1.8416650091263346E-4</v>
          </cell>
          <cell r="H41">
            <v>40.288258516210597</v>
          </cell>
          <cell r="I41">
            <v>5.0903703617634939</v>
          </cell>
          <cell r="J41">
            <v>-4.8379424161772856E-2</v>
          </cell>
          <cell r="K41">
            <v>3.8040599756910078E-4</v>
          </cell>
          <cell r="L41"/>
          <cell r="M41">
            <v>2.0072505635997402</v>
          </cell>
          <cell r="P41">
            <v>58.7835946896707</v>
          </cell>
          <cell r="Q41">
            <v>4.2143077400297138</v>
          </cell>
          <cell r="R41">
            <v>-2.8253261929774589E-2</v>
          </cell>
          <cell r="S41">
            <v>2.8281089361847526E-4</v>
          </cell>
          <cell r="T41">
            <v>177.17023451430472</v>
          </cell>
          <cell r="U41">
            <v>3.1357531813282069</v>
          </cell>
          <cell r="V41">
            <v>6.1744043183438353E-3</v>
          </cell>
          <cell r="W41">
            <v>3.3737880630259928E-4</v>
          </cell>
          <cell r="X41">
            <v>127.87346203128044</v>
          </cell>
          <cell r="Y41">
            <v>3.0645870564506441</v>
          </cell>
          <cell r="Z41">
            <v>-2.1052628138133991E-2</v>
          </cell>
          <cell r="AA41">
            <v>7.0241976364894879E-4</v>
          </cell>
          <cell r="AB41"/>
          <cell r="AC41">
            <v>4.6890178676072862</v>
          </cell>
          <cell r="AE41"/>
          <cell r="AF41">
            <v>127.08280132764497</v>
          </cell>
          <cell r="AG41">
            <v>3.0825340814214517</v>
          </cell>
          <cell r="AH41">
            <v>-2.05219516197452E-2</v>
          </cell>
          <cell r="AI41">
            <v>6.9087139543217921E-4</v>
          </cell>
          <cell r="AJ41">
            <v>180.44380125433332</v>
          </cell>
          <cell r="AK41">
            <v>32.525850855307738</v>
          </cell>
          <cell r="AL41">
            <v>-0.49247212132002216</v>
          </cell>
          <cell r="AM41">
            <v>4.2385376358683594E-3</v>
          </cell>
          <cell r="AN41"/>
          <cell r="AO41"/>
          <cell r="AP41"/>
          <cell r="AQ41"/>
          <cell r="AR41">
            <v>180.44380125433332</v>
          </cell>
          <cell r="AS41">
            <v>32.525850855307738</v>
          </cell>
          <cell r="AT41">
            <v>-0.49247212132002216</v>
          </cell>
          <cell r="AU41">
            <v>4.2385376358683594E-3</v>
          </cell>
          <cell r="AV41">
            <v>287.97812866791548</v>
          </cell>
          <cell r="AW41">
            <v>60.066306311076239</v>
          </cell>
          <cell r="AX41">
            <v>-0.8596596318620674</v>
          </cell>
          <cell r="AY41">
            <v>6.4798789422821374E-3</v>
          </cell>
          <cell r="AZ41"/>
          <cell r="BA41"/>
          <cell r="BB41"/>
          <cell r="BC41"/>
          <cell r="BD41">
            <v>287.97812866791548</v>
          </cell>
          <cell r="BE41">
            <v>60.066306311076239</v>
          </cell>
          <cell r="BF41">
            <v>-0.8596596318620674</v>
          </cell>
          <cell r="BG41">
            <v>6.4798789422821374E-3</v>
          </cell>
          <cell r="BH41">
            <v>595.2131094942423</v>
          </cell>
          <cell r="BI41">
            <v>24.413299980563576</v>
          </cell>
          <cell r="BJ41">
            <v>-0.30506742528574948</v>
          </cell>
          <cell r="BK41">
            <v>3.0471824640626662E-3</v>
          </cell>
          <cell r="BL41"/>
          <cell r="BM41"/>
          <cell r="BN41"/>
          <cell r="BO41"/>
          <cell r="BP41">
            <v>595.2131094942423</v>
          </cell>
          <cell r="BQ41">
            <v>24.413299980563576</v>
          </cell>
          <cell r="BR41">
            <v>-0.30506742528574948</v>
          </cell>
          <cell r="BS41">
            <v>3.0471824640626662E-3</v>
          </cell>
        </row>
        <row r="42">
          <cell r="B42">
            <v>2025</v>
          </cell>
          <cell r="D42">
            <v>83.63003375388206</v>
          </cell>
          <cell r="E42">
            <v>3.287810962204512</v>
          </cell>
          <cell r="F42">
            <v>-6.0805541833100383E-3</v>
          </cell>
          <cell r="G42">
            <v>1.829829537627104E-4</v>
          </cell>
          <cell r="H42">
            <v>40.4140036923095</v>
          </cell>
          <cell r="I42">
            <v>5.1062581052679947</v>
          </cell>
          <cell r="J42">
            <v>-4.8530422974698402E-2</v>
          </cell>
          <cell r="K42">
            <v>3.8159329681992736E-4</v>
          </cell>
          <cell r="L42"/>
          <cell r="M42">
            <v>2.1192327304432621</v>
          </cell>
          <cell r="P42">
            <v>58.232639604159147</v>
          </cell>
          <cell r="Q42">
            <v>4.1921860227436554</v>
          </cell>
          <cell r="R42">
            <v>-2.7935316837268152E-2</v>
          </cell>
          <cell r="S42">
            <v>2.7981852691775008E-4</v>
          </cell>
          <cell r="T42">
            <v>177.40426178900785</v>
          </cell>
          <cell r="U42">
            <v>3.1398952527838304</v>
          </cell>
          <cell r="V42">
            <v>6.1825601974591863E-3</v>
          </cell>
          <cell r="W42">
            <v>3.3782445589378499E-4</v>
          </cell>
          <cell r="X42">
            <v>128.80685274602197</v>
          </cell>
          <cell r="Y42">
            <v>3.0869564914965828</v>
          </cell>
          <cell r="Z42">
            <v>-2.1206298237565827E-2</v>
          </cell>
          <cell r="AA42">
            <v>7.0754695794576457E-4</v>
          </cell>
          <cell r="AB42"/>
          <cell r="AC42">
            <v>4.8907543683696328</v>
          </cell>
          <cell r="AE42"/>
          <cell r="AF42">
            <v>127.09026439423769</v>
          </cell>
          <cell r="AG42">
            <v>3.1190200774136798</v>
          </cell>
          <cell r="AH42">
            <v>-2.0536508812684786E-2</v>
          </cell>
          <cell r="AI42">
            <v>6.9115217432062835E-4</v>
          </cell>
          <cell r="AJ42">
            <v>183.6982727375019</v>
          </cell>
          <cell r="AK42">
            <v>33.112484773117927</v>
          </cell>
          <cell r="AL42">
            <v>-0.50135431324875745</v>
          </cell>
          <cell r="AM42">
            <v>4.3149835972723068E-3</v>
          </cell>
          <cell r="AN42"/>
          <cell r="AO42"/>
          <cell r="AP42"/>
          <cell r="AQ42"/>
          <cell r="AR42">
            <v>183.6982727375019</v>
          </cell>
          <cell r="AS42">
            <v>33.112484773117927</v>
          </cell>
          <cell r="AT42">
            <v>-0.50135431324875745</v>
          </cell>
          <cell r="AU42">
            <v>4.3149835972723068E-3</v>
          </cell>
          <cell r="AV42">
            <v>293.17208158295625</v>
          </cell>
          <cell r="AW42">
            <v>61.149657912127552</v>
          </cell>
          <cell r="AX42">
            <v>-0.87516439144747937</v>
          </cell>
          <cell r="AY42">
            <v>6.5967495750522687E-3</v>
          </cell>
          <cell r="AZ42"/>
          <cell r="BA42"/>
          <cell r="BB42"/>
          <cell r="BC42"/>
          <cell r="BD42">
            <v>293.17208158295625</v>
          </cell>
          <cell r="BE42">
            <v>61.149657912127552</v>
          </cell>
          <cell r="BF42">
            <v>-0.87516439144747937</v>
          </cell>
          <cell r="BG42">
            <v>6.5967495750522687E-3</v>
          </cell>
          <cell r="BH42">
            <v>605.94833053143816</v>
          </cell>
          <cell r="BI42">
            <v>24.853616511497197</v>
          </cell>
          <cell r="BJ42">
            <v>-0.3105695995313294</v>
          </cell>
          <cell r="BK42">
            <v>3.1021412288657056E-3</v>
          </cell>
          <cell r="BL42"/>
          <cell r="BM42"/>
          <cell r="BN42"/>
          <cell r="BO42"/>
          <cell r="BP42">
            <v>605.94833053143816</v>
          </cell>
          <cell r="BQ42">
            <v>24.853616511497197</v>
          </cell>
          <cell r="BR42">
            <v>-0.3105695995313294</v>
          </cell>
          <cell r="BS42">
            <v>3.1021412288657056E-3</v>
          </cell>
        </row>
        <row r="43">
          <cell r="B43">
            <v>2026</v>
          </cell>
          <cell r="D43">
            <v>83.254301006671099</v>
          </cell>
          <cell r="E43">
            <v>3.2730394956668456</v>
          </cell>
          <cell r="F43">
            <v>-6.0532354889928286E-3</v>
          </cell>
          <cell r="G43">
            <v>1.821608485353901E-4</v>
          </cell>
          <cell r="H43">
            <v>40.553893792062524</v>
          </cell>
          <cell r="I43">
            <v>5.123933041934726</v>
          </cell>
          <cell r="J43">
            <v>-4.8698407462517877E-2</v>
          </cell>
          <cell r="K43">
            <v>3.8291415393578349E-4</v>
          </cell>
          <cell r="L43"/>
          <cell r="M43">
            <v>2.1204182439531016</v>
          </cell>
          <cell r="P43">
            <v>57.755052777140321</v>
          </cell>
          <cell r="Q43">
            <v>4.1689641012133629</v>
          </cell>
          <cell r="R43">
            <v>-2.7597202535632134E-2</v>
          </cell>
          <cell r="S43">
            <v>2.7682269592854572E-4</v>
          </cell>
          <cell r="T43">
            <v>176.52266449808283</v>
          </cell>
          <cell r="U43">
            <v>3.1242917767414413</v>
          </cell>
          <cell r="V43">
            <v>6.1518364241625592E-3</v>
          </cell>
          <cell r="W43">
            <v>3.3614566237371511E-4</v>
          </cell>
          <cell r="X43">
            <v>129.19097851946734</v>
          </cell>
          <cell r="Y43">
            <v>3.0961623646672161</v>
          </cell>
          <cell r="Z43">
            <v>-2.1269539327141086E-2</v>
          </cell>
          <cell r="AA43">
            <v>7.0965699337226262E-4</v>
          </cell>
          <cell r="AB43"/>
          <cell r="AC43">
            <v>4.957091246555545</v>
          </cell>
          <cell r="AE43"/>
          <cell r="AF43">
            <v>126.58523844080223</v>
          </cell>
          <cell r="AG43">
            <v>3.1411959028772705</v>
          </cell>
          <cell r="AH43">
            <v>-2.0468558096789147E-2</v>
          </cell>
          <cell r="AI43">
            <v>6.8865138548826162E-4</v>
          </cell>
          <cell r="AJ43">
            <v>186.12193139112119</v>
          </cell>
          <cell r="AK43">
            <v>33.549360738619704</v>
          </cell>
          <cell r="AL43">
            <v>-0.50796902824703649</v>
          </cell>
          <cell r="AM43">
            <v>4.3719141670588747E-3</v>
          </cell>
          <cell r="AN43"/>
          <cell r="AO43"/>
          <cell r="AP43"/>
          <cell r="AQ43"/>
          <cell r="AR43">
            <v>186.12193139112119</v>
          </cell>
          <cell r="AS43">
            <v>33.549360738619704</v>
          </cell>
          <cell r="AT43">
            <v>-0.50796902824703649</v>
          </cell>
          <cell r="AU43">
            <v>4.3719141670588747E-3</v>
          </cell>
          <cell r="AV43">
            <v>297.04010408496129</v>
          </cell>
          <cell r="AW43">
            <v>61.956447738487917</v>
          </cell>
          <cell r="AX43">
            <v>-0.88671104193614303</v>
          </cell>
          <cell r="AY43">
            <v>6.68378506512561E-3</v>
          </cell>
          <cell r="AZ43"/>
          <cell r="BA43"/>
          <cell r="BB43"/>
          <cell r="BC43"/>
          <cell r="BD43">
            <v>297.04010408496129</v>
          </cell>
          <cell r="BE43">
            <v>61.956447738487917</v>
          </cell>
          <cell r="BF43">
            <v>-0.88671104193614303</v>
          </cell>
          <cell r="BG43">
            <v>6.68378506512561E-3</v>
          </cell>
          <cell r="BH43">
            <v>613.9430269052973</v>
          </cell>
          <cell r="BI43">
            <v>25.181527502897218</v>
          </cell>
          <cell r="BJ43">
            <v>-0.31466715954775254</v>
          </cell>
          <cell r="BK43">
            <v>3.1430699285319966E-3</v>
          </cell>
          <cell r="BL43"/>
          <cell r="BM43"/>
          <cell r="BN43"/>
          <cell r="BO43"/>
          <cell r="BP43">
            <v>613.9430269052973</v>
          </cell>
          <cell r="BQ43">
            <v>25.181527502897218</v>
          </cell>
          <cell r="BR43">
            <v>-0.31466715954775254</v>
          </cell>
          <cell r="BS43">
            <v>3.1430699285319966E-3</v>
          </cell>
        </row>
        <row r="44">
          <cell r="B44">
            <v>2027</v>
          </cell>
          <cell r="D44">
            <v>83.402807787218549</v>
          </cell>
          <cell r="E44">
            <v>3.2788778553939566</v>
          </cell>
          <cell r="F44">
            <v>-6.0640330874771869E-3</v>
          </cell>
          <cell r="G44">
            <v>1.8248578215240068E-4</v>
          </cell>
          <cell r="H44">
            <v>40.92918612270492</v>
          </cell>
          <cell r="I44">
            <v>5.1713507518893653</v>
          </cell>
          <cell r="J44">
            <v>-4.9149070447652939E-2</v>
          </cell>
          <cell r="K44">
            <v>3.8645770381050965E-4</v>
          </cell>
          <cell r="L44"/>
          <cell r="M44">
            <v>2.015719102198624</v>
          </cell>
          <cell r="P44">
            <v>57.615744681853663</v>
          </cell>
          <cell r="Q44">
            <v>4.1629894110297103</v>
          </cell>
          <cell r="R44">
            <v>-2.7399350520865853E-2</v>
          </cell>
          <cell r="S44">
            <v>2.7531078498464366E-4</v>
          </cell>
          <cell r="T44">
            <v>176.31402765582197</v>
          </cell>
          <cell r="U44">
            <v>3.1205990930146554</v>
          </cell>
          <cell r="V44">
            <v>6.1445654047198603E-3</v>
          </cell>
          <cell r="W44">
            <v>3.3574836285562345E-4</v>
          </cell>
          <cell r="X44">
            <v>130.20199638364159</v>
          </cell>
          <cell r="Y44">
            <v>3.1203921947755999</v>
          </cell>
          <cell r="Z44">
            <v>-2.1435989682026018E-2</v>
          </cell>
          <cell r="AA44">
            <v>7.1521060017947055E-4</v>
          </cell>
          <cell r="AB44"/>
          <cell r="AC44">
            <v>4.772636411732325</v>
          </cell>
          <cell r="AE44"/>
          <cell r="AF44">
            <v>126.4915517319025</v>
          </cell>
          <cell r="AG44">
            <v>3.1724197203587572</v>
          </cell>
          <cell r="AH44">
            <v>-2.0528136759986985E-2</v>
          </cell>
          <cell r="AI44">
            <v>6.8948608074674014E-4</v>
          </cell>
          <cell r="AJ44">
            <v>189.38665666934475</v>
          </cell>
          <cell r="AK44">
            <v>34.137842951612889</v>
          </cell>
          <cell r="AL44">
            <v>-0.51687920511161989</v>
          </cell>
          <cell r="AM44">
            <v>4.4486009851503272E-3</v>
          </cell>
          <cell r="AN44"/>
          <cell r="AO44"/>
          <cell r="AP44"/>
          <cell r="AQ44"/>
          <cell r="AR44">
            <v>189.38665666934475</v>
          </cell>
          <cell r="AS44">
            <v>34.137842951612889</v>
          </cell>
          <cell r="AT44">
            <v>-0.51687920511161989</v>
          </cell>
          <cell r="AU44">
            <v>4.4486009851503272E-3</v>
          </cell>
          <cell r="AV44">
            <v>302.2504214785331</v>
          </cell>
          <cell r="AW44">
            <v>63.043212632710514</v>
          </cell>
          <cell r="AX44">
            <v>-0.90226465204244233</v>
          </cell>
          <cell r="AY44">
            <v>6.801023919747606E-3</v>
          </cell>
          <cell r="AZ44"/>
          <cell r="BA44"/>
          <cell r="BB44"/>
          <cell r="BC44"/>
          <cell r="BD44">
            <v>302.2504214785331</v>
          </cell>
          <cell r="BE44">
            <v>63.043212632710514</v>
          </cell>
          <cell r="BF44">
            <v>-0.90226465204244233</v>
          </cell>
          <cell r="BG44">
            <v>6.801023919747606E-3</v>
          </cell>
          <cell r="BH44">
            <v>624.71207117829488</v>
          </cell>
          <cell r="BI44">
            <v>25.623231329891311</v>
          </cell>
          <cell r="BJ44">
            <v>-0.32018666937834611</v>
          </cell>
          <cell r="BK44">
            <v>3.1982018507628026E-3</v>
          </cell>
          <cell r="BL44"/>
          <cell r="BM44"/>
          <cell r="BN44"/>
          <cell r="BO44"/>
          <cell r="BP44">
            <v>624.71207117829488</v>
          </cell>
          <cell r="BQ44">
            <v>25.623231329891311</v>
          </cell>
          <cell r="BR44">
            <v>-0.32018666937834611</v>
          </cell>
          <cell r="BS44">
            <v>3.1982018507628026E-3</v>
          </cell>
        </row>
        <row r="45">
          <cell r="B45">
            <v>2028</v>
          </cell>
          <cell r="D45">
            <v>83.403646836244334</v>
          </cell>
          <cell r="E45">
            <v>3.2789108415648451</v>
          </cell>
          <cell r="F45">
            <v>-6.0640940928700432E-3</v>
          </cell>
          <cell r="G45">
            <v>1.8248761799608267E-4</v>
          </cell>
          <cell r="H45">
            <v>41.199424637834149</v>
          </cell>
          <cell r="I45">
            <v>5.2054950455045219</v>
          </cell>
          <cell r="J45">
            <v>-4.9473581464752975E-2</v>
          </cell>
          <cell r="K45">
            <v>3.8900932444926135E-4</v>
          </cell>
          <cell r="L45"/>
          <cell r="M45">
            <v>2.0907735136582111</v>
          </cell>
          <cell r="P45">
            <v>57.334685489690173</v>
          </cell>
          <cell r="Q45">
            <v>4.1564153141555416</v>
          </cell>
          <cell r="R45">
            <v>-2.7131325350211462E-2</v>
          </cell>
          <cell r="S45">
            <v>2.7310376476322141E-4</v>
          </cell>
          <cell r="T45">
            <v>176.09342286437692</v>
          </cell>
          <cell r="U45">
            <v>3.1166945873933445</v>
          </cell>
          <cell r="V45">
            <v>6.1368773007859246E-3</v>
          </cell>
          <cell r="W45">
            <v>3.3532827320903919E-4</v>
          </cell>
          <cell r="X45">
            <v>131.26681927478336</v>
          </cell>
          <cell r="Y45">
            <v>3.1459115042380059</v>
          </cell>
          <cell r="Z45">
            <v>-2.1611298303565462E-2</v>
          </cell>
          <cell r="AA45">
            <v>7.2105976255954927E-4</v>
          </cell>
          <cell r="AB45"/>
          <cell r="AC45">
            <v>5.0130608196139672</v>
          </cell>
          <cell r="AE45"/>
          <cell r="AF45">
            <v>126.46825908883197</v>
          </cell>
          <cell r="AG45">
            <v>3.2192573275731049</v>
          </cell>
          <cell r="AH45">
            <v>-2.0527347869488219E-2</v>
          </cell>
          <cell r="AI45">
            <v>6.8941292939915695E-4</v>
          </cell>
          <cell r="AJ45">
            <v>192.65656152701871</v>
          </cell>
          <cell r="AK45">
            <v>34.727258808363999</v>
          </cell>
          <cell r="AL45">
            <v>-0.52580351822506177</v>
          </cell>
          <cell r="AM45">
            <v>4.5254094690584277E-3</v>
          </cell>
          <cell r="AN45"/>
          <cell r="AO45"/>
          <cell r="AP45"/>
          <cell r="AQ45"/>
          <cell r="AR45">
            <v>192.65656152701871</v>
          </cell>
          <cell r="AS45">
            <v>34.727258808363999</v>
          </cell>
          <cell r="AT45">
            <v>-0.52580351822506177</v>
          </cell>
          <cell r="AU45">
            <v>4.5254094690584277E-3</v>
          </cell>
          <cell r="AV45">
            <v>307.46900518874776</v>
          </cell>
          <cell r="AW45">
            <v>64.131701710327988</v>
          </cell>
          <cell r="AX45">
            <v>-0.9178429383932708</v>
          </cell>
          <cell r="AY45">
            <v>6.9184487771448552E-3</v>
          </cell>
          <cell r="AZ45"/>
          <cell r="BA45"/>
          <cell r="BB45"/>
          <cell r="BC45"/>
          <cell r="BD45">
            <v>307.46900518874776</v>
          </cell>
          <cell r="BE45">
            <v>64.131701710327988</v>
          </cell>
          <cell r="BF45">
            <v>-0.9178429383932708</v>
          </cell>
          <cell r="BG45">
            <v>6.9184487771448552E-3</v>
          </cell>
          <cell r="BH45">
            <v>635.49820084613077</v>
          </cell>
          <cell r="BI45">
            <v>26.065635932561914</v>
          </cell>
          <cell r="BJ45">
            <v>-0.32571493606817237</v>
          </cell>
          <cell r="BK45">
            <v>3.2534212413552967E-3</v>
          </cell>
          <cell r="BL45"/>
          <cell r="BM45"/>
          <cell r="BN45"/>
          <cell r="BO45"/>
          <cell r="BP45">
            <v>635.49820084613077</v>
          </cell>
          <cell r="BQ45">
            <v>26.065635932561914</v>
          </cell>
          <cell r="BR45">
            <v>-0.32571493606817237</v>
          </cell>
          <cell r="BS45">
            <v>3.2534212413552967E-3</v>
          </cell>
        </row>
        <row r="46">
          <cell r="B46">
            <v>2029</v>
          </cell>
          <cell r="D46">
            <v>83.545913091127119</v>
          </cell>
          <cell r="E46">
            <v>3.2845038627721772</v>
          </cell>
          <cell r="F46">
            <v>-6.0744379565807428E-3</v>
          </cell>
          <cell r="G46">
            <v>1.8279889731011263E-4</v>
          </cell>
          <cell r="H46">
            <v>41.491364729625971</v>
          </cell>
          <cell r="I46">
            <v>5.2423813058046438</v>
          </cell>
          <cell r="J46">
            <v>-4.9824152426387873E-2</v>
          </cell>
          <cell r="K46">
            <v>3.9176585366989766E-4</v>
          </cell>
          <cell r="L46"/>
          <cell r="M46">
            <v>2.0117540259064617</v>
          </cell>
          <cell r="P46">
            <v>57.090252941900225</v>
          </cell>
          <cell r="Q46">
            <v>4.1434946228194987</v>
          </cell>
          <cell r="R46">
            <v>-2.6883605526310313E-2</v>
          </cell>
          <cell r="S46">
            <v>2.7109032796002164E-4</v>
          </cell>
          <cell r="T46">
            <v>175.23461796671174</v>
          </cell>
          <cell r="U46">
            <v>3.1014945161320719</v>
          </cell>
          <cell r="V46">
            <v>6.1069478451790315E-3</v>
          </cell>
          <cell r="W46">
            <v>3.3369288241094376E-4</v>
          </cell>
          <cell r="X46">
            <v>131.84716043841786</v>
          </cell>
          <cell r="Y46">
            <v>3.159819831971908</v>
          </cell>
          <cell r="Z46">
            <v>-2.1706843591205054E-2</v>
          </cell>
          <cell r="AA46">
            <v>7.2424762575274391E-4</v>
          </cell>
          <cell r="AB46"/>
          <cell r="AC46">
            <v>4.8842540891761725</v>
          </cell>
          <cell r="AE46"/>
          <cell r="AF46">
            <v>125.82695044718663</v>
          </cell>
          <cell r="AG46">
            <v>3.2427736940782754</v>
          </cell>
          <cell r="AH46">
            <v>-2.0426281144430965E-2</v>
          </cell>
          <cell r="AI46">
            <v>6.8597141137730956E-4</v>
          </cell>
          <cell r="AJ46">
            <v>195.09575915985661</v>
          </cell>
          <cell r="AK46">
            <v>35.166935748557037</v>
          </cell>
          <cell r="AL46">
            <v>-0.53246064262729786</v>
          </cell>
          <cell r="AM46">
            <v>4.5827050419527957E-3</v>
          </cell>
          <cell r="AN46"/>
          <cell r="AO46"/>
          <cell r="AP46"/>
          <cell r="AQ46"/>
          <cell r="AR46">
            <v>195.09575915985661</v>
          </cell>
          <cell r="AS46">
            <v>35.166935748557037</v>
          </cell>
          <cell r="AT46">
            <v>-0.53246064262729786</v>
          </cell>
          <cell r="AU46">
            <v>4.5827050419527957E-3</v>
          </cell>
          <cell r="AV46">
            <v>311.36182702509223</v>
          </cell>
          <cell r="AW46">
            <v>64.943664167053143</v>
          </cell>
          <cell r="AX46">
            <v>-0.92946361876304828</v>
          </cell>
          <cell r="AY46">
            <v>7.0060422841936943E-3</v>
          </cell>
          <cell r="AZ46"/>
          <cell r="BA46"/>
          <cell r="BB46"/>
          <cell r="BC46"/>
          <cell r="BD46">
            <v>311.36182702509223</v>
          </cell>
          <cell r="BE46">
            <v>64.943664167053143</v>
          </cell>
          <cell r="BF46">
            <v>-0.92946361876304828</v>
          </cell>
          <cell r="BG46">
            <v>7.0060422841936943E-3</v>
          </cell>
          <cell r="BH46">
            <v>643.54415419903148</v>
          </cell>
          <cell r="BI46">
            <v>26.395649283579825</v>
          </cell>
          <cell r="BJ46">
            <v>-0.32983876706951626</v>
          </cell>
          <cell r="BK46">
            <v>3.294612350174217E-3</v>
          </cell>
          <cell r="BL46"/>
          <cell r="BM46"/>
          <cell r="BN46"/>
          <cell r="BO46"/>
          <cell r="BP46">
            <v>643.54415419903148</v>
          </cell>
          <cell r="BQ46">
            <v>26.395649283579825</v>
          </cell>
          <cell r="BR46">
            <v>-0.32983876706951626</v>
          </cell>
          <cell r="BS46">
            <v>3.294612350174217E-3</v>
          </cell>
        </row>
        <row r="47">
          <cell r="B47">
            <v>2030</v>
          </cell>
          <cell r="D47">
            <v>84.155283010139428</v>
          </cell>
          <cell r="E47">
            <v>3.3084604846917918</v>
          </cell>
          <cell r="F47">
            <v>-6.1187438912302253E-3</v>
          </cell>
          <cell r="G47">
            <v>1.8413220189830834E-4</v>
          </cell>
          <cell r="H47">
            <v>42.003144088298377</v>
          </cell>
          <cell r="I47">
            <v>5.307043978630281</v>
          </cell>
          <cell r="J47">
            <v>-5.0438713382416553E-2</v>
          </cell>
          <cell r="K47">
            <v>3.9659812849738164E-4</v>
          </cell>
          <cell r="L47"/>
          <cell r="M47">
            <v>1.9156415672756584</v>
          </cell>
          <cell r="P47">
            <v>57.13595431865317</v>
          </cell>
          <cell r="Q47">
            <v>4.1496535647422981</v>
          </cell>
          <cell r="R47">
            <v>-2.6796808996322641E-2</v>
          </cell>
          <cell r="S47">
            <v>2.7061083424102512E-4</v>
          </cell>
          <cell r="T47">
            <v>175.15286471639047</v>
          </cell>
          <cell r="U47">
            <v>3.100047557417581</v>
          </cell>
          <cell r="V47">
            <v>6.1040987344172489E-3</v>
          </cell>
          <cell r="W47">
            <v>3.335372026824591E-4</v>
          </cell>
          <cell r="X47">
            <v>133.10866526998865</v>
          </cell>
          <cell r="Y47">
            <v>3.1900527772372529</v>
          </cell>
          <cell r="Z47">
            <v>-2.1914533221966927E-2</v>
          </cell>
          <cell r="AA47">
            <v>7.3117717869952518E-4</v>
          </cell>
          <cell r="AB47"/>
          <cell r="AC47">
            <v>4.7090536776607328</v>
          </cell>
          <cell r="AE47"/>
          <cell r="AF47">
            <v>125.6499300069466</v>
          </cell>
          <cell r="AG47">
            <v>3.2783533629296508</v>
          </cell>
          <cell r="AH47">
            <v>-2.0401190133484785E-2</v>
          </cell>
          <cell r="AI47">
            <v>6.850719377452238E-4</v>
          </cell>
          <cell r="AJ47">
            <v>198.37612974462471</v>
          </cell>
          <cell r="AK47">
            <v>35.758238102246189</v>
          </cell>
          <cell r="AL47">
            <v>-0.54141351908726298</v>
          </cell>
          <cell r="AM47">
            <v>4.6597593607295186E-3</v>
          </cell>
          <cell r="AN47"/>
          <cell r="AO47"/>
          <cell r="AP47"/>
          <cell r="AQ47"/>
          <cell r="AR47">
            <v>198.37612974462471</v>
          </cell>
          <cell r="AS47">
            <v>35.758238102246189</v>
          </cell>
          <cell r="AT47">
            <v>-0.54141351908726298</v>
          </cell>
          <cell r="AU47">
            <v>4.6597593607295186E-3</v>
          </cell>
          <cell r="AV47">
            <v>316.59711344541807</v>
          </cell>
          <cell r="AW47">
            <v>66.035637085983169</v>
          </cell>
          <cell r="AX47">
            <v>-0.94509176530878702</v>
          </cell>
          <cell r="AY47">
            <v>7.1238429740891583E-3</v>
          </cell>
          <cell r="AZ47"/>
          <cell r="BA47"/>
          <cell r="BB47"/>
          <cell r="BC47"/>
          <cell r="BD47">
            <v>316.59711344541807</v>
          </cell>
          <cell r="BE47">
            <v>66.035637085983169</v>
          </cell>
          <cell r="BF47">
            <v>-0.94509176530878702</v>
          </cell>
          <cell r="BG47">
            <v>7.1238429740891583E-3</v>
          </cell>
          <cell r="BH47">
            <v>654.36480618308724</v>
          </cell>
          <cell r="BI47">
            <v>26.839469855839226</v>
          </cell>
          <cell r="BJ47">
            <v>-0.33538472764739052</v>
          </cell>
          <cell r="BK47">
            <v>3.3500084771236997E-3</v>
          </cell>
          <cell r="BL47"/>
          <cell r="BM47"/>
          <cell r="BN47"/>
          <cell r="BO47"/>
          <cell r="BP47">
            <v>654.36480618308724</v>
          </cell>
          <cell r="BQ47">
            <v>26.839469855839226</v>
          </cell>
          <cell r="BR47">
            <v>-0.33538472764739052</v>
          </cell>
          <cell r="BS47">
            <v>3.3500084771236997E-3</v>
          </cell>
        </row>
        <row r="48">
          <cell r="B48">
            <v>2031</v>
          </cell>
          <cell r="D48">
            <v>83.607743801070029</v>
          </cell>
          <cell r="E48">
            <v>3.2869346603795231</v>
          </cell>
          <cell r="F48">
            <v>-6.0789335303013843E-3</v>
          </cell>
          <cell r="G48">
            <v>1.8293418322870846E-4</v>
          </cell>
          <cell r="H48">
            <v>41.859100977132535</v>
          </cell>
          <cell r="I48">
            <v>5.288844314239233</v>
          </cell>
          <cell r="J48">
            <v>-5.026574182620322E-2</v>
          </cell>
          <cell r="K48">
            <v>3.9523805820856656E-4</v>
          </cell>
          <cell r="L48"/>
          <cell r="M48">
            <v>1.9156415672756584</v>
          </cell>
          <cell r="P48">
            <v>56.328991729952193</v>
          </cell>
          <cell r="Q48">
            <v>4.1028186357763259</v>
          </cell>
          <cell r="R48">
            <v>-2.630005387469438E-2</v>
          </cell>
          <cell r="S48">
            <v>2.6602822231657647E-4</v>
          </cell>
          <cell r="T48">
            <v>173.19510750662459</v>
          </cell>
          <cell r="U48">
            <v>3.0653970224921112</v>
          </cell>
          <cell r="V48">
            <v>6.0358706564707177E-3</v>
          </cell>
          <cell r="W48">
            <v>3.2980911713653303E-4</v>
          </cell>
          <cell r="X48">
            <v>132.83448501630494</v>
          </cell>
          <cell r="Y48">
            <v>3.1834818340311641</v>
          </cell>
          <cell r="Z48">
            <v>-2.1869393168417656E-2</v>
          </cell>
          <cell r="AA48">
            <v>7.2967108333047489E-4</v>
          </cell>
          <cell r="AB48"/>
          <cell r="AC48">
            <v>4.7090536776607328</v>
          </cell>
          <cell r="AE48"/>
          <cell r="AF48">
            <v>124.04707688412505</v>
          </cell>
          <cell r="AG48">
            <v>3.2871849914193541</v>
          </cell>
          <cell r="AH48">
            <v>-2.0144431887202021E-2</v>
          </cell>
          <cell r="AI48">
            <v>6.7639559587092941E-4</v>
          </cell>
          <cell r="AJ48">
            <v>199.15402022518933</v>
          </cell>
          <cell r="AK48">
            <v>35.89845655018803</v>
          </cell>
          <cell r="AL48">
            <v>-0.54353655890606145</v>
          </cell>
          <cell r="AM48">
            <v>4.6780316319604354E-3</v>
          </cell>
          <cell r="AN48"/>
          <cell r="AO48"/>
          <cell r="AP48"/>
          <cell r="AQ48"/>
          <cell r="AR48">
            <v>199.15402022518933</v>
          </cell>
          <cell r="AS48">
            <v>35.89845655018803</v>
          </cell>
          <cell r="AT48">
            <v>-0.54353655890606145</v>
          </cell>
          <cell r="AU48">
            <v>4.6780316319604354E-3</v>
          </cell>
          <cell r="AV48">
            <v>317.83858277461849</v>
          </cell>
          <cell r="AW48">
            <v>66.294582018185125</v>
          </cell>
          <cell r="AX48">
            <v>-0.94879774489635205</v>
          </cell>
          <cell r="AY48">
            <v>7.1517776335752311E-3</v>
          </cell>
          <cell r="AZ48"/>
          <cell r="BA48"/>
          <cell r="BB48"/>
          <cell r="BC48"/>
          <cell r="BD48">
            <v>317.83858277461849</v>
          </cell>
          <cell r="BE48">
            <v>66.294582018185125</v>
          </cell>
          <cell r="BF48">
            <v>-0.94879774489635205</v>
          </cell>
          <cell r="BG48">
            <v>7.1517776335752311E-3</v>
          </cell>
          <cell r="BH48">
            <v>656.93076083802293</v>
          </cell>
          <cell r="BI48">
            <v>26.944715220446028</v>
          </cell>
          <cell r="BJ48">
            <v>-0.33669986867418406</v>
          </cell>
          <cell r="BK48">
            <v>3.3631448343432908E-3</v>
          </cell>
          <cell r="BL48"/>
          <cell r="BM48"/>
          <cell r="BN48"/>
          <cell r="BO48"/>
          <cell r="BP48">
            <v>656.93076083802293</v>
          </cell>
          <cell r="BQ48">
            <v>26.944715220446028</v>
          </cell>
          <cell r="BR48">
            <v>-0.33669986867418406</v>
          </cell>
          <cell r="BS48">
            <v>3.3631448343432908E-3</v>
          </cell>
        </row>
        <row r="49">
          <cell r="B49">
            <v>2032</v>
          </cell>
          <cell r="D49">
            <v>83.523618094321932</v>
          </cell>
          <cell r="E49">
            <v>3.2836273626488586</v>
          </cell>
          <cell r="F49">
            <v>-6.0728169368345387E-3</v>
          </cell>
          <cell r="G49">
            <v>1.8275011573982712E-4</v>
          </cell>
          <cell r="H49">
            <v>41.918431694282653</v>
          </cell>
          <cell r="I49">
            <v>5.2963406750958733</v>
          </cell>
          <cell r="J49">
            <v>-5.0336988041267912E-2</v>
          </cell>
          <cell r="K49">
            <v>3.957982651143801E-4</v>
          </cell>
          <cell r="L49"/>
          <cell r="M49">
            <v>1.9156415672756584</v>
          </cell>
          <cell r="P49">
            <v>55.806216319596317</v>
          </cell>
          <cell r="Q49">
            <v>4.0767239296651923</v>
          </cell>
          <cell r="R49">
            <v>-2.5946769708005399E-2</v>
          </cell>
          <cell r="S49">
            <v>2.6285709963078021E-4</v>
          </cell>
          <cell r="T49">
            <v>171.41572525179569</v>
          </cell>
          <cell r="U49">
            <v>3.0339035632116915</v>
          </cell>
          <cell r="V49">
            <v>5.9738589674964461E-3</v>
          </cell>
          <cell r="W49">
            <v>3.2642070450200703E-4</v>
          </cell>
          <cell r="X49">
            <v>132.72758301023396</v>
          </cell>
          <cell r="Y49">
            <v>3.1809198442413389</v>
          </cell>
          <cell r="Z49">
            <v>-2.1851793205569368E-2</v>
          </cell>
          <cell r="AA49">
            <v>7.2908386155165418E-4</v>
          </cell>
          <cell r="AB49"/>
          <cell r="AC49">
            <v>4.7090536776607328</v>
          </cell>
          <cell r="AD49"/>
          <cell r="AE49"/>
          <cell r="AF49">
            <v>122.59269363417033</v>
          </cell>
          <cell r="AG49">
            <v>3.2999740888337996</v>
          </cell>
          <cell r="AH49">
            <v>-1.9911858051420823E-2</v>
          </cell>
          <cell r="AI49">
            <v>6.6853014964267442E-4</v>
          </cell>
          <cell r="AJ49">
            <v>199.93723351451635</v>
          </cell>
          <cell r="AK49">
            <v>36.039634459650486</v>
          </cell>
          <cell r="AL49">
            <v>-0.54567412587904529</v>
          </cell>
          <cell r="AM49">
            <v>4.6964289333952785E-3</v>
          </cell>
          <cell r="AN49"/>
          <cell r="AO49"/>
          <cell r="AP49"/>
          <cell r="AQ49"/>
          <cell r="AR49">
            <v>199.93723351451635</v>
          </cell>
          <cell r="AS49">
            <v>36.039634459650486</v>
          </cell>
          <cell r="AT49">
            <v>-0.54567412587904529</v>
          </cell>
          <cell r="AU49">
            <v>4.6964289333952785E-3</v>
          </cell>
          <cell r="AV49">
            <v>319.08854700636465</v>
          </cell>
          <cell r="AW49">
            <v>66.555298812093241</v>
          </cell>
          <cell r="AX49">
            <v>-0.95252908309302053</v>
          </cell>
          <cell r="AY49">
            <v>7.1799034393138965E-3</v>
          </cell>
          <cell r="AZ49"/>
          <cell r="BA49"/>
          <cell r="BB49"/>
          <cell r="BC49"/>
          <cell r="BD49">
            <v>319.08854700636465</v>
          </cell>
          <cell r="BE49">
            <v>66.555298812093241</v>
          </cell>
          <cell r="BF49">
            <v>-0.95252908309302053</v>
          </cell>
          <cell r="BG49">
            <v>7.1799034393138965E-3</v>
          </cell>
          <cell r="BH49">
            <v>659.51427334494724</v>
          </cell>
          <cell r="BI49">
            <v>27.050680739062837</v>
          </cell>
          <cell r="BJ49">
            <v>-0.33802400871093596</v>
          </cell>
          <cell r="BK49">
            <v>3.3763710786601808E-3</v>
          </cell>
          <cell r="BL49"/>
          <cell r="BM49"/>
          <cell r="BN49"/>
          <cell r="BO49"/>
          <cell r="BP49">
            <v>659.51427334494724</v>
          </cell>
          <cell r="BQ49">
            <v>27.050680739062837</v>
          </cell>
          <cell r="BR49">
            <v>-0.33802400871093596</v>
          </cell>
          <cell r="BS49">
            <v>3.3763710786601808E-3</v>
          </cell>
        </row>
        <row r="50">
          <cell r="B50">
            <v>2033</v>
          </cell>
          <cell r="D50">
            <v>83.563989475769972</v>
          </cell>
          <cell r="E50">
            <v>3.2852145133951427</v>
          </cell>
          <cell r="F50">
            <v>-6.0757522503975155E-3</v>
          </cell>
          <cell r="G50">
            <v>1.8283844853479625E-4</v>
          </cell>
          <cell r="H50">
            <v>42.014474402331395</v>
          </cell>
          <cell r="I50">
            <v>5.3084755494369444</v>
          </cell>
          <cell r="J50">
            <v>-5.0452319184421342E-2</v>
          </cell>
          <cell r="K50">
            <v>3.9670511052071152E-4</v>
          </cell>
          <cell r="L50"/>
          <cell r="M50">
            <v>1.9156415672756584</v>
          </cell>
          <cell r="N50"/>
          <cell r="O50"/>
          <cell r="P50">
            <v>55.335695049619716</v>
          </cell>
          <cell r="Q50">
            <v>4.0552618833710792</v>
          </cell>
          <cell r="R50">
            <v>-2.5628956557757657E-2</v>
          </cell>
          <cell r="S50">
            <v>2.6000396590300897E-4</v>
          </cell>
          <cell r="T50">
            <v>169.81787244313662</v>
          </cell>
          <cell r="U50">
            <v>3.0056230112229074</v>
          </cell>
          <cell r="V50">
            <v>5.9181736018992931E-3</v>
          </cell>
          <cell r="W50">
            <v>3.2337797176131558E-4</v>
          </cell>
          <cell r="X50">
            <v>132.77563761660238</v>
          </cell>
          <cell r="Y50">
            <v>3.1820715102894792</v>
          </cell>
          <cell r="Z50">
            <v>-2.1859704743601799E-2</v>
          </cell>
          <cell r="AA50">
            <v>7.2934782957685164E-4</v>
          </cell>
          <cell r="AB50"/>
          <cell r="AC50">
            <v>4.7090536776607328</v>
          </cell>
          <cell r="AD50"/>
          <cell r="AE50"/>
          <cell r="AF50">
            <v>121.27856050339423</v>
          </cell>
          <cell r="AG50">
            <v>3.316243831903456</v>
          </cell>
          <cell r="AH50">
            <v>-1.9702086909992783E-2</v>
          </cell>
          <cell r="AI50">
            <v>6.6142993551607265E-4</v>
          </cell>
          <cell r="AJ50">
            <v>200.72580603456217</v>
          </cell>
          <cell r="AK50">
            <v>36.181778395863915</v>
          </cell>
          <cell r="AL50">
            <v>-0.54782631941000648</v>
          </cell>
          <cell r="AM50">
            <v>4.7149521205681897E-3</v>
          </cell>
          <cell r="AN50"/>
          <cell r="AO50"/>
          <cell r="AP50"/>
          <cell r="AQ50"/>
          <cell r="AR50">
            <v>200.72580603456217</v>
          </cell>
          <cell r="AS50">
            <v>36.181778395863915</v>
          </cell>
          <cell r="AT50">
            <v>-0.54782631941000648</v>
          </cell>
          <cell r="AU50">
            <v>4.7149521205681897E-3</v>
          </cell>
          <cell r="AV50">
            <v>320.34706426804468</v>
          </cell>
          <cell r="AW50">
            <v>66.817799591883428</v>
          </cell>
          <cell r="AX50">
            <v>-0.95628595341811207</v>
          </cell>
          <cell r="AY50">
            <v>7.208221699246278E-3</v>
          </cell>
          <cell r="AZ50"/>
          <cell r="BA50"/>
          <cell r="BB50"/>
          <cell r="BC50"/>
          <cell r="BD50">
            <v>320.34706426804468</v>
          </cell>
          <cell r="BE50">
            <v>66.817799591883428</v>
          </cell>
          <cell r="BF50">
            <v>-0.95628595341811207</v>
          </cell>
          <cell r="BG50">
            <v>7.208221699246278E-3</v>
          </cell>
          <cell r="BH50">
            <v>662.11546384556527</v>
          </cell>
          <cell r="BI50">
            <v>27.157371339429719</v>
          </cell>
          <cell r="BJ50">
            <v>-0.33935720933444974</v>
          </cell>
          <cell r="BK50">
            <v>3.3896878251375973E-3</v>
          </cell>
          <cell r="BL50"/>
          <cell r="BM50"/>
          <cell r="BN50"/>
          <cell r="BO50"/>
          <cell r="BP50">
            <v>662.11546384556527</v>
          </cell>
          <cell r="BQ50">
            <v>27.157371339429719</v>
          </cell>
          <cell r="BR50">
            <v>-0.33935720933444974</v>
          </cell>
          <cell r="BS50">
            <v>3.3896878251375973E-3</v>
          </cell>
        </row>
        <row r="51">
          <cell r="B51">
            <v>2034</v>
          </cell>
          <cell r="D51">
            <v>83.379574855435266</v>
          </cell>
          <cell r="E51">
            <v>3.2779644815212881</v>
          </cell>
          <cell r="F51">
            <v>-6.0623438725599579E-3</v>
          </cell>
          <cell r="G51">
            <v>1.8243494837544942E-4</v>
          </cell>
          <cell r="H51">
            <v>41.975364781514187</v>
          </cell>
          <cell r="I51">
            <v>5.3035340984534622</v>
          </cell>
          <cell r="J51">
            <v>-5.0405355105952662E-2</v>
          </cell>
          <cell r="K51">
            <v>3.9633583334494247E-4</v>
          </cell>
          <cell r="L51"/>
          <cell r="M51">
            <v>1.9156415672756584</v>
          </cell>
          <cell r="N51"/>
          <cell r="O51"/>
          <cell r="P51">
            <v>54.688936493457994</v>
          </cell>
          <cell r="Q51">
            <v>4.0224138762681498</v>
          </cell>
          <cell r="R51">
            <v>-2.5237874281134023E-2</v>
          </cell>
          <cell r="S51">
            <v>2.5637648238077221E-4</v>
          </cell>
          <cell r="T51">
            <v>168.39453025368263</v>
          </cell>
          <cell r="U51">
            <v>2.9804311396258831</v>
          </cell>
          <cell r="V51">
            <v>5.868569952702022E-3</v>
          </cell>
          <cell r="W51">
            <v>3.206675532186379E-4</v>
          </cell>
          <cell r="X51">
            <v>132.95300032304849</v>
          </cell>
          <cell r="Y51">
            <v>3.1863221456115975</v>
          </cell>
          <cell r="Z51">
            <v>-2.1888905103434626E-2</v>
          </cell>
          <cell r="AA51">
            <v>7.3032209795406613E-4</v>
          </cell>
          <cell r="AB51"/>
          <cell r="AC51">
            <v>4.7090536776607328</v>
          </cell>
          <cell r="AD51"/>
          <cell r="AE51"/>
          <cell r="AF51">
            <v>120.049783268811</v>
          </cell>
          <cell r="AG51">
            <v>3.335644290420583</v>
          </cell>
          <cell r="AH51">
            <v>-1.9506008694465487E-2</v>
          </cell>
          <cell r="AI51">
            <v>6.5479211632435983E-4</v>
          </cell>
          <cell r="AJ51">
            <v>201.51977445650468</v>
          </cell>
          <cell r="AK51">
            <v>36.324894968982029</v>
          </cell>
          <cell r="AL51">
            <v>-0.54999323958291957</v>
          </cell>
          <cell r="AM51">
            <v>4.7336020548674074E-3</v>
          </cell>
          <cell r="AN51"/>
          <cell r="AO51"/>
          <cell r="AP51"/>
          <cell r="AQ51"/>
          <cell r="AR51">
            <v>201.51977445650468</v>
          </cell>
          <cell r="AS51">
            <v>36.324894968982029</v>
          </cell>
          <cell r="AT51">
            <v>-0.54999323958291957</v>
          </cell>
          <cell r="AU51">
            <v>4.7336020548674074E-3</v>
          </cell>
          <cell r="AV51">
            <v>321.61419308478992</v>
          </cell>
          <cell r="AW51">
            <v>67.082096564692705</v>
          </cell>
          <cell r="AX51">
            <v>-0.96006853057827268</v>
          </cell>
          <cell r="AY51">
            <v>7.2367337302632409E-3</v>
          </cell>
          <cell r="AZ51"/>
          <cell r="BA51"/>
          <cell r="BB51"/>
          <cell r="BC51"/>
          <cell r="BD51">
            <v>321.61419308478992</v>
          </cell>
          <cell r="BE51">
            <v>67.082096564692705</v>
          </cell>
          <cell r="BF51">
            <v>-0.96006853057827268</v>
          </cell>
          <cell r="BG51">
            <v>7.2367337302632409E-3</v>
          </cell>
          <cell r="BH51">
            <v>664.73445330366553</v>
          </cell>
          <cell r="BI51">
            <v>27.26479198300537</v>
          </cell>
          <cell r="BJ51">
            <v>-0.34069953254287511</v>
          </cell>
          <cell r="BK51">
            <v>3.4030956930474108E-3</v>
          </cell>
          <cell r="BL51"/>
          <cell r="BM51"/>
          <cell r="BN51"/>
          <cell r="BO51"/>
          <cell r="BP51">
            <v>664.73445330366553</v>
          </cell>
          <cell r="BQ51">
            <v>27.26479198300537</v>
          </cell>
          <cell r="BR51">
            <v>-0.34069953254287511</v>
          </cell>
          <cell r="BS51">
            <v>3.4030956930474108E-3</v>
          </cell>
        </row>
        <row r="52">
          <cell r="B52">
            <v>2035</v>
          </cell>
          <cell r="D52">
            <v>83.622083761571318</v>
          </cell>
          <cell r="E52">
            <v>3.2874984181256033</v>
          </cell>
          <cell r="F52">
            <v>-6.0799761570097654E-3</v>
          </cell>
          <cell r="G52">
            <v>1.8296555913771607E-4</v>
          </cell>
          <cell r="H52">
            <v>42.133728393601587</v>
          </cell>
          <cell r="I52">
            <v>5.323543139971779</v>
          </cell>
          <cell r="J52">
            <v>-5.0595523175835454E-2</v>
          </cell>
          <cell r="K52">
            <v>3.9783111931791435E-4</v>
          </cell>
          <cell r="L52"/>
          <cell r="M52">
            <v>1.9156415672756584</v>
          </cell>
          <cell r="N52"/>
          <cell r="O52"/>
          <cell r="P52">
            <v>54.306113201761946</v>
          </cell>
          <cell r="Q52">
            <v>4.0082333566363433</v>
          </cell>
          <cell r="R52">
            <v>-2.4973469925322636E-2</v>
          </cell>
          <cell r="S52">
            <v>2.5401766201911655E-4</v>
          </cell>
          <cell r="T52">
            <v>167.12452524330192</v>
          </cell>
          <cell r="U52">
            <v>2.9579531976480928</v>
          </cell>
          <cell r="V52">
            <v>5.8243101229292068E-3</v>
          </cell>
          <cell r="W52">
            <v>3.1824912906530781E-4</v>
          </cell>
          <cell r="X52">
            <v>133.22688152267165</v>
          </cell>
          <cell r="Y52">
            <v>3.1928859217543359</v>
          </cell>
          <cell r="Z52">
            <v>-2.1933995921795998E-2</v>
          </cell>
          <cell r="AA52">
            <v>7.3182655059381803E-4</v>
          </cell>
          <cell r="AB52"/>
          <cell r="AC52">
            <v>4.7090536776607328</v>
          </cell>
          <cell r="AD52"/>
          <cell r="AE52"/>
          <cell r="AF52">
            <v>118.90602026532086</v>
          </cell>
          <cell r="AG52">
            <v>3.3570057796744792</v>
          </cell>
          <cell r="AH52">
            <v>-1.9323504782370274E-2</v>
          </cell>
          <cell r="AI52">
            <v>6.4861369318247933E-4</v>
          </cell>
          <cell r="AJ52">
            <v>202.31917570244869</v>
          </cell>
          <cell r="AK52">
            <v>36.468990834389302</v>
          </cell>
          <cell r="AL52">
            <v>-0.55217498716659541</v>
          </cell>
          <cell r="AM52">
            <v>4.7523796035753175E-3</v>
          </cell>
          <cell r="AN52"/>
          <cell r="AO52"/>
          <cell r="AP52"/>
          <cell r="AQ52"/>
          <cell r="AR52">
            <v>202.31917570244869</v>
          </cell>
          <cell r="AS52">
            <v>36.468990834389302</v>
          </cell>
          <cell r="AT52">
            <v>-0.55217498716659541</v>
          </cell>
          <cell r="AU52">
            <v>4.7523796035753175E-3</v>
          </cell>
          <cell r="AV52">
            <v>322.88999238219708</v>
          </cell>
          <cell r="AW52">
            <v>67.348202021186893</v>
          </cell>
          <cell r="AX52">
            <v>-0.96387699047559927</v>
          </cell>
          <cell r="AY52">
            <v>7.265440858266632E-3</v>
          </cell>
          <cell r="AZ52"/>
          <cell r="BA52"/>
          <cell r="BB52"/>
          <cell r="BC52"/>
          <cell r="BD52">
            <v>322.88999238219708</v>
          </cell>
          <cell r="BE52">
            <v>67.348202021186893</v>
          </cell>
          <cell r="BF52">
            <v>-0.96387699047559927</v>
          </cell>
          <cell r="BG52">
            <v>7.265440858266632E-3</v>
          </cell>
          <cell r="BH52">
            <v>667.37136351074571</v>
          </cell>
          <cell r="BI52">
            <v>27.372947665197856</v>
          </cell>
          <cell r="BJ52">
            <v>-0.34205104075859172</v>
          </cell>
          <cell r="BK52">
            <v>3.4165953058989322E-3</v>
          </cell>
          <cell r="BL52"/>
          <cell r="BM52"/>
          <cell r="BN52"/>
          <cell r="BO52"/>
          <cell r="BP52">
            <v>667.37136351074571</v>
          </cell>
          <cell r="BQ52">
            <v>27.372947665197856</v>
          </cell>
          <cell r="BR52">
            <v>-0.34205104075859172</v>
          </cell>
          <cell r="BS52">
            <v>3.4165953058989322E-3</v>
          </cell>
        </row>
        <row r="53">
          <cell r="B53">
            <v>2036</v>
          </cell>
          <cell r="D53">
            <v>83.96694851910101</v>
          </cell>
          <cell r="E53">
            <v>3.3010563479671835</v>
          </cell>
          <cell r="F53">
            <v>-6.1050505082918018E-3</v>
          </cell>
          <cell r="G53">
            <v>1.8372012504124251E-4</v>
          </cell>
          <cell r="H53">
            <v>42.301345853973459</v>
          </cell>
          <cell r="I53">
            <v>5.3447213934832263</v>
          </cell>
          <cell r="J53">
            <v>-5.0796803561508792E-2</v>
          </cell>
          <cell r="K53">
            <v>3.9941378110502299E-4</v>
          </cell>
          <cell r="L53"/>
          <cell r="M53">
            <v>1.9156415672756584</v>
          </cell>
          <cell r="N53"/>
          <cell r="O53"/>
          <cell r="P53">
            <v>54.527357896140195</v>
          </cell>
          <cell r="Q53">
            <v>4.0233843244389398</v>
          </cell>
          <cell r="R53">
            <v>-2.5073198293004587E-2</v>
          </cell>
          <cell r="S53">
            <v>2.5503958512071591E-4</v>
          </cell>
          <cell r="T53">
            <v>167.8137613431775</v>
          </cell>
          <cell r="U53">
            <v>2.9701520542946174</v>
          </cell>
          <cell r="V53">
            <v>5.8483300852163076E-3</v>
          </cell>
          <cell r="W53">
            <v>3.1956161619540704E-4</v>
          </cell>
          <cell r="X53">
            <v>133.75688806103167</v>
          </cell>
          <cell r="Y53">
            <v>3.2055879410122103</v>
          </cell>
          <cell r="Z53">
            <v>-2.2021254297268335E-2</v>
          </cell>
          <cell r="AA53">
            <v>7.3473792142474288E-4</v>
          </cell>
          <cell r="AB53"/>
          <cell r="AC53">
            <v>4.7090536776607328</v>
          </cell>
          <cell r="AD53"/>
          <cell r="AE53"/>
          <cell r="AF53">
            <v>119.37924000419302</v>
          </cell>
          <cell r="AG53">
            <v>3.368314113462604</v>
          </cell>
          <cell r="AH53">
            <v>-1.9400371595476109E-2</v>
          </cell>
          <cell r="AI53">
            <v>6.5119437645675771E-4</v>
          </cell>
          <cell r="AJ53">
            <v>203.12404694714311</v>
          </cell>
          <cell r="AK53">
            <v>36.614072693010527</v>
          </cell>
          <cell r="AL53">
            <v>-0.55437166361936785</v>
          </cell>
          <cell r="AM53">
            <v>4.7712856399087971E-3</v>
          </cell>
          <cell r="AN53"/>
          <cell r="AO53"/>
          <cell r="AP53"/>
          <cell r="AQ53"/>
          <cell r="AR53">
            <v>203.12404694714311</v>
          </cell>
          <cell r="AS53">
            <v>36.614072693010527</v>
          </cell>
          <cell r="AT53">
            <v>-0.55437166361936785</v>
          </cell>
          <cell r="AU53">
            <v>4.7712856399087971E-3</v>
          </cell>
          <cell r="AV53">
            <v>324.17452148906852</v>
          </cell>
          <cell r="AW53">
            <v>67.616128336132178</v>
          </cell>
          <cell r="AX53">
            <v>-0.96771151021582102</v>
          </cell>
          <cell r="AY53">
            <v>7.2943444182309485E-3</v>
          </cell>
          <cell r="AZ53"/>
          <cell r="BA53"/>
          <cell r="BB53"/>
          <cell r="BC53"/>
          <cell r="BD53">
            <v>324.17452148906852</v>
          </cell>
          <cell r="BE53">
            <v>67.616128336132178</v>
          </cell>
          <cell r="BF53">
            <v>-0.96771151021582102</v>
          </cell>
          <cell r="BG53">
            <v>7.2943444182309485E-3</v>
          </cell>
          <cell r="BH53">
            <v>670.02631709167713</v>
          </cell>
          <cell r="BI53">
            <v>27.481843415596945</v>
          </cell>
          <cell r="BJ53">
            <v>-0.34341179683111195</v>
          </cell>
          <cell r="BK53">
            <v>3.4301872914679144E-3</v>
          </cell>
          <cell r="BL53"/>
          <cell r="BM53"/>
          <cell r="BN53"/>
          <cell r="BO53"/>
          <cell r="BP53">
            <v>670.02631709167713</v>
          </cell>
          <cell r="BQ53">
            <v>27.481843415596945</v>
          </cell>
          <cell r="BR53">
            <v>-0.34341179683111195</v>
          </cell>
          <cell r="BS53">
            <v>3.4301872914679144E-3</v>
          </cell>
        </row>
        <row r="54">
          <cell r="B54">
            <v>2037</v>
          </cell>
          <cell r="D54">
            <v>84.31417305503021</v>
          </cell>
          <cell r="E54">
            <v>3.3147070495672106</v>
          </cell>
          <cell r="F54">
            <v>-6.1302964338250335E-3</v>
          </cell>
          <cell r="G54">
            <v>1.8447985415231995E-4</v>
          </cell>
          <cell r="H54">
            <v>42.470110256889413</v>
          </cell>
          <cell r="I54">
            <v>5.366044561730333</v>
          </cell>
          <cell r="J54">
            <v>-5.0999461232323573E-2</v>
          </cell>
          <cell r="K54">
            <v>4.0100727244492702E-4</v>
          </cell>
          <cell r="L54"/>
          <cell r="M54">
            <v>1.9156415672756584</v>
          </cell>
          <cell r="N54"/>
          <cell r="O54"/>
          <cell r="P54">
            <v>54.750116483832848</v>
          </cell>
          <cell r="Q54">
            <v>4.0386389645529901</v>
          </cell>
          <cell r="R54">
            <v>-2.5173609063984453E-2</v>
          </cell>
          <cell r="S54">
            <v>2.5606850085350898E-4</v>
          </cell>
          <cell r="T54">
            <v>168.50771362359964</v>
          </cell>
          <cell r="U54">
            <v>2.9824343830785081</v>
          </cell>
          <cell r="V54">
            <v>5.872514406971647E-3</v>
          </cell>
          <cell r="W54">
            <v>3.2088308417585883E-4</v>
          </cell>
          <cell r="X54">
            <v>134.29052123259649</v>
          </cell>
          <cell r="Y54">
            <v>3.2183768753578699</v>
          </cell>
          <cell r="Z54">
            <v>-2.2109109748623668E-2</v>
          </cell>
          <cell r="AA54">
            <v>7.3766921365920279E-4</v>
          </cell>
          <cell r="AB54"/>
          <cell r="AC54">
            <v>4.7090536776607328</v>
          </cell>
          <cell r="AD54"/>
          <cell r="AE54"/>
          <cell r="AF54">
            <v>119.85569780579448</v>
          </cell>
          <cell r="AG54">
            <v>3.3796998258787991</v>
          </cell>
          <cell r="AH54">
            <v>-1.9477764378955095E-2</v>
          </cell>
          <cell r="AI54">
            <v>6.5379271836536626E-4</v>
          </cell>
          <cell r="AJ54">
            <v>203.93442561970929</v>
          </cell>
          <cell r="AK54">
            <v>36.760147291622303</v>
          </cell>
          <cell r="AL54">
            <v>-0.55658337109381117</v>
          </cell>
          <cell r="AM54">
            <v>4.7903210430598068E-3</v>
          </cell>
          <cell r="AN54"/>
          <cell r="AO54"/>
          <cell r="AP54"/>
          <cell r="AQ54"/>
          <cell r="AR54">
            <v>203.93442561970929</v>
          </cell>
          <cell r="AS54">
            <v>36.760147291622303</v>
          </cell>
          <cell r="AT54">
            <v>-0.55658337109381117</v>
          </cell>
          <cell r="AU54">
            <v>4.7903210430598068E-3</v>
          </cell>
          <cell r="AV54">
            <v>325.46784014017072</v>
          </cell>
          <cell r="AW54">
            <v>67.885887968970522</v>
          </cell>
          <cell r="AX54">
            <v>-0.97157226811653263</v>
          </cell>
          <cell r="AY54">
            <v>7.3234457542654006E-3</v>
          </cell>
          <cell r="AZ54"/>
          <cell r="BA54"/>
          <cell r="BB54"/>
          <cell r="BC54"/>
          <cell r="BD54">
            <v>325.46784014017072</v>
          </cell>
          <cell r="BE54">
            <v>67.885887968970522</v>
          </cell>
          <cell r="BF54">
            <v>-0.97157226811653263</v>
          </cell>
          <cell r="BG54">
            <v>7.3234457542654006E-3</v>
          </cell>
          <cell r="BH54">
            <v>672.69943751040569</v>
          </cell>
          <cell r="BI54">
            <v>27.591484298207945</v>
          </cell>
          <cell r="BJ54">
            <v>-0.34478186404000316</v>
          </cell>
          <cell r="BK54">
            <v>3.4438722818257352E-3</v>
          </cell>
          <cell r="BL54"/>
          <cell r="BM54"/>
          <cell r="BN54"/>
          <cell r="BO54"/>
          <cell r="BP54">
            <v>672.69943751040569</v>
          </cell>
          <cell r="BQ54">
            <v>27.591484298207945</v>
          </cell>
          <cell r="BR54">
            <v>-0.34478186404000316</v>
          </cell>
          <cell r="BS54">
            <v>3.4438722818257352E-3</v>
          </cell>
        </row>
        <row r="55">
          <cell r="B55">
            <v>2038</v>
          </cell>
          <cell r="D55">
            <v>84.663773516425223</v>
          </cell>
          <cell r="E55">
            <v>3.3284511577275508</v>
          </cell>
          <cell r="F55">
            <v>-6.1557151076268232E-3</v>
          </cell>
          <cell r="G55">
            <v>1.8524478180081437E-4</v>
          </cell>
          <cell r="H55">
            <v>42.640029450441155</v>
          </cell>
          <cell r="I55">
            <v>5.3875136363095315</v>
          </cell>
          <cell r="J55">
            <v>-5.1203505612518331E-2</v>
          </cell>
          <cell r="K55">
            <v>4.0261166744013835E-4</v>
          </cell>
          <cell r="L55"/>
          <cell r="M55">
            <v>1.9156415672756584</v>
          </cell>
          <cell r="N55"/>
          <cell r="O55"/>
          <cell r="P55">
            <v>54.974399323836209</v>
          </cell>
          <cell r="Q55">
            <v>4.0539979863687012</v>
          </cell>
          <cell r="R55">
            <v>-2.5274706907688526E-2</v>
          </cell>
          <cell r="S55">
            <v>2.5710445706541207E-4</v>
          </cell>
          <cell r="T55">
            <v>169.20641435559853</v>
          </cell>
          <cell r="U55">
            <v>2.9948007551678613</v>
          </cell>
          <cell r="V55">
            <v>5.8968642128445718E-3</v>
          </cell>
          <cell r="W55">
            <v>3.2221359445920724E-4</v>
          </cell>
          <cell r="X55">
            <v>134.82780585303809</v>
          </cell>
          <cell r="Y55">
            <v>3.2312533195182116</v>
          </cell>
          <cell r="Z55">
            <v>-2.2197566361425225E-2</v>
          </cell>
          <cell r="AA55">
            <v>7.4062056361178712E-4</v>
          </cell>
          <cell r="AB55"/>
          <cell r="AC55">
            <v>4.7090536776607328</v>
          </cell>
          <cell r="AD55"/>
          <cell r="AE55"/>
          <cell r="AF55">
            <v>120.33541582695725</v>
          </cell>
          <cell r="AG55">
            <v>3.3911634463955944</v>
          </cell>
          <cell r="AH55">
            <v>-1.9555686731822505E-2</v>
          </cell>
          <cell r="AI55">
            <v>6.564088397396252E-4</v>
          </cell>
          <cell r="AJ55">
            <v>204.75034940538202</v>
          </cell>
          <cell r="AK55">
            <v>36.907221423166909</v>
          </cell>
          <cell r="AL55">
            <v>-0.55881021244149121</v>
          </cell>
          <cell r="AM55">
            <v>4.8094866982362873E-3</v>
          </cell>
          <cell r="AN55"/>
          <cell r="AO55"/>
          <cell r="AP55"/>
          <cell r="AQ55"/>
          <cell r="AR55">
            <v>204.75034940538202</v>
          </cell>
          <cell r="AS55">
            <v>36.907221423166909</v>
          </cell>
          <cell r="AT55">
            <v>-0.55881021244149121</v>
          </cell>
          <cell r="AU55">
            <v>4.8094866982362873E-3</v>
          </cell>
          <cell r="AV55">
            <v>326.77000847901257</v>
          </cell>
          <cell r="AW55">
            <v>68.157493464399167</v>
          </cell>
          <cell r="AX55">
            <v>-0.97545944371548987</v>
          </cell>
          <cell r="AY55">
            <v>7.3527462196764336E-3</v>
          </cell>
          <cell r="AZ55"/>
          <cell r="BA55"/>
          <cell r="BB55"/>
          <cell r="BC55"/>
          <cell r="BD55">
            <v>326.77000847901257</v>
          </cell>
          <cell r="BE55">
            <v>68.157493464399167</v>
          </cell>
          <cell r="BF55">
            <v>-0.97545944371548987</v>
          </cell>
          <cell r="BG55">
            <v>7.3527462196764336E-3</v>
          </cell>
          <cell r="BH55">
            <v>675.3908490756944</v>
          </cell>
          <cell r="BI55">
            <v>27.701875411687254</v>
          </cell>
          <cell r="BJ55">
            <v>-0.34616130609783113</v>
          </cell>
          <cell r="BK55">
            <v>3.4576509133688003E-3</v>
          </cell>
          <cell r="BL55"/>
          <cell r="BM55"/>
          <cell r="BN55"/>
          <cell r="BO55"/>
          <cell r="BP55">
            <v>675.3908490756944</v>
          </cell>
          <cell r="BQ55">
            <v>27.701875411687254</v>
          </cell>
          <cell r="BR55">
            <v>-0.34616130609783113</v>
          </cell>
          <cell r="BS55">
            <v>3.4576509133688003E-3</v>
          </cell>
        </row>
        <row r="56">
          <cell r="B56">
            <v>2039</v>
          </cell>
          <cell r="D56">
            <v>85.015766160840528</v>
          </cell>
          <cell r="E56">
            <v>3.342289311593778</v>
          </cell>
          <cell r="F56">
            <v>-6.1813077117478816E-3</v>
          </cell>
          <cell r="G56">
            <v>1.8601494355834048E-4</v>
          </cell>
          <cell r="H56">
            <v>42.811111336421895</v>
          </cell>
          <cell r="I56">
            <v>5.40912961560237</v>
          </cell>
          <cell r="J56">
            <v>-5.1408946190818032E-2</v>
          </cell>
          <cell r="K56">
            <v>4.0422704070022401E-4</v>
          </cell>
          <cell r="L56"/>
          <cell r="M56">
            <v>1.9156415672756584</v>
          </cell>
          <cell r="N56"/>
          <cell r="O56"/>
          <cell r="P56">
            <v>55.200216846029235</v>
          </cell>
          <cell r="Q56">
            <v>4.0694621041303645</v>
          </cell>
          <cell r="R56">
            <v>-2.5376496525494185E-2</v>
          </cell>
          <cell r="S56">
            <v>2.5814750193174651E-4</v>
          </cell>
          <cell r="T56">
            <v>169.90989603102258</v>
          </cell>
          <cell r="U56">
            <v>3.0072517456390568</v>
          </cell>
          <cell r="V56">
            <v>5.9213806351799698E-3</v>
          </cell>
          <cell r="W56">
            <v>3.235532089184925E-4</v>
          </cell>
          <cell r="X56">
            <v>135.36876690783268</v>
          </cell>
          <cell r="Y56">
            <v>3.2442178722896209</v>
          </cell>
          <cell r="Z56">
            <v>-2.228662824919219E-2</v>
          </cell>
          <cell r="AA56">
            <v>7.4359210852983383E-4</v>
          </cell>
          <cell r="AB56"/>
          <cell r="AC56">
            <v>4.7090536776607328</v>
          </cell>
          <cell r="AD56"/>
          <cell r="AE56"/>
          <cell r="AF56">
            <v>120.81841637612408</v>
          </cell>
          <cell r="AG56">
            <v>3.4027055081084963</v>
          </cell>
          <cell r="AH56">
            <v>-1.9634142277720285E-2</v>
          </cell>
          <cell r="AI56">
            <v>6.5904286223765712E-4</v>
          </cell>
          <cell r="AJ56">
            <v>205.57185624726168</v>
          </cell>
          <cell r="AK56">
            <v>37.055301927068129</v>
          </cell>
          <cell r="AL56">
            <v>-0.5610522912177478</v>
          </cell>
          <cell r="AM56">
            <v>4.8287834967033214E-3</v>
          </cell>
          <cell r="AN56"/>
          <cell r="AO56"/>
          <cell r="AP56"/>
          <cell r="AQ56"/>
          <cell r="AR56">
            <v>205.57185624726168</v>
          </cell>
          <cell r="AS56">
            <v>37.055301927068129</v>
          </cell>
          <cell r="AT56">
            <v>-0.5610522912177478</v>
          </cell>
          <cell r="AU56">
            <v>4.8287834967033214E-3</v>
          </cell>
          <cell r="AV56">
            <v>328.08108706064223</v>
          </cell>
          <cell r="AW56">
            <v>68.430957452953905</v>
          </cell>
          <cell r="AX56">
            <v>-0.97937321777895592</v>
          </cell>
          <cell r="AY56">
            <v>7.3822471770306495E-3</v>
          </cell>
          <cell r="AZ56"/>
          <cell r="BA56"/>
          <cell r="BB56"/>
          <cell r="BC56"/>
          <cell r="BD56">
            <v>328.08108706064223</v>
          </cell>
          <cell r="BE56">
            <v>68.430957452953905</v>
          </cell>
          <cell r="BF56">
            <v>-0.97937321777895592</v>
          </cell>
          <cell r="BG56">
            <v>7.3822471770306495E-3</v>
          </cell>
          <cell r="BH56">
            <v>678.10067694690395</v>
          </cell>
          <cell r="BI56">
            <v>27.813021889579424</v>
          </cell>
          <cell r="BJ56">
            <v>-0.34755018715312225</v>
          </cell>
          <cell r="BK56">
            <v>3.4715238268481327E-3</v>
          </cell>
          <cell r="BL56"/>
          <cell r="BM56"/>
          <cell r="BN56"/>
          <cell r="BO56"/>
          <cell r="BP56">
            <v>678.10067694690395</v>
          </cell>
          <cell r="BQ56">
            <v>27.813021889579424</v>
          </cell>
          <cell r="BR56">
            <v>-0.34755018715312225</v>
          </cell>
          <cell r="BS56">
            <v>3.4715238268481327E-3</v>
          </cell>
        </row>
        <row r="57">
          <cell r="B57">
            <v>2040</v>
          </cell>
          <cell r="D57">
            <v>85.370167357074905</v>
          </cell>
          <cell r="E57">
            <v>3.3562221546848963</v>
          </cell>
          <cell r="F57">
            <v>-6.2070754363272463E-3</v>
          </cell>
          <cell r="G57">
            <v>1.8679037523991617E-4</v>
          </cell>
          <cell r="H57">
            <v>42.983363870693815</v>
          </cell>
          <cell r="I57">
            <v>5.4308935048219453</v>
          </cell>
          <cell r="J57">
            <v>-5.161579252087542E-2</v>
          </cell>
          <cell r="K57">
            <v>4.0585346734527621E-4</v>
          </cell>
          <cell r="L57"/>
          <cell r="M57">
            <v>1.9156415672756584</v>
          </cell>
          <cell r="N57"/>
          <cell r="O57"/>
          <cell r="P57">
            <v>55.427579551658582</v>
          </cell>
          <cell r="Q57">
            <v>4.0850320369695776</v>
          </cell>
          <cell r="R57">
            <v>-2.547898265094857E-2</v>
          </cell>
          <cell r="S57">
            <v>2.5919768395747927E-4</v>
          </cell>
          <cell r="T57">
            <v>170.61819136404978</v>
          </cell>
          <cell r="U57">
            <v>3.019787933503506</v>
          </cell>
          <cell r="V57">
            <v>5.9460648140709366E-3</v>
          </cell>
          <cell r="W57">
            <v>3.2490198985012873E-4</v>
          </cell>
          <cell r="X57">
            <v>135.91342955342256</v>
          </cell>
          <cell r="Y57">
            <v>3.2572711365658207</v>
          </cell>
          <cell r="Z57">
            <v>-2.2376299553590995E-2</v>
          </cell>
          <cell r="AA57">
            <v>7.4658398659981269E-4</v>
          </cell>
          <cell r="AB57"/>
          <cell r="AC57">
            <v>4.7090536776607328</v>
          </cell>
          <cell r="AD57"/>
          <cell r="AE57"/>
          <cell r="AF57">
            <v>121.30472191438591</v>
          </cell>
          <cell r="AG57">
            <v>3.4143265477607843</v>
          </cell>
          <cell r="AH57">
            <v>-1.9713134665085601E-2</v>
          </cell>
          <cell r="AI57">
            <v>6.6169490835004524E-4</v>
          </cell>
          <cell r="AJ57">
            <v>206.39898434807898</v>
          </cell>
          <cell r="AK57">
            <v>37.20439568954933</v>
          </cell>
          <cell r="AL57">
            <v>-0.56330971168651056</v>
          </cell>
          <cell r="AM57">
            <v>4.8482123358245775E-3</v>
          </cell>
          <cell r="AN57"/>
          <cell r="AO57"/>
          <cell r="AP57"/>
          <cell r="AQ57"/>
          <cell r="AR57">
            <v>206.39898434807898</v>
          </cell>
          <cell r="AS57">
            <v>37.20439568954933</v>
          </cell>
          <cell r="AT57">
            <v>-0.56330971168651056</v>
          </cell>
          <cell r="AU57">
            <v>4.8482123358245775E-3</v>
          </cell>
          <cell r="AV57">
            <v>329.401136854463</v>
          </cell>
          <cell r="AW57">
            <v>68.706292651596527</v>
          </cell>
          <cell r="AX57">
            <v>-0.98331377231010975</v>
          </cell>
          <cell r="AY57">
            <v>7.411949998218181E-3</v>
          </cell>
          <cell r="AZ57"/>
          <cell r="BA57"/>
          <cell r="BB57"/>
          <cell r="BC57"/>
          <cell r="BD57">
            <v>329.401136854463</v>
          </cell>
          <cell r="BE57">
            <v>68.706292651596527</v>
          </cell>
          <cell r="BF57">
            <v>-0.98331377231010975</v>
          </cell>
          <cell r="BG57">
            <v>7.411949998218181E-3</v>
          </cell>
          <cell r="BH57">
            <v>680.82904713981304</v>
          </cell>
          <cell r="BI57">
            <v>27.924928900555908</v>
          </cell>
          <cell r="BJ57">
            <v>-0.34894857179334698</v>
          </cell>
          <cell r="BK57">
            <v>3.4854916673991722E-3</v>
          </cell>
          <cell r="BL57"/>
          <cell r="BM57"/>
          <cell r="BN57"/>
          <cell r="BO57"/>
          <cell r="BP57">
            <v>680.82904713981304</v>
          </cell>
          <cell r="BQ57">
            <v>27.924928900555908</v>
          </cell>
          <cell r="BR57">
            <v>-0.34894857179334698</v>
          </cell>
          <cell r="BS57">
            <v>3.4854916673991722E-3</v>
          </cell>
        </row>
        <row r="58">
          <cell r="B58">
            <v>2041</v>
          </cell>
          <cell r="D58">
            <v>85.726993585932561</v>
          </cell>
          <cell r="E58">
            <v>3.3702503349232651</v>
          </cell>
          <cell r="F58">
            <v>-6.2330194796476222E-3</v>
          </cell>
          <cell r="G58">
            <v>1.8757111290562773E-4</v>
          </cell>
          <cell r="H58">
            <v>43.156795063557993</v>
          </cell>
          <cell r="I58">
            <v>5.4528063160596387</v>
          </cell>
          <cell r="J58">
            <v>-5.1824054221715189E-2</v>
          </cell>
          <cell r="K58">
            <v>4.0749102300940483E-4</v>
          </cell>
          <cell r="L58"/>
          <cell r="M58">
            <v>1.9156415672756584</v>
          </cell>
          <cell r="N58"/>
          <cell r="O58"/>
          <cell r="P58">
            <v>55.656498013826912</v>
          </cell>
          <cell r="Q58">
            <v>4.1007085089386761</v>
          </cell>
          <cell r="R58">
            <v>-2.5582170049988657E-2</v>
          </cell>
          <cell r="S58">
            <v>2.6025505197947789E-4</v>
          </cell>
          <cell r="T58">
            <v>171.33133329270856</v>
          </cell>
          <cell r="U58">
            <v>3.0324099017345736</v>
          </cell>
          <cell r="V58">
            <v>5.9709178974117925E-3</v>
          </cell>
          <cell r="W58">
            <v>3.262599999768005E-4</v>
          </cell>
          <cell r="X58">
            <v>136.46181911838593</v>
          </cell>
          <cell r="Y58">
            <v>3.2704137193659037</v>
          </cell>
          <cell r="Z58">
            <v>-2.2466584444627909E-2</v>
          </cell>
          <cell r="AA58">
            <v>7.4959633695375E-4</v>
          </cell>
          <cell r="AB58"/>
          <cell r="AC58">
            <v>4.7090536776607328</v>
          </cell>
          <cell r="AD58"/>
          <cell r="AE58"/>
          <cell r="AF58">
            <v>121.79435505652633</v>
          </cell>
          <cell r="AG58">
            <v>3.4260271057684624</v>
          </cell>
          <cell r="AH58">
            <v>-1.9792667567320472E-2</v>
          </cell>
          <cell r="AI58">
            <v>6.643651014055286E-4</v>
          </cell>
          <cell r="AJ58">
            <v>207.23177217197122</v>
          </cell>
          <cell r="AK58">
            <v>37.354509643953648</v>
          </cell>
          <cell r="AL58">
            <v>-0.5655825788251474</v>
          </cell>
          <cell r="AM58">
            <v>4.8677741191040427E-3</v>
          </cell>
          <cell r="AN58"/>
          <cell r="AO58"/>
          <cell r="AP58"/>
          <cell r="AQ58"/>
          <cell r="AR58">
            <v>207.23177217197122</v>
          </cell>
          <cell r="AS58">
            <v>37.354509643953648</v>
          </cell>
          <cell r="AT58">
            <v>-0.5655825788251474</v>
          </cell>
          <cell r="AU58">
            <v>4.8677741191040427E-3</v>
          </cell>
          <cell r="AV58">
            <v>330.73021924706836</v>
          </cell>
          <cell r="AW58">
            <v>68.983511864306081</v>
          </cell>
          <cell r="AX58">
            <v>-0.98728129055750768</v>
          </cell>
          <cell r="AY58">
            <v>7.4418560645164748E-3</v>
          </cell>
          <cell r="AZ58"/>
          <cell r="BA58"/>
          <cell r="BB58"/>
          <cell r="BC58"/>
          <cell r="BD58">
            <v>330.73021924706836</v>
          </cell>
          <cell r="BE58">
            <v>68.983511864306081</v>
          </cell>
          <cell r="BF58">
            <v>-0.98728129055750768</v>
          </cell>
          <cell r="BG58">
            <v>7.4418560645164748E-3</v>
          </cell>
          <cell r="BH58">
            <v>683.57608653247792</v>
          </cell>
          <cell r="BI58">
            <v>28.037601648655386</v>
          </cell>
          <cell r="BJ58">
            <v>-0.35035652504792314</v>
          </cell>
          <cell r="BK58">
            <v>3.4995550845717716E-3</v>
          </cell>
          <cell r="BL58"/>
          <cell r="BM58"/>
          <cell r="BN58"/>
          <cell r="BO58"/>
          <cell r="BP58">
            <v>683.57608653247792</v>
          </cell>
          <cell r="BQ58">
            <v>28.037601648655386</v>
          </cell>
          <cell r="BR58">
            <v>-0.35035652504792314</v>
          </cell>
          <cell r="BS58">
            <v>3.4995550845717716E-3</v>
          </cell>
        </row>
        <row r="59">
          <cell r="B59">
            <v>2042</v>
          </cell>
          <cell r="D59">
            <v>86.086261440989659</v>
          </cell>
          <cell r="E59">
            <v>3.384374504664732</v>
          </cell>
          <cell r="F59">
            <v>-6.2591410481911101E-3</v>
          </cell>
          <cell r="G59">
            <v>1.8835719286230704E-4</v>
          </cell>
          <cell r="H59">
            <v>43.331412980127027</v>
          </cell>
          <cell r="I59">
            <v>5.4748690683321959</v>
          </cell>
          <cell r="J59">
            <v>-5.2033740978181448E-2</v>
          </cell>
          <cell r="K59">
            <v>4.0913978384425582E-4</v>
          </cell>
          <cell r="L59"/>
          <cell r="M59">
            <v>1.9156415672756584</v>
          </cell>
          <cell r="N59"/>
          <cell r="O59"/>
          <cell r="P59">
            <v>55.886982877984686</v>
          </cell>
          <cell r="Q59">
            <v>4.1164922490444162</v>
          </cell>
          <cell r="R59">
            <v>-2.5686063521162948E-2</v>
          </cell>
          <cell r="S59">
            <v>2.6131965516878254E-4</v>
          </cell>
          <cell r="T59">
            <v>172.04935498041004</v>
          </cell>
          <cell r="U59">
            <v>3.0451182372946914</v>
          </cell>
          <cell r="V59">
            <v>5.995941040951463E-3</v>
          </cell>
          <cell r="W59">
            <v>3.2762730245038016E-4</v>
          </cell>
          <cell r="X59">
            <v>137.01396110461496</v>
          </cell>
          <cell r="Y59">
            <v>3.2836462318625665</v>
          </cell>
          <cell r="Z59">
            <v>-2.2557487120842986E-2</v>
          </cell>
          <cell r="AA59">
            <v>7.5262929967570081E-4</v>
          </cell>
          <cell r="AB59"/>
          <cell r="AC59">
            <v>4.7090536776607328</v>
          </cell>
          <cell r="AD59"/>
          <cell r="AE59"/>
          <cell r="AF59">
            <v>122.28733857207338</v>
          </cell>
          <cell r="AG59">
            <v>3.4378077262454023</v>
          </cell>
          <cell r="AH59">
            <v>-1.9872744682962618E-2</v>
          </cell>
          <cell r="AI59">
            <v>6.670535655767389E-4</v>
          </cell>
          <cell r="AJ59">
            <v>208.07025844627137</v>
          </cell>
          <cell r="AK59">
            <v>37.505650771066506</v>
          </cell>
          <cell r="AL59">
            <v>-0.56787099832934695</v>
          </cell>
          <cell r="AM59">
            <v>4.8874697562280413E-3</v>
          </cell>
          <cell r="AN59"/>
          <cell r="AO59"/>
          <cell r="AP59"/>
          <cell r="AQ59"/>
          <cell r="AR59">
            <v>208.07025844627137</v>
          </cell>
          <cell r="AS59">
            <v>37.505650771066506</v>
          </cell>
          <cell r="AT59">
            <v>-0.56787099832934695</v>
          </cell>
          <cell r="AU59">
            <v>4.8874697562280413E-3</v>
          </cell>
          <cell r="AV59">
            <v>332.06839604509724</v>
          </cell>
          <cell r="AW59">
            <v>69.262627982674459</v>
          </cell>
          <cell r="AX59">
            <v>-0.99127595702360749</v>
          </cell>
          <cell r="AY59">
            <v>7.4719667666545437E-3</v>
          </cell>
          <cell r="AZ59"/>
          <cell r="BA59"/>
          <cell r="BB59"/>
          <cell r="BC59"/>
          <cell r="BD59">
            <v>332.06839604509724</v>
          </cell>
          <cell r="BE59">
            <v>69.262627982674459</v>
          </cell>
          <cell r="BF59">
            <v>-0.99127595702360749</v>
          </cell>
          <cell r="BG59">
            <v>7.4719667666545437E-3</v>
          </cell>
          <cell r="BH59">
            <v>686.34192287113376</v>
          </cell>
          <cell r="BI59">
            <v>28.151045373525836</v>
          </cell>
          <cell r="BJ59">
            <v>-0.35177411239124035</v>
          </cell>
          <cell r="BK59">
            <v>3.5137147323604113E-3</v>
          </cell>
          <cell r="BL59"/>
          <cell r="BM59"/>
          <cell r="BN59"/>
          <cell r="BO59"/>
          <cell r="BP59">
            <v>686.34192287113376</v>
          </cell>
          <cell r="BQ59">
            <v>28.151045373525836</v>
          </cell>
          <cell r="BR59">
            <v>-0.35177411239124035</v>
          </cell>
          <cell r="BS59">
            <v>3.5137147323604113E-3</v>
          </cell>
        </row>
        <row r="60">
          <cell r="B60">
            <v>2043</v>
          </cell>
          <cell r="D60">
            <v>86.447987629365798</v>
          </cell>
          <cell r="E60">
            <v>3.3985953207289645</v>
          </cell>
          <cell r="F60">
            <v>-6.2854413566953045E-3</v>
          </cell>
          <cell r="G60">
            <v>1.8914865166521968E-4</v>
          </cell>
          <cell r="H60">
            <v>43.507225740699937</v>
          </cell>
          <cell r="I60">
            <v>5.4970827876290986</v>
          </cell>
          <cell r="J60">
            <v>-5.2244862541387924E-2</v>
          </cell>
          <cell r="K60">
            <v>4.107998265225514E-4</v>
          </cell>
          <cell r="L60"/>
          <cell r="M60">
            <v>1.9156415672756584</v>
          </cell>
          <cell r="N60"/>
          <cell r="O60"/>
          <cell r="P60">
            <v>56.119044862425049</v>
          </cell>
          <cell r="Q60">
            <v>4.1323839912818672</v>
          </cell>
          <cell r="R60">
            <v>-2.5790667895854547E-2</v>
          </cell>
          <cell r="S60">
            <v>2.6239154303289171E-4</v>
          </cell>
          <cell r="T60">
            <v>172.77228981748968</v>
          </cell>
          <cell r="U60">
            <v>3.0579135311626486</v>
          </cell>
          <cell r="V60">
            <v>6.0211354083472184E-3</v>
          </cell>
          <cell r="W60">
            <v>3.2900396085486401E-4</v>
          </cell>
          <cell r="X60">
            <v>137.56988118850145</v>
          </cell>
          <cell r="Y60">
            <v>3.2969692894105251</v>
          </cell>
          <cell r="Z60">
            <v>-2.2649011809505279E-2</v>
          </cell>
          <cell r="AA60">
            <v>7.55683015808261E-4</v>
          </cell>
          <cell r="AB60"/>
          <cell r="AC60">
            <v>4.7090536776607328</v>
          </cell>
          <cell r="AD60"/>
          <cell r="AE60"/>
          <cell r="AF60">
            <v>122.7836953863583</v>
          </cell>
          <cell r="AG60">
            <v>3.449668957028635</v>
          </cell>
          <cell r="AH60">
            <v>-1.9953369735857446E-2</v>
          </cell>
          <cell r="AI60">
            <v>6.6976042588597279E-4</v>
          </cell>
          <cell r="AJ60">
            <v>208.91448216330861</v>
          </cell>
          <cell r="AK60">
            <v>37.65782609944015</v>
          </cell>
          <cell r="AL60">
            <v>-0.57017507661803246</v>
          </cell>
          <cell r="AM60">
            <v>4.9073001631075299E-3</v>
          </cell>
          <cell r="AN60"/>
          <cell r="AO60"/>
          <cell r="AP60"/>
          <cell r="AQ60"/>
          <cell r="AR60">
            <v>208.91448216330861</v>
          </cell>
          <cell r="AS60">
            <v>37.65782609944015</v>
          </cell>
          <cell r="AT60">
            <v>-0.57017507661803246</v>
          </cell>
          <cell r="AU60">
            <v>4.9073001631075299E-3</v>
          </cell>
          <cell r="AV60">
            <v>333.41572947810766</v>
          </cell>
          <cell r="AW60">
            <v>69.543653986505745</v>
          </cell>
          <cell r="AX60">
            <v>-0.99529795747334593</v>
          </cell>
          <cell r="AY60">
            <v>7.5022835048776208E-3</v>
          </cell>
          <cell r="AZ60"/>
          <cell r="BA60"/>
          <cell r="BB60"/>
          <cell r="BC60"/>
          <cell r="BD60">
            <v>333.41572947810766</v>
          </cell>
          <cell r="BE60">
            <v>69.543653986505745</v>
          </cell>
          <cell r="BF60">
            <v>-0.99529795747334593</v>
          </cell>
          <cell r="BG60">
            <v>7.5022835048776208E-3</v>
          </cell>
          <cell r="BH60">
            <v>689.12668477613408</v>
          </cell>
          <cell r="BI60">
            <v>28.265265350668116</v>
          </cell>
          <cell r="BJ60">
            <v>-0.35320139974570425</v>
          </cell>
          <cell r="BK60">
            <v>3.5279712692346025E-3</v>
          </cell>
          <cell r="BL60"/>
          <cell r="BM60"/>
          <cell r="BN60"/>
          <cell r="BO60"/>
          <cell r="BP60">
            <v>689.12668477613408</v>
          </cell>
          <cell r="BQ60">
            <v>28.265265350668116</v>
          </cell>
          <cell r="BR60">
            <v>-0.35320139974570425</v>
          </cell>
          <cell r="BS60">
            <v>3.5279712692346025E-3</v>
          </cell>
        </row>
        <row r="61">
          <cell r="B61">
            <v>2044</v>
          </cell>
          <cell r="D61">
            <v>86.812188972501133</v>
          </cell>
          <cell r="E61">
            <v>3.4129134444300009</v>
          </cell>
          <cell r="F61">
            <v>-6.3119216282097931E-3</v>
          </cell>
          <cell r="G61">
            <v>1.8994552611976522E-4</v>
          </cell>
          <cell r="H61">
            <v>43.684241521139924</v>
          </cell>
          <cell r="I61">
            <v>5.519448506960293</v>
          </cell>
          <cell r="J61">
            <v>-5.2457428729171585E-2</v>
          </cell>
          <cell r="K61">
            <v>4.1247122824165651E-4</v>
          </cell>
          <cell r="L61"/>
          <cell r="M61">
            <v>1.9156415672756584</v>
          </cell>
          <cell r="N61"/>
          <cell r="O61"/>
          <cell r="P61">
            <v>56.35269475878242</v>
          </cell>
          <cell r="Q61">
            <v>4.1483844746685472</v>
          </cell>
          <cell r="R61">
            <v>-2.5895988038505922E-2</v>
          </cell>
          <cell r="S61">
            <v>2.6347076541806527E-4</v>
          </cell>
          <cell r="T61">
            <v>173.5001714227605</v>
          </cell>
          <cell r="U61">
            <v>3.0707963783610817</v>
          </cell>
          <cell r="V61">
            <v>6.0465021712188026E-3</v>
          </cell>
          <cell r="W61">
            <v>3.3039003920932975E-4</v>
          </cell>
          <cell r="X61">
            <v>138.12960522213106</v>
          </cell>
          <cell r="Y61">
            <v>3.3103835115751372</v>
          </cell>
          <cell r="Z61">
            <v>-2.2741162766809445E-2</v>
          </cell>
          <cell r="AA61">
            <v>7.5875762735912817E-4</v>
          </cell>
          <cell r="AB61"/>
          <cell r="AC61">
            <v>4.7090536776607328</v>
          </cell>
          <cell r="AD61"/>
          <cell r="AE61"/>
          <cell r="AF61">
            <v>123.28344858158161</v>
          </cell>
          <cell r="AG61">
            <v>3.4616113497038357</v>
          </cell>
          <cell r="AH61">
            <v>-2.0034546475331223E-2</v>
          </cell>
          <cell r="AI61">
            <v>6.72485808211008E-4</v>
          </cell>
          <cell r="AJ61">
            <v>209.76448258222197</v>
          </cell>
          <cell r="AK61">
            <v>37.81104270572056</v>
          </cell>
          <cell r="AL61">
            <v>-0.57249492083831222</v>
          </cell>
          <cell r="AM61">
            <v>4.9272662619207009E-3</v>
          </cell>
          <cell r="AN61"/>
          <cell r="AO61"/>
          <cell r="AP61"/>
          <cell r="AQ61"/>
          <cell r="AR61">
            <v>209.76448258222197</v>
          </cell>
          <cell r="AS61">
            <v>37.81104270572056</v>
          </cell>
          <cell r="AT61">
            <v>-0.57249492083831222</v>
          </cell>
          <cell r="AU61">
            <v>4.9272662619207009E-3</v>
          </cell>
          <cell r="AV61">
            <v>334.77228220147111</v>
          </cell>
          <cell r="AW61">
            <v>69.826602944419975</v>
          </cell>
          <cell r="AX61">
            <v>-0.99934747894277975</v>
          </cell>
          <cell r="AY61">
            <v>7.532807689012295E-3</v>
          </cell>
          <cell r="AZ61"/>
          <cell r="BA61"/>
          <cell r="BB61"/>
          <cell r="BC61"/>
          <cell r="BD61">
            <v>334.77228220147111</v>
          </cell>
          <cell r="BE61">
            <v>69.826602944419975</v>
          </cell>
          <cell r="BF61">
            <v>-0.99934747894277975</v>
          </cell>
          <cell r="BG61">
            <v>7.532807689012295E-3</v>
          </cell>
          <cell r="BH61">
            <v>691.93050174793314</v>
          </cell>
          <cell r="BI61">
            <v>28.380266891681366</v>
          </cell>
          <cell r="BJ61">
            <v>-0.35463845348480288</v>
          </cell>
          <cell r="BK61">
            <v>3.5423253581695169E-3</v>
          </cell>
          <cell r="BL61"/>
          <cell r="BM61"/>
          <cell r="BN61"/>
          <cell r="BO61"/>
          <cell r="BP61">
            <v>691.93050174793314</v>
          </cell>
          <cell r="BQ61">
            <v>28.380266891681366</v>
          </cell>
          <cell r="BR61">
            <v>-0.35463845348480288</v>
          </cell>
          <cell r="BS61">
            <v>3.5423253581695169E-3</v>
          </cell>
        </row>
        <row r="62">
          <cell r="B62">
            <v>2045</v>
          </cell>
          <cell r="D62">
            <v>87.178882406938428</v>
          </cell>
          <cell r="E62">
            <v>3.4273295416069969</v>
          </cell>
          <cell r="F62">
            <v>-6.3385830941530205E-3</v>
          </cell>
          <cell r="G62">
            <v>1.9074785328318834E-4</v>
          </cell>
          <cell r="H62">
            <v>43.86246855325448</v>
          </cell>
          <cell r="I62">
            <v>5.5419672664042121</v>
          </cell>
          <cell r="J62">
            <v>-5.2671449426549069E-2</v>
          </cell>
          <cell r="K62">
            <v>4.1415406672716803E-4</v>
          </cell>
          <cell r="L62"/>
          <cell r="M62">
            <v>1.9156415672756584</v>
          </cell>
          <cell r="N62"/>
          <cell r="O62"/>
          <cell r="P62">
            <v>56.587943432534203</v>
          </cell>
          <cell r="Q62">
            <v>4.1644944432787927</v>
          </cell>
          <cell r="R62">
            <v>-2.6002028846845032E-2</v>
          </cell>
          <cell r="S62">
            <v>2.6455737251164171E-4</v>
          </cell>
          <cell r="T62">
            <v>174.23303364507615</v>
          </cell>
          <cell r="U62">
            <v>3.0837673779841364</v>
          </cell>
          <cell r="V62">
            <v>6.0720425092028983E-3</v>
          </cell>
          <cell r="W62">
            <v>3.3178560197091292E-4</v>
          </cell>
          <cell r="X62">
            <v>138.69315923448542</v>
          </cell>
          <cell r="Y62">
            <v>3.3238895221612079</v>
          </cell>
          <cell r="Z62">
            <v>-2.2833944278073663E-2</v>
          </cell>
          <cell r="AA62">
            <v>7.618532773077042E-4</v>
          </cell>
          <cell r="AB62"/>
          <cell r="AC62">
            <v>4.7090536776607328</v>
          </cell>
          <cell r="AD62"/>
          <cell r="AE62"/>
          <cell r="AF62">
            <v>123.78662139788663</v>
          </cell>
          <cell r="AG62">
            <v>3.4736354596309682</v>
          </cell>
          <cell r="AH62">
            <v>-2.011627867636543E-2</v>
          </cell>
          <cell r="AI62">
            <v>6.7522983929095559E-4</v>
          </cell>
          <cell r="AJ62">
            <v>210.6202992307858</v>
          </cell>
          <cell r="AK62">
            <v>37.965307714976497</v>
          </cell>
          <cell r="AL62">
            <v>-0.57483063887046104</v>
          </cell>
          <cell r="AM62">
            <v>4.9473689811558585E-3</v>
          </cell>
          <cell r="AN62"/>
          <cell r="AO62"/>
          <cell r="AP62"/>
          <cell r="AQ62"/>
          <cell r="AR62">
            <v>210.6202992307858</v>
          </cell>
          <cell r="AS62">
            <v>37.965307714976497</v>
          </cell>
          <cell r="AT62">
            <v>-0.57483063887046104</v>
          </cell>
          <cell r="AU62">
            <v>4.9473689811558585E-3</v>
          </cell>
          <cell r="AV62">
            <v>336.13811729928574</v>
          </cell>
          <cell r="AW62">
            <v>70.111488014460676</v>
          </cell>
          <cell r="AX62">
            <v>-1.0034247097477815</v>
          </cell>
          <cell r="AY62">
            <v>7.5635407385320546E-3</v>
          </cell>
          <cell r="AZ62"/>
          <cell r="BA62"/>
          <cell r="BB62"/>
          <cell r="BC62"/>
          <cell r="BD62">
            <v>336.13811729928574</v>
          </cell>
          <cell r="BE62">
            <v>70.111488014460676</v>
          </cell>
          <cell r="BF62">
            <v>-1.0034247097477815</v>
          </cell>
          <cell r="BG62">
            <v>7.5635407385320546E-3</v>
          </cell>
          <cell r="BH62">
            <v>694.75350417310722</v>
          </cell>
          <cell r="BI62">
            <v>28.496055344509955</v>
          </cell>
          <cell r="BJ62">
            <v>-0.35608534043619255</v>
          </cell>
          <cell r="BK62">
            <v>3.5567776666768115E-3</v>
          </cell>
          <cell r="BL62"/>
          <cell r="BM62"/>
          <cell r="BN62"/>
          <cell r="BO62"/>
          <cell r="BP62">
            <v>694.75350417310722</v>
          </cell>
          <cell r="BQ62">
            <v>28.496055344509955</v>
          </cell>
          <cell r="BR62">
            <v>-0.35608534043619255</v>
          </cell>
          <cell r="BS62">
            <v>3.5567776666768115E-3</v>
          </cell>
        </row>
        <row r="63">
          <cell r="B63">
            <v>2046</v>
          </cell>
          <cell r="D63">
            <v>87.548084985110947</v>
          </cell>
          <cell r="E63">
            <v>3.4418442826551958</v>
          </cell>
          <cell r="F63">
            <v>-6.3654269943695689E-3</v>
          </cell>
          <cell r="G63">
            <v>1.9155567046630264E-4</v>
          </cell>
          <cell r="H63">
            <v>44.041915125178228</v>
          </cell>
          <cell r="I63">
            <v>5.5646401131561554</v>
          </cell>
          <cell r="J63">
            <v>-5.2886934586176458E-2</v>
          </cell>
          <cell r="K63">
            <v>4.1584842023652968E-4</v>
          </cell>
          <cell r="L63"/>
          <cell r="M63">
            <v>1.9156415672756584</v>
          </cell>
          <cell r="N63"/>
          <cell r="O63"/>
          <cell r="P63">
            <v>56.824801823506206</v>
          </cell>
          <cell r="Q63">
            <v>4.1807146462783562</v>
          </cell>
          <cell r="R63">
            <v>-2.6108795252113157E-2</v>
          </cell>
          <cell r="S63">
            <v>2.6565141484437277E-4</v>
          </cell>
          <cell r="T63">
            <v>174.97091056490532</v>
          </cell>
          <cell r="U63">
            <v>3.0968271332253372</v>
          </cell>
          <cell r="V63">
            <v>6.0977576100080038E-3</v>
          </cell>
          <cell r="W63">
            <v>3.3319071403780531E-4</v>
          </cell>
          <cell r="X63">
            <v>139.26056943265257</v>
          </cell>
          <cell r="Y63">
            <v>3.3374879492420031</v>
          </cell>
          <cell r="Z63">
            <v>-2.2927360657938909E-2</v>
          </cell>
          <cell r="AA63">
            <v>7.6497010961174461E-4</v>
          </cell>
          <cell r="AB63"/>
          <cell r="AC63">
            <v>4.7090536776607328</v>
          </cell>
          <cell r="AD63"/>
          <cell r="AE63"/>
          <cell r="AF63">
            <v>124.29323723444007</v>
          </cell>
          <cell r="AG63">
            <v>3.4857418459701148</v>
          </cell>
          <cell r="AH63">
            <v>-2.0198570139772307E-2</v>
          </cell>
          <cell r="AI63">
            <v>6.7799264673215403E-4</v>
          </cell>
          <cell r="AJ63">
            <v>211.48197190724792</v>
          </cell>
          <cell r="AK63">
            <v>38.120628301030862</v>
          </cell>
          <cell r="AL63">
            <v>-0.57718233933293739</v>
          </cell>
          <cell r="AM63">
            <v>4.9676092556546004E-3</v>
          </cell>
          <cell r="AN63"/>
          <cell r="AO63"/>
          <cell r="AP63"/>
          <cell r="AQ63"/>
          <cell r="AR63">
            <v>211.48197190724792</v>
          </cell>
          <cell r="AS63">
            <v>38.120628301030862</v>
          </cell>
          <cell r="AT63">
            <v>-0.57718233933293739</v>
          </cell>
          <cell r="AU63">
            <v>4.9676092556546004E-3</v>
          </cell>
          <cell r="AV63">
            <v>337.51329828731031</v>
          </cell>
          <cell r="AW63">
            <v>70.398322444706963</v>
          </cell>
          <cell r="AX63">
            <v>-1.0075298394927983</v>
          </cell>
          <cell r="AY63">
            <v>7.5944840826233104E-3</v>
          </cell>
          <cell r="AZ63"/>
          <cell r="BA63"/>
          <cell r="BB63"/>
          <cell r="BC63"/>
          <cell r="BD63">
            <v>337.51329828731031</v>
          </cell>
          <cell r="BE63">
            <v>70.398322444706963</v>
          </cell>
          <cell r="BF63">
            <v>-1.0075298394927983</v>
          </cell>
          <cell r="BG63">
            <v>7.5944840826233104E-3</v>
          </cell>
          <cell r="BH63">
            <v>697.59582333041851</v>
          </cell>
          <cell r="BI63">
            <v>28.612636093692217</v>
          </cell>
          <cell r="BJ63">
            <v>-0.35754212788480583</v>
          </cell>
          <cell r="BK63">
            <v>3.5713288668356717E-3</v>
          </cell>
          <cell r="BL63"/>
          <cell r="BM63"/>
          <cell r="BN63"/>
          <cell r="BO63"/>
          <cell r="BP63">
            <v>697.59582333041851</v>
          </cell>
          <cell r="BQ63">
            <v>28.612636093692217</v>
          </cell>
          <cell r="BR63">
            <v>-0.35754212788480583</v>
          </cell>
          <cell r="BS63">
            <v>3.5713288668356717E-3</v>
          </cell>
        </row>
        <row r="64">
          <cell r="B64">
            <v>2047</v>
          </cell>
          <cell r="D64">
            <v>87.919813876135038</v>
          </cell>
          <cell r="E64">
            <v>3.4564583425570956</v>
          </cell>
          <cell r="F64">
            <v>-6.3924545771877903E-3</v>
          </cell>
          <cell r="G64">
            <v>1.9236901523522504E-4</v>
          </cell>
          <cell r="H64">
            <v>44.222589581758328</v>
          </cell>
          <cell r="I64">
            <v>5.5874681015769765</v>
          </cell>
          <cell r="J64">
            <v>-5.3103894228812031E-2</v>
          </cell>
          <cell r="K64">
            <v>4.1755436756267072E-4</v>
          </cell>
          <cell r="L64"/>
          <cell r="M64">
            <v>1.9156415672756584</v>
          </cell>
          <cell r="N64"/>
          <cell r="O64"/>
          <cell r="P64">
            <v>57.063280946381226</v>
          </cell>
          <cell r="Q64">
            <v>4.1970458379592452</v>
          </cell>
          <cell r="R64">
            <v>-2.6216292219294154E-2</v>
          </cell>
          <cell r="S64">
            <v>2.6675294329277243E-4</v>
          </cell>
          <cell r="T64">
            <v>175.71383649591601</v>
          </cell>
          <cell r="U64">
            <v>3.1099762514056257</v>
          </cell>
          <cell r="V64">
            <v>6.1236486694696401E-3</v>
          </cell>
          <cell r="W64">
            <v>3.3460544075227157E-4</v>
          </cell>
          <cell r="X64">
            <v>139.83186220304566</v>
          </cell>
          <cell r="Y64">
            <v>3.3511794251884521</v>
          </cell>
          <cell r="Z64">
            <v>-2.3021416250569599E-2</v>
          </cell>
          <cell r="AA64">
            <v>7.6810826921405284E-4</v>
          </cell>
          <cell r="AB64"/>
          <cell r="AC64">
            <v>4.7090536776607328</v>
          </cell>
          <cell r="AD64"/>
          <cell r="AE64"/>
          <cell r="AF64">
            <v>124.80331965052024</v>
          </cell>
          <cell r="AG64">
            <v>3.4979310717074754</v>
          </cell>
          <cell r="AH64">
            <v>-2.02814246923716E-2</v>
          </cell>
          <cell r="AI64">
            <v>6.8077435901410337E-4</v>
          </cell>
          <cell r="AJ64">
            <v>212.34954068218039</v>
          </cell>
          <cell r="AK64">
            <v>38.277011686794289</v>
          </cell>
          <cell r="AL64">
            <v>-0.5795501315874344</v>
          </cell>
          <cell r="AM64">
            <v>4.987988026655287E-3</v>
          </cell>
          <cell r="AN64"/>
          <cell r="AO64"/>
          <cell r="AP64"/>
          <cell r="AQ64"/>
          <cell r="AR64">
            <v>212.34954068218039</v>
          </cell>
          <cell r="AS64">
            <v>38.277011686794289</v>
          </cell>
          <cell r="AT64">
            <v>-0.5795501315874344</v>
          </cell>
          <cell r="AU64">
            <v>4.987988026655287E-3</v>
          </cell>
          <cell r="AV64">
            <v>338.89788911591751</v>
          </cell>
          <cell r="AW64">
            <v>70.687119573889404</v>
          </cell>
          <cell r="AX64">
            <v>-1.0116630590796671</v>
          </cell>
          <cell r="AY64">
            <v>7.6256391602518431E-3</v>
          </cell>
          <cell r="AZ64"/>
          <cell r="BA64"/>
          <cell r="BB64"/>
          <cell r="BC64"/>
          <cell r="BD64">
            <v>338.89788911591751</v>
          </cell>
          <cell r="BE64">
            <v>70.687119573889404</v>
          </cell>
          <cell r="BF64">
            <v>-1.0116630590796671</v>
          </cell>
          <cell r="BG64">
            <v>7.6256391602518431E-3</v>
          </cell>
          <cell r="BH64">
            <v>700.45759139691927</v>
          </cell>
          <cell r="BI64">
            <v>28.730014560610808</v>
          </cell>
          <cell r="BJ64">
            <v>-0.35900888357598038</v>
          </cell>
          <cell r="BK64">
            <v>3.5859796353240629E-3</v>
          </cell>
          <cell r="BL64"/>
          <cell r="BM64"/>
          <cell r="BN64"/>
          <cell r="BO64"/>
          <cell r="BP64">
            <v>700.45759139691927</v>
          </cell>
          <cell r="BQ64">
            <v>28.730014560610808</v>
          </cell>
          <cell r="BR64">
            <v>-0.35900888357598038</v>
          </cell>
          <cell r="BS64">
            <v>3.5859796353240629E-3</v>
          </cell>
        </row>
        <row r="65">
          <cell r="B65">
            <v>2048</v>
          </cell>
          <cell r="D65">
            <v>88.294086366608951</v>
          </cell>
          <cell r="E65">
            <v>3.4711724009138472</v>
          </cell>
          <cell r="F65">
            <v>-6.4196670994778873E-3</v>
          </cell>
          <cell r="G65">
            <v>1.9318792541312346E-4</v>
          </cell>
          <cell r="H65">
            <v>44.404500324942617</v>
          </cell>
          <cell r="I65">
            <v>5.6104522932421252</v>
          </cell>
          <cell r="J65">
            <v>-5.3322338443782376E-2</v>
          </cell>
          <cell r="K65">
            <v>4.1927198803767119E-4</v>
          </cell>
          <cell r="L65"/>
          <cell r="M65">
            <v>1.9156415672756584</v>
          </cell>
          <cell r="N65"/>
          <cell r="O65"/>
          <cell r="P65">
            <v>57.303391891211412</v>
          </cell>
          <cell r="Q65">
            <v>4.2134887777748036</v>
          </cell>
          <cell r="R65">
            <v>-2.6324524747345413E-2</v>
          </cell>
          <cell r="S65">
            <v>2.6786200908148378E-4</v>
          </cell>
          <cell r="T65">
            <v>176.46184598657194</v>
          </cell>
          <cell r="U65">
            <v>3.1232153440016153</v>
          </cell>
          <cell r="V65">
            <v>6.1497168916059908E-3</v>
          </cell>
          <cell r="W65">
            <v>3.3602984790368921E-4</v>
          </cell>
          <cell r="X65">
            <v>140.40706411263017</v>
          </cell>
          <cell r="Y65">
            <v>3.364964586698564</v>
          </cell>
          <cell r="Z65">
            <v>-2.311611542985564E-2</v>
          </cell>
          <cell r="AA65">
            <v>7.7126790204922184E-4</v>
          </cell>
          <cell r="AB65"/>
          <cell r="AC65">
            <v>4.7090536776607328</v>
          </cell>
          <cell r="AD65"/>
          <cell r="AE65"/>
          <cell r="AF65">
            <v>125.31689236661273</v>
          </cell>
          <cell r="AG65">
            <v>3.510203703681555</v>
          </cell>
          <cell r="AH65">
            <v>-2.0364846187168547E-2</v>
          </cell>
          <cell r="AI65">
            <v>6.8357510549544079E-4</v>
          </cell>
          <cell r="AJ65">
            <v>213.22304590034318</v>
          </cell>
          <cell r="AK65">
            <v>38.434465144601084</v>
          </cell>
          <cell r="AL65">
            <v>-0.5819341257439663</v>
          </cell>
          <cell r="AM65">
            <v>5.0085062418368216E-3</v>
          </cell>
          <cell r="AN65"/>
          <cell r="AO65"/>
          <cell r="AP65"/>
          <cell r="AQ65"/>
          <cell r="AR65">
            <v>213.22304590034318</v>
          </cell>
          <cell r="AS65">
            <v>38.434465144601084</v>
          </cell>
          <cell r="AT65">
            <v>-0.5819341257439663</v>
          </cell>
          <cell r="AU65">
            <v>5.0085062418368216E-3</v>
          </cell>
          <cell r="AV65">
            <v>340.29195417306858</v>
          </cell>
          <cell r="AW65">
            <v>70.977892832010568</v>
          </cell>
          <cell r="AX65">
            <v>-1.0158245607164953</v>
          </cell>
          <cell r="AY65">
            <v>7.6570074202297446E-3</v>
          </cell>
          <cell r="AZ65"/>
          <cell r="BA65"/>
          <cell r="BB65"/>
          <cell r="BC65"/>
          <cell r="BD65">
            <v>340.29195417306858</v>
          </cell>
          <cell r="BE65">
            <v>70.977892832010568</v>
          </cell>
          <cell r="BF65">
            <v>-1.0158245607164953</v>
          </cell>
          <cell r="BG65">
            <v>7.6570074202297446E-3</v>
          </cell>
          <cell r="BH65">
            <v>703.33894145410022</v>
          </cell>
          <cell r="BI65">
            <v>28.848196203744884</v>
          </cell>
          <cell r="BJ65">
            <v>-0.36048567571860984</v>
          </cell>
          <cell r="BK65">
            <v>3.6007306534502062E-3</v>
          </cell>
          <cell r="BL65"/>
          <cell r="BM65"/>
          <cell r="BN65"/>
          <cell r="BO65"/>
          <cell r="BP65">
            <v>703.33894145410022</v>
          </cell>
          <cell r="BQ65">
            <v>28.848196203744884</v>
          </cell>
          <cell r="BR65">
            <v>-0.36048567571860984</v>
          </cell>
          <cell r="BS65">
            <v>3.6007306534502062E-3</v>
          </cell>
        </row>
        <row r="66">
          <cell r="B66">
            <v>2049</v>
          </cell>
          <cell r="D66">
            <v>88.670919861416536</v>
          </cell>
          <cell r="E66">
            <v>3.4859871419768531</v>
          </cell>
          <cell r="F66">
            <v>-6.4470658267103418E-3</v>
          </cell>
          <cell r="G66">
            <v>1.9401243908197531E-4</v>
          </cell>
          <cell r="H66">
            <v>44.587655814170198</v>
          </cell>
          <cell r="I66">
            <v>5.6335937569910044</v>
          </cell>
          <cell r="J66">
            <v>-5.3542277389451443E-2</v>
          </cell>
          <cell r="K66">
            <v>4.2100136153644976E-4</v>
          </cell>
          <cell r="L66"/>
          <cell r="M66">
            <v>1.9156415672756584</v>
          </cell>
          <cell r="N66"/>
          <cell r="O66"/>
          <cell r="P66">
            <v>57.545145823933893</v>
          </cell>
          <cell r="Q66">
            <v>4.2300442303750243</v>
          </cell>
          <cell r="R66">
            <v>-2.6433497869430257E-2</v>
          </cell>
          <cell r="S66">
            <v>2.6897866378566046E-4</v>
          </cell>
          <cell r="T66">
            <v>177.21497382173879</v>
          </cell>
          <cell r="U66">
            <v>3.1365450266740198</v>
          </cell>
          <cell r="V66">
            <v>6.1759634886738727E-3</v>
          </cell>
          <cell r="W66">
            <v>3.3746400173160731E-4</v>
          </cell>
          <cell r="X66">
            <v>140.98620191015902</v>
          </cell>
          <cell r="Y66">
            <v>3.3788440748270245</v>
          </cell>
          <cell r="Z66">
            <v>-2.3211462599615779E-2</v>
          </cell>
          <cell r="AA66">
            <v>7.7444915505041833E-4</v>
          </cell>
          <cell r="AB66"/>
          <cell r="AC66">
            <v>4.7090536776607328</v>
          </cell>
          <cell r="AD66"/>
          <cell r="AE66"/>
          <cell r="AF66">
            <v>125.83397926551331</v>
          </cell>
          <cell r="AG66">
            <v>3.5225603126095129</v>
          </cell>
          <cell r="AH66">
            <v>-2.0448838503533021E-2</v>
          </cell>
          <cell r="AI66">
            <v>6.863950164199545E-4</v>
          </cell>
          <cell r="AJ66">
            <v>214.10252818255987</v>
          </cell>
          <cell r="AK66">
            <v>38.592995996547309</v>
          </cell>
          <cell r="AL66">
            <v>-0.58433443266598761</v>
          </cell>
          <cell r="AM66">
            <v>5.029164855362706E-3</v>
          </cell>
          <cell r="AN66"/>
          <cell r="AO66"/>
          <cell r="AP66"/>
          <cell r="AQ66"/>
          <cell r="AR66">
            <v>214.10252818255987</v>
          </cell>
          <cell r="AS66">
            <v>38.592995996547309</v>
          </cell>
          <cell r="AT66">
            <v>-0.58433443266598761</v>
          </cell>
          <cell r="AU66">
            <v>5.029164855362706E-3</v>
          </cell>
          <cell r="AV66">
            <v>341.69555828730671</v>
          </cell>
          <cell r="AW66">
            <v>71.270655740969303</v>
          </cell>
          <cell r="AX66">
            <v>-1.0200145379265961</v>
          </cell>
          <cell r="AY66">
            <v>7.6885903212827629E-3</v>
          </cell>
          <cell r="AZ66"/>
          <cell r="BA66"/>
          <cell r="BB66"/>
          <cell r="BC66"/>
          <cell r="BD66">
            <v>341.69555828730671</v>
          </cell>
          <cell r="BE66">
            <v>71.270655740969303</v>
          </cell>
          <cell r="BF66">
            <v>-1.0200145379265961</v>
          </cell>
          <cell r="BG66">
            <v>7.6885903212827629E-3</v>
          </cell>
          <cell r="BH66">
            <v>706.24000749407708</v>
          </cell>
          <cell r="BI66">
            <v>28.967186518923867</v>
          </cell>
          <cell r="BJ66">
            <v>-0.36197257298831492</v>
          </cell>
          <cell r="BK66">
            <v>3.6155826071842508E-3</v>
          </cell>
          <cell r="BL66"/>
          <cell r="BM66"/>
          <cell r="BN66"/>
          <cell r="BO66"/>
          <cell r="BP66">
            <v>706.24000749407708</v>
          </cell>
          <cell r="BQ66">
            <v>28.967186518923867</v>
          </cell>
          <cell r="BR66">
            <v>-0.36197257298831492</v>
          </cell>
          <cell r="BS66">
            <v>3.6155826071842508E-3</v>
          </cell>
        </row>
        <row r="67">
          <cell r="B67">
            <v>2050</v>
          </cell>
          <cell r="D67">
            <v>89.050331884536547</v>
          </cell>
          <cell r="E67">
            <v>3.5009032546795846</v>
          </cell>
          <cell r="F67">
            <v>-6.4746520330147645E-3</v>
          </cell>
          <cell r="G67">
            <v>1.9484259458433826E-4</v>
          </cell>
          <cell r="H67">
            <v>44.772064566764904</v>
          </cell>
          <cell r="I67">
            <v>5.6568935689766775</v>
          </cell>
          <cell r="J67">
            <v>-5.3763721293693001E-2</v>
          </cell>
          <cell r="K67">
            <v>4.2274256848047882E-4</v>
          </cell>
          <cell r="L67"/>
          <cell r="M67">
            <v>1.9156415672756584</v>
          </cell>
          <cell r="N67"/>
          <cell r="O67"/>
          <cell r="P67">
            <v>57.78855398689003</v>
          </cell>
          <cell r="Q67">
            <v>4.2467129656421072</v>
          </cell>
          <cell r="R67">
            <v>-2.6543216653152034E-2</v>
          </cell>
          <cell r="S67">
            <v>2.7010295933336506E-4</v>
          </cell>
          <cell r="T67">
            <v>177.97325502430158</v>
          </cell>
          <cell r="U67">
            <v>3.149965919296283</v>
          </cell>
          <cell r="V67">
            <v>6.2023896812251093E-3</v>
          </cell>
          <cell r="W67">
            <v>3.3890796892882682E-4</v>
          </cell>
          <cell r="X67">
            <v>141.56930252741677</v>
          </cell>
          <cell r="Y67">
            <v>3.3928185350150133</v>
          </cell>
          <cell r="Z67">
            <v>-2.330746219380242E-2</v>
          </cell>
          <cell r="AA67">
            <v>7.7765217615621699E-4</v>
          </cell>
          <cell r="AB67"/>
          <cell r="AC67">
            <v>4.7090536776607328</v>
          </cell>
          <cell r="AD67"/>
          <cell r="AE67"/>
          <cell r="AF67">
            <v>126.35460439343854</v>
          </cell>
          <cell r="AG67">
            <v>3.5350014731137116</v>
          </cell>
          <cell r="AH67">
            <v>-2.0533405547379945E-2</v>
          </cell>
          <cell r="AI67">
            <v>6.8923422292264144E-4</v>
          </cell>
          <cell r="AJ67">
            <v>214.98802842760688</v>
          </cell>
          <cell r="AK67">
            <v>38.75261161483138</v>
          </cell>
          <cell r="AL67">
            <v>-0.58675116397554949</v>
          </cell>
          <cell r="AM67">
            <v>5.0499648279254223E-3</v>
          </cell>
          <cell r="AN67"/>
          <cell r="AO67"/>
          <cell r="AP67"/>
          <cell r="AQ67"/>
          <cell r="AR67">
            <v>214.98802842760688</v>
          </cell>
          <cell r="AS67">
            <v>38.75261161483138</v>
          </cell>
          <cell r="AT67">
            <v>-0.58675116397554949</v>
          </cell>
          <cell r="AU67">
            <v>5.0499648279254223E-3</v>
          </cell>
          <cell r="AV67">
            <v>343.10876673077212</v>
          </cell>
          <cell r="AW67">
            <v>71.565421915189717</v>
          </cell>
          <cell r="AX67">
            <v>-1.0242331855574889</v>
          </cell>
          <cell r="AY67">
            <v>7.7203893321181544E-3</v>
          </cell>
          <cell r="AZ67"/>
          <cell r="BA67"/>
          <cell r="BB67"/>
          <cell r="BC67"/>
          <cell r="BD67">
            <v>343.10876673077212</v>
          </cell>
          <cell r="BE67">
            <v>71.565421915189717</v>
          </cell>
          <cell r="BF67">
            <v>-1.0242331855574889</v>
          </cell>
          <cell r="BG67">
            <v>7.7203893321181544E-3</v>
          </cell>
          <cell r="BH67">
            <v>709.16092442582283</v>
          </cell>
          <cell r="BI67">
            <v>29.086991039583044</v>
          </cell>
          <cell r="BJ67">
            <v>-0.36346964453063763</v>
          </cell>
          <cell r="BK67">
            <v>3.6305361871901789E-3</v>
          </cell>
          <cell r="BL67"/>
          <cell r="BM67"/>
          <cell r="BN67"/>
          <cell r="BO67"/>
          <cell r="BP67">
            <v>709.16092442582283</v>
          </cell>
          <cell r="BQ67">
            <v>29.086991039583044</v>
          </cell>
          <cell r="BR67">
            <v>-0.36346964453063763</v>
          </cell>
          <cell r="BS67">
            <v>3.6305361871901789E-3</v>
          </cell>
        </row>
        <row r="68">
          <cell r="B68">
            <v>2051</v>
          </cell>
          <cell r="D68">
            <v>89.432340079857795</v>
          </cell>
          <cell r="E68">
            <v>3.5159214326696291</v>
          </cell>
          <cell r="F68">
            <v>-6.5024270012391631E-3</v>
          </cell>
          <cell r="G68">
            <v>1.956784305251339E-4</v>
          </cell>
          <cell r="H68">
            <v>44.957735158331445</v>
          </cell>
          <cell r="I68">
            <v>5.6803528127159195</v>
          </cell>
          <cell r="J68">
            <v>-5.3986680454366338E-2</v>
          </cell>
          <cell r="K68">
            <v>4.2449568984152483E-4</v>
          </cell>
          <cell r="L68"/>
          <cell r="M68">
            <v>1.9156415672756584</v>
          </cell>
          <cell r="N68"/>
          <cell r="O68"/>
          <cell r="P68">
            <v>58.03362769934833</v>
          </cell>
          <cell r="Q68">
            <v>4.2634957587262674</v>
          </cell>
          <cell r="R68">
            <v>-2.6653686200789804E-2</v>
          </cell>
          <cell r="S68">
            <v>2.7123494800798469E-4</v>
          </cell>
          <cell r="T68">
            <v>178.73672485679404</v>
          </cell>
          <cell r="U68">
            <v>3.1634786459834121</v>
          </cell>
          <cell r="V68">
            <v>6.2289966981633072E-3</v>
          </cell>
          <cell r="W68">
            <v>3.4036181664450253E-4</v>
          </cell>
          <cell r="X68">
            <v>142.15639308047201</v>
          </cell>
          <cell r="Y68">
            <v>3.4068886171202233</v>
          </cell>
          <cell r="Z68">
            <v>-2.3404118676707841E-2</v>
          </cell>
          <cell r="AA68">
            <v>7.8087711431748085E-4</v>
          </cell>
          <cell r="AB68"/>
          <cell r="AC68">
            <v>4.7090536776607328</v>
          </cell>
          <cell r="AD68"/>
          <cell r="AE68"/>
          <cell r="AF68">
            <v>126.87879196114433</v>
          </cell>
          <cell r="AG68">
            <v>3.5475277637484393</v>
          </cell>
          <cell r="AH68">
            <v>-2.0618551251350946E-2</v>
          </cell>
          <cell r="AI68">
            <v>6.9209285703580664E-4</v>
          </cell>
          <cell r="AJ68">
            <v>215.87958781411567</v>
          </cell>
          <cell r="AK68">
            <v>38.913319422096869</v>
          </cell>
          <cell r="AL68">
            <v>-0.58918443205849069</v>
          </cell>
          <cell r="AM68">
            <v>5.070907126791111E-3</v>
          </cell>
          <cell r="AN68"/>
          <cell r="AO68"/>
          <cell r="AP68"/>
          <cell r="AQ68"/>
          <cell r="AR68">
            <v>215.87958781411567</v>
          </cell>
          <cell r="AS68">
            <v>38.913319422096869</v>
          </cell>
          <cell r="AT68">
            <v>-0.58918443205849069</v>
          </cell>
          <cell r="AU68">
            <v>5.070907126791111E-3</v>
          </cell>
          <cell r="AV68">
            <v>344.5316452222379</v>
          </cell>
          <cell r="AW68">
            <v>71.862205062254262</v>
          </cell>
          <cell r="AX68">
            <v>-1.028480699789962</v>
          </cell>
          <cell r="AY68">
            <v>7.7524059314929891E-3</v>
          </cell>
          <cell r="AZ68"/>
          <cell r="BA68"/>
          <cell r="BB68"/>
          <cell r="BC68"/>
          <cell r="BD68">
            <v>344.5316452222379</v>
          </cell>
          <cell r="BE68">
            <v>71.862205062254262</v>
          </cell>
          <cell r="BF68">
            <v>-1.028480699789962</v>
          </cell>
          <cell r="BG68">
            <v>7.7524059314929891E-3</v>
          </cell>
          <cell r="BH68">
            <v>712.10182808144191</v>
          </cell>
          <cell r="BI68">
            <v>29.207615337020933</v>
          </cell>
          <cell r="BJ68">
            <v>-0.36497695996425683</v>
          </cell>
          <cell r="BK68">
            <v>3.645592088857928E-3</v>
          </cell>
          <cell r="BL68"/>
          <cell r="BM68"/>
          <cell r="BN68"/>
          <cell r="BO68"/>
          <cell r="BP68">
            <v>712.10182808144191</v>
          </cell>
          <cell r="BQ68">
            <v>29.207615337020933</v>
          </cell>
          <cell r="BR68">
            <v>-0.36497695996425683</v>
          </cell>
          <cell r="BS68">
            <v>3.645592088857928E-3</v>
          </cell>
        </row>
        <row r="69">
          <cell r="B69">
            <v>2052</v>
          </cell>
          <cell r="D69">
            <v>89.81696221199941</v>
          </cell>
          <cell r="E69">
            <v>3.5310423743409332</v>
          </cell>
          <cell r="F69">
            <v>-6.5303920230095711E-3</v>
          </cell>
          <cell r="G69">
            <v>1.9651998577344221E-4</v>
          </cell>
          <cell r="H69">
            <v>45.144676223154043</v>
          </cell>
          <cell r="I69">
            <v>5.7039725791395934</v>
          </cell>
          <cell r="J69">
            <v>-5.4211165239795002E-2</v>
          </cell>
          <cell r="K69">
            <v>4.2626080714541271E-4</v>
          </cell>
          <cell r="L69"/>
          <cell r="M69">
            <v>1.9156415672756584</v>
          </cell>
          <cell r="N69"/>
          <cell r="O69"/>
          <cell r="P69">
            <v>58.280378358030674</v>
          </cell>
          <cell r="Q69">
            <v>4.2803933900817759</v>
          </cell>
          <cell r="R69">
            <v>-2.6764911649535553E-2</v>
          </cell>
          <cell r="S69">
            <v>2.7237468245066123E-4</v>
          </cell>
          <cell r="T69">
            <v>179.50541882303759</v>
          </cell>
          <cell r="U69">
            <v>3.1770838351209889</v>
          </cell>
          <cell r="V69">
            <v>6.2557857768009819E-3</v>
          </cell>
          <cell r="W69">
            <v>3.4182561248726476E-4</v>
          </cell>
          <cell r="X69">
            <v>142.74750087093815</v>
          </cell>
          <cell r="Y69">
            <v>3.4210549754470714</v>
          </cell>
          <cell r="Z69">
            <v>-2.3501436543171748E-2</v>
          </cell>
          <cell r="AA69">
            <v>7.8412411950428589E-4</v>
          </cell>
          <cell r="AB69"/>
          <cell r="AC69">
            <v>4.7090536776607328</v>
          </cell>
          <cell r="AD69"/>
          <cell r="AE69"/>
          <cell r="AF69">
            <v>127.40656634505142</v>
          </cell>
          <cell r="AG69">
            <v>3.5601397670268056</v>
          </cell>
          <cell r="AH69">
            <v>-2.0704279574997209E-2</v>
          </cell>
          <cell r="AI69">
            <v>6.9497105169520038E-4</v>
          </cell>
          <cell r="AJ69">
            <v>216.77724780248712</v>
          </cell>
          <cell r="AK69">
            <v>39.075126891777664</v>
          </cell>
          <cell r="AL69">
            <v>-0.59163435006966314</v>
          </cell>
          <cell r="AM69">
            <v>5.0919927258445408E-3</v>
          </cell>
          <cell r="AN69"/>
          <cell r="AO69"/>
          <cell r="AP69"/>
          <cell r="AQ69"/>
          <cell r="AR69">
            <v>216.77724780248712</v>
          </cell>
          <cell r="AS69">
            <v>39.075126891777664</v>
          </cell>
          <cell r="AT69">
            <v>-0.59163435006966314</v>
          </cell>
          <cell r="AU69">
            <v>5.0919927258445408E-3</v>
          </cell>
          <cell r="AV69">
            <v>345.96425993016521</v>
          </cell>
          <cell r="AW69">
            <v>72.16101898354114</v>
          </cell>
          <cell r="AX69">
            <v>-1.0327572781471925</v>
          </cell>
          <cell r="AY69">
            <v>7.784641608282899E-3</v>
          </cell>
          <cell r="AZ69"/>
          <cell r="BA69"/>
          <cell r="BB69"/>
          <cell r="BC69"/>
          <cell r="BD69">
            <v>345.96425993016521</v>
          </cell>
          <cell r="BE69">
            <v>72.16101898354114</v>
          </cell>
          <cell r="BF69">
            <v>-1.0327572781471925</v>
          </cell>
          <cell r="BG69">
            <v>7.784641608282899E-3</v>
          </cell>
          <cell r="BH69">
            <v>715.06285522248538</v>
          </cell>
          <cell r="BI69">
            <v>29.329065020658295</v>
          </cell>
          <cell r="BJ69">
            <v>-0.3664945893842253</v>
          </cell>
          <cell r="BK69">
            <v>3.6607510123357191E-3</v>
          </cell>
          <cell r="BL69"/>
          <cell r="BM69"/>
          <cell r="BN69"/>
          <cell r="BO69"/>
          <cell r="BP69">
            <v>715.06285522248538</v>
          </cell>
          <cell r="BQ69">
            <v>29.329065020658295</v>
          </cell>
          <cell r="BR69">
            <v>-0.3664945893842253</v>
          </cell>
          <cell r="BS69">
            <v>3.6607510123357191E-3</v>
          </cell>
        </row>
        <row r="70">
          <cell r="B70">
            <v>2053</v>
          </cell>
          <cell r="D70">
            <v>90.204216167137119</v>
          </cell>
          <cell r="E70">
            <v>3.5462667828662937</v>
          </cell>
          <cell r="F70">
            <v>-6.5585483987901398E-3</v>
          </cell>
          <cell r="G70">
            <v>1.973672994643099E-4</v>
          </cell>
          <cell r="H70">
            <v>45.332896454598121</v>
          </cell>
          <cell r="I70">
            <v>5.7277539666433919</v>
          </cell>
          <cell r="J70">
            <v>-5.4437186089249093E-2</v>
          </cell>
          <cell r="K70">
            <v>4.28038002475818E-4</v>
          </cell>
          <cell r="L70"/>
          <cell r="M70">
            <v>1.9156415672756584</v>
          </cell>
          <cell r="N70"/>
          <cell r="O70"/>
          <cell r="P70">
            <v>58.528817437642431</v>
          </cell>
          <cell r="Q70">
            <v>4.2974066455032558</v>
          </cell>
          <cell r="R70">
            <v>-2.6876898171733127E-2</v>
          </cell>
          <cell r="S70">
            <v>2.7352221566274038E-4</v>
          </cell>
          <cell r="T70">
            <v>180.2793726697931</v>
          </cell>
          <cell r="U70">
            <v>3.1907821193944055</v>
          </cell>
          <cell r="V70">
            <v>6.2827581629171167E-3</v>
          </cell>
          <cell r="W70">
            <v>3.432994245283647E-4</v>
          </cell>
          <cell r="X70">
            <v>143.34265338724333</v>
          </cell>
          <cell r="Y70">
            <v>3.4353182687771344</v>
          </cell>
          <cell r="Z70">
            <v>-2.3599420318790355E-2</v>
          </cell>
          <cell r="AA70">
            <v>7.8739334271289729E-4</v>
          </cell>
          <cell r="AB70"/>
          <cell r="AC70">
            <v>4.7090536776607328</v>
          </cell>
          <cell r="AD70"/>
          <cell r="AE70"/>
          <cell r="AF70">
            <v>127.93795208837923</v>
          </cell>
          <cell r="AG70">
            <v>3.5728380694478399</v>
          </cell>
          <cell r="AH70">
            <v>-2.0790594504963632E-2</v>
          </cell>
          <cell r="AI70">
            <v>6.9786894074620309E-4</v>
          </cell>
          <cell r="AJ70">
            <v>217.68105013682015</v>
          </cell>
          <cell r="AK70">
            <v>39.23804154844553</v>
          </cell>
          <cell r="AL70">
            <v>-0.59410103193819463</v>
          </cell>
          <cell r="AM70">
            <v>5.1132226056344078E-3</v>
          </cell>
          <cell r="AN70"/>
          <cell r="AO70"/>
          <cell r="AP70"/>
          <cell r="AQ70"/>
          <cell r="AR70">
            <v>217.68105013682015</v>
          </cell>
          <cell r="AS70">
            <v>39.23804154844553</v>
          </cell>
          <cell r="AT70">
            <v>-0.59410103193819463</v>
          </cell>
          <cell r="AU70">
            <v>5.1132226056344078E-3</v>
          </cell>
          <cell r="AV70">
            <v>347.40667747578129</v>
          </cell>
          <cell r="AW70">
            <v>72.461877574866165</v>
          </cell>
          <cell r="AX70">
            <v>-1.0370631195039355</v>
          </cell>
          <cell r="AY70">
            <v>7.817097861551334E-3</v>
          </cell>
          <cell r="AZ70"/>
          <cell r="BA70"/>
          <cell r="BB70"/>
          <cell r="BC70"/>
          <cell r="BD70">
            <v>347.40667747578129</v>
          </cell>
          <cell r="BE70">
            <v>72.461877574866165</v>
          </cell>
          <cell r="BF70">
            <v>-1.0370631195039355</v>
          </cell>
          <cell r="BG70">
            <v>7.817097861551334E-3</v>
          </cell>
          <cell r="BH70">
            <v>718.0441435463124</v>
          </cell>
          <cell r="BI70">
            <v>29.451345738299047</v>
          </cell>
          <cell r="BJ70">
            <v>-0.36802260336522979</v>
          </cell>
          <cell r="BK70">
            <v>3.676013662562626E-3</v>
          </cell>
          <cell r="BL70"/>
          <cell r="BM70"/>
          <cell r="BN70"/>
          <cell r="BO70"/>
          <cell r="BP70">
            <v>718.0441435463124</v>
          </cell>
          <cell r="BQ70">
            <v>29.451345738299047</v>
          </cell>
          <cell r="BR70">
            <v>-0.36802260336522979</v>
          </cell>
          <cell r="BS70">
            <v>3.676013662562626E-3</v>
          </cell>
        </row>
        <row r="71">
          <cell r="B71">
            <v>2054</v>
          </cell>
          <cell r="D71">
            <v>90.59411995383492</v>
          </cell>
          <cell r="E71">
            <v>3.5615953662300495</v>
          </cell>
          <cell r="F71">
            <v>-6.5868974379435967E-3</v>
          </cell>
          <cell r="G71">
            <v>1.9822041100056963E-4</v>
          </cell>
          <cell r="H71">
            <v>45.522404605514453</v>
          </cell>
          <cell r="I71">
            <v>5.7516980811389073</v>
          </cell>
          <cell r="J71">
            <v>-5.4664753513430649E-2</v>
          </cell>
          <cell r="K71">
            <v>4.2982735847808346E-4</v>
          </cell>
          <cell r="L71"/>
          <cell r="M71">
            <v>1.9156415672756584</v>
          </cell>
          <cell r="N71"/>
          <cell r="O71"/>
          <cell r="P71">
            <v>58.778956491405992</v>
          </cell>
          <cell r="Q71">
            <v>4.3145363161622248</v>
          </cell>
          <cell r="R71">
            <v>-2.6989650975118771E-2</v>
          </cell>
          <cell r="S71">
            <v>2.7467760100823556E-4</v>
          </cell>
          <cell r="T71">
            <v>181.05862238842283</v>
          </cell>
          <cell r="U71">
            <v>3.2045741358182758</v>
          </cell>
          <cell r="V71">
            <v>6.3099151108150838E-3</v>
          </cell>
          <cell r="W71">
            <v>3.4478332130483878E-4</v>
          </cell>
          <cell r="X71">
            <v>143.94187830590835</v>
          </cell>
          <cell r="Y71">
            <v>3.4496791603997785</v>
          </cell>
          <cell r="Z71">
            <v>-2.3698074560126781E-2</v>
          </cell>
          <cell r="AA71">
            <v>7.9068493597278956E-4</v>
          </cell>
          <cell r="AB71"/>
          <cell r="AC71">
            <v>4.7090536776607328</v>
          </cell>
          <cell r="AD71"/>
          <cell r="AE71"/>
          <cell r="AF71">
            <v>128.47297390228698</v>
          </cell>
          <cell r="AG71">
            <v>3.5856232615237591</v>
          </cell>
          <cell r="AH71">
            <v>-2.0877500055174216E-2</v>
          </cell>
          <cell r="AI71">
            <v>7.0078665895004753E-4</v>
          </cell>
          <cell r="AJ71">
            <v>218.59103684685243</v>
          </cell>
          <cell r="AK71">
            <v>39.402070968160004</v>
          </cell>
          <cell r="AL71">
            <v>-0.59658459237278649</v>
          </cell>
          <cell r="AM71">
            <v>5.1345977534189274E-3</v>
          </cell>
          <cell r="AN71"/>
          <cell r="AO71"/>
          <cell r="AP71"/>
          <cell r="AQ71"/>
          <cell r="AR71">
            <v>218.59103684685243</v>
          </cell>
          <cell r="AS71">
            <v>39.402070968160004</v>
          </cell>
          <cell r="AT71">
            <v>-0.59658459237278649</v>
          </cell>
          <cell r="AU71">
            <v>5.1345977534189274E-3</v>
          </cell>
          <cell r="AV71">
            <v>348.85896493617685</v>
          </cell>
          <cell r="AW71">
            <v>72.764794827128924</v>
          </cell>
          <cell r="AX71">
            <v>-1.0413984240957685</v>
          </cell>
          <cell r="AY71">
            <v>7.8497762006192618E-3</v>
          </cell>
          <cell r="AZ71"/>
          <cell r="BA71"/>
          <cell r="BB71"/>
          <cell r="BC71"/>
          <cell r="BD71">
            <v>348.85896493617685</v>
          </cell>
          <cell r="BE71">
            <v>72.764794827128924</v>
          </cell>
          <cell r="BF71">
            <v>-1.0413984240957685</v>
          </cell>
          <cell r="BG71">
            <v>7.8497762006192618E-3</v>
          </cell>
          <cell r="BH71">
            <v>721.04583169249224</v>
          </cell>
          <cell r="BI71">
            <v>29.574463176392868</v>
          </cell>
          <cell r="BJ71">
            <v>-0.36956107296487273</v>
          </cell>
          <cell r="BK71">
            <v>3.6913807493013503E-3</v>
          </cell>
          <cell r="BL71"/>
          <cell r="BM71"/>
          <cell r="BN71"/>
          <cell r="BO71"/>
          <cell r="BP71">
            <v>721.04583169249224</v>
          </cell>
          <cell r="BQ71">
            <v>29.574463176392868</v>
          </cell>
          <cell r="BR71">
            <v>-0.36956107296487273</v>
          </cell>
          <cell r="BS71">
            <v>3.6913807493013503E-3</v>
          </cell>
        </row>
        <row r="72">
          <cell r="B72">
            <v>2055</v>
          </cell>
          <cell r="D72">
            <v>90.986691703882542</v>
          </cell>
          <cell r="E72">
            <v>3.5770288372610053</v>
          </cell>
          <cell r="F72">
            <v>-6.6154404587921399E-3</v>
          </cell>
          <cell r="G72">
            <v>1.990793600546728E-4</v>
          </cell>
          <cell r="H72">
            <v>45.713209488646221</v>
          </cell>
          <cell r="I72">
            <v>5.7758060361050649</v>
          </cell>
          <cell r="J72">
            <v>-5.4893878094962385E-2</v>
          </cell>
          <cell r="K72">
            <v>4.3162895836306212E-4</v>
          </cell>
          <cell r="L72"/>
          <cell r="M72">
            <v>1.9156415672756584</v>
          </cell>
          <cell r="N72"/>
          <cell r="O72"/>
          <cell r="P72">
            <v>59.030807151598012</v>
          </cell>
          <cell r="Q72">
            <v>4.3317831986438833</v>
          </cell>
          <cell r="R72">
            <v>-2.7103175303063245E-2</v>
          </cell>
          <cell r="S72">
            <v>2.7584089221630975E-4</v>
          </cell>
          <cell r="T72">
            <v>181.84320421656417</v>
          </cell>
          <cell r="U72">
            <v>3.218460525766063</v>
          </cell>
          <cell r="V72">
            <v>6.3372578833809741E-3</v>
          </cell>
          <cell r="W72">
            <v>3.4627737182269631E-4</v>
          </cell>
          <cell r="X72">
            <v>144.54520349283399</v>
          </cell>
          <cell r="Y72">
            <v>3.4641383181430068</v>
          </cell>
          <cell r="Z72">
            <v>-2.3797403854922981E-2</v>
          </cell>
          <cell r="AA72">
            <v>7.9399905235371694E-4</v>
          </cell>
          <cell r="AB72"/>
          <cell r="AC72">
            <v>4.7090536776607328</v>
          </cell>
          <cell r="AD72"/>
          <cell r="AE72"/>
          <cell r="AF72">
            <v>129.011656667023</v>
          </cell>
          <cell r="AG72">
            <v>3.5984959378074302</v>
          </cell>
          <cell r="AH72">
            <v>-2.0965000267018686E-2</v>
          </cell>
          <cell r="AI72">
            <v>7.0372434199008618E-4</v>
          </cell>
          <cell r="AJ72">
            <v>219.50725024991513</v>
          </cell>
          <cell r="AK72">
            <v>39.5672227788207</v>
          </cell>
          <cell r="AL72">
            <v>-0.59908514686704784</v>
          </cell>
          <cell r="AM72">
            <v>5.1561191632117451E-3</v>
          </cell>
          <cell r="AN72"/>
          <cell r="AO72"/>
          <cell r="AP72"/>
          <cell r="AQ72"/>
          <cell r="AR72">
            <v>219.50725024991513</v>
          </cell>
          <cell r="AS72">
            <v>39.5672227788207</v>
          </cell>
          <cell r="AT72">
            <v>-0.59908514686704784</v>
          </cell>
          <cell r="AU72">
            <v>5.1561191632117451E-3</v>
          </cell>
          <cell r="AV72">
            <v>350.32118984742533</v>
          </cell>
          <cell r="AW72">
            <v>73.069784826963328</v>
          </cell>
          <cell r="AX72">
            <v>-1.0457633935284054</v>
          </cell>
          <cell r="AY72">
            <v>7.882678145135354E-3</v>
          </cell>
          <cell r="AZ72"/>
          <cell r="BA72"/>
          <cell r="BB72"/>
          <cell r="BC72"/>
          <cell r="BD72">
            <v>350.32118984742533</v>
          </cell>
          <cell r="BE72">
            <v>73.069784826963328</v>
          </cell>
          <cell r="BF72">
            <v>-1.0457633935284054</v>
          </cell>
          <cell r="BG72">
            <v>7.882678145135354E-3</v>
          </cell>
          <cell r="BH72">
            <v>724.06805924925152</v>
          </cell>
          <cell r="BI72">
            <v>29.698423060299636</v>
          </cell>
          <cell r="BJ72">
            <v>-0.37111006972697635</v>
          </cell>
          <cell r="BK72">
            <v>3.7068529871712276E-3</v>
          </cell>
          <cell r="BL72"/>
          <cell r="BM72"/>
          <cell r="BN72"/>
          <cell r="BO72"/>
          <cell r="BP72">
            <v>724.06805924925152</v>
          </cell>
          <cell r="BQ72">
            <v>29.698423060299636</v>
          </cell>
          <cell r="BR72">
            <v>-0.37111006972697635</v>
          </cell>
          <cell r="BS72">
            <v>3.7068529871712276E-3</v>
          </cell>
        </row>
        <row r="73">
          <cell r="B73">
            <v>2056</v>
          </cell>
          <cell r="D73">
            <v>91.381949673138692</v>
          </cell>
          <cell r="E73">
            <v>3.5925679136655839</v>
          </cell>
          <cell r="F73">
            <v>-6.644178788678747E-3</v>
          </cell>
          <cell r="G73">
            <v>1.9994418657053419E-4</v>
          </cell>
          <cell r="H73">
            <v>45.905319977038921</v>
          </cell>
          <cell r="I73">
            <v>5.8000789526399066</v>
          </cell>
          <cell r="J73">
            <v>-5.512457048887999E-2</v>
          </cell>
          <cell r="K73">
            <v>4.3344288591098799E-4</v>
          </cell>
          <cell r="L73"/>
          <cell r="M73">
            <v>1.9156415672756584</v>
          </cell>
          <cell r="N73"/>
          <cell r="O73"/>
          <cell r="P73">
            <v>59.28438113009048</v>
          </cell>
          <cell r="Q73">
            <v>4.3491480949841641</v>
          </cell>
          <cell r="R73">
            <v>-2.7217476434815757E-2</v>
          </cell>
          <cell r="S73">
            <v>2.7701214338377451E-4</v>
          </cell>
          <cell r="T73">
            <v>182.63315463981496</v>
          </cell>
          <cell r="U73">
            <v>3.2324419349999047</v>
          </cell>
          <cell r="V73">
            <v>6.3647877521423287E-3</v>
          </cell>
          <cell r="W73">
            <v>3.477816455601286E-4</v>
          </cell>
          <cell r="X73">
            <v>145.15265700459688</v>
          </cell>
          <cell r="Y73">
            <v>3.4786964144045176</v>
          </cell>
          <cell r="Z73">
            <v>-2.3897412822313096E-2</v>
          </cell>
          <cell r="AA73">
            <v>7.9733584597283262E-4</v>
          </cell>
          <cell r="AB73"/>
          <cell r="AC73">
            <v>4.7090536776607328</v>
          </cell>
          <cell r="AD73"/>
          <cell r="AE73"/>
          <cell r="AF73">
            <v>129.55402543308176</v>
          </cell>
          <cell r="AG73">
            <v>3.6114566969200226</v>
          </cell>
          <cell r="AH73">
            <v>-2.1053099209540484E-2</v>
          </cell>
          <cell r="AI73">
            <v>7.0668212647810168E-4</v>
          </cell>
          <cell r="AJ73">
            <v>220.42973295290111</v>
          </cell>
          <cell r="AK73">
            <v>39.733504660522087</v>
          </cell>
          <cell r="AL73">
            <v>-0.6016028117048674</v>
          </cell>
          <cell r="AM73">
            <v>5.1777878358281711E-3</v>
          </cell>
          <cell r="AN73"/>
          <cell r="AO73"/>
          <cell r="AP73"/>
          <cell r="AQ73"/>
          <cell r="AR73">
            <v>220.42973295290111</v>
          </cell>
          <cell r="AS73">
            <v>39.733504660522087</v>
          </cell>
          <cell r="AT73">
            <v>-0.6016028117048674</v>
          </cell>
          <cell r="AU73">
            <v>5.1777878358281711E-3</v>
          </cell>
          <cell r="AV73">
            <v>351.79342020772452</v>
          </cell>
          <cell r="AW73">
            <v>73.376861757392888</v>
          </cell>
          <cell r="AX73">
            <v>-1.0501582307870725</v>
          </cell>
          <cell r="AY73">
            <v>7.9158052251466701E-3</v>
          </cell>
          <cell r="AZ73"/>
          <cell r="BA73"/>
          <cell r="BB73"/>
          <cell r="BC73"/>
          <cell r="BD73">
            <v>351.79342020772452</v>
          </cell>
          <cell r="BE73">
            <v>73.376861757392888</v>
          </cell>
          <cell r="BF73">
            <v>-1.0501582307870725</v>
          </cell>
          <cell r="BG73">
            <v>7.9158052251466701E-3</v>
          </cell>
          <cell r="BH73">
            <v>727.11096675996737</v>
          </cell>
          <cell r="BI73">
            <v>29.823231154555724</v>
          </cell>
          <cell r="BJ73">
            <v>-0.37266966568491072</v>
          </cell>
          <cell r="BK73">
            <v>3.7224310956814662E-3</v>
          </cell>
          <cell r="BL73"/>
          <cell r="BM73"/>
          <cell r="BN73"/>
          <cell r="BO73"/>
          <cell r="BP73">
            <v>727.11096675996737</v>
          </cell>
          <cell r="BQ73">
            <v>29.823231154555724</v>
          </cell>
          <cell r="BR73">
            <v>-0.37266966568491072</v>
          </cell>
          <cell r="BS73">
            <v>3.7224310956814662E-3</v>
          </cell>
        </row>
        <row r="74">
          <cell r="B74">
            <v>2057</v>
          </cell>
          <cell r="D74">
            <v>91.779912242380007</v>
          </cell>
          <cell r="E74">
            <v>3.6082133180612019</v>
          </cell>
          <cell r="F74">
            <v>-6.6731137640289005E-3</v>
          </cell>
          <cell r="G74">
            <v>2.0081493076538984E-4</v>
          </cell>
          <cell r="H74">
            <v>46.09874500445288</v>
          </cell>
          <cell r="I74">
            <v>5.8245179595127192</v>
          </cell>
          <cell r="J74">
            <v>-5.5356841423127426E-2</v>
          </cell>
          <cell r="K74">
            <v>4.3526922547537075E-4</v>
          </cell>
          <cell r="L74"/>
          <cell r="M74">
            <v>1.9156415672756584</v>
          </cell>
          <cell r="N74"/>
          <cell r="O74"/>
          <cell r="P74">
            <v>59.539690218895217</v>
          </cell>
          <cell r="Q74">
            <v>4.3666318127070296</v>
          </cell>
          <cell r="R74">
            <v>-2.7332559685749366E-2</v>
          </cell>
          <cell r="S74">
            <v>2.7819140897760515E-4</v>
          </cell>
          <cell r="T74">
            <v>183.42851039343017</v>
          </cell>
          <cell r="U74">
            <v>3.2465190137006457</v>
          </cell>
          <cell r="V74">
            <v>6.3925059973272717E-3</v>
          </cell>
          <cell r="W74">
            <v>3.4929621247073987E-4</v>
          </cell>
          <cell r="X74">
            <v>145.76426708975401</v>
          </cell>
          <cell r="Y74">
            <v>3.493354126182969</v>
          </cell>
          <cell r="Z74">
            <v>-2.3998106113038237E-2</v>
          </cell>
          <cell r="AA74">
            <v>8.0069547200185419E-4</v>
          </cell>
          <cell r="AB74"/>
          <cell r="AC74">
            <v>4.7090536776607328</v>
          </cell>
          <cell r="AD74"/>
          <cell r="AE74"/>
          <cell r="AF74">
            <v>130.1001054223687</v>
          </cell>
          <cell r="AG74">
            <v>3.6245061415788395</v>
          </cell>
          <cell r="AH74">
            <v>-2.1141800979625976E-2</v>
          </cell>
          <cell r="AI74">
            <v>7.0966014996065878E-4</v>
          </cell>
          <cell r="AJ74">
            <v>221.35852785424569</v>
          </cell>
          <cell r="AK74">
            <v>39.900924345910589</v>
          </cell>
          <cell r="AL74">
            <v>-0.60413770396581956</v>
          </cell>
          <cell r="AM74">
            <v>5.1996047789317082E-3</v>
          </cell>
          <cell r="AN74"/>
          <cell r="AO74"/>
          <cell r="AP74"/>
          <cell r="AQ74"/>
          <cell r="AR74">
            <v>221.35852785424569</v>
          </cell>
          <cell r="AS74">
            <v>39.900924345910589</v>
          </cell>
          <cell r="AT74">
            <v>-0.60413770396581956</v>
          </cell>
          <cell r="AU74">
            <v>5.1996047789317082E-3</v>
          </cell>
          <cell r="AV74">
            <v>353.27572448055747</v>
          </cell>
          <cell r="AW74">
            <v>73.686039898490108</v>
          </cell>
          <cell r="AX74">
            <v>-1.0545831402459451</v>
          </cell>
          <cell r="AY74">
            <v>7.9491589811697926E-3</v>
          </cell>
          <cell r="AZ74"/>
          <cell r="BA74"/>
          <cell r="BB74"/>
          <cell r="BC74"/>
          <cell r="BD74">
            <v>353.27572448055747</v>
          </cell>
          <cell r="BE74">
            <v>73.686039898490108</v>
          </cell>
          <cell r="BF74">
            <v>-1.0545831402459451</v>
          </cell>
          <cell r="BG74">
            <v>7.9491589811697926E-3</v>
          </cell>
          <cell r="BH74">
            <v>730.17469572970083</v>
          </cell>
          <cell r="BI74">
            <v>29.948893263142008</v>
          </cell>
          <cell r="BJ74">
            <v>-0.37423993336494232</v>
          </cell>
          <cell r="BK74">
            <v>3.7381157992645996E-3</v>
          </cell>
          <cell r="BL74"/>
          <cell r="BM74"/>
          <cell r="BN74"/>
          <cell r="BO74"/>
          <cell r="BP74">
            <v>730.17469572970083</v>
          </cell>
          <cell r="BQ74">
            <v>29.948893263142008</v>
          </cell>
          <cell r="BR74">
            <v>-0.37423993336494232</v>
          </cell>
          <cell r="BS74">
            <v>3.7381157992645996E-3</v>
          </cell>
        </row>
        <row r="75">
          <cell r="B75">
            <v>2058</v>
          </cell>
          <cell r="D75">
            <v>92.180597918155669</v>
          </cell>
          <cell r="E75">
            <v>3.6239657780098673</v>
          </cell>
          <cell r="F75">
            <v>-6.7022467304127271E-3</v>
          </cell>
          <cell r="G75">
            <v>2.0169163313166663E-4</v>
          </cell>
          <cell r="H75">
            <v>46.293493565778768</v>
          </cell>
          <cell r="I75">
            <v>5.8491241932165288</v>
          </cell>
          <cell r="J75">
            <v>-5.5590701699055937E-2</v>
          </cell>
          <cell r="K75">
            <v>4.3710806198691947E-4</v>
          </cell>
          <cell r="L75"/>
          <cell r="M75">
            <v>1.9156415672756584</v>
          </cell>
          <cell r="N75"/>
          <cell r="O75"/>
          <cell r="P75">
            <v>59.796746290712292</v>
          </cell>
          <cell r="Q75">
            <v>4.384235164862015</v>
          </cell>
          <cell r="R75">
            <v>-2.7448430407608231E-2</v>
          </cell>
          <cell r="S75">
            <v>2.7937874383747365E-4</v>
          </cell>
          <cell r="T75">
            <v>184.22930846402994</v>
          </cell>
          <cell r="U75">
            <v>3.2606924164980664</v>
          </cell>
          <cell r="V75">
            <v>6.4204139079240344E-3</v>
          </cell>
          <cell r="W75">
            <v>3.5082114298679988E-4</v>
          </cell>
          <cell r="X75">
            <v>146.38006219015665</v>
          </cell>
          <cell r="Y75">
            <v>3.5081121351094655</v>
          </cell>
          <cell r="Z75">
            <v>-2.4099488409662771E-2</v>
          </cell>
          <cell r="AA75">
            <v>8.0407808667428088E-4</v>
          </cell>
          <cell r="AB75"/>
          <cell r="AC75">
            <v>4.7090536776607328</v>
          </cell>
          <cell r="AD75"/>
          <cell r="AE75"/>
          <cell r="AF75">
            <v>130.64992202937313</v>
          </cell>
          <cell r="AG75">
            <v>3.6376448786253524</v>
          </cell>
          <cell r="AH75">
            <v>-2.1231109702194946E-2</v>
          </cell>
          <cell r="AI75">
            <v>7.1265855092550153E-4</v>
          </cell>
          <cell r="AJ75">
            <v>222.29367814592212</v>
          </cell>
          <cell r="AK75">
            <v>40.069489620544175</v>
          </cell>
          <cell r="AL75">
            <v>-0.60668994153061018</v>
          </cell>
          <cell r="AM75">
            <v>5.2215710070809204E-3</v>
          </cell>
          <cell r="AN75"/>
          <cell r="AO75"/>
          <cell r="AP75"/>
          <cell r="AQ75"/>
          <cell r="AR75">
            <v>222.29367814592212</v>
          </cell>
          <cell r="AS75">
            <v>40.069489620544175</v>
          </cell>
          <cell r="AT75">
            <v>-0.60668994153061018</v>
          </cell>
          <cell r="AU75">
            <v>5.2215710070809204E-3</v>
          </cell>
          <cell r="AV75">
            <v>354.76817159787714</v>
          </cell>
          <cell r="AW75">
            <v>73.997333628040593</v>
          </cell>
          <cell r="AX75">
            <v>-1.0590383276776552</v>
          </cell>
          <cell r="AY75">
            <v>7.9827409642624792E-3</v>
          </cell>
          <cell r="AZ75"/>
          <cell r="BA75"/>
          <cell r="BB75"/>
          <cell r="BC75"/>
          <cell r="BD75">
            <v>354.76817159787714</v>
          </cell>
          <cell r="BE75">
            <v>73.997333628040593</v>
          </cell>
          <cell r="BF75">
            <v>-1.0590383276776552</v>
          </cell>
          <cell r="BG75">
            <v>7.9827409642624792E-3</v>
          </cell>
          <cell r="BH75">
            <v>733.25938863177862</v>
          </cell>
          <cell r="BI75">
            <v>30.075415229753812</v>
          </cell>
          <cell r="BJ75">
            <v>-0.37582094578960767</v>
          </cell>
          <cell r="BK75">
            <v>3.7539078273101799E-3</v>
          </cell>
          <cell r="BL75"/>
          <cell r="BM75"/>
          <cell r="BN75"/>
          <cell r="BO75"/>
          <cell r="BP75">
            <v>733.25938863177862</v>
          </cell>
          <cell r="BQ75">
            <v>30.075415229753812</v>
          </cell>
          <cell r="BR75">
            <v>-0.37582094578960767</v>
          </cell>
          <cell r="BS75">
            <v>3.7539078273101799E-3</v>
          </cell>
        </row>
        <row r="76">
          <cell r="B76">
            <v>2059</v>
          </cell>
          <cell r="D76">
            <v>92.584025333648313</v>
          </cell>
          <cell r="E76">
            <v>3.6398260260520243</v>
          </cell>
          <cell r="F76">
            <v>-6.731579042607589E-3</v>
          </cell>
          <cell r="G76">
            <v>2.0257433443886626E-4</v>
          </cell>
          <cell r="H76">
            <v>46.489574717455845</v>
          </cell>
          <cell r="I76">
            <v>5.8738987980209494</v>
          </cell>
          <cell r="J76">
            <v>-5.5826162191926265E-2</v>
          </cell>
          <cell r="K76">
            <v>4.3895948095749139E-4</v>
          </cell>
          <cell r="L76"/>
          <cell r="M76">
            <v>1.9156415672756584</v>
          </cell>
          <cell r="N76"/>
          <cell r="O76"/>
          <cell r="P76">
            <v>60.055561299482164</v>
          </cell>
          <cell r="Q76">
            <v>4.4019589700620489</v>
          </cell>
          <cell r="R76">
            <v>-2.7565093988756447E-2</v>
          </cell>
          <cell r="S76">
            <v>2.8057420317829923E-4</v>
          </cell>
          <cell r="T76">
            <v>185.03558609132011</v>
          </cell>
          <cell r="U76">
            <v>3.274962802501336</v>
          </cell>
          <cell r="V76">
            <v>6.4485127817409142E-3</v>
          </cell>
          <cell r="W76">
            <v>3.5235650802252033E-4</v>
          </cell>
          <cell r="X76">
            <v>147.00007094227266</v>
          </cell>
          <cell r="Y76">
            <v>3.5229711274792503</v>
          </cell>
          <cell r="Z76">
            <v>-2.4201564426792062E-2</v>
          </cell>
          <cell r="AA76">
            <v>8.0748384729265727E-4</v>
          </cell>
          <cell r="AB76"/>
          <cell r="AC76">
            <v>4.7090536776607328</v>
          </cell>
          <cell r="AD76"/>
          <cell r="AE76"/>
          <cell r="AF76">
            <v>131.20350082234927</v>
          </cell>
          <cell r="AG76">
            <v>3.6508735190534134</v>
          </cell>
          <cell r="AH76">
            <v>-2.132102953039244E-2</v>
          </cell>
          <cell r="AI76">
            <v>7.1567746880799173E-4</v>
          </cell>
          <cell r="AJ76">
            <v>223.23522731544963</v>
          </cell>
          <cell r="AK76">
            <v>40.239208323254417</v>
          </cell>
          <cell r="AL76">
            <v>-0.60925964308655756</v>
          </cell>
          <cell r="AM76">
            <v>5.2436875417766066E-3</v>
          </cell>
          <cell r="AN76"/>
          <cell r="AO76"/>
          <cell r="AP76"/>
          <cell r="AQ76"/>
          <cell r="AR76">
            <v>223.23522731544963</v>
          </cell>
          <cell r="AS76">
            <v>40.239208323254417</v>
          </cell>
          <cell r="AT76">
            <v>-0.60925964308655756</v>
          </cell>
          <cell r="AU76">
            <v>5.2436875417766066E-3</v>
          </cell>
          <cell r="AV76">
            <v>356.27083096331125</v>
          </cell>
          <cell r="AW76">
            <v>74.310757422211637</v>
          </cell>
          <cell r="AX76">
            <v>-1.0635240002628563</v>
          </cell>
          <cell r="AY76">
            <v>8.0165527360957761E-3</v>
          </cell>
          <cell r="AZ76"/>
          <cell r="BA76"/>
          <cell r="BB76"/>
          <cell r="BC76"/>
          <cell r="BD76">
            <v>356.27083096331125</v>
          </cell>
          <cell r="BE76">
            <v>74.310757422211637</v>
          </cell>
          <cell r="BF76">
            <v>-1.0635240002628563</v>
          </cell>
          <cell r="BG76">
            <v>8.0165527360957761E-3</v>
          </cell>
          <cell r="BH76">
            <v>736.36518891441779</v>
          </cell>
          <cell r="BI76">
            <v>30.20280293807263</v>
          </cell>
          <cell r="BJ76">
            <v>-0.37741277648110833</v>
          </cell>
          <cell r="BK76">
            <v>3.7698079141986899E-3</v>
          </cell>
          <cell r="BL76"/>
          <cell r="BM76"/>
          <cell r="BN76"/>
          <cell r="BO76"/>
          <cell r="BP76">
            <v>736.36518891441779</v>
          </cell>
          <cell r="BQ76">
            <v>30.20280293807263</v>
          </cell>
          <cell r="BR76">
            <v>-0.37741277648110833</v>
          </cell>
          <cell r="BS76">
            <v>3.7698079141986899E-3</v>
          </cell>
        </row>
        <row r="77">
          <cell r="B77">
            <v>2060</v>
          </cell>
          <cell r="D77">
            <v>92.990213249540233</v>
          </cell>
          <cell r="E77">
            <v>3.6557947997406091</v>
          </cell>
          <cell r="F77">
            <v>-6.7611120646610678E-3</v>
          </cell>
          <cell r="G77">
            <v>2.0346307573546022E-4</v>
          </cell>
          <cell r="H77">
            <v>46.686997577893187</v>
          </cell>
          <cell r="I77">
            <v>5.8988429260254014</v>
          </cell>
          <cell r="J77">
            <v>-5.6063233851414492E-2</v>
          </cell>
          <cell r="K77">
            <v>4.4082356848406924E-4</v>
          </cell>
          <cell r="L77"/>
          <cell r="M77">
            <v>1.9156415672756584</v>
          </cell>
          <cell r="N77"/>
          <cell r="O77"/>
          <cell r="P77">
            <v>60.316147280941593</v>
          </cell>
          <cell r="Q77">
            <v>4.419804052521517</v>
          </cell>
          <cell r="R77">
            <v>-2.7682555854428657E-2</v>
          </cell>
          <cell r="S77">
            <v>2.8177784259281576E-4</v>
          </cell>
          <cell r="T77">
            <v>185.84738076982345</v>
          </cell>
          <cell r="U77">
            <v>3.2893308353296526</v>
          </cell>
          <cell r="V77">
            <v>6.4768039254666102E-3</v>
          </cell>
          <cell r="W77">
            <v>3.5390237897735131E-4</v>
          </cell>
          <cell r="X77">
            <v>147.6243221785185</v>
          </cell>
          <cell r="Y77">
            <v>3.537931794283629</v>
          </cell>
          <cell r="Z77">
            <v>-2.4304338911291742E-2</v>
          </cell>
          <cell r="AA77">
            <v>8.1091291223589089E-4</v>
          </cell>
          <cell r="AB77"/>
          <cell r="AC77">
            <v>4.7090536776607328</v>
          </cell>
          <cell r="AD77"/>
          <cell r="AE77"/>
          <cell r="AF77">
            <v>131.76086754450506</v>
          </cell>
          <cell r="AG77">
            <v>3.6641926780376792</v>
          </cell>
          <cell r="AH77">
            <v>-2.1411564645781905E-2</v>
          </cell>
          <cell r="AI77">
            <v>7.1871704399759627E-4</v>
          </cell>
          <cell r="AJ77">
            <v>224.18321914791628</v>
          </cell>
          <cell r="AK77">
            <v>40.410088346511074</v>
          </cell>
          <cell r="AL77">
            <v>-0.6118469281331127</v>
          </cell>
          <cell r="AM77">
            <v>5.265955411509312E-3</v>
          </cell>
          <cell r="AN77"/>
          <cell r="AO77"/>
          <cell r="AP77"/>
          <cell r="AQ77"/>
          <cell r="AR77">
            <v>224.18321914791628</v>
          </cell>
          <cell r="AS77">
            <v>40.410088346511074</v>
          </cell>
          <cell r="AT77">
            <v>-0.6118469281331127</v>
          </cell>
          <cell r="AU77">
            <v>5.265955411509312E-3</v>
          </cell>
          <cell r="AV77">
            <v>357.7837724553907</v>
          </cell>
          <cell r="AW77">
            <v>74.62632585622552</v>
          </cell>
          <cell r="AX77">
            <v>-1.0680403665998626</v>
          </cell>
          <cell r="AY77">
            <v>8.0505958690266655E-3</v>
          </cell>
          <cell r="AZ77"/>
          <cell r="BA77"/>
          <cell r="BB77"/>
          <cell r="BC77"/>
          <cell r="BD77">
            <v>357.7837724553907</v>
          </cell>
          <cell r="BE77">
            <v>74.62632585622552</v>
          </cell>
          <cell r="BF77">
            <v>-1.0680403665998626</v>
          </cell>
          <cell r="BG77">
            <v>8.0505958690266655E-3</v>
          </cell>
          <cell r="BH77">
            <v>739.49224100739764</v>
          </cell>
          <cell r="BI77">
            <v>30.331062312039773</v>
          </cell>
          <cell r="BJ77">
            <v>-0.37901549946473079</v>
          </cell>
          <cell r="BK77">
            <v>3.7858167993357053E-3</v>
          </cell>
          <cell r="BL77"/>
          <cell r="BM77"/>
          <cell r="BN77"/>
          <cell r="BO77"/>
          <cell r="BP77">
            <v>739.49224100739764</v>
          </cell>
          <cell r="BQ77">
            <v>30.331062312039773</v>
          </cell>
          <cell r="BR77">
            <v>-0.37901549946473079</v>
          </cell>
          <cell r="BS77">
            <v>3.7858167993357053E-3</v>
          </cell>
        </row>
        <row r="78">
          <cell r="B78">
            <v>2061</v>
          </cell>
          <cell r="D78">
            <v>93.399180554885945</v>
          </cell>
          <cell r="E78">
            <v>3.6718728416753521</v>
          </cell>
          <cell r="F78">
            <v>-6.7908471699544039E-3</v>
          </cell>
          <cell r="G78">
            <v>2.0435789835079919E-4</v>
          </cell>
          <cell r="H78">
            <v>46.88577132789365</v>
          </cell>
          <cell r="I78">
            <v>5.9239577372126808</v>
          </cell>
          <cell r="J78">
            <v>-5.630192770212112E-2</v>
          </cell>
          <cell r="K78">
            <v>4.4270041125276451E-4</v>
          </cell>
          <cell r="L78"/>
          <cell r="M78">
            <v>1.9156415672756584</v>
          </cell>
          <cell r="N78"/>
          <cell r="O78"/>
          <cell r="P78">
            <v>60.578516353183247</v>
          </cell>
          <cell r="Q78">
            <v>4.4377712420945894</v>
          </cell>
          <cell r="R78">
            <v>-2.7800821466982303E-2</v>
          </cell>
          <cell r="S78">
            <v>2.8298971805415697E-4</v>
          </cell>
          <cell r="T78">
            <v>186.66473025062345</v>
          </cell>
          <cell r="U78">
            <v>3.3037971831431094</v>
          </cell>
          <cell r="V78">
            <v>6.5052886547309957E-3</v>
          </cell>
          <cell r="W78">
            <v>3.554588277393023E-4</v>
          </cell>
          <cell r="X78">
            <v>148.25284492859987</v>
          </cell>
          <cell r="Y78">
            <v>3.5529948312420947</v>
          </cell>
          <cell r="Z78">
            <v>-2.4407816642508434E-2</v>
          </cell>
          <cell r="AA78">
            <v>8.1436544096661495E-4</v>
          </cell>
          <cell r="AB78"/>
          <cell r="AC78">
            <v>4.7090536776607328</v>
          </cell>
          <cell r="AD78"/>
          <cell r="AE78"/>
          <cell r="AF78">
            <v>132.32204811519961</v>
          </cell>
          <cell r="AG78">
            <v>3.677602974962209</v>
          </cell>
          <cell r="AH78">
            <v>-2.1502719258539627E-2</v>
          </cell>
          <cell r="AI78">
            <v>7.2177741784441201E-4</v>
          </cell>
          <cell r="AJ78">
            <v>225.13769772801473</v>
          </cell>
          <cell r="AK78">
            <v>40.582137636789049</v>
          </cell>
          <cell r="AL78">
            <v>-0.61445191698741564</v>
          </cell>
          <cell r="AM78">
            <v>5.2883756518071496E-3</v>
          </cell>
          <cell r="AN78"/>
          <cell r="AO78"/>
          <cell r="AP78"/>
          <cell r="AQ78"/>
          <cell r="AR78">
            <v>225.13769772801473</v>
          </cell>
          <cell r="AS78">
            <v>40.582137636789049</v>
          </cell>
          <cell r="AT78">
            <v>-0.61445191698741564</v>
          </cell>
          <cell r="AU78">
            <v>5.2883756518071496E-3</v>
          </cell>
          <cell r="AV78">
            <v>359.30706643079822</v>
          </cell>
          <cell r="AW78">
            <v>74.944053605037155</v>
          </cell>
          <cell r="AX78">
            <v>-1.0725876367143461</v>
          </cell>
          <cell r="AY78">
            <v>8.0848719461711592E-3</v>
          </cell>
          <cell r="AZ78"/>
          <cell r="BA78"/>
          <cell r="BB78"/>
          <cell r="BC78"/>
          <cell r="BD78">
            <v>359.30706643079822</v>
          </cell>
          <cell r="BE78">
            <v>74.944053605037155</v>
          </cell>
          <cell r="BF78">
            <v>-1.0725876367143461</v>
          </cell>
          <cell r="BG78">
            <v>8.0848719461711592E-3</v>
          </cell>
          <cell r="BH78">
            <v>742.64069032877546</v>
          </cell>
          <cell r="BI78">
            <v>30.460199316131821</v>
          </cell>
          <cell r="BJ78">
            <v>-0.38062918927228817</v>
          </cell>
          <cell r="BK78">
            <v>3.8019352271862687E-3</v>
          </cell>
          <cell r="BL78"/>
          <cell r="BM78"/>
          <cell r="BN78"/>
          <cell r="BO78"/>
          <cell r="BP78">
            <v>742.64069032877546</v>
          </cell>
          <cell r="BQ78">
            <v>30.460199316131821</v>
          </cell>
          <cell r="BR78">
            <v>-0.38062918927228817</v>
          </cell>
          <cell r="BS78">
            <v>3.8019352271862687E-3</v>
          </cell>
        </row>
        <row r="79">
          <cell r="B79">
            <v>2062</v>
          </cell>
          <cell r="D79">
            <v>93.810946267990602</v>
          </cell>
          <cell r="E79">
            <v>3.6880608995373114</v>
          </cell>
          <cell r="F79">
            <v>-6.8207857412663636E-3</v>
          </cell>
          <cell r="G79">
            <v>2.0525884389703487E-4</v>
          </cell>
          <cell r="H79">
            <v>47.085905211080799</v>
          </cell>
          <cell r="I79">
            <v>5.9492443995029012</v>
          </cell>
          <cell r="J79">
            <v>-5.6542254844083789E-2</v>
          </cell>
          <cell r="K79">
            <v>4.4459009654284861E-4</v>
          </cell>
          <cell r="L79"/>
          <cell r="M79">
            <v>1.9156415672756584</v>
          </cell>
          <cell r="N79"/>
          <cell r="O79"/>
          <cell r="P79">
            <v>60.842680717219295</v>
          </cell>
          <cell r="Q79">
            <v>4.4558613743138107</v>
          </cell>
          <cell r="R79">
            <v>-2.7919896326151654E-2</v>
          </cell>
          <cell r="S79">
            <v>2.8420988591845936E-4</v>
          </cell>
          <cell r="T79">
            <v>187.48767254312</v>
          </cell>
          <cell r="U79">
            <v>3.318362518673764</v>
          </cell>
          <cell r="V79">
            <v>6.5339682941663001E-3</v>
          </cell>
          <cell r="W79">
            <v>3.570259266882851E-4</v>
          </cell>
          <cell r="X79">
            <v>148.88566842086163</v>
          </cell>
          <cell r="Y79">
            <v>3.568160938834684</v>
          </cell>
          <cell r="Z79">
            <v>-2.4512002432491995E-2</v>
          </cell>
          <cell r="AA79">
            <v>8.178415940386048E-4</v>
          </cell>
          <cell r="AB79"/>
          <cell r="AC79">
            <v>4.7090536776607328</v>
          </cell>
          <cell r="AD79"/>
          <cell r="AE79"/>
          <cell r="AF79">
            <v>132.88706863114814</v>
          </cell>
          <cell r="AG79">
            <v>3.6911050334492717</v>
          </cell>
          <cell r="AH79">
            <v>-2.1594497607650524E-2</v>
          </cell>
          <cell r="AI79">
            <v>7.2485873266574154E-4</v>
          </cell>
          <cell r="AJ79">
            <v>226.09870744209223</v>
          </cell>
          <cell r="AK79">
            <v>40.755364194937918</v>
          </cell>
          <cell r="AL79">
            <v>-0.6170747307898905</v>
          </cell>
          <cell r="AM79">
            <v>5.3109493052839541E-3</v>
          </cell>
          <cell r="AN79"/>
          <cell r="AO79"/>
          <cell r="AP79"/>
          <cell r="AQ79"/>
          <cell r="AR79">
            <v>226.09870744209223</v>
          </cell>
          <cell r="AS79">
            <v>40.755364194937918</v>
          </cell>
          <cell r="AT79">
            <v>-0.6170747307898905</v>
          </cell>
          <cell r="AU79">
            <v>5.3109493052839541E-3</v>
          </cell>
          <cell r="AV79">
            <v>360.84078372764043</v>
          </cell>
          <cell r="AW79">
            <v>75.263955444016588</v>
          </cell>
          <cell r="AX79">
            <v>-1.0771660220691044</v>
          </cell>
          <cell r="AY79">
            <v>8.119382561477928E-3</v>
          </cell>
          <cell r="AZ79"/>
          <cell r="BA79"/>
          <cell r="BB79"/>
          <cell r="BC79"/>
          <cell r="BD79">
            <v>360.84078372764043</v>
          </cell>
          <cell r="BE79">
            <v>75.263955444016588</v>
          </cell>
          <cell r="BF79">
            <v>-1.0771660220691044</v>
          </cell>
          <cell r="BG79">
            <v>8.119382561477928E-3</v>
          </cell>
          <cell r="BH79">
            <v>745.81068329164827</v>
          </cell>
          <cell r="BI79">
            <v>30.590219955637977</v>
          </cell>
          <cell r="BJ79">
            <v>-0.38225392094558625</v>
          </cell>
          <cell r="BK79">
            <v>3.8181639473095128E-3</v>
          </cell>
          <cell r="BL79"/>
          <cell r="BM79"/>
          <cell r="BN79"/>
          <cell r="BO79"/>
          <cell r="BP79">
            <v>745.81068329164827</v>
          </cell>
          <cell r="BQ79">
            <v>30.590219955637977</v>
          </cell>
          <cell r="BR79">
            <v>-0.38225392094558625</v>
          </cell>
          <cell r="BS79">
            <v>3.8181639473095128E-3</v>
          </cell>
        </row>
        <row r="80">
          <cell r="B80">
            <v>2063</v>
          </cell>
          <cell r="D80">
            <v>94.225529537294449</v>
          </cell>
          <cell r="E80">
            <v>3.7043597261236454</v>
          </cell>
          <cell r="F80">
            <v>-6.8509291708375468E-3</v>
          </cell>
          <cell r="G80">
            <v>2.0616595427105523E-4</v>
          </cell>
          <cell r="H80">
            <v>47.287408534328883</v>
          </cell>
          <cell r="I80">
            <v>5.974704088807818</v>
          </cell>
          <cell r="J80">
            <v>-5.6784226453293535E-2</v>
          </cell>
          <cell r="K80">
            <v>4.4649271223081219E-4</v>
          </cell>
          <cell r="L80"/>
          <cell r="M80">
            <v>1.9156415672756584</v>
          </cell>
          <cell r="N80"/>
          <cell r="O80"/>
          <cell r="P80">
            <v>61.10865265754888</v>
          </cell>
          <cell r="Q80">
            <v>4.4740752904289618</v>
          </cell>
          <cell r="R80">
            <v>-2.80397859693036E-2</v>
          </cell>
          <cell r="S80">
            <v>2.8543840292748343E-4</v>
          </cell>
          <cell r="T80">
            <v>188.31624591679696</v>
          </cell>
          <cell r="U80">
            <v>3.3330275192569263</v>
          </cell>
          <cell r="V80">
            <v>6.5628441774687098E-3</v>
          </cell>
          <cell r="W80">
            <v>3.5860374869948011E-4</v>
          </cell>
          <cell r="X80">
            <v>149.52282208364721</v>
          </cell>
          <cell r="Y80">
            <v>3.583430822334555</v>
          </cell>
          <cell r="Z80">
            <v>-2.4616901126219344E-2</v>
          </cell>
          <cell r="AA80">
            <v>8.2134153310424484E-4</v>
          </cell>
          <cell r="AB80"/>
          <cell r="AC80">
            <v>4.7090536776607328</v>
          </cell>
          <cell r="AD80"/>
          <cell r="AE80"/>
          <cell r="AF80">
            <v>133.45595536763594</v>
          </cell>
          <cell r="AG80">
            <v>3.7046994813883485</v>
          </cell>
          <cell r="AH80">
            <v>-2.16869039611053E-2</v>
          </cell>
          <cell r="AI80">
            <v>7.2796113175271101E-4</v>
          </cell>
          <cell r="AJ80">
            <v>227.06629298021534</v>
          </cell>
          <cell r="AK80">
            <v>40.929776076554099</v>
          </cell>
          <cell r="AL80">
            <v>-0.61971549150988015</v>
          </cell>
          <cell r="AM80">
            <v>5.3336774216877769E-3</v>
          </cell>
          <cell r="AN80"/>
          <cell r="AO80"/>
          <cell r="AP80"/>
          <cell r="AQ80"/>
          <cell r="AR80">
            <v>227.06629298021534</v>
          </cell>
          <cell r="AS80">
            <v>40.929776076554099</v>
          </cell>
          <cell r="AT80">
            <v>-0.61971549150988015</v>
          </cell>
          <cell r="AU80">
            <v>5.3336774216877769E-3</v>
          </cell>
          <cell r="AV80">
            <v>362.38499566874276</v>
          </cell>
          <cell r="AW80">
            <v>75.586046249636169</v>
          </cell>
          <cell r="AX80">
            <v>-1.0817757355738957</v>
          </cell>
          <cell r="AY80">
            <v>8.154129319802441E-3</v>
          </cell>
          <cell r="AZ80"/>
          <cell r="BA80"/>
          <cell r="BB80"/>
          <cell r="BC80"/>
          <cell r="BD80">
            <v>362.38499566874276</v>
          </cell>
          <cell r="BE80">
            <v>75.586046249636169</v>
          </cell>
          <cell r="BF80">
            <v>-1.0817757355738957</v>
          </cell>
          <cell r="BG80">
            <v>8.154129319802441E-3</v>
          </cell>
          <cell r="BH80">
            <v>749.00236731096334</v>
          </cell>
          <cell r="BI80">
            <v>30.721130276939398</v>
          </cell>
          <cell r="BJ80">
            <v>-0.38388977003991392</v>
          </cell>
          <cell r="BK80">
            <v>3.8345037143935239E-3</v>
          </cell>
          <cell r="BL80"/>
          <cell r="BM80"/>
          <cell r="BN80"/>
          <cell r="BO80"/>
          <cell r="BP80">
            <v>749.00236731096334</v>
          </cell>
          <cell r="BQ80">
            <v>30.721130276939398</v>
          </cell>
          <cell r="BR80">
            <v>-0.38388977003991392</v>
          </cell>
          <cell r="BS80">
            <v>3.8345037143935239E-3</v>
          </cell>
        </row>
        <row r="81">
          <cell r="B81">
            <v>2064</v>
          </cell>
          <cell r="D81">
            <v>94.642949642263105</v>
          </cell>
          <cell r="E81">
            <v>3.7207700793826115</v>
          </cell>
          <cell r="F81">
            <v>-6.8812788604351201E-3</v>
          </cell>
          <cell r="G81">
            <v>2.0707927165643244E-4</v>
          </cell>
          <cell r="H81">
            <v>47.490290668195456</v>
          </cell>
          <cell r="I81">
            <v>6.0003379890854927</v>
          </cell>
          <cell r="J81">
            <v>-5.7027853782214366E-2</v>
          </cell>
          <cell r="K81">
            <v>4.4840834679445076E-4</v>
          </cell>
          <cell r="L81"/>
          <cell r="M81">
            <v>1.9156415672756584</v>
          </cell>
          <cell r="N81"/>
          <cell r="O81"/>
          <cell r="P81">
            <v>61.376444542729175</v>
          </cell>
          <cell r="Q81">
            <v>4.4924138374461684</v>
          </cell>
          <cell r="R81">
            <v>-2.816049597169509E-2</v>
          </cell>
          <cell r="S81">
            <v>2.8667532621125139E-4</v>
          </cell>
          <cell r="T81">
            <v>189.15048890300145</v>
          </cell>
          <cell r="U81">
            <v>3.3477928668626511</v>
          </cell>
          <cell r="V81">
            <v>6.5919176474603814E-3</v>
          </cell>
          <cell r="W81">
            <v>3.6019236714672417E-4</v>
          </cell>
          <cell r="X81">
            <v>150.16433554666688</v>
          </cell>
          <cell r="Y81">
            <v>3.5988051918407775</v>
          </cell>
          <cell r="Z81">
            <v>-2.4722517601819694E-2</v>
          </cell>
          <cell r="AA81">
            <v>8.2486542092204433E-4</v>
          </cell>
          <cell r="AB81"/>
          <cell r="AC81">
            <v>4.7090536776607328</v>
          </cell>
          <cell r="AD81"/>
          <cell r="AE81"/>
          <cell r="AF81">
            <v>134.02873477973995</v>
          </cell>
          <cell r="AG81">
            <v>3.7183869509653258</v>
          </cell>
          <cell r="AH81">
            <v>-2.1779942616098853E-2</v>
          </cell>
          <cell r="AI81">
            <v>7.31084759376932E-4</v>
          </cell>
          <cell r="AJ81">
            <v>228.04049933824729</v>
          </cell>
          <cell r="AK81">
            <v>41.105381392355319</v>
          </cell>
          <cell r="AL81">
            <v>-0.62237432195131615</v>
          </cell>
          <cell r="AM81">
            <v>5.3565610579496877E-3</v>
          </cell>
          <cell r="AN81"/>
          <cell r="AO81"/>
          <cell r="AP81"/>
          <cell r="AQ81"/>
          <cell r="AR81">
            <v>228.04049933824729</v>
          </cell>
          <cell r="AS81">
            <v>41.105381392355319</v>
          </cell>
          <cell r="AT81">
            <v>-0.62237432195131615</v>
          </cell>
          <cell r="AU81">
            <v>5.3565610579496877E-3</v>
          </cell>
          <cell r="AV81">
            <v>363.93977406496481</v>
          </cell>
          <cell r="AW81">
            <v>75.910341000162219</v>
          </cell>
          <cell r="AX81">
            <v>-1.086416991595337</v>
          </cell>
          <cell r="AY81">
            <v>8.1891138369815653E-3</v>
          </cell>
          <cell r="AZ81"/>
          <cell r="BA81"/>
          <cell r="BB81"/>
          <cell r="BC81"/>
          <cell r="BD81">
            <v>363.93977406496481</v>
          </cell>
          <cell r="BE81">
            <v>75.910341000162219</v>
          </cell>
          <cell r="BF81">
            <v>-1.086416991595337</v>
          </cell>
          <cell r="BG81">
            <v>8.1891138369815653E-3</v>
          </cell>
          <cell r="BH81">
            <v>752.21589081037109</v>
          </cell>
          <cell r="BI81">
            <v>30.852936367790274</v>
          </cell>
          <cell r="BJ81">
            <v>-0.38553681262755546</v>
          </cell>
          <cell r="BK81">
            <v>3.8509552882904246E-3</v>
          </cell>
          <cell r="BL81"/>
          <cell r="BM81"/>
          <cell r="BN81"/>
          <cell r="BO81"/>
          <cell r="BP81">
            <v>752.21589081037109</v>
          </cell>
          <cell r="BQ81">
            <v>30.852936367790274</v>
          </cell>
          <cell r="BR81">
            <v>-0.38553681262755546</v>
          </cell>
          <cell r="BS81">
            <v>3.8509552882904246E-3</v>
          </cell>
        </row>
        <row r="82">
          <cell r="B82">
            <v>2065</v>
          </cell>
          <cell r="D82">
            <v>95.063225994284309</v>
          </cell>
          <cell r="E82">
            <v>3.7372927224488235</v>
          </cell>
          <cell r="F82">
            <v>-6.9118362214180117E-3</v>
          </cell>
          <cell r="G82">
            <v>2.0799883852538504E-4</v>
          </cell>
          <cell r="H82">
            <v>47.694561047357297</v>
          </cell>
          <cell r="I82">
            <v>6.0261472923953709</v>
          </cell>
          <cell r="J82">
            <v>-5.7273148160306701E-2</v>
          </cell>
          <cell r="K82">
            <v>4.5033708931698039E-4</v>
          </cell>
          <cell r="L82"/>
          <cell r="M82">
            <v>1.9156415672756584</v>
          </cell>
          <cell r="N82"/>
          <cell r="O82"/>
          <cell r="P82">
            <v>61.646068825950778</v>
          </cell>
          <cell r="Q82">
            <v>4.5108778681673058</v>
          </cell>
          <cell r="R82">
            <v>-2.8282031946732462E-2</v>
          </cell>
          <cell r="S82">
            <v>2.8792071329070492E-4</v>
          </cell>
          <cell r="T82">
            <v>189.99044029673612</v>
          </cell>
          <cell r="U82">
            <v>3.3626592481274562</v>
          </cell>
          <cell r="V82">
            <v>6.6211900561518964E-3</v>
          </cell>
          <cell r="W82">
            <v>3.6179185590592391E-4</v>
          </cell>
          <cell r="X82">
            <v>150.81023864237579</v>
          </cell>
          <cell r="Y82">
            <v>3.6142847623113634</v>
          </cell>
          <cell r="Z82">
            <v>-2.4828856770801475E-2</v>
          </cell>
          <cell r="AA82">
            <v>8.2841342136420802E-4</v>
          </cell>
          <cell r="AB82"/>
          <cell r="AC82">
            <v>4.7090536776607328</v>
          </cell>
          <cell r="AD82"/>
          <cell r="AE82"/>
          <cell r="AF82">
            <v>134.6054335035592</v>
          </cell>
          <cell r="AG82">
            <v>3.7321680786919011</v>
          </cell>
          <cell r="AH82">
            <v>-2.1873617899230195E-2</v>
          </cell>
          <cell r="AI82">
            <v>7.3422976079721319E-4</v>
          </cell>
          <cell r="AJ82">
            <v>229.02137181994127</v>
          </cell>
          <cell r="AK82">
            <v>41.28218830855792</v>
          </cell>
          <cell r="AL82">
            <v>-0.62505134575843169</v>
          </cell>
          <cell r="AM82">
            <v>5.3796012782329414E-3</v>
          </cell>
          <cell r="AN82"/>
          <cell r="AO82"/>
          <cell r="AP82"/>
          <cell r="AQ82"/>
          <cell r="AR82">
            <v>229.02137181994127</v>
          </cell>
          <cell r="AS82">
            <v>41.28218830855792</v>
          </cell>
          <cell r="AT82">
            <v>-0.62505134575843169</v>
          </cell>
          <cell r="AU82">
            <v>5.3796012782329414E-3</v>
          </cell>
          <cell r="AV82">
            <v>365.50519121854131</v>
          </cell>
          <cell r="AW82">
            <v>76.236854776351691</v>
          </cell>
          <cell r="AX82">
            <v>-1.0910900059668762</v>
          </cell>
          <cell r="AY82">
            <v>8.2243377399087384E-3</v>
          </cell>
          <cell r="AZ82"/>
          <cell r="BA82"/>
          <cell r="BB82"/>
          <cell r="BC82"/>
          <cell r="BD82">
            <v>365.50519121854131</v>
          </cell>
          <cell r="BE82">
            <v>76.236854776351691</v>
          </cell>
          <cell r="BF82">
            <v>-1.0910900059668762</v>
          </cell>
          <cell r="BG82">
            <v>8.2243377399087384E-3</v>
          </cell>
          <cell r="BH82">
            <v>755.4514032291296</v>
          </cell>
          <cell r="BI82">
            <v>30.985644357601032</v>
          </cell>
          <cell r="BJ82">
            <v>-0.38719512530132949</v>
          </cell>
          <cell r="BK82">
            <v>3.8675194340517228E-3</v>
          </cell>
          <cell r="BL82"/>
          <cell r="BM82"/>
          <cell r="BN82"/>
          <cell r="BO82"/>
          <cell r="BP82">
            <v>755.4514032291296</v>
          </cell>
          <cell r="BQ82">
            <v>30.985644357601032</v>
          </cell>
          <cell r="BR82">
            <v>-0.38719512530132949</v>
          </cell>
          <cell r="BS82">
            <v>3.8675194340517228E-3</v>
          </cell>
        </row>
        <row r="83">
          <cell r="B83">
            <v>2066</v>
          </cell>
          <cell r="D83">
            <v>95.486378137570611</v>
          </cell>
          <cell r="E83">
            <v>3.7539284236787354</v>
          </cell>
          <cell r="F83">
            <v>-6.9426026748025498E-3</v>
          </cell>
          <cell r="G83">
            <v>2.0892469764075285E-4</v>
          </cell>
          <cell r="H83">
            <v>47.900229171049105</v>
          </cell>
          <cell r="I83">
            <v>6.0521331989537055</v>
          </cell>
          <cell r="J83">
            <v>-5.7520120994554141E-2</v>
          </cell>
          <cell r="K83">
            <v>4.5227902949117945E-4</v>
          </cell>
          <cell r="L83"/>
          <cell r="M83">
            <v>1.9156415672756584</v>
          </cell>
          <cell r="N83"/>
          <cell r="O83"/>
          <cell r="P83">
            <v>61.917538045616737</v>
          </cell>
          <cell r="Q83">
            <v>4.5294682412296456</v>
          </cell>
          <cell r="R83">
            <v>-2.8404399546232473E-2</v>
          </cell>
          <cell r="S83">
            <v>2.8917462208037967E-4</v>
          </cell>
          <cell r="T83">
            <v>190.83613915846323</v>
          </cell>
          <cell r="U83">
            <v>3.3776273543862549</v>
          </cell>
          <cell r="V83">
            <v>6.6506627648051366E-3</v>
          </cell>
          <cell r="W83">
            <v>3.6340228935849081E-4</v>
          </cell>
          <cell r="X83">
            <v>151.46056140736138</v>
          </cell>
          <cell r="Y83">
            <v>3.6298702535965099</v>
          </cell>
          <cell r="Z83">
            <v>-2.4935923578280696E-2</v>
          </cell>
          <cell r="AA83">
            <v>8.3198569942425585E-4</v>
          </cell>
          <cell r="AB83"/>
          <cell r="AC83">
            <v>4.7090536776607328</v>
          </cell>
          <cell r="AD83"/>
          <cell r="AE83"/>
          <cell r="AF83">
            <v>135.18607835745354</v>
          </cell>
          <cell r="AG83">
            <v>3.7460435054351802</v>
          </cell>
          <cell r="AH83">
            <v>-2.1967934166703597E-2</v>
          </cell>
          <cell r="AI83">
            <v>7.373962822663137E-4</v>
          </cell>
          <cell r="AJ83">
            <v>230.00895603904669</v>
          </cell>
          <cell r="AK83">
            <v>41.460205047256544</v>
          </cell>
          <cell r="AL83">
            <v>-0.62774668742150996</v>
          </cell>
          <cell r="AM83">
            <v>5.4027991539824551E-3</v>
          </cell>
          <cell r="AN83"/>
          <cell r="AO83"/>
          <cell r="AP83"/>
          <cell r="AQ83"/>
          <cell r="AR83">
            <v>230.00895603904669</v>
          </cell>
          <cell r="AS83">
            <v>41.460205047256544</v>
          </cell>
          <cell r="AT83">
            <v>-0.62774668742150996</v>
          </cell>
          <cell r="AU83">
            <v>5.4027991539824551E-3</v>
          </cell>
          <cell r="AV83">
            <v>367.08131992644348</v>
          </cell>
          <cell r="AW83">
            <v>76.565602762153446</v>
          </cell>
          <cell r="AX83">
            <v>-1.0957949959988271</v>
          </cell>
          <cell r="AY83">
            <v>8.2598026666096096E-3</v>
          </cell>
          <cell r="AZ83"/>
          <cell r="BA83"/>
          <cell r="BB83"/>
          <cell r="BC83"/>
          <cell r="BD83">
            <v>367.08131992644348</v>
          </cell>
          <cell r="BE83">
            <v>76.565602762153446</v>
          </cell>
          <cell r="BF83">
            <v>-1.0957949959988271</v>
          </cell>
          <cell r="BG83">
            <v>8.2598026666096096E-3</v>
          </cell>
          <cell r="BH83">
            <v>758.70905502905305</v>
          </cell>
          <cell r="BI83">
            <v>31.119260417723314</v>
          </cell>
          <cell r="BJ83">
            <v>-0.38886478517814999</v>
          </cell>
          <cell r="BK83">
            <v>3.8841969219638815E-3</v>
          </cell>
          <cell r="BL83"/>
          <cell r="BM83"/>
          <cell r="BN83"/>
          <cell r="BO83"/>
          <cell r="BP83">
            <v>758.70905502905305</v>
          </cell>
          <cell r="BQ83">
            <v>31.119260417723314</v>
          </cell>
          <cell r="BR83">
            <v>-0.38886478517814999</v>
          </cell>
          <cell r="BS83">
            <v>3.8841969219638815E-3</v>
          </cell>
        </row>
        <row r="84">
          <cell r="B84">
            <v>2067</v>
          </cell>
          <cell r="D84">
            <v>95.912425750067996</v>
          </cell>
          <cell r="E84">
            <v>3.7706779566863666</v>
          </cell>
          <cell r="F84">
            <v>-6.9735796513285212E-3</v>
          </cell>
          <cell r="G84">
            <v>2.098568920579852E-4</v>
          </cell>
          <cell r="H84">
            <v>48.107304603505156</v>
          </cell>
          <cell r="I84">
            <v>6.078296917189367</v>
          </cell>
          <cell r="J84">
            <v>-5.7768783769993858E-2</v>
          </cell>
          <cell r="K84">
            <v>4.5423425762355956E-4</v>
          </cell>
          <cell r="L84"/>
          <cell r="M84">
            <v>1.9156415672756584</v>
          </cell>
          <cell r="N84"/>
          <cell r="O84"/>
          <cell r="P84">
            <v>62.19086482592553</v>
          </cell>
          <cell r="Q84">
            <v>4.5481858211457817</v>
          </cell>
          <cell r="R84">
            <v>-2.8527604460685054E-2</v>
          </cell>
          <cell r="S84">
            <v>2.9043711089109801E-4</v>
          </cell>
          <cell r="T84">
            <v>191.68762481592049</v>
          </cell>
          <cell r="U84">
            <v>3.3926978817044957</v>
          </cell>
          <cell r="V84">
            <v>6.6803371439965653E-3</v>
          </cell>
          <cell r="W84">
            <v>3.6502374239479935E-4</v>
          </cell>
          <cell r="X84">
            <v>152.11533408373975</v>
          </cell>
          <cell r="Y84">
            <v>3.6455623904720711</v>
          </cell>
          <cell r="Z84">
            <v>-2.504372300321089E-2</v>
          </cell>
          <cell r="AA84">
            <v>8.3558242122469474E-4</v>
          </cell>
          <cell r="AB84"/>
          <cell r="AC84">
            <v>4.7090536776607328</v>
          </cell>
          <cell r="AD84"/>
          <cell r="AE84"/>
          <cell r="AF84">
            <v>135.77069634329041</v>
          </cell>
          <cell r="AG84">
            <v>3.7600138764474726</v>
          </cell>
          <cell r="AH84">
            <v>-2.2062895804531156E-2</v>
          </cell>
          <cell r="AI84">
            <v>7.4058447103774426E-4</v>
          </cell>
          <cell r="AJ84">
            <v>231.00329792143037</v>
          </cell>
          <cell r="AK84">
            <v>41.639439886806464</v>
          </cell>
          <cell r="AL84">
            <v>-0.63046047228267366</v>
          </cell>
          <cell r="AM84">
            <v>5.4261557639746329E-3</v>
          </cell>
          <cell r="AN84"/>
          <cell r="AO84"/>
          <cell r="AP84"/>
          <cell r="AQ84"/>
          <cell r="AR84">
            <v>231.00329792143037</v>
          </cell>
          <cell r="AS84">
            <v>41.639439886806464</v>
          </cell>
          <cell r="AT84">
            <v>-0.63046047228267366</v>
          </cell>
          <cell r="AU84">
            <v>5.4261557639746329E-3</v>
          </cell>
          <cell r="AV84">
            <v>368.6682334837642</v>
          </cell>
          <cell r="AW84">
            <v>76.896600245414206</v>
          </cell>
          <cell r="AX84">
            <v>-1.1005321804884742</v>
          </cell>
          <cell r="AY84">
            <v>8.2955102663182043E-3</v>
          </cell>
          <cell r="AZ84"/>
          <cell r="BA84"/>
          <cell r="BB84"/>
          <cell r="BC84"/>
          <cell r="BD84">
            <v>368.6682334837642</v>
          </cell>
          <cell r="BE84">
            <v>76.896600245414206</v>
          </cell>
          <cell r="BF84">
            <v>-1.1005321804884742</v>
          </cell>
          <cell r="BG84">
            <v>8.2955102663182043E-3</v>
          </cell>
          <cell r="BH84">
            <v>761.98899770150729</v>
          </cell>
          <cell r="BI84">
            <v>31.253790761736933</v>
          </cell>
          <cell r="BJ84">
            <v>-0.39054586990261231</v>
          </cell>
          <cell r="BK84">
            <v>3.9009885275841372E-3</v>
          </cell>
          <cell r="BL84"/>
          <cell r="BM84"/>
          <cell r="BN84"/>
          <cell r="BO84"/>
          <cell r="BP84">
            <v>761.98899770150729</v>
          </cell>
          <cell r="BQ84">
            <v>31.253790761736933</v>
          </cell>
          <cell r="BR84">
            <v>-0.39054586990261231</v>
          </cell>
          <cell r="BS84">
            <v>3.9009885275841372E-3</v>
          </cell>
        </row>
        <row r="85">
          <cell r="B85">
            <v>2068</v>
          </cell>
          <cell r="D85">
            <v>96.341388644371392</v>
          </cell>
          <cell r="E85">
            <v>3.7875421003792922</v>
          </cell>
          <cell r="F85">
            <v>-7.0047685915257405E-3</v>
          </cell>
          <cell r="G85">
            <v>2.1079546512714403E-4</v>
          </cell>
          <cell r="H85">
            <v>48.315796974404229</v>
          </cell>
          <cell r="I85">
            <v>6.1046396638000555</v>
          </cell>
          <cell r="J85">
            <v>-5.8019148050250879E-2</v>
          </cell>
          <cell r="K85">
            <v>4.5620286463856605E-4</v>
          </cell>
          <cell r="L85"/>
          <cell r="M85">
            <v>1.9156415672756584</v>
          </cell>
          <cell r="N85"/>
          <cell r="O85"/>
          <cell r="P85">
            <v>62.46606187745838</v>
          </cell>
          <cell r="Q85">
            <v>4.567031478343849</v>
          </cell>
          <cell r="R85">
            <v>-2.8651652419518066E-2</v>
          </cell>
          <cell r="S85">
            <v>2.9170823843268159E-4</v>
          </cell>
          <cell r="T85">
            <v>192.54493686595089</v>
          </cell>
          <cell r="U85">
            <v>3.4078715309105467</v>
          </cell>
          <cell r="V85">
            <v>6.7102145736810002E-3</v>
          </cell>
          <cell r="W85">
            <v>3.6665629041767134E-4</v>
          </cell>
          <cell r="X85">
            <v>152.77458712056261</v>
          </cell>
          <cell r="Y85">
            <v>3.6613619026732729</v>
          </cell>
          <cell r="Z85">
            <v>-2.515226005861471E-2</v>
          </cell>
          <cell r="AA85">
            <v>8.3920375402474581E-4</v>
          </cell>
          <cell r="AB85"/>
          <cell r="AC85">
            <v>4.7090536776607328</v>
          </cell>
          <cell r="AD85"/>
          <cell r="AE85"/>
          <cell r="AF85">
            <v>136.35931464770096</v>
          </cell>
          <cell r="AG85">
            <v>3.7740798413963121</v>
          </cell>
          <cell r="AH85">
            <v>-2.2158507228736819E-2</v>
          </cell>
          <cell r="AI85">
            <v>7.4379447537261572E-4</v>
          </cell>
          <cell r="AJ85">
            <v>232.00444370721266</v>
          </cell>
          <cell r="AK85">
            <v>41.819901162208637</v>
          </cell>
          <cell r="AL85">
            <v>-0.63319282654171449</v>
          </cell>
          <cell r="AM85">
            <v>5.4496721943675403E-3</v>
          </cell>
          <cell r="AN85"/>
          <cell r="AO85"/>
          <cell r="AP85"/>
          <cell r="AQ85"/>
          <cell r="AR85">
            <v>232.00444370721266</v>
          </cell>
          <cell r="AS85">
            <v>41.819901162208637</v>
          </cell>
          <cell r="AT85">
            <v>-0.63319282654171449</v>
          </cell>
          <cell r="AU85">
            <v>5.4496721943675403E-3</v>
          </cell>
          <cell r="AV85">
            <v>370.26600568712729</v>
          </cell>
          <cell r="AW85">
            <v>77.229862618589777</v>
          </cell>
          <cell r="AX85">
            <v>-1.1053017797302502</v>
          </cell>
          <cell r="AY85">
            <v>8.3314621995536457E-3</v>
          </cell>
          <cell r="AZ85"/>
          <cell r="BA85"/>
          <cell r="BB85"/>
          <cell r="BC85"/>
          <cell r="BD85">
            <v>370.26600568712729</v>
          </cell>
          <cell r="BE85">
            <v>77.229862618589777</v>
          </cell>
          <cell r="BF85">
            <v>-1.1053017797302502</v>
          </cell>
          <cell r="BG85">
            <v>8.3314621995536457E-3</v>
          </cell>
          <cell r="BH85">
            <v>765.29138377445759</v>
          </cell>
          <cell r="BI85">
            <v>31.389241645738931</v>
          </cell>
          <cell r="BJ85">
            <v>-0.39223845765060483</v>
          </cell>
          <cell r="BK85">
            <v>3.9178950317765764E-3</v>
          </cell>
          <cell r="BL85"/>
          <cell r="BM85"/>
          <cell r="BN85"/>
          <cell r="BO85"/>
          <cell r="BP85">
            <v>765.29138377445759</v>
          </cell>
          <cell r="BQ85">
            <v>31.389241645738931</v>
          </cell>
          <cell r="BR85">
            <v>-0.39223845765060483</v>
          </cell>
          <cell r="BS85">
            <v>3.9178950317765764E-3</v>
          </cell>
        </row>
        <row r="86">
          <cell r="B86">
            <v>2069</v>
          </cell>
          <cell r="D86">
            <v>96.773286768645534</v>
          </cell>
          <cell r="E86">
            <v>3.8045216389948457</v>
          </cell>
          <cell r="F86">
            <v>-7.0361709457810026E-3</v>
          </cell>
          <cell r="G86">
            <v>2.117404604949187E-4</v>
          </cell>
          <cell r="H86">
            <v>48.525715979317248</v>
          </cell>
          <cell r="I86">
            <v>6.1311626638088592</v>
          </cell>
          <cell r="J86">
            <v>-5.827122547807561E-2</v>
          </cell>
          <cell r="K86">
            <v>4.5818494208280509E-4</v>
          </cell>
          <cell r="L86"/>
          <cell r="M86">
            <v>1.9156415672756584</v>
          </cell>
          <cell r="N86"/>
          <cell r="O86"/>
          <cell r="P86">
            <v>62.74314199777001</v>
          </cell>
          <cell r="Q86">
            <v>4.5860060892079808</v>
          </cell>
          <cell r="R86">
            <v>-2.8776549191363604E-2</v>
          </cell>
          <cell r="S86">
            <v>2.9298806381668067E-4</v>
          </cell>
          <cell r="T86">
            <v>193.4081151763431</v>
          </cell>
          <cell r="U86">
            <v>3.4231490076282705</v>
          </cell>
          <cell r="V86">
            <v>6.7402964432557461E-3</v>
          </cell>
          <cell r="W86">
            <v>3.6830000934588052E-4</v>
          </cell>
          <cell r="X86">
            <v>153.4383511752327</v>
          </cell>
          <cell r="Y86">
            <v>3.6772695249286356</v>
          </cell>
          <cell r="Z86">
            <v>-2.526153979181698E-2</v>
          </cell>
          <cell r="AA86">
            <v>8.4284986622812049E-4</v>
          </cell>
          <cell r="AB86"/>
          <cell r="AC86">
            <v>4.7090536776607328</v>
          </cell>
          <cell r="AD86"/>
          <cell r="AE86"/>
          <cell r="AF86">
            <v>136.95196064334399</v>
          </cell>
          <cell r="AG86">
            <v>3.7882420543946531</v>
          </cell>
          <cell r="AH86">
            <v>-2.2254772885561672E-2</v>
          </cell>
          <cell r="AI86">
            <v>7.4702644454653308E-4</v>
          </cell>
          <cell r="AJ86">
            <v>233.01243995291711</v>
          </cell>
          <cell r="AK86">
            <v>42.001597265497224</v>
          </cell>
          <cell r="AL86">
            <v>-0.63594387726196067</v>
          </cell>
          <cell r="AM86">
            <v>5.4733495387514035E-3</v>
          </cell>
          <cell r="AN86"/>
          <cell r="AO86"/>
          <cell r="AP86"/>
          <cell r="AQ86"/>
          <cell r="AR86">
            <v>233.01243995291711</v>
          </cell>
          <cell r="AS86">
            <v>42.001597265497224</v>
          </cell>
          <cell r="AT86">
            <v>-0.63594387726196067</v>
          </cell>
          <cell r="AU86">
            <v>5.4733495387514035E-3</v>
          </cell>
          <cell r="AV86">
            <v>371.87471083811835</v>
          </cell>
          <cell r="AW86">
            <v>77.565405379460557</v>
          </cell>
          <cell r="AX86">
            <v>-1.1101040155259774</v>
          </cell>
          <cell r="AY86">
            <v>8.3676601381973414E-3</v>
          </cell>
          <cell r="AZ86"/>
          <cell r="BA86"/>
          <cell r="BB86"/>
          <cell r="BC86"/>
          <cell r="BD86">
            <v>371.87471083811835</v>
          </cell>
          <cell r="BE86">
            <v>77.565405379460557</v>
          </cell>
          <cell r="BF86">
            <v>-1.1101040155259774</v>
          </cell>
          <cell r="BG86">
            <v>8.3676601381973414E-3</v>
          </cell>
          <cell r="BH86">
            <v>768.61636681955872</v>
          </cell>
          <cell r="BI86">
            <v>31.525619368634374</v>
          </cell>
          <cell r="BJ86">
            <v>-0.39394262713294315</v>
          </cell>
          <cell r="BK86">
            <v>3.9349172207484339E-3</v>
          </cell>
          <cell r="BL86"/>
          <cell r="BM86"/>
          <cell r="BN86"/>
          <cell r="BO86"/>
          <cell r="BP86">
            <v>768.61636681955872</v>
          </cell>
          <cell r="BQ86">
            <v>31.525619368634374</v>
          </cell>
          <cell r="BR86">
            <v>-0.39394262713294315</v>
          </cell>
          <cell r="BS86">
            <v>3.9349172207484339E-3</v>
          </cell>
        </row>
        <row r="87">
          <cell r="B87">
            <v>2070</v>
          </cell>
          <cell r="D87">
            <v>97.208140207553058</v>
          </cell>
          <cell r="E87">
            <v>3.8216173621366067</v>
          </cell>
          <cell r="F87">
            <v>-7.0677881744055596E-3</v>
          </cell>
          <cell r="G87">
            <v>2.126919221066567E-4</v>
          </cell>
          <cell r="H87">
            <v>48.737071380158334</v>
          </cell>
          <cell r="I87">
            <v>6.1578671506212439</v>
          </cell>
          <cell r="J87">
            <v>-5.8525027775885488E-2</v>
          </cell>
          <cell r="K87">
            <v>4.6018058212930199E-4</v>
          </cell>
          <cell r="L87"/>
          <cell r="M87">
            <v>1.9156415672756584</v>
          </cell>
          <cell r="N87"/>
          <cell r="O87"/>
          <cell r="P87">
            <v>63.022118071984082</v>
          </cell>
          <cell r="Q87">
            <v>4.6051105361190832</v>
          </cell>
          <cell r="R87">
            <v>-2.8902300584326385E-2</v>
          </cell>
          <cell r="S87">
            <v>2.9427664655912351E-4</v>
          </cell>
          <cell r="T87">
            <v>194.27719988768627</v>
          </cell>
          <cell r="U87">
            <v>3.4385310223098502</v>
          </cell>
          <cell r="V87">
            <v>6.770584151625238E-3</v>
          </cell>
          <cell r="W87">
            <v>3.6995497561768454E-4</v>
          </cell>
          <cell r="X87">
            <v>154.10665711492987</v>
          </cell>
          <cell r="Y87">
            <v>3.6932859969941538</v>
          </cell>
          <cell r="Z87">
            <v>-2.5371567284679489E-2</v>
          </cell>
          <cell r="AA87">
            <v>8.465209273908538E-4</v>
          </cell>
          <cell r="AB87"/>
          <cell r="AC87">
            <v>4.7090536776607328</v>
          </cell>
          <cell r="AD87"/>
          <cell r="AE87"/>
          <cell r="AF87">
            <v>137.54866189017915</v>
          </cell>
          <cell r="AG87">
            <v>3.8025011740313026</v>
          </cell>
          <cell r="AH87">
            <v>-2.2351697251670768E-2</v>
          </cell>
          <cell r="AI87">
            <v>7.5028052885653797E-4</v>
          </cell>
          <cell r="AJ87">
            <v>234.02733353363621</v>
          </cell>
          <cell r="AK87">
            <v>42.184536646129935</v>
          </cell>
          <cell r="AL87">
            <v>-0.63871375237618722</v>
          </cell>
          <cell r="AM87">
            <v>5.4971888981994793E-3</v>
          </cell>
          <cell r="AN87"/>
          <cell r="AO87"/>
          <cell r="AP87"/>
          <cell r="AQ87"/>
          <cell r="AR87">
            <v>234.02733353363621</v>
          </cell>
          <cell r="AS87">
            <v>42.184536646129935</v>
          </cell>
          <cell r="AT87">
            <v>-0.63871375237618722</v>
          </cell>
          <cell r="AU87">
            <v>5.4971888981994793E-3</v>
          </cell>
          <cell r="AV87">
            <v>373.49442374674089</v>
          </cell>
          <cell r="AW87">
            <v>77.903244131852489</v>
          </cell>
          <cell r="AX87">
            <v>-1.114939111195185</v>
          </cell>
          <cell r="AY87">
            <v>8.4041057655707633E-3</v>
          </cell>
          <cell r="AZ87"/>
          <cell r="BA87"/>
          <cell r="BB87"/>
          <cell r="BC87"/>
          <cell r="BD87">
            <v>373.49442374674089</v>
          </cell>
          <cell r="BE87">
            <v>77.903244131852489</v>
          </cell>
          <cell r="BF87">
            <v>-1.114939111195185</v>
          </cell>
          <cell r="BG87">
            <v>8.4041057655707633E-3</v>
          </cell>
          <cell r="BH87">
            <v>771.96410145929917</v>
          </cell>
          <cell r="BI87">
            <v>31.66293027242941</v>
          </cell>
          <cell r="BJ87">
            <v>-0.39565845759903168</v>
          </cell>
          <cell r="BK87">
            <v>3.9520558860866688E-3</v>
          </cell>
          <cell r="BL87"/>
          <cell r="BM87"/>
          <cell r="BN87"/>
          <cell r="BO87"/>
          <cell r="BP87">
            <v>771.96410145929917</v>
          </cell>
          <cell r="BQ87">
            <v>31.66293027242941</v>
          </cell>
          <cell r="BR87">
            <v>-0.39565845759903168</v>
          </cell>
          <cell r="BS87">
            <v>3.9520558860866688E-3</v>
          </cell>
        </row>
        <row r="88">
          <cell r="B88">
            <v>2071</v>
          </cell>
          <cell r="D88">
            <v>97.645969183188186</v>
          </cell>
          <cell r="E88">
            <v>3.8388300648111064</v>
          </cell>
          <cell r="F88">
            <v>-7.099621747703011E-3</v>
          </cell>
          <cell r="G88">
            <v>2.1364989420840654E-4</v>
          </cell>
          <cell r="H88">
            <v>48.949873005638601</v>
          </cell>
          <cell r="I88">
            <v>6.1847543660823936</v>
          </cell>
          <cell r="J88">
            <v>-5.8780566746309881E-2</v>
          </cell>
          <cell r="K88">
            <v>4.6218987758178659E-4</v>
          </cell>
          <cell r="L88"/>
          <cell r="M88">
            <v>1.9156415672756584</v>
          </cell>
          <cell r="N88"/>
          <cell r="O88"/>
          <cell r="P88">
            <v>63.30300307339219</v>
          </cell>
          <cell r="Q88">
            <v>4.6243457074958521</v>
          </cell>
          <cell r="R88">
            <v>-2.9028912446253708E-2</v>
          </cell>
          <cell r="S88">
            <v>2.9557404658328394E-4</v>
          </cell>
          <cell r="T88">
            <v>195.15223141523603</v>
          </cell>
          <cell r="U88">
            <v>3.4540182902688206</v>
          </cell>
          <cell r="V88">
            <v>6.8010791072660743E-3</v>
          </cell>
          <cell r="W88">
            <v>3.716212661943787E-4</v>
          </cell>
          <cell r="X88">
            <v>154.77953601804629</v>
          </cell>
          <cell r="Y88">
            <v>3.7094120636876857</v>
          </cell>
          <cell r="Z88">
            <v>-2.548234765383724E-2</v>
          </cell>
          <cell r="AA88">
            <v>8.5021710822918734E-4</v>
          </cell>
          <cell r="AB88"/>
          <cell r="AC88">
            <v>4.7090536776607328</v>
          </cell>
          <cell r="AD88"/>
          <cell r="AE88"/>
          <cell r="AF88">
            <v>138.14944613674828</v>
          </cell>
          <cell r="AG88">
            <v>3.8168578634015358</v>
          </cell>
          <cell r="AH88">
            <v>-2.244928483436125E-2</v>
          </cell>
          <cell r="AI88">
            <v>7.5355687962809698E-4</v>
          </cell>
          <cell r="AJ88">
            <v>235.04917164521066</v>
          </cell>
          <cell r="AK88">
            <v>42.36872781138085</v>
          </cell>
          <cell r="AL88">
            <v>-0.64150258069256372</v>
          </cell>
          <cell r="AM88">
            <v>5.5211913813192418E-3</v>
          </cell>
          <cell r="AN88"/>
          <cell r="AO88"/>
          <cell r="AP88"/>
          <cell r="AQ88"/>
          <cell r="AR88">
            <v>235.04917164521066</v>
          </cell>
          <cell r="AS88">
            <v>42.36872781138085</v>
          </cell>
          <cell r="AT88">
            <v>-0.64150258069256372</v>
          </cell>
          <cell r="AU88">
            <v>5.5211913813192418E-3</v>
          </cell>
          <cell r="AV88">
            <v>375.12521973489459</v>
          </cell>
          <cell r="AW88">
            <v>78.243394586362427</v>
          </cell>
          <cell r="AX88">
            <v>-1.1198072915854915</v>
          </cell>
          <cell r="AY88">
            <v>8.4408007765136989E-3</v>
          </cell>
          <cell r="AZ88"/>
          <cell r="BA88"/>
          <cell r="BB88"/>
          <cell r="BC88"/>
          <cell r="BD88">
            <v>375.12521973489459</v>
          </cell>
          <cell r="BE88">
            <v>78.243394586362427</v>
          </cell>
          <cell r="BF88">
            <v>-1.1198072915854915</v>
          </cell>
          <cell r="BG88">
            <v>8.4408007765136989E-3</v>
          </cell>
          <cell r="BH88">
            <v>775.3347433741892</v>
          </cell>
          <cell r="BI88">
            <v>31.801180742526068</v>
          </cell>
          <cell r="BJ88">
            <v>-0.39738602884054797</v>
          </cell>
          <cell r="BK88">
            <v>3.9693118247947643E-3</v>
          </cell>
          <cell r="BL88"/>
          <cell r="BM88"/>
          <cell r="BN88"/>
          <cell r="BO88"/>
          <cell r="BP88">
            <v>775.3347433741892</v>
          </cell>
          <cell r="BQ88">
            <v>31.801180742526068</v>
          </cell>
          <cell r="BR88">
            <v>-0.39738602884054797</v>
          </cell>
          <cell r="BS88">
            <v>3.9693118247947643E-3</v>
          </cell>
        </row>
        <row r="89">
          <cell r="B89">
            <v>2072</v>
          </cell>
          <cell r="D89">
            <v>98.086794056017339</v>
          </cell>
          <cell r="E89">
            <v>3.8561605474648077</v>
          </cell>
          <cell r="F89">
            <v>-7.1316731460376913E-3</v>
          </cell>
          <cell r="G89">
            <v>2.1461442134897588E-4</v>
          </cell>
          <cell r="H89">
            <v>49.164130751723363</v>
          </cell>
          <cell r="I89">
            <v>6.2118255605349724</v>
          </cell>
          <cell r="J89">
            <v>-5.9037854272739186E-2</v>
          </cell>
          <cell r="K89">
            <v>4.6421292187900996E-4</v>
          </cell>
          <cell r="L89"/>
          <cell r="M89">
            <v>1.9156415672756584</v>
          </cell>
          <cell r="N89"/>
          <cell r="O89"/>
          <cell r="P89">
            <v>63.58581006405727</v>
          </cell>
          <cell r="Q89">
            <v>4.6437124978361002</v>
          </cell>
          <cell r="R89">
            <v>-2.9156390665007536E-2</v>
          </cell>
          <cell r="S89">
            <v>2.9688032422246812E-4</v>
          </cell>
          <cell r="T89">
            <v>196.03325045079453</v>
          </cell>
          <cell r="U89">
            <v>3.4696115317133374</v>
          </cell>
          <cell r="V89">
            <v>6.8317827282925302E-3</v>
          </cell>
          <cell r="W89">
            <v>3.732989585638754E-4</v>
          </cell>
          <cell r="X89">
            <v>155.45701917563184</v>
          </cell>
          <cell r="Y89">
            <v>3.7256484749236001</v>
          </cell>
          <cell r="Z89">
            <v>-2.5593886050936467E-2</v>
          </cell>
          <cell r="AA89">
            <v>8.539385806275101E-4</v>
          </cell>
          <cell r="AB89"/>
          <cell r="AC89">
            <v>4.7090536776607328</v>
          </cell>
          <cell r="AD89"/>
          <cell r="AE89"/>
          <cell r="AF89">
            <v>138.75434132146603</v>
          </cell>
          <cell r="AG89">
            <v>3.8313127901379409</v>
          </cell>
          <cell r="AH89">
            <v>-2.2547540171772022E-2</v>
          </cell>
          <cell r="AI89">
            <v>7.5685564922214053E-4</v>
          </cell>
          <cell r="AJ89">
            <v>236.0780018064246</v>
          </cell>
          <cell r="AK89">
            <v>42.554179326736147</v>
          </cell>
          <cell r="AL89">
            <v>-0.64431049190064626</v>
          </cell>
          <cell r="AM89">
            <v>5.5453581043039537E-3</v>
          </cell>
          <cell r="AN89"/>
          <cell r="AO89"/>
          <cell r="AP89"/>
          <cell r="AQ89"/>
          <cell r="AR89">
            <v>236.0780018064246</v>
          </cell>
          <cell r="AS89">
            <v>42.554179326736147</v>
          </cell>
          <cell r="AT89">
            <v>-0.64431049190064626</v>
          </cell>
          <cell r="AU89">
            <v>5.5453581043039537E-3</v>
          </cell>
          <cell r="AV89">
            <v>376.76717463987853</v>
          </cell>
          <cell r="AW89">
            <v>78.585872561089005</v>
          </cell>
          <cell r="AX89">
            <v>-1.1247087830830638</v>
          </cell>
          <cell r="AY89">
            <v>8.4777468774630931E-3</v>
          </cell>
          <cell r="AZ89"/>
          <cell r="BA89"/>
          <cell r="BB89"/>
          <cell r="BC89"/>
          <cell r="BD89">
            <v>376.76717463987853</v>
          </cell>
          <cell r="BE89">
            <v>78.585872561089005</v>
          </cell>
          <cell r="BF89">
            <v>-1.1247087830830638</v>
          </cell>
          <cell r="BG89">
            <v>8.4777468774630931E-3</v>
          </cell>
          <cell r="BH89">
            <v>778.72844931000293</v>
          </cell>
          <cell r="BI89">
            <v>31.940377208019306</v>
          </cell>
          <cell r="BJ89">
            <v>-0.39912542119515415</v>
          </cell>
          <cell r="BK89">
            <v>3.9866858393298003E-3</v>
          </cell>
          <cell r="BL89"/>
          <cell r="BM89"/>
          <cell r="BN89"/>
          <cell r="BO89"/>
          <cell r="BP89">
            <v>778.72844931000293</v>
          </cell>
          <cell r="BQ89">
            <v>31.940377208019306</v>
          </cell>
          <cell r="BR89">
            <v>-0.39912542119515415</v>
          </cell>
          <cell r="BS89">
            <v>3.9866858393298003E-3</v>
          </cell>
        </row>
        <row r="90">
          <cell r="B90">
            <v>2073</v>
          </cell>
          <cell r="D90">
            <v>98.530635325825742</v>
          </cell>
          <cell r="E90">
            <v>3.8736096160213189</v>
          </cell>
          <cell r="F90">
            <v>-7.1639438599034955E-3</v>
          </cell>
          <cell r="G90">
            <v>2.1558554838200261E-4</v>
          </cell>
          <cell r="H90">
            <v>49.379854582092136</v>
          </cell>
          <cell r="I90">
            <v>6.2390819928772503</v>
          </cell>
          <cell r="J90">
            <v>-5.9296902319877137E-2</v>
          </cell>
          <cell r="K90">
            <v>4.6624980909908782E-4</v>
          </cell>
          <cell r="L90"/>
          <cell r="M90">
            <v>1.9156415672756584</v>
          </cell>
          <cell r="N90"/>
          <cell r="O90"/>
          <cell r="P90">
            <v>63.870552195420913</v>
          </cell>
          <cell r="Q90">
            <v>4.6632118077583424</v>
          </cell>
          <cell r="R90">
            <v>-2.9284741168738151E-2</v>
          </cell>
          <cell r="S90">
            <v>2.9819554022281956E-4</v>
          </cell>
          <cell r="T90">
            <v>196.9202979646021</v>
          </cell>
          <cell r="U90">
            <v>3.4853114717796632</v>
          </cell>
          <cell r="V90">
            <v>6.862696442522488E-3</v>
          </cell>
          <cell r="W90">
            <v>3.7498813074430696E-4</v>
          </cell>
          <cell r="X90">
            <v>156.13913809284881</v>
          </cell>
          <cell r="Y90">
            <v>3.7419959857476357</v>
          </cell>
          <cell r="Z90">
            <v>-2.5706187662874077E-2</v>
          </cell>
          <cell r="AA90">
            <v>8.5768551764634849E-4</v>
          </cell>
          <cell r="AB90"/>
          <cell r="AC90">
            <v>4.7090536776607328</v>
          </cell>
          <cell r="AD90"/>
          <cell r="AE90"/>
          <cell r="AF90">
            <v>139.3633755739188</v>
          </cell>
          <cell r="AG90">
            <v>3.8458666264414547</v>
          </cell>
          <cell r="AH90">
            <v>-2.2646467833094673E-2</v>
          </cell>
          <cell r="AI90">
            <v>7.601769910421445E-4</v>
          </cell>
          <cell r="AJ90">
            <v>237.11387186121456</v>
          </cell>
          <cell r="AK90">
            <v>42.740899816292277</v>
          </cell>
          <cell r="AL90">
            <v>-0.64713761657740509</v>
          </cell>
          <cell r="AM90">
            <v>5.5696901909845472E-3</v>
          </cell>
          <cell r="AN90"/>
          <cell r="AO90"/>
          <cell r="AP90"/>
          <cell r="AQ90"/>
          <cell r="AR90">
            <v>237.11387186121456</v>
          </cell>
          <cell r="AS90">
            <v>42.740899816292277</v>
          </cell>
          <cell r="AT90">
            <v>-0.64713761657740509</v>
          </cell>
          <cell r="AU90">
            <v>5.5696901909845472E-3</v>
          </cell>
          <cell r="AV90">
            <v>378.42036481791672</v>
          </cell>
          <cell r="AW90">
            <v>78.930693982367899</v>
          </cell>
          <cell r="AX90">
            <v>-1.1296438136231406</v>
          </cell>
          <cell r="AY90">
            <v>8.5149457865323665E-3</v>
          </cell>
          <cell r="AZ90"/>
          <cell r="BA90"/>
          <cell r="BB90"/>
          <cell r="BC90"/>
          <cell r="BD90">
            <v>378.42036481791672</v>
          </cell>
          <cell r="BE90">
            <v>78.930693982367899</v>
          </cell>
          <cell r="BF90">
            <v>-1.1296438136231406</v>
          </cell>
          <cell r="BG90">
            <v>8.5149457865323665E-3</v>
          </cell>
          <cell r="BH90">
            <v>782.14537708506384</v>
          </cell>
          <cell r="BI90">
            <v>32.080526141995847</v>
          </cell>
          <cell r="BJ90">
            <v>-0.4008767155502313</v>
          </cell>
          <cell r="BK90">
            <v>4.0041787376397546E-3</v>
          </cell>
          <cell r="BL90"/>
          <cell r="BM90"/>
          <cell r="BN90"/>
          <cell r="BO90"/>
          <cell r="BP90">
            <v>782.14537708506384</v>
          </cell>
          <cell r="BQ90">
            <v>32.080526141995847</v>
          </cell>
          <cell r="BR90">
            <v>-0.4008767155502313</v>
          </cell>
          <cell r="BS90">
            <v>4.0041787376397546E-3</v>
          </cell>
        </row>
        <row r="91">
          <cell r="B91">
            <v>2074</v>
          </cell>
          <cell r="D91">
            <v>98.977513632670963</v>
          </cell>
          <cell r="E91">
            <v>3.8911780819188815</v>
          </cell>
          <cell r="F91">
            <v>-7.1964353899932115E-3</v>
          </cell>
          <cell r="G91">
            <v>2.1656332046804128E-4</v>
          </cell>
          <cell r="H91">
            <v>49.59705452860225</v>
          </cell>
          <cell r="I91">
            <v>6.2665249306216761</v>
          </cell>
          <cell r="J91">
            <v>-5.9557722934297563E-2</v>
          </cell>
          <cell r="K91">
            <v>4.6830063396387781E-4</v>
          </cell>
          <cell r="L91"/>
          <cell r="M91">
            <v>1.9156415672756584</v>
          </cell>
          <cell r="N91"/>
          <cell r="O91"/>
          <cell r="P91">
            <v>64.157242708915092</v>
          </cell>
          <cell r="Q91">
            <v>4.6828445440436886</v>
          </cell>
          <cell r="R91">
            <v>-2.9413969926159984E-2</v>
          </cell>
          <cell r="S91">
            <v>2.9951975574614502E-4</v>
          </cell>
          <cell r="T91">
            <v>197.81341520724322</v>
          </cell>
          <cell r="U91">
            <v>3.5011188405658955</v>
          </cell>
          <cell r="V91">
            <v>6.8938216875438531E-3</v>
          </cell>
          <cell r="W91">
            <v>3.766888612876545E-4</v>
          </cell>
          <cell r="X91">
            <v>156.82592449043776</v>
          </cell>
          <cell r="Y91">
            <v>3.758455356372032</v>
          </cell>
          <cell r="Z91">
            <v>-2.5819257712039023E-2</v>
          </cell>
          <cell r="AA91">
            <v>8.6145809353041839E-4</v>
          </cell>
          <cell r="AB91"/>
          <cell r="AC91">
            <v>4.7090536776607328</v>
          </cell>
          <cell r="AD91"/>
          <cell r="AE91"/>
          <cell r="AF91">
            <v>139.9765772161733</v>
          </cell>
          <cell r="AG91">
            <v>3.8605200491126368</v>
          </cell>
          <cell r="AH91">
            <v>-2.2746072418786099E-2</v>
          </cell>
          <cell r="AI91">
            <v>7.6352105954126869E-4</v>
          </cell>
          <cell r="AJ91">
            <v>238.15682998089557</v>
          </cell>
          <cell r="AK91">
            <v>42.928897963157198</v>
          </cell>
          <cell r="AL91">
            <v>-0.64998408619330117</v>
          </cell>
          <cell r="AM91">
            <v>5.5941887728819199E-3</v>
          </cell>
          <cell r="AN91"/>
          <cell r="AO91"/>
          <cell r="AP91"/>
          <cell r="AQ91"/>
          <cell r="AR91">
            <v>238.15682998089557</v>
          </cell>
          <cell r="AS91">
            <v>42.928897963157198</v>
          </cell>
          <cell r="AT91">
            <v>-0.64998408619330117</v>
          </cell>
          <cell r="AU91">
            <v>5.5941887728819199E-3</v>
          </cell>
          <cell r="AV91">
            <v>380.0848671477109</v>
          </cell>
          <cell r="AW91">
            <v>79.27787488551283</v>
          </cell>
          <cell r="AX91">
            <v>-1.1346126127006373</v>
          </cell>
          <cell r="AY91">
            <v>8.552399233591362E-3</v>
          </cell>
          <cell r="AZ91"/>
          <cell r="BA91"/>
          <cell r="BB91"/>
          <cell r="BC91"/>
          <cell r="BD91">
            <v>380.0848671477109</v>
          </cell>
          <cell r="BE91">
            <v>79.27787488551283</v>
          </cell>
          <cell r="BF91">
            <v>-1.1346126127006373</v>
          </cell>
          <cell r="BG91">
            <v>8.552399233591362E-3</v>
          </cell>
          <cell r="BH91">
            <v>785.58568559758862</v>
          </cell>
          <cell r="BI91">
            <v>32.221634061835381</v>
          </cell>
          <cell r="BJ91">
            <v>-0.40263999334664335</v>
          </cell>
          <cell r="BK91">
            <v>4.0217913332010963E-3</v>
          </cell>
          <cell r="BL91"/>
          <cell r="BM91"/>
          <cell r="BN91"/>
          <cell r="BO91"/>
          <cell r="BP91">
            <v>785.58568559758862</v>
          </cell>
          <cell r="BQ91">
            <v>32.221634061835381</v>
          </cell>
          <cell r="BR91">
            <v>-0.40263999334664335</v>
          </cell>
          <cell r="BS91">
            <v>4.0217913332010963E-3</v>
          </cell>
        </row>
        <row r="92">
          <cell r="B92">
            <v>2075</v>
          </cell>
          <cell r="D92">
            <v>99.427449757842595</v>
          </cell>
          <cell r="E92">
            <v>3.9088667621480995</v>
          </cell>
          <cell r="F92">
            <v>-7.2291492472682916E-3</v>
          </cell>
          <cell r="G92">
            <v>2.175477830766628E-4</v>
          </cell>
          <cell r="H92">
            <v>49.815740691755153</v>
          </cell>
          <cell r="I92">
            <v>6.2941556499537965</v>
          </cell>
          <cell r="J92">
            <v>-5.9820328245004356E-2</v>
          </cell>
          <cell r="K92">
            <v>4.7036549184338301E-4</v>
          </cell>
          <cell r="L92"/>
          <cell r="M92">
            <v>1.9156415672756584</v>
          </cell>
          <cell r="N92"/>
          <cell r="O92"/>
          <cell r="P92">
            <v>64.445894936577858</v>
          </cell>
          <cell r="Q92">
            <v>4.7026116196780059</v>
          </cell>
          <cell r="R92">
            <v>-2.9544082946829087E-2</v>
          </cell>
          <cell r="S92">
            <v>3.0085303237275824E-4</v>
          </cell>
          <cell r="T92">
            <v>198.71264371156417</v>
          </cell>
          <cell r="U92">
            <v>3.5170343731659148</v>
          </cell>
          <cell r="V92">
            <v>6.9251599107813967E-3</v>
          </cell>
          <cell r="W92">
            <v>3.7840122928340031E-4</v>
          </cell>
          <cell r="X92">
            <v>157.51741030619206</v>
          </cell>
          <cell r="Y92">
            <v>3.7750273522108668</v>
          </cell>
          <cell r="Z92">
            <v>-2.5933101456555054E-2</v>
          </cell>
          <cell r="AA92">
            <v>8.6525648371672554E-4</v>
          </cell>
          <cell r="AB92"/>
          <cell r="AC92">
            <v>4.7090536776607328</v>
          </cell>
          <cell r="AD92"/>
          <cell r="AE92"/>
          <cell r="AF92">
            <v>140.59397476409333</v>
          </cell>
          <cell r="AG92">
            <v>3.8752737395831334</v>
          </cell>
          <cell r="AH92">
            <v>-2.2846358560782359E-2</v>
          </cell>
          <cell r="AI92">
            <v>7.6688801022953669E-4</v>
          </cell>
          <cell r="AJ92">
            <v>239.20692466640045</v>
          </cell>
          <cell r="AK92">
            <v>43.118182509854044</v>
          </cell>
          <cell r="AL92">
            <v>-0.65285003311839707</v>
          </cell>
          <cell r="AM92">
            <v>5.6188549892595288E-3</v>
          </cell>
          <cell r="AN92"/>
          <cell r="AO92"/>
          <cell r="AP92"/>
          <cell r="AQ92"/>
          <cell r="AR92">
            <v>239.20692466640045</v>
          </cell>
          <cell r="AS92">
            <v>43.118182509854044</v>
          </cell>
          <cell r="AT92">
            <v>-0.65285003311839707</v>
          </cell>
          <cell r="AU92">
            <v>5.6188549892595288E-3</v>
          </cell>
          <cell r="AV92">
            <v>381.76075903401392</v>
          </cell>
          <cell r="AW92">
            <v>79.627431415561006</v>
          </cell>
          <cell r="AX92">
            <v>-1.139615411380815</v>
          </cell>
          <cell r="AY92">
            <v>8.5901089603467561E-3</v>
          </cell>
          <cell r="AZ92"/>
          <cell r="BA92"/>
          <cell r="BB92"/>
          <cell r="BC92"/>
          <cell r="BD92">
            <v>381.76075903401392</v>
          </cell>
          <cell r="BE92">
            <v>79.627431415561006</v>
          </cell>
          <cell r="BF92">
            <v>-1.139615411380815</v>
          </cell>
          <cell r="BG92">
            <v>8.5901089603467561E-3</v>
          </cell>
          <cell r="BH92">
            <v>789.04953483307304</v>
          </cell>
          <cell r="BI92">
            <v>32.363707529513512</v>
          </cell>
          <cell r="BJ92">
            <v>-0.4044153365825226</v>
          </cell>
          <cell r="BK92">
            <v>4.0395244450566027E-3</v>
          </cell>
          <cell r="BL92"/>
          <cell r="BM92"/>
          <cell r="BN92"/>
          <cell r="BO92"/>
          <cell r="BP92">
            <v>789.04953483307304</v>
          </cell>
          <cell r="BQ92">
            <v>32.363707529513512</v>
          </cell>
          <cell r="BR92">
            <v>-0.4044153365825226</v>
          </cell>
          <cell r="BS92">
            <v>4.0395244450566027E-3</v>
          </cell>
        </row>
        <row r="93">
          <cell r="B93">
            <v>2076</v>
          </cell>
          <cell r="D93">
            <v>99.88046462482869</v>
          </cell>
          <cell r="E93">
            <v>3.9266764792899314</v>
          </cell>
          <cell r="F93">
            <v>-7.2620869530291253E-3</v>
          </cell>
          <cell r="G93">
            <v>2.1853898198856913E-4</v>
          </cell>
          <cell r="H93">
            <v>50.035923241166209</v>
          </cell>
          <cell r="I93">
            <v>6.3219754357916127</v>
          </cell>
          <cell r="J93">
            <v>-6.0084730463995574E-2</v>
          </cell>
          <cell r="K93">
            <v>4.7244447876018707E-4</v>
          </cell>
          <cell r="L93"/>
          <cell r="M93">
            <v>1.9156415672756584</v>
          </cell>
          <cell r="N93"/>
          <cell r="O93"/>
          <cell r="P93">
            <v>64.736522301673332</v>
          </cell>
          <cell r="Q93">
            <v>4.7225139538943779</v>
          </cell>
          <cell r="R93">
            <v>-2.9675086281422621E-2</v>
          </cell>
          <cell r="S93">
            <v>3.0219543210434341E-4</v>
          </cell>
          <cell r="T93">
            <v>199.61802529460482</v>
          </cell>
          <cell r="U93">
            <v>3.5330588097035682</v>
          </cell>
          <cell r="V93">
            <v>6.9567125695640646E-3</v>
          </cell>
          <cell r="W93">
            <v>3.8012531436220595E-4</v>
          </cell>
          <cell r="X93">
            <v>158.21362769644327</v>
          </cell>
          <cell r="Y93">
            <v>3.7917127439156588</v>
          </cell>
          <cell r="Z93">
            <v>-2.604772419052526E-2</v>
          </cell>
          <cell r="AA93">
            <v>8.6908086484272428E-4</v>
          </cell>
          <cell r="AB93"/>
          <cell r="AC93">
            <v>4.7090536776607328</v>
          </cell>
          <cell r="AD93"/>
          <cell r="AE93"/>
          <cell r="AF93">
            <v>141.2155969286658</v>
          </cell>
          <cell r="AG93">
            <v>3.8901283839473693</v>
          </cell>
          <cell r="AH93">
            <v>-2.2947330922714091E-2</v>
          </cell>
          <cell r="AI93">
            <v>7.7027799968106784E-4</v>
          </cell>
          <cell r="AJ93">
            <v>240.26420475053544</v>
          </cell>
          <cell r="AK93">
            <v>43.308762258727725</v>
          </cell>
          <cell r="AL93">
            <v>-0.65573559062851339</v>
          </cell>
          <cell r="AM93">
            <v>5.6436899871763818E-3</v>
          </cell>
          <cell r="AN93"/>
          <cell r="AO93"/>
          <cell r="AP93"/>
          <cell r="AQ93"/>
          <cell r="AR93">
            <v>240.26420475053544</v>
          </cell>
          <cell r="AS93">
            <v>43.308762258727725</v>
          </cell>
          <cell r="AT93">
            <v>-0.65573559062851339</v>
          </cell>
          <cell r="AU93">
            <v>5.6436899871763818E-3</v>
          </cell>
          <cell r="AV93">
            <v>383.44811841123021</v>
          </cell>
          <cell r="AW93">
            <v>79.979379828024022</v>
          </cell>
          <cell r="AX93">
            <v>-1.1446524423100268</v>
          </cell>
          <cell r="AY93">
            <v>8.6280767204230599E-3</v>
          </cell>
          <cell r="AZ93"/>
          <cell r="BA93"/>
          <cell r="BB93"/>
          <cell r="BC93"/>
          <cell r="BD93">
            <v>383.44811841123021</v>
          </cell>
          <cell r="BE93">
            <v>79.979379828024022</v>
          </cell>
          <cell r="BF93">
            <v>-1.1446524423100268</v>
          </cell>
          <cell r="BG93">
            <v>8.6280767204230599E-3</v>
          </cell>
          <cell r="BH93">
            <v>792.53708587173321</v>
          </cell>
          <cell r="BI93">
            <v>32.506753151906949</v>
          </cell>
          <cell r="BJ93">
            <v>-0.4062028278170835</v>
          </cell>
          <cell r="BK93">
            <v>4.0573788978534482E-3</v>
          </cell>
          <cell r="BL93"/>
          <cell r="BM93"/>
          <cell r="BN93"/>
          <cell r="BO93"/>
          <cell r="BP93">
            <v>792.53708587173321</v>
          </cell>
          <cell r="BQ93">
            <v>32.506753151906949</v>
          </cell>
          <cell r="BR93">
            <v>-0.4062028278170835</v>
          </cell>
          <cell r="BS93">
            <v>4.0573788978534482E-3</v>
          </cell>
        </row>
        <row r="94">
          <cell r="B94">
            <v>2077</v>
          </cell>
          <cell r="D94">
            <v>100.33657930028878</v>
          </cell>
          <cell r="E94">
            <v>3.9446080615539461</v>
          </cell>
          <cell r="F94">
            <v>-7.2952500389857804E-3</v>
          </cell>
          <cell r="G94">
            <v>2.195369632977221E-4</v>
          </cell>
          <cell r="H94">
            <v>50.257612416037531</v>
          </cell>
          <cell r="I94">
            <v>6.3499855818453259</v>
          </cell>
          <cell r="J94">
            <v>-6.035094188683128E-2</v>
          </cell>
          <cell r="K94">
            <v>4.7453769139391919E-4</v>
          </cell>
          <cell r="L94"/>
          <cell r="M94">
            <v>1.9156415672756584</v>
          </cell>
          <cell r="N94"/>
          <cell r="O94"/>
          <cell r="P94">
            <v>65.029138319315862</v>
          </cell>
          <cell r="Q94">
            <v>4.7425524722158459</v>
          </cell>
          <cell r="R94">
            <v>-2.9806986022020202E-2</v>
          </cell>
          <cell r="S94">
            <v>3.0354701736683869E-4</v>
          </cell>
          <cell r="T94">
            <v>200.52960205954309</v>
          </cell>
          <cell r="U94">
            <v>3.5491928953670904</v>
          </cell>
          <cell r="V94">
            <v>6.9884811311927524E-3</v>
          </cell>
          <cell r="W94">
            <v>3.8186119669961536E-4</v>
          </cell>
          <cell r="X94">
            <v>158.91460903755635</v>
          </cell>
          <cell r="Y94">
            <v>3.8085123074111951</v>
          </cell>
          <cell r="Z94">
            <v>-2.6163131244278243E-2</v>
          </cell>
          <cell r="AA94">
            <v>8.7293141475453103E-4</v>
          </cell>
          <cell r="AB94"/>
          <cell r="AC94">
            <v>4.7090536776607328</v>
          </cell>
          <cell r="AD94"/>
          <cell r="AE94"/>
          <cell r="AF94">
            <v>141.84147261733597</v>
          </cell>
          <cell r="AG94">
            <v>3.9050846729944477</v>
          </cell>
          <cell r="AH94">
            <v>-2.3048994200123345E-2</v>
          </cell>
          <cell r="AI94">
            <v>7.7369118554135785E-4</v>
          </cell>
          <cell r="AJ94">
            <v>241.32871940025095</v>
          </cell>
          <cell r="AK94">
            <v>43.500646072354179</v>
          </cell>
          <cell r="AL94">
            <v>-0.65864089291142591</v>
          </cell>
          <cell r="AM94">
            <v>5.668694921540365E-3</v>
          </cell>
          <cell r="AN94"/>
          <cell r="AO94"/>
          <cell r="AP94"/>
          <cell r="AQ94"/>
          <cell r="AR94">
            <v>241.32871940025095</v>
          </cell>
          <cell r="AS94">
            <v>43.500646072354179</v>
          </cell>
          <cell r="AT94">
            <v>-0.65864089291142591</v>
          </cell>
          <cell r="AU94">
            <v>5.668694921540365E-3</v>
          </cell>
          <cell r="AV94">
            <v>385.14702374703921</v>
          </cell>
          <cell r="AW94">
            <v>80.333736489643641</v>
          </cell>
          <cell r="AX94">
            <v>-1.1497239397265346</v>
          </cell>
          <cell r="AY94">
            <v>8.6663042794441637E-3</v>
          </cell>
          <cell r="AZ94"/>
          <cell r="BA94"/>
          <cell r="BB94"/>
          <cell r="BC94"/>
          <cell r="BD94">
            <v>385.14702374703921</v>
          </cell>
          <cell r="BE94">
            <v>80.333736489643641</v>
          </cell>
          <cell r="BF94">
            <v>-1.1497239397265346</v>
          </cell>
          <cell r="BG94">
            <v>8.6663042794441637E-3</v>
          </cell>
          <cell r="BH94">
            <v>796.04850089599472</v>
          </cell>
          <cell r="BI94">
            <v>32.650777581100712</v>
          </cell>
          <cell r="BJ94">
            <v>-0.40800255017446135</v>
          </cell>
          <cell r="BK94">
            <v>4.0753555218815511E-3</v>
          </cell>
          <cell r="BL94"/>
          <cell r="BM94"/>
          <cell r="BN94"/>
          <cell r="BO94"/>
          <cell r="BP94">
            <v>796.04850089599472</v>
          </cell>
          <cell r="BQ94">
            <v>32.650777581100712</v>
          </cell>
          <cell r="BR94">
            <v>-0.40800255017446135</v>
          </cell>
          <cell r="BS94">
            <v>4.0753555218815511E-3</v>
          </cell>
        </row>
        <row r="95">
          <cell r="B95">
            <v>2078</v>
          </cell>
          <cell r="D95">
            <v>100.79581499503352</v>
          </cell>
          <cell r="E95">
            <v>3.9626623428168339</v>
          </cell>
          <cell r="F95">
            <v>-7.3286400473292351E-3</v>
          </cell>
          <cell r="G95">
            <v>2.2054177341348705E-4</v>
          </cell>
          <cell r="H95">
            <v>50.480818525634263</v>
          </cell>
          <cell r="I95">
            <v>6.3781873906775086</v>
          </cell>
          <cell r="J95">
            <v>-6.0618974893205446E-2</v>
          </cell>
          <cell r="K95">
            <v>4.7664522708575102E-4</v>
          </cell>
          <cell r="L95"/>
          <cell r="M95">
            <v>1.9156415672756584</v>
          </cell>
          <cell r="N95"/>
          <cell r="O95"/>
          <cell r="P95">
            <v>65.323756597098665</v>
          </cell>
          <cell r="Q95">
            <v>4.7627281064984572</v>
          </cell>
          <cell r="R95">
            <v>-2.9939788302387266E-2</v>
          </cell>
          <cell r="S95">
            <v>3.0490785101333927E-4</v>
          </cell>
          <cell r="T95">
            <v>201.44741639765294</v>
          </cell>
          <cell r="U95">
            <v>3.565437380443754</v>
          </cell>
          <cell r="V95">
            <v>7.0204670730085374E-3</v>
          </cell>
          <cell r="W95">
            <v>3.836089570197831E-4</v>
          </cell>
          <cell r="X95">
            <v>159.62038692743556</v>
          </cell>
          <cell r="Y95">
            <v>3.8254268239316267</v>
          </cell>
          <cell r="Z95">
            <v>-2.6279327984616043E-2</v>
          </cell>
          <cell r="AA95">
            <v>8.7680831251519653E-4</v>
          </cell>
          <cell r="AB95"/>
          <cell r="AC95">
            <v>4.7090536776607328</v>
          </cell>
          <cell r="AD95"/>
          <cell r="AE95"/>
          <cell r="AF95">
            <v>142.4716309353519</v>
          </cell>
          <cell r="AG95">
            <v>3.9201433022402834</v>
          </cell>
          <cell r="AH95">
            <v>-2.3151353120682026E-2</v>
          </cell>
          <cell r="AI95">
            <v>7.7712772653461151E-4</v>
          </cell>
          <cell r="AJ95">
            <v>242.40051811892829</v>
          </cell>
          <cell r="AK95">
            <v>43.693842873952661</v>
          </cell>
          <cell r="AL95">
            <v>-0.66156607507310705</v>
          </cell>
          <cell r="AM95">
            <v>5.6938709551619705E-3</v>
          </cell>
          <cell r="AN95"/>
          <cell r="AO95"/>
          <cell r="AP95"/>
          <cell r="AQ95"/>
          <cell r="AR95">
            <v>242.40051811892829</v>
          </cell>
          <cell r="AS95">
            <v>43.693842873952661</v>
          </cell>
          <cell r="AT95">
            <v>-0.66156607507310705</v>
          </cell>
          <cell r="AU95">
            <v>5.6938709551619705E-3</v>
          </cell>
          <cell r="AV95">
            <v>386.85755404604532</v>
          </cell>
          <cell r="AW95">
            <v>80.690517879153106</v>
          </cell>
          <cell r="AX95">
            <v>-1.1548301394714053</v>
          </cell>
          <cell r="AY95">
            <v>8.7047934151154582E-3</v>
          </cell>
          <cell r="AZ95"/>
          <cell r="BA95"/>
          <cell r="BB95"/>
          <cell r="BC95"/>
          <cell r="BD95">
            <v>386.85755404604532</v>
          </cell>
          <cell r="BE95">
            <v>80.690517879153106</v>
          </cell>
          <cell r="BF95">
            <v>-1.1548301394714053</v>
          </cell>
          <cell r="BG95">
            <v>8.7047934151154582E-3</v>
          </cell>
          <cell r="BH95">
            <v>799.58394319803699</v>
          </cell>
          <cell r="BI95">
            <v>32.795787514697558</v>
          </cell>
          <cell r="BJ95">
            <v>-0.40981458734757875</v>
          </cell>
          <cell r="BK95">
            <v>4.0934551531121915E-3</v>
          </cell>
          <cell r="BL95"/>
          <cell r="BM95"/>
          <cell r="BN95"/>
          <cell r="BO95"/>
          <cell r="BP95">
            <v>799.58394319803699</v>
          </cell>
          <cell r="BQ95">
            <v>32.795787514697558</v>
          </cell>
          <cell r="BR95">
            <v>-0.40981458734757875</v>
          </cell>
          <cell r="BS95">
            <v>4.0934551531121915E-3</v>
          </cell>
        </row>
        <row r="96">
          <cell r="B96">
            <v>2079</v>
          </cell>
          <cell r="D96">
            <v>101.25819306501118</v>
          </cell>
          <cell r="E96">
            <v>3.98084016266119</v>
          </cell>
          <cell r="F96">
            <v>-7.3622585308030968E-3</v>
          </cell>
          <cell r="G96">
            <v>2.2155345906279107E-4</v>
          </cell>
          <cell r="H96">
            <v>50.705551949763951</v>
          </cell>
          <cell r="I96">
            <v>6.4065821737636792</v>
          </cell>
          <cell r="J96">
            <v>-6.0888841947521602E-2</v>
          </cell>
          <cell r="K96">
            <v>4.787671838429232E-4</v>
          </cell>
          <cell r="L96"/>
          <cell r="M96">
            <v>1.9156415672756584</v>
          </cell>
          <cell r="N96"/>
          <cell r="O96"/>
          <cell r="P96">
            <v>65.620390835726539</v>
          </cell>
          <cell r="Q96">
            <v>4.783041794974598</v>
          </cell>
          <cell r="R96">
            <v>-3.0073499298260281E-2</v>
          </cell>
          <cell r="S96">
            <v>3.0627799632702038E-4</v>
          </cell>
          <cell r="T96">
            <v>202.37151099027588</v>
          </cell>
          <cell r="U96">
            <v>3.5817930203547661</v>
          </cell>
          <cell r="V96">
            <v>7.0526718824613826E-3</v>
          </cell>
          <cell r="W96">
            <v>3.8536867659922882E-4</v>
          </cell>
          <cell r="X96">
            <v>160.33099418704035</v>
          </cell>
          <cell r="Y96">
            <v>3.842457080056795</v>
          </cell>
          <cell r="Z96">
            <v>-2.6396319815063695E-2</v>
          </cell>
          <cell r="AA96">
            <v>8.8071173841303228E-4</v>
          </cell>
          <cell r="AB96"/>
          <cell r="AC96">
            <v>4.7090536776607328</v>
          </cell>
          <cell r="AD96"/>
          <cell r="AE96"/>
          <cell r="AF96">
            <v>143.10610118711773</v>
          </cell>
          <cell r="AG96">
            <v>3.9353049719599444</v>
          </cell>
          <cell r="AH96">
            <v>-2.3254412444411697E-2</v>
          </cell>
          <cell r="AI96">
            <v>7.805877824711235E-4</v>
          </cell>
          <cell r="AJ96">
            <v>243.47965074868176</v>
          </cell>
          <cell r="AK96">
            <v>43.888361647800622</v>
          </cell>
          <cell r="AL96">
            <v>-0.66451127314400826</v>
          </cell>
          <cell r="AM96">
            <v>5.7192192588083612E-3</v>
          </cell>
          <cell r="AN96"/>
          <cell r="AO96"/>
          <cell r="AP96"/>
          <cell r="AQ96"/>
          <cell r="AR96">
            <v>243.47965074868176</v>
          </cell>
          <cell r="AS96">
            <v>43.888361647800622</v>
          </cell>
          <cell r="AT96">
            <v>-0.66451127314400826</v>
          </cell>
          <cell r="AU96">
            <v>5.7192192588083612E-3</v>
          </cell>
          <cell r="AV96">
            <v>388.57978885345148</v>
          </cell>
          <cell r="AW96">
            <v>81.049740588043434</v>
          </cell>
          <cell r="AX96">
            <v>-1.1599712789994774</v>
          </cell>
          <cell r="AY96">
            <v>8.7435459173065035E-3</v>
          </cell>
          <cell r="AZ96"/>
          <cell r="BA96"/>
          <cell r="BB96"/>
          <cell r="BC96"/>
          <cell r="BD96">
            <v>388.57978885345148</v>
          </cell>
          <cell r="BE96">
            <v>81.049740588043434</v>
          </cell>
          <cell r="BF96">
            <v>-1.1599712789994774</v>
          </cell>
          <cell r="BG96">
            <v>8.7435459173065035E-3</v>
          </cell>
          <cell r="BH96">
            <v>803.14357718738609</v>
          </cell>
          <cell r="BI96">
            <v>32.941789696129398</v>
          </cell>
          <cell r="BJ96">
            <v>-0.41163902360203736</v>
          </cell>
          <cell r="BK96">
            <v>4.1116786332368862E-3</v>
          </cell>
          <cell r="BL96"/>
          <cell r="BM96"/>
          <cell r="BN96"/>
          <cell r="BO96"/>
          <cell r="BP96">
            <v>803.14357718738609</v>
          </cell>
          <cell r="BQ96">
            <v>32.941789696129398</v>
          </cell>
          <cell r="BR96">
            <v>-0.41163902360203736</v>
          </cell>
          <cell r="BS96">
            <v>4.1116786332368862E-3</v>
          </cell>
        </row>
        <row r="97">
          <cell r="B97">
            <v>2080</v>
          </cell>
          <cell r="D97">
            <v>101.72373501230047</v>
          </cell>
          <cell r="E97">
            <v>3.999142366414548</v>
          </cell>
          <cell r="F97">
            <v>-7.3961070527758001E-3</v>
          </cell>
          <cell r="G97">
            <v>2.225720672922955E-4</v>
          </cell>
          <cell r="H97">
            <v>50.931823139259109</v>
          </cell>
          <cell r="I97">
            <v>6.4351712515532711</v>
          </cell>
          <cell r="J97">
            <v>-6.1160555599472345E-2</v>
          </cell>
          <cell r="K97">
            <v>4.8090366034330161E-4</v>
          </cell>
          <cell r="L97"/>
          <cell r="M97">
            <v>1.9156415672756584</v>
          </cell>
          <cell r="N97"/>
          <cell r="O97"/>
          <cell r="P97">
            <v>65.919054829652907</v>
          </cell>
          <cell r="Q97">
            <v>4.8034944822966139</v>
          </cell>
          <cell r="R97">
            <v>-3.0208125227633879E-2</v>
          </cell>
          <cell r="S97">
            <v>3.0765751702407939E-4</v>
          </cell>
          <cell r="T97">
            <v>203.30192881080524</v>
          </cell>
          <cell r="U97">
            <v>3.5982605756903876</v>
          </cell>
          <cell r="V97">
            <v>7.0850970571792989E-3</v>
          </cell>
          <cell r="W97">
            <v>3.8714043727061583E-4</v>
          </cell>
          <cell r="X97">
            <v>161.04646386191118</v>
          </cell>
          <cell r="Y97">
            <v>3.8596038677488003</v>
          </cell>
          <cell r="Z97">
            <v>-2.6514112176120461E-2</v>
          </cell>
          <cell r="AA97">
            <v>8.8464187396999265E-4</v>
          </cell>
          <cell r="AB97"/>
          <cell r="AC97">
            <v>4.7090536776607328</v>
          </cell>
          <cell r="AD97"/>
          <cell r="AE97"/>
          <cell r="AF97">
            <v>143.7449128775564</v>
          </cell>
          <cell r="AG97">
            <v>3.9505703872202074</v>
          </cell>
          <cell r="AH97">
            <v>-2.3358176963904909E-2</v>
          </cell>
          <cell r="AI97">
            <v>7.8407151425470816E-4</v>
          </cell>
          <cell r="AJ97">
            <v>244.56616747267586</v>
          </cell>
          <cell r="AK97">
            <v>44.084211439651433</v>
          </cell>
          <cell r="AL97">
            <v>-0.66747662408538455</v>
          </cell>
          <cell r="AM97">
            <v>5.7447410112578031E-3</v>
          </cell>
          <cell r="AN97"/>
          <cell r="AO97"/>
          <cell r="AP97"/>
          <cell r="AQ97"/>
          <cell r="AR97">
            <v>244.56616747267586</v>
          </cell>
          <cell r="AS97">
            <v>44.084211439651433</v>
          </cell>
          <cell r="AT97">
            <v>-0.66747662408538455</v>
          </cell>
          <cell r="AU97">
            <v>5.7447410112578031E-3</v>
          </cell>
          <cell r="AV97">
            <v>390.31380825875766</v>
          </cell>
          <cell r="AW97">
            <v>81.411421321334743</v>
          </cell>
          <cell r="AX97">
            <v>-1.1651475973903997</v>
          </cell>
          <cell r="AY97">
            <v>8.7825635881342377E-3</v>
          </cell>
          <cell r="AZ97"/>
          <cell r="BA97"/>
          <cell r="BB97"/>
          <cell r="BC97"/>
          <cell r="BD97">
            <v>390.31380825875766</v>
          </cell>
          <cell r="BE97">
            <v>81.411421321334743</v>
          </cell>
          <cell r="BF97">
            <v>-1.1651475973903997</v>
          </cell>
          <cell r="BG97">
            <v>8.7825635881342377E-3</v>
          </cell>
          <cell r="BH97">
            <v>806.72756839855822</v>
          </cell>
          <cell r="BI97">
            <v>33.088790914970829</v>
          </cell>
          <cell r="BJ97">
            <v>-0.4134759437800356</v>
          </cell>
          <cell r="BK97">
            <v>4.1300268097065182E-3</v>
          </cell>
          <cell r="BL97"/>
          <cell r="BM97"/>
          <cell r="BN97"/>
          <cell r="BO97"/>
          <cell r="BP97">
            <v>806.72756839855822</v>
          </cell>
          <cell r="BQ97">
            <v>33.088790914970829</v>
          </cell>
          <cell r="BR97">
            <v>-0.4134759437800356</v>
          </cell>
          <cell r="BS97">
            <v>4.1300268097065182E-3</v>
          </cell>
        </row>
        <row r="98">
          <cell r="B98">
            <v>2081</v>
          </cell>
          <cell r="D98">
            <v>102.1924624861108</v>
          </cell>
          <cell r="E98">
            <v>4.0175698051887005</v>
          </cell>
          <cell r="F98">
            <v>-7.4301871873133215E-3</v>
          </cell>
          <cell r="G98">
            <v>2.2359764547058442E-4</v>
          </cell>
          <cell r="H98">
            <v>51.159642616463437</v>
          </cell>
          <cell r="I98">
            <v>6.4639559535310633</v>
          </cell>
          <cell r="J98">
            <v>-6.1434128484623159E-2</v>
          </cell>
          <cell r="K98">
            <v>4.8305475593996813E-4</v>
          </cell>
          <cell r="L98"/>
          <cell r="M98">
            <v>1.9156415672756584</v>
          </cell>
          <cell r="N98"/>
          <cell r="O98"/>
          <cell r="P98">
            <v>66.219762467721523</v>
          </cell>
          <cell r="Q98">
            <v>4.8240871195807564</v>
          </cell>
          <cell r="R98">
            <v>-3.0343672351050118E-2</v>
          </cell>
          <cell r="S98">
            <v>3.0904647725669998E-4</v>
          </cell>
          <cell r="T98">
            <v>204.23871312668521</v>
          </cell>
          <cell r="U98">
            <v>3.6148408122453146</v>
          </cell>
          <cell r="V98">
            <v>7.1177441050380022E-3</v>
          </cell>
          <cell r="W98">
            <v>3.8892432142655775E-4</v>
          </cell>
          <cell r="X98">
            <v>161.76682922370685</v>
          </cell>
          <cell r="Y98">
            <v>3.8768679843888458</v>
          </cell>
          <cell r="Z98">
            <v>-2.6632710545512906E-2</v>
          </cell>
          <cell r="AA98">
            <v>8.8859890195011908E-4</v>
          </cell>
          <cell r="AB98"/>
          <cell r="AC98">
            <v>4.7090536776607328</v>
          </cell>
          <cell r="AD98"/>
          <cell r="AE98"/>
          <cell r="AF98">
            <v>144.38809571348199</v>
          </cell>
          <cell r="AG98">
            <v>3.9659402579123593</v>
          </cell>
          <cell r="AH98">
            <v>-2.3462651504548123E-2</v>
          </cell>
          <cell r="AI98">
            <v>7.8757908389018457E-4</v>
          </cell>
          <cell r="AJ98">
            <v>245.66011881745982</v>
          </cell>
          <cell r="AK98">
            <v>44.28140135715519</v>
          </cell>
          <cell r="AL98">
            <v>-0.67046226579566592</v>
          </cell>
          <cell r="AM98">
            <v>5.770437399354505E-3</v>
          </cell>
          <cell r="AN98"/>
          <cell r="AO98"/>
          <cell r="AP98"/>
          <cell r="AQ98"/>
          <cell r="AR98">
            <v>245.66011881745982</v>
          </cell>
          <cell r="AS98">
            <v>44.28140135715519</v>
          </cell>
          <cell r="AT98">
            <v>-0.67046226579566592</v>
          </cell>
          <cell r="AU98">
            <v>5.770437399354505E-3</v>
          </cell>
          <cell r="AV98">
            <v>392.05969289948627</v>
          </cell>
          <cell r="AW98">
            <v>81.775576898353364</v>
          </cell>
          <cell r="AX98">
            <v>-1.170359335359755</v>
          </cell>
          <cell r="AY98">
            <v>8.8218482420468185E-3</v>
          </cell>
          <cell r="AZ98"/>
          <cell r="BA98"/>
          <cell r="BB98"/>
          <cell r="BC98"/>
          <cell r="BD98">
            <v>392.05969289948627</v>
          </cell>
          <cell r="BE98">
            <v>81.775576898353364</v>
          </cell>
          <cell r="BF98">
            <v>-1.170359335359755</v>
          </cell>
          <cell r="BG98">
            <v>8.8218482420468185E-3</v>
          </cell>
          <cell r="BH98">
            <v>810.33608349876113</v>
          </cell>
          <cell r="BI98">
            <v>33.236798007254968</v>
          </cell>
          <cell r="BJ98">
            <v>-0.41532543330431548</v>
          </cell>
          <cell r="BK98">
            <v>4.1485005357707614E-3</v>
          </cell>
          <cell r="BL98"/>
          <cell r="BM98"/>
          <cell r="BN98"/>
          <cell r="BO98"/>
          <cell r="BP98">
            <v>810.33608349876113</v>
          </cell>
          <cell r="BQ98">
            <v>33.236798007254968</v>
          </cell>
          <cell r="BR98">
            <v>-0.41532543330431548</v>
          </cell>
          <cell r="BS98">
            <v>4.1485005357707614E-3</v>
          </cell>
        </row>
        <row r="99">
          <cell r="B99">
            <v>2082</v>
          </cell>
          <cell r="D99">
            <v>102.66439728378889</v>
          </cell>
          <cell r="E99">
            <v>4.0361233359192772</v>
          </cell>
          <cell r="F99">
            <v>-7.4645005192523735E-3</v>
          </cell>
          <cell r="G99">
            <v>2.246302412903671E-4</v>
          </cell>
          <cell r="H99">
            <v>51.389020975720967</v>
          </cell>
          <cell r="I99">
            <v>6.4929376182789866</v>
          </cell>
          <cell r="J99">
            <v>-6.1709573324999829E-2</v>
          </cell>
          <cell r="K99">
            <v>4.8522057066583958E-4</v>
          </cell>
          <cell r="L99"/>
          <cell r="M99">
            <v>1.9156415672756584</v>
          </cell>
          <cell r="N99"/>
          <cell r="O99"/>
          <cell r="P99">
            <v>66.522527733812112</v>
          </cell>
          <cell r="Q99">
            <v>4.8448206644513991</v>
          </cell>
          <cell r="R99">
            <v>-3.0480146971889537E-2</v>
          </cell>
          <cell r="S99">
            <v>3.1044494161603455E-4</v>
          </cell>
          <cell r="T99">
            <v>205.18190750142276</v>
          </cell>
          <cell r="U99">
            <v>3.631534501054285</v>
          </cell>
          <cell r="V99">
            <v>7.1506145442310305E-3</v>
          </cell>
          <cell r="W99">
            <v>3.907204120234497E-4</v>
          </cell>
          <cell r="X99">
            <v>162.49212377175138</v>
          </cell>
          <cell r="Y99">
            <v>3.8942502328143069</v>
          </cell>
          <cell r="Z99">
            <v>-2.6752120438449586E-2</v>
          </cell>
          <cell r="AA99">
            <v>8.9258300636803724E-4</v>
          </cell>
          <cell r="AB99"/>
          <cell r="AC99">
            <v>4.7090536776607328</v>
          </cell>
          <cell r="AD99"/>
          <cell r="AE99"/>
          <cell r="AF99">
            <v>145.03567960498086</v>
          </cell>
          <cell r="AG99">
            <v>3.9814152987852007</v>
          </cell>
          <cell r="AH99">
            <v>-2.3567840924746085E-2</v>
          </cell>
          <cell r="AI99">
            <v>7.9111065449090855E-4</v>
          </cell>
          <cell r="AJ99">
            <v>246.76155565531658</v>
          </cell>
          <cell r="AK99">
            <v>44.479940570282139</v>
          </cell>
          <cell r="AL99">
            <v>-0.67346833711686793</v>
          </cell>
          <cell r="AM99">
            <v>5.7963096180637949E-3</v>
          </cell>
          <cell r="AN99"/>
          <cell r="AO99"/>
          <cell r="AP99"/>
          <cell r="AQ99"/>
          <cell r="AR99">
            <v>246.76155565531658</v>
          </cell>
          <cell r="AS99">
            <v>44.479940570282139</v>
          </cell>
          <cell r="AT99">
            <v>-0.67346833711686793</v>
          </cell>
          <cell r="AU99">
            <v>5.7963096180637949E-3</v>
          </cell>
          <cell r="AV99">
            <v>393.81752396493152</v>
          </cell>
          <cell r="AW99">
            <v>82.142224253513874</v>
          </cell>
          <cell r="AX99">
            <v>-1.1756067352702495</v>
          </cell>
          <cell r="AY99">
            <v>8.8614017059079689E-3</v>
          </cell>
          <cell r="AZ99"/>
          <cell r="BA99"/>
          <cell r="BB99"/>
          <cell r="BC99"/>
          <cell r="BD99">
            <v>393.81752396493152</v>
          </cell>
          <cell r="BE99">
            <v>82.142224253513874</v>
          </cell>
          <cell r="BF99">
            <v>-1.1756067352702495</v>
          </cell>
          <cell r="BG99">
            <v>8.8614017059079689E-3</v>
          </cell>
          <cell r="BH99">
            <v>813.96929029564183</v>
          </cell>
          <cell r="BI99">
            <v>33.385817855791302</v>
          </cell>
          <cell r="BJ99">
            <v>-0.41718757818213387</v>
          </cell>
          <cell r="BK99">
            <v>4.1671006705177524E-3</v>
          </cell>
          <cell r="BL99"/>
          <cell r="BM99"/>
          <cell r="BN99"/>
          <cell r="BO99"/>
          <cell r="BP99">
            <v>813.96929029564183</v>
          </cell>
          <cell r="BQ99">
            <v>33.385817855791302</v>
          </cell>
          <cell r="BR99">
            <v>-0.41718757818213387</v>
          </cell>
          <cell r="BS99">
            <v>4.1671006705177524E-3</v>
          </cell>
        </row>
        <row r="100">
          <cell r="B100">
            <v>2083</v>
          </cell>
          <cell r="D100">
            <v>103.13956135183227</v>
          </cell>
          <cell r="E100">
            <v>4.0548038214055842</v>
          </cell>
          <cell r="F100">
            <v>-7.4990486442740936E-3</v>
          </cell>
          <cell r="G100">
            <v>2.2566990277069561E-4</v>
          </cell>
          <cell r="H100">
            <v>51.619968883868829</v>
          </cell>
          <cell r="I100">
            <v>6.5221175935383817</v>
          </cell>
          <cell r="J100">
            <v>-6.1986902929680156E-2</v>
          </cell>
          <cell r="K100">
            <v>4.8740120523832014E-4</v>
          </cell>
          <cell r="L100"/>
          <cell r="M100">
            <v>1.9156415672756584</v>
          </cell>
          <cell r="N100"/>
          <cell r="O100"/>
          <cell r="P100">
            <v>66.827364707490787</v>
          </cell>
          <cell r="Q100">
            <v>4.8656960810855745</v>
          </cell>
          <cell r="R100">
            <v>-3.061755543666432E-2</v>
          </cell>
          <cell r="S100">
            <v>3.1185297513520809E-4</v>
          </cell>
          <cell r="T100">
            <v>206.13155579661293</v>
          </cell>
          <cell r="U100">
            <v>3.6483424184279287</v>
          </cell>
          <cell r="V100">
            <v>7.1837099033403322E-3</v>
          </cell>
          <cell r="W100">
            <v>3.9252879258532496E-4</v>
          </cell>
          <cell r="X100">
            <v>163.22238123459192</v>
          </cell>
          <cell r="Y100">
            <v>3.9117514213560711</v>
          </cell>
          <cell r="Z100">
            <v>-2.6872347407877518E-2</v>
          </cell>
          <cell r="AA100">
            <v>8.9659437249751484E-4</v>
          </cell>
          <cell r="AB100"/>
          <cell r="AC100">
            <v>4.7090536776607328</v>
          </cell>
          <cell r="AD100"/>
          <cell r="AE100"/>
          <cell r="AF100">
            <v>145.6876946668028</v>
          </cell>
          <cell r="AG100">
            <v>3.9969962294782864</v>
          </cell>
          <cell r="AH100">
            <v>-2.3673750116147741E-2</v>
          </cell>
          <cell r="AI100">
            <v>7.9466639028635887E-4</v>
          </cell>
          <cell r="AJ100">
            <v>247.87052920662887</v>
          </cell>
          <cell r="AK100">
            <v>44.679838311749151</v>
          </cell>
          <cell r="AL100">
            <v>-0.67649497784104984</v>
          </cell>
          <cell r="AM100">
            <v>5.8223588705276939E-3</v>
          </cell>
          <cell r="AN100"/>
          <cell r="AO100"/>
          <cell r="AP100"/>
          <cell r="AQ100"/>
          <cell r="AR100">
            <v>247.87052920662887</v>
          </cell>
          <cell r="AS100">
            <v>44.679838311749151</v>
          </cell>
          <cell r="AT100">
            <v>-0.67649497784104984</v>
          </cell>
          <cell r="AU100">
            <v>5.8223588705276939E-3</v>
          </cell>
          <cell r="AV100">
            <v>395.58738319993506</v>
          </cell>
          <cell r="AW100">
            <v>82.511380437106553</v>
          </cell>
          <cell r="AX100">
            <v>-1.1808900411429857</v>
          </cell>
          <cell r="AY100">
            <v>8.901225819081952E-3</v>
          </cell>
          <cell r="AZ100"/>
          <cell r="BA100"/>
          <cell r="BB100"/>
          <cell r="BC100"/>
          <cell r="BD100">
            <v>395.58738319993506</v>
          </cell>
          <cell r="BE100">
            <v>82.511380437106553</v>
          </cell>
          <cell r="BF100">
            <v>-1.1808900411429857</v>
          </cell>
          <cell r="BG100">
            <v>8.901225819081952E-3</v>
          </cell>
          <cell r="BH100">
            <v>817.62735774509156</v>
          </cell>
          <cell r="BI100">
            <v>33.535857390485752</v>
          </cell>
          <cell r="BJ100">
            <v>-0.41906246500926286</v>
          </cell>
          <cell r="BK100">
            <v>4.1858280789140376E-3</v>
          </cell>
          <cell r="BL100"/>
          <cell r="BM100"/>
          <cell r="BN100"/>
          <cell r="BO100"/>
          <cell r="BP100">
            <v>817.62735774509156</v>
          </cell>
          <cell r="BQ100">
            <v>33.535857390485752</v>
          </cell>
          <cell r="BR100">
            <v>-0.41906246500926286</v>
          </cell>
          <cell r="BS100">
            <v>4.1858280789140376E-3</v>
          </cell>
        </row>
        <row r="101">
          <cell r="B101">
            <v>2084</v>
          </cell>
          <cell r="D101">
            <v>103.61797678691019</v>
          </cell>
          <cell r="E101">
            <v>4.0736121303507424</v>
          </cell>
          <cell r="F101">
            <v>-7.5338331689782717E-3</v>
          </cell>
          <cell r="G101">
            <v>2.2671667825919847E-4</v>
          </cell>
          <cell r="H101">
            <v>51.852497080733229</v>
          </cell>
          <cell r="I101">
            <v>6.5514972362726684</v>
          </cell>
          <cell r="J101">
            <v>-6.2266130195389555E-2</v>
          </cell>
          <cell r="K101">
            <v>4.8959676106398475E-4</v>
          </cell>
          <cell r="L101"/>
          <cell r="M101">
            <v>1.9156415672756584</v>
          </cell>
          <cell r="N101"/>
          <cell r="O101"/>
          <cell r="P101">
            <v>67.134287564664831</v>
          </cell>
          <cell r="Q101">
            <v>4.8867143402578126</v>
          </cell>
          <cell r="R101">
            <v>-3.0755904135313407E-2</v>
          </cell>
          <cell r="S101">
            <v>3.1327064329234272E-4</v>
          </cell>
          <cell r="T101">
            <v>207.08770217397944</v>
          </cell>
          <cell r="U101">
            <v>3.6652653459888804</v>
          </cell>
          <cell r="V101">
            <v>7.2170317214073727E-3</v>
          </cell>
          <cell r="W101">
            <v>3.9434954720774109E-4</v>
          </cell>
          <cell r="X101">
            <v>163.95763557156721</v>
          </cell>
          <cell r="Y101">
            <v>3.9293723638761264</v>
          </cell>
          <cell r="Z101">
            <v>-2.6993397044740439E-2</v>
          </cell>
          <cell r="AA101">
            <v>9.0063318688007779E-4</v>
          </cell>
          <cell r="AB101"/>
          <cell r="AC101">
            <v>4.7090536776607328</v>
          </cell>
          <cell r="AD101"/>
          <cell r="AE101"/>
          <cell r="AF101">
            <v>146.34417121976134</v>
          </cell>
          <cell r="AG101">
            <v>4.0126837745553905</v>
          </cell>
          <cell r="AH101">
            <v>-2.378038400387375E-2</v>
          </cell>
          <cell r="AI101">
            <v>7.982464566297741E-4</v>
          </cell>
          <cell r="AJ101">
            <v>248.98709104226091</v>
          </cell>
          <cell r="AK101">
            <v>44.881103877449071</v>
          </cell>
          <cell r="AL101">
            <v>-0.67954232871681453</v>
          </cell>
          <cell r="AM101">
            <v>5.8485863681208656E-3</v>
          </cell>
          <cell r="AN101"/>
          <cell r="AO101"/>
          <cell r="AP101"/>
          <cell r="AQ101"/>
          <cell r="AR101">
            <v>248.98709104226091</v>
          </cell>
          <cell r="AS101">
            <v>44.881103877449071</v>
          </cell>
          <cell r="AT101">
            <v>-0.67954232871681453</v>
          </cell>
          <cell r="AU101">
            <v>5.8485863681208656E-3</v>
          </cell>
          <cell r="AV101">
            <v>397.36935290868729</v>
          </cell>
          <cell r="AW101">
            <v>82.883062616090356</v>
          </cell>
          <cell r="AX101">
            <v>-1.1862094986688099</v>
          </cell>
          <cell r="AY101">
            <v>8.9413224335190972E-3</v>
          </cell>
          <cell r="AZ101"/>
          <cell r="BA101"/>
          <cell r="BB101"/>
          <cell r="BC101"/>
          <cell r="BD101">
            <v>397.36935290868729</v>
          </cell>
          <cell r="BE101">
            <v>82.883062616090356</v>
          </cell>
          <cell r="BF101">
            <v>-1.1862094986688099</v>
          </cell>
          <cell r="BG101">
            <v>8.9413224335190972E-3</v>
          </cell>
          <cell r="BH101">
            <v>821.31045595910234</v>
          </cell>
          <cell r="BI101">
            <v>33.68692358866295</v>
          </cell>
          <cell r="BJ101">
            <v>-0.42095018097401632</v>
          </cell>
          <cell r="BK101">
            <v>4.2046836318448038E-3</v>
          </cell>
          <cell r="BL101"/>
          <cell r="BM101"/>
          <cell r="BN101"/>
          <cell r="BO101"/>
          <cell r="BP101">
            <v>821.31045595910234</v>
          </cell>
          <cell r="BQ101">
            <v>33.68692358866295</v>
          </cell>
          <cell r="BR101">
            <v>-0.42095018097401632</v>
          </cell>
          <cell r="BS101">
            <v>4.2046836318448038E-3</v>
          </cell>
        </row>
        <row r="102">
          <cell r="B102">
            <v>2085</v>
          </cell>
          <cell r="D102">
            <v>104.09966583689086</v>
          </cell>
          <cell r="E102">
            <v>4.0925491374020737</v>
          </cell>
          <cell r="F102">
            <v>-7.5688557109580392E-3</v>
          </cell>
          <cell r="G102">
            <v>2.2777061643432838E-4</v>
          </cell>
          <cell r="H102">
            <v>52.086616379628964</v>
          </cell>
          <cell r="I102">
            <v>6.5810779127304553</v>
          </cell>
          <cell r="J102">
            <v>-6.2547268107100887E-2</v>
          </cell>
          <cell r="K102">
            <v>4.9180734024329516E-4</v>
          </cell>
          <cell r="L102"/>
          <cell r="M102">
            <v>1.9156415672756584</v>
          </cell>
          <cell r="N102"/>
          <cell r="O102"/>
          <cell r="P102">
            <v>67.443310578241807</v>
          </cell>
          <cell r="Q102">
            <v>4.9078764193852864</v>
          </cell>
          <cell r="R102">
            <v>-3.0895199501499687E-2</v>
          </cell>
          <cell r="S102">
            <v>3.1469801201360244E-4</v>
          </cell>
          <cell r="T102">
            <v>208.05039109742759</v>
          </cell>
          <cell r="U102">
            <v>3.6823040707081183</v>
          </cell>
          <cell r="V102">
            <v>7.2505815480046849E-3</v>
          </cell>
          <cell r="W102">
            <v>3.9618276056168885E-4</v>
          </cell>
          <cell r="X102">
            <v>164.6979209743869</v>
          </cell>
          <cell r="Y102">
            <v>3.9471138798054097</v>
          </cell>
          <cell r="Z102">
            <v>-2.7115274978238787E-2</v>
          </cell>
          <cell r="AA102">
            <v>9.0469963733368465E-4</v>
          </cell>
          <cell r="AB102"/>
          <cell r="AC102">
            <v>4.7090536776607328</v>
          </cell>
          <cell r="AD102"/>
          <cell r="AE102"/>
          <cell r="AF102">
            <v>147.00513979214378</v>
          </cell>
          <cell r="AG102">
            <v>4.0284786635382028</v>
          </cell>
          <cell r="AH102">
            <v>-2.388774754674549E-2</v>
          </cell>
          <cell r="AI102">
            <v>8.0185102000584227E-4</v>
          </cell>
          <cell r="AJ102">
            <v>250.11129308595696</v>
          </cell>
          <cell r="AK102">
            <v>45.083746626883006</v>
          </cell>
          <cell r="AL102">
            <v>-0.68261053145585426</v>
          </cell>
          <cell r="AM102">
            <v>5.8749933305069528E-3</v>
          </cell>
          <cell r="AN102"/>
          <cell r="AO102"/>
          <cell r="AP102"/>
          <cell r="AQ102"/>
          <cell r="AR102">
            <v>250.11129308595696</v>
          </cell>
          <cell r="AS102">
            <v>45.083746626883006</v>
          </cell>
          <cell r="AT102">
            <v>-0.68261053145585426</v>
          </cell>
          <cell r="AU102">
            <v>5.8749933305069528E-3</v>
          </cell>
          <cell r="AV102">
            <v>399.16351595855519</v>
          </cell>
          <cell r="AW102">
            <v>83.257288074891278</v>
          </cell>
          <cell r="AX102">
            <v>-1.1915653552197376</v>
          </cell>
          <cell r="AY102">
            <v>8.9816934138419336E-3</v>
          </cell>
          <cell r="AZ102"/>
          <cell r="BA102"/>
          <cell r="BB102"/>
          <cell r="BC102"/>
          <cell r="BD102">
            <v>399.16351595855519</v>
          </cell>
          <cell r="BE102">
            <v>83.257288074891278</v>
          </cell>
          <cell r="BF102">
            <v>-1.1915653552197376</v>
          </cell>
          <cell r="BG102">
            <v>8.9816934138419336E-3</v>
          </cell>
          <cell r="BH102">
            <v>825.01875621367833</v>
          </cell>
          <cell r="BI102">
            <v>33.839023475390725</v>
          </cell>
          <cell r="BJ102">
            <v>-0.42285081386130474</v>
          </cell>
          <cell r="BK102">
            <v>4.2236682061543721E-3</v>
          </cell>
          <cell r="BL102"/>
          <cell r="BM102"/>
          <cell r="BN102"/>
          <cell r="BO102"/>
          <cell r="BP102">
            <v>825.01875621367833</v>
          </cell>
          <cell r="BQ102">
            <v>33.839023475390725</v>
          </cell>
          <cell r="BR102">
            <v>-0.42285081386130474</v>
          </cell>
          <cell r="BS102">
            <v>4.2236682061543721E-3</v>
          </cell>
        </row>
        <row r="103">
          <cell r="B103">
            <v>2086</v>
          </cell>
          <cell r="D103">
            <v>104.58465090187633</v>
          </cell>
          <cell r="E103">
            <v>4.1116157231917834</v>
          </cell>
          <cell r="F103">
            <v>-7.6041178988751077E-3</v>
          </cell>
          <cell r="G103">
            <v>2.2883176630762638E-4</v>
          </cell>
          <cell r="H103">
            <v>52.322337667862215</v>
          </cell>
          <cell r="I103">
            <v>6.6108609985090689</v>
          </cell>
          <cell r="J103">
            <v>-6.283032973863821E-2</v>
          </cell>
          <cell r="K103">
            <v>4.940330455753477E-4</v>
          </cell>
          <cell r="L103"/>
          <cell r="M103">
            <v>1.9156415672756584</v>
          </cell>
          <cell r="N103"/>
          <cell r="O103"/>
          <cell r="P103">
            <v>67.754448118793434</v>
          </cell>
          <cell r="Q103">
            <v>4.9291833025732625</v>
          </cell>
          <cell r="R103">
            <v>-3.1035448012909146E-2</v>
          </cell>
          <cell r="S103">
            <v>3.1613514767625886E-4</v>
          </cell>
          <cell r="T103">
            <v>209.0196673351125</v>
          </cell>
          <cell r="U103">
            <v>3.6994593849415645</v>
          </cell>
          <cell r="V103">
            <v>7.2843609433079432E-3</v>
          </cell>
          <cell r="W103">
            <v>3.9802851789753072E-4</v>
          </cell>
          <cell r="X103">
            <v>165.44327186872152</v>
          </cell>
          <cell r="Y103">
            <v>3.9649767941819132</v>
          </cell>
          <cell r="Z103">
            <v>-2.7237986876091476E-2</v>
          </cell>
          <cell r="AA103">
            <v>9.0879391296146096E-4</v>
          </cell>
          <cell r="AB103"/>
          <cell r="AC103">
            <v>4.7090536776607328</v>
          </cell>
          <cell r="AD103"/>
          <cell r="AE103"/>
          <cell r="AF103">
            <v>147.67063112113107</v>
          </cell>
          <cell r="AG103">
            <v>4.0443816309402543</v>
          </cell>
          <cell r="AH103">
            <v>-2.3995845737515668E-2</v>
          </cell>
          <cell r="AI103">
            <v>8.0548024803844256E-4</v>
          </cell>
          <cell r="AJ103">
            <v>251.24318761675553</v>
          </cell>
          <cell r="AK103">
            <v>45.287775983595587</v>
          </cell>
          <cell r="AL103">
            <v>-0.68569972873954055</v>
          </cell>
          <cell r="AM103">
            <v>5.901580985695291E-3</v>
          </cell>
          <cell r="AN103"/>
          <cell r="AO103"/>
          <cell r="AP103"/>
          <cell r="AQ103"/>
          <cell r="AR103">
            <v>251.24318761675553</v>
          </cell>
          <cell r="AS103">
            <v>45.287775983595587</v>
          </cell>
          <cell r="AT103">
            <v>-0.68569972873954055</v>
          </cell>
          <cell r="AU103">
            <v>5.901580985695291E-3</v>
          </cell>
          <cell r="AV103">
            <v>400.96995578393546</v>
          </cell>
          <cell r="AW103">
            <v>83.634074216205988</v>
          </cell>
          <cell r="AX103">
            <v>-1.1969578598604569</v>
          </cell>
          <cell r="AY103">
            <v>9.0223406374318887E-3</v>
          </cell>
          <cell r="AZ103"/>
          <cell r="BA103"/>
          <cell r="BB103"/>
          <cell r="BC103"/>
          <cell r="BD103">
            <v>400.96995578393546</v>
          </cell>
          <cell r="BE103">
            <v>83.634074216205988</v>
          </cell>
          <cell r="BF103">
            <v>-1.1969578598604569</v>
          </cell>
          <cell r="BG103">
            <v>9.0223406374318887E-3</v>
          </cell>
          <cell r="BH103">
            <v>828.75243095679991</v>
          </cell>
          <cell r="BI103">
            <v>33.992164123806774</v>
          </cell>
          <cell r="BJ103">
            <v>-0.42476445205671742</v>
          </cell>
          <cell r="BK103">
            <v>4.2427826846869786E-3</v>
          </cell>
          <cell r="BL103"/>
          <cell r="BM103"/>
          <cell r="BN103"/>
          <cell r="BO103"/>
          <cell r="BP103">
            <v>828.75243095679991</v>
          </cell>
          <cell r="BQ103">
            <v>33.992164123806774</v>
          </cell>
          <cell r="BR103">
            <v>-0.42476445205671742</v>
          </cell>
          <cell r="BS103">
            <v>4.2427826846869786E-3</v>
          </cell>
        </row>
        <row r="104">
          <cell r="B104">
            <v>2087</v>
          </cell>
          <cell r="D104">
            <v>105.07295453524389</v>
          </cell>
          <cell r="E104">
            <v>4.1308127743779028</v>
          </cell>
          <cell r="F104">
            <v>-7.6396213725354999E-3</v>
          </cell>
          <cell r="G104">
            <v>2.299001772260007E-4</v>
          </cell>
          <cell r="H104">
            <v>52.559671907236847</v>
          </cell>
          <cell r="I104">
            <v>6.6408478786185228</v>
          </cell>
          <cell r="J104">
            <v>-6.311532825328478E-2</v>
          </cell>
          <cell r="K104">
            <v>4.9627398056265384E-4</v>
          </cell>
          <cell r="L104"/>
          <cell r="M104">
            <v>1.9156415672756584</v>
          </cell>
          <cell r="N104"/>
          <cell r="O104"/>
          <cell r="P104">
            <v>68.067714655223696</v>
          </cell>
          <cell r="Q104">
            <v>4.950635980660862</v>
          </cell>
          <cell r="R104">
            <v>-3.1176656191552098E-2</v>
          </cell>
          <cell r="S104">
            <v>3.1758211711177802E-4</v>
          </cell>
          <cell r="T104">
            <v>209.99557596152053</v>
          </cell>
          <cell r="U104">
            <v>3.7167320864669304</v>
          </cell>
          <cell r="V104">
            <v>7.3183714781685063E-3</v>
          </cell>
          <cell r="W104">
            <v>3.9988690504896482E-4</v>
          </cell>
          <cell r="X104">
            <v>166.19372291580331</v>
          </cell>
          <cell r="Y104">
            <v>3.9829619376890473</v>
          </cell>
          <cell r="Z104">
            <v>-2.7361538444799462E-2</v>
          </cell>
          <cell r="AA104">
            <v>9.1291620416049282E-4</v>
          </cell>
          <cell r="AB104"/>
          <cell r="AC104">
            <v>4.7090536776607328</v>
          </cell>
          <cell r="AD104"/>
          <cell r="AE104"/>
          <cell r="AF104">
            <v>148.34067615422677</v>
          </cell>
          <cell r="AG104">
            <v>4.0603934163010669</v>
          </cell>
          <cell r="AH104">
            <v>-2.4104683603100498E-2</v>
          </cell>
          <cell r="AI104">
            <v>8.0913430949844107E-4</v>
          </cell>
          <cell r="AJ104">
            <v>252.38282727142078</v>
          </cell>
          <cell r="AK104">
            <v>45.49320143561313</v>
          </cell>
          <cell r="AL104">
            <v>-0.68881006422555902</v>
          </cell>
          <cell r="AM104">
            <v>5.928350570098018E-3</v>
          </cell>
          <cell r="AN104"/>
          <cell r="AO104"/>
          <cell r="AP104"/>
          <cell r="AQ104"/>
          <cell r="AR104">
            <v>252.38282727142078</v>
          </cell>
          <cell r="AS104">
            <v>45.49320143561313</v>
          </cell>
          <cell r="AT104">
            <v>-0.68881006422555902</v>
          </cell>
          <cell r="AU104">
            <v>5.928350570098018E-3</v>
          </cell>
          <cell r="AV104">
            <v>402.78875639013449</v>
          </cell>
          <cell r="AW104">
            <v>84.013438561811228</v>
          </cell>
          <cell r="AX104">
            <v>-1.20238726335991</v>
          </cell>
          <cell r="AY104">
            <v>9.0632659945165915E-3</v>
          </cell>
          <cell r="AZ104"/>
          <cell r="BA104"/>
          <cell r="BB104"/>
          <cell r="BC104"/>
          <cell r="BD104">
            <v>402.78875639013449</v>
          </cell>
          <cell r="BE104">
            <v>84.013438561811228</v>
          </cell>
          <cell r="BF104">
            <v>-1.20238726335991</v>
          </cell>
          <cell r="BG104">
            <v>9.0632659945165915E-3</v>
          </cell>
          <cell r="BH104">
            <v>832.5116538164433</v>
          </cell>
          <cell r="BI104">
            <v>34.146352655447565</v>
          </cell>
          <cell r="BJ104">
            <v>-0.42669118455063243</v>
          </cell>
          <cell r="BK104">
            <v>4.2620279563278241E-3</v>
          </cell>
          <cell r="BL104"/>
          <cell r="BM104"/>
          <cell r="BN104"/>
          <cell r="BO104"/>
          <cell r="BP104">
            <v>832.5116538164433</v>
          </cell>
          <cell r="BQ104">
            <v>34.146352655447565</v>
          </cell>
          <cell r="BR104">
            <v>-0.42669118455063243</v>
          </cell>
          <cell r="BS104">
            <v>4.2620279563278241E-3</v>
          </cell>
        </row>
        <row r="105">
          <cell r="B105">
            <v>2088</v>
          </cell>
          <cell r="D105">
            <v>105.56459944469508</v>
          </cell>
          <cell r="E105">
            <v>4.1501411836855286</v>
          </cell>
          <cell r="F105">
            <v>-7.675367782965804E-3</v>
          </cell>
          <cell r="G105">
            <v>2.309758988740217E-4</v>
          </cell>
          <cell r="H105">
            <v>52.798630134564171</v>
          </cell>
          <cell r="I105">
            <v>6.6710399475459283</v>
          </cell>
          <cell r="J105">
            <v>-6.3402276904395191E-2</v>
          </cell>
          <cell r="K105">
            <v>4.9853024941595313E-4</v>
          </cell>
          <cell r="L105"/>
          <cell r="M105">
            <v>1.9156415672756584</v>
          </cell>
          <cell r="N105"/>
          <cell r="O105"/>
          <cell r="P105">
            <v>68.383124755441841</v>
          </cell>
          <cell r="Q105">
            <v>4.9722354512671432</v>
          </cell>
          <cell r="R105">
            <v>-3.1318830604066497E-2</v>
          </cell>
          <cell r="S105">
            <v>3.1903898760892824E-4</v>
          </cell>
          <cell r="T105">
            <v>210.97816235956572</v>
          </cell>
          <cell r="U105">
            <v>3.7341229785208165</v>
          </cell>
          <cell r="V105">
            <v>7.3526147341864707E-3</v>
          </cell>
          <cell r="W105">
            <v>4.0175800843701671E-4</v>
          </cell>
          <cell r="X105">
            <v>166.94930901403808</v>
          </cell>
          <cell r="Y105">
            <v>4.001070146694274</v>
          </cell>
          <cell r="Z105">
            <v>-2.7485935429911113E-2</v>
          </cell>
          <cell r="AA105">
            <v>9.1706670263068109E-4</v>
          </cell>
          <cell r="AB105"/>
          <cell r="AC105">
            <v>4.7090536776607328</v>
          </cell>
          <cell r="AD105"/>
          <cell r="AE105"/>
          <cell r="AF105">
            <v>149.01530605069649</v>
          </cell>
          <cell r="AG105">
            <v>4.0765147642205548</v>
          </cell>
          <cell r="AH105">
            <v>-2.4214266204813477E-2</v>
          </cell>
          <cell r="AI105">
            <v>8.1281337431153805E-4</v>
          </cell>
          <cell r="AJ105">
            <v>253.53026504689012</v>
          </cell>
          <cell r="AK105">
            <v>45.700032535884944</v>
          </cell>
          <cell r="AL105">
            <v>-0.6919416825545901</v>
          </cell>
          <cell r="AM105">
            <v>5.9553033285875646E-3</v>
          </cell>
          <cell r="AN105"/>
          <cell r="AO105"/>
          <cell r="AP105"/>
          <cell r="AQ105"/>
          <cell r="AR105">
            <v>253.53026504689012</v>
          </cell>
          <cell r="AS105">
            <v>45.700032535884944</v>
          </cell>
          <cell r="AT105">
            <v>-0.6919416825545901</v>
          </cell>
          <cell r="AU105">
            <v>5.9553033285875646E-3</v>
          </cell>
          <cell r="AV105">
            <v>404.62000235727521</v>
          </cell>
          <cell r="AW105">
            <v>84.395398753378544</v>
          </cell>
          <cell r="AX105">
            <v>-1.2078538182029566</v>
          </cell>
          <cell r="AY105">
            <v>9.1044713882577864E-3</v>
          </cell>
          <cell r="AZ105"/>
          <cell r="BA105"/>
          <cell r="BB105"/>
          <cell r="BC105"/>
          <cell r="BD105">
            <v>404.62000235727521</v>
          </cell>
          <cell r="BE105">
            <v>84.395398753378544</v>
          </cell>
          <cell r="BF105">
            <v>-1.2078538182029566</v>
          </cell>
          <cell r="BG105">
            <v>9.1044713882577864E-3</v>
          </cell>
          <cell r="BH105">
            <v>836.2965996086549</v>
          </cell>
          <cell r="BI105">
            <v>34.301596240579535</v>
          </cell>
          <cell r="BJ105">
            <v>-0.42863110094235513</v>
          </cell>
          <cell r="BK105">
            <v>4.2814049160444121E-3</v>
          </cell>
          <cell r="BL105"/>
          <cell r="BM105"/>
          <cell r="BN105"/>
          <cell r="BO105"/>
          <cell r="BP105">
            <v>836.2965996086549</v>
          </cell>
          <cell r="BQ105">
            <v>34.301596240579535</v>
          </cell>
          <cell r="BR105">
            <v>-0.42863110094235513</v>
          </cell>
          <cell r="BS105">
            <v>4.2814049160444121E-3</v>
          </cell>
        </row>
        <row r="106">
          <cell r="B106">
            <v>2089</v>
          </cell>
          <cell r="D106">
            <v>106.05960849331161</v>
          </cell>
          <cell r="E106">
            <v>4.1696018499483394</v>
          </cell>
          <cell r="F106">
            <v>-7.7113587924899623E-3</v>
          </cell>
          <cell r="G106">
            <v>2.3205898127623249E-4</v>
          </cell>
          <cell r="H106">
            <v>53.039223462176238</v>
          </cell>
          <cell r="I106">
            <v>6.7014386093203449</v>
          </cell>
          <cell r="J106">
            <v>-6.3691189036011731E-2</v>
          </cell>
          <cell r="K106">
            <v>5.0080195705905998E-4</v>
          </cell>
          <cell r="L106"/>
          <cell r="M106">
            <v>1.9156415672756584</v>
          </cell>
          <cell r="N106"/>
          <cell r="O106"/>
          <cell r="P106">
            <v>68.700693087039781</v>
          </cell>
          <cell r="Q106">
            <v>4.9939827188374961</v>
          </cell>
          <cell r="R106">
            <v>-3.1461977862023323E-2</v>
          </cell>
          <cell r="S106">
            <v>3.2050582691690941E-4</v>
          </cell>
          <cell r="T106">
            <v>211.96747222270017</v>
          </cell>
          <cell r="U106">
            <v>3.7516328698360688</v>
          </cell>
          <cell r="V106">
            <v>7.3870923037842248E-3</v>
          </cell>
          <cell r="W106">
            <v>4.0364191507405813E-4</v>
          </cell>
          <cell r="X106">
            <v>167.71006530062832</v>
          </cell>
          <cell r="Y106">
            <v>4.0193022632880018</v>
          </cell>
          <cell r="Z106">
            <v>-2.7611183616289413E-2</v>
          </cell>
          <cell r="AA106">
            <v>9.2124560138365653E-4</v>
          </cell>
          <cell r="AB106"/>
          <cell r="AC106">
            <v>4.7090536776607328</v>
          </cell>
          <cell r="AD106"/>
          <cell r="AE106"/>
          <cell r="AF106">
            <v>149.69455218301687</v>
          </cell>
          <cell r="AG106">
            <v>4.0927464243936473</v>
          </cell>
          <cell r="AH106">
            <v>-2.4324598638600731E-2</v>
          </cell>
          <cell r="AI106">
            <v>8.165176135661714E-4</v>
          </cell>
          <cell r="AJ106">
            <v>254.68555430273898</v>
          </cell>
          <cell r="AK106">
            <v>45.908278902727524</v>
          </cell>
          <cell r="AL106">
            <v>-0.69509472935703576</v>
          </cell>
          <cell r="AM106">
            <v>5.9824405145545564E-3</v>
          </cell>
          <cell r="AN106"/>
          <cell r="AO106"/>
          <cell r="AP106"/>
          <cell r="AQ106"/>
          <cell r="AR106">
            <v>254.68555430273898</v>
          </cell>
          <cell r="AS106">
            <v>45.908278902727524</v>
          </cell>
          <cell r="AT106">
            <v>-0.69509472935703576</v>
          </cell>
          <cell r="AU106">
            <v>5.9824405145545564E-3</v>
          </cell>
          <cell r="AV106">
            <v>406.46377884423015</v>
          </cell>
          <cell r="AW106">
            <v>84.779972553294812</v>
          </cell>
          <cell r="AX106">
            <v>-1.2133577786021137</v>
          </cell>
          <cell r="AY106">
            <v>9.1459587348398305E-3</v>
          </cell>
          <cell r="AZ106"/>
          <cell r="BA106"/>
          <cell r="BB106"/>
          <cell r="BC106"/>
          <cell r="BD106">
            <v>406.46377884423015</v>
          </cell>
          <cell r="BE106">
            <v>84.779972553294812</v>
          </cell>
          <cell r="BF106">
            <v>-1.2133577786021137</v>
          </cell>
          <cell r="BG106">
            <v>9.1459587348398305E-3</v>
          </cell>
          <cell r="BH106">
            <v>840.10744434568119</v>
          </cell>
          <cell r="BI106">
            <v>34.457902098532543</v>
          </cell>
          <cell r="BJ106">
            <v>-0.43058429144428517</v>
          </cell>
          <cell r="BK106">
            <v>4.3009144649281709E-3</v>
          </cell>
          <cell r="BL106"/>
          <cell r="BM106"/>
          <cell r="BN106"/>
          <cell r="BO106"/>
          <cell r="BP106">
            <v>840.10744434568119</v>
          </cell>
          <cell r="BQ106">
            <v>34.457902098532543</v>
          </cell>
          <cell r="BR106">
            <v>-0.43058429144428517</v>
          </cell>
          <cell r="BS106">
            <v>4.3009144649281709E-3</v>
          </cell>
        </row>
      </sheetData>
      <sheetData sheetId="24">
        <row r="27">
          <cell r="B27">
            <v>2010</v>
          </cell>
          <cell r="D27">
            <v>138.32506138302944</v>
          </cell>
          <cell r="E27">
            <v>5.4380780773226149</v>
          </cell>
          <cell r="F27">
            <v>-1.0057308276647137E-2</v>
          </cell>
          <cell r="G27">
            <v>3.0265596192109669E-4</v>
          </cell>
          <cell r="H27">
            <v>61.88031389537376</v>
          </cell>
          <cell r="I27">
            <v>7.8184991714866445</v>
          </cell>
          <cell r="J27">
            <v>-7.4307852050824158E-2</v>
          </cell>
          <cell r="K27">
            <v>5.8428046791318136E-4</v>
          </cell>
          <cell r="L27"/>
          <cell r="M27">
            <v>1.8078839588024969</v>
          </cell>
          <cell r="N27"/>
          <cell r="O27"/>
          <cell r="P27">
            <v>107.74364891613396</v>
          </cell>
          <cell r="Q27">
            <v>6.3903559213600225</v>
          </cell>
          <cell r="R27">
            <v>-3.5760478801184735E-2</v>
          </cell>
          <cell r="S27">
            <v>4.1531870804267118E-4</v>
          </cell>
          <cell r="T27">
            <v>241.08251940018474</v>
          </cell>
          <cell r="U27">
            <v>4.2669429164790706</v>
          </cell>
          <cell r="V27">
            <v>8.4017552550088598E-3</v>
          </cell>
          <cell r="W27">
            <v>4.5908463596400814E-4</v>
          </cell>
          <cell r="X27">
            <v>175.63825863634864</v>
          </cell>
          <cell r="Y27">
            <v>4.2093075880186586</v>
          </cell>
          <cell r="Z27">
            <v>-2.8916452930600488E-2</v>
          </cell>
          <cell r="AA27">
            <v>9.6479583925613698E-4</v>
          </cell>
          <cell r="AB27"/>
          <cell r="AC27">
            <v>4.0496448973938337</v>
          </cell>
          <cell r="AD27"/>
          <cell r="AE27"/>
          <cell r="AF27">
            <v>178.04570919157379</v>
          </cell>
          <cell r="AG27">
            <v>4.2114277770449089</v>
          </cell>
          <cell r="AH27">
            <v>-2.7543655072272487E-2</v>
          </cell>
          <cell r="AI27">
            <v>9.4619260800347395E-4</v>
          </cell>
        </row>
        <row r="28">
          <cell r="B28">
            <v>2011</v>
          </cell>
          <cell r="D28">
            <v>153.65191411888605</v>
          </cell>
          <cell r="E28">
            <v>6.0406342665182731</v>
          </cell>
          <cell r="F28">
            <v>-1.1171689729538319E-2</v>
          </cell>
          <cell r="G28">
            <v>3.3619119632918908E-4</v>
          </cell>
          <cell r="H28">
            <v>69.894014998356681</v>
          </cell>
          <cell r="I28">
            <v>8.8310201412436804</v>
          </cell>
          <cell r="J28">
            <v>-8.3930959602392358E-2</v>
          </cell>
          <cell r="K28">
            <v>6.5994668121138647E-4</v>
          </cell>
          <cell r="L28"/>
          <cell r="M28">
            <v>1.9017049015962113</v>
          </cell>
          <cell r="N28"/>
          <cell r="O28"/>
          <cell r="P28">
            <v>118.25303806799869</v>
          </cell>
          <cell r="Q28">
            <v>7.2194874291692308</v>
          </cell>
          <cell r="R28">
            <v>-4.1915042018510852E-2</v>
          </cell>
          <cell r="S28">
            <v>4.7297514817948067E-4</v>
          </cell>
          <cell r="T28">
            <v>269.91150223376195</v>
          </cell>
          <cell r="U28">
            <v>4.7771898825265584</v>
          </cell>
          <cell r="V28">
            <v>9.4064488288988224E-3</v>
          </cell>
          <cell r="W28">
            <v>5.1398261497258204E-4</v>
          </cell>
          <cell r="X28">
            <v>199.72380088104686</v>
          </cell>
          <cell r="Y28">
            <v>4.7865363565073169</v>
          </cell>
          <cell r="Z28">
            <v>-3.2881810216844207E-2</v>
          </cell>
          <cell r="AA28">
            <v>1.09709976394959E-3</v>
          </cell>
          <cell r="AB28"/>
          <cell r="AC28">
            <v>4.2512397113517153</v>
          </cell>
          <cell r="AD28"/>
          <cell r="AE28"/>
          <cell r="AF28">
            <v>202.01922470497237</v>
          </cell>
          <cell r="AG28">
            <v>4.7862306887246184</v>
          </cell>
          <cell r="AH28">
            <v>-3.1498811836570592E-2</v>
          </cell>
          <cell r="AI28">
            <v>1.078029457184948E-3</v>
          </cell>
        </row>
        <row r="29">
          <cell r="B29">
            <v>2012</v>
          </cell>
          <cell r="D29">
            <v>152.69784078306134</v>
          </cell>
          <cell r="E29">
            <v>6.0031260576670977</v>
          </cell>
          <cell r="F29">
            <v>-1.1102321174332347E-2</v>
          </cell>
          <cell r="G29">
            <v>3.341036788518051E-4</v>
          </cell>
          <cell r="H29">
            <v>69.639681280707194</v>
          </cell>
          <cell r="I29">
            <v>8.79888539861639</v>
          </cell>
          <cell r="J29">
            <v>-8.3625547572734771E-2</v>
          </cell>
          <cell r="K29">
            <v>6.5754523535244028E-4</v>
          </cell>
          <cell r="L29"/>
          <cell r="M29">
            <v>1.9422291094550892</v>
          </cell>
          <cell r="N29"/>
          <cell r="O29"/>
          <cell r="P29">
            <v>115.79191900675124</v>
          </cell>
          <cell r="Q29">
            <v>7.2441332417246302</v>
          </cell>
          <cell r="R29">
            <v>-4.3307455519677011E-2</v>
          </cell>
          <cell r="S29">
            <v>4.7769439177415242E-4</v>
          </cell>
          <cell r="T29">
            <v>270.86703751638333</v>
          </cell>
          <cell r="U29">
            <v>4.7941019942622889</v>
          </cell>
          <cell r="V29">
            <v>9.4397493502393348E-3</v>
          </cell>
          <cell r="W29">
            <v>5.158022059095959E-4</v>
          </cell>
          <cell r="X29">
            <v>200.37624489510003</v>
          </cell>
          <cell r="Y29">
            <v>4.8021726851775846</v>
          </cell>
          <cell r="Z29">
            <v>-3.2989226259161522E-2</v>
          </cell>
          <cell r="AA29">
            <v>1.1006836942105329E-3</v>
          </cell>
          <cell r="AB29"/>
          <cell r="AC29">
            <v>4.4113276027661614</v>
          </cell>
          <cell r="AD29"/>
          <cell r="AE29"/>
          <cell r="AF29">
            <v>202.46466037058016</v>
          </cell>
          <cell r="AG29">
            <v>4.8029899420506847</v>
          </cell>
          <cell r="AH29">
            <v>-3.1732192170362133E-2</v>
          </cell>
          <cell r="AI29">
            <v>1.0833555367864565E-3</v>
          </cell>
        </row>
        <row r="30">
          <cell r="B30">
            <v>2013</v>
          </cell>
          <cell r="D30">
            <v>147.04497148711957</v>
          </cell>
          <cell r="E30">
            <v>5.7808905185328818</v>
          </cell>
          <cell r="F30">
            <v>-1.0691313591263565E-2</v>
          </cell>
          <cell r="G30">
            <v>3.2173517109716196E-4</v>
          </cell>
          <cell r="H30">
            <v>66.916359816405418</v>
          </cell>
          <cell r="I30">
            <v>8.4547971858717723</v>
          </cell>
          <cell r="J30">
            <v>-8.0355296410170793E-2</v>
          </cell>
          <cell r="K30">
            <v>6.3183134608338137E-4</v>
          </cell>
          <cell r="L30"/>
          <cell r="M30">
            <v>2.0124931606163972</v>
          </cell>
          <cell r="N30"/>
          <cell r="O30"/>
          <cell r="P30">
            <v>109.66302239925598</v>
          </cell>
          <cell r="Q30">
            <v>7.0261501263694601</v>
          </cell>
          <cell r="R30">
            <v>-4.315639928207899E-2</v>
          </cell>
          <cell r="S30">
            <v>4.661784375236572E-4</v>
          </cell>
          <cell r="T30">
            <v>264.07390026229041</v>
          </cell>
          <cell r="U30">
            <v>4.6738695984870198</v>
          </cell>
          <cell r="V30">
            <v>9.2030076869923563E-3</v>
          </cell>
          <cell r="W30">
            <v>5.0286628276133933E-4</v>
          </cell>
          <cell r="X30">
            <v>194.4167147470117</v>
          </cell>
          <cell r="Y30">
            <v>4.6593479061793337</v>
          </cell>
          <cell r="Z30">
            <v>-3.2008070590950927E-2</v>
          </cell>
          <cell r="AA30">
            <v>1.0679474900632253E-3</v>
          </cell>
          <cell r="AB30"/>
          <cell r="AC30">
            <v>4.6426204293438813</v>
          </cell>
          <cell r="AD30"/>
          <cell r="AE30"/>
          <cell r="AF30">
            <v>196.16026197790009</v>
          </cell>
          <cell r="AG30">
            <v>4.659719554649203</v>
          </cell>
          <cell r="AH30">
            <v>-3.0926108386741064E-2</v>
          </cell>
          <cell r="AI30">
            <v>1.0528959872352348E-3</v>
          </cell>
        </row>
        <row r="31">
          <cell r="B31">
            <v>2014</v>
          </cell>
          <cell r="D31">
            <v>135.77451121020891</v>
          </cell>
          <cell r="E31">
            <v>5.3378063634245825</v>
          </cell>
          <cell r="F31">
            <v>-9.871863433126838E-3</v>
          </cell>
          <cell r="G31">
            <v>2.9707534472660663E-4</v>
          </cell>
          <cell r="H31">
            <v>61.776678314379737</v>
          </cell>
          <cell r="I31">
            <v>7.8054049472797598</v>
          </cell>
          <cell r="J31">
            <v>-7.418340314397591E-2</v>
          </cell>
          <cell r="K31">
            <v>5.8330192979752114E-4</v>
          </cell>
          <cell r="L31"/>
          <cell r="M31">
            <v>2.052218345735378</v>
          </cell>
          <cell r="N31"/>
          <cell r="O31"/>
          <cell r="P31">
            <v>99.766301890219808</v>
          </cell>
          <cell r="Q31">
            <v>6.5332408970833553</v>
          </cell>
          <cell r="R31">
            <v>-4.1079414253061601E-2</v>
          </cell>
          <cell r="S31">
            <v>4.3579585717332288E-4</v>
          </cell>
          <cell r="T31">
            <v>247.45845650288189</v>
          </cell>
          <cell r="U31">
            <v>4.3797912462707043</v>
          </cell>
          <cell r="V31">
            <v>8.6239574420088633E-3</v>
          </cell>
          <cell r="W31">
            <v>4.7122610010252717E-4</v>
          </cell>
          <cell r="X31">
            <v>181.61951347893395</v>
          </cell>
          <cell r="Y31">
            <v>4.3526530162314003</v>
          </cell>
          <cell r="Z31">
            <v>-2.9901185274591912E-2</v>
          </cell>
          <cell r="AA31">
            <v>9.9765137899138841E-4</v>
          </cell>
          <cell r="AB31"/>
          <cell r="AC31">
            <v>4.8071659985717083</v>
          </cell>
          <cell r="AD31"/>
          <cell r="AE31"/>
          <cell r="AF31">
            <v>183.0384193765876</v>
          </cell>
          <cell r="AG31">
            <v>4.3535970231116217</v>
          </cell>
          <cell r="AH31">
            <v>-2.8978538105778561E-2</v>
          </cell>
          <cell r="AI31">
            <v>9.8464425933390441E-4</v>
          </cell>
        </row>
        <row r="32">
          <cell r="B32">
            <v>2015</v>
          </cell>
          <cell r="D32">
            <v>115.90745385519176</v>
          </cell>
          <cell r="E32">
            <v>4.5567576656469244</v>
          </cell>
          <cell r="F32">
            <v>-8.4273737768674022E-3</v>
          </cell>
          <cell r="G32">
            <v>2.5360611872948731E-4</v>
          </cell>
          <cell r="H32">
            <v>52.001636986371771</v>
          </cell>
          <cell r="I32">
            <v>6.57034087418055</v>
          </cell>
          <cell r="J32">
            <v>-6.2445222144758145E-2</v>
          </cell>
          <cell r="K32">
            <v>4.9100495582521928E-4</v>
          </cell>
          <cell r="L32"/>
          <cell r="M32">
            <v>2.0032444371127256</v>
          </cell>
          <cell r="N32"/>
          <cell r="O32"/>
          <cell r="P32">
            <v>83.699931985897521</v>
          </cell>
          <cell r="Q32">
            <v>5.5625565482309733</v>
          </cell>
          <cell r="R32">
            <v>-3.5496941040358235E-2</v>
          </cell>
          <cell r="S32">
            <v>3.7225742976665745E-4</v>
          </cell>
          <cell r="T32">
            <v>214.96057336182346</v>
          </cell>
          <cell r="U32">
            <v>3.8046080574841108</v>
          </cell>
          <cell r="V32">
            <v>7.4914022441605272E-3</v>
          </cell>
          <cell r="W32">
            <v>4.0934156824790335E-4</v>
          </cell>
          <cell r="X32">
            <v>154.9743895437031</v>
          </cell>
          <cell r="Y32">
            <v>3.7140818801073392</v>
          </cell>
          <cell r="Z32">
            <v>-2.5514427639409653E-2</v>
          </cell>
          <cell r="AA32">
            <v>8.5128745515859587E-4</v>
          </cell>
          <cell r="AB32"/>
          <cell r="AC32">
            <v>4.7634980281563806</v>
          </cell>
          <cell r="AD32"/>
          <cell r="AE32"/>
          <cell r="AF32">
            <v>156.11123663519666</v>
          </cell>
          <cell r="AG32">
            <v>3.7171101877389199</v>
          </cell>
          <cell r="AH32">
            <v>-2.477558572700328E-2</v>
          </cell>
          <cell r="AI32">
            <v>8.4087309098827064E-4</v>
          </cell>
        </row>
        <row r="33">
          <cell r="B33">
            <v>2016</v>
          </cell>
          <cell r="D33">
            <v>109.54686813767883</v>
          </cell>
          <cell r="E33">
            <v>4.3066991339282321</v>
          </cell>
          <cell r="F33">
            <v>-7.9649097031741414E-3</v>
          </cell>
          <cell r="G33">
            <v>2.3968912372172917E-4</v>
          </cell>
          <cell r="H33">
            <v>48.209576283128769</v>
          </cell>
          <cell r="I33">
            <v>6.0912188141880756</v>
          </cell>
          <cell r="J33">
            <v>-5.7891594860631029E-2</v>
          </cell>
          <cell r="K33">
            <v>4.5519991763824186E-4</v>
          </cell>
          <cell r="L33"/>
          <cell r="M33">
            <v>1.9521766049659293</v>
          </cell>
          <cell r="N33"/>
          <cell r="O33"/>
          <cell r="P33">
            <v>77.376861267606074</v>
          </cell>
          <cell r="Q33">
            <v>5.2236109933963597</v>
          </cell>
          <cell r="R33">
            <v>-3.3816796556083703E-2</v>
          </cell>
          <cell r="S33">
            <v>3.505750098621546E-4</v>
          </cell>
          <cell r="T33">
            <v>206.74349418942418</v>
          </cell>
          <cell r="U33">
            <v>3.659173175452636</v>
          </cell>
          <cell r="V33">
            <v>7.2050360310925033E-3</v>
          </cell>
          <cell r="W33">
            <v>3.9369408451522152E-4</v>
          </cell>
          <cell r="X33">
            <v>145.66377683532369</v>
          </cell>
          <cell r="Y33">
            <v>3.4909457990122288</v>
          </cell>
          <cell r="Z33">
            <v>-2.3981561757982685E-2</v>
          </cell>
          <cell r="AA33">
            <v>8.0014347051816307E-4</v>
          </cell>
          <cell r="AB33"/>
          <cell r="AC33">
            <v>4.6872158835738071</v>
          </cell>
          <cell r="AD33"/>
          <cell r="AE33"/>
          <cell r="AF33">
            <v>146.58379588902318</v>
          </cell>
          <cell r="AG33">
            <v>3.4961895672892807</v>
          </cell>
          <cell r="AH33">
            <v>-2.3344966381442008E-2</v>
          </cell>
          <cell r="AI33">
            <v>7.910197104431441E-4</v>
          </cell>
        </row>
        <row r="34">
          <cell r="B34">
            <v>2017</v>
          </cell>
          <cell r="D34">
            <v>102.93447637304278</v>
          </cell>
          <cell r="E34">
            <v>4.0467411600483993</v>
          </cell>
          <cell r="F34">
            <v>-7.4841373705398012E-3</v>
          </cell>
          <cell r="G34">
            <v>2.2522117575831993E-4</v>
          </cell>
          <cell r="H34">
            <v>46.040289598034093</v>
          </cell>
          <cell r="I34">
            <v>5.8171321930567359</v>
          </cell>
          <cell r="J34">
            <v>-5.5286646309070923E-2</v>
          </cell>
          <cell r="K34">
            <v>4.347172833460505E-4</v>
          </cell>
          <cell r="L34"/>
          <cell r="M34">
            <v>1.9957174130837712</v>
          </cell>
          <cell r="N34"/>
          <cell r="O34"/>
          <cell r="P34">
            <v>72.223988725613026</v>
          </cell>
          <cell r="Q34">
            <v>4.9791367609864983</v>
          </cell>
          <cell r="R34">
            <v>-3.2871614522446829E-2</v>
          </cell>
          <cell r="S34">
            <v>3.3563186906072581E-4</v>
          </cell>
          <cell r="T34">
            <v>197.68525879143581</v>
          </cell>
          <cell r="U34">
            <v>3.498850587720391</v>
          </cell>
          <cell r="V34">
            <v>6.8893554207956377E-3</v>
          </cell>
          <cell r="W34">
            <v>3.7644481770604689E-4</v>
          </cell>
          <cell r="X34">
            <v>141.10288956693825</v>
          </cell>
          <cell r="Y34">
            <v>3.3816405853533889</v>
          </cell>
          <cell r="Z34">
            <v>-2.3230673636897948E-2</v>
          </cell>
          <cell r="AA34">
            <v>7.7509013023787006E-4</v>
          </cell>
          <cell r="AB34"/>
          <cell r="AC34">
            <v>4.8383375503952166</v>
          </cell>
          <cell r="AD34"/>
          <cell r="AE34"/>
          <cell r="AF34">
            <v>141.69714703189302</v>
          </cell>
          <cell r="AG34">
            <v>3.3875331362480749</v>
          </cell>
          <cell r="AH34">
            <v>-2.2652226243611358E-2</v>
          </cell>
          <cell r="AI34">
            <v>7.6618789277676841E-4</v>
          </cell>
        </row>
        <row r="35">
          <cell r="B35">
            <v>2018</v>
          </cell>
          <cell r="D35">
            <v>103.42834130616261</v>
          </cell>
          <cell r="E35">
            <v>4.0661568468307125</v>
          </cell>
          <cell r="F35">
            <v>-7.520045193964927E-3</v>
          </cell>
          <cell r="G35">
            <v>2.2630175482980558E-4</v>
          </cell>
          <cell r="H35">
            <v>46.542214883174445</v>
          </cell>
          <cell r="I35">
            <v>5.880549816190535</v>
          </cell>
          <cell r="J35">
            <v>-5.5889374179712265E-2</v>
          </cell>
          <cell r="K35">
            <v>4.3945651496913343E-4</v>
          </cell>
          <cell r="L35"/>
          <cell r="M35">
            <v>2.0379632525305764</v>
          </cell>
          <cell r="N35"/>
          <cell r="O35"/>
          <cell r="P35">
            <v>72.148992403950302</v>
          </cell>
          <cell r="Q35">
            <v>5.0333262734384823</v>
          </cell>
          <cell r="R35">
            <v>-3.3569945001824426E-2</v>
          </cell>
          <cell r="S35">
            <v>3.3999326719454407E-4</v>
          </cell>
          <cell r="T35">
            <v>201.72206178005783</v>
          </cell>
          <cell r="U35">
            <v>3.5702983557310195</v>
          </cell>
          <cell r="V35">
            <v>7.030038498139754E-3</v>
          </cell>
          <cell r="W35">
            <v>3.8413195418985675E-4</v>
          </cell>
          <cell r="X35">
            <v>144.56568544070598</v>
          </cell>
          <cell r="Y35">
            <v>3.4646291839672543</v>
          </cell>
          <cell r="Z35">
            <v>-2.3800775929356904E-2</v>
          </cell>
          <cell r="AA35">
            <v>7.9411156142913226E-4</v>
          </cell>
          <cell r="AB35"/>
          <cell r="AC35">
            <v>4.9888233694341384</v>
          </cell>
          <cell r="AD35"/>
          <cell r="AE35"/>
          <cell r="AF35">
            <v>145.11924707220993</v>
          </cell>
          <cell r="AG35">
            <v>3.4698107090411239</v>
          </cell>
          <cell r="AH35">
            <v>-2.3265936887360752E-2</v>
          </cell>
          <cell r="AI35">
            <v>7.8589084058747563E-4</v>
          </cell>
        </row>
        <row r="36">
          <cell r="B36">
            <v>2019</v>
          </cell>
          <cell r="D36">
            <v>103.0850478533815</v>
          </cell>
          <cell r="E36">
            <v>4.0526606908847711</v>
          </cell>
          <cell r="F36">
            <v>-7.4950850887645134E-3</v>
          </cell>
          <cell r="G36">
            <v>2.2555062694933439E-4</v>
          </cell>
          <cell r="H36">
            <v>46.717110600907951</v>
          </cell>
          <cell r="I36">
            <v>5.9026476682878588</v>
          </cell>
          <cell r="J36">
            <v>-5.6099394528665872E-2</v>
          </cell>
          <cell r="K36">
            <v>4.4110789883195813E-4</v>
          </cell>
          <cell r="L36"/>
          <cell r="M36">
            <v>2.0334268943168636</v>
          </cell>
          <cell r="N36"/>
          <cell r="O36"/>
          <cell r="P36">
            <v>71.734297015696995</v>
          </cell>
          <cell r="Q36">
            <v>5.0411350168317766</v>
          </cell>
          <cell r="R36">
            <v>-3.3806169756281389E-2</v>
          </cell>
          <cell r="S36">
            <v>3.4079877337485722E-4</v>
          </cell>
          <cell r="T36">
            <v>205.19217538729166</v>
          </cell>
          <cell r="U36">
            <v>3.6317162333631408</v>
          </cell>
          <cell r="V36">
            <v>7.1509723813080244E-3</v>
          </cell>
          <cell r="W36">
            <v>3.9073996478346707E-4</v>
          </cell>
          <cell r="X36">
            <v>147.27071949937104</v>
          </cell>
          <cell r="Y36">
            <v>3.5294574308275388</v>
          </cell>
          <cell r="Z36">
            <v>-2.4246123034482852E-2</v>
          </cell>
          <cell r="AA36">
            <v>8.0897054275306873E-4</v>
          </cell>
          <cell r="AB36"/>
          <cell r="AC36">
            <v>5.0262524524753855</v>
          </cell>
          <cell r="AD36"/>
          <cell r="AE36"/>
          <cell r="AF36">
            <v>147.77595243818652</v>
          </cell>
          <cell r="AG36">
            <v>3.5342161481754788</v>
          </cell>
          <cell r="AH36">
            <v>-2.3743181337994038E-2</v>
          </cell>
          <cell r="AI36">
            <v>8.012013336002005E-4</v>
          </cell>
        </row>
        <row r="37">
          <cell r="B37">
            <v>2020</v>
          </cell>
          <cell r="D37">
            <v>103.26326785915477</v>
          </cell>
          <cell r="E37">
            <v>4.0596671891768787</v>
          </cell>
          <cell r="F37">
            <v>-7.5080430699228529E-3</v>
          </cell>
          <cell r="G37">
            <v>2.2594057325943601E-4</v>
          </cell>
          <cell r="H37">
            <v>47.219919176162414</v>
          </cell>
          <cell r="I37">
            <v>5.9661768940072086</v>
          </cell>
          <cell r="J37">
            <v>-5.6703183082212408E-2</v>
          </cell>
          <cell r="K37">
            <v>4.4585547057371042E-4</v>
          </cell>
          <cell r="L37"/>
          <cell r="M37">
            <v>2.051563437157462</v>
          </cell>
          <cell r="N37"/>
          <cell r="O37"/>
          <cell r="P37">
            <v>71.924976636558867</v>
          </cell>
          <cell r="Q37">
            <v>5.0737729676451639</v>
          </cell>
          <cell r="R37">
            <v>-3.4092925680144992E-2</v>
          </cell>
          <cell r="S37">
            <v>3.4297074070074488E-4</v>
          </cell>
          <cell r="T37">
            <v>208.15515261901743</v>
          </cell>
          <cell r="U37">
            <v>3.6841582550495602</v>
          </cell>
          <cell r="V37">
            <v>7.2542324998311793E-3</v>
          </cell>
          <cell r="W37">
            <v>3.9638225410075484E-4</v>
          </cell>
          <cell r="X37">
            <v>148.89296652790537</v>
          </cell>
          <cell r="Y37">
            <v>3.5683358436509574</v>
          </cell>
          <cell r="Z37">
            <v>-2.451320396665916E-2</v>
          </cell>
          <cell r="AA37">
            <v>8.1788168315907836E-4</v>
          </cell>
          <cell r="AB37"/>
          <cell r="AC37">
            <v>5.1209073081173031</v>
          </cell>
          <cell r="AD37"/>
          <cell r="AE37"/>
          <cell r="AF37">
            <v>149.34410671817227</v>
          </cell>
          <cell r="AG37">
            <v>3.5734532666148171</v>
          </cell>
          <cell r="AH37">
            <v>-2.4031672783283664E-2</v>
          </cell>
          <cell r="AI37">
            <v>8.1036073436889804E-4</v>
          </cell>
        </row>
        <row r="38">
          <cell r="B38">
            <v>2021</v>
          </cell>
          <cell r="D38">
            <v>102.76994807909863</v>
          </cell>
          <cell r="E38">
            <v>4.0402729344105328</v>
          </cell>
          <cell r="F38">
            <v>-7.4721748833673175E-3</v>
          </cell>
          <cell r="G38">
            <v>2.2486118698572126E-4</v>
          </cell>
          <cell r="H38">
            <v>47.57420260103833</v>
          </cell>
          <cell r="I38">
            <v>6.0109401553660184</v>
          </cell>
          <cell r="J38">
            <v>-5.7128617904088894E-2</v>
          </cell>
          <cell r="K38">
            <v>4.4920065213840602E-4</v>
          </cell>
          <cell r="L38"/>
          <cell r="M38">
            <v>2.0798836387164967</v>
          </cell>
          <cell r="N38"/>
          <cell r="O38"/>
          <cell r="P38">
            <v>71.70903513219136</v>
          </cell>
          <cell r="Q38">
            <v>5.0803255394270899</v>
          </cell>
          <cell r="R38">
            <v>-3.4192480988495741E-2</v>
          </cell>
          <cell r="S38">
            <v>3.4323938206122382E-4</v>
          </cell>
          <cell r="T38">
            <v>209.82290012296662</v>
          </cell>
          <cell r="U38">
            <v>3.7136758800360452</v>
          </cell>
          <cell r="V38">
            <v>7.3123537040984763E-3</v>
          </cell>
          <cell r="W38">
            <v>3.9955808475672811E-4</v>
          </cell>
          <cell r="X38">
            <v>150.21518193660975</v>
          </cell>
          <cell r="Y38">
            <v>3.6000237651554508</v>
          </cell>
          <cell r="Z38">
            <v>-2.4730888769086381E-2</v>
          </cell>
          <cell r="AA38">
            <v>8.2514472445100763E-4</v>
          </cell>
          <cell r="AB38"/>
          <cell r="AC38">
            <v>5.0909323982148633</v>
          </cell>
          <cell r="AD38"/>
          <cell r="AE38"/>
          <cell r="AF38">
            <v>150.55499677912698</v>
          </cell>
          <cell r="AG38">
            <v>3.6055920481451058</v>
          </cell>
          <cell r="AH38">
            <v>-2.4256196648744729E-2</v>
          </cell>
          <cell r="AI38">
            <v>8.1746502264071989E-4</v>
          </cell>
        </row>
        <row r="39">
          <cell r="B39">
            <v>2022</v>
          </cell>
          <cell r="D39">
            <v>101.74777216822775</v>
          </cell>
          <cell r="E39">
            <v>4.0000873573611084</v>
          </cell>
          <cell r="F39">
            <v>-7.3978547410460047E-3</v>
          </cell>
          <cell r="G39">
            <v>2.226246607159042E-4</v>
          </cell>
          <cell r="H39">
            <v>47.644361400065897</v>
          </cell>
          <cell r="I39">
            <v>6.0198046306335007</v>
          </cell>
          <cell r="J39">
            <v>-5.7212866824787954E-2</v>
          </cell>
          <cell r="K39">
            <v>4.4986309893842343E-4</v>
          </cell>
          <cell r="L39"/>
          <cell r="M39">
            <v>2.0223996057567049</v>
          </cell>
          <cell r="N39"/>
          <cell r="O39"/>
          <cell r="P39">
            <v>71.051156047594702</v>
          </cell>
          <cell r="Q39">
            <v>5.052516569072087</v>
          </cell>
          <cell r="R39">
            <v>-3.4025165004546158E-2</v>
          </cell>
          <cell r="S39">
            <v>3.410316352926233E-4</v>
          </cell>
          <cell r="T39">
            <v>210.65495624361751</v>
          </cell>
          <cell r="U39">
            <v>3.7284025220960242</v>
          </cell>
          <cell r="V39">
            <v>7.3413509615584292E-3</v>
          </cell>
          <cell r="W39">
            <v>4.0114253883577559E-4</v>
          </cell>
          <cell r="X39">
            <v>150.94105724638004</v>
          </cell>
          <cell r="Y39">
            <v>3.6174199319877456</v>
          </cell>
          <cell r="Z39">
            <v>-2.4850394276550544E-2</v>
          </cell>
          <cell r="AA39">
            <v>8.2913201904230235E-4</v>
          </cell>
          <cell r="AB39"/>
          <cell r="AC39">
            <v>4.8645837929237166</v>
          </cell>
          <cell r="AD39"/>
          <cell r="AE39"/>
          <cell r="AF39">
            <v>151.04640373021587</v>
          </cell>
          <cell r="AG39">
            <v>3.6239030550565441</v>
          </cell>
          <cell r="AH39">
            <v>-2.4356436695779537E-2</v>
          </cell>
          <cell r="AI39">
            <v>8.2051223321729727E-4</v>
          </cell>
        </row>
        <row r="40">
          <cell r="B40">
            <v>2023</v>
          </cell>
          <cell r="D40">
            <v>101.38452474890133</v>
          </cell>
          <cell r="E40">
            <v>3.9858067359904572</v>
          </cell>
          <cell r="F40">
            <v>-7.371443827214952E-3</v>
          </cell>
          <cell r="G40">
            <v>2.2182987345167039E-4</v>
          </cell>
          <cell r="H40">
            <v>48.017597704809354</v>
          </cell>
          <cell r="I40">
            <v>6.0669625643236778</v>
          </cell>
          <cell r="J40">
            <v>-5.7661060868531254E-2</v>
          </cell>
          <cell r="K40">
            <v>4.5338723559917794E-4</v>
          </cell>
          <cell r="L40"/>
          <cell r="M40">
            <v>2.0371579469280765</v>
          </cell>
          <cell r="N40"/>
          <cell r="O40"/>
          <cell r="P40">
            <v>70.829460554490296</v>
          </cell>
          <cell r="Q40">
            <v>5.0545101106752659</v>
          </cell>
          <cell r="R40">
            <v>-3.4022565757388032E-2</v>
          </cell>
          <cell r="S40">
            <v>3.4063349946546971E-4</v>
          </cell>
          <cell r="T40">
            <v>211.69751888325393</v>
          </cell>
          <cell r="U40">
            <v>3.7468549394726569</v>
          </cell>
          <cell r="V40">
            <v>7.3776843969233612E-3</v>
          </cell>
          <cell r="W40">
            <v>4.0312785279000997E-4</v>
          </cell>
          <cell r="X40">
            <v>152.25698413371788</v>
          </cell>
          <cell r="Y40">
            <v>3.6489571441825976</v>
          </cell>
          <cell r="Z40">
            <v>-2.5067043759375351E-2</v>
          </cell>
          <cell r="AA40">
            <v>8.3636051695344063E-4</v>
          </cell>
          <cell r="AB40"/>
          <cell r="AC40">
            <v>4.8247237360992923</v>
          </cell>
          <cell r="AD40"/>
          <cell r="AE40"/>
          <cell r="AF40">
            <v>151.96168685421694</v>
          </cell>
          <cell r="AG40">
            <v>3.6577487113782401</v>
          </cell>
          <cell r="AH40">
            <v>-2.4524680688068966E-2</v>
          </cell>
          <cell r="AI40">
            <v>8.2585578169071445E-4</v>
          </cell>
        </row>
        <row r="41">
          <cell r="B41">
            <v>2024</v>
          </cell>
          <cell r="D41">
            <v>101.00515072653671</v>
          </cell>
          <cell r="E41">
            <v>3.9708921172402523</v>
          </cell>
          <cell r="F41">
            <v>-7.343860383861131E-3</v>
          </cell>
          <cell r="G41">
            <v>2.2099980109516014E-4</v>
          </cell>
          <cell r="H41">
            <v>48.345910219452712</v>
          </cell>
          <cell r="I41">
            <v>6.1084444341161923</v>
          </cell>
          <cell r="J41">
            <v>-5.8055308994127426E-2</v>
          </cell>
          <cell r="K41">
            <v>4.5648719708292094E-4</v>
          </cell>
          <cell r="L41"/>
          <cell r="M41">
            <v>2.1076130917797271</v>
          </cell>
          <cell r="N41"/>
          <cell r="O41"/>
          <cell r="P41">
            <v>70.540313627604831</v>
          </cell>
          <cell r="Q41">
            <v>5.0491740975951478</v>
          </cell>
          <cell r="R41">
            <v>-3.3903914315729505E-2</v>
          </cell>
          <cell r="S41">
            <v>3.393730723421703E-4</v>
          </cell>
          <cell r="T41">
            <v>212.60428141716565</v>
          </cell>
          <cell r="U41">
            <v>3.7629038175938483</v>
          </cell>
          <cell r="V41">
            <v>7.4092851820126019E-3</v>
          </cell>
          <cell r="W41">
            <v>4.0485456756311913E-4</v>
          </cell>
          <cell r="X41">
            <v>153.44815443753652</v>
          </cell>
          <cell r="Y41">
            <v>3.6775044677407727</v>
          </cell>
          <cell r="Z41">
            <v>-2.5263153765760788E-2</v>
          </cell>
          <cell r="AA41">
            <v>8.4290371637873855E-4</v>
          </cell>
          <cell r="AB41"/>
          <cell r="AC41">
            <v>4.9234687609876504</v>
          </cell>
          <cell r="AD41"/>
          <cell r="AE41"/>
          <cell r="AF41">
            <v>152.49936159317394</v>
          </cell>
          <cell r="AG41">
            <v>3.6916193011731702</v>
          </cell>
          <cell r="AH41">
            <v>-2.4626341943694237E-2</v>
          </cell>
          <cell r="AI41">
            <v>8.2904567451861505E-4</v>
          </cell>
        </row>
        <row r="42">
          <cell r="B42">
            <v>2025</v>
          </cell>
          <cell r="D42">
            <v>100.35604050465847</v>
          </cell>
          <cell r="E42">
            <v>3.9453731546454143</v>
          </cell>
          <cell r="F42">
            <v>-7.2966650199720456E-3</v>
          </cell>
          <cell r="G42">
            <v>2.1957954451525246E-4</v>
          </cell>
          <cell r="H42">
            <v>48.496804430771398</v>
          </cell>
          <cell r="I42">
            <v>6.1275097263215939</v>
          </cell>
          <cell r="J42">
            <v>-5.823650756963808E-2</v>
          </cell>
          <cell r="K42">
            <v>4.5791195618391284E-4</v>
          </cell>
          <cell r="L42"/>
          <cell r="M42">
            <v>2.2251943669654253</v>
          </cell>
          <cell r="N42"/>
          <cell r="O42"/>
          <cell r="P42">
            <v>69.879167524990976</v>
          </cell>
          <cell r="Q42">
            <v>5.0194814297136752</v>
          </cell>
          <cell r="R42">
            <v>-3.3522380204721779E-2</v>
          </cell>
          <cell r="S42">
            <v>3.3578223230130007E-4</v>
          </cell>
          <cell r="T42">
            <v>212.8851141468094</v>
          </cell>
          <cell r="U42">
            <v>3.7678743033405961</v>
          </cell>
          <cell r="V42">
            <v>7.4190722369510236E-3</v>
          </cell>
          <cell r="W42">
            <v>4.0538934707254196E-4</v>
          </cell>
          <cell r="X42">
            <v>154.56822329522637</v>
          </cell>
          <cell r="Y42">
            <v>3.7043477897958992</v>
          </cell>
          <cell r="Z42">
            <v>-2.5447557885078992E-2</v>
          </cell>
          <cell r="AA42">
            <v>8.4905634953491745E-4</v>
          </cell>
          <cell r="AB42"/>
          <cell r="AC42">
            <v>5.1352920867881151</v>
          </cell>
          <cell r="AD42"/>
          <cell r="AE42"/>
          <cell r="AF42">
            <v>152.50831727308525</v>
          </cell>
          <cell r="AG42">
            <v>3.7300192310352265</v>
          </cell>
          <cell r="AH42">
            <v>-2.4643810575221744E-2</v>
          </cell>
          <cell r="AI42">
            <v>8.2938260918475389E-4</v>
          </cell>
        </row>
        <row r="43">
          <cell r="B43">
            <v>2026</v>
          </cell>
          <cell r="D43">
            <v>99.90516120800531</v>
          </cell>
          <cell r="E43">
            <v>3.9276473948002146</v>
          </cell>
          <cell r="F43">
            <v>-7.2638825867913943E-3</v>
          </cell>
          <cell r="G43">
            <v>2.1859301824246811E-4</v>
          </cell>
          <cell r="H43">
            <v>48.664672550475025</v>
          </cell>
          <cell r="I43">
            <v>6.148719650321671</v>
          </cell>
          <cell r="J43">
            <v>-5.843808895502145E-2</v>
          </cell>
          <cell r="K43">
            <v>4.5949698472294017E-4</v>
          </cell>
          <cell r="L43"/>
          <cell r="M43">
            <v>2.2264391561507568</v>
          </cell>
          <cell r="N43"/>
          <cell r="O43"/>
          <cell r="P43">
            <v>69.306063332568385</v>
          </cell>
          <cell r="Q43">
            <v>4.9887710629785404</v>
          </cell>
          <cell r="R43">
            <v>-3.3116643042758562E-2</v>
          </cell>
          <cell r="S43">
            <v>3.3218723511425484E-4</v>
          </cell>
          <cell r="T43">
            <v>211.82719739769939</v>
          </cell>
          <cell r="U43">
            <v>3.7491501320897296</v>
          </cell>
          <cell r="V43">
            <v>7.3822037089950705E-3</v>
          </cell>
          <cell r="W43">
            <v>4.0337479484845812E-4</v>
          </cell>
          <cell r="X43">
            <v>155.0291742233608</v>
          </cell>
          <cell r="Y43">
            <v>3.7153948376006589</v>
          </cell>
          <cell r="Z43">
            <v>-2.5523447192569302E-2</v>
          </cell>
          <cell r="AA43">
            <v>8.515883920467151E-4</v>
          </cell>
          <cell r="AB43"/>
          <cell r="AC43">
            <v>5.2049458088833225</v>
          </cell>
          <cell r="AD43"/>
          <cell r="AE43"/>
          <cell r="AF43">
            <v>151.90228612896266</v>
          </cell>
          <cell r="AG43">
            <v>3.7515599469904779</v>
          </cell>
          <cell r="AH43">
            <v>-2.4562269716146973E-2</v>
          </cell>
          <cell r="AI43">
            <v>8.2638166258591382E-4</v>
          </cell>
        </row>
        <row r="44">
          <cell r="B44">
            <v>2027</v>
          </cell>
          <cell r="D44">
            <v>100.08336934466226</v>
          </cell>
          <cell r="E44">
            <v>3.9346534264727477</v>
          </cell>
          <cell r="F44">
            <v>-7.2768397049726239E-3</v>
          </cell>
          <cell r="G44">
            <v>2.1898293858288082E-4</v>
          </cell>
          <cell r="H44">
            <v>49.115023347245902</v>
          </cell>
          <cell r="I44">
            <v>6.2056209022672384</v>
          </cell>
          <cell r="J44">
            <v>-5.8978884537183522E-2</v>
          </cell>
          <cell r="K44">
            <v>4.6374924457261157E-4</v>
          </cell>
          <cell r="L44"/>
          <cell r="M44">
            <v>2.1165050573085553</v>
          </cell>
          <cell r="N44"/>
          <cell r="O44"/>
          <cell r="P44">
            <v>69.138893618224387</v>
          </cell>
          <cell r="Q44">
            <v>4.979503697444402</v>
          </cell>
          <cell r="R44">
            <v>-3.2879220625039021E-2</v>
          </cell>
          <cell r="S44">
            <v>3.3037294198157244E-4</v>
          </cell>
          <cell r="T44">
            <v>211.57683318698636</v>
          </cell>
          <cell r="U44">
            <v>3.7447189116175865</v>
          </cell>
          <cell r="V44">
            <v>7.3734784856638322E-3</v>
          </cell>
          <cell r="W44">
            <v>4.0289803542674813E-4</v>
          </cell>
          <cell r="X44">
            <v>156.24239566036991</v>
          </cell>
          <cell r="Y44">
            <v>3.7444706337307196</v>
          </cell>
          <cell r="Z44">
            <v>-2.5723187618431221E-2</v>
          </cell>
          <cell r="AA44">
            <v>8.5825272021536466E-4</v>
          </cell>
          <cell r="AB44"/>
          <cell r="AC44">
            <v>5.0112682323189413</v>
          </cell>
          <cell r="AD44"/>
          <cell r="AE44"/>
          <cell r="AF44">
            <v>151.78986207828299</v>
          </cell>
          <cell r="AG44">
            <v>3.7843615859455459</v>
          </cell>
          <cell r="AH44">
            <v>-2.4633764111984383E-2</v>
          </cell>
          <cell r="AI44">
            <v>8.2738329689608812E-4</v>
          </cell>
        </row>
        <row r="45">
          <cell r="B45">
            <v>2028</v>
          </cell>
          <cell r="D45">
            <v>100.08437620349319</v>
          </cell>
          <cell r="E45">
            <v>3.9346930098778139</v>
          </cell>
          <cell r="F45">
            <v>-7.2769129114440513E-3</v>
          </cell>
          <cell r="G45">
            <v>2.189851415952992E-4</v>
          </cell>
          <cell r="H45">
            <v>49.439309565400976</v>
          </cell>
          <cell r="I45">
            <v>6.2465940546054259</v>
          </cell>
          <cell r="J45">
            <v>-5.9368297757703567E-2</v>
          </cell>
          <cell r="K45">
            <v>4.6681118933911359E-4</v>
          </cell>
          <cell r="L45"/>
          <cell r="M45">
            <v>2.1953121893411218</v>
          </cell>
          <cell r="N45"/>
          <cell r="O45"/>
          <cell r="P45">
            <v>68.801622587628202</v>
          </cell>
          <cell r="Q45">
            <v>4.9680782300826039</v>
          </cell>
          <cell r="R45">
            <v>-3.2557590420253753E-2</v>
          </cell>
          <cell r="S45">
            <v>3.2772451771586567E-4</v>
          </cell>
          <cell r="T45">
            <v>211.31210743725231</v>
          </cell>
          <cell r="U45">
            <v>3.740033504872013</v>
          </cell>
          <cell r="V45">
            <v>7.3642527609431088E-3</v>
          </cell>
          <cell r="W45">
            <v>4.0239392785084701E-4</v>
          </cell>
          <cell r="X45">
            <v>157.52018312974002</v>
          </cell>
          <cell r="Y45">
            <v>3.7750938050856071</v>
          </cell>
          <cell r="Z45">
            <v>-2.5933557964278552E-2</v>
          </cell>
          <cell r="AA45">
            <v>8.6527171507145911E-4</v>
          </cell>
          <cell r="AB45"/>
          <cell r="AC45">
            <v>5.2637138605946658</v>
          </cell>
          <cell r="AD45"/>
          <cell r="AE45"/>
          <cell r="AF45">
            <v>151.76191090659833</v>
          </cell>
          <cell r="AG45">
            <v>3.8334716923093808</v>
          </cell>
          <cell r="AH45">
            <v>-2.4632817443385857E-2</v>
          </cell>
          <cell r="AI45">
            <v>8.2729551527898834E-4</v>
          </cell>
        </row>
        <row r="46">
          <cell r="B46">
            <v>2029</v>
          </cell>
          <cell r="D46">
            <v>100.25509570935255</v>
          </cell>
          <cell r="E46">
            <v>3.9414046353266126</v>
          </cell>
          <cell r="F46">
            <v>-7.2893255478968912E-3</v>
          </cell>
          <cell r="G46">
            <v>2.1935867677213514E-4</v>
          </cell>
          <cell r="H46">
            <v>49.789637675551162</v>
          </cell>
          <cell r="I46">
            <v>6.2908575669655722</v>
          </cell>
          <cell r="J46">
            <v>-5.9788982911665442E-2</v>
          </cell>
          <cell r="K46">
            <v>4.7011902440387716E-4</v>
          </cell>
          <cell r="L46"/>
          <cell r="M46">
            <v>2.1123417272017848</v>
          </cell>
          <cell r="N46"/>
          <cell r="O46"/>
          <cell r="P46">
            <v>68.508303530280273</v>
          </cell>
          <cell r="Q46">
            <v>4.9504089942365432</v>
          </cell>
          <cell r="R46">
            <v>-3.226032663157237E-2</v>
          </cell>
          <cell r="S46">
            <v>3.2530839355202599E-4</v>
          </cell>
          <cell r="T46">
            <v>210.28154156005408</v>
          </cell>
          <cell r="U46">
            <v>3.7217934193584861</v>
          </cell>
          <cell r="V46">
            <v>7.3283374142148376E-3</v>
          </cell>
          <cell r="W46">
            <v>4.0043145889313251E-4</v>
          </cell>
          <cell r="X46">
            <v>158.21659252610144</v>
          </cell>
          <cell r="Y46">
            <v>3.7917837983662892</v>
          </cell>
          <cell r="Z46">
            <v>-2.6048212309446064E-2</v>
          </cell>
          <cell r="AA46">
            <v>8.6909715090329267E-4</v>
          </cell>
          <cell r="AB46"/>
          <cell r="AC46">
            <v>5.1284667936349813</v>
          </cell>
          <cell r="AD46"/>
          <cell r="AE46"/>
          <cell r="AF46">
            <v>150.99234053662394</v>
          </cell>
          <cell r="AG46">
            <v>3.8558797380403695</v>
          </cell>
          <cell r="AH46">
            <v>-2.4511537373317158E-2</v>
          </cell>
          <cell r="AI46">
            <v>8.2316569365277145E-4</v>
          </cell>
        </row>
        <row r="47">
          <cell r="B47">
            <v>2030</v>
          </cell>
          <cell r="D47">
            <v>100.98633961216731</v>
          </cell>
          <cell r="E47">
            <v>3.9701525816301499</v>
          </cell>
          <cell r="F47">
            <v>-7.3424926694762704E-3</v>
          </cell>
          <cell r="G47">
            <v>2.2095864227797001E-4</v>
          </cell>
          <cell r="H47">
            <v>50.40377290595805</v>
          </cell>
          <cell r="I47">
            <v>6.3684527743563368</v>
          </cell>
          <cell r="J47">
            <v>-6.0526456058899863E-2</v>
          </cell>
          <cell r="K47">
            <v>4.7591775419685792E-4</v>
          </cell>
          <cell r="L47"/>
          <cell r="M47">
            <v>2.0114236456394412</v>
          </cell>
          <cell r="N47"/>
          <cell r="O47"/>
          <cell r="P47">
            <v>68.563145182383806</v>
          </cell>
          <cell r="Q47">
            <v>4.9561024783092984</v>
          </cell>
          <cell r="R47">
            <v>-3.215617079558717E-2</v>
          </cell>
          <cell r="S47">
            <v>3.2473300108923017E-4</v>
          </cell>
          <cell r="T47">
            <v>210.18343765966856</v>
          </cell>
          <cell r="U47">
            <v>3.720057068901097</v>
          </cell>
          <cell r="V47">
            <v>7.3249184813006987E-3</v>
          </cell>
          <cell r="W47">
            <v>4.0024464321895093E-4</v>
          </cell>
          <cell r="X47">
            <v>159.73039832398638</v>
          </cell>
          <cell r="Y47">
            <v>3.8280633326847031</v>
          </cell>
          <cell r="Z47">
            <v>-2.6297439866360312E-2</v>
          </cell>
          <cell r="AA47">
            <v>8.7741261443943016E-4</v>
          </cell>
          <cell r="AB47"/>
          <cell r="AC47">
            <v>4.9445063615437697</v>
          </cell>
          <cell r="AD47"/>
          <cell r="AE47"/>
          <cell r="AF47">
            <v>150.77991600833593</v>
          </cell>
          <cell r="AG47">
            <v>3.8926211236103665</v>
          </cell>
          <cell r="AH47">
            <v>-2.4481428160181742E-2</v>
          </cell>
          <cell r="AI47">
            <v>8.2208632529426839E-4</v>
          </cell>
        </row>
        <row r="48">
          <cell r="B48">
            <v>2031</v>
          </cell>
          <cell r="D48">
            <v>100.32929256128403</v>
          </cell>
          <cell r="E48">
            <v>3.9443215924554273</v>
          </cell>
          <cell r="F48">
            <v>-7.2947202363616605E-3</v>
          </cell>
          <cell r="G48">
            <v>2.1952101987445015E-4</v>
          </cell>
          <cell r="H48">
            <v>50.230921172559043</v>
          </cell>
          <cell r="I48">
            <v>6.3466131770870797</v>
          </cell>
          <cell r="J48">
            <v>-6.0318890191443861E-2</v>
          </cell>
          <cell r="K48">
            <v>4.7428566985027986E-4</v>
          </cell>
          <cell r="L48"/>
          <cell r="M48">
            <v>2.0114236456394412</v>
          </cell>
          <cell r="N48"/>
          <cell r="O48"/>
          <cell r="P48">
            <v>67.59479007594264</v>
          </cell>
          <cell r="Q48">
            <v>4.8970973697245377</v>
          </cell>
          <cell r="R48">
            <v>-3.1560064649633256E-2</v>
          </cell>
          <cell r="S48">
            <v>3.1923386677989172E-4</v>
          </cell>
          <cell r="T48">
            <v>207.83412900794951</v>
          </cell>
          <cell r="U48">
            <v>3.6784764269905335</v>
          </cell>
          <cell r="V48">
            <v>7.2430447877648609E-3</v>
          </cell>
          <cell r="W48">
            <v>3.9577094056383964E-4</v>
          </cell>
          <cell r="X48">
            <v>159.40138201956592</v>
          </cell>
          <cell r="Y48">
            <v>3.8201782008373968</v>
          </cell>
          <cell r="Z48">
            <v>-2.6243271802101186E-2</v>
          </cell>
          <cell r="AA48">
            <v>8.756052999965698E-4</v>
          </cell>
          <cell r="AB48"/>
          <cell r="AC48">
            <v>4.9445063615437697</v>
          </cell>
          <cell r="AD48"/>
          <cell r="AE48"/>
          <cell r="AF48">
            <v>148.85649226095006</v>
          </cell>
          <cell r="AG48">
            <v>3.8961658862298405</v>
          </cell>
          <cell r="AH48">
            <v>-2.4173318264642429E-2</v>
          </cell>
          <cell r="AI48">
            <v>8.1167471504511521E-4</v>
          </cell>
        </row>
        <row r="49">
          <cell r="B49">
            <v>2032</v>
          </cell>
          <cell r="D49">
            <v>100.22834171318631</v>
          </cell>
          <cell r="E49">
            <v>3.9403528351786301</v>
          </cell>
          <cell r="F49">
            <v>-7.2873803242014465E-3</v>
          </cell>
          <cell r="G49">
            <v>2.1930013888779253E-4</v>
          </cell>
          <cell r="H49">
            <v>50.30211803313918</v>
          </cell>
          <cell r="I49">
            <v>6.3556088101150481</v>
          </cell>
          <cell r="J49">
            <v>-6.040438564952149E-2</v>
          </cell>
          <cell r="K49">
            <v>4.7495791813725608E-4</v>
          </cell>
          <cell r="L49"/>
          <cell r="M49">
            <v>2.0114236456394412</v>
          </cell>
          <cell r="N49"/>
          <cell r="O49"/>
          <cell r="P49">
            <v>66.967459583515577</v>
          </cell>
          <cell r="Q49">
            <v>4.8629665678020721</v>
          </cell>
          <cell r="R49">
            <v>-3.1136123649606478E-2</v>
          </cell>
          <cell r="S49">
            <v>3.1542851955693624E-4</v>
          </cell>
          <cell r="T49">
            <v>205.69887030215483</v>
          </cell>
          <cell r="U49">
            <v>3.6406842758540297</v>
          </cell>
          <cell r="V49">
            <v>7.1686307609957348E-3</v>
          </cell>
          <cell r="W49">
            <v>3.9170484540240844E-4</v>
          </cell>
          <cell r="X49">
            <v>159.27309961228073</v>
          </cell>
          <cell r="Y49">
            <v>3.8171038130896067</v>
          </cell>
          <cell r="Z49">
            <v>-2.622215184668324E-2</v>
          </cell>
          <cell r="AA49">
            <v>8.74900633861985E-4</v>
          </cell>
          <cell r="AB49"/>
          <cell r="AC49">
            <v>4.9445063615437697</v>
          </cell>
          <cell r="AD49"/>
          <cell r="AE49"/>
          <cell r="AF49">
            <v>147.1112323610044</v>
          </cell>
          <cell r="AG49">
            <v>3.9043984995505836</v>
          </cell>
          <cell r="AH49">
            <v>-2.3894229661704989E-2</v>
          </cell>
          <cell r="AI49">
            <v>8.0223617957120936E-4</v>
          </cell>
        </row>
        <row r="50">
          <cell r="B50">
            <v>2033</v>
          </cell>
          <cell r="D50">
            <v>100.27678737092397</v>
          </cell>
          <cell r="E50">
            <v>3.9422574160741712</v>
          </cell>
          <cell r="F50">
            <v>-7.2909027004770185E-3</v>
          </cell>
          <cell r="G50">
            <v>2.1940613824175548E-4</v>
          </cell>
          <cell r="H50">
            <v>50.417369282797672</v>
          </cell>
          <cell r="I50">
            <v>6.3701706593243328</v>
          </cell>
          <cell r="J50">
            <v>-6.0542783021305606E-2</v>
          </cell>
          <cell r="K50">
            <v>4.760461326248538E-4</v>
          </cell>
          <cell r="L50"/>
          <cell r="M50">
            <v>2.0114236456394412</v>
          </cell>
          <cell r="N50"/>
          <cell r="O50"/>
          <cell r="P50">
            <v>66.402834059543665</v>
          </cell>
          <cell r="Q50">
            <v>4.8343747266721735</v>
          </cell>
          <cell r="R50">
            <v>-3.0754747869309183E-2</v>
          </cell>
          <cell r="S50">
            <v>3.1200475908361075E-4</v>
          </cell>
          <cell r="T50">
            <v>203.78144693176395</v>
          </cell>
          <cell r="U50">
            <v>3.6067476134674887</v>
          </cell>
          <cell r="V50">
            <v>7.1018083222791515E-3</v>
          </cell>
          <cell r="W50">
            <v>3.8805356611357867E-4</v>
          </cell>
          <cell r="X50">
            <v>159.33076513992285</v>
          </cell>
          <cell r="Y50">
            <v>3.8184858123473751</v>
          </cell>
          <cell r="Z50">
            <v>-2.6231645692322159E-2</v>
          </cell>
          <cell r="AA50">
            <v>8.7521739549222195E-4</v>
          </cell>
          <cell r="AB50"/>
          <cell r="AC50">
            <v>4.9445063615437697</v>
          </cell>
          <cell r="AD50"/>
          <cell r="AE50"/>
          <cell r="AF50">
            <v>145.53427260407307</v>
          </cell>
          <cell r="AG50">
            <v>3.9167886161825263</v>
          </cell>
          <cell r="AH50">
            <v>-2.3642504291991336E-2</v>
          </cell>
          <cell r="AI50">
            <v>7.9371592261928724E-4</v>
          </cell>
        </row>
        <row r="51">
          <cell r="B51">
            <v>2034</v>
          </cell>
          <cell r="D51">
            <v>100.05548982652232</v>
          </cell>
          <cell r="E51">
            <v>3.9335573778255455</v>
          </cell>
          <cell r="F51">
            <v>-7.2748126470719493E-3</v>
          </cell>
          <cell r="G51">
            <v>2.189219380505393E-4</v>
          </cell>
          <cell r="H51">
            <v>50.370437737817021</v>
          </cell>
          <cell r="I51">
            <v>6.3642409181441542</v>
          </cell>
          <cell r="J51">
            <v>-6.0486426127143195E-2</v>
          </cell>
          <cell r="K51">
            <v>4.7560300001393092E-4</v>
          </cell>
          <cell r="L51"/>
          <cell r="M51">
            <v>2.0114236456394412</v>
          </cell>
          <cell r="N51"/>
          <cell r="O51"/>
          <cell r="P51">
            <v>65.626723792149591</v>
          </cell>
          <cell r="Q51">
            <v>4.7920887235497842</v>
          </cell>
          <cell r="R51">
            <v>-3.0285449137360827E-2</v>
          </cell>
          <cell r="S51">
            <v>3.0765177885692664E-4</v>
          </cell>
          <cell r="T51">
            <v>202.07343630441915</v>
          </cell>
          <cell r="U51">
            <v>3.5765173675510598</v>
          </cell>
          <cell r="V51">
            <v>7.0422839432424259E-3</v>
          </cell>
          <cell r="W51">
            <v>3.8480106386236547E-4</v>
          </cell>
          <cell r="X51">
            <v>159.54360038765819</v>
          </cell>
          <cell r="Y51">
            <v>3.8235865747339171</v>
          </cell>
          <cell r="Z51">
            <v>-2.6266686124121551E-2</v>
          </cell>
          <cell r="AA51">
            <v>8.7638651754487929E-4</v>
          </cell>
          <cell r="AB51"/>
          <cell r="AC51">
            <v>4.9445063615437697</v>
          </cell>
          <cell r="AD51"/>
          <cell r="AE51"/>
          <cell r="AF51">
            <v>144.05973992257321</v>
          </cell>
          <cell r="AG51">
            <v>3.9327711318676557</v>
          </cell>
          <cell r="AH51">
            <v>-2.3407210433358583E-2</v>
          </cell>
          <cell r="AI51">
            <v>7.8575053958923179E-4</v>
          </cell>
        </row>
        <row r="52">
          <cell r="B52">
            <v>2035</v>
          </cell>
          <cell r="D52">
            <v>100.34650051388557</v>
          </cell>
          <cell r="E52">
            <v>3.9449981017507239</v>
          </cell>
          <cell r="F52">
            <v>-7.2959713884117178E-3</v>
          </cell>
          <cell r="G52">
            <v>2.1955867096525928E-4</v>
          </cell>
          <cell r="H52">
            <v>50.560474072321902</v>
          </cell>
          <cell r="I52">
            <v>6.3882517679661346</v>
          </cell>
          <cell r="J52">
            <v>-6.0714627811002543E-2</v>
          </cell>
          <cell r="K52">
            <v>4.7739734318149717E-4</v>
          </cell>
          <cell r="L52"/>
          <cell r="M52">
            <v>2.0114236456394412</v>
          </cell>
          <cell r="N52"/>
          <cell r="O52"/>
          <cell r="P52">
            <v>65.16733584211434</v>
          </cell>
          <cell r="Q52">
            <v>4.7722039304912673</v>
          </cell>
          <cell r="R52">
            <v>-2.9968163910387164E-2</v>
          </cell>
          <cell r="S52">
            <v>3.0482119442293987E-4</v>
          </cell>
          <cell r="T52">
            <v>200.5494302919623</v>
          </cell>
          <cell r="U52">
            <v>3.5495438371777115</v>
          </cell>
          <cell r="V52">
            <v>6.989172147515048E-3</v>
          </cell>
          <cell r="W52">
            <v>3.8189895487836934E-4</v>
          </cell>
          <cell r="X52">
            <v>159.87225782720597</v>
          </cell>
          <cell r="Y52">
            <v>3.8314631061052031</v>
          </cell>
          <cell r="Z52">
            <v>-2.6320795106155197E-2</v>
          </cell>
          <cell r="AA52">
            <v>8.7819186071258157E-4</v>
          </cell>
          <cell r="AB52"/>
          <cell r="AC52">
            <v>4.9445063615437697</v>
          </cell>
          <cell r="AD52"/>
          <cell r="AE52"/>
          <cell r="AF52">
            <v>142.68722431838503</v>
          </cell>
          <cell r="AG52">
            <v>3.9511163555158193</v>
          </cell>
          <cell r="AH52">
            <v>-2.3188205738844326E-2</v>
          </cell>
          <cell r="AI52">
            <v>7.7833643181897524E-4</v>
          </cell>
        </row>
        <row r="53">
          <cell r="B53">
            <v>2036</v>
          </cell>
          <cell r="D53">
            <v>100.76033822292121</v>
          </cell>
          <cell r="E53">
            <v>3.9612676175606198</v>
          </cell>
          <cell r="F53">
            <v>-7.3260606099501621E-3</v>
          </cell>
          <cell r="G53">
            <v>2.20464150049491E-4</v>
          </cell>
          <cell r="H53">
            <v>50.761615024768147</v>
          </cell>
          <cell r="I53">
            <v>6.4136656721798717</v>
          </cell>
          <cell r="J53">
            <v>-6.0956164273810551E-2</v>
          </cell>
          <cell r="K53">
            <v>4.7929653732602757E-4</v>
          </cell>
          <cell r="L53"/>
          <cell r="M53">
            <v>2.0114236456394412</v>
          </cell>
          <cell r="N53"/>
          <cell r="O53"/>
          <cell r="P53">
            <v>65.432829475368237</v>
          </cell>
          <cell r="Q53">
            <v>4.7903850918543833</v>
          </cell>
          <cell r="R53">
            <v>-3.0087837951605505E-2</v>
          </cell>
          <cell r="S53">
            <v>3.0604750214485911E-4</v>
          </cell>
          <cell r="T53">
            <v>201.37651361181301</v>
          </cell>
          <cell r="U53">
            <v>3.5641824651535408</v>
          </cell>
          <cell r="V53">
            <v>7.0179961022595692E-3</v>
          </cell>
          <cell r="W53">
            <v>3.8347393943448843E-4</v>
          </cell>
          <cell r="X53">
            <v>160.50826567323801</v>
          </cell>
          <cell r="Y53">
            <v>3.8467055292146521</v>
          </cell>
          <cell r="Z53">
            <v>-2.6425505156722002E-2</v>
          </cell>
          <cell r="AA53">
            <v>8.8168550570969146E-4</v>
          </cell>
          <cell r="AB53"/>
          <cell r="AC53">
            <v>4.9445063615437697</v>
          </cell>
          <cell r="AD53"/>
          <cell r="AE53"/>
          <cell r="AF53">
            <v>143.25508800503164</v>
          </cell>
          <cell r="AG53">
            <v>3.9646863560615691</v>
          </cell>
          <cell r="AH53">
            <v>-2.3280445914571325E-2</v>
          </cell>
          <cell r="AI53">
            <v>7.8143325174810923E-4</v>
          </cell>
        </row>
        <row r="54">
          <cell r="B54">
            <v>2037</v>
          </cell>
          <cell r="D54">
            <v>101.17700766603625</v>
          </cell>
          <cell r="E54">
            <v>3.9776484594806525</v>
          </cell>
          <cell r="F54">
            <v>-7.3563557205900401E-3</v>
          </cell>
          <cell r="G54">
            <v>2.2137582498278394E-4</v>
          </cell>
          <cell r="H54">
            <v>50.964132308267295</v>
          </cell>
          <cell r="I54">
            <v>6.4392534740763994</v>
          </cell>
          <cell r="J54">
            <v>-6.1199353478788285E-2</v>
          </cell>
          <cell r="K54">
            <v>4.8120872693391238E-4</v>
          </cell>
          <cell r="L54"/>
          <cell r="M54">
            <v>2.0114236456394412</v>
          </cell>
          <cell r="N54"/>
          <cell r="O54"/>
          <cell r="P54">
            <v>65.700139780599415</v>
          </cell>
          <cell r="Q54">
            <v>4.8086906599912433</v>
          </cell>
          <cell r="R54">
            <v>-3.020833087678134E-2</v>
          </cell>
          <cell r="S54">
            <v>3.0728220102421071E-4</v>
          </cell>
          <cell r="T54">
            <v>202.20925634831957</v>
          </cell>
          <cell r="U54">
            <v>3.5789212596942095</v>
          </cell>
          <cell r="V54">
            <v>7.0470172883659761E-3</v>
          </cell>
          <cell r="W54">
            <v>3.8505970101103057E-4</v>
          </cell>
          <cell r="X54">
            <v>161.14862547911579</v>
          </cell>
          <cell r="Y54">
            <v>3.8620522504294437</v>
          </cell>
          <cell r="Z54">
            <v>-2.6530931698348401E-2</v>
          </cell>
          <cell r="AA54">
            <v>8.852030563910433E-4</v>
          </cell>
          <cell r="AB54"/>
          <cell r="AC54">
            <v>4.9445063615437697</v>
          </cell>
          <cell r="AD54"/>
          <cell r="AE54"/>
          <cell r="AF54">
            <v>143.82683736695338</v>
          </cell>
          <cell r="AG54">
            <v>3.9783492109610039</v>
          </cell>
          <cell r="AH54">
            <v>-2.3373317254746114E-2</v>
          </cell>
          <cell r="AI54">
            <v>7.8455126203843953E-4</v>
          </cell>
        </row>
        <row r="55">
          <cell r="B55">
            <v>2038</v>
          </cell>
          <cell r="D55">
            <v>101.59652821971027</v>
          </cell>
          <cell r="E55">
            <v>3.9941413892730608</v>
          </cell>
          <cell r="F55">
            <v>-7.3868581291521877E-3</v>
          </cell>
          <cell r="G55">
            <v>2.2229373816097723E-4</v>
          </cell>
          <cell r="H55">
            <v>51.168035340529386</v>
          </cell>
          <cell r="I55">
            <v>6.4650163635714373</v>
          </cell>
          <cell r="J55">
            <v>-6.1444206735021996E-2</v>
          </cell>
          <cell r="K55">
            <v>4.8313400092816599E-4</v>
          </cell>
          <cell r="L55"/>
          <cell r="M55">
            <v>2.0114236456394412</v>
          </cell>
          <cell r="N55"/>
          <cell r="O55"/>
          <cell r="P55">
            <v>65.969279188603451</v>
          </cell>
          <cell r="Q55">
            <v>4.8271214861700971</v>
          </cell>
          <cell r="R55">
            <v>-3.0329648289226227E-2</v>
          </cell>
          <cell r="S55">
            <v>3.0852534847849447E-4</v>
          </cell>
          <cell r="T55">
            <v>203.04769722671821</v>
          </cell>
          <cell r="U55">
            <v>3.5937609062014335</v>
          </cell>
          <cell r="V55">
            <v>7.0762370554134854E-3</v>
          </cell>
          <cell r="W55">
            <v>3.866563133510487E-4</v>
          </cell>
          <cell r="X55">
            <v>161.79336702364569</v>
          </cell>
          <cell r="Y55">
            <v>3.8775039834218537</v>
          </cell>
          <cell r="Z55">
            <v>-2.6637079633710269E-2</v>
          </cell>
          <cell r="AA55">
            <v>8.8874467633414452E-4</v>
          </cell>
          <cell r="AB55"/>
          <cell r="AC55">
            <v>4.9445063615437697</v>
          </cell>
          <cell r="AD55"/>
          <cell r="AE55"/>
          <cell r="AF55">
            <v>144.40249899234868</v>
          </cell>
          <cell r="AG55">
            <v>3.9921055555811575</v>
          </cell>
          <cell r="AH55">
            <v>-2.3466824078187006E-2</v>
          </cell>
          <cell r="AI55">
            <v>7.8769060768755031E-4</v>
          </cell>
        </row>
        <row r="56">
          <cell r="B56">
            <v>2039</v>
          </cell>
          <cell r="D56">
            <v>102.01891939300863</v>
          </cell>
          <cell r="E56">
            <v>4.0107471739125335</v>
          </cell>
          <cell r="F56">
            <v>-7.4175692540974572E-3</v>
          </cell>
          <cell r="G56">
            <v>2.2321793227000856E-4</v>
          </cell>
          <cell r="H56">
            <v>51.373333603706271</v>
          </cell>
          <cell r="I56">
            <v>6.4909555387228437</v>
          </cell>
          <cell r="J56">
            <v>-6.1690735428981638E-2</v>
          </cell>
          <cell r="K56">
            <v>4.8507244884026879E-4</v>
          </cell>
          <cell r="L56"/>
          <cell r="M56">
            <v>2.0114236456394412</v>
          </cell>
          <cell r="N56"/>
          <cell r="O56"/>
          <cell r="P56">
            <v>66.240260215235082</v>
          </cell>
          <cell r="Q56">
            <v>4.8456784274840929</v>
          </cell>
          <cell r="R56">
            <v>-3.0451795830593022E-2</v>
          </cell>
          <cell r="S56">
            <v>3.0977700231809581E-4</v>
          </cell>
          <cell r="T56">
            <v>203.89187523722708</v>
          </cell>
          <cell r="U56">
            <v>3.6087020947668682</v>
          </cell>
          <cell r="V56">
            <v>7.1056567622159632E-3</v>
          </cell>
          <cell r="W56">
            <v>3.88263850702191E-4</v>
          </cell>
          <cell r="X56">
            <v>162.4425202893992</v>
          </cell>
          <cell r="Y56">
            <v>3.8930614467475451</v>
          </cell>
          <cell r="Z56">
            <v>-2.6743953899030629E-2</v>
          </cell>
          <cell r="AA56">
            <v>8.9231053023580058E-4</v>
          </cell>
          <cell r="AB56"/>
          <cell r="AC56">
            <v>4.9445063615437697</v>
          </cell>
          <cell r="AD56"/>
          <cell r="AE56"/>
          <cell r="AF56">
            <v>144.98209965134888</v>
          </cell>
          <cell r="AG56">
            <v>4.0059560296366401</v>
          </cell>
          <cell r="AH56">
            <v>-2.3560970733264342E-2</v>
          </cell>
          <cell r="AI56">
            <v>7.9085143468518853E-4</v>
          </cell>
        </row>
        <row r="57">
          <cell r="B57">
            <v>2040</v>
          </cell>
          <cell r="D57">
            <v>102.44420082848988</v>
          </cell>
          <cell r="E57">
            <v>4.027466585621875</v>
          </cell>
          <cell r="F57">
            <v>-7.4484905235926956E-3</v>
          </cell>
          <cell r="G57">
            <v>2.2414845028789938E-4</v>
          </cell>
          <cell r="H57">
            <v>51.580036644832575</v>
          </cell>
          <cell r="I57">
            <v>6.5170722057863344</v>
          </cell>
          <cell r="J57">
            <v>-6.1938951025050502E-2</v>
          </cell>
          <cell r="K57">
            <v>4.8702416081433143E-4</v>
          </cell>
          <cell r="L57"/>
          <cell r="M57">
            <v>2.0114236456394412</v>
          </cell>
          <cell r="N57"/>
          <cell r="O57"/>
          <cell r="P57">
            <v>66.513095461990289</v>
          </cell>
          <cell r="Q57">
            <v>4.8643623468911485</v>
          </cell>
          <cell r="R57">
            <v>-3.0574779181138288E-2</v>
          </cell>
          <cell r="S57">
            <v>3.110372207489751E-4</v>
          </cell>
          <cell r="T57">
            <v>204.74182963685973</v>
          </cell>
          <cell r="U57">
            <v>3.6237455202042073</v>
          </cell>
          <cell r="V57">
            <v>7.1352777768851237E-3</v>
          </cell>
          <cell r="W57">
            <v>3.8988238782015444E-4</v>
          </cell>
          <cell r="X57">
            <v>163.09611546410707</v>
          </cell>
          <cell r="Y57">
            <v>3.9087253638789847</v>
          </cell>
          <cell r="Z57">
            <v>-2.6851559464309192E-2</v>
          </cell>
          <cell r="AA57">
            <v>8.9590078391977516E-4</v>
          </cell>
          <cell r="AB57"/>
          <cell r="AC57">
            <v>4.9445063615437697</v>
          </cell>
          <cell r="AD57"/>
          <cell r="AE57"/>
          <cell r="AF57">
            <v>145.56566629726308</v>
          </cell>
          <cell r="AG57">
            <v>4.0199012772193852</v>
          </cell>
          <cell r="AH57">
            <v>-2.3655761598102721E-2</v>
          </cell>
          <cell r="AI57">
            <v>7.9403389002005416E-4</v>
          </cell>
        </row>
        <row r="58">
          <cell r="B58">
            <v>2041</v>
          </cell>
          <cell r="D58">
            <v>102.87239230311907</v>
          </cell>
          <cell r="E58">
            <v>4.0443004019079183</v>
          </cell>
          <cell r="F58">
            <v>-7.4796233755771461E-3</v>
          </cell>
          <cell r="G58">
            <v>2.2508533548675326E-4</v>
          </cell>
          <cell r="H58">
            <v>51.788154076269592</v>
          </cell>
          <cell r="I58">
            <v>6.5433675792715666</v>
          </cell>
          <cell r="J58">
            <v>-6.2188865066058224E-2</v>
          </cell>
          <cell r="K58">
            <v>4.8898922761128573E-4</v>
          </cell>
          <cell r="L58"/>
          <cell r="M58">
            <v>2.0114236456394412</v>
          </cell>
          <cell r="N58"/>
          <cell r="O58"/>
          <cell r="P58">
            <v>66.7877976165923</v>
          </cell>
          <cell r="Q58">
            <v>4.8831741132540669</v>
          </cell>
          <cell r="R58">
            <v>-3.0698604059986388E-2</v>
          </cell>
          <cell r="S58">
            <v>3.1230606237537341E-4</v>
          </cell>
          <cell r="T58">
            <v>205.59759995125026</v>
          </cell>
          <cell r="U58">
            <v>3.6388918820814879</v>
          </cell>
          <cell r="V58">
            <v>7.165101476894151E-3</v>
          </cell>
          <cell r="W58">
            <v>3.9151199997216056E-4</v>
          </cell>
          <cell r="X58">
            <v>163.75418294206312</v>
          </cell>
          <cell r="Y58">
            <v>3.9244964632390844</v>
          </cell>
          <cell r="Z58">
            <v>-2.6959901333553488E-2</v>
          </cell>
          <cell r="AA58">
            <v>8.9951560434449994E-4</v>
          </cell>
          <cell r="AB58"/>
          <cell r="AC58">
            <v>4.9445063615437697</v>
          </cell>
          <cell r="AD58"/>
          <cell r="AE58"/>
          <cell r="AF58">
            <v>146.15322606783158</v>
          </cell>
          <cell r="AG58">
            <v>4.0339419468285991</v>
          </cell>
          <cell r="AH58">
            <v>-2.3751201080784566E-2</v>
          </cell>
          <cell r="AI58">
            <v>7.9723812168663421E-4</v>
          </cell>
        </row>
        <row r="59">
          <cell r="B59">
            <v>2042</v>
          </cell>
          <cell r="D59">
            <v>103.30351372918759</v>
          </cell>
          <cell r="E59">
            <v>4.0612494055976782</v>
          </cell>
          <cell r="F59">
            <v>-7.5109692578293318E-3</v>
          </cell>
          <cell r="G59">
            <v>2.2602863143476843E-4</v>
          </cell>
          <cell r="H59">
            <v>51.997695576152431</v>
          </cell>
          <cell r="I59">
            <v>6.5698428819986345</v>
          </cell>
          <cell r="J59">
            <v>-6.2440489173817733E-2</v>
          </cell>
          <cell r="K59">
            <v>4.9096774061310701E-4</v>
          </cell>
          <cell r="L59"/>
          <cell r="M59">
            <v>2.0114236456394412</v>
          </cell>
          <cell r="N59"/>
          <cell r="O59"/>
          <cell r="P59">
            <v>67.064379453581623</v>
          </cell>
          <cell r="Q59">
            <v>4.9021146013809549</v>
          </cell>
          <cell r="R59">
            <v>-3.0823276225395536E-2</v>
          </cell>
          <cell r="S59">
            <v>3.1358358620253908E-4</v>
          </cell>
          <cell r="T59">
            <v>206.45922597649204</v>
          </cell>
          <cell r="U59">
            <v>3.6541418847536296</v>
          </cell>
          <cell r="V59">
            <v>7.1951292491417556E-3</v>
          </cell>
          <cell r="W59">
            <v>3.9315276294045617E-4</v>
          </cell>
          <cell r="X59">
            <v>164.41675332553794</v>
          </cell>
          <cell r="Y59">
            <v>3.9403754782350795</v>
          </cell>
          <cell r="Z59">
            <v>-2.7068984545011582E-2</v>
          </cell>
          <cell r="AA59">
            <v>9.0315515961084092E-4</v>
          </cell>
          <cell r="AB59"/>
          <cell r="AC59">
            <v>4.9445063615437697</v>
          </cell>
          <cell r="AD59"/>
          <cell r="AE59"/>
          <cell r="AF59">
            <v>146.74480628648806</v>
          </cell>
          <cell r="AG59">
            <v>4.048078691400927</v>
          </cell>
          <cell r="AH59">
            <v>-2.3847293619555145E-2</v>
          </cell>
          <cell r="AI59">
            <v>8.0046427869208652E-4</v>
          </cell>
        </row>
        <row r="60">
          <cell r="B60">
            <v>2043</v>
          </cell>
          <cell r="D60">
            <v>103.73758515523896</v>
          </cell>
          <cell r="E60">
            <v>4.0783143848747576</v>
          </cell>
          <cell r="F60">
            <v>-7.542529628034365E-3</v>
          </cell>
          <cell r="G60">
            <v>2.2697838199826361E-4</v>
          </cell>
          <cell r="H60">
            <v>52.208670888839926</v>
          </cell>
          <cell r="I60">
            <v>6.5964993451549185</v>
          </cell>
          <cell r="J60">
            <v>-6.2693835049665511E-2</v>
          </cell>
          <cell r="K60">
            <v>4.9295979182706166E-4</v>
          </cell>
          <cell r="L60"/>
          <cell r="M60">
            <v>2.0114236456394412</v>
          </cell>
          <cell r="N60"/>
          <cell r="O60"/>
          <cell r="P60">
            <v>67.342853834910059</v>
          </cell>
          <cell r="Q60">
            <v>4.9211846920658955</v>
          </cell>
          <cell r="R60">
            <v>-3.0948801475025458E-2</v>
          </cell>
          <cell r="S60">
            <v>3.1486985163947006E-4</v>
          </cell>
          <cell r="T60">
            <v>207.3267477809876</v>
          </cell>
          <cell r="U60">
            <v>3.6694962373951783</v>
          </cell>
          <cell r="V60">
            <v>7.2253624900166617E-3</v>
          </cell>
          <cell r="W60">
            <v>3.9480475302583679E-4</v>
          </cell>
          <cell r="X60">
            <v>165.08385742620175</v>
          </cell>
          <cell r="Y60">
            <v>3.9563631472926302</v>
          </cell>
          <cell r="Z60">
            <v>-2.7178814171406333E-2</v>
          </cell>
          <cell r="AA60">
            <v>9.068196189699132E-4</v>
          </cell>
          <cell r="AB60"/>
          <cell r="AC60">
            <v>4.9445063615437697</v>
          </cell>
          <cell r="AD60"/>
          <cell r="AE60"/>
          <cell r="AF60">
            <v>147.34043446362995</v>
          </cell>
          <cell r="AG60">
            <v>4.0623121683408066</v>
          </cell>
          <cell r="AH60">
            <v>-2.3944043683028934E-2</v>
          </cell>
          <cell r="AI60">
            <v>8.0371251106316731E-4</v>
          </cell>
        </row>
        <row r="61">
          <cell r="B61">
            <v>2044</v>
          </cell>
          <cell r="D61">
            <v>104.17462676700136</v>
          </cell>
          <cell r="E61">
            <v>4.0954961333160007</v>
          </cell>
          <cell r="F61">
            <v>-7.574305953851751E-3</v>
          </cell>
          <cell r="G61">
            <v>2.2793463134371825E-4</v>
          </cell>
          <cell r="H61">
            <v>52.421089825367908</v>
          </cell>
          <cell r="I61">
            <v>6.6233382083523518</v>
          </cell>
          <cell r="J61">
            <v>-6.2948914475005904E-2</v>
          </cell>
          <cell r="K61">
            <v>4.9496547388998779E-4</v>
          </cell>
          <cell r="L61"/>
          <cell r="M61">
            <v>2.0114236456394412</v>
          </cell>
          <cell r="N61"/>
          <cell r="O61"/>
          <cell r="P61">
            <v>67.623233710538898</v>
          </cell>
          <cell r="Q61">
            <v>4.9403852721299124</v>
          </cell>
          <cell r="R61">
            <v>-3.1075185646207107E-2</v>
          </cell>
          <cell r="S61">
            <v>3.1616491850167832E-4</v>
          </cell>
          <cell r="T61">
            <v>208.20020570731259</v>
          </cell>
          <cell r="U61">
            <v>3.6849556540332977</v>
          </cell>
          <cell r="V61">
            <v>7.2558026054625625E-3</v>
          </cell>
          <cell r="W61">
            <v>3.964680470511957E-4</v>
          </cell>
          <cell r="X61">
            <v>165.75552626655727</v>
          </cell>
          <cell r="Y61">
            <v>3.9724602138901646</v>
          </cell>
          <cell r="Z61">
            <v>-2.7289395320171331E-2</v>
          </cell>
          <cell r="AA61">
            <v>9.1050915283095372E-4</v>
          </cell>
          <cell r="AB61"/>
          <cell r="AC61">
            <v>4.9445063615437697</v>
          </cell>
          <cell r="AD61"/>
          <cell r="AE61"/>
          <cell r="AF61">
            <v>147.94013829789793</v>
          </cell>
          <cell r="AG61">
            <v>4.0766430395510467</v>
          </cell>
          <cell r="AH61">
            <v>-2.4041455770397468E-2</v>
          </cell>
          <cell r="AI61">
            <v>8.069829698532096E-4</v>
          </cell>
        </row>
        <row r="62">
          <cell r="B62">
            <v>2045</v>
          </cell>
          <cell r="D62">
            <v>104.6146588883261</v>
          </cell>
          <cell r="E62">
            <v>4.1127954499283961</v>
          </cell>
          <cell r="F62">
            <v>-7.6062997129836239E-3</v>
          </cell>
          <cell r="G62">
            <v>2.2889742393982599E-4</v>
          </cell>
          <cell r="H62">
            <v>52.634962263905372</v>
          </cell>
          <cell r="I62">
            <v>6.6503607196850547</v>
          </cell>
          <cell r="J62">
            <v>-6.3205739311858883E-2</v>
          </cell>
          <cell r="K62">
            <v>4.9698488007260161E-4</v>
          </cell>
          <cell r="L62"/>
          <cell r="M62">
            <v>2.0114236456394412</v>
          </cell>
          <cell r="N62"/>
          <cell r="O62"/>
          <cell r="P62">
            <v>67.905532119041027</v>
          </cell>
          <cell r="Q62">
            <v>4.9597172344622065</v>
          </cell>
          <cell r="R62">
            <v>-3.1202434616214039E-2</v>
          </cell>
          <cell r="S62">
            <v>3.1746884701397009E-4</v>
          </cell>
          <cell r="T62">
            <v>209.07964037409138</v>
          </cell>
          <cell r="U62">
            <v>3.7005208535809633</v>
          </cell>
          <cell r="V62">
            <v>7.286451011043478E-3</v>
          </cell>
          <cell r="W62">
            <v>3.9814272236509551E-4</v>
          </cell>
          <cell r="X62">
            <v>166.4317910813825</v>
          </cell>
          <cell r="Y62">
            <v>3.9886674265934494</v>
          </cell>
          <cell r="Z62">
            <v>-2.7400733133688394E-2</v>
          </cell>
          <cell r="AA62">
            <v>9.1422393276924501E-4</v>
          </cell>
          <cell r="AB62"/>
          <cell r="AC62">
            <v>4.9445063615437697</v>
          </cell>
          <cell r="AD62"/>
          <cell r="AE62"/>
          <cell r="AF62">
            <v>148.54394567746394</v>
          </cell>
          <cell r="AG62">
            <v>4.0910719714636059</v>
          </cell>
          <cell r="AH62">
            <v>-2.4139534411638516E-2</v>
          </cell>
          <cell r="AI62">
            <v>8.1027580714914673E-4</v>
          </cell>
        </row>
        <row r="63">
          <cell r="B63">
            <v>2046</v>
          </cell>
          <cell r="D63">
            <v>105.05770198213314</v>
          </cell>
          <cell r="E63">
            <v>4.1302131391862345</v>
          </cell>
          <cell r="F63">
            <v>-7.6385123932434821E-3</v>
          </cell>
          <cell r="G63">
            <v>2.2986680455956316E-4</v>
          </cell>
          <cell r="H63">
            <v>52.850298150213874</v>
          </cell>
          <cell r="I63">
            <v>6.6775681357873866</v>
          </cell>
          <cell r="J63">
            <v>-6.3464321503411747E-2</v>
          </cell>
          <cell r="K63">
            <v>4.9901810428383563E-4</v>
          </cell>
          <cell r="L63"/>
          <cell r="M63">
            <v>2.0114236456394412</v>
          </cell>
          <cell r="N63"/>
          <cell r="O63"/>
          <cell r="P63">
            <v>68.189762188207453</v>
          </cell>
          <cell r="Q63">
            <v>4.9791814780616832</v>
          </cell>
          <cell r="R63">
            <v>-3.1330554302535785E-2</v>
          </cell>
          <cell r="S63">
            <v>3.1878169781324731E-4</v>
          </cell>
          <cell r="T63">
            <v>209.96509267788639</v>
          </cell>
          <cell r="U63">
            <v>3.7161925598704046</v>
          </cell>
          <cell r="V63">
            <v>7.3173091320096039E-3</v>
          </cell>
          <cell r="W63">
            <v>3.9982885684536638E-4</v>
          </cell>
          <cell r="X63">
            <v>167.11268331918308</v>
          </cell>
          <cell r="Y63">
            <v>4.0049855390904039</v>
          </cell>
          <cell r="Z63">
            <v>-2.7512832789526692E-2</v>
          </cell>
          <cell r="AA63">
            <v>9.1796413153409347E-4</v>
          </cell>
          <cell r="AB63"/>
          <cell r="AC63">
            <v>4.9445063615437697</v>
          </cell>
          <cell r="AD63"/>
          <cell r="AE63"/>
          <cell r="AF63">
            <v>149.15188468132808</v>
          </cell>
          <cell r="AG63">
            <v>4.1055996350705826</v>
          </cell>
          <cell r="AH63">
            <v>-2.4238284167726765E-2</v>
          </cell>
          <cell r="AI63">
            <v>8.1359117607858488E-4</v>
          </cell>
        </row>
        <row r="64">
          <cell r="B64">
            <v>2047</v>
          </cell>
          <cell r="D64">
            <v>105.50377665136205</v>
          </cell>
          <cell r="E64">
            <v>4.1477500110685144</v>
          </cell>
          <cell r="F64">
            <v>-7.6709454926253478E-3</v>
          </cell>
          <cell r="G64">
            <v>2.3084281828227005E-4</v>
          </cell>
          <cell r="H64">
            <v>53.067107498109991</v>
          </cell>
          <cell r="I64">
            <v>6.7049617218923716</v>
          </cell>
          <cell r="J64">
            <v>-6.3724673074574439E-2</v>
          </cell>
          <cell r="K64">
            <v>5.010652410752048E-4</v>
          </cell>
          <cell r="L64"/>
          <cell r="M64">
            <v>2.0114236456394412</v>
          </cell>
          <cell r="N64"/>
          <cell r="O64"/>
          <cell r="P64">
            <v>68.475937135657475</v>
          </cell>
          <cell r="Q64">
            <v>4.9987789080787497</v>
          </cell>
          <cell r="R64">
            <v>-3.1459550663152987E-2</v>
          </cell>
          <cell r="S64">
            <v>3.2010353195132687E-4</v>
          </cell>
          <cell r="T64">
            <v>210.8566037950992</v>
          </cell>
          <cell r="U64">
            <v>3.7319715016867505</v>
          </cell>
          <cell r="V64">
            <v>7.3483784033635674E-3</v>
          </cell>
          <cell r="W64">
            <v>4.0152652890272585E-4</v>
          </cell>
          <cell r="X64">
            <v>167.79823464365478</v>
          </cell>
          <cell r="Y64">
            <v>4.0214153102261427</v>
          </cell>
          <cell r="Z64">
            <v>-2.7625699500683519E-2</v>
          </cell>
          <cell r="AA64">
            <v>9.217299230568634E-4</v>
          </cell>
          <cell r="AB64"/>
          <cell r="AC64">
            <v>4.9445063615437697</v>
          </cell>
          <cell r="AD64"/>
          <cell r="AE64"/>
          <cell r="AF64">
            <v>149.76398358062428</v>
          </cell>
          <cell r="AG64">
            <v>4.1202267059554147</v>
          </cell>
          <cell r="AH64">
            <v>-2.433770963084592E-2</v>
          </cell>
          <cell r="AI64">
            <v>8.1692923081692415E-4</v>
          </cell>
        </row>
        <row r="65">
          <cell r="B65">
            <v>2048</v>
          </cell>
          <cell r="D65">
            <v>105.95290363993074</v>
          </cell>
          <cell r="E65">
            <v>4.1654068810966161</v>
          </cell>
          <cell r="F65">
            <v>-7.7036005193734641E-3</v>
          </cell>
          <cell r="G65">
            <v>2.3182551049574814E-4</v>
          </cell>
          <cell r="H65">
            <v>53.285400389931141</v>
          </cell>
          <cell r="I65">
            <v>6.7325427518905503</v>
          </cell>
          <cell r="J65">
            <v>-6.3986806132538848E-2</v>
          </cell>
          <cell r="K65">
            <v>5.0312638564520545E-4</v>
          </cell>
          <cell r="L65"/>
          <cell r="M65">
            <v>2.0114236456394412</v>
          </cell>
          <cell r="N65"/>
          <cell r="O65"/>
          <cell r="P65">
            <v>68.764070269453697</v>
          </cell>
          <cell r="Q65">
            <v>5.0185104358574195</v>
          </cell>
          <cell r="R65">
            <v>-3.1589429696814497E-2</v>
          </cell>
          <cell r="S65">
            <v>3.2143441089778054E-4</v>
          </cell>
          <cell r="T65">
            <v>211.75421518388632</v>
          </cell>
          <cell r="U65">
            <v>3.7478584128019383</v>
          </cell>
          <cell r="V65">
            <v>7.3796602699271888E-3</v>
          </cell>
          <cell r="W65">
            <v>4.0323581748442705E-4</v>
          </cell>
          <cell r="X65">
            <v>168.4884769351562</v>
          </cell>
          <cell r="Y65">
            <v>4.0379575040382765</v>
          </cell>
          <cell r="Z65">
            <v>-2.7739338515826769E-2</v>
          </cell>
          <cell r="AA65">
            <v>9.2552148245906619E-4</v>
          </cell>
          <cell r="AB65"/>
          <cell r="AC65">
            <v>4.9445063615437697</v>
          </cell>
          <cell r="AD65"/>
          <cell r="AE65"/>
          <cell r="AF65">
            <v>150.38027083993529</v>
          </cell>
          <cell r="AG65">
            <v>4.1349538643243093</v>
          </cell>
          <cell r="AH65">
            <v>-2.4437815424602261E-2</v>
          </cell>
          <cell r="AI65">
            <v>8.2029012659452902E-4</v>
          </cell>
        </row>
        <row r="66">
          <cell r="B66">
            <v>2049</v>
          </cell>
          <cell r="D66">
            <v>106.40510383369984</v>
          </cell>
          <cell r="E66">
            <v>4.1831845703722239</v>
          </cell>
          <cell r="F66">
            <v>-7.7364789920524096E-3</v>
          </cell>
          <cell r="G66">
            <v>2.3281492689837036E-4</v>
          </cell>
          <cell r="H66">
            <v>53.505186977004236</v>
          </cell>
          <cell r="I66">
            <v>6.7603125083892053</v>
          </cell>
          <cell r="J66">
            <v>-6.4250732867341731E-2</v>
          </cell>
          <cell r="K66">
            <v>5.0520163384373969E-4</v>
          </cell>
          <cell r="L66"/>
          <cell r="M66">
            <v>2.0114236456394412</v>
          </cell>
          <cell r="N66"/>
          <cell r="O66"/>
          <cell r="P66">
            <v>69.054174988720661</v>
          </cell>
          <cell r="Q66">
            <v>5.0383769789776851</v>
          </cell>
          <cell r="R66">
            <v>-3.1720197443316306E-2</v>
          </cell>
          <cell r="S66">
            <v>3.2277439654279254E-4</v>
          </cell>
          <cell r="T66">
            <v>212.65796858608655</v>
          </cell>
          <cell r="U66">
            <v>3.7638540320088234</v>
          </cell>
          <cell r="V66">
            <v>7.4111561864086467E-3</v>
          </cell>
          <cell r="W66">
            <v>4.0495680207792875E-4</v>
          </cell>
          <cell r="X66">
            <v>169.18344229219082</v>
          </cell>
          <cell r="Y66">
            <v>4.0546128897924296</v>
          </cell>
          <cell r="Z66">
            <v>-2.7853755119538935E-2</v>
          </cell>
          <cell r="AA66">
            <v>9.2933898606050195E-4</v>
          </cell>
          <cell r="AB66"/>
          <cell r="AC66">
            <v>4.9445063615437697</v>
          </cell>
          <cell r="AD66"/>
          <cell r="AE66"/>
          <cell r="AF66">
            <v>151.00077511861593</v>
          </cell>
          <cell r="AG66">
            <v>4.1497817950378604</v>
          </cell>
          <cell r="AH66">
            <v>-2.4538606204239626E-2</v>
          </cell>
          <cell r="AI66">
            <v>8.2367401970394544E-4</v>
          </cell>
        </row>
        <row r="67">
          <cell r="B67">
            <v>2050</v>
          </cell>
          <cell r="D67">
            <v>106.86039826144385</v>
          </cell>
          <cell r="E67">
            <v>4.2010839056155014</v>
          </cell>
          <cell r="F67">
            <v>-7.7695824396177169E-3</v>
          </cell>
          <cell r="G67">
            <v>2.3381111350120589E-4</v>
          </cell>
          <cell r="H67">
            <v>53.726477480117886</v>
          </cell>
          <cell r="I67">
            <v>6.788272282772013</v>
          </cell>
          <cell r="J67">
            <v>-6.4516465552431596E-2</v>
          </cell>
          <cell r="K67">
            <v>5.0729108217657456E-4</v>
          </cell>
          <cell r="L67"/>
          <cell r="M67">
            <v>2.0114236456394412</v>
          </cell>
          <cell r="N67"/>
          <cell r="O67"/>
          <cell r="P67">
            <v>69.34626478426803</v>
          </cell>
          <cell r="Q67">
            <v>5.0583794612981841</v>
          </cell>
          <cell r="R67">
            <v>-3.1851859983782441E-2</v>
          </cell>
          <cell r="S67">
            <v>3.2412355120003809E-4</v>
          </cell>
          <cell r="T67">
            <v>213.56790602916189</v>
          </cell>
          <cell r="U67">
            <v>3.7799591031555395</v>
          </cell>
          <cell r="V67">
            <v>7.4428676174701312E-3</v>
          </cell>
          <cell r="W67">
            <v>4.0668956271459216E-4</v>
          </cell>
          <cell r="X67">
            <v>169.88316303290011</v>
          </cell>
          <cell r="Y67">
            <v>4.0713822420180161</v>
          </cell>
          <cell r="Z67">
            <v>-2.7968954632562902E-2</v>
          </cell>
          <cell r="AA67">
            <v>9.3318261138746036E-4</v>
          </cell>
          <cell r="AB67"/>
          <cell r="AC67">
            <v>4.9445063615437697</v>
          </cell>
          <cell r="AD67"/>
          <cell r="AE67"/>
          <cell r="AF67">
            <v>151.62552527212623</v>
          </cell>
          <cell r="AG67">
            <v>4.164711187642899</v>
          </cell>
          <cell r="AH67">
            <v>-2.4640086656855933E-2</v>
          </cell>
          <cell r="AI67">
            <v>8.2708106750716979E-4</v>
          </cell>
        </row>
        <row r="68">
          <cell r="B68">
            <v>2051</v>
          </cell>
          <cell r="D68">
            <v>107.31880809582935</v>
          </cell>
          <cell r="E68">
            <v>4.2191057192035544</v>
          </cell>
          <cell r="F68">
            <v>-7.8029124014869951E-3</v>
          </cell>
          <cell r="G68">
            <v>2.3481411663016068E-4</v>
          </cell>
          <cell r="H68">
            <v>53.949282189997732</v>
          </cell>
          <cell r="I68">
            <v>6.8164233752591032</v>
          </cell>
          <cell r="J68">
            <v>-6.4784016545239603E-2</v>
          </cell>
          <cell r="K68">
            <v>5.0939482780982973E-4</v>
          </cell>
          <cell r="L68"/>
          <cell r="M68">
            <v>2.0114236456394412</v>
          </cell>
          <cell r="N68"/>
          <cell r="O68"/>
          <cell r="P68">
            <v>69.640353239218001</v>
          </cell>
          <cell r="Q68">
            <v>5.0785188129991763</v>
          </cell>
          <cell r="R68">
            <v>-3.1984423440947762E-2</v>
          </cell>
          <cell r="S68">
            <v>3.2548193760958163E-4</v>
          </cell>
          <cell r="T68">
            <v>214.48406982815285</v>
          </cell>
          <cell r="U68">
            <v>3.7961743751800943</v>
          </cell>
          <cell r="V68">
            <v>7.4747960377959683E-3</v>
          </cell>
          <cell r="W68">
            <v>4.0843417997340304E-4</v>
          </cell>
          <cell r="X68">
            <v>170.58767169656642</v>
          </cell>
          <cell r="Y68">
            <v>4.0882663405442674</v>
          </cell>
          <cell r="Z68">
            <v>-2.8084942412049407E-2</v>
          </cell>
          <cell r="AA68">
            <v>9.3705253718097696E-4</v>
          </cell>
          <cell r="AB68"/>
          <cell r="AC68">
            <v>4.9445063615437697</v>
          </cell>
          <cell r="AD68"/>
          <cell r="AE68"/>
          <cell r="AF68">
            <v>152.25455035337319</v>
          </cell>
          <cell r="AG68">
            <v>4.1797427364045712</v>
          </cell>
          <cell r="AH68">
            <v>-2.4742261501621132E-2</v>
          </cell>
          <cell r="AI68">
            <v>8.3051142844296777E-4</v>
          </cell>
        </row>
        <row r="69">
          <cell r="B69">
            <v>2052</v>
          </cell>
          <cell r="D69">
            <v>107.78035465439929</v>
          </cell>
          <cell r="E69">
            <v>4.2372508492091194</v>
          </cell>
          <cell r="F69">
            <v>-7.8364704276114843E-3</v>
          </cell>
          <cell r="G69">
            <v>2.3582398292813065E-4</v>
          </cell>
          <cell r="H69">
            <v>54.173611467784852</v>
          </cell>
          <cell r="I69">
            <v>6.8447670949675121</v>
          </cell>
          <cell r="J69">
            <v>-6.5053398287754E-2</v>
          </cell>
          <cell r="K69">
            <v>5.1151296857449523E-4</v>
          </cell>
          <cell r="L69"/>
          <cell r="M69">
            <v>2.0114236456394412</v>
          </cell>
          <cell r="N69"/>
          <cell r="O69"/>
          <cell r="P69">
            <v>69.93645402963682</v>
          </cell>
          <cell r="Q69">
            <v>5.0987959706257859</v>
          </cell>
          <cell r="R69">
            <v>-3.2117893979442654E-2</v>
          </cell>
          <cell r="S69">
            <v>3.2684961894079352E-4</v>
          </cell>
          <cell r="T69">
            <v>215.40650258764509</v>
          </cell>
          <cell r="U69">
            <v>3.8125006021451866</v>
          </cell>
          <cell r="V69">
            <v>7.5069429321611781E-3</v>
          </cell>
          <cell r="W69">
            <v>4.1019073498471773E-4</v>
          </cell>
          <cell r="X69">
            <v>171.29700104512577</v>
          </cell>
          <cell r="Y69">
            <v>4.1052659705364851</v>
          </cell>
          <cell r="Z69">
            <v>-2.8201723851806096E-2</v>
          </cell>
          <cell r="AA69">
            <v>9.40948943405143E-4</v>
          </cell>
          <cell r="AB69"/>
          <cell r="AC69">
            <v>4.9445063615437697</v>
          </cell>
          <cell r="AD69"/>
          <cell r="AE69"/>
          <cell r="AF69">
            <v>152.88787961406166</v>
          </cell>
          <cell r="AG69">
            <v>4.1948771403386109</v>
          </cell>
          <cell r="AH69">
            <v>-2.4845135489996645E-2</v>
          </cell>
          <cell r="AI69">
            <v>8.3396526203424032E-4</v>
          </cell>
        </row>
        <row r="70">
          <cell r="B70">
            <v>2053</v>
          </cell>
          <cell r="D70">
            <v>108.24505940056454</v>
          </cell>
          <cell r="E70">
            <v>4.2555201394395521</v>
          </cell>
          <cell r="F70">
            <v>-7.8702580785481677E-3</v>
          </cell>
          <cell r="G70">
            <v>2.3684075935717186E-4</v>
          </cell>
          <cell r="H70">
            <v>54.399475745517741</v>
          </cell>
          <cell r="I70">
            <v>6.8733047599720702</v>
          </cell>
          <cell r="J70">
            <v>-6.5324623307098914E-2</v>
          </cell>
          <cell r="K70">
            <v>5.136456029709816E-4</v>
          </cell>
          <cell r="L70"/>
          <cell r="M70">
            <v>2.0114236456394412</v>
          </cell>
          <cell r="N70"/>
          <cell r="O70"/>
          <cell r="P70">
            <v>70.234580925170917</v>
          </cell>
          <cell r="Q70">
            <v>5.1192118771315629</v>
          </cell>
          <cell r="R70">
            <v>-3.2252277806079754E-2</v>
          </cell>
          <cell r="S70">
            <v>3.2822665879528843E-4</v>
          </cell>
          <cell r="T70">
            <v>216.33524720375172</v>
          </cell>
          <cell r="U70">
            <v>3.8289385432732863</v>
          </cell>
          <cell r="V70">
            <v>7.5393097955005397E-3</v>
          </cell>
          <cell r="W70">
            <v>4.1195930943403763E-4</v>
          </cell>
          <cell r="X70">
            <v>172.011184064692</v>
          </cell>
          <cell r="Y70">
            <v>4.1223819225325613</v>
          </cell>
          <cell r="Z70">
            <v>-2.8319304382548423E-2</v>
          </cell>
          <cell r="AA70">
            <v>9.4487201125547672E-4</v>
          </cell>
          <cell r="AB70"/>
          <cell r="AC70">
            <v>4.9445063615437697</v>
          </cell>
          <cell r="AD70"/>
          <cell r="AE70"/>
          <cell r="AF70">
            <v>153.52554250605507</v>
          </cell>
          <cell r="AG70">
            <v>4.2101151032438517</v>
          </cell>
          <cell r="AH70">
            <v>-2.494871340595636E-2</v>
          </cell>
          <cell r="AI70">
            <v>8.3744272889544366E-4</v>
          </cell>
        </row>
        <row r="71">
          <cell r="B71">
            <v>2054</v>
          </cell>
          <cell r="D71">
            <v>108.7129439446019</v>
          </cell>
          <cell r="E71">
            <v>4.2739144394760595</v>
          </cell>
          <cell r="F71">
            <v>-7.9042769255323157E-3</v>
          </cell>
          <cell r="G71">
            <v>2.3786449320068354E-4</v>
          </cell>
          <cell r="H71">
            <v>54.626885526617343</v>
          </cell>
          <cell r="I71">
            <v>6.9020376973666888</v>
          </cell>
          <cell r="J71">
            <v>-6.559770421611677E-2</v>
          </cell>
          <cell r="K71">
            <v>5.1579283017370013E-4</v>
          </cell>
          <cell r="L71"/>
          <cell r="M71">
            <v>2.0114236456394412</v>
          </cell>
          <cell r="N71"/>
          <cell r="O71"/>
          <cell r="P71">
            <v>70.534747789687188</v>
          </cell>
          <cell r="Q71">
            <v>5.1397674819223251</v>
          </cell>
          <cell r="R71">
            <v>-3.2387581170142524E-2</v>
          </cell>
          <cell r="S71">
            <v>3.296131212098826E-4</v>
          </cell>
          <cell r="T71">
            <v>217.27034686610739</v>
          </cell>
          <cell r="U71">
            <v>3.8454889629819307</v>
          </cell>
          <cell r="V71">
            <v>7.5718981329781004E-3</v>
          </cell>
          <cell r="W71">
            <v>4.1373998556580653E-4</v>
          </cell>
          <cell r="X71">
            <v>172.73025396709002</v>
          </cell>
          <cell r="Y71">
            <v>4.1396149924797339</v>
          </cell>
          <cell r="Z71">
            <v>-2.8437689472152135E-2</v>
          </cell>
          <cell r="AA71">
            <v>9.4882192316734745E-4</v>
          </cell>
          <cell r="AB71"/>
          <cell r="AC71">
            <v>4.9445063615437697</v>
          </cell>
          <cell r="AD71"/>
          <cell r="AE71"/>
          <cell r="AF71">
            <v>154.16756868274439</v>
          </cell>
          <cell r="AG71">
            <v>4.2254573337349548</v>
          </cell>
          <cell r="AH71">
            <v>-2.5053000066209058E-2</v>
          </cell>
          <cell r="AI71">
            <v>8.4094399074005697E-4</v>
          </cell>
        </row>
        <row r="72">
          <cell r="B72">
            <v>2055</v>
          </cell>
          <cell r="D72">
            <v>109.18403004465905</v>
          </cell>
          <cell r="E72">
            <v>4.2924346047132058</v>
          </cell>
          <cell r="F72">
            <v>-7.9385285505505672E-3</v>
          </cell>
          <cell r="G72">
            <v>2.3889523206560735E-4</v>
          </cell>
          <cell r="H72">
            <v>54.855851386375463</v>
          </cell>
          <cell r="I72">
            <v>6.9309672433260774</v>
          </cell>
          <cell r="J72">
            <v>-6.5872653713954857E-2</v>
          </cell>
          <cell r="K72">
            <v>5.1795475003567457E-4</v>
          </cell>
          <cell r="L72"/>
          <cell r="M72">
            <v>2.0114236456394412</v>
          </cell>
          <cell r="N72"/>
          <cell r="O72"/>
          <cell r="P72">
            <v>70.836968581917617</v>
          </cell>
          <cell r="Q72">
            <v>5.1604637409003145</v>
          </cell>
          <cell r="R72">
            <v>-3.2523810363675895E-2</v>
          </cell>
          <cell r="S72">
            <v>3.3100907065957167E-4</v>
          </cell>
          <cell r="T72">
            <v>218.21184505987699</v>
          </cell>
          <cell r="U72">
            <v>3.8621526309192755</v>
          </cell>
          <cell r="V72">
            <v>7.6047094600571689E-3</v>
          </cell>
          <cell r="W72">
            <v>4.1553284618723555E-4</v>
          </cell>
          <cell r="X72">
            <v>173.45424419140079</v>
          </cell>
          <cell r="Y72">
            <v>4.1569659817716076</v>
          </cell>
          <cell r="Z72">
            <v>-2.8556884625907577E-2</v>
          </cell>
          <cell r="AA72">
            <v>9.5279886282446024E-4</v>
          </cell>
          <cell r="AB72"/>
          <cell r="AC72">
            <v>4.9445063615437697</v>
          </cell>
          <cell r="AD72"/>
          <cell r="AE72"/>
          <cell r="AF72">
            <v>154.8139880004276</v>
          </cell>
          <cell r="AG72">
            <v>4.2409045452753604</v>
          </cell>
          <cell r="AH72">
            <v>-2.5158000320422418E-2</v>
          </cell>
          <cell r="AI72">
            <v>8.4446921038810324E-4</v>
          </cell>
        </row>
        <row r="73">
          <cell r="B73">
            <v>2056</v>
          </cell>
          <cell r="D73">
            <v>109.65833960776642</v>
          </cell>
          <cell r="E73">
            <v>4.3110814963987005</v>
          </cell>
          <cell r="F73">
            <v>-7.9730145464144957E-3</v>
          </cell>
          <cell r="G73">
            <v>2.3993302388464102E-4</v>
          </cell>
          <cell r="H73">
            <v>55.086383972446704</v>
          </cell>
          <cell r="I73">
            <v>6.9600947431678879</v>
          </cell>
          <cell r="J73">
            <v>-6.6149484586655982E-2</v>
          </cell>
          <cell r="K73">
            <v>5.2013146309318561E-4</v>
          </cell>
          <cell r="L73"/>
          <cell r="M73">
            <v>2.0114236456394412</v>
          </cell>
          <cell r="N73"/>
          <cell r="O73"/>
          <cell r="P73">
            <v>71.141257356108568</v>
          </cell>
          <cell r="Q73">
            <v>5.1813016165086525</v>
          </cell>
          <cell r="R73">
            <v>-3.2660971721778904E-2</v>
          </cell>
          <cell r="S73">
            <v>3.3241457206052943E-4</v>
          </cell>
          <cell r="T73">
            <v>219.15978556777796</v>
          </cell>
          <cell r="U73">
            <v>3.8789303219998854</v>
          </cell>
          <cell r="V73">
            <v>7.6377453025707944E-3</v>
          </cell>
          <cell r="W73">
            <v>4.1733797467215428E-4</v>
          </cell>
          <cell r="X73">
            <v>174.18318840551623</v>
          </cell>
          <cell r="Y73">
            <v>4.1744356972854213</v>
          </cell>
          <cell r="Z73">
            <v>-2.8676895386775713E-2</v>
          </cell>
          <cell r="AA73">
            <v>9.5680301516739912E-4</v>
          </cell>
          <cell r="AB73"/>
          <cell r="AC73">
            <v>4.9445063615437697</v>
          </cell>
          <cell r="AD73"/>
          <cell r="AE73"/>
          <cell r="AF73">
            <v>155.46483051969813</v>
          </cell>
          <cell r="AG73">
            <v>4.2564574562104722</v>
          </cell>
          <cell r="AH73">
            <v>-2.5263719051448578E-2</v>
          </cell>
          <cell r="AI73">
            <v>8.4801855177372195E-4</v>
          </cell>
        </row>
        <row r="74">
          <cell r="B74">
            <v>2057</v>
          </cell>
          <cell r="D74">
            <v>110.13589469085601</v>
          </cell>
          <cell r="E74">
            <v>4.3298559816734423</v>
          </cell>
          <cell r="F74">
            <v>-8.0077365168346806E-3</v>
          </cell>
          <cell r="G74">
            <v>2.409779169184678E-4</v>
          </cell>
          <cell r="H74">
            <v>55.318494005343453</v>
          </cell>
          <cell r="I74">
            <v>6.9894215514152629</v>
          </cell>
          <cell r="J74">
            <v>-6.6428209707752914E-2</v>
          </cell>
          <cell r="K74">
            <v>5.2232307057044488E-4</v>
          </cell>
          <cell r="L74"/>
          <cell r="M74">
            <v>2.0114236456394412</v>
          </cell>
          <cell r="N74"/>
          <cell r="O74"/>
          <cell r="P74">
            <v>71.447628262674257</v>
          </cell>
          <cell r="Q74">
            <v>5.2022820777760908</v>
          </cell>
          <cell r="R74">
            <v>-3.2799071622899238E-2</v>
          </cell>
          <cell r="S74">
            <v>3.3382969077312615E-4</v>
          </cell>
          <cell r="T74">
            <v>220.11421247211621</v>
          </cell>
          <cell r="U74">
            <v>3.8958228164407744</v>
          </cell>
          <cell r="V74">
            <v>7.6710071967927259E-3</v>
          </cell>
          <cell r="W74">
            <v>4.1915545496488781E-4</v>
          </cell>
          <cell r="X74">
            <v>174.91712050770482</v>
          </cell>
          <cell r="Y74">
            <v>4.1920249514195627</v>
          </cell>
          <cell r="Z74">
            <v>-2.8797727335645881E-2</v>
          </cell>
          <cell r="AA74">
            <v>9.6083456640222496E-4</v>
          </cell>
          <cell r="AB74"/>
          <cell r="AC74">
            <v>4.9445063615437697</v>
          </cell>
          <cell r="AD74"/>
          <cell r="AE74"/>
          <cell r="AF74">
            <v>156.12012650684241</v>
          </cell>
          <cell r="AG74">
            <v>4.2721167898010517</v>
          </cell>
          <cell r="AH74">
            <v>-2.537016117555117E-2</v>
          </cell>
          <cell r="AI74">
            <v>8.5159217995279049E-4</v>
          </cell>
        </row>
        <row r="75">
          <cell r="B75">
            <v>2058</v>
          </cell>
          <cell r="D75">
            <v>110.61671750178679</v>
          </cell>
          <cell r="E75">
            <v>4.3487589336118404</v>
          </cell>
          <cell r="F75">
            <v>-8.0426960764952721E-3</v>
          </cell>
          <cell r="G75">
            <v>2.4202995975799996E-4</v>
          </cell>
          <cell r="H75">
            <v>55.55219227893452</v>
          </cell>
          <cell r="I75">
            <v>7.018949031859834</v>
          </cell>
          <cell r="J75">
            <v>-6.6708842038867122E-2</v>
          </cell>
          <cell r="K75">
            <v>5.2452967438430332E-4</v>
          </cell>
          <cell r="L75"/>
          <cell r="M75">
            <v>2.0114236456394412</v>
          </cell>
          <cell r="N75"/>
          <cell r="O75"/>
          <cell r="P75">
            <v>71.756095548854745</v>
          </cell>
          <cell r="Q75">
            <v>5.223406100362074</v>
          </cell>
          <cell r="R75">
            <v>-3.2938116489129879E-2</v>
          </cell>
          <cell r="S75">
            <v>3.3525449260496837E-4</v>
          </cell>
          <cell r="T75">
            <v>221.07517015683592</v>
          </cell>
          <cell r="U75">
            <v>3.9128308997976795</v>
          </cell>
          <cell r="V75">
            <v>7.7044966895088406E-3</v>
          </cell>
          <cell r="W75">
            <v>4.2098537158415984E-4</v>
          </cell>
          <cell r="X75">
            <v>175.65607462818798</v>
          </cell>
          <cell r="Y75">
            <v>4.2097345621313584</v>
          </cell>
          <cell r="Z75">
            <v>-2.8919386091595323E-2</v>
          </cell>
          <cell r="AA75">
            <v>9.6489370400913699E-4</v>
          </cell>
          <cell r="AB75"/>
          <cell r="AC75">
            <v>4.9445063615437697</v>
          </cell>
          <cell r="AD75"/>
          <cell r="AE75"/>
          <cell r="AF75">
            <v>156.77990643524777</v>
          </cell>
          <cell r="AG75">
            <v>4.2878832742568669</v>
          </cell>
          <cell r="AH75">
            <v>-2.5477331642633935E-2</v>
          </cell>
          <cell r="AI75">
            <v>8.551902611106017E-4</v>
          </cell>
        </row>
        <row r="76">
          <cell r="B76">
            <v>2059</v>
          </cell>
          <cell r="D76">
            <v>111.10083040037797</v>
          </cell>
          <cell r="E76">
            <v>4.3677912312624292</v>
          </cell>
          <cell r="F76">
            <v>-8.0778948511291068E-3</v>
          </cell>
          <cell r="G76">
            <v>2.4308920132663951E-4</v>
          </cell>
          <cell r="H76">
            <v>55.78748966094701</v>
          </cell>
          <cell r="I76">
            <v>7.0486785576251387</v>
          </cell>
          <cell r="J76">
            <v>-6.6991394630311521E-2</v>
          </cell>
          <cell r="K76">
            <v>5.2675137714898966E-4</v>
          </cell>
          <cell r="L76"/>
          <cell r="M76">
            <v>2.0114236456394412</v>
          </cell>
          <cell r="N76"/>
          <cell r="O76"/>
          <cell r="P76">
            <v>72.0666735593786</v>
          </cell>
          <cell r="Q76">
            <v>5.2446746666021147</v>
          </cell>
          <cell r="R76">
            <v>-3.3078112786507741E-2</v>
          </cell>
          <cell r="S76">
            <v>3.3668904381395912E-4</v>
          </cell>
          <cell r="T76">
            <v>222.04270330958414</v>
          </cell>
          <cell r="U76">
            <v>3.9299553630016031</v>
          </cell>
          <cell r="V76">
            <v>7.7382153380890963E-3</v>
          </cell>
          <cell r="W76">
            <v>4.2282780962702441E-4</v>
          </cell>
          <cell r="X76">
            <v>176.40008513072718</v>
          </cell>
          <cell r="Y76">
            <v>4.2275653529751001</v>
          </cell>
          <cell r="Z76">
            <v>-2.9041877312150473E-2</v>
          </cell>
          <cell r="AA76">
            <v>9.6898061675118868E-4</v>
          </cell>
          <cell r="AB76"/>
          <cell r="AC76">
            <v>4.9445063615437697</v>
          </cell>
          <cell r="AD76"/>
          <cell r="AE76"/>
          <cell r="AF76">
            <v>157.44420098681908</v>
          </cell>
          <cell r="AG76">
            <v>4.30375764277054</v>
          </cell>
          <cell r="AH76">
            <v>-2.5585235436470927E-2</v>
          </cell>
          <cell r="AI76">
            <v>8.5881296256959015E-4</v>
          </cell>
        </row>
        <row r="77">
          <cell r="B77">
            <v>2060</v>
          </cell>
          <cell r="D77">
            <v>111.58825589944827</v>
          </cell>
          <cell r="E77">
            <v>4.3869537596887307</v>
          </cell>
          <cell r="F77">
            <v>-8.1133344775932807E-3</v>
          </cell>
          <cell r="G77">
            <v>2.4415569088255225E-4</v>
          </cell>
          <cell r="H77">
            <v>56.024397093471826</v>
          </cell>
          <cell r="I77">
            <v>7.0786115112304815</v>
          </cell>
          <cell r="J77">
            <v>-6.7275880621697384E-2</v>
          </cell>
          <cell r="K77">
            <v>5.2898828218088303E-4</v>
          </cell>
          <cell r="L77"/>
          <cell r="M77">
            <v>2.0114236456394412</v>
          </cell>
          <cell r="N77"/>
          <cell r="O77"/>
          <cell r="P77">
            <v>72.379376737129917</v>
          </cell>
          <cell r="Q77">
            <v>5.2660887655534765</v>
          </cell>
          <cell r="R77">
            <v>-3.3219067025314387E-2</v>
          </cell>
          <cell r="S77">
            <v>3.3813341111137889E-4</v>
          </cell>
          <cell r="T77">
            <v>223.01685692378814</v>
          </cell>
          <cell r="U77">
            <v>3.9471970023955829</v>
          </cell>
          <cell r="V77">
            <v>7.7721647105599319E-3</v>
          </cell>
          <cell r="W77">
            <v>4.2468285477282154E-4</v>
          </cell>
          <cell r="X77">
            <v>177.1491866142222</v>
          </cell>
          <cell r="Y77">
            <v>4.2455181531403543</v>
          </cell>
          <cell r="Z77">
            <v>-2.9165206693550088E-2</v>
          </cell>
          <cell r="AA77">
            <v>9.7309549468306902E-4</v>
          </cell>
          <cell r="AB77"/>
          <cell r="AC77">
            <v>4.9445063615437697</v>
          </cell>
          <cell r="AD77"/>
          <cell r="AE77"/>
          <cell r="AF77">
            <v>158.11304105340611</v>
          </cell>
          <cell r="AG77">
            <v>4.3197406335516595</v>
          </cell>
          <cell r="AH77">
            <v>-2.5693877574938281E-2</v>
          </cell>
          <cell r="AI77">
            <v>8.6246045279711535E-4</v>
          </cell>
        </row>
        <row r="78">
          <cell r="B78">
            <v>2061</v>
          </cell>
          <cell r="D78">
            <v>112.07901666586314</v>
          </cell>
          <cell r="E78">
            <v>4.4062474100104225</v>
          </cell>
          <cell r="F78">
            <v>-8.1490166039452847E-3</v>
          </cell>
          <cell r="G78">
            <v>2.4522947802095904E-4</v>
          </cell>
          <cell r="H78">
            <v>56.262925593472382</v>
          </cell>
          <cell r="I78">
            <v>7.1087492846552172</v>
          </cell>
          <cell r="J78">
            <v>-6.7562313242545344E-2</v>
          </cell>
          <cell r="K78">
            <v>5.3124049350331741E-4</v>
          </cell>
          <cell r="L78"/>
          <cell r="M78">
            <v>2.0114236456394412</v>
          </cell>
          <cell r="N78"/>
          <cell r="O78"/>
          <cell r="P78">
            <v>72.69421962381989</v>
          </cell>
          <cell r="Q78">
            <v>5.2876493930411632</v>
          </cell>
          <cell r="R78">
            <v>-3.3360985760378763E-2</v>
          </cell>
          <cell r="S78">
            <v>3.3958766166498834E-4</v>
          </cell>
          <cell r="T78">
            <v>223.99767630074814</v>
          </cell>
          <cell r="U78">
            <v>3.9645566197717312</v>
          </cell>
          <cell r="V78">
            <v>7.8063463856771946E-3</v>
          </cell>
          <cell r="W78">
            <v>4.2655059328716277E-4</v>
          </cell>
          <cell r="X78">
            <v>177.90341391431983</v>
          </cell>
          <cell r="Y78">
            <v>4.2635937974905138</v>
          </cell>
          <cell r="Z78">
            <v>-2.928937997101012E-2</v>
          </cell>
          <cell r="AA78">
            <v>9.7723852915993794E-4</v>
          </cell>
          <cell r="AB78"/>
          <cell r="AC78">
            <v>4.9445063615437697</v>
          </cell>
          <cell r="AD78"/>
          <cell r="AE78"/>
          <cell r="AF78">
            <v>158.78645773823951</v>
          </cell>
          <cell r="AG78">
            <v>4.3358329898610961</v>
          </cell>
          <cell r="AH78">
            <v>-2.5803263110247554E-2</v>
          </cell>
          <cell r="AI78">
            <v>8.6613290141329441E-4</v>
          </cell>
        </row>
        <row r="79">
          <cell r="B79">
            <v>2062</v>
          </cell>
          <cell r="D79">
            <v>112.57313552158872</v>
          </cell>
          <cell r="E79">
            <v>4.4256730794447732</v>
          </cell>
          <cell r="F79">
            <v>-8.1849428895196356E-3</v>
          </cell>
          <cell r="G79">
            <v>2.4631061267644183E-4</v>
          </cell>
          <cell r="H79">
            <v>56.503086253296956</v>
          </cell>
          <cell r="I79">
            <v>7.1390932794034816</v>
          </cell>
          <cell r="J79">
            <v>-6.785070581290055E-2</v>
          </cell>
          <cell r="K79">
            <v>5.3350811585141833E-4</v>
          </cell>
          <cell r="L79"/>
          <cell r="M79">
            <v>2.0114236456394412</v>
          </cell>
          <cell r="N79"/>
          <cell r="O79"/>
          <cell r="P79">
            <v>73.011216860663154</v>
          </cell>
          <cell r="Q79">
            <v>5.3093575517042284</v>
          </cell>
          <cell r="R79">
            <v>-3.3503875591381987E-2</v>
          </cell>
          <cell r="S79">
            <v>3.4105186310215126E-4</v>
          </cell>
          <cell r="T79">
            <v>224.985207051744</v>
          </cell>
          <cell r="U79">
            <v>3.9820350224085166</v>
          </cell>
          <cell r="V79">
            <v>7.8407619529995594E-3</v>
          </cell>
          <cell r="W79">
            <v>4.2843111202594213E-4</v>
          </cell>
          <cell r="X79">
            <v>178.66280210503396</v>
          </cell>
          <cell r="Y79">
            <v>4.2817931266016203</v>
          </cell>
          <cell r="Z79">
            <v>-2.9414402918990393E-2</v>
          </cell>
          <cell r="AA79">
            <v>9.814099128463258E-4</v>
          </cell>
          <cell r="AB79"/>
          <cell r="AC79">
            <v>4.9445063615437697</v>
          </cell>
          <cell r="AD79"/>
          <cell r="AE79"/>
          <cell r="AF79">
            <v>159.46448235737776</v>
          </cell>
          <cell r="AG79">
            <v>4.3520354600455704</v>
          </cell>
          <cell r="AH79">
            <v>-2.5913397129180629E-2</v>
          </cell>
          <cell r="AI79">
            <v>8.6983047919888992E-4</v>
          </cell>
        </row>
        <row r="80">
          <cell r="B80">
            <v>2063</v>
          </cell>
          <cell r="D80">
            <v>113.07063544475334</v>
          </cell>
          <cell r="E80">
            <v>4.4452316713483739</v>
          </cell>
          <cell r="F80">
            <v>-8.2211150050050565E-3</v>
          </cell>
          <cell r="G80">
            <v>2.4739914512526628E-4</v>
          </cell>
          <cell r="H80">
            <v>56.744890241194661</v>
          </cell>
          <cell r="I80">
            <v>7.1696449065693812</v>
          </cell>
          <cell r="J80">
            <v>-6.8141071743952245E-2</v>
          </cell>
          <cell r="K80">
            <v>5.3579125467697458E-4</v>
          </cell>
          <cell r="L80"/>
          <cell r="M80">
            <v>2.0114236456394412</v>
          </cell>
          <cell r="N80"/>
          <cell r="O80"/>
          <cell r="P80">
            <v>73.330383189058651</v>
          </cell>
          <cell r="Q80">
            <v>5.3312142510424083</v>
          </cell>
          <cell r="R80">
            <v>-3.3647743163164323E-2</v>
          </cell>
          <cell r="S80">
            <v>3.4252608351298007E-4</v>
          </cell>
          <cell r="T80">
            <v>225.97949510015636</v>
          </cell>
          <cell r="U80">
            <v>3.9996330231083115</v>
          </cell>
          <cell r="V80">
            <v>7.8754130129624518E-3</v>
          </cell>
          <cell r="W80">
            <v>4.3032449843937614E-4</v>
          </cell>
          <cell r="X80">
            <v>179.42738650037666</v>
          </cell>
          <cell r="Y80">
            <v>4.3001169868014655</v>
          </cell>
          <cell r="Z80">
            <v>-2.9540281351463211E-2</v>
          </cell>
          <cell r="AA80">
            <v>9.8560983972509385E-4</v>
          </cell>
          <cell r="AB80"/>
          <cell r="AC80">
            <v>4.9445063615437697</v>
          </cell>
          <cell r="AD80"/>
          <cell r="AE80"/>
          <cell r="AF80">
            <v>160.14714644116313</v>
          </cell>
          <cell r="AG80">
            <v>4.3683487975724624</v>
          </cell>
          <cell r="AH80">
            <v>-2.6024284753326354E-2</v>
          </cell>
          <cell r="AI80">
            <v>8.7355335810325311E-4</v>
          </cell>
        </row>
        <row r="81">
          <cell r="B81">
            <v>2064</v>
          </cell>
          <cell r="D81">
            <v>113.57153957071573</v>
          </cell>
          <cell r="E81">
            <v>4.4649240952591338</v>
          </cell>
          <cell r="F81">
            <v>-8.2575346325221444E-3</v>
          </cell>
          <cell r="G81">
            <v>2.484951259877189E-4</v>
          </cell>
          <cell r="H81">
            <v>56.988348801834547</v>
          </cell>
          <cell r="I81">
            <v>7.2004055869025905</v>
          </cell>
          <cell r="J81">
            <v>-6.8433424538657237E-2</v>
          </cell>
          <cell r="K81">
            <v>5.3809001615334089E-4</v>
          </cell>
          <cell r="L81"/>
          <cell r="M81">
            <v>2.0114236456394412</v>
          </cell>
          <cell r="N81"/>
          <cell r="O81"/>
          <cell r="P81">
            <v>73.651733451275021</v>
          </cell>
          <cell r="Q81">
            <v>5.3532205074630577</v>
          </cell>
          <cell r="R81">
            <v>-3.3792595166034105E-2</v>
          </cell>
          <cell r="S81">
            <v>3.4401039145350162E-4</v>
          </cell>
          <cell r="T81">
            <v>226.98058668360173</v>
          </cell>
          <cell r="U81">
            <v>4.0173514402351813</v>
          </cell>
          <cell r="V81">
            <v>7.9103011769524577E-3</v>
          </cell>
          <cell r="W81">
            <v>4.3223084057606901E-4</v>
          </cell>
          <cell r="X81">
            <v>180.19720265600026</v>
          </cell>
          <cell r="Y81">
            <v>4.3185662302089325</v>
          </cell>
          <cell r="Z81">
            <v>-2.9667021122183633E-2</v>
          </cell>
          <cell r="AA81">
            <v>9.8983850510645324E-4</v>
          </cell>
          <cell r="AB81"/>
          <cell r="AC81">
            <v>4.9445063615437697</v>
          </cell>
          <cell r="AD81"/>
          <cell r="AE81"/>
          <cell r="AF81">
            <v>160.83448173568794</v>
          </cell>
          <cell r="AG81">
            <v>4.3847737610648352</v>
          </cell>
          <cell r="AH81">
            <v>-2.613593113931862E-2</v>
          </cell>
          <cell r="AI81">
            <v>8.7730171125231847E-4</v>
          </cell>
        </row>
        <row r="82">
          <cell r="B82">
            <v>2065</v>
          </cell>
          <cell r="D82">
            <v>114.07587119314117</v>
          </cell>
          <cell r="E82">
            <v>4.4847512669385878</v>
          </cell>
          <cell r="F82">
            <v>-8.2942034657016144E-3</v>
          </cell>
          <cell r="G82">
            <v>2.4959860623046206E-4</v>
          </cell>
          <cell r="H82">
            <v>57.233473256828752</v>
          </cell>
          <cell r="I82">
            <v>7.2313767508744444</v>
          </cell>
          <cell r="J82">
            <v>-6.8727777792368036E-2</v>
          </cell>
          <cell r="K82">
            <v>5.4040450718037644E-4</v>
          </cell>
          <cell r="L82"/>
          <cell r="M82">
            <v>2.0114236456394412</v>
          </cell>
          <cell r="N82"/>
          <cell r="O82"/>
          <cell r="P82">
            <v>73.975282591140939</v>
          </cell>
          <cell r="Q82">
            <v>5.375377344328423</v>
          </cell>
          <cell r="R82">
            <v>-3.3938438336078958E-2</v>
          </cell>
          <cell r="S82">
            <v>3.4550485594884593E-4</v>
          </cell>
          <cell r="T82">
            <v>227.98852835608335</v>
          </cell>
          <cell r="U82">
            <v>4.0351910977529473</v>
          </cell>
          <cell r="V82">
            <v>7.945428067382276E-3</v>
          </cell>
          <cell r="W82">
            <v>4.3415022708710867E-4</v>
          </cell>
          <cell r="X82">
            <v>180.97228637085095</v>
          </cell>
          <cell r="Y82">
            <v>4.3371417147736357</v>
          </cell>
          <cell r="Z82">
            <v>-2.9794628124961767E-2</v>
          </cell>
          <cell r="AA82">
            <v>9.9409610563704954E-4</v>
          </cell>
          <cell r="AB82"/>
          <cell r="AC82">
            <v>4.9445063615437697</v>
          </cell>
          <cell r="AD82"/>
          <cell r="AE82"/>
          <cell r="AF82">
            <v>161.52652020427107</v>
          </cell>
          <cell r="AG82">
            <v>4.4013111143367256</v>
          </cell>
          <cell r="AH82">
            <v>-2.6248341479076228E-2</v>
          </cell>
          <cell r="AI82">
            <v>8.8107571295665567E-4</v>
          </cell>
        </row>
        <row r="83">
          <cell r="B83">
            <v>2066</v>
          </cell>
          <cell r="D83">
            <v>114.58365376508473</v>
          </cell>
          <cell r="E83">
            <v>4.5047141084144826</v>
          </cell>
          <cell r="F83">
            <v>-8.3311232097630587E-3</v>
          </cell>
          <cell r="G83">
            <v>2.5070963716890342E-4</v>
          </cell>
          <cell r="H83">
            <v>57.480275005258925</v>
          </cell>
          <cell r="I83">
            <v>7.2625598387444459</v>
          </cell>
          <cell r="J83">
            <v>-6.9024145193464961E-2</v>
          </cell>
          <cell r="K83">
            <v>5.4273483538941532E-4</v>
          </cell>
          <cell r="L83"/>
          <cell r="M83">
            <v>2.0114236456394412</v>
          </cell>
          <cell r="N83"/>
          <cell r="O83"/>
          <cell r="P83">
            <v>74.301045654740079</v>
          </cell>
          <cell r="Q83">
            <v>5.3976857920032302</v>
          </cell>
          <cell r="R83">
            <v>-3.4085279455478963E-2</v>
          </cell>
          <cell r="S83">
            <v>3.4700954649645563E-4</v>
          </cell>
          <cell r="T83">
            <v>229.00336699015585</v>
          </cell>
          <cell r="U83">
            <v>4.0531528252635054</v>
          </cell>
          <cell r="V83">
            <v>7.9807953177661629E-3</v>
          </cell>
          <cell r="W83">
            <v>4.3608274723018898E-4</v>
          </cell>
          <cell r="X83">
            <v>181.75267368883365</v>
          </cell>
          <cell r="Y83">
            <v>4.3558443043158119</v>
          </cell>
          <cell r="Z83">
            <v>-2.9923108293936834E-2</v>
          </cell>
          <cell r="AA83">
            <v>9.9838283930910694E-4</v>
          </cell>
          <cell r="AB83"/>
          <cell r="AC83">
            <v>4.9445063615437697</v>
          </cell>
          <cell r="AD83"/>
          <cell r="AE83"/>
          <cell r="AF83">
            <v>162.22329402894425</v>
          </cell>
          <cell r="AG83">
            <v>4.4179616264286601</v>
          </cell>
          <cell r="AH83">
            <v>-2.6361521000044311E-2</v>
          </cell>
          <cell r="AI83">
            <v>8.8487553871957646E-4</v>
          </cell>
        </row>
        <row r="84">
          <cell r="B84">
            <v>2067</v>
          </cell>
          <cell r="D84">
            <v>115.09491090008159</v>
          </cell>
          <cell r="E84">
            <v>4.5248135480236398</v>
          </cell>
          <cell r="F84">
            <v>-8.3682955815942255E-3</v>
          </cell>
          <cell r="G84">
            <v>2.5182827046958223E-4</v>
          </cell>
          <cell r="H84">
            <v>57.728765524206182</v>
          </cell>
          <cell r="I84">
            <v>7.2939563006272401</v>
          </cell>
          <cell r="J84">
            <v>-6.9322540523992629E-2</v>
          </cell>
          <cell r="K84">
            <v>5.4508110914827147E-4</v>
          </cell>
          <cell r="L84"/>
          <cell r="M84">
            <v>2.0114236456394412</v>
          </cell>
          <cell r="N84"/>
          <cell r="O84"/>
          <cell r="P84">
            <v>74.629037791110633</v>
          </cell>
          <cell r="Q84">
            <v>5.420146887902594</v>
          </cell>
          <cell r="R84">
            <v>-3.4233125352822066E-2</v>
          </cell>
          <cell r="S84">
            <v>3.4852453306931765E-4</v>
          </cell>
          <cell r="T84">
            <v>230.02514977910457</v>
          </cell>
          <cell r="U84">
            <v>4.0712374580453945</v>
          </cell>
          <cell r="V84">
            <v>8.016404572795878E-3</v>
          </cell>
          <cell r="W84">
            <v>4.380284908737592E-4</v>
          </cell>
          <cell r="X84">
            <v>182.53840090048769</v>
          </cell>
          <cell r="Y84">
            <v>4.3746748685664851</v>
          </cell>
          <cell r="Z84">
            <v>-3.0052467603853068E-2</v>
          </cell>
          <cell r="AA84">
            <v>1.0026989054696337E-3</v>
          </cell>
          <cell r="AB84"/>
          <cell r="AC84">
            <v>4.9445063615437697</v>
          </cell>
          <cell r="AD84"/>
          <cell r="AE84"/>
          <cell r="AF84">
            <v>162.92483561194845</v>
          </cell>
          <cell r="AG84">
            <v>4.4347260716434107</v>
          </cell>
          <cell r="AH84">
            <v>-2.6475474965437385E-2</v>
          </cell>
          <cell r="AI84">
            <v>8.8870136524529309E-4</v>
          </cell>
        </row>
        <row r="85">
          <cell r="B85">
            <v>2068</v>
          </cell>
          <cell r="D85">
            <v>115.60966637324566</v>
          </cell>
          <cell r="E85">
            <v>4.5450505204551508</v>
          </cell>
          <cell r="F85">
            <v>-8.4057223098308875E-3</v>
          </cell>
          <cell r="G85">
            <v>2.5295455815257283E-4</v>
          </cell>
          <cell r="H85">
            <v>57.978956369285072</v>
          </cell>
          <cell r="I85">
            <v>7.3255675965600666</v>
          </cell>
          <cell r="J85">
            <v>-6.9622977660301053E-2</v>
          </cell>
          <cell r="K85">
            <v>5.4744343756627921E-4</v>
          </cell>
          <cell r="L85"/>
          <cell r="M85">
            <v>2.0114236456394412</v>
          </cell>
          <cell r="N85"/>
          <cell r="O85"/>
          <cell r="P85">
            <v>74.959274252950053</v>
          </cell>
          <cell r="Q85">
            <v>5.4427616765402744</v>
          </cell>
          <cell r="R85">
            <v>-3.4381982903421676E-2</v>
          </cell>
          <cell r="S85">
            <v>3.5004988611921794E-4</v>
          </cell>
          <cell r="T85">
            <v>231.05392423914105</v>
          </cell>
          <cell r="U85">
            <v>4.0894458370926561</v>
          </cell>
          <cell r="V85">
            <v>8.0522574884171992E-3</v>
          </cell>
          <cell r="W85">
            <v>4.3998754850120558E-4</v>
          </cell>
          <cell r="X85">
            <v>183.32950454467513</v>
          </cell>
          <cell r="Y85">
            <v>4.3936342832079269</v>
          </cell>
          <cell r="Z85">
            <v>-3.0182712070337649E-2</v>
          </cell>
          <cell r="AA85">
            <v>1.0070445048296949E-3</v>
          </cell>
          <cell r="AB85"/>
          <cell r="AC85">
            <v>4.9445063615437697</v>
          </cell>
          <cell r="AD85"/>
          <cell r="AE85"/>
          <cell r="AF85">
            <v>163.63117757724115</v>
          </cell>
          <cell r="AG85">
            <v>4.4516052295820181</v>
          </cell>
          <cell r="AH85">
            <v>-2.6590208674484181E-2</v>
          </cell>
          <cell r="AI85">
            <v>8.9255337044713882E-4</v>
          </cell>
        </row>
        <row r="86">
          <cell r="B86">
            <v>2069</v>
          </cell>
          <cell r="D86">
            <v>116.12794412237463</v>
          </cell>
          <cell r="E86">
            <v>4.5654259667938151</v>
          </cell>
          <cell r="F86">
            <v>-8.4434051349372031E-3</v>
          </cell>
          <cell r="G86">
            <v>2.5408855259390241E-4</v>
          </cell>
          <cell r="H86">
            <v>58.230859175180697</v>
          </cell>
          <cell r="I86">
            <v>7.3573951965706303</v>
          </cell>
          <cell r="J86">
            <v>-6.9925470573690723E-2</v>
          </cell>
          <cell r="K86">
            <v>5.4982193049936607E-4</v>
          </cell>
          <cell r="L86"/>
          <cell r="M86">
            <v>2.0114236456394412</v>
          </cell>
          <cell r="N86"/>
          <cell r="O86"/>
          <cell r="P86">
            <v>75.291770397324001</v>
          </cell>
          <cell r="Q86">
            <v>5.4655312095772324</v>
          </cell>
          <cell r="R86">
            <v>-3.4531859029636326E-2</v>
          </cell>
          <cell r="S86">
            <v>3.5158567658001675E-4</v>
          </cell>
          <cell r="T86">
            <v>232.08973821161172</v>
          </cell>
          <cell r="U86">
            <v>4.107778809153924</v>
          </cell>
          <cell r="V86">
            <v>8.0883557319068947E-3</v>
          </cell>
          <cell r="W86">
            <v>4.4196001121505658E-4</v>
          </cell>
          <cell r="X86">
            <v>184.12602141027924</v>
          </cell>
          <cell r="Y86">
            <v>4.4127234299143625</v>
          </cell>
          <cell r="Z86">
            <v>-3.0313847750180374E-2</v>
          </cell>
          <cell r="AA86">
            <v>1.0114198394737446E-3</v>
          </cell>
          <cell r="AB86"/>
          <cell r="AC86">
            <v>4.9445063615437697</v>
          </cell>
          <cell r="AD86"/>
          <cell r="AE86"/>
          <cell r="AF86">
            <v>164.34235277201279</v>
          </cell>
          <cell r="AG86">
            <v>4.4685998851800282</v>
          </cell>
          <cell r="AH86">
            <v>-2.6705727462674002E-2</v>
          </cell>
          <cell r="AI86">
            <v>8.9643173345583963E-4</v>
          </cell>
        </row>
        <row r="87">
          <cell r="B87">
            <v>2070</v>
          </cell>
          <cell r="D87">
            <v>116.64976824906367</v>
          </cell>
          <cell r="E87">
            <v>4.5859408345639281</v>
          </cell>
          <cell r="F87">
            <v>-8.4813458092866719E-3</v>
          </cell>
          <cell r="G87">
            <v>2.55230306527988E-4</v>
          </cell>
          <cell r="H87">
            <v>58.484485656189996</v>
          </cell>
          <cell r="I87">
            <v>7.3894405807454921</v>
          </cell>
          <cell r="J87">
            <v>-7.0230033331062577E-2</v>
          </cell>
          <cell r="K87">
            <v>5.522166985551624E-4</v>
          </cell>
          <cell r="L87"/>
          <cell r="M87">
            <v>2.0114236456394412</v>
          </cell>
          <cell r="N87"/>
          <cell r="O87"/>
          <cell r="P87">
            <v>75.626541686380904</v>
          </cell>
          <cell r="Q87">
            <v>5.4884565458705552</v>
          </cell>
          <cell r="R87">
            <v>-3.4682760701191653E-2</v>
          </cell>
          <cell r="S87">
            <v>3.531319758709482E-4</v>
          </cell>
          <cell r="T87">
            <v>233.1326398652235</v>
          </cell>
          <cell r="U87">
            <v>4.1262372267718197</v>
          </cell>
          <cell r="V87">
            <v>8.1247009819502853E-3</v>
          </cell>
          <cell r="W87">
            <v>4.4394597074122141E-4</v>
          </cell>
          <cell r="X87">
            <v>184.92798853791584</v>
          </cell>
          <cell r="Y87">
            <v>4.4319431963929841</v>
          </cell>
          <cell r="Z87">
            <v>-3.0445880741615385E-2</v>
          </cell>
          <cell r="AA87">
            <v>1.0158251128690246E-3</v>
          </cell>
          <cell r="AB87"/>
          <cell r="AC87">
            <v>4.9445063615437697</v>
          </cell>
          <cell r="AD87"/>
          <cell r="AE87"/>
          <cell r="AF87">
            <v>165.05839426821498</v>
          </cell>
          <cell r="AG87">
            <v>4.4857108287440068</v>
          </cell>
          <cell r="AH87">
            <v>-2.6822036702004916E-2</v>
          </cell>
          <cell r="AI87">
            <v>9.0033663462784556E-4</v>
          </cell>
        </row>
        <row r="88">
          <cell r="B88">
            <v>2071</v>
          </cell>
          <cell r="D88">
            <v>117.17516301982582</v>
          </cell>
          <cell r="E88">
            <v>4.6065960777733279</v>
          </cell>
          <cell r="F88">
            <v>-8.5195460972436136E-3</v>
          </cell>
          <cell r="G88">
            <v>2.5637987305008784E-4</v>
          </cell>
          <cell r="H88">
            <v>58.739847606766318</v>
          </cell>
          <cell r="I88">
            <v>7.4217052392988716</v>
          </cell>
          <cell r="J88">
            <v>-7.053668009557186E-2</v>
          </cell>
          <cell r="K88">
            <v>5.5462785309814391E-4</v>
          </cell>
          <cell r="L88"/>
          <cell r="M88">
            <v>2.0114236456394412</v>
          </cell>
          <cell r="N88"/>
          <cell r="O88"/>
          <cell r="P88">
            <v>75.96360368807062</v>
          </cell>
          <cell r="Q88">
            <v>5.5115387515226777</v>
          </cell>
          <cell r="R88">
            <v>-3.4834694935504451E-2</v>
          </cell>
          <cell r="S88">
            <v>3.5468885589994074E-4</v>
          </cell>
          <cell r="T88">
            <v>234.18267769828321</v>
          </cell>
          <cell r="U88">
            <v>4.1448219483225843</v>
          </cell>
          <cell r="V88">
            <v>8.1612949287192885E-3</v>
          </cell>
          <cell r="W88">
            <v>4.4594551943325444E-4</v>
          </cell>
          <cell r="X88">
            <v>185.73544322165554</v>
          </cell>
          <cell r="Y88">
            <v>4.4512944764252227</v>
          </cell>
          <cell r="Z88">
            <v>-3.0578817184604687E-2</v>
          </cell>
          <cell r="AA88">
            <v>1.0202605298750248E-3</v>
          </cell>
          <cell r="AB88"/>
          <cell r="AC88">
            <v>4.9445063615437697</v>
          </cell>
          <cell r="AD88"/>
          <cell r="AE88"/>
          <cell r="AF88">
            <v>165.7793353640979</v>
          </cell>
          <cell r="AG88">
            <v>4.5029388559882877</v>
          </cell>
          <cell r="AH88">
            <v>-2.6939141801233499E-2</v>
          </cell>
          <cell r="AI88">
            <v>9.0426825555371638E-4</v>
          </cell>
        </row>
        <row r="89">
          <cell r="B89">
            <v>2072</v>
          </cell>
          <cell r="D89">
            <v>117.7041528672208</v>
          </cell>
          <cell r="E89">
            <v>4.6273926569577695</v>
          </cell>
          <cell r="F89">
            <v>-8.5580077752452285E-3</v>
          </cell>
          <cell r="G89">
            <v>2.5753730561877102E-4</v>
          </cell>
          <cell r="H89">
            <v>58.996956902068035</v>
          </cell>
          <cell r="I89">
            <v>7.4541906726419667</v>
          </cell>
          <cell r="J89">
            <v>-7.0845425127287018E-2</v>
          </cell>
          <cell r="K89">
            <v>5.5705550625481193E-4</v>
          </cell>
          <cell r="L89"/>
          <cell r="M89">
            <v>2.0114236456394412</v>
          </cell>
          <cell r="N89"/>
          <cell r="O89"/>
          <cell r="P89">
            <v>76.302972076868713</v>
          </cell>
          <cell r="Q89">
            <v>5.5347788999309762</v>
          </cell>
          <cell r="R89">
            <v>-3.4987668798009047E-2</v>
          </cell>
          <cell r="S89">
            <v>3.5625638906696175E-4</v>
          </cell>
          <cell r="T89">
            <v>235.23990054095341</v>
          </cell>
          <cell r="U89">
            <v>4.1635338380560043</v>
          </cell>
          <cell r="V89">
            <v>8.1981392739510356E-3</v>
          </cell>
          <cell r="W89">
            <v>4.4795875027665047E-4</v>
          </cell>
          <cell r="X89">
            <v>186.5484230107582</v>
          </cell>
          <cell r="Y89">
            <v>4.4707781699083196</v>
          </cell>
          <cell r="Z89">
            <v>-3.0712663261123759E-2</v>
          </cell>
          <cell r="AA89">
            <v>1.024726296753012E-3</v>
          </cell>
          <cell r="AB89"/>
          <cell r="AC89">
            <v>4.9445063615437697</v>
          </cell>
          <cell r="AD89"/>
          <cell r="AE89"/>
          <cell r="AF89">
            <v>166.50520958575925</v>
          </cell>
          <cell r="AG89">
            <v>4.5202847680719733</v>
          </cell>
          <cell r="AH89">
            <v>-2.7057048206126425E-2</v>
          </cell>
          <cell r="AI89">
            <v>9.0822677906656846E-4</v>
          </cell>
        </row>
        <row r="90">
          <cell r="B90">
            <v>2073</v>
          </cell>
          <cell r="D90">
            <v>118.23676239099089</v>
          </cell>
          <cell r="E90">
            <v>4.6483315392255822</v>
          </cell>
          <cell r="F90">
            <v>-8.5967326318841936E-3</v>
          </cell>
          <cell r="G90">
            <v>2.587026580584031E-4</v>
          </cell>
          <cell r="H90">
            <v>59.255825498510561</v>
          </cell>
          <cell r="I90">
            <v>7.4868983914526996</v>
          </cell>
          <cell r="J90">
            <v>-7.1156282783852567E-2</v>
          </cell>
          <cell r="K90">
            <v>5.594997709189054E-4</v>
          </cell>
          <cell r="L90"/>
          <cell r="M90">
            <v>2.0114236456394412</v>
          </cell>
          <cell r="N90"/>
          <cell r="O90"/>
          <cell r="P90">
            <v>76.644662634505082</v>
          </cell>
          <cell r="Q90">
            <v>5.5581780718376654</v>
          </cell>
          <cell r="R90">
            <v>-3.5141689402485785E-2</v>
          </cell>
          <cell r="S90">
            <v>3.5783464826738348E-4</v>
          </cell>
          <cell r="T90">
            <v>236.30435755752251</v>
          </cell>
          <cell r="U90">
            <v>4.182373766135596</v>
          </cell>
          <cell r="V90">
            <v>8.2352357310269859E-3</v>
          </cell>
          <cell r="W90">
            <v>4.4998575689316834E-4</v>
          </cell>
          <cell r="X90">
            <v>187.36696571141857</v>
          </cell>
          <cell r="Y90">
            <v>4.4903951828971627</v>
          </cell>
          <cell r="Z90">
            <v>-3.0847425195448891E-2</v>
          </cell>
          <cell r="AA90">
            <v>1.0292226211756181E-3</v>
          </cell>
          <cell r="AB90"/>
          <cell r="AC90">
            <v>4.9445063615437697</v>
          </cell>
          <cell r="AD90"/>
          <cell r="AE90"/>
          <cell r="AF90">
            <v>167.23605068870256</v>
          </cell>
          <cell r="AG90">
            <v>4.5377493716361901</v>
          </cell>
          <cell r="AH90">
            <v>-2.7175761399713606E-2</v>
          </cell>
          <cell r="AI90">
            <v>9.1221238925057321E-4</v>
          </cell>
        </row>
        <row r="91">
          <cell r="B91">
            <v>2074</v>
          </cell>
          <cell r="D91">
            <v>118.77301635920514</v>
          </cell>
          <cell r="E91">
            <v>4.669413698302658</v>
          </cell>
          <cell r="F91">
            <v>-8.6357224679918538E-3</v>
          </cell>
          <cell r="G91">
            <v>2.5987598456164951E-4</v>
          </cell>
          <cell r="H91">
            <v>59.516465434322697</v>
          </cell>
          <cell r="I91">
            <v>7.5198299167460112</v>
          </cell>
          <cell r="J91">
            <v>-7.1469267521157079E-2</v>
          </cell>
          <cell r="K91">
            <v>5.6196076075665333E-4</v>
          </cell>
          <cell r="L91"/>
          <cell r="M91">
            <v>2.0114236456394412</v>
          </cell>
          <cell r="N91"/>
          <cell r="O91"/>
          <cell r="P91">
            <v>76.98869125069811</v>
          </cell>
          <cell r="Q91">
            <v>5.5817373553800813</v>
          </cell>
          <cell r="R91">
            <v>-3.5296763911391985E-2</v>
          </cell>
          <cell r="S91">
            <v>3.5942370689537404E-4</v>
          </cell>
          <cell r="T91">
            <v>237.37609824869185</v>
          </cell>
          <cell r="U91">
            <v>4.2013426086790746</v>
          </cell>
          <cell r="V91">
            <v>8.2725860250526233E-3</v>
          </cell>
          <cell r="W91">
            <v>4.520266335451854E-4</v>
          </cell>
          <cell r="X91">
            <v>188.19110938852529</v>
          </cell>
          <cell r="Y91">
            <v>4.510146427646438</v>
          </cell>
          <cell r="Z91">
            <v>-3.0983109254446826E-2</v>
          </cell>
          <cell r="AA91">
            <v>1.033749712236502E-3</v>
          </cell>
          <cell r="AB91"/>
          <cell r="AC91">
            <v>4.9445063615437697</v>
          </cell>
          <cell r="AD91"/>
          <cell r="AE91"/>
          <cell r="AF91">
            <v>167.97189265940796</v>
          </cell>
          <cell r="AG91">
            <v>4.5553334788416082</v>
          </cell>
          <cell r="AH91">
            <v>-2.729528690254332E-2</v>
          </cell>
          <cell r="AI91">
            <v>9.1622527144952248E-4</v>
          </cell>
        </row>
        <row r="92">
          <cell r="B92">
            <v>2075</v>
          </cell>
          <cell r="D92">
            <v>119.31293970941111</v>
          </cell>
          <cell r="E92">
            <v>4.690640114577719</v>
          </cell>
          <cell r="F92">
            <v>-8.6749790967219492E-3</v>
          </cell>
          <cell r="G92">
            <v>2.6105733969199532E-4</v>
          </cell>
          <cell r="H92">
            <v>59.778888830106183</v>
          </cell>
          <cell r="I92">
            <v>7.5529867799445558</v>
          </cell>
          <cell r="J92">
            <v>-7.1784393894005219E-2</v>
          </cell>
          <cell r="K92">
            <v>5.6443859021205957E-4</v>
          </cell>
          <cell r="L92"/>
          <cell r="M92">
            <v>2.0114236456394412</v>
          </cell>
          <cell r="N92"/>
          <cell r="O92"/>
          <cell r="P92">
            <v>77.335073923893432</v>
          </cell>
          <cell r="Q92">
            <v>5.6054578461412623</v>
          </cell>
          <cell r="R92">
            <v>-3.5452899536194897E-2</v>
          </cell>
          <cell r="S92">
            <v>3.6102363884730983E-4</v>
          </cell>
          <cell r="T92">
            <v>238.455172453877</v>
          </cell>
          <cell r="U92">
            <v>4.2204412477990978</v>
          </cell>
          <cell r="V92">
            <v>8.3101918929376749E-3</v>
          </cell>
          <cell r="W92">
            <v>4.5408147514008033E-4</v>
          </cell>
          <cell r="X92">
            <v>189.02089236743046</v>
          </cell>
          <cell r="Y92">
            <v>4.5300328226530402</v>
          </cell>
          <cell r="Z92">
            <v>-3.1119721747866064E-2</v>
          </cell>
          <cell r="AA92">
            <v>1.0383077804600705E-3</v>
          </cell>
          <cell r="AB92"/>
          <cell r="AC92">
            <v>4.9445063615437697</v>
          </cell>
          <cell r="AD92"/>
          <cell r="AE92"/>
          <cell r="AF92">
            <v>168.71276971691196</v>
          </cell>
          <cell r="AG92">
            <v>4.5730379074062038</v>
          </cell>
          <cell r="AH92">
            <v>-2.7415630272938831E-2</v>
          </cell>
          <cell r="AI92">
            <v>9.2026561227544397E-4</v>
          </cell>
        </row>
        <row r="93">
          <cell r="B93">
            <v>2076</v>
          </cell>
          <cell r="D93">
            <v>119.85655754979442</v>
          </cell>
          <cell r="E93">
            <v>4.7120117751479178</v>
          </cell>
          <cell r="F93">
            <v>-8.71450434363495E-3</v>
          </cell>
          <cell r="G93">
            <v>2.6224677838628294E-4</v>
          </cell>
          <cell r="H93">
            <v>60.043107889399451</v>
          </cell>
          <cell r="I93">
            <v>7.5863705229499345</v>
          </cell>
          <cell r="J93">
            <v>-7.2101676556794683E-2</v>
          </cell>
          <cell r="K93">
            <v>5.6693337451222444E-4</v>
          </cell>
          <cell r="L93"/>
          <cell r="M93">
            <v>2.0114236456394412</v>
          </cell>
          <cell r="N93"/>
          <cell r="O93"/>
          <cell r="P93">
            <v>77.683826762007982</v>
          </cell>
          <cell r="Q93">
            <v>5.6293406472009089</v>
          </cell>
          <cell r="R93">
            <v>-3.561010353770714E-2</v>
          </cell>
          <cell r="S93">
            <v>3.626345185252121E-4</v>
          </cell>
          <cell r="T93">
            <v>239.54163035352576</v>
          </cell>
          <cell r="U93">
            <v>4.2396705716442815</v>
          </cell>
          <cell r="V93">
            <v>8.3480550834768765E-3</v>
          </cell>
          <cell r="W93">
            <v>4.5615037723464711E-4</v>
          </cell>
          <cell r="X93">
            <v>189.85635323573192</v>
          </cell>
          <cell r="Y93">
            <v>4.5500552926987901</v>
          </cell>
          <cell r="Z93">
            <v>-3.1257269028630311E-2</v>
          </cell>
          <cell r="AA93">
            <v>1.0428970378112692E-3</v>
          </cell>
          <cell r="AB93"/>
          <cell r="AC93">
            <v>4.9445063615437697</v>
          </cell>
          <cell r="AD93"/>
          <cell r="AE93"/>
          <cell r="AF93">
            <v>169.45871631439894</v>
          </cell>
          <cell r="AG93">
            <v>4.5908634806432866</v>
          </cell>
          <cell r="AH93">
            <v>-2.7536797107256903E-2</v>
          </cell>
          <cell r="AI93">
            <v>9.2433359961728134E-4</v>
          </cell>
        </row>
        <row r="94">
          <cell r="B94">
            <v>2077</v>
          </cell>
          <cell r="D94">
            <v>120.40389516034652</v>
          </cell>
          <cell r="E94">
            <v>4.7335296738647354</v>
          </cell>
          <cell r="F94">
            <v>-8.7543000467829365E-3</v>
          </cell>
          <cell r="G94">
            <v>2.6344435595726653E-4</v>
          </cell>
          <cell r="H94">
            <v>60.309134899245038</v>
          </cell>
          <cell r="I94">
            <v>7.6199826982143906</v>
          </cell>
          <cell r="J94">
            <v>-7.2421130264197539E-2</v>
          </cell>
          <cell r="K94">
            <v>5.6944522967270297E-4</v>
          </cell>
          <cell r="L94"/>
          <cell r="M94">
            <v>2.0114236456394412</v>
          </cell>
          <cell r="N94"/>
          <cell r="O94"/>
          <cell r="P94">
            <v>78.034965983179035</v>
          </cell>
          <cell r="Q94">
            <v>5.6533868691866704</v>
          </cell>
          <cell r="R94">
            <v>-3.5768383226424241E-2</v>
          </cell>
          <cell r="S94">
            <v>3.6425642084020641E-4</v>
          </cell>
          <cell r="T94">
            <v>240.63552247145171</v>
          </cell>
          <cell r="U94">
            <v>4.2590314744405084</v>
          </cell>
          <cell r="V94">
            <v>8.3861773574313032E-3</v>
          </cell>
          <cell r="W94">
            <v>4.5823343603953841E-4</v>
          </cell>
          <cell r="X94">
            <v>190.6975308450676</v>
          </cell>
          <cell r="Y94">
            <v>4.5702147688934343</v>
          </cell>
          <cell r="Z94">
            <v>-3.1395757493133891E-2</v>
          </cell>
          <cell r="AA94">
            <v>1.0475176977054372E-3</v>
          </cell>
          <cell r="AB94"/>
          <cell r="AC94">
            <v>4.9445063615437697</v>
          </cell>
          <cell r="AD94"/>
          <cell r="AE94"/>
          <cell r="AF94">
            <v>170.20976714080319</v>
          </cell>
          <cell r="AG94">
            <v>4.6088110274997822</v>
          </cell>
          <cell r="AH94">
            <v>-2.7658793040148014E-2</v>
          </cell>
          <cell r="AI94">
            <v>9.2842942264962931E-4</v>
          </cell>
        </row>
        <row r="95">
          <cell r="B95">
            <v>2078</v>
          </cell>
          <cell r="D95">
            <v>120.95497799404022</v>
          </cell>
          <cell r="E95">
            <v>4.7551948113802007</v>
          </cell>
          <cell r="F95">
            <v>-8.7943680567950811E-3</v>
          </cell>
          <cell r="G95">
            <v>2.6465012809618444E-4</v>
          </cell>
          <cell r="H95">
            <v>60.576982230761111</v>
          </cell>
          <cell r="I95">
            <v>7.6538248688130102</v>
          </cell>
          <cell r="J95">
            <v>-7.2742769871846538E-2</v>
          </cell>
          <cell r="K95">
            <v>5.7197427250290115E-4</v>
          </cell>
          <cell r="L95"/>
          <cell r="M95">
            <v>2.0114236456394412</v>
          </cell>
          <cell r="N95"/>
          <cell r="O95"/>
          <cell r="P95">
            <v>78.388507916518392</v>
          </cell>
          <cell r="Q95">
            <v>5.6775976303258036</v>
          </cell>
          <cell r="R95">
            <v>-3.5927745962864722E-2</v>
          </cell>
          <cell r="S95">
            <v>3.6588942121600705E-4</v>
          </cell>
          <cell r="T95">
            <v>241.73689967718352</v>
          </cell>
          <cell r="U95">
            <v>4.2785248565325045</v>
          </cell>
          <cell r="V95">
            <v>8.4245604876102449E-3</v>
          </cell>
          <cell r="W95">
            <v>4.6033074842373971E-4</v>
          </cell>
          <cell r="X95">
            <v>191.54446431292266</v>
          </cell>
          <cell r="Y95">
            <v>4.5905121887179519</v>
          </cell>
          <cell r="Z95">
            <v>-3.153519358153925E-2</v>
          </cell>
          <cell r="AA95">
            <v>1.0521699750182358E-3</v>
          </cell>
          <cell r="AB95"/>
          <cell r="AC95">
            <v>4.9445063615437697</v>
          </cell>
          <cell r="AD95"/>
          <cell r="AE95"/>
          <cell r="AF95">
            <v>170.96595712242225</v>
          </cell>
          <cell r="AG95">
            <v>4.6268813825947834</v>
          </cell>
          <cell r="AH95">
            <v>-2.7781623744818431E-2</v>
          </cell>
          <cell r="AI95">
            <v>9.3255327184153379E-4</v>
          </cell>
        </row>
        <row r="96">
          <cell r="B96">
            <v>2079</v>
          </cell>
          <cell r="D96">
            <v>121.50983167801341</v>
          </cell>
          <cell r="E96">
            <v>4.777008195193428</v>
          </cell>
          <cell r="F96">
            <v>-8.8347102369637151E-3</v>
          </cell>
          <cell r="G96">
            <v>2.6586415087534926E-4</v>
          </cell>
          <cell r="H96">
            <v>60.846662339716737</v>
          </cell>
          <cell r="I96">
            <v>7.6878986085164147</v>
          </cell>
          <cell r="J96">
            <v>-7.3066610337025925E-2</v>
          </cell>
          <cell r="K96">
            <v>5.7452062061150784E-4</v>
          </cell>
          <cell r="L96"/>
          <cell r="M96">
            <v>2.0114236456394412</v>
          </cell>
          <cell r="N96"/>
          <cell r="O96"/>
          <cell r="P96">
            <v>78.744469002871853</v>
          </cell>
          <cell r="Q96">
            <v>5.7019740564971721</v>
          </cell>
          <cell r="R96">
            <v>-3.6088199157912337E-2</v>
          </cell>
          <cell r="S96">
            <v>3.6753359559242447E-4</v>
          </cell>
          <cell r="T96">
            <v>242.84581318833105</v>
          </cell>
          <cell r="U96">
            <v>4.298151624425719</v>
          </cell>
          <cell r="V96">
            <v>8.463206258953658E-3</v>
          </cell>
          <cell r="W96">
            <v>4.6244241191907456E-4</v>
          </cell>
          <cell r="X96">
            <v>192.3971930244484</v>
          </cell>
          <cell r="Y96">
            <v>4.6109484960681542</v>
          </cell>
          <cell r="Z96">
            <v>-3.167558377807643E-2</v>
          </cell>
          <cell r="AA96">
            <v>1.0568540860956387E-3</v>
          </cell>
          <cell r="AB96"/>
          <cell r="AC96">
            <v>4.9445063615437697</v>
          </cell>
          <cell r="AD96"/>
          <cell r="AE96"/>
          <cell r="AF96">
            <v>171.72732142454129</v>
          </cell>
          <cell r="AG96">
            <v>4.6450753862583776</v>
          </cell>
          <cell r="AH96">
            <v>-2.7905294933294033E-2</v>
          </cell>
          <cell r="AI96">
            <v>9.3670533896534822E-4</v>
          </cell>
        </row>
        <row r="97">
          <cell r="B97">
            <v>2080</v>
          </cell>
          <cell r="D97">
            <v>122.06848201476055</v>
          </cell>
          <cell r="E97">
            <v>4.7989708396974571</v>
          </cell>
          <cell r="F97">
            <v>-8.8753284633309604E-3</v>
          </cell>
          <cell r="G97">
            <v>2.6708648075075456E-4</v>
          </cell>
          <cell r="H97">
            <v>61.118187767110925</v>
          </cell>
          <cell r="I97">
            <v>7.7222055018639253</v>
          </cell>
          <cell r="J97">
            <v>-7.3392666719366811E-2</v>
          </cell>
          <cell r="K97">
            <v>5.7708439241196193E-4</v>
          </cell>
          <cell r="L97"/>
          <cell r="M97">
            <v>2.0114236456394412</v>
          </cell>
          <cell r="N97"/>
          <cell r="O97"/>
          <cell r="P97">
            <v>79.102865795583497</v>
          </cell>
          <cell r="Q97">
            <v>5.7265172812835923</v>
          </cell>
          <cell r="R97">
            <v>-3.6249750273160651E-2</v>
          </cell>
          <cell r="S97">
            <v>3.691890204288953E-4</v>
          </cell>
          <cell r="T97">
            <v>243.96231457296628</v>
          </cell>
          <cell r="U97">
            <v>4.3179126908284653</v>
          </cell>
          <cell r="V97">
            <v>8.5021164686151576E-3</v>
          </cell>
          <cell r="W97">
            <v>4.6456852472473898E-4</v>
          </cell>
          <cell r="X97">
            <v>193.25575663429342</v>
          </cell>
          <cell r="Y97">
            <v>4.6315246412985598</v>
          </cell>
          <cell r="Z97">
            <v>-3.1816934611344549E-2</v>
          </cell>
          <cell r="AA97">
            <v>1.0615702487639911E-3</v>
          </cell>
          <cell r="AB97"/>
          <cell r="AC97">
            <v>4.9445063615437697</v>
          </cell>
          <cell r="AD97"/>
          <cell r="AE97"/>
          <cell r="AF97">
            <v>172.49389545306772</v>
          </cell>
          <cell r="AG97">
            <v>4.6633938845706924</v>
          </cell>
          <cell r="AH97">
            <v>-2.8029812356685887E-2</v>
          </cell>
          <cell r="AI97">
            <v>9.4088581710564977E-4</v>
          </cell>
        </row>
        <row r="98">
          <cell r="B98">
            <v>2081</v>
          </cell>
          <cell r="D98">
            <v>122.63095498333296</v>
          </cell>
          <cell r="E98">
            <v>4.8210837662264403</v>
          </cell>
          <cell r="F98">
            <v>-8.9162246247759848E-3</v>
          </cell>
          <cell r="G98">
            <v>2.683171745647013E-4</v>
          </cell>
          <cell r="H98">
            <v>61.391571139756124</v>
          </cell>
          <cell r="I98">
            <v>7.7567471442372753</v>
          </cell>
          <cell r="J98">
            <v>-7.3720954181547782E-2</v>
          </cell>
          <cell r="K98">
            <v>5.796657071279617E-4</v>
          </cell>
          <cell r="L98"/>
          <cell r="M98">
            <v>2.0114236456394412</v>
          </cell>
          <cell r="N98"/>
          <cell r="O98"/>
          <cell r="P98">
            <v>79.463714961265822</v>
          </cell>
          <cell r="Q98">
            <v>5.7512284460245633</v>
          </cell>
          <cell r="R98">
            <v>-3.6412406821260138E-2</v>
          </cell>
          <cell r="S98">
            <v>3.7085577270803998E-4</v>
          </cell>
          <cell r="T98">
            <v>245.08645575202223</v>
          </cell>
          <cell r="U98">
            <v>4.3378089746943775</v>
          </cell>
          <cell r="V98">
            <v>8.541292926045602E-3</v>
          </cell>
          <cell r="W98">
            <v>4.6670918571186927E-4</v>
          </cell>
          <cell r="X98">
            <v>194.12019506844823</v>
          </cell>
          <cell r="Y98">
            <v>4.6522415812666145</v>
          </cell>
          <cell r="Z98">
            <v>-3.1959252654615487E-2</v>
          </cell>
          <cell r="AA98">
            <v>1.0663186823401428E-3</v>
          </cell>
          <cell r="AB98"/>
          <cell r="AC98">
            <v>4.9445063615437697</v>
          </cell>
          <cell r="AD98"/>
          <cell r="AE98"/>
          <cell r="AF98">
            <v>173.26571485617839</v>
          </cell>
          <cell r="AG98">
            <v>4.6818377294012752</v>
          </cell>
          <cell r="AH98">
            <v>-2.8155181805457747E-2</v>
          </cell>
          <cell r="AI98">
            <v>9.4509490066822137E-4</v>
          </cell>
        </row>
        <row r="99">
          <cell r="B99">
            <v>2082</v>
          </cell>
          <cell r="D99">
            <v>123.19727674054666</v>
          </cell>
          <cell r="E99">
            <v>4.8433480031031326</v>
          </cell>
          <cell r="F99">
            <v>-8.9574006231028479E-3</v>
          </cell>
          <cell r="G99">
            <v>2.6955628954844051E-4</v>
          </cell>
          <cell r="H99">
            <v>61.66682517086516</v>
          </cell>
          <cell r="I99">
            <v>7.791525141934784</v>
          </cell>
          <cell r="J99">
            <v>-7.405148798999979E-2</v>
          </cell>
          <cell r="K99">
            <v>5.8226468479900752E-4</v>
          </cell>
          <cell r="L99"/>
          <cell r="M99">
            <v>2.0114236456394412</v>
          </cell>
          <cell r="N99"/>
          <cell r="O99"/>
          <cell r="P99">
            <v>79.827033280574526</v>
          </cell>
          <cell r="Q99">
            <v>5.7761086998693347</v>
          </cell>
          <cell r="R99">
            <v>-3.6576176366267442E-2</v>
          </cell>
          <cell r="S99">
            <v>3.7253392993924148E-4</v>
          </cell>
          <cell r="T99">
            <v>246.21828900170729</v>
          </cell>
          <cell r="U99">
            <v>4.3578414012651416</v>
          </cell>
          <cell r="V99">
            <v>8.5807374530772369E-3</v>
          </cell>
          <cell r="W99">
            <v>4.6886449442813964E-4</v>
          </cell>
          <cell r="X99">
            <v>194.99054852610166</v>
          </cell>
          <cell r="Y99">
            <v>4.6731002793771683</v>
          </cell>
          <cell r="Z99">
            <v>-3.2102544526139504E-2</v>
          </cell>
          <cell r="AA99">
            <v>1.0710996076416447E-3</v>
          </cell>
          <cell r="AB99"/>
          <cell r="AC99">
            <v>4.9445063615437697</v>
          </cell>
          <cell r="AD99"/>
          <cell r="AE99"/>
          <cell r="AF99">
            <v>174.04281552597706</v>
          </cell>
          <cell r="AG99">
            <v>4.7004077784486853</v>
          </cell>
          <cell r="AH99">
            <v>-2.8281409109695302E-2</v>
          </cell>
          <cell r="AI99">
            <v>9.4933278538909024E-4</v>
          </cell>
        </row>
        <row r="100">
          <cell r="B100">
            <v>2083</v>
          </cell>
          <cell r="D100">
            <v>123.76747362219872</v>
          </cell>
          <cell r="E100">
            <v>4.8657645856867004</v>
          </cell>
          <cell r="F100">
            <v>-8.9988583731289117E-3</v>
          </cell>
          <cell r="G100">
            <v>2.7080388332483473E-4</v>
          </cell>
          <cell r="H100">
            <v>61.94396266064259</v>
          </cell>
          <cell r="I100">
            <v>7.8265411122460575</v>
          </cell>
          <cell r="J100">
            <v>-7.4384283515616184E-2</v>
          </cell>
          <cell r="K100">
            <v>5.8488144628598417E-4</v>
          </cell>
          <cell r="L100"/>
          <cell r="M100">
            <v>2.0114236456394412</v>
          </cell>
          <cell r="N100"/>
          <cell r="O100"/>
          <cell r="P100">
            <v>80.192837648988942</v>
          </cell>
          <cell r="Q100">
            <v>5.8011591998303444</v>
          </cell>
          <cell r="R100">
            <v>-3.6741066523997182E-2</v>
          </cell>
          <cell r="S100">
            <v>3.7422357016224969E-4</v>
          </cell>
          <cell r="T100">
            <v>247.35786695593549</v>
          </cell>
          <cell r="U100">
            <v>4.3780109021135143</v>
          </cell>
          <cell r="V100">
            <v>8.6204518840083989E-3</v>
          </cell>
          <cell r="W100">
            <v>4.7103455110238991E-4</v>
          </cell>
          <cell r="X100">
            <v>195.86685748151029</v>
          </cell>
          <cell r="Y100">
            <v>4.6941017056272853</v>
          </cell>
          <cell r="Z100">
            <v>-3.2246816889453023E-2</v>
          </cell>
          <cell r="AA100">
            <v>1.0759132469970178E-3</v>
          </cell>
          <cell r="AB100"/>
          <cell r="AC100">
            <v>4.9445063615437697</v>
          </cell>
          <cell r="AD100"/>
          <cell r="AE100"/>
          <cell r="AF100">
            <v>174.82523360016336</v>
          </cell>
          <cell r="AG100">
            <v>4.7191048952803882</v>
          </cell>
          <cell r="AH100">
            <v>-2.8408500139377291E-2</v>
          </cell>
          <cell r="AI100">
            <v>9.5359966834363073E-4</v>
          </cell>
        </row>
        <row r="101">
          <cell r="B101">
            <v>2084</v>
          </cell>
          <cell r="D101">
            <v>124.34157214429223</v>
          </cell>
          <cell r="E101">
            <v>4.8883345564208911</v>
          </cell>
          <cell r="F101">
            <v>-9.0405998027739253E-3</v>
          </cell>
          <cell r="G101">
            <v>2.7206001391103814E-4</v>
          </cell>
          <cell r="H101">
            <v>62.222996496879873</v>
          </cell>
          <cell r="I101">
            <v>7.861796683527202</v>
          </cell>
          <cell r="J101">
            <v>-7.471935623446746E-2</v>
          </cell>
          <cell r="K101">
            <v>5.8751611327678168E-4</v>
          </cell>
          <cell r="L101"/>
          <cell r="M101">
            <v>2.0114236456394412</v>
          </cell>
          <cell r="N101"/>
          <cell r="O101"/>
          <cell r="P101">
            <v>80.561145077597786</v>
          </cell>
          <cell r="Q101">
            <v>5.8263811108370307</v>
          </cell>
          <cell r="R101">
            <v>-3.6907084962376088E-2</v>
          </cell>
          <cell r="S101">
            <v>3.7592477195081124E-4</v>
          </cell>
          <cell r="T101">
            <v>248.50524260877532</v>
          </cell>
          <cell r="U101">
            <v>4.3983184151866563</v>
          </cell>
          <cell r="V101">
            <v>8.6604380656888462E-3</v>
          </cell>
          <cell r="W101">
            <v>4.7321945664928927E-4</v>
          </cell>
          <cell r="X101">
            <v>196.74916268588063</v>
          </cell>
          <cell r="Y101">
            <v>4.7152468366513514</v>
          </cell>
          <cell r="Z101">
            <v>-3.2392076453688523E-2</v>
          </cell>
          <cell r="AA101">
            <v>1.0807598242560932E-3</v>
          </cell>
          <cell r="AB101"/>
          <cell r="AC101">
            <v>4.9445063615437697</v>
          </cell>
          <cell r="AD101"/>
          <cell r="AE101"/>
          <cell r="AF101">
            <v>175.61300546371356</v>
          </cell>
          <cell r="AG101">
            <v>4.737929949372913</v>
          </cell>
          <cell r="AH101">
            <v>-2.8536460804648497E-2</v>
          </cell>
          <cell r="AI101">
            <v>9.5789574795572877E-4</v>
          </cell>
        </row>
        <row r="102">
          <cell r="B102">
            <v>2085</v>
          </cell>
          <cell r="D102">
            <v>124.91959900426903</v>
          </cell>
          <cell r="E102">
            <v>4.9110589648824883</v>
          </cell>
          <cell r="F102">
            <v>-9.0826268531496463E-3</v>
          </cell>
          <cell r="G102">
            <v>2.7332473972119405E-4</v>
          </cell>
          <cell r="H102">
            <v>62.503939655554753</v>
          </cell>
          <cell r="I102">
            <v>7.8972934952765463</v>
          </cell>
          <cell r="J102">
            <v>-7.5056721728521056E-2</v>
          </cell>
          <cell r="K102">
            <v>5.9016880829195417E-4</v>
          </cell>
          <cell r="L102"/>
          <cell r="M102">
            <v>2.0114236456394412</v>
          </cell>
          <cell r="N102"/>
          <cell r="O102"/>
          <cell r="P102">
            <v>80.93197269389016</v>
          </cell>
          <cell r="Q102">
            <v>5.8517756057899994</v>
          </cell>
          <cell r="R102">
            <v>-3.7074239401799623E-2</v>
          </cell>
          <cell r="S102">
            <v>3.7763761441632284E-4</v>
          </cell>
          <cell r="T102">
            <v>249.66046931691309</v>
          </cell>
          <cell r="U102">
            <v>4.4187648848497414</v>
          </cell>
          <cell r="V102">
            <v>8.7006978576056222E-3</v>
          </cell>
          <cell r="W102">
            <v>4.7541931267402657E-4</v>
          </cell>
          <cell r="X102">
            <v>197.63750516926427</v>
          </cell>
          <cell r="Y102">
            <v>4.7365366557664919</v>
          </cell>
          <cell r="Z102">
            <v>-3.2538329973886546E-2</v>
          </cell>
          <cell r="AA102">
            <v>1.0856395648004215E-3</v>
          </cell>
          <cell r="AB102"/>
          <cell r="AC102">
            <v>4.9445063615437697</v>
          </cell>
          <cell r="AD102"/>
          <cell r="AE102"/>
          <cell r="AF102">
            <v>176.40616775057254</v>
          </cell>
          <cell r="AG102">
            <v>4.7568838161522882</v>
          </cell>
          <cell r="AH102">
            <v>-2.866529705609459E-2</v>
          </cell>
          <cell r="AI102">
            <v>9.6222122400701062E-4</v>
          </cell>
        </row>
        <row r="103">
          <cell r="B103">
            <v>2086</v>
          </cell>
          <cell r="D103">
            <v>125.50158108225159</v>
          </cell>
          <cell r="E103">
            <v>4.9339388678301397</v>
          </cell>
          <cell r="F103">
            <v>-9.1249414786501292E-3</v>
          </cell>
          <cell r="G103">
            <v>2.7459811956915165E-4</v>
          </cell>
          <cell r="H103">
            <v>62.786805201434653</v>
          </cell>
          <cell r="I103">
            <v>7.9330331982108824</v>
          </cell>
          <cell r="J103">
            <v>-7.5396395686365844E-2</v>
          </cell>
          <cell r="K103">
            <v>5.9283965469041717E-4</v>
          </cell>
          <cell r="L103"/>
          <cell r="M103">
            <v>2.0114236456394412</v>
          </cell>
          <cell r="N103"/>
          <cell r="O103"/>
          <cell r="P103">
            <v>81.305337742552112</v>
          </cell>
          <cell r="Q103">
            <v>5.8773438656155701</v>
          </cell>
          <cell r="R103">
            <v>-3.724253761549097E-2</v>
          </cell>
          <cell r="S103">
            <v>3.7936217721151055E-4</v>
          </cell>
          <cell r="T103">
            <v>250.82360080213499</v>
          </cell>
          <cell r="U103">
            <v>4.4393512619298772</v>
          </cell>
          <cell r="V103">
            <v>8.7412331319695318E-3</v>
          </cell>
          <cell r="W103">
            <v>4.7763422147703685E-4</v>
          </cell>
          <cell r="X103">
            <v>198.53192624246583</v>
          </cell>
          <cell r="Y103">
            <v>4.7579721530182955</v>
          </cell>
          <cell r="Z103">
            <v>-3.2685584251309768E-2</v>
          </cell>
          <cell r="AA103">
            <v>1.0905526955537531E-3</v>
          </cell>
          <cell r="AB103"/>
          <cell r="AC103">
            <v>4.9445063615437697</v>
          </cell>
          <cell r="AD103"/>
          <cell r="AE103"/>
          <cell r="AF103">
            <v>177.20475734535728</v>
          </cell>
          <cell r="AG103">
            <v>4.7759673770347488</v>
          </cell>
          <cell r="AH103">
            <v>-2.8795014885018799E-2</v>
          </cell>
          <cell r="AI103">
            <v>9.6657629764613107E-4</v>
          </cell>
        </row>
        <row r="104">
          <cell r="B104">
            <v>2087</v>
          </cell>
          <cell r="D104">
            <v>126.08754544229267</v>
          </cell>
          <cell r="E104">
            <v>4.9569753292534831</v>
          </cell>
          <cell r="F104">
            <v>-9.1675456470425992E-3</v>
          </cell>
          <cell r="G104">
            <v>2.7588021267120085E-4</v>
          </cell>
          <cell r="H104">
            <v>63.071606288684215</v>
          </cell>
          <cell r="I104">
            <v>7.969017454342227</v>
          </cell>
          <cell r="J104">
            <v>-7.5738393903941728E-2</v>
          </cell>
          <cell r="K104">
            <v>5.9552877667518457E-4</v>
          </cell>
          <cell r="L104"/>
          <cell r="M104">
            <v>2.0114236456394412</v>
          </cell>
          <cell r="N104"/>
          <cell r="O104"/>
          <cell r="P104">
            <v>81.68125758626843</v>
          </cell>
          <cell r="Q104">
            <v>5.9030870793206889</v>
          </cell>
          <cell r="R104">
            <v>-3.7411987429862514E-2</v>
          </cell>
          <cell r="S104">
            <v>3.8109854053413358E-4</v>
          </cell>
          <cell r="T104">
            <v>251.99469115382462</v>
          </cell>
          <cell r="U104">
            <v>4.4600785037603163</v>
          </cell>
          <cell r="V104">
            <v>8.7820457738022068E-3</v>
          </cell>
          <cell r="W104">
            <v>4.7986428605875778E-4</v>
          </cell>
          <cell r="X104">
            <v>199.43246749896397</v>
          </cell>
          <cell r="Y104">
            <v>4.7795543252268562</v>
          </cell>
          <cell r="Z104">
            <v>-3.2833846133759351E-2</v>
          </cell>
          <cell r="AA104">
            <v>1.0954994449925914E-3</v>
          </cell>
          <cell r="AB104"/>
          <cell r="AC104">
            <v>4.9445063615437697</v>
          </cell>
          <cell r="AD104"/>
          <cell r="AE104"/>
          <cell r="AF104">
            <v>178.00881138507214</v>
          </cell>
          <cell r="AG104">
            <v>4.7951815194677243</v>
          </cell>
          <cell r="AH104">
            <v>-2.8925620323720598E-2</v>
          </cell>
          <cell r="AI104">
            <v>9.7096117139812931E-4</v>
          </cell>
        </row>
        <row r="105">
          <cell r="B105">
            <v>2088</v>
          </cell>
          <cell r="D105">
            <v>126.67751933363408</v>
          </cell>
          <cell r="E105">
            <v>4.9801694204226346</v>
          </cell>
          <cell r="F105">
            <v>-9.210441339558964E-3</v>
          </cell>
          <cell r="G105">
            <v>2.7717107864882605E-4</v>
          </cell>
          <cell r="H105">
            <v>63.358356161477005</v>
          </cell>
          <cell r="I105">
            <v>8.0052479370551133</v>
          </cell>
          <cell r="J105">
            <v>-7.6082732285274221E-2</v>
          </cell>
          <cell r="K105">
            <v>5.9823629929914377E-4</v>
          </cell>
          <cell r="L105"/>
          <cell r="M105">
            <v>2.0114236456394412</v>
          </cell>
          <cell r="N105"/>
          <cell r="O105"/>
          <cell r="P105">
            <v>82.059749706530212</v>
          </cell>
          <cell r="Q105">
            <v>5.9290064440482277</v>
          </cell>
          <cell r="R105">
            <v>-3.7582596724879798E-2</v>
          </cell>
          <cell r="S105">
            <v>3.8284678513071386E-4</v>
          </cell>
          <cell r="T105">
            <v>253.17379483147886</v>
          </cell>
          <cell r="U105">
            <v>4.48094757422498</v>
          </cell>
          <cell r="V105">
            <v>8.8231376810237652E-3</v>
          </cell>
          <cell r="W105">
            <v>4.8210961012442005E-4</v>
          </cell>
          <cell r="X105">
            <v>200.33917081684569</v>
          </cell>
          <cell r="Y105">
            <v>4.8012841760331284</v>
          </cell>
          <cell r="Z105">
            <v>-3.2983122515893332E-2</v>
          </cell>
          <cell r="AA105">
            <v>1.1004800431568173E-3</v>
          </cell>
          <cell r="AB105"/>
          <cell r="AC105">
            <v>4.9445063615437697</v>
          </cell>
          <cell r="AD105"/>
          <cell r="AE105"/>
          <cell r="AF105">
            <v>178.81836726083574</v>
          </cell>
          <cell r="AG105">
            <v>4.81452713697111</v>
          </cell>
          <cell r="AH105">
            <v>-2.9057119445776169E-2</v>
          </cell>
          <cell r="AI105">
            <v>9.7537604917384568E-4</v>
          </cell>
        </row>
        <row r="106">
          <cell r="B106">
            <v>2089</v>
          </cell>
          <cell r="D106">
            <v>127.27153019197394</v>
          </cell>
          <cell r="E106">
            <v>5.0035222199380067</v>
          </cell>
          <cell r="F106">
            <v>-9.2536305509879537E-3</v>
          </cell>
          <cell r="G106">
            <v>2.7847077753147899E-4</v>
          </cell>
          <cell r="H106">
            <v>63.647068154611482</v>
          </cell>
          <cell r="I106">
            <v>8.0417263311844138</v>
          </cell>
          <cell r="J106">
            <v>-7.6429426843214077E-2</v>
          </cell>
          <cell r="K106">
            <v>6.0096234847087197E-4</v>
          </cell>
          <cell r="L106"/>
          <cell r="M106">
            <v>2.0114236456394412</v>
          </cell>
          <cell r="N106"/>
          <cell r="O106"/>
          <cell r="P106">
            <v>82.440831704447731</v>
          </cell>
          <cell r="Q106">
            <v>5.9551031651326509</v>
          </cell>
          <cell r="R106">
            <v>-3.7754373434427987E-2</v>
          </cell>
          <cell r="S106">
            <v>3.8460699230029126E-4</v>
          </cell>
          <cell r="T106">
            <v>254.36096666724018</v>
          </cell>
          <cell r="U106">
            <v>4.5019594438032824</v>
          </cell>
          <cell r="V106">
            <v>8.8645107645410701E-3</v>
          </cell>
          <cell r="W106">
            <v>4.8437029808886975E-4</v>
          </cell>
          <cell r="X106">
            <v>201.25207836075398</v>
          </cell>
          <cell r="Y106">
            <v>4.8231627159456023</v>
          </cell>
          <cell r="Z106">
            <v>-3.3133420339547297E-2</v>
          </cell>
          <cell r="AA106">
            <v>1.1054947216603877E-3</v>
          </cell>
          <cell r="AB106"/>
          <cell r="AC106">
            <v>4.9445063615437697</v>
          </cell>
          <cell r="AD106"/>
          <cell r="AE106"/>
          <cell r="AF106">
            <v>179.63346261962027</v>
          </cell>
          <cell r="AG106">
            <v>4.8340051291788209</v>
          </cell>
          <cell r="AH106">
            <v>-2.9189518366320881E-2</v>
          </cell>
          <cell r="AI106">
            <v>9.7982113627940559E-4</v>
          </cell>
        </row>
      </sheetData>
      <sheetData sheetId="25" refreshError="1"/>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4.9658120619504071</v>
          </cell>
          <cell r="E27">
            <v>135.94599999999997</v>
          </cell>
          <cell r="F27">
            <v>3.8458673233354279</v>
          </cell>
          <cell r="G27">
            <v>0</v>
          </cell>
          <cell r="H27">
            <v>3.980924205422983</v>
          </cell>
          <cell r="I27">
            <v>16.394061473944568</v>
          </cell>
        </row>
        <row r="28">
          <cell r="B28">
            <v>2012</v>
          </cell>
          <cell r="D28">
            <v>4.9654801212966788</v>
          </cell>
          <cell r="E28">
            <v>135.946</v>
          </cell>
          <cell r="F28">
            <v>3.8456329866544419</v>
          </cell>
          <cell r="G28">
            <v>0</v>
          </cell>
          <cell r="H28">
            <v>3.9806780984396033</v>
          </cell>
          <cell r="I28">
            <v>16.394061473944575</v>
          </cell>
        </row>
        <row r="29">
          <cell r="B29">
            <v>2013</v>
          </cell>
          <cell r="D29">
            <v>4.9650415356628033</v>
          </cell>
          <cell r="E29">
            <v>135.946</v>
          </cell>
          <cell r="F29">
            <v>3.845323362929189</v>
          </cell>
          <cell r="G29">
            <v>0</v>
          </cell>
          <cell r="H29">
            <v>3.9803529228815804</v>
          </cell>
          <cell r="I29">
            <v>16.394061473944575</v>
          </cell>
        </row>
        <row r="30">
          <cell r="B30">
            <v>2014</v>
          </cell>
          <cell r="D30">
            <v>4.9634026965695552</v>
          </cell>
          <cell r="E30">
            <v>135.946</v>
          </cell>
          <cell r="F30">
            <v>3.8441664087885359</v>
          </cell>
          <cell r="G30">
            <v>0</v>
          </cell>
          <cell r="H30">
            <v>3.9791378570529319</v>
          </cell>
          <cell r="I30">
            <v>16.394061473944575</v>
          </cell>
        </row>
        <row r="31">
          <cell r="B31">
            <v>2015</v>
          </cell>
          <cell r="D31">
            <v>4.9604664401457512</v>
          </cell>
          <cell r="E31">
            <v>135.946</v>
          </cell>
          <cell r="F31">
            <v>3.8420935304678192</v>
          </cell>
          <cell r="G31">
            <v>0</v>
          </cell>
          <cell r="H31">
            <v>3.9769608618497969</v>
          </cell>
          <cell r="I31">
            <v>16.394061473944575</v>
          </cell>
        </row>
        <row r="32">
          <cell r="B32">
            <v>2016</v>
          </cell>
          <cell r="D32">
            <v>4.9529213060731747</v>
          </cell>
          <cell r="E32">
            <v>135.946</v>
          </cell>
          <cell r="F32">
            <v>3.8367669708665706</v>
          </cell>
          <cell r="G32">
            <v>0</v>
          </cell>
          <cell r="H32">
            <v>3.9713667589131982</v>
          </cell>
          <cell r="I32">
            <v>16.394061473944575</v>
          </cell>
        </row>
        <row r="33">
          <cell r="B33">
            <v>2017</v>
          </cell>
          <cell r="D33">
            <v>4.9491587239769563</v>
          </cell>
          <cell r="E33">
            <v>135.946</v>
          </cell>
          <cell r="F33">
            <v>3.8341107400299386</v>
          </cell>
          <cell r="G33">
            <v>0</v>
          </cell>
          <cell r="H33">
            <v>3.968577110465445</v>
          </cell>
          <cell r="I33">
            <v>16.394061473944575</v>
          </cell>
        </row>
        <row r="34">
          <cell r="B34">
            <v>2018</v>
          </cell>
          <cell r="D34">
            <v>4.9441981396423911</v>
          </cell>
          <cell r="E34">
            <v>135.946</v>
          </cell>
          <cell r="F34">
            <v>3.830608768048934</v>
          </cell>
          <cell r="G34">
            <v>0</v>
          </cell>
          <cell r="H34">
            <v>3.964899240844268</v>
          </cell>
          <cell r="I34">
            <v>16.394061473944575</v>
          </cell>
        </row>
        <row r="35">
          <cell r="B35">
            <v>2019</v>
          </cell>
          <cell r="D35">
            <v>4.9374790708858898</v>
          </cell>
          <cell r="E35">
            <v>135.94600000000003</v>
          </cell>
          <cell r="F35">
            <v>3.8258653771625513</v>
          </cell>
          <cell r="G35">
            <v>0</v>
          </cell>
          <cell r="H35">
            <v>3.9599175981192474</v>
          </cell>
          <cell r="I35">
            <v>16.394061473944575</v>
          </cell>
        </row>
        <row r="36">
          <cell r="B36">
            <v>2020</v>
          </cell>
          <cell r="D36">
            <v>4.9301413849090618</v>
          </cell>
          <cell r="E36">
            <v>135.946</v>
          </cell>
          <cell r="F36">
            <v>3.8206852675296581</v>
          </cell>
          <cell r="G36">
            <v>0</v>
          </cell>
          <cell r="H36">
            <v>3.9544773010647516</v>
          </cell>
          <cell r="I36">
            <v>16.394061473944575</v>
          </cell>
        </row>
        <row r="37">
          <cell r="B37">
            <v>2021</v>
          </cell>
          <cell r="D37">
            <v>4.9193667756882844</v>
          </cell>
          <cell r="E37">
            <v>135.94599999999997</v>
          </cell>
          <cell r="F37">
            <v>3.8130788290432651</v>
          </cell>
          <cell r="G37">
            <v>0</v>
          </cell>
          <cell r="H37">
            <v>3.9464888051012759</v>
          </cell>
          <cell r="I37">
            <v>16.394061473944568</v>
          </cell>
        </row>
        <row r="38">
          <cell r="B38">
            <v>2022</v>
          </cell>
          <cell r="D38">
            <v>4.9043435227976477</v>
          </cell>
          <cell r="E38">
            <v>135.94600000000003</v>
          </cell>
          <cell r="F38">
            <v>3.8024730199009911</v>
          </cell>
          <cell r="G38">
            <v>0</v>
          </cell>
          <cell r="H38">
            <v>3.935350285585999</v>
          </cell>
          <cell r="I38">
            <v>16.394061473944575</v>
          </cell>
        </row>
        <row r="39">
          <cell r="B39">
            <v>2023</v>
          </cell>
          <cell r="D39">
            <v>4.8867167546724621</v>
          </cell>
          <cell r="E39">
            <v>135.946</v>
          </cell>
          <cell r="F39">
            <v>3.7900292342647024</v>
          </cell>
          <cell r="G39">
            <v>0</v>
          </cell>
          <cell r="H39">
            <v>3.9222814713829162</v>
          </cell>
          <cell r="I39">
            <v>16.394061473944575</v>
          </cell>
        </row>
        <row r="40">
          <cell r="B40">
            <v>2024</v>
          </cell>
          <cell r="D40">
            <v>4.8648544132949718</v>
          </cell>
          <cell r="E40">
            <v>135.946</v>
          </cell>
          <cell r="F40">
            <v>3.7745953051588814</v>
          </cell>
          <cell r="G40">
            <v>0</v>
          </cell>
          <cell r="H40">
            <v>3.9060723242790543</v>
          </cell>
          <cell r="I40">
            <v>16.394061473944575</v>
          </cell>
        </row>
        <row r="41">
          <cell r="B41">
            <v>2025</v>
          </cell>
          <cell r="D41">
            <v>4.8324953708082949</v>
          </cell>
          <cell r="E41">
            <v>135.946</v>
          </cell>
          <cell r="F41">
            <v>3.7517511294574706</v>
          </cell>
          <cell r="G41">
            <v>0</v>
          </cell>
          <cell r="H41">
            <v>3.8820807274619504</v>
          </cell>
          <cell r="I41">
            <v>16.394061473944575</v>
          </cell>
        </row>
        <row r="42">
          <cell r="B42">
            <v>2026</v>
          </cell>
          <cell r="D42">
            <v>4.798510606204859</v>
          </cell>
          <cell r="E42">
            <v>135.946</v>
          </cell>
          <cell r="F42">
            <v>3.7277592596704818</v>
          </cell>
          <cell r="G42">
            <v>0</v>
          </cell>
          <cell r="H42">
            <v>3.8568837899868837</v>
          </cell>
          <cell r="I42">
            <v>16.394061473944575</v>
          </cell>
        </row>
        <row r="43">
          <cell r="B43">
            <v>2027</v>
          </cell>
          <cell r="D43">
            <v>4.7633844129966558</v>
          </cell>
          <cell r="E43">
            <v>135.94600000000003</v>
          </cell>
          <cell r="F43">
            <v>3.7029615874371244</v>
          </cell>
          <cell r="G43">
            <v>0</v>
          </cell>
          <cell r="H43">
            <v>3.8308405760840651</v>
          </cell>
          <cell r="I43">
            <v>16.394061473944575</v>
          </cell>
        </row>
        <row r="44">
          <cell r="B44">
            <v>2028</v>
          </cell>
          <cell r="D44">
            <v>4.7277049732413756</v>
          </cell>
          <cell r="E44">
            <v>135.94599999999997</v>
          </cell>
          <cell r="F44">
            <v>3.6777733455095976</v>
          </cell>
          <cell r="G44">
            <v>0</v>
          </cell>
          <cell r="H44">
            <v>3.8043871748865081</v>
          </cell>
          <cell r="I44">
            <v>16.394061473944568</v>
          </cell>
        </row>
        <row r="45">
          <cell r="B45">
            <v>2029</v>
          </cell>
          <cell r="D45">
            <v>4.6910248228897888</v>
          </cell>
          <cell r="E45">
            <v>135.946</v>
          </cell>
          <cell r="F45">
            <v>3.651878642360368</v>
          </cell>
          <cell r="G45">
            <v>0</v>
          </cell>
          <cell r="H45">
            <v>3.7771918282136778</v>
          </cell>
          <cell r="I45">
            <v>16.394061473944575</v>
          </cell>
        </row>
        <row r="46">
          <cell r="B46">
            <v>2030</v>
          </cell>
          <cell r="D46">
            <v>4.6547303088709597</v>
          </cell>
          <cell r="E46">
            <v>135.946</v>
          </cell>
          <cell r="F46">
            <v>3.6262561828705731</v>
          </cell>
          <cell r="G46">
            <v>0</v>
          </cell>
          <cell r="H46">
            <v>3.7502823995007923</v>
          </cell>
          <cell r="I46">
            <v>16.394061473944575</v>
          </cell>
        </row>
        <row r="47">
          <cell r="B47">
            <v>2031</v>
          </cell>
          <cell r="D47">
            <v>4.6175717733561461</v>
          </cell>
          <cell r="E47">
            <v>135.946</v>
          </cell>
          <cell r="F47">
            <v>3.6000237591374833</v>
          </cell>
          <cell r="G47">
            <v>0</v>
          </cell>
          <cell r="H47">
            <v>3.7227323691575722</v>
          </cell>
          <cell r="I47">
            <v>16.394061473944575</v>
          </cell>
        </row>
        <row r="48">
          <cell r="B48">
            <v>2032</v>
          </cell>
          <cell r="D48">
            <v>4.5802281769575623</v>
          </cell>
          <cell r="E48">
            <v>135.946</v>
          </cell>
          <cell r="F48">
            <v>3.5736606899025687</v>
          </cell>
          <cell r="G48">
            <v>0</v>
          </cell>
          <cell r="H48">
            <v>3.6950451312281944</v>
          </cell>
          <cell r="I48">
            <v>16.394061473944575</v>
          </cell>
        </row>
        <row r="49">
          <cell r="B49">
            <v>2033</v>
          </cell>
          <cell r="D49">
            <v>4.5426164029274796</v>
          </cell>
          <cell r="E49">
            <v>135.946</v>
          </cell>
          <cell r="F49">
            <v>3.5471082981023869</v>
          </cell>
          <cell r="G49">
            <v>0</v>
          </cell>
          <cell r="H49">
            <v>3.6671590614077632</v>
          </cell>
          <cell r="I49">
            <v>16.394061473944575</v>
          </cell>
        </row>
        <row r="50">
          <cell r="B50">
            <v>2034</v>
          </cell>
          <cell r="D50">
            <v>4.504593579960483</v>
          </cell>
          <cell r="E50">
            <v>135.946</v>
          </cell>
          <cell r="F50">
            <v>3.5202657223716822</v>
          </cell>
          <cell r="G50">
            <v>0</v>
          </cell>
          <cell r="H50">
            <v>3.6389682322493324</v>
          </cell>
          <cell r="I50">
            <v>16.394061473944575</v>
          </cell>
        </row>
        <row r="51">
          <cell r="B51">
            <v>2035</v>
          </cell>
          <cell r="D51">
            <v>4.4665737408512172</v>
          </cell>
          <cell r="E51">
            <v>135.946</v>
          </cell>
          <cell r="F51">
            <v>3.4934252531238972</v>
          </cell>
          <cell r="G51">
            <v>0</v>
          </cell>
          <cell r="H51">
            <v>3.6107796153786005</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26.073493053016051</v>
          </cell>
          <cell r="E25">
            <v>52.146986106032102</v>
          </cell>
          <cell r="F25">
            <v>78.220479159048139</v>
          </cell>
        </row>
        <row r="26">
          <cell r="B26">
            <v>2011</v>
          </cell>
          <cell r="D26">
            <v>26.464595448811284</v>
          </cell>
          <cell r="E26">
            <v>52.929190897622568</v>
          </cell>
          <cell r="F26">
            <v>79.393786346433856</v>
          </cell>
        </row>
        <row r="27">
          <cell r="B27">
            <v>2012</v>
          </cell>
          <cell r="D27">
            <v>26.861564380543452</v>
          </cell>
          <cell r="E27">
            <v>53.723128761086905</v>
          </cell>
          <cell r="F27">
            <v>80.584693141630353</v>
          </cell>
        </row>
        <row r="28">
          <cell r="B28">
            <v>2013</v>
          </cell>
          <cell r="D28">
            <v>27.264487846251601</v>
          </cell>
          <cell r="E28">
            <v>54.528975692503202</v>
          </cell>
          <cell r="F28">
            <v>81.793463538754793</v>
          </cell>
        </row>
        <row r="29">
          <cell r="B29">
            <v>2014</v>
          </cell>
          <cell r="D29">
            <v>27.673455163945373</v>
          </cell>
          <cell r="E29">
            <v>55.346910327890747</v>
          </cell>
          <cell r="F29">
            <v>83.020365491836117</v>
          </cell>
        </row>
        <row r="30">
          <cell r="B30">
            <v>2015</v>
          </cell>
          <cell r="D30">
            <v>28.088556991404545</v>
          </cell>
          <cell r="E30">
            <v>56.17711398280909</v>
          </cell>
          <cell r="F30">
            <v>84.265670974213663</v>
          </cell>
        </row>
        <row r="31">
          <cell r="B31">
            <v>2016</v>
          </cell>
          <cell r="D31">
            <v>28.509885346275617</v>
          </cell>
          <cell r="E31">
            <v>57.019770692551234</v>
          </cell>
          <cell r="F31">
            <v>85.529656038826857</v>
          </cell>
        </row>
        <row r="32">
          <cell r="B32">
            <v>2017</v>
          </cell>
          <cell r="D32">
            <v>28.937533626469751</v>
          </cell>
          <cell r="E32">
            <v>57.875067252939502</v>
          </cell>
          <cell r="F32">
            <v>86.81260087940926</v>
          </cell>
        </row>
        <row r="33">
          <cell r="B33">
            <v>2018</v>
          </cell>
          <cell r="D33">
            <v>29.37159663086679</v>
          </cell>
          <cell r="E33">
            <v>58.74319326173358</v>
          </cell>
          <cell r="F33">
            <v>88.114789892600399</v>
          </cell>
        </row>
        <row r="34">
          <cell r="B34">
            <v>2019</v>
          </cell>
          <cell r="D34">
            <v>29.812170580329791</v>
          </cell>
          <cell r="E34">
            <v>59.624341160659583</v>
          </cell>
          <cell r="F34">
            <v>89.436511740989388</v>
          </cell>
        </row>
        <row r="35">
          <cell r="B35">
            <v>2020</v>
          </cell>
          <cell r="D35">
            <v>30.259353139034737</v>
          </cell>
          <cell r="E35">
            <v>60.518706278069473</v>
          </cell>
          <cell r="F35">
            <v>90.778059417104217</v>
          </cell>
        </row>
        <row r="36">
          <cell r="B36">
            <v>2021</v>
          </cell>
          <cell r="D36">
            <v>30.763675691351981</v>
          </cell>
          <cell r="E36">
            <v>61.527351382703962</v>
          </cell>
          <cell r="F36">
            <v>92.291027074055933</v>
          </cell>
        </row>
        <row r="37">
          <cell r="B37">
            <v>2022</v>
          </cell>
          <cell r="D37">
            <v>31.267998243669229</v>
          </cell>
          <cell r="E37">
            <v>62.535996487338458</v>
          </cell>
          <cell r="F37">
            <v>93.803994731007677</v>
          </cell>
        </row>
        <row r="38">
          <cell r="B38">
            <v>2023</v>
          </cell>
          <cell r="D38">
            <v>31.772320795986477</v>
          </cell>
          <cell r="E38">
            <v>63.544641591972955</v>
          </cell>
          <cell r="F38">
            <v>95.316962387959407</v>
          </cell>
        </row>
        <row r="39">
          <cell r="B39">
            <v>2024</v>
          </cell>
          <cell r="D39">
            <v>32.276643348303722</v>
          </cell>
          <cell r="E39">
            <v>64.553286696607444</v>
          </cell>
          <cell r="F39">
            <v>96.829930044911151</v>
          </cell>
        </row>
        <row r="40">
          <cell r="B40">
            <v>2025</v>
          </cell>
          <cell r="D40">
            <v>32.78096590062097</v>
          </cell>
          <cell r="E40">
            <v>65.56193180124194</v>
          </cell>
          <cell r="F40">
            <v>98.34289770186291</v>
          </cell>
        </row>
        <row r="41">
          <cell r="B41">
            <v>2026</v>
          </cell>
          <cell r="D41">
            <v>33.285288452938218</v>
          </cell>
          <cell r="E41">
            <v>66.570576905876436</v>
          </cell>
          <cell r="F41">
            <v>99.855865358814626</v>
          </cell>
        </row>
        <row r="42">
          <cell r="B42">
            <v>2027</v>
          </cell>
          <cell r="D42">
            <v>33.789611005255452</v>
          </cell>
          <cell r="E42">
            <v>67.579222010510904</v>
          </cell>
          <cell r="F42">
            <v>101.36883301576637</v>
          </cell>
        </row>
        <row r="43">
          <cell r="B43">
            <v>2028</v>
          </cell>
          <cell r="D43">
            <v>34.2939335575727</v>
          </cell>
          <cell r="E43">
            <v>68.5878671151454</v>
          </cell>
          <cell r="F43">
            <v>102.88180067271813</v>
          </cell>
        </row>
        <row r="44">
          <cell r="B44">
            <v>2029</v>
          </cell>
          <cell r="D44">
            <v>34.798256109889948</v>
          </cell>
          <cell r="E44">
            <v>69.596512219779896</v>
          </cell>
          <cell r="F44">
            <v>104.39476832966986</v>
          </cell>
        </row>
        <row r="45">
          <cell r="B45">
            <v>2030</v>
          </cell>
          <cell r="D45">
            <v>35.302578662207182</v>
          </cell>
          <cell r="E45">
            <v>70.605157324414364</v>
          </cell>
          <cell r="F45">
            <v>105.90773598662159</v>
          </cell>
        </row>
        <row r="46">
          <cell r="B46">
            <v>2031</v>
          </cell>
          <cell r="D46">
            <v>38.58067525226928</v>
          </cell>
          <cell r="E46">
            <v>77.161350504538561</v>
          </cell>
          <cell r="F46">
            <v>115.74202575680789</v>
          </cell>
        </row>
        <row r="47">
          <cell r="B47">
            <v>2032</v>
          </cell>
          <cell r="D47">
            <v>41.858771842331386</v>
          </cell>
          <cell r="E47">
            <v>83.717543684662772</v>
          </cell>
          <cell r="F47">
            <v>125.57631552699418</v>
          </cell>
        </row>
        <row r="48">
          <cell r="B48">
            <v>2033</v>
          </cell>
          <cell r="D48">
            <v>45.136868432393484</v>
          </cell>
          <cell r="E48">
            <v>90.273736864786969</v>
          </cell>
          <cell r="F48">
            <v>135.41060529718044</v>
          </cell>
        </row>
        <row r="49">
          <cell r="B49">
            <v>2034</v>
          </cell>
          <cell r="D49">
            <v>48.414965022455576</v>
          </cell>
          <cell r="E49">
            <v>96.829930044911151</v>
          </cell>
          <cell r="F49">
            <v>145.24489506736674</v>
          </cell>
        </row>
        <row r="50">
          <cell r="B50">
            <v>2035</v>
          </cell>
          <cell r="D50">
            <v>51.693061612517688</v>
          </cell>
          <cell r="E50">
            <v>103.38612322503538</v>
          </cell>
          <cell r="F50">
            <v>155.07918483755302</v>
          </cell>
        </row>
        <row r="51">
          <cell r="B51">
            <v>2036</v>
          </cell>
          <cell r="D51">
            <v>54.971158202579772</v>
          </cell>
          <cell r="E51">
            <v>109.94231640515954</v>
          </cell>
          <cell r="F51">
            <v>164.91347460773935</v>
          </cell>
        </row>
        <row r="52">
          <cell r="B52">
            <v>2037</v>
          </cell>
          <cell r="D52">
            <v>58.249254792641871</v>
          </cell>
          <cell r="E52">
            <v>116.49850958528374</v>
          </cell>
          <cell r="F52">
            <v>174.74776437792562</v>
          </cell>
        </row>
        <row r="53">
          <cell r="B53">
            <v>2038</v>
          </cell>
          <cell r="D53">
            <v>61.527351382703962</v>
          </cell>
          <cell r="E53">
            <v>123.05470276540792</v>
          </cell>
          <cell r="F53">
            <v>184.58205414811187</v>
          </cell>
        </row>
        <row r="54">
          <cell r="B54">
            <v>2039</v>
          </cell>
          <cell r="D54">
            <v>64.805447972766061</v>
          </cell>
          <cell r="E54">
            <v>129.61089594553212</v>
          </cell>
          <cell r="F54">
            <v>194.4163439182982</v>
          </cell>
        </row>
        <row r="55">
          <cell r="B55">
            <v>2040</v>
          </cell>
          <cell r="D55">
            <v>68.083544562828152</v>
          </cell>
          <cell r="E55">
            <v>136.1670891256563</v>
          </cell>
          <cell r="F55">
            <v>204.2506336884845</v>
          </cell>
        </row>
        <row r="56">
          <cell r="B56">
            <v>2041</v>
          </cell>
          <cell r="D56">
            <v>71.361641152890257</v>
          </cell>
          <cell r="E56">
            <v>142.72328230578051</v>
          </cell>
          <cell r="F56">
            <v>214.08492345867077</v>
          </cell>
        </row>
        <row r="57">
          <cell r="B57">
            <v>2042</v>
          </cell>
          <cell r="D57">
            <v>74.639737742952363</v>
          </cell>
          <cell r="E57">
            <v>149.27947548590473</v>
          </cell>
          <cell r="F57">
            <v>223.91921322885705</v>
          </cell>
        </row>
        <row r="58">
          <cell r="B58">
            <v>2043</v>
          </cell>
          <cell r="D58">
            <v>77.91783433301444</v>
          </cell>
          <cell r="E58">
            <v>155.83566866602888</v>
          </cell>
          <cell r="F58">
            <v>233.75350299904338</v>
          </cell>
        </row>
        <row r="59">
          <cell r="B59">
            <v>2044</v>
          </cell>
          <cell r="D59">
            <v>81.195930923076546</v>
          </cell>
          <cell r="E59">
            <v>162.39186184615309</v>
          </cell>
          <cell r="F59">
            <v>243.58779276922965</v>
          </cell>
        </row>
        <row r="60">
          <cell r="B60">
            <v>2045</v>
          </cell>
          <cell r="D60">
            <v>84.474027513138637</v>
          </cell>
          <cell r="E60">
            <v>168.94805502627727</v>
          </cell>
          <cell r="F60">
            <v>253.42208253941592</v>
          </cell>
        </row>
        <row r="61">
          <cell r="B61">
            <v>2046</v>
          </cell>
          <cell r="D61">
            <v>87.752124103200757</v>
          </cell>
          <cell r="E61">
            <v>175.50424820640151</v>
          </cell>
          <cell r="F61">
            <v>263.25637230960223</v>
          </cell>
        </row>
        <row r="62">
          <cell r="B62">
            <v>2047</v>
          </cell>
          <cell r="D62">
            <v>91.030220693262834</v>
          </cell>
          <cell r="E62">
            <v>182.06044138652567</v>
          </cell>
          <cell r="F62">
            <v>273.0906620797885</v>
          </cell>
        </row>
        <row r="63">
          <cell r="B63">
            <v>2048</v>
          </cell>
          <cell r="D63">
            <v>94.308317283324939</v>
          </cell>
          <cell r="E63">
            <v>188.61663456664988</v>
          </cell>
          <cell r="F63">
            <v>282.92495184997478</v>
          </cell>
        </row>
        <row r="64">
          <cell r="B64">
            <v>2049</v>
          </cell>
          <cell r="D64">
            <v>97.586413873387031</v>
          </cell>
          <cell r="E64">
            <v>195.17282774677406</v>
          </cell>
          <cell r="F64">
            <v>292.75924162016105</v>
          </cell>
        </row>
        <row r="65">
          <cell r="B65">
            <v>2050</v>
          </cell>
          <cell r="D65">
            <v>100.86451046344914</v>
          </cell>
          <cell r="E65">
            <v>201.72902092689827</v>
          </cell>
          <cell r="F65">
            <v>302.59353139034738</v>
          </cell>
        </row>
        <row r="66">
          <cell r="B66">
            <v>2051</v>
          </cell>
          <cell r="D66">
            <v>103.38716581845176</v>
          </cell>
          <cell r="E66">
            <v>208.86296124939756</v>
          </cell>
          <cell r="F66">
            <v>314.33875668034329</v>
          </cell>
        </row>
        <row r="67">
          <cell r="B67">
            <v>2052</v>
          </cell>
          <cell r="D67">
            <v>105.72924594009802</v>
          </cell>
          <cell r="E67">
            <v>215.77397130632247</v>
          </cell>
          <cell r="F67">
            <v>325.81869667254699</v>
          </cell>
        </row>
        <row r="68">
          <cell r="B68">
            <v>2053</v>
          </cell>
          <cell r="D68">
            <v>108.01852048542693</v>
          </cell>
          <cell r="E68">
            <v>222.71859893902462</v>
          </cell>
          <cell r="F68">
            <v>337.41867739262227</v>
          </cell>
        </row>
        <row r="69">
          <cell r="B69">
            <v>2054</v>
          </cell>
          <cell r="D69">
            <v>110.23951294205366</v>
          </cell>
          <cell r="E69">
            <v>229.66565196261178</v>
          </cell>
          <cell r="F69">
            <v>349.09179098316991</v>
          </cell>
        </row>
        <row r="70">
          <cell r="B70">
            <v>2055</v>
          </cell>
          <cell r="D70">
            <v>112.28585172496068</v>
          </cell>
          <cell r="E70">
            <v>236.39126678939098</v>
          </cell>
          <cell r="F70">
            <v>360.49668185382114</v>
          </cell>
        </row>
        <row r="71">
          <cell r="B71">
            <v>2056</v>
          </cell>
          <cell r="D71">
            <v>114.28369299013707</v>
          </cell>
          <cell r="E71">
            <v>243.15679359603638</v>
          </cell>
          <cell r="F71">
            <v>372.02989420193569</v>
          </cell>
        </row>
        <row r="72">
          <cell r="B72">
            <v>2057</v>
          </cell>
          <cell r="D72">
            <v>116.09936578702268</v>
          </cell>
          <cell r="E72">
            <v>249.67605545596274</v>
          </cell>
          <cell r="F72">
            <v>383.25274512490279</v>
          </cell>
        </row>
        <row r="73">
          <cell r="B73">
            <v>2058</v>
          </cell>
          <cell r="D73">
            <v>117.77852276108894</v>
          </cell>
          <cell r="E73">
            <v>256.04026687193237</v>
          </cell>
          <cell r="F73">
            <v>394.30201098277593</v>
          </cell>
        </row>
        <row r="74">
          <cell r="B74">
            <v>2059</v>
          </cell>
          <cell r="D74">
            <v>119.34544822237379</v>
          </cell>
          <cell r="E74">
            <v>262.29768840082153</v>
          </cell>
          <cell r="F74">
            <v>405.24992857926918</v>
          </cell>
        </row>
        <row r="75">
          <cell r="B75">
            <v>2060</v>
          </cell>
          <cell r="D75">
            <v>120.77899551011897</v>
          </cell>
          <cell r="E75">
            <v>268.39776780026443</v>
          </cell>
          <cell r="F75">
            <v>416.01654009040988</v>
          </cell>
        </row>
        <row r="76">
          <cell r="B76">
            <v>2061</v>
          </cell>
          <cell r="D76">
            <v>121.59150615384948</v>
          </cell>
          <cell r="E76">
            <v>273.23933967157188</v>
          </cell>
          <cell r="F76">
            <v>424.88717318929423</v>
          </cell>
        </row>
        <row r="77">
          <cell r="B77">
            <v>2062</v>
          </cell>
          <cell r="D77">
            <v>122.34273646630781</v>
          </cell>
          <cell r="E77">
            <v>278.05167378706335</v>
          </cell>
          <cell r="F77">
            <v>433.76061110781876</v>
          </cell>
        </row>
        <row r="78">
          <cell r="B78">
            <v>2063</v>
          </cell>
          <cell r="D78">
            <v>122.83378145722224</v>
          </cell>
          <cell r="E78">
            <v>282.37650909706269</v>
          </cell>
          <cell r="F78">
            <v>441.91923673690303</v>
          </cell>
        </row>
        <row r="79">
          <cell r="B79">
            <v>2064</v>
          </cell>
          <cell r="D79">
            <v>123.18183007242196</v>
          </cell>
          <cell r="E79">
            <v>286.46937226144644</v>
          </cell>
          <cell r="F79">
            <v>449.75691445047102</v>
          </cell>
        </row>
        <row r="80">
          <cell r="B80">
            <v>2065</v>
          </cell>
          <cell r="D80">
            <v>123.27934641128671</v>
          </cell>
          <cell r="E80">
            <v>290.06905037949826</v>
          </cell>
          <cell r="F80">
            <v>456.85875434770975</v>
          </cell>
        </row>
        <row r="81">
          <cell r="B81">
            <v>2066</v>
          </cell>
          <cell r="D81">
            <v>123.32004392764874</v>
          </cell>
          <cell r="E81">
            <v>293.61915220868752</v>
          </cell>
          <cell r="F81">
            <v>463.91826048972632</v>
          </cell>
        </row>
        <row r="82">
          <cell r="B82">
            <v>2067</v>
          </cell>
          <cell r="D82">
            <v>123.08201027196748</v>
          </cell>
          <cell r="E82">
            <v>296.58315728184931</v>
          </cell>
          <cell r="F82">
            <v>470.0843042917312</v>
          </cell>
        </row>
        <row r="83">
          <cell r="B83">
            <v>2068</v>
          </cell>
          <cell r="D83">
            <v>122.71041409702201</v>
          </cell>
          <cell r="E83">
            <v>299.2936929195659</v>
          </cell>
          <cell r="F83">
            <v>475.87697174210979</v>
          </cell>
        </row>
        <row r="84">
          <cell r="B84">
            <v>2069</v>
          </cell>
          <cell r="D84">
            <v>122.14510516032978</v>
          </cell>
          <cell r="E84">
            <v>301.59285224772782</v>
          </cell>
          <cell r="F84">
            <v>481.04059933512593</v>
          </cell>
        </row>
        <row r="85">
          <cell r="B85">
            <v>2070</v>
          </cell>
          <cell r="D85">
            <v>121.43030519152218</v>
          </cell>
          <cell r="E85">
            <v>303.57576297880541</v>
          </cell>
          <cell r="F85">
            <v>485.72122076608872</v>
          </cell>
        </row>
        <row r="86">
          <cell r="B86">
            <v>2071</v>
          </cell>
          <cell r="D86">
            <v>120.69041406433803</v>
          </cell>
          <cell r="E86">
            <v>305.54535206161518</v>
          </cell>
          <cell r="F86">
            <v>490.40029005889267</v>
          </cell>
        </row>
        <row r="87">
          <cell r="B87">
            <v>2072</v>
          </cell>
          <cell r="D87">
            <v>119.79930974927547</v>
          </cell>
          <cell r="E87">
            <v>307.17771730583451</v>
          </cell>
          <cell r="F87">
            <v>494.55612486239363</v>
          </cell>
        </row>
        <row r="88">
          <cell r="B88">
            <v>2073</v>
          </cell>
          <cell r="D88">
            <v>118.79711086564932</v>
          </cell>
          <cell r="E88">
            <v>308.56392432636187</v>
          </cell>
          <cell r="F88">
            <v>498.33073778707427</v>
          </cell>
        </row>
        <row r="89">
          <cell r="B89">
            <v>2074</v>
          </cell>
          <cell r="D89">
            <v>117.5701240340502</v>
          </cell>
          <cell r="E89">
            <v>309.39506324750056</v>
          </cell>
          <cell r="F89">
            <v>501.22000246095104</v>
          </cell>
        </row>
        <row r="90">
          <cell r="B90">
            <v>2075</v>
          </cell>
          <cell r="D90">
            <v>116.35045238153369</v>
          </cell>
          <cell r="E90">
            <v>310.26787301742314</v>
          </cell>
          <cell r="F90">
            <v>504.18529365331256</v>
          </cell>
        </row>
        <row r="91">
          <cell r="B91">
            <v>2076</v>
          </cell>
          <cell r="D91">
            <v>114.82673186784727</v>
          </cell>
          <cell r="E91">
            <v>310.34251856174939</v>
          </cell>
          <cell r="F91">
            <v>505.85830525565166</v>
          </cell>
        </row>
        <row r="92">
          <cell r="B92">
            <v>2077</v>
          </cell>
          <cell r="D92">
            <v>113.31576626060152</v>
          </cell>
          <cell r="E92">
            <v>310.45415413863429</v>
          </cell>
          <cell r="F92">
            <v>507.59254201666704</v>
          </cell>
        </row>
        <row r="93">
          <cell r="B93">
            <v>2078</v>
          </cell>
          <cell r="D93">
            <v>111.62429990600972</v>
          </cell>
          <cell r="E93">
            <v>310.0674997389159</v>
          </cell>
          <cell r="F93">
            <v>508.51069957182199</v>
          </cell>
        </row>
        <row r="94">
          <cell r="B94">
            <v>2079</v>
          </cell>
          <cell r="D94">
            <v>109.87075301950922</v>
          </cell>
          <cell r="E94">
            <v>309.49507892819508</v>
          </cell>
          <cell r="F94">
            <v>509.11940483688102</v>
          </cell>
        </row>
        <row r="95">
          <cell r="B95">
            <v>2080</v>
          </cell>
          <cell r="D95">
            <v>107.92737464250517</v>
          </cell>
          <cell r="E95">
            <v>308.36392755001481</v>
          </cell>
          <cell r="F95">
            <v>508.80048045752437</v>
          </cell>
        </row>
        <row r="96">
          <cell r="B96">
            <v>2081</v>
          </cell>
          <cell r="D96">
            <v>106.3317296507233</v>
          </cell>
          <cell r="E96">
            <v>308.20791203108212</v>
          </cell>
          <cell r="F96">
            <v>510.0840944114409</v>
          </cell>
        </row>
        <row r="97">
          <cell r="B97">
            <v>2082</v>
          </cell>
          <cell r="D97">
            <v>104.55357267613557</v>
          </cell>
          <cell r="E97">
            <v>307.510507870987</v>
          </cell>
          <cell r="F97">
            <v>510.46744306583855</v>
          </cell>
        </row>
        <row r="98">
          <cell r="B98">
            <v>2083</v>
          </cell>
          <cell r="D98">
            <v>102.70412599299394</v>
          </cell>
          <cell r="E98">
            <v>306.57948057610128</v>
          </cell>
          <cell r="F98">
            <v>510.45483515920864</v>
          </cell>
        </row>
        <row r="99">
          <cell r="B99">
            <v>2084</v>
          </cell>
          <cell r="D99">
            <v>100.79993349097636</v>
          </cell>
          <cell r="E99">
            <v>305.45434391204958</v>
          </cell>
          <cell r="F99">
            <v>510.10875433312287</v>
          </cell>
        </row>
        <row r="100">
          <cell r="B100">
            <v>2085</v>
          </cell>
          <cell r="D100">
            <v>98.950992810823067</v>
          </cell>
          <cell r="E100">
            <v>304.46459326407097</v>
          </cell>
          <cell r="F100">
            <v>509.97819371731896</v>
          </cell>
        </row>
        <row r="101">
          <cell r="B101">
            <v>2086</v>
          </cell>
          <cell r="D101">
            <v>96.922665949196357</v>
          </cell>
          <cell r="E101">
            <v>302.88333109123863</v>
          </cell>
          <cell r="F101">
            <v>508.84399623328096</v>
          </cell>
        </row>
        <row r="102">
          <cell r="B102">
            <v>2087</v>
          </cell>
          <cell r="D102">
            <v>94.83455350526944</v>
          </cell>
          <cell r="E102">
            <v>301.06207461990306</v>
          </cell>
          <cell r="F102">
            <v>507.28959573453659</v>
          </cell>
        </row>
        <row r="103">
          <cell r="B103">
            <v>2088</v>
          </cell>
          <cell r="D103">
            <v>92.749945064860682</v>
          </cell>
          <cell r="E103">
            <v>299.19337117696989</v>
          </cell>
          <cell r="F103">
            <v>505.6367972890792</v>
          </cell>
        </row>
        <row r="104">
          <cell r="B104">
            <v>2089</v>
          </cell>
          <cell r="D104">
            <v>90.597129379464448</v>
          </cell>
          <cell r="E104">
            <v>297.03976845726044</v>
          </cell>
          <cell r="F104">
            <v>503.48240753505661</v>
          </cell>
        </row>
        <row r="105">
          <cell r="B105">
            <v>2090</v>
          </cell>
          <cell r="D105">
            <v>88.459675670036816</v>
          </cell>
          <cell r="E105">
            <v>294.86558556678955</v>
          </cell>
          <cell r="F105">
            <v>501.27149546354246</v>
          </cell>
        </row>
        <row r="106">
          <cell r="B106">
            <v>2091</v>
          </cell>
          <cell r="D106">
            <v>86.443323976162674</v>
          </cell>
          <cell r="E106">
            <v>293.02821686834801</v>
          </cell>
          <cell r="F106">
            <v>499.61310976053352</v>
          </cell>
        </row>
        <row r="107">
          <cell r="B107">
            <v>2092</v>
          </cell>
          <cell r="D107">
            <v>84.430756182686963</v>
          </cell>
          <cell r="E107">
            <v>291.14053856098957</v>
          </cell>
          <cell r="F107">
            <v>497.85032093929243</v>
          </cell>
        </row>
        <row r="108">
          <cell r="B108">
            <v>2093</v>
          </cell>
          <cell r="D108">
            <v>82.302632697691024</v>
          </cell>
          <cell r="E108">
            <v>288.78116736031939</v>
          </cell>
          <cell r="F108">
            <v>495.25970202294775</v>
          </cell>
        </row>
        <row r="109">
          <cell r="B109">
            <v>2094</v>
          </cell>
          <cell r="D109">
            <v>80.181922728763112</v>
          </cell>
          <cell r="E109">
            <v>286.36400974558251</v>
          </cell>
          <cell r="F109">
            <v>492.54609676240187</v>
          </cell>
        </row>
        <row r="110">
          <cell r="B110">
            <v>2095</v>
          </cell>
          <cell r="D110">
            <v>78.057716003771617</v>
          </cell>
          <cell r="E110">
            <v>283.84624001371509</v>
          </cell>
          <cell r="F110">
            <v>489.63476402365859</v>
          </cell>
        </row>
        <row r="111">
          <cell r="B111">
            <v>2096</v>
          </cell>
          <cell r="D111">
            <v>75.940820464220948</v>
          </cell>
          <cell r="E111">
            <v>281.26229801563318</v>
          </cell>
          <cell r="F111">
            <v>486.58377556704551</v>
          </cell>
        </row>
        <row r="112">
          <cell r="B112">
            <v>2097</v>
          </cell>
          <cell r="D112">
            <v>73.878678978416517</v>
          </cell>
          <cell r="E112">
            <v>278.78746784308129</v>
          </cell>
          <cell r="F112">
            <v>483.69625670774593</v>
          </cell>
        </row>
        <row r="113">
          <cell r="B113">
            <v>2098</v>
          </cell>
          <cell r="D113">
            <v>71.724764468438948</v>
          </cell>
          <cell r="E113">
            <v>275.86447872476526</v>
          </cell>
          <cell r="F113">
            <v>480.00419298109176</v>
          </cell>
        </row>
        <row r="114">
          <cell r="B114">
            <v>2099</v>
          </cell>
          <cell r="D114">
            <v>69.669950725694989</v>
          </cell>
          <cell r="E114">
            <v>273.21549304194133</v>
          </cell>
          <cell r="F114">
            <v>476.76103535818766</v>
          </cell>
        </row>
        <row r="115">
          <cell r="B115">
            <v>2100</v>
          </cell>
          <cell r="D115">
            <v>67.572316136658898</v>
          </cell>
          <cell r="E115">
            <v>270.28926454663559</v>
          </cell>
          <cell r="F115">
            <v>473.00621295661227</v>
          </cell>
        </row>
      </sheetData>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v.uk/government/publications/webtag-tag-unit-a1-3-user-and-provider-impacts"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hyperlink" Target="file:///\\virago.internal.dtlr.gov.uk\Data\istead\004%20WEBTAG%20RELEASE\0003%20UNIT%20RELEASES\DATA%20BOOK\2014%20November\130624%20Databook%20v9.xls" TargetMode="External"/><Relationship Id="rId2" Type="http://schemas.openxmlformats.org/officeDocument/2006/relationships/hyperlink" Target="http://www.dft.gov.uk/webtag/documents/expert/pdf/u3_5_4-cost-benefit-analysis-020723.pdf" TargetMode="External"/><Relationship Id="rId1" Type="http://schemas.openxmlformats.org/officeDocument/2006/relationships/hyperlink" Target="http://www.hm-treasury.gov.uk/data_greenbook_index.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gov.uk/government/collections/energy-and-emissions-projections" TargetMode="Externa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 Id="rId5" Type="http://schemas.openxmlformats.org/officeDocument/2006/relationships/drawing" Target="../drawings/drawing5.xml"/><Relationship Id="rId4" Type="http://schemas.openxmlformats.org/officeDocument/2006/relationships/hyperlink" Target="https://www.gov.uk/government/uploads/system/uploads/attachment_data/file/527807/road-traffic-notes-definitions.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gov.uk/government/publications/webtag-tag-unit-a3-environmental-impact-appraisal" TargetMode="External"/><Relationship Id="rId2" Type="http://schemas.openxmlformats.org/officeDocument/2006/relationships/hyperlink" Target="http://www.dft.gov.uk/webtag/documents/expert/pdf/U3_3_5-ghg-120723.pdf" TargetMode="External"/><Relationship Id="rId1" Type="http://schemas.openxmlformats.org/officeDocument/2006/relationships/hyperlink" Target="http://www.decc.gov.uk/publications/basket.aspx?filetype=4&amp;filepath=Statistics%2fanalysis_group%2f81-iag-toolkit-tables-1-29.xls" TargetMode="External"/><Relationship Id="rId5" Type="http://schemas.openxmlformats.org/officeDocument/2006/relationships/drawing" Target="../drawings/drawing11.xml"/><Relationship Id="rId4" Type="http://schemas.openxmlformats.org/officeDocument/2006/relationships/hyperlink" Target="https://www.gov.uk/government/uploads/system/uploads/attachment_data/file/666406/Data_tables_1-19_supporting_the_toolkit_and_the_guidance_2017.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666406/Data_tables_1-19_supporting_the_toolkit_and_the_guidance_2017.xlsx" TargetMode="External"/><Relationship Id="rId2" Type="http://schemas.openxmlformats.org/officeDocument/2006/relationships/hyperlink" Target="https://www.gov.uk/government/publications/webtag-tag-unit-a3-environmental-impact-appraisal" TargetMode="External"/><Relationship Id="rId1" Type="http://schemas.openxmlformats.org/officeDocument/2006/relationships/hyperlink" Target="http://www.dft.gov.uk/webtag/documents/expert/pdf/U3_3_5-ghg-120723.pdf" TargetMode="External"/><Relationship Id="rId4"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www.gov.uk/government/publications/webtag-tag-unit-a4-1-social-impact-appraisal" TargetMode="External"/><Relationship Id="rId1" Type="http://schemas.openxmlformats.org/officeDocument/2006/relationships/hyperlink" Target="http://www.dft.gov.uk/webtag/documents/expert/pdf/u3_14_1-walking-and-cycling-120723.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www.gov.uk/government/publications/webtag-tag-unit-a5-4-marginal-external-congestion-costs" TargetMode="External"/><Relationship Id="rId1" Type="http://schemas.openxmlformats.org/officeDocument/2006/relationships/hyperlink" Target="http://www.dft.gov.uk/webtag/documents/expert/pdf/U3_13_2-external-costs-of-car-use-120723.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B1:F4"/>
  <sheetViews>
    <sheetView workbookViewId="0">
      <selection activeCell="C27" sqref="C27"/>
    </sheetView>
  </sheetViews>
  <sheetFormatPr defaultRowHeight="14.5"/>
  <cols>
    <col min="1" max="1" width="9.7265625" bestFit="1" customWidth="1"/>
    <col min="2" max="2" width="9" bestFit="1" customWidth="1"/>
    <col min="3" max="3" width="58.453125" bestFit="1" customWidth="1"/>
    <col min="4" max="4" width="14" bestFit="1" customWidth="1"/>
    <col min="5" max="5" width="14.453125" bestFit="1" customWidth="1"/>
    <col min="6" max="6" width="15.7265625" bestFit="1" customWidth="1"/>
  </cols>
  <sheetData>
    <row r="1" spans="2:6" ht="15.5">
      <c r="C1" s="2"/>
      <c r="D1" s="2"/>
      <c r="E1" s="2"/>
      <c r="F1" s="2"/>
    </row>
    <row r="2" spans="2:6" ht="15.5">
      <c r="B2" s="1" t="s">
        <v>0</v>
      </c>
      <c r="C2" s="2" t="s">
        <v>1</v>
      </c>
      <c r="D2" s="2" t="s">
        <v>2</v>
      </c>
    </row>
    <row r="3" spans="2:6">
      <c r="B3">
        <v>1</v>
      </c>
      <c r="C3" t="s">
        <v>3</v>
      </c>
      <c r="D3" s="1037">
        <v>44312</v>
      </c>
    </row>
    <row r="4" spans="2:6">
      <c r="B4" s="1091">
        <v>2</v>
      </c>
      <c r="C4" s="1091" t="s">
        <v>4</v>
      </c>
      <c r="D4" s="1092">
        <v>44712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sheetPr>
  <dimension ref="A2:F27"/>
  <sheetViews>
    <sheetView zoomScaleNormal="100" workbookViewId="0">
      <selection activeCell="D15" sqref="D15"/>
    </sheetView>
  </sheetViews>
  <sheetFormatPr defaultColWidth="9.1796875" defaultRowHeight="14.5"/>
  <cols>
    <col min="1" max="1" width="3.7265625" style="361" customWidth="1"/>
    <col min="2" max="2" width="8.54296875" style="361" customWidth="1"/>
    <col min="3" max="3" width="47.1796875" style="361" customWidth="1"/>
    <col min="4" max="4" width="9.1796875" style="361"/>
    <col min="5" max="5" width="12.7265625" style="361" bestFit="1" customWidth="1"/>
    <col min="6" max="16384" width="9.1796875" style="361"/>
  </cols>
  <sheetData>
    <row r="2" spans="1:5" ht="15.5">
      <c r="A2" s="360" t="s">
        <v>236</v>
      </c>
      <c r="C2" s="360"/>
    </row>
    <row r="3" spans="1:5" ht="15.5">
      <c r="A3" s="360"/>
      <c r="B3" s="360" t="s">
        <v>327</v>
      </c>
      <c r="C3" s="362"/>
    </row>
    <row r="4" spans="1:5" ht="15.5">
      <c r="C4" s="364" t="s">
        <v>328</v>
      </c>
      <c r="D4" s="965">
        <f>'Proforma Scrutiny'!D7</f>
        <v>0</v>
      </c>
      <c r="E4" s="361" t="s">
        <v>329</v>
      </c>
    </row>
    <row r="5" spans="1:5" ht="15.5">
      <c r="C5" s="364" t="s">
        <v>330</v>
      </c>
      <c r="D5" s="965">
        <f>'Proforma Scrutiny'!D46</f>
        <v>0</v>
      </c>
    </row>
    <row r="7" spans="1:5" ht="15.5">
      <c r="B7" s="360" t="s">
        <v>331</v>
      </c>
    </row>
    <row r="8" spans="1:5" ht="15.5">
      <c r="C8" s="380" t="s">
        <v>332</v>
      </c>
      <c r="D8" s="363">
        <f>'Proforma Scrutiny'!D47</f>
        <v>1</v>
      </c>
    </row>
    <row r="9" spans="1:5" ht="15.5">
      <c r="C9" s="364" t="s">
        <v>333</v>
      </c>
      <c r="D9" s="973">
        <f>'Proforma Scrutiny'!D48</f>
        <v>5.6</v>
      </c>
      <c r="E9" s="361" t="s">
        <v>329</v>
      </c>
    </row>
    <row r="10" spans="1:5" ht="15.5">
      <c r="C10" s="364" t="s">
        <v>334</v>
      </c>
      <c r="D10" s="363">
        <f>'Proforma Scrutiny'!D49</f>
        <v>15</v>
      </c>
    </row>
    <row r="11" spans="1:5" ht="15.5">
      <c r="C11" s="364" t="s">
        <v>335</v>
      </c>
      <c r="D11" s="363">
        <v>260</v>
      </c>
    </row>
    <row r="13" spans="1:5" ht="15.5">
      <c r="A13" s="360" t="s">
        <v>302</v>
      </c>
    </row>
    <row r="14" spans="1:5" ht="15.5">
      <c r="A14" s="360"/>
      <c r="B14" s="360" t="s">
        <v>336</v>
      </c>
    </row>
    <row r="15" spans="1:5" ht="15.5">
      <c r="A15" s="360"/>
      <c r="C15" s="380" t="s">
        <v>337</v>
      </c>
      <c r="D15" s="973">
        <f>MIN(D4,D9)</f>
        <v>0</v>
      </c>
    </row>
    <row r="16" spans="1:5" ht="15.5">
      <c r="A16" s="360"/>
      <c r="C16" s="378"/>
    </row>
    <row r="17" spans="2:6" ht="15.5">
      <c r="B17" s="360" t="s">
        <v>338</v>
      </c>
      <c r="C17" s="365"/>
    </row>
    <row r="18" spans="2:6" ht="15.5">
      <c r="C18" s="380" t="s">
        <v>339</v>
      </c>
      <c r="D18" s="973">
        <f>60*$D$15/$D$10</f>
        <v>0</v>
      </c>
    </row>
    <row r="19" spans="2:6" ht="15.5">
      <c r="C19" s="380" t="s">
        <v>340</v>
      </c>
      <c r="D19" s="973">
        <f>D18*$D$11</f>
        <v>0</v>
      </c>
    </row>
    <row r="21" spans="2:6" ht="15.5">
      <c r="B21" s="360" t="s">
        <v>341</v>
      </c>
    </row>
    <row r="22" spans="2:6" ht="15.5">
      <c r="C22" s="364" t="s">
        <v>342</v>
      </c>
      <c r="D22" s="363">
        <f>$D$19*$D$5*D8/100</f>
        <v>0</v>
      </c>
      <c r="E22" s="361" t="s">
        <v>169</v>
      </c>
      <c r="F22" s="366"/>
    </row>
    <row r="23" spans="2:6">
      <c r="C23" s="367"/>
      <c r="D23" s="367"/>
      <c r="E23" s="367"/>
      <c r="F23" s="368"/>
    </row>
    <row r="24" spans="2:6">
      <c r="C24" s="367"/>
      <c r="D24" s="367"/>
      <c r="E24" s="367"/>
    </row>
    <row r="25" spans="2:6">
      <c r="C25" s="367"/>
      <c r="D25" s="367"/>
      <c r="E25" s="367"/>
    </row>
    <row r="26" spans="2:6">
      <c r="C26" s="367"/>
      <c r="D26" s="367"/>
      <c r="E26" s="367"/>
      <c r="F26" s="369"/>
    </row>
    <row r="27" spans="2:6">
      <c r="C27" s="367"/>
      <c r="D27" s="367"/>
      <c r="E27" s="367"/>
      <c r="F27" s="36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sheetPr>
  <dimension ref="A2:CF206"/>
  <sheetViews>
    <sheetView zoomScale="80" zoomScaleNormal="80" workbookViewId="0">
      <selection activeCell="C10" sqref="C10"/>
    </sheetView>
  </sheetViews>
  <sheetFormatPr defaultColWidth="9.1796875" defaultRowHeight="15.5"/>
  <cols>
    <col min="1" max="2" width="4.7265625" style="360" customWidth="1"/>
    <col min="3" max="3" width="8.54296875" style="360" customWidth="1"/>
    <col min="4" max="4" width="23" style="370" customWidth="1"/>
    <col min="5" max="5" width="9.453125" style="370" customWidth="1"/>
    <col min="6" max="6" width="9.7265625" style="370" customWidth="1"/>
    <col min="7" max="7" width="11.26953125" style="370" bestFit="1" customWidth="1"/>
    <col min="8" max="16384" width="9.1796875" style="370"/>
  </cols>
  <sheetData>
    <row r="2" spans="1:17">
      <c r="A2" s="360" t="s">
        <v>236</v>
      </c>
      <c r="D2" s="360"/>
      <c r="P2" s="370" t="s">
        <v>343</v>
      </c>
    </row>
    <row r="3" spans="1:17">
      <c r="B3" s="360" t="s">
        <v>238</v>
      </c>
      <c r="D3" s="360"/>
    </row>
    <row r="4" spans="1:17">
      <c r="C4" s="360" t="s">
        <v>162</v>
      </c>
      <c r="D4" s="362"/>
      <c r="P4" s="966"/>
      <c r="Q4" s="370" t="s">
        <v>239</v>
      </c>
    </row>
    <row r="5" spans="1:17">
      <c r="D5" s="373" t="s">
        <v>240</v>
      </c>
      <c r="E5" s="967">
        <f>'Proforma Scrutiny'!$D$40</f>
        <v>0</v>
      </c>
    </row>
    <row r="6" spans="1:17">
      <c r="D6" s="373" t="s">
        <v>241</v>
      </c>
      <c r="E6" s="967">
        <f>'Proforma Scrutiny'!$D$40</f>
        <v>0</v>
      </c>
    </row>
    <row r="7" spans="1:17">
      <c r="D7" s="373" t="s">
        <v>242</v>
      </c>
      <c r="E7" s="967">
        <f>'Proforma Scrutiny'!$D$40</f>
        <v>0</v>
      </c>
    </row>
    <row r="8" spans="1:17">
      <c r="D8" s="373" t="s">
        <v>243</v>
      </c>
      <c r="E8" s="967">
        <f>'Proforma Scrutiny'!$D$40</f>
        <v>0</v>
      </c>
    </row>
    <row r="10" spans="1:17">
      <c r="C10" s="360" t="s">
        <v>832</v>
      </c>
    </row>
    <row r="11" spans="1:17">
      <c r="D11" s="373" t="s">
        <v>143</v>
      </c>
      <c r="E11" s="967">
        <f>'Proforma Scrutiny'!D53</f>
        <v>0</v>
      </c>
    </row>
    <row r="13" spans="1:17">
      <c r="C13" s="360" t="s">
        <v>245</v>
      </c>
      <c r="D13" s="360"/>
    </row>
    <row r="14" spans="1:17">
      <c r="D14" s="373" t="s">
        <v>87</v>
      </c>
      <c r="E14" s="967">
        <f>'Proforma Scrutiny'!D12</f>
        <v>0</v>
      </c>
    </row>
    <row r="15" spans="1:17">
      <c r="D15" s="373" t="s">
        <v>89</v>
      </c>
      <c r="E15" s="967">
        <f>'Proforma Scrutiny'!D13</f>
        <v>0</v>
      </c>
    </row>
    <row r="16" spans="1:17">
      <c r="D16" s="373" t="s">
        <v>91</v>
      </c>
      <c r="E16" s="967">
        <f>'Proforma Scrutiny'!D14</f>
        <v>0</v>
      </c>
    </row>
    <row r="17" spans="1:84">
      <c r="D17" s="373" t="s">
        <v>93</v>
      </c>
      <c r="E17" s="967">
        <f>'Proforma Scrutiny'!D15</f>
        <v>0</v>
      </c>
    </row>
    <row r="19" spans="1:84">
      <c r="D19" s="373" t="s">
        <v>344</v>
      </c>
      <c r="E19" s="967">
        <f>'Proforma Scrutiny'!D54</f>
        <v>0</v>
      </c>
    </row>
    <row r="22" spans="1:84">
      <c r="A22" s="360" t="s">
        <v>252</v>
      </c>
      <c r="B22" s="370"/>
    </row>
    <row r="23" spans="1:84">
      <c r="A23" s="370"/>
      <c r="B23" s="360" t="s">
        <v>253</v>
      </c>
    </row>
    <row r="24" spans="1:84">
      <c r="A24" s="370"/>
    </row>
    <row r="25" spans="1:84">
      <c r="C25" s="360" t="s">
        <v>254</v>
      </c>
    </row>
    <row r="26" spans="1:84" s="371" customFormat="1">
      <c r="A26" s="360"/>
      <c r="B26" s="360"/>
      <c r="C26" s="360"/>
      <c r="D26" s="372" t="s">
        <v>345</v>
      </c>
      <c r="E26" s="372">
        <v>2010</v>
      </c>
      <c r="F26" s="372">
        <v>2011</v>
      </c>
      <c r="G26" s="372">
        <v>2012</v>
      </c>
      <c r="H26" s="372">
        <v>2013</v>
      </c>
      <c r="I26" s="372">
        <v>2014</v>
      </c>
      <c r="J26" s="372">
        <v>2015</v>
      </c>
      <c r="K26" s="372">
        <v>2016</v>
      </c>
      <c r="L26" s="372">
        <v>2017</v>
      </c>
      <c r="M26" s="372">
        <v>2018</v>
      </c>
      <c r="N26" s="372">
        <v>2019</v>
      </c>
      <c r="O26" s="372">
        <v>2020</v>
      </c>
      <c r="P26" s="372">
        <v>2021</v>
      </c>
      <c r="Q26" s="372">
        <v>2022</v>
      </c>
      <c r="R26" s="372">
        <v>2023</v>
      </c>
      <c r="S26" s="372">
        <v>2024</v>
      </c>
      <c r="T26" s="372">
        <v>2025</v>
      </c>
      <c r="U26" s="372">
        <v>2026</v>
      </c>
      <c r="V26" s="372">
        <v>2027</v>
      </c>
      <c r="W26" s="372">
        <v>2028</v>
      </c>
      <c r="X26" s="372">
        <v>2029</v>
      </c>
      <c r="Y26" s="372">
        <v>2030</v>
      </c>
      <c r="Z26" s="372">
        <v>2031</v>
      </c>
      <c r="AA26" s="372">
        <v>2032</v>
      </c>
      <c r="AB26" s="372">
        <v>2033</v>
      </c>
      <c r="AC26" s="372">
        <v>2034</v>
      </c>
      <c r="AD26" s="372">
        <v>2035</v>
      </c>
      <c r="AE26" s="372">
        <v>2036</v>
      </c>
      <c r="AF26" s="372">
        <v>2037</v>
      </c>
      <c r="AG26" s="372">
        <v>2038</v>
      </c>
      <c r="AH26" s="372">
        <v>2039</v>
      </c>
      <c r="AI26" s="372">
        <v>2040</v>
      </c>
      <c r="AJ26" s="372">
        <v>2041</v>
      </c>
      <c r="AK26" s="372">
        <v>2042</v>
      </c>
      <c r="AL26" s="372">
        <v>2043</v>
      </c>
      <c r="AM26" s="372">
        <v>2044</v>
      </c>
      <c r="AN26" s="372">
        <v>2045</v>
      </c>
      <c r="AO26" s="372">
        <v>2046</v>
      </c>
      <c r="AP26" s="372">
        <v>2047</v>
      </c>
      <c r="AQ26" s="372">
        <v>2048</v>
      </c>
      <c r="AR26" s="372">
        <v>2049</v>
      </c>
      <c r="AS26" s="372">
        <v>2050</v>
      </c>
      <c r="AT26" s="372">
        <v>2051</v>
      </c>
      <c r="AU26" s="372">
        <v>2052</v>
      </c>
      <c r="AV26" s="372">
        <v>2053</v>
      </c>
      <c r="AW26" s="372">
        <v>2054</v>
      </c>
      <c r="AX26" s="372">
        <v>2055</v>
      </c>
      <c r="AY26" s="372">
        <v>2056</v>
      </c>
      <c r="AZ26" s="372">
        <v>2057</v>
      </c>
      <c r="BA26" s="372">
        <v>2058</v>
      </c>
      <c r="BB26" s="372">
        <v>2059</v>
      </c>
      <c r="BC26" s="372">
        <v>2060</v>
      </c>
      <c r="BD26" s="372">
        <v>2061</v>
      </c>
      <c r="BE26" s="372">
        <v>2062</v>
      </c>
      <c r="BF26" s="372">
        <v>2063</v>
      </c>
      <c r="BG26" s="372">
        <v>2064</v>
      </c>
      <c r="BH26" s="372">
        <v>2065</v>
      </c>
      <c r="BI26" s="372">
        <v>2066</v>
      </c>
      <c r="BJ26" s="372">
        <v>2067</v>
      </c>
      <c r="BK26" s="372">
        <v>2068</v>
      </c>
      <c r="BL26" s="372">
        <v>2069</v>
      </c>
      <c r="BM26" s="372">
        <v>2070</v>
      </c>
      <c r="BN26" s="372">
        <v>2071</v>
      </c>
      <c r="BO26" s="372">
        <v>2072</v>
      </c>
      <c r="BP26" s="372">
        <v>2073</v>
      </c>
      <c r="BQ26" s="372">
        <v>2074</v>
      </c>
      <c r="BR26" s="372">
        <v>2075</v>
      </c>
      <c r="BS26" s="372">
        <v>2076</v>
      </c>
      <c r="BT26" s="372">
        <v>2077</v>
      </c>
      <c r="BU26" s="372">
        <v>2078</v>
      </c>
      <c r="BV26" s="372">
        <v>2079</v>
      </c>
      <c r="BW26" s="372">
        <v>2080</v>
      </c>
      <c r="BX26" s="372">
        <v>2081</v>
      </c>
      <c r="BY26" s="372">
        <v>2082</v>
      </c>
      <c r="BZ26" s="372">
        <v>2083</v>
      </c>
      <c r="CA26" s="372">
        <v>2084</v>
      </c>
      <c r="CB26" s="372">
        <v>2085</v>
      </c>
      <c r="CC26" s="372">
        <v>2086</v>
      </c>
      <c r="CD26" s="372">
        <v>2087</v>
      </c>
      <c r="CE26" s="372">
        <v>2088</v>
      </c>
      <c r="CF26" s="372">
        <v>2089</v>
      </c>
    </row>
    <row r="27" spans="1:84">
      <c r="D27" s="364" t="s">
        <v>87</v>
      </c>
      <c r="E27" s="373" t="e">
        <f>((VLOOKUP(E26, voc_work,15,0)) + (VLOOKUP(E26, voc_work,16,0))*$E$5 + (VLOOKUP(E26, voc_work,17,0))*$E$5^2 + (VLOOKUP(E26, voc_work,18,0))*$E$5^3)/$E$5</f>
        <v>#DIV/0!</v>
      </c>
      <c r="F27" s="373" t="e">
        <f t="shared" ref="F27:BQ27" si="0">((VLOOKUP(F26, voc_work,15,FALSE)) + (VLOOKUP(F26, voc_work,16,0))*$E$5 + (VLOOKUP(F26, voc_work,17,0))*$E$5^2 + (VLOOKUP(F26, voc_work,18,0))*$E$5^3)/$E$5</f>
        <v>#DIV/0!</v>
      </c>
      <c r="G27" s="373" t="e">
        <f t="shared" si="0"/>
        <v>#DIV/0!</v>
      </c>
      <c r="H27" s="373" t="e">
        <f t="shared" si="0"/>
        <v>#DIV/0!</v>
      </c>
      <c r="I27" s="373" t="e">
        <f t="shared" si="0"/>
        <v>#DIV/0!</v>
      </c>
      <c r="J27" s="373" t="e">
        <f t="shared" si="0"/>
        <v>#DIV/0!</v>
      </c>
      <c r="K27" s="373" t="e">
        <f t="shared" si="0"/>
        <v>#DIV/0!</v>
      </c>
      <c r="L27" s="373" t="e">
        <f t="shared" si="0"/>
        <v>#DIV/0!</v>
      </c>
      <c r="M27" s="373" t="e">
        <f t="shared" si="0"/>
        <v>#DIV/0!</v>
      </c>
      <c r="N27" s="373" t="e">
        <f t="shared" si="0"/>
        <v>#DIV/0!</v>
      </c>
      <c r="O27" s="373" t="e">
        <f t="shared" si="0"/>
        <v>#DIV/0!</v>
      </c>
      <c r="P27" s="373" t="e">
        <f t="shared" si="0"/>
        <v>#DIV/0!</v>
      </c>
      <c r="Q27" s="373" t="e">
        <f t="shared" si="0"/>
        <v>#DIV/0!</v>
      </c>
      <c r="R27" s="373" t="e">
        <f t="shared" si="0"/>
        <v>#DIV/0!</v>
      </c>
      <c r="S27" s="373" t="e">
        <f t="shared" si="0"/>
        <v>#DIV/0!</v>
      </c>
      <c r="T27" s="373" t="e">
        <f t="shared" si="0"/>
        <v>#DIV/0!</v>
      </c>
      <c r="U27" s="373" t="e">
        <f t="shared" si="0"/>
        <v>#DIV/0!</v>
      </c>
      <c r="V27" s="373" t="e">
        <f t="shared" si="0"/>
        <v>#DIV/0!</v>
      </c>
      <c r="W27" s="373" t="e">
        <f t="shared" si="0"/>
        <v>#DIV/0!</v>
      </c>
      <c r="X27" s="373" t="e">
        <f t="shared" si="0"/>
        <v>#DIV/0!</v>
      </c>
      <c r="Y27" s="373" t="e">
        <f t="shared" si="0"/>
        <v>#DIV/0!</v>
      </c>
      <c r="Z27" s="373" t="e">
        <f t="shared" si="0"/>
        <v>#DIV/0!</v>
      </c>
      <c r="AA27" s="373" t="e">
        <f t="shared" si="0"/>
        <v>#DIV/0!</v>
      </c>
      <c r="AB27" s="373" t="e">
        <f t="shared" si="0"/>
        <v>#DIV/0!</v>
      </c>
      <c r="AC27" s="373" t="e">
        <f t="shared" si="0"/>
        <v>#DIV/0!</v>
      </c>
      <c r="AD27" s="373" t="e">
        <f t="shared" si="0"/>
        <v>#DIV/0!</v>
      </c>
      <c r="AE27" s="373" t="e">
        <f t="shared" si="0"/>
        <v>#DIV/0!</v>
      </c>
      <c r="AF27" s="373" t="e">
        <f t="shared" si="0"/>
        <v>#DIV/0!</v>
      </c>
      <c r="AG27" s="373" t="e">
        <f t="shared" si="0"/>
        <v>#DIV/0!</v>
      </c>
      <c r="AH27" s="373" t="e">
        <f t="shared" si="0"/>
        <v>#DIV/0!</v>
      </c>
      <c r="AI27" s="373" t="e">
        <f t="shared" si="0"/>
        <v>#DIV/0!</v>
      </c>
      <c r="AJ27" s="373" t="e">
        <f t="shared" si="0"/>
        <v>#DIV/0!</v>
      </c>
      <c r="AK27" s="373" t="e">
        <f t="shared" si="0"/>
        <v>#DIV/0!</v>
      </c>
      <c r="AL27" s="373" t="e">
        <f t="shared" si="0"/>
        <v>#DIV/0!</v>
      </c>
      <c r="AM27" s="373" t="e">
        <f t="shared" si="0"/>
        <v>#DIV/0!</v>
      </c>
      <c r="AN27" s="373" t="e">
        <f t="shared" si="0"/>
        <v>#DIV/0!</v>
      </c>
      <c r="AO27" s="373" t="e">
        <f t="shared" si="0"/>
        <v>#DIV/0!</v>
      </c>
      <c r="AP27" s="373" t="e">
        <f t="shared" si="0"/>
        <v>#DIV/0!</v>
      </c>
      <c r="AQ27" s="373" t="e">
        <f t="shared" si="0"/>
        <v>#DIV/0!</v>
      </c>
      <c r="AR27" s="373" t="e">
        <f t="shared" si="0"/>
        <v>#DIV/0!</v>
      </c>
      <c r="AS27" s="373" t="e">
        <f t="shared" si="0"/>
        <v>#DIV/0!</v>
      </c>
      <c r="AT27" s="373" t="e">
        <f t="shared" si="0"/>
        <v>#DIV/0!</v>
      </c>
      <c r="AU27" s="373" t="e">
        <f t="shared" si="0"/>
        <v>#DIV/0!</v>
      </c>
      <c r="AV27" s="373" t="e">
        <f t="shared" si="0"/>
        <v>#DIV/0!</v>
      </c>
      <c r="AW27" s="373" t="e">
        <f t="shared" si="0"/>
        <v>#DIV/0!</v>
      </c>
      <c r="AX27" s="373" t="e">
        <f t="shared" si="0"/>
        <v>#DIV/0!</v>
      </c>
      <c r="AY27" s="373" t="e">
        <f t="shared" si="0"/>
        <v>#DIV/0!</v>
      </c>
      <c r="AZ27" s="373" t="e">
        <f t="shared" si="0"/>
        <v>#DIV/0!</v>
      </c>
      <c r="BA27" s="373" t="e">
        <f t="shared" si="0"/>
        <v>#DIV/0!</v>
      </c>
      <c r="BB27" s="373" t="e">
        <f t="shared" si="0"/>
        <v>#DIV/0!</v>
      </c>
      <c r="BC27" s="373" t="e">
        <f t="shared" si="0"/>
        <v>#DIV/0!</v>
      </c>
      <c r="BD27" s="373" t="e">
        <f t="shared" si="0"/>
        <v>#DIV/0!</v>
      </c>
      <c r="BE27" s="373" t="e">
        <f t="shared" si="0"/>
        <v>#DIV/0!</v>
      </c>
      <c r="BF27" s="373" t="e">
        <f t="shared" si="0"/>
        <v>#DIV/0!</v>
      </c>
      <c r="BG27" s="373" t="e">
        <f t="shared" si="0"/>
        <v>#DIV/0!</v>
      </c>
      <c r="BH27" s="373" t="e">
        <f t="shared" si="0"/>
        <v>#DIV/0!</v>
      </c>
      <c r="BI27" s="373" t="e">
        <f t="shared" si="0"/>
        <v>#DIV/0!</v>
      </c>
      <c r="BJ27" s="373" t="e">
        <f t="shared" si="0"/>
        <v>#DIV/0!</v>
      </c>
      <c r="BK27" s="373" t="e">
        <f t="shared" si="0"/>
        <v>#DIV/0!</v>
      </c>
      <c r="BL27" s="373" t="e">
        <f t="shared" si="0"/>
        <v>#DIV/0!</v>
      </c>
      <c r="BM27" s="373" t="e">
        <f t="shared" si="0"/>
        <v>#DIV/0!</v>
      </c>
      <c r="BN27" s="373" t="e">
        <f t="shared" si="0"/>
        <v>#DIV/0!</v>
      </c>
      <c r="BO27" s="373" t="e">
        <f t="shared" si="0"/>
        <v>#DIV/0!</v>
      </c>
      <c r="BP27" s="373" t="e">
        <f t="shared" si="0"/>
        <v>#DIV/0!</v>
      </c>
      <c r="BQ27" s="373" t="e">
        <f t="shared" si="0"/>
        <v>#DIV/0!</v>
      </c>
      <c r="BR27" s="373" t="e">
        <f t="shared" ref="BR27:CF27" si="1">((VLOOKUP(BR26, voc_work,15,FALSE)) + (VLOOKUP(BR26, voc_work,16,0))*$E$5 + (VLOOKUP(BR26, voc_work,17,0))*$E$5^2 + (VLOOKUP(BR26, voc_work,18,0))*$E$5^3)/$E$5</f>
        <v>#DIV/0!</v>
      </c>
      <c r="BS27" s="373" t="e">
        <f t="shared" si="1"/>
        <v>#DIV/0!</v>
      </c>
      <c r="BT27" s="373" t="e">
        <f t="shared" si="1"/>
        <v>#DIV/0!</v>
      </c>
      <c r="BU27" s="373" t="e">
        <f t="shared" si="1"/>
        <v>#DIV/0!</v>
      </c>
      <c r="BV27" s="373" t="e">
        <f t="shared" si="1"/>
        <v>#DIV/0!</v>
      </c>
      <c r="BW27" s="373" t="e">
        <f t="shared" si="1"/>
        <v>#DIV/0!</v>
      </c>
      <c r="BX27" s="373" t="e">
        <f t="shared" si="1"/>
        <v>#DIV/0!</v>
      </c>
      <c r="BY27" s="373" t="e">
        <f t="shared" si="1"/>
        <v>#DIV/0!</v>
      </c>
      <c r="BZ27" s="373" t="e">
        <f t="shared" si="1"/>
        <v>#DIV/0!</v>
      </c>
      <c r="CA27" s="373" t="e">
        <f t="shared" si="1"/>
        <v>#DIV/0!</v>
      </c>
      <c r="CB27" s="373" t="e">
        <f t="shared" si="1"/>
        <v>#DIV/0!</v>
      </c>
      <c r="CC27" s="373" t="e">
        <f t="shared" si="1"/>
        <v>#DIV/0!</v>
      </c>
      <c r="CD27" s="373" t="e">
        <f t="shared" si="1"/>
        <v>#DIV/0!</v>
      </c>
      <c r="CE27" s="373" t="e">
        <f t="shared" si="1"/>
        <v>#DIV/0!</v>
      </c>
      <c r="CF27" s="373" t="e">
        <f t="shared" si="1"/>
        <v>#DIV/0!</v>
      </c>
    </row>
    <row r="28" spans="1:84">
      <c r="D28" s="364" t="s">
        <v>89</v>
      </c>
      <c r="E28" s="373" t="e">
        <f t="shared" ref="E28:BP28" si="2">((VLOOKUP(E26, voc_work,31,FALSE)) + (VLOOKUP(E26, voc_work,32,0))*$E$6 + (VLOOKUP(E26, voc_work,33,0))*$E$6^2 + (VLOOKUP(E26, voc_work,34,0))*$E$6^3)/$E$6</f>
        <v>#DIV/0!</v>
      </c>
      <c r="F28" s="373" t="e">
        <f t="shared" si="2"/>
        <v>#DIV/0!</v>
      </c>
      <c r="G28" s="373" t="e">
        <f t="shared" si="2"/>
        <v>#DIV/0!</v>
      </c>
      <c r="H28" s="373" t="e">
        <f t="shared" si="2"/>
        <v>#DIV/0!</v>
      </c>
      <c r="I28" s="373" t="e">
        <f t="shared" si="2"/>
        <v>#DIV/0!</v>
      </c>
      <c r="J28" s="373" t="e">
        <f t="shared" si="2"/>
        <v>#DIV/0!</v>
      </c>
      <c r="K28" s="373" t="e">
        <f t="shared" si="2"/>
        <v>#DIV/0!</v>
      </c>
      <c r="L28" s="373" t="e">
        <f t="shared" si="2"/>
        <v>#DIV/0!</v>
      </c>
      <c r="M28" s="373" t="e">
        <f t="shared" si="2"/>
        <v>#DIV/0!</v>
      </c>
      <c r="N28" s="373" t="e">
        <f t="shared" si="2"/>
        <v>#DIV/0!</v>
      </c>
      <c r="O28" s="373" t="e">
        <f t="shared" si="2"/>
        <v>#DIV/0!</v>
      </c>
      <c r="P28" s="373" t="e">
        <f t="shared" si="2"/>
        <v>#DIV/0!</v>
      </c>
      <c r="Q28" s="373" t="e">
        <f t="shared" si="2"/>
        <v>#DIV/0!</v>
      </c>
      <c r="R28" s="373" t="e">
        <f t="shared" si="2"/>
        <v>#DIV/0!</v>
      </c>
      <c r="S28" s="373" t="e">
        <f t="shared" si="2"/>
        <v>#DIV/0!</v>
      </c>
      <c r="T28" s="373" t="e">
        <f t="shared" si="2"/>
        <v>#DIV/0!</v>
      </c>
      <c r="U28" s="373" t="e">
        <f t="shared" si="2"/>
        <v>#DIV/0!</v>
      </c>
      <c r="V28" s="373" t="e">
        <f t="shared" si="2"/>
        <v>#DIV/0!</v>
      </c>
      <c r="W28" s="373" t="e">
        <f t="shared" si="2"/>
        <v>#DIV/0!</v>
      </c>
      <c r="X28" s="373" t="e">
        <f t="shared" si="2"/>
        <v>#DIV/0!</v>
      </c>
      <c r="Y28" s="373" t="e">
        <f t="shared" si="2"/>
        <v>#DIV/0!</v>
      </c>
      <c r="Z28" s="373" t="e">
        <f t="shared" si="2"/>
        <v>#DIV/0!</v>
      </c>
      <c r="AA28" s="373" t="e">
        <f t="shared" si="2"/>
        <v>#DIV/0!</v>
      </c>
      <c r="AB28" s="373" t="e">
        <f t="shared" si="2"/>
        <v>#DIV/0!</v>
      </c>
      <c r="AC28" s="373" t="e">
        <f t="shared" si="2"/>
        <v>#DIV/0!</v>
      </c>
      <c r="AD28" s="373" t="e">
        <f t="shared" si="2"/>
        <v>#DIV/0!</v>
      </c>
      <c r="AE28" s="373" t="e">
        <f t="shared" si="2"/>
        <v>#DIV/0!</v>
      </c>
      <c r="AF28" s="373" t="e">
        <f t="shared" si="2"/>
        <v>#DIV/0!</v>
      </c>
      <c r="AG28" s="373" t="e">
        <f t="shared" si="2"/>
        <v>#DIV/0!</v>
      </c>
      <c r="AH28" s="373" t="e">
        <f t="shared" si="2"/>
        <v>#DIV/0!</v>
      </c>
      <c r="AI28" s="373" t="e">
        <f t="shared" si="2"/>
        <v>#DIV/0!</v>
      </c>
      <c r="AJ28" s="373" t="e">
        <f t="shared" si="2"/>
        <v>#DIV/0!</v>
      </c>
      <c r="AK28" s="373" t="e">
        <f t="shared" si="2"/>
        <v>#DIV/0!</v>
      </c>
      <c r="AL28" s="373" t="e">
        <f t="shared" si="2"/>
        <v>#DIV/0!</v>
      </c>
      <c r="AM28" s="373" t="e">
        <f t="shared" si="2"/>
        <v>#DIV/0!</v>
      </c>
      <c r="AN28" s="373" t="e">
        <f t="shared" si="2"/>
        <v>#DIV/0!</v>
      </c>
      <c r="AO28" s="373" t="e">
        <f t="shared" si="2"/>
        <v>#DIV/0!</v>
      </c>
      <c r="AP28" s="373" t="e">
        <f t="shared" si="2"/>
        <v>#DIV/0!</v>
      </c>
      <c r="AQ28" s="373" t="e">
        <f t="shared" si="2"/>
        <v>#DIV/0!</v>
      </c>
      <c r="AR28" s="373" t="e">
        <f t="shared" si="2"/>
        <v>#DIV/0!</v>
      </c>
      <c r="AS28" s="373" t="e">
        <f t="shared" si="2"/>
        <v>#DIV/0!</v>
      </c>
      <c r="AT28" s="373" t="e">
        <f t="shared" si="2"/>
        <v>#DIV/0!</v>
      </c>
      <c r="AU28" s="373" t="e">
        <f t="shared" si="2"/>
        <v>#DIV/0!</v>
      </c>
      <c r="AV28" s="373" t="e">
        <f t="shared" si="2"/>
        <v>#DIV/0!</v>
      </c>
      <c r="AW28" s="373" t="e">
        <f t="shared" si="2"/>
        <v>#DIV/0!</v>
      </c>
      <c r="AX28" s="373" t="e">
        <f t="shared" si="2"/>
        <v>#DIV/0!</v>
      </c>
      <c r="AY28" s="373" t="e">
        <f t="shared" si="2"/>
        <v>#DIV/0!</v>
      </c>
      <c r="AZ28" s="373" t="e">
        <f t="shared" si="2"/>
        <v>#DIV/0!</v>
      </c>
      <c r="BA28" s="373" t="e">
        <f t="shared" si="2"/>
        <v>#DIV/0!</v>
      </c>
      <c r="BB28" s="373" t="e">
        <f t="shared" si="2"/>
        <v>#DIV/0!</v>
      </c>
      <c r="BC28" s="373" t="e">
        <f t="shared" si="2"/>
        <v>#DIV/0!</v>
      </c>
      <c r="BD28" s="373" t="e">
        <f t="shared" si="2"/>
        <v>#DIV/0!</v>
      </c>
      <c r="BE28" s="373" t="e">
        <f t="shared" si="2"/>
        <v>#DIV/0!</v>
      </c>
      <c r="BF28" s="373" t="e">
        <f t="shared" si="2"/>
        <v>#DIV/0!</v>
      </c>
      <c r="BG28" s="373" t="e">
        <f t="shared" si="2"/>
        <v>#DIV/0!</v>
      </c>
      <c r="BH28" s="373" t="e">
        <f t="shared" si="2"/>
        <v>#DIV/0!</v>
      </c>
      <c r="BI28" s="373" t="e">
        <f t="shared" si="2"/>
        <v>#DIV/0!</v>
      </c>
      <c r="BJ28" s="373" t="e">
        <f t="shared" si="2"/>
        <v>#DIV/0!</v>
      </c>
      <c r="BK28" s="373" t="e">
        <f t="shared" si="2"/>
        <v>#DIV/0!</v>
      </c>
      <c r="BL28" s="373" t="e">
        <f t="shared" si="2"/>
        <v>#DIV/0!</v>
      </c>
      <c r="BM28" s="373" t="e">
        <f t="shared" si="2"/>
        <v>#DIV/0!</v>
      </c>
      <c r="BN28" s="373" t="e">
        <f t="shared" si="2"/>
        <v>#DIV/0!</v>
      </c>
      <c r="BO28" s="373" t="e">
        <f t="shared" si="2"/>
        <v>#DIV/0!</v>
      </c>
      <c r="BP28" s="373" t="e">
        <f t="shared" si="2"/>
        <v>#DIV/0!</v>
      </c>
      <c r="BQ28" s="373" t="e">
        <f t="shared" ref="BQ28:CF28" si="3">((VLOOKUP(BQ26, voc_work,31,FALSE)) + (VLOOKUP(BQ26, voc_work,32,0))*$E$6 + (VLOOKUP(BQ26, voc_work,33,0))*$E$6^2 + (VLOOKUP(BQ26, voc_work,34,0))*$E$6^3)/$E$6</f>
        <v>#DIV/0!</v>
      </c>
      <c r="BR28" s="373" t="e">
        <f t="shared" si="3"/>
        <v>#DIV/0!</v>
      </c>
      <c r="BS28" s="373" t="e">
        <f t="shared" si="3"/>
        <v>#DIV/0!</v>
      </c>
      <c r="BT28" s="373" t="e">
        <f t="shared" si="3"/>
        <v>#DIV/0!</v>
      </c>
      <c r="BU28" s="373" t="e">
        <f t="shared" si="3"/>
        <v>#DIV/0!</v>
      </c>
      <c r="BV28" s="373" t="e">
        <f t="shared" si="3"/>
        <v>#DIV/0!</v>
      </c>
      <c r="BW28" s="373" t="e">
        <f t="shared" si="3"/>
        <v>#DIV/0!</v>
      </c>
      <c r="BX28" s="373" t="e">
        <f t="shared" si="3"/>
        <v>#DIV/0!</v>
      </c>
      <c r="BY28" s="373" t="e">
        <f t="shared" si="3"/>
        <v>#DIV/0!</v>
      </c>
      <c r="BZ28" s="373" t="e">
        <f t="shared" si="3"/>
        <v>#DIV/0!</v>
      </c>
      <c r="CA28" s="373" t="e">
        <f t="shared" si="3"/>
        <v>#DIV/0!</v>
      </c>
      <c r="CB28" s="373" t="e">
        <f t="shared" si="3"/>
        <v>#DIV/0!</v>
      </c>
      <c r="CC28" s="373" t="e">
        <f t="shared" si="3"/>
        <v>#DIV/0!</v>
      </c>
      <c r="CD28" s="373" t="e">
        <f t="shared" si="3"/>
        <v>#DIV/0!</v>
      </c>
      <c r="CE28" s="373" t="e">
        <f t="shared" si="3"/>
        <v>#DIV/0!</v>
      </c>
      <c r="CF28" s="373" t="e">
        <f t="shared" si="3"/>
        <v>#DIV/0!</v>
      </c>
    </row>
    <row r="29" spans="1:84">
      <c r="D29" s="364" t="s">
        <v>91</v>
      </c>
      <c r="E29" s="373" t="e">
        <f t="shared" ref="E29:BP29" si="4">((VLOOKUP(E26, voc_work,55,FALSE)) + (VLOOKUP(E26, voc_work,56,0))*$E$7 + (VLOOKUP(E26, voc_work,57,0))*$E$7^2 + (VLOOKUP(E26, voc_work,58,0))*$E$7^3)/$E$7</f>
        <v>#DIV/0!</v>
      </c>
      <c r="F29" s="373" t="e">
        <f t="shared" si="4"/>
        <v>#DIV/0!</v>
      </c>
      <c r="G29" s="373" t="e">
        <f t="shared" si="4"/>
        <v>#DIV/0!</v>
      </c>
      <c r="H29" s="373" t="e">
        <f t="shared" si="4"/>
        <v>#DIV/0!</v>
      </c>
      <c r="I29" s="373" t="e">
        <f t="shared" si="4"/>
        <v>#DIV/0!</v>
      </c>
      <c r="J29" s="373" t="e">
        <f t="shared" si="4"/>
        <v>#DIV/0!</v>
      </c>
      <c r="K29" s="373" t="e">
        <f t="shared" si="4"/>
        <v>#DIV/0!</v>
      </c>
      <c r="L29" s="373" t="e">
        <f t="shared" si="4"/>
        <v>#DIV/0!</v>
      </c>
      <c r="M29" s="373" t="e">
        <f t="shared" si="4"/>
        <v>#DIV/0!</v>
      </c>
      <c r="N29" s="373" t="e">
        <f t="shared" si="4"/>
        <v>#DIV/0!</v>
      </c>
      <c r="O29" s="373" t="e">
        <f t="shared" si="4"/>
        <v>#DIV/0!</v>
      </c>
      <c r="P29" s="373" t="e">
        <f t="shared" si="4"/>
        <v>#DIV/0!</v>
      </c>
      <c r="Q29" s="373" t="e">
        <f t="shared" si="4"/>
        <v>#DIV/0!</v>
      </c>
      <c r="R29" s="373" t="e">
        <f t="shared" si="4"/>
        <v>#DIV/0!</v>
      </c>
      <c r="S29" s="373" t="e">
        <f t="shared" si="4"/>
        <v>#DIV/0!</v>
      </c>
      <c r="T29" s="373" t="e">
        <f t="shared" si="4"/>
        <v>#DIV/0!</v>
      </c>
      <c r="U29" s="373" t="e">
        <f t="shared" si="4"/>
        <v>#DIV/0!</v>
      </c>
      <c r="V29" s="373" t="e">
        <f t="shared" si="4"/>
        <v>#DIV/0!</v>
      </c>
      <c r="W29" s="373" t="e">
        <f t="shared" si="4"/>
        <v>#DIV/0!</v>
      </c>
      <c r="X29" s="373" t="e">
        <f t="shared" si="4"/>
        <v>#DIV/0!</v>
      </c>
      <c r="Y29" s="373" t="e">
        <f t="shared" si="4"/>
        <v>#DIV/0!</v>
      </c>
      <c r="Z29" s="373" t="e">
        <f t="shared" si="4"/>
        <v>#DIV/0!</v>
      </c>
      <c r="AA29" s="373" t="e">
        <f t="shared" si="4"/>
        <v>#DIV/0!</v>
      </c>
      <c r="AB29" s="373" t="e">
        <f t="shared" si="4"/>
        <v>#DIV/0!</v>
      </c>
      <c r="AC29" s="373" t="e">
        <f t="shared" si="4"/>
        <v>#DIV/0!</v>
      </c>
      <c r="AD29" s="373" t="e">
        <f t="shared" si="4"/>
        <v>#DIV/0!</v>
      </c>
      <c r="AE29" s="373" t="e">
        <f t="shared" si="4"/>
        <v>#DIV/0!</v>
      </c>
      <c r="AF29" s="373" t="e">
        <f t="shared" si="4"/>
        <v>#DIV/0!</v>
      </c>
      <c r="AG29" s="373" t="e">
        <f t="shared" si="4"/>
        <v>#DIV/0!</v>
      </c>
      <c r="AH29" s="373" t="e">
        <f t="shared" si="4"/>
        <v>#DIV/0!</v>
      </c>
      <c r="AI29" s="373" t="e">
        <f t="shared" si="4"/>
        <v>#DIV/0!</v>
      </c>
      <c r="AJ29" s="373" t="e">
        <f t="shared" si="4"/>
        <v>#DIV/0!</v>
      </c>
      <c r="AK29" s="373" t="e">
        <f t="shared" si="4"/>
        <v>#DIV/0!</v>
      </c>
      <c r="AL29" s="373" t="e">
        <f t="shared" si="4"/>
        <v>#DIV/0!</v>
      </c>
      <c r="AM29" s="373" t="e">
        <f t="shared" si="4"/>
        <v>#DIV/0!</v>
      </c>
      <c r="AN29" s="373" t="e">
        <f t="shared" si="4"/>
        <v>#DIV/0!</v>
      </c>
      <c r="AO29" s="373" t="e">
        <f t="shared" si="4"/>
        <v>#DIV/0!</v>
      </c>
      <c r="AP29" s="373" t="e">
        <f t="shared" si="4"/>
        <v>#DIV/0!</v>
      </c>
      <c r="AQ29" s="373" t="e">
        <f t="shared" si="4"/>
        <v>#DIV/0!</v>
      </c>
      <c r="AR29" s="373" t="e">
        <f t="shared" si="4"/>
        <v>#DIV/0!</v>
      </c>
      <c r="AS29" s="373" t="e">
        <f t="shared" si="4"/>
        <v>#DIV/0!</v>
      </c>
      <c r="AT29" s="373" t="e">
        <f t="shared" si="4"/>
        <v>#DIV/0!</v>
      </c>
      <c r="AU29" s="373" t="e">
        <f t="shared" si="4"/>
        <v>#DIV/0!</v>
      </c>
      <c r="AV29" s="373" t="e">
        <f t="shared" si="4"/>
        <v>#DIV/0!</v>
      </c>
      <c r="AW29" s="373" t="e">
        <f t="shared" si="4"/>
        <v>#DIV/0!</v>
      </c>
      <c r="AX29" s="373" t="e">
        <f t="shared" si="4"/>
        <v>#DIV/0!</v>
      </c>
      <c r="AY29" s="373" t="e">
        <f t="shared" si="4"/>
        <v>#DIV/0!</v>
      </c>
      <c r="AZ29" s="373" t="e">
        <f t="shared" si="4"/>
        <v>#DIV/0!</v>
      </c>
      <c r="BA29" s="373" t="e">
        <f t="shared" si="4"/>
        <v>#DIV/0!</v>
      </c>
      <c r="BB29" s="373" t="e">
        <f t="shared" si="4"/>
        <v>#DIV/0!</v>
      </c>
      <c r="BC29" s="373" t="e">
        <f t="shared" si="4"/>
        <v>#DIV/0!</v>
      </c>
      <c r="BD29" s="373" t="e">
        <f t="shared" si="4"/>
        <v>#DIV/0!</v>
      </c>
      <c r="BE29" s="373" t="e">
        <f t="shared" si="4"/>
        <v>#DIV/0!</v>
      </c>
      <c r="BF29" s="373" t="e">
        <f t="shared" si="4"/>
        <v>#DIV/0!</v>
      </c>
      <c r="BG29" s="373" t="e">
        <f t="shared" si="4"/>
        <v>#DIV/0!</v>
      </c>
      <c r="BH29" s="373" t="e">
        <f t="shared" si="4"/>
        <v>#DIV/0!</v>
      </c>
      <c r="BI29" s="373" t="e">
        <f t="shared" si="4"/>
        <v>#DIV/0!</v>
      </c>
      <c r="BJ29" s="373" t="e">
        <f t="shared" si="4"/>
        <v>#DIV/0!</v>
      </c>
      <c r="BK29" s="373" t="e">
        <f t="shared" si="4"/>
        <v>#DIV/0!</v>
      </c>
      <c r="BL29" s="373" t="e">
        <f t="shared" si="4"/>
        <v>#DIV/0!</v>
      </c>
      <c r="BM29" s="373" t="e">
        <f t="shared" si="4"/>
        <v>#DIV/0!</v>
      </c>
      <c r="BN29" s="373" t="e">
        <f t="shared" si="4"/>
        <v>#DIV/0!</v>
      </c>
      <c r="BO29" s="373" t="e">
        <f t="shared" si="4"/>
        <v>#DIV/0!</v>
      </c>
      <c r="BP29" s="373" t="e">
        <f t="shared" si="4"/>
        <v>#DIV/0!</v>
      </c>
      <c r="BQ29" s="373" t="e">
        <f t="shared" ref="BQ29:CF29" si="5">((VLOOKUP(BQ26, voc_work,55,FALSE)) + (VLOOKUP(BQ26, voc_work,56,0))*$E$7 + (VLOOKUP(BQ26, voc_work,57,0))*$E$7^2 + (VLOOKUP(BQ26, voc_work,58,0))*$E$7^3)/$E$7</f>
        <v>#DIV/0!</v>
      </c>
      <c r="BR29" s="373" t="e">
        <f t="shared" si="5"/>
        <v>#DIV/0!</v>
      </c>
      <c r="BS29" s="373" t="e">
        <f t="shared" si="5"/>
        <v>#DIV/0!</v>
      </c>
      <c r="BT29" s="373" t="e">
        <f t="shared" si="5"/>
        <v>#DIV/0!</v>
      </c>
      <c r="BU29" s="373" t="e">
        <f t="shared" si="5"/>
        <v>#DIV/0!</v>
      </c>
      <c r="BV29" s="373" t="e">
        <f t="shared" si="5"/>
        <v>#DIV/0!</v>
      </c>
      <c r="BW29" s="373" t="e">
        <f t="shared" si="5"/>
        <v>#DIV/0!</v>
      </c>
      <c r="BX29" s="373" t="e">
        <f t="shared" si="5"/>
        <v>#DIV/0!</v>
      </c>
      <c r="BY29" s="373" t="e">
        <f t="shared" si="5"/>
        <v>#DIV/0!</v>
      </c>
      <c r="BZ29" s="373" t="e">
        <f t="shared" si="5"/>
        <v>#DIV/0!</v>
      </c>
      <c r="CA29" s="373" t="e">
        <f t="shared" si="5"/>
        <v>#DIV/0!</v>
      </c>
      <c r="CB29" s="373" t="e">
        <f t="shared" si="5"/>
        <v>#DIV/0!</v>
      </c>
      <c r="CC29" s="373" t="e">
        <f t="shared" si="5"/>
        <v>#DIV/0!</v>
      </c>
      <c r="CD29" s="373" t="e">
        <f t="shared" si="5"/>
        <v>#DIV/0!</v>
      </c>
      <c r="CE29" s="373" t="e">
        <f t="shared" si="5"/>
        <v>#DIV/0!</v>
      </c>
      <c r="CF29" s="373" t="e">
        <f t="shared" si="5"/>
        <v>#DIV/0!</v>
      </c>
    </row>
    <row r="30" spans="1:84">
      <c r="D30" s="364" t="s">
        <v>93</v>
      </c>
      <c r="E30" s="373" t="e">
        <f t="shared" ref="E30:BP30" si="6">((VLOOKUP(E26, voc_work,67,FALSE)) + (VLOOKUP(E26, voc_work,68,0))*$E$8 + (VLOOKUP(E26, voc_work,69,0))*$E$8^2 + (VLOOKUP(E26, voc_work,70,0))*$E$8^3)/$E$8</f>
        <v>#DIV/0!</v>
      </c>
      <c r="F30" s="373" t="e">
        <f t="shared" si="6"/>
        <v>#DIV/0!</v>
      </c>
      <c r="G30" s="373" t="e">
        <f t="shared" si="6"/>
        <v>#DIV/0!</v>
      </c>
      <c r="H30" s="373" t="e">
        <f t="shared" si="6"/>
        <v>#DIV/0!</v>
      </c>
      <c r="I30" s="373" t="e">
        <f t="shared" si="6"/>
        <v>#DIV/0!</v>
      </c>
      <c r="J30" s="373" t="e">
        <f t="shared" si="6"/>
        <v>#DIV/0!</v>
      </c>
      <c r="K30" s="373" t="e">
        <f t="shared" si="6"/>
        <v>#DIV/0!</v>
      </c>
      <c r="L30" s="373" t="e">
        <f t="shared" si="6"/>
        <v>#DIV/0!</v>
      </c>
      <c r="M30" s="373" t="e">
        <f t="shared" si="6"/>
        <v>#DIV/0!</v>
      </c>
      <c r="N30" s="373" t="e">
        <f t="shared" si="6"/>
        <v>#DIV/0!</v>
      </c>
      <c r="O30" s="373" t="e">
        <f t="shared" si="6"/>
        <v>#DIV/0!</v>
      </c>
      <c r="P30" s="373" t="e">
        <f t="shared" si="6"/>
        <v>#DIV/0!</v>
      </c>
      <c r="Q30" s="373" t="e">
        <f t="shared" si="6"/>
        <v>#DIV/0!</v>
      </c>
      <c r="R30" s="373" t="e">
        <f t="shared" si="6"/>
        <v>#DIV/0!</v>
      </c>
      <c r="S30" s="373" t="e">
        <f t="shared" si="6"/>
        <v>#DIV/0!</v>
      </c>
      <c r="T30" s="373" t="e">
        <f t="shared" si="6"/>
        <v>#DIV/0!</v>
      </c>
      <c r="U30" s="373" t="e">
        <f t="shared" si="6"/>
        <v>#DIV/0!</v>
      </c>
      <c r="V30" s="373" t="e">
        <f t="shared" si="6"/>
        <v>#DIV/0!</v>
      </c>
      <c r="W30" s="373" t="e">
        <f t="shared" si="6"/>
        <v>#DIV/0!</v>
      </c>
      <c r="X30" s="373" t="e">
        <f t="shared" si="6"/>
        <v>#DIV/0!</v>
      </c>
      <c r="Y30" s="373" t="e">
        <f t="shared" si="6"/>
        <v>#DIV/0!</v>
      </c>
      <c r="Z30" s="373" t="e">
        <f t="shared" si="6"/>
        <v>#DIV/0!</v>
      </c>
      <c r="AA30" s="373" t="e">
        <f t="shared" si="6"/>
        <v>#DIV/0!</v>
      </c>
      <c r="AB30" s="373" t="e">
        <f t="shared" si="6"/>
        <v>#DIV/0!</v>
      </c>
      <c r="AC30" s="373" t="e">
        <f t="shared" si="6"/>
        <v>#DIV/0!</v>
      </c>
      <c r="AD30" s="373" t="e">
        <f t="shared" si="6"/>
        <v>#DIV/0!</v>
      </c>
      <c r="AE30" s="373" t="e">
        <f t="shared" si="6"/>
        <v>#DIV/0!</v>
      </c>
      <c r="AF30" s="373" t="e">
        <f t="shared" si="6"/>
        <v>#DIV/0!</v>
      </c>
      <c r="AG30" s="373" t="e">
        <f t="shared" si="6"/>
        <v>#DIV/0!</v>
      </c>
      <c r="AH30" s="373" t="e">
        <f t="shared" si="6"/>
        <v>#DIV/0!</v>
      </c>
      <c r="AI30" s="373" t="e">
        <f t="shared" si="6"/>
        <v>#DIV/0!</v>
      </c>
      <c r="AJ30" s="373" t="e">
        <f t="shared" si="6"/>
        <v>#DIV/0!</v>
      </c>
      <c r="AK30" s="373" t="e">
        <f t="shared" si="6"/>
        <v>#DIV/0!</v>
      </c>
      <c r="AL30" s="373" t="e">
        <f t="shared" si="6"/>
        <v>#DIV/0!</v>
      </c>
      <c r="AM30" s="373" t="e">
        <f t="shared" si="6"/>
        <v>#DIV/0!</v>
      </c>
      <c r="AN30" s="373" t="e">
        <f t="shared" si="6"/>
        <v>#DIV/0!</v>
      </c>
      <c r="AO30" s="373" t="e">
        <f t="shared" si="6"/>
        <v>#DIV/0!</v>
      </c>
      <c r="AP30" s="373" t="e">
        <f t="shared" si="6"/>
        <v>#DIV/0!</v>
      </c>
      <c r="AQ30" s="373" t="e">
        <f t="shared" si="6"/>
        <v>#DIV/0!</v>
      </c>
      <c r="AR30" s="373" t="e">
        <f t="shared" si="6"/>
        <v>#DIV/0!</v>
      </c>
      <c r="AS30" s="373" t="e">
        <f t="shared" si="6"/>
        <v>#DIV/0!</v>
      </c>
      <c r="AT30" s="373" t="e">
        <f t="shared" si="6"/>
        <v>#DIV/0!</v>
      </c>
      <c r="AU30" s="373" t="e">
        <f t="shared" si="6"/>
        <v>#DIV/0!</v>
      </c>
      <c r="AV30" s="373" t="e">
        <f t="shared" si="6"/>
        <v>#DIV/0!</v>
      </c>
      <c r="AW30" s="373" t="e">
        <f t="shared" si="6"/>
        <v>#DIV/0!</v>
      </c>
      <c r="AX30" s="373" t="e">
        <f t="shared" si="6"/>
        <v>#DIV/0!</v>
      </c>
      <c r="AY30" s="373" t="e">
        <f t="shared" si="6"/>
        <v>#DIV/0!</v>
      </c>
      <c r="AZ30" s="373" t="e">
        <f t="shared" si="6"/>
        <v>#DIV/0!</v>
      </c>
      <c r="BA30" s="373" t="e">
        <f t="shared" si="6"/>
        <v>#DIV/0!</v>
      </c>
      <c r="BB30" s="373" t="e">
        <f t="shared" si="6"/>
        <v>#DIV/0!</v>
      </c>
      <c r="BC30" s="373" t="e">
        <f t="shared" si="6"/>
        <v>#DIV/0!</v>
      </c>
      <c r="BD30" s="373" t="e">
        <f t="shared" si="6"/>
        <v>#DIV/0!</v>
      </c>
      <c r="BE30" s="373" t="e">
        <f t="shared" si="6"/>
        <v>#DIV/0!</v>
      </c>
      <c r="BF30" s="373" t="e">
        <f t="shared" si="6"/>
        <v>#DIV/0!</v>
      </c>
      <c r="BG30" s="373" t="e">
        <f t="shared" si="6"/>
        <v>#DIV/0!</v>
      </c>
      <c r="BH30" s="373" t="e">
        <f t="shared" si="6"/>
        <v>#DIV/0!</v>
      </c>
      <c r="BI30" s="373" t="e">
        <f t="shared" si="6"/>
        <v>#DIV/0!</v>
      </c>
      <c r="BJ30" s="373" t="e">
        <f t="shared" si="6"/>
        <v>#DIV/0!</v>
      </c>
      <c r="BK30" s="373" t="e">
        <f t="shared" si="6"/>
        <v>#DIV/0!</v>
      </c>
      <c r="BL30" s="373" t="e">
        <f t="shared" si="6"/>
        <v>#DIV/0!</v>
      </c>
      <c r="BM30" s="373" t="e">
        <f t="shared" si="6"/>
        <v>#DIV/0!</v>
      </c>
      <c r="BN30" s="373" t="e">
        <f t="shared" si="6"/>
        <v>#DIV/0!</v>
      </c>
      <c r="BO30" s="373" t="e">
        <f t="shared" si="6"/>
        <v>#DIV/0!</v>
      </c>
      <c r="BP30" s="373" t="e">
        <f t="shared" si="6"/>
        <v>#DIV/0!</v>
      </c>
      <c r="BQ30" s="373" t="e">
        <f t="shared" ref="BQ30:CF30" si="7">((VLOOKUP(BQ26, voc_work,67,FALSE)) + (VLOOKUP(BQ26, voc_work,68,0))*$E$8 + (VLOOKUP(BQ26, voc_work,69,0))*$E$8^2 + (VLOOKUP(BQ26, voc_work,70,0))*$E$8^3)/$E$8</f>
        <v>#DIV/0!</v>
      </c>
      <c r="BR30" s="373" t="e">
        <f t="shared" si="7"/>
        <v>#DIV/0!</v>
      </c>
      <c r="BS30" s="373" t="e">
        <f t="shared" si="7"/>
        <v>#DIV/0!</v>
      </c>
      <c r="BT30" s="373" t="e">
        <f t="shared" si="7"/>
        <v>#DIV/0!</v>
      </c>
      <c r="BU30" s="373" t="e">
        <f t="shared" si="7"/>
        <v>#DIV/0!</v>
      </c>
      <c r="BV30" s="373" t="e">
        <f t="shared" si="7"/>
        <v>#DIV/0!</v>
      </c>
      <c r="BW30" s="373" t="e">
        <f t="shared" si="7"/>
        <v>#DIV/0!</v>
      </c>
      <c r="BX30" s="373" t="e">
        <f t="shared" si="7"/>
        <v>#DIV/0!</v>
      </c>
      <c r="BY30" s="373" t="e">
        <f t="shared" si="7"/>
        <v>#DIV/0!</v>
      </c>
      <c r="BZ30" s="373" t="e">
        <f t="shared" si="7"/>
        <v>#DIV/0!</v>
      </c>
      <c r="CA30" s="373" t="e">
        <f t="shared" si="7"/>
        <v>#DIV/0!</v>
      </c>
      <c r="CB30" s="373" t="e">
        <f t="shared" si="7"/>
        <v>#DIV/0!</v>
      </c>
      <c r="CC30" s="373" t="e">
        <f t="shared" si="7"/>
        <v>#DIV/0!</v>
      </c>
      <c r="CD30" s="373" t="e">
        <f t="shared" si="7"/>
        <v>#DIV/0!</v>
      </c>
      <c r="CE30" s="373" t="e">
        <f t="shared" si="7"/>
        <v>#DIV/0!</v>
      </c>
      <c r="CF30" s="373" t="e">
        <f t="shared" si="7"/>
        <v>#DIV/0!</v>
      </c>
    </row>
    <row r="31" spans="1:84">
      <c r="D31" s="365"/>
    </row>
    <row r="32" spans="1:84">
      <c r="D32" s="372" t="s">
        <v>257</v>
      </c>
      <c r="E32" s="372">
        <v>2010</v>
      </c>
      <c r="F32" s="372">
        <v>2011</v>
      </c>
      <c r="G32" s="372">
        <v>2012</v>
      </c>
      <c r="H32" s="372">
        <v>2013</v>
      </c>
      <c r="I32" s="372">
        <v>2014</v>
      </c>
      <c r="J32" s="372">
        <v>2015</v>
      </c>
      <c r="K32" s="372">
        <v>2016</v>
      </c>
      <c r="L32" s="372">
        <v>2017</v>
      </c>
      <c r="M32" s="372">
        <v>2018</v>
      </c>
      <c r="N32" s="372">
        <v>2019</v>
      </c>
      <c r="O32" s="372">
        <v>2020</v>
      </c>
      <c r="P32" s="372">
        <v>2021</v>
      </c>
      <c r="Q32" s="372">
        <v>2022</v>
      </c>
      <c r="R32" s="372">
        <v>2023</v>
      </c>
      <c r="S32" s="372">
        <v>2024</v>
      </c>
      <c r="T32" s="372">
        <v>2025</v>
      </c>
      <c r="U32" s="372">
        <v>2026</v>
      </c>
      <c r="V32" s="372">
        <v>2027</v>
      </c>
      <c r="W32" s="372">
        <v>2028</v>
      </c>
      <c r="X32" s="372">
        <v>2029</v>
      </c>
      <c r="Y32" s="372">
        <v>2030</v>
      </c>
      <c r="Z32" s="372">
        <v>2031</v>
      </c>
      <c r="AA32" s="372">
        <v>2032</v>
      </c>
      <c r="AB32" s="372">
        <v>2033</v>
      </c>
      <c r="AC32" s="372">
        <v>2034</v>
      </c>
      <c r="AD32" s="372">
        <v>2035</v>
      </c>
      <c r="AE32" s="372">
        <v>2036</v>
      </c>
      <c r="AF32" s="372">
        <v>2037</v>
      </c>
      <c r="AG32" s="372">
        <v>2038</v>
      </c>
      <c r="AH32" s="372">
        <v>2039</v>
      </c>
      <c r="AI32" s="372">
        <v>2040</v>
      </c>
      <c r="AJ32" s="372">
        <v>2041</v>
      </c>
      <c r="AK32" s="372">
        <v>2042</v>
      </c>
      <c r="AL32" s="372">
        <v>2043</v>
      </c>
      <c r="AM32" s="372">
        <v>2044</v>
      </c>
      <c r="AN32" s="372">
        <v>2045</v>
      </c>
      <c r="AO32" s="372">
        <v>2046</v>
      </c>
      <c r="AP32" s="372">
        <v>2047</v>
      </c>
      <c r="AQ32" s="372">
        <v>2048</v>
      </c>
      <c r="AR32" s="372">
        <v>2049</v>
      </c>
      <c r="AS32" s="372">
        <v>2050</v>
      </c>
      <c r="AT32" s="372">
        <v>2051</v>
      </c>
      <c r="AU32" s="372">
        <v>2052</v>
      </c>
      <c r="AV32" s="372">
        <v>2053</v>
      </c>
      <c r="AW32" s="372">
        <v>2054</v>
      </c>
      <c r="AX32" s="372">
        <v>2055</v>
      </c>
      <c r="AY32" s="372">
        <v>2056</v>
      </c>
      <c r="AZ32" s="372">
        <v>2057</v>
      </c>
      <c r="BA32" s="372">
        <v>2058</v>
      </c>
      <c r="BB32" s="372">
        <v>2059</v>
      </c>
      <c r="BC32" s="372">
        <v>2060</v>
      </c>
      <c r="BD32" s="372">
        <v>2061</v>
      </c>
      <c r="BE32" s="372">
        <v>2062</v>
      </c>
      <c r="BF32" s="372">
        <v>2063</v>
      </c>
      <c r="BG32" s="372">
        <v>2064</v>
      </c>
      <c r="BH32" s="372">
        <v>2065</v>
      </c>
      <c r="BI32" s="372">
        <v>2066</v>
      </c>
      <c r="BJ32" s="372">
        <v>2067</v>
      </c>
      <c r="BK32" s="372">
        <v>2068</v>
      </c>
      <c r="BL32" s="372">
        <v>2069</v>
      </c>
      <c r="BM32" s="372">
        <v>2070</v>
      </c>
      <c r="BN32" s="372">
        <v>2071</v>
      </c>
      <c r="BO32" s="372">
        <v>2072</v>
      </c>
      <c r="BP32" s="372">
        <v>2073</v>
      </c>
      <c r="BQ32" s="372">
        <v>2074</v>
      </c>
      <c r="BR32" s="372">
        <v>2075</v>
      </c>
      <c r="BS32" s="372">
        <v>2076</v>
      </c>
      <c r="BT32" s="372">
        <v>2077</v>
      </c>
      <c r="BU32" s="372">
        <v>2078</v>
      </c>
      <c r="BV32" s="372">
        <v>2079</v>
      </c>
      <c r="BW32" s="372">
        <v>2080</v>
      </c>
      <c r="BX32" s="372">
        <v>2081</v>
      </c>
      <c r="BY32" s="372">
        <v>2082</v>
      </c>
      <c r="BZ32" s="372">
        <v>2083</v>
      </c>
      <c r="CA32" s="372">
        <v>2084</v>
      </c>
      <c r="CB32" s="372">
        <v>2085</v>
      </c>
      <c r="CC32" s="372">
        <v>2086</v>
      </c>
      <c r="CD32" s="372">
        <v>2087</v>
      </c>
      <c r="CE32" s="372">
        <v>2088</v>
      </c>
      <c r="CF32" s="372">
        <v>2089</v>
      </c>
    </row>
    <row r="33" spans="3:84">
      <c r="D33" s="364" t="s">
        <v>87</v>
      </c>
      <c r="E33" s="373" t="e">
        <f t="shared" ref="E33:BP33" si="8">((VLOOKUP(E32, voc_nonwork,15,FALSE)) + (VLOOKUP(E32, voc_nonwork,16,0))*$E$5 + (VLOOKUP(E32, voc_nonwork,17,0))*$E$5^2 + (VLOOKUP(E32, voc_nonwork,18,0))*$E$5^3)/$E$5</f>
        <v>#DIV/0!</v>
      </c>
      <c r="F33" s="373" t="e">
        <f t="shared" si="8"/>
        <v>#DIV/0!</v>
      </c>
      <c r="G33" s="373" t="e">
        <f t="shared" si="8"/>
        <v>#DIV/0!</v>
      </c>
      <c r="H33" s="373" t="e">
        <f t="shared" si="8"/>
        <v>#DIV/0!</v>
      </c>
      <c r="I33" s="373" t="e">
        <f t="shared" si="8"/>
        <v>#DIV/0!</v>
      </c>
      <c r="J33" s="373" t="e">
        <f t="shared" si="8"/>
        <v>#DIV/0!</v>
      </c>
      <c r="K33" s="373" t="e">
        <f t="shared" si="8"/>
        <v>#DIV/0!</v>
      </c>
      <c r="L33" s="373" t="e">
        <f t="shared" si="8"/>
        <v>#DIV/0!</v>
      </c>
      <c r="M33" s="373" t="e">
        <f t="shared" si="8"/>
        <v>#DIV/0!</v>
      </c>
      <c r="N33" s="373" t="e">
        <f t="shared" si="8"/>
        <v>#DIV/0!</v>
      </c>
      <c r="O33" s="373" t="e">
        <f t="shared" si="8"/>
        <v>#DIV/0!</v>
      </c>
      <c r="P33" s="373" t="e">
        <f t="shared" si="8"/>
        <v>#DIV/0!</v>
      </c>
      <c r="Q33" s="373" t="e">
        <f t="shared" si="8"/>
        <v>#DIV/0!</v>
      </c>
      <c r="R33" s="373" t="e">
        <f t="shared" si="8"/>
        <v>#DIV/0!</v>
      </c>
      <c r="S33" s="373" t="e">
        <f t="shared" si="8"/>
        <v>#DIV/0!</v>
      </c>
      <c r="T33" s="373" t="e">
        <f t="shared" si="8"/>
        <v>#DIV/0!</v>
      </c>
      <c r="U33" s="373" t="e">
        <f t="shared" si="8"/>
        <v>#DIV/0!</v>
      </c>
      <c r="V33" s="373" t="e">
        <f t="shared" si="8"/>
        <v>#DIV/0!</v>
      </c>
      <c r="W33" s="373" t="e">
        <f t="shared" si="8"/>
        <v>#DIV/0!</v>
      </c>
      <c r="X33" s="373" t="e">
        <f t="shared" si="8"/>
        <v>#DIV/0!</v>
      </c>
      <c r="Y33" s="373" t="e">
        <f t="shared" si="8"/>
        <v>#DIV/0!</v>
      </c>
      <c r="Z33" s="373" t="e">
        <f t="shared" si="8"/>
        <v>#DIV/0!</v>
      </c>
      <c r="AA33" s="373" t="e">
        <f t="shared" si="8"/>
        <v>#DIV/0!</v>
      </c>
      <c r="AB33" s="373" t="e">
        <f t="shared" si="8"/>
        <v>#DIV/0!</v>
      </c>
      <c r="AC33" s="373" t="e">
        <f t="shared" si="8"/>
        <v>#DIV/0!</v>
      </c>
      <c r="AD33" s="373" t="e">
        <f t="shared" si="8"/>
        <v>#DIV/0!</v>
      </c>
      <c r="AE33" s="373" t="e">
        <f t="shared" si="8"/>
        <v>#DIV/0!</v>
      </c>
      <c r="AF33" s="373" t="e">
        <f t="shared" si="8"/>
        <v>#DIV/0!</v>
      </c>
      <c r="AG33" s="373" t="e">
        <f t="shared" si="8"/>
        <v>#DIV/0!</v>
      </c>
      <c r="AH33" s="373" t="e">
        <f t="shared" si="8"/>
        <v>#DIV/0!</v>
      </c>
      <c r="AI33" s="373" t="e">
        <f t="shared" si="8"/>
        <v>#DIV/0!</v>
      </c>
      <c r="AJ33" s="373" t="e">
        <f t="shared" si="8"/>
        <v>#DIV/0!</v>
      </c>
      <c r="AK33" s="373" t="e">
        <f t="shared" si="8"/>
        <v>#DIV/0!</v>
      </c>
      <c r="AL33" s="373" t="e">
        <f t="shared" si="8"/>
        <v>#DIV/0!</v>
      </c>
      <c r="AM33" s="373" t="e">
        <f t="shared" si="8"/>
        <v>#DIV/0!</v>
      </c>
      <c r="AN33" s="373" t="e">
        <f t="shared" si="8"/>
        <v>#DIV/0!</v>
      </c>
      <c r="AO33" s="373" t="e">
        <f t="shared" si="8"/>
        <v>#DIV/0!</v>
      </c>
      <c r="AP33" s="373" t="e">
        <f t="shared" si="8"/>
        <v>#DIV/0!</v>
      </c>
      <c r="AQ33" s="373" t="e">
        <f t="shared" si="8"/>
        <v>#DIV/0!</v>
      </c>
      <c r="AR33" s="373" t="e">
        <f t="shared" si="8"/>
        <v>#DIV/0!</v>
      </c>
      <c r="AS33" s="373" t="e">
        <f t="shared" si="8"/>
        <v>#DIV/0!</v>
      </c>
      <c r="AT33" s="373" t="e">
        <f t="shared" si="8"/>
        <v>#DIV/0!</v>
      </c>
      <c r="AU33" s="373" t="e">
        <f t="shared" si="8"/>
        <v>#DIV/0!</v>
      </c>
      <c r="AV33" s="373" t="e">
        <f t="shared" si="8"/>
        <v>#DIV/0!</v>
      </c>
      <c r="AW33" s="373" t="e">
        <f t="shared" si="8"/>
        <v>#DIV/0!</v>
      </c>
      <c r="AX33" s="373" t="e">
        <f t="shared" si="8"/>
        <v>#DIV/0!</v>
      </c>
      <c r="AY33" s="373" t="e">
        <f t="shared" si="8"/>
        <v>#DIV/0!</v>
      </c>
      <c r="AZ33" s="373" t="e">
        <f t="shared" si="8"/>
        <v>#DIV/0!</v>
      </c>
      <c r="BA33" s="373" t="e">
        <f t="shared" si="8"/>
        <v>#DIV/0!</v>
      </c>
      <c r="BB33" s="373" t="e">
        <f t="shared" si="8"/>
        <v>#DIV/0!</v>
      </c>
      <c r="BC33" s="373" t="e">
        <f t="shared" si="8"/>
        <v>#DIV/0!</v>
      </c>
      <c r="BD33" s="373" t="e">
        <f t="shared" si="8"/>
        <v>#DIV/0!</v>
      </c>
      <c r="BE33" s="373" t="e">
        <f t="shared" si="8"/>
        <v>#DIV/0!</v>
      </c>
      <c r="BF33" s="373" t="e">
        <f t="shared" si="8"/>
        <v>#DIV/0!</v>
      </c>
      <c r="BG33" s="373" t="e">
        <f t="shared" si="8"/>
        <v>#DIV/0!</v>
      </c>
      <c r="BH33" s="373" t="e">
        <f t="shared" si="8"/>
        <v>#DIV/0!</v>
      </c>
      <c r="BI33" s="373" t="e">
        <f t="shared" si="8"/>
        <v>#DIV/0!</v>
      </c>
      <c r="BJ33" s="373" t="e">
        <f t="shared" si="8"/>
        <v>#DIV/0!</v>
      </c>
      <c r="BK33" s="373" t="e">
        <f t="shared" si="8"/>
        <v>#DIV/0!</v>
      </c>
      <c r="BL33" s="373" t="e">
        <f t="shared" si="8"/>
        <v>#DIV/0!</v>
      </c>
      <c r="BM33" s="373" t="e">
        <f t="shared" si="8"/>
        <v>#DIV/0!</v>
      </c>
      <c r="BN33" s="373" t="e">
        <f t="shared" si="8"/>
        <v>#DIV/0!</v>
      </c>
      <c r="BO33" s="373" t="e">
        <f t="shared" si="8"/>
        <v>#DIV/0!</v>
      </c>
      <c r="BP33" s="373" t="e">
        <f t="shared" si="8"/>
        <v>#DIV/0!</v>
      </c>
      <c r="BQ33" s="373" t="e">
        <f t="shared" ref="BQ33:CF33" si="9">((VLOOKUP(BQ32, voc_nonwork,15,FALSE)) + (VLOOKUP(BQ32, voc_nonwork,16,0))*$E$5 + (VLOOKUP(BQ32, voc_nonwork,17,0))*$E$5^2 + (VLOOKUP(BQ32, voc_nonwork,18,0))*$E$5^3)/$E$5</f>
        <v>#DIV/0!</v>
      </c>
      <c r="BR33" s="373" t="e">
        <f t="shared" si="9"/>
        <v>#DIV/0!</v>
      </c>
      <c r="BS33" s="373" t="e">
        <f t="shared" si="9"/>
        <v>#DIV/0!</v>
      </c>
      <c r="BT33" s="373" t="e">
        <f t="shared" si="9"/>
        <v>#DIV/0!</v>
      </c>
      <c r="BU33" s="373" t="e">
        <f t="shared" si="9"/>
        <v>#DIV/0!</v>
      </c>
      <c r="BV33" s="373" t="e">
        <f t="shared" si="9"/>
        <v>#DIV/0!</v>
      </c>
      <c r="BW33" s="373" t="e">
        <f t="shared" si="9"/>
        <v>#DIV/0!</v>
      </c>
      <c r="BX33" s="373" t="e">
        <f t="shared" si="9"/>
        <v>#DIV/0!</v>
      </c>
      <c r="BY33" s="373" t="e">
        <f t="shared" si="9"/>
        <v>#DIV/0!</v>
      </c>
      <c r="BZ33" s="373" t="e">
        <f t="shared" si="9"/>
        <v>#DIV/0!</v>
      </c>
      <c r="CA33" s="373" t="e">
        <f t="shared" si="9"/>
        <v>#DIV/0!</v>
      </c>
      <c r="CB33" s="373" t="e">
        <f t="shared" si="9"/>
        <v>#DIV/0!</v>
      </c>
      <c r="CC33" s="373" t="e">
        <f t="shared" si="9"/>
        <v>#DIV/0!</v>
      </c>
      <c r="CD33" s="373" t="e">
        <f t="shared" si="9"/>
        <v>#DIV/0!</v>
      </c>
      <c r="CE33" s="373" t="e">
        <f t="shared" si="9"/>
        <v>#DIV/0!</v>
      </c>
      <c r="CF33" s="373" t="e">
        <f t="shared" si="9"/>
        <v>#DIV/0!</v>
      </c>
    </row>
    <row r="34" spans="3:84">
      <c r="D34" s="364" t="s">
        <v>89</v>
      </c>
      <c r="E34" s="373" t="e">
        <f t="shared" ref="E34:BP34" si="10">((VLOOKUP(E32, voc_nonwork,31,FALSE)) + (VLOOKUP(E32, voc_nonwork,32,0))*$E$6 + (VLOOKUP(E32, voc_nonwork,33,0))*$E$6^2 + (VLOOKUP(E32, voc_nonwork,34,0))*$E$6^3)/$E$6</f>
        <v>#DIV/0!</v>
      </c>
      <c r="F34" s="373" t="e">
        <f t="shared" si="10"/>
        <v>#DIV/0!</v>
      </c>
      <c r="G34" s="373" t="e">
        <f t="shared" si="10"/>
        <v>#DIV/0!</v>
      </c>
      <c r="H34" s="373" t="e">
        <f t="shared" si="10"/>
        <v>#DIV/0!</v>
      </c>
      <c r="I34" s="373" t="e">
        <f t="shared" si="10"/>
        <v>#DIV/0!</v>
      </c>
      <c r="J34" s="373" t="e">
        <f t="shared" si="10"/>
        <v>#DIV/0!</v>
      </c>
      <c r="K34" s="373" t="e">
        <f t="shared" si="10"/>
        <v>#DIV/0!</v>
      </c>
      <c r="L34" s="373" t="e">
        <f t="shared" si="10"/>
        <v>#DIV/0!</v>
      </c>
      <c r="M34" s="373" t="e">
        <f t="shared" si="10"/>
        <v>#DIV/0!</v>
      </c>
      <c r="N34" s="373" t="e">
        <f t="shared" si="10"/>
        <v>#DIV/0!</v>
      </c>
      <c r="O34" s="373" t="e">
        <f t="shared" si="10"/>
        <v>#DIV/0!</v>
      </c>
      <c r="P34" s="373" t="e">
        <f t="shared" si="10"/>
        <v>#DIV/0!</v>
      </c>
      <c r="Q34" s="373" t="e">
        <f t="shared" si="10"/>
        <v>#DIV/0!</v>
      </c>
      <c r="R34" s="373" t="e">
        <f t="shared" si="10"/>
        <v>#DIV/0!</v>
      </c>
      <c r="S34" s="373" t="e">
        <f t="shared" si="10"/>
        <v>#DIV/0!</v>
      </c>
      <c r="T34" s="373" t="e">
        <f t="shared" si="10"/>
        <v>#DIV/0!</v>
      </c>
      <c r="U34" s="373" t="e">
        <f t="shared" si="10"/>
        <v>#DIV/0!</v>
      </c>
      <c r="V34" s="373" t="e">
        <f t="shared" si="10"/>
        <v>#DIV/0!</v>
      </c>
      <c r="W34" s="373" t="e">
        <f t="shared" si="10"/>
        <v>#DIV/0!</v>
      </c>
      <c r="X34" s="373" t="e">
        <f t="shared" si="10"/>
        <v>#DIV/0!</v>
      </c>
      <c r="Y34" s="373" t="e">
        <f t="shared" si="10"/>
        <v>#DIV/0!</v>
      </c>
      <c r="Z34" s="373" t="e">
        <f t="shared" si="10"/>
        <v>#DIV/0!</v>
      </c>
      <c r="AA34" s="373" t="e">
        <f t="shared" si="10"/>
        <v>#DIV/0!</v>
      </c>
      <c r="AB34" s="373" t="e">
        <f t="shared" si="10"/>
        <v>#DIV/0!</v>
      </c>
      <c r="AC34" s="373" t="e">
        <f t="shared" si="10"/>
        <v>#DIV/0!</v>
      </c>
      <c r="AD34" s="373" t="e">
        <f t="shared" si="10"/>
        <v>#DIV/0!</v>
      </c>
      <c r="AE34" s="373" t="e">
        <f t="shared" si="10"/>
        <v>#DIV/0!</v>
      </c>
      <c r="AF34" s="373" t="e">
        <f t="shared" si="10"/>
        <v>#DIV/0!</v>
      </c>
      <c r="AG34" s="373" t="e">
        <f t="shared" si="10"/>
        <v>#DIV/0!</v>
      </c>
      <c r="AH34" s="373" t="e">
        <f t="shared" si="10"/>
        <v>#DIV/0!</v>
      </c>
      <c r="AI34" s="373" t="e">
        <f t="shared" si="10"/>
        <v>#DIV/0!</v>
      </c>
      <c r="AJ34" s="373" t="e">
        <f t="shared" si="10"/>
        <v>#DIV/0!</v>
      </c>
      <c r="AK34" s="373" t="e">
        <f t="shared" si="10"/>
        <v>#DIV/0!</v>
      </c>
      <c r="AL34" s="373" t="e">
        <f t="shared" si="10"/>
        <v>#DIV/0!</v>
      </c>
      <c r="AM34" s="373" t="e">
        <f t="shared" si="10"/>
        <v>#DIV/0!</v>
      </c>
      <c r="AN34" s="373" t="e">
        <f t="shared" si="10"/>
        <v>#DIV/0!</v>
      </c>
      <c r="AO34" s="373" t="e">
        <f t="shared" si="10"/>
        <v>#DIV/0!</v>
      </c>
      <c r="AP34" s="373" t="e">
        <f t="shared" si="10"/>
        <v>#DIV/0!</v>
      </c>
      <c r="AQ34" s="373" t="e">
        <f t="shared" si="10"/>
        <v>#DIV/0!</v>
      </c>
      <c r="AR34" s="373" t="e">
        <f t="shared" si="10"/>
        <v>#DIV/0!</v>
      </c>
      <c r="AS34" s="373" t="e">
        <f t="shared" si="10"/>
        <v>#DIV/0!</v>
      </c>
      <c r="AT34" s="373" t="e">
        <f t="shared" si="10"/>
        <v>#DIV/0!</v>
      </c>
      <c r="AU34" s="373" t="e">
        <f t="shared" si="10"/>
        <v>#DIV/0!</v>
      </c>
      <c r="AV34" s="373" t="e">
        <f t="shared" si="10"/>
        <v>#DIV/0!</v>
      </c>
      <c r="AW34" s="373" t="e">
        <f t="shared" si="10"/>
        <v>#DIV/0!</v>
      </c>
      <c r="AX34" s="373" t="e">
        <f t="shared" si="10"/>
        <v>#DIV/0!</v>
      </c>
      <c r="AY34" s="373" t="e">
        <f t="shared" si="10"/>
        <v>#DIV/0!</v>
      </c>
      <c r="AZ34" s="373" t="e">
        <f t="shared" si="10"/>
        <v>#DIV/0!</v>
      </c>
      <c r="BA34" s="373" t="e">
        <f t="shared" si="10"/>
        <v>#DIV/0!</v>
      </c>
      <c r="BB34" s="373" t="e">
        <f t="shared" si="10"/>
        <v>#DIV/0!</v>
      </c>
      <c r="BC34" s="373" t="e">
        <f t="shared" si="10"/>
        <v>#DIV/0!</v>
      </c>
      <c r="BD34" s="373" t="e">
        <f t="shared" si="10"/>
        <v>#DIV/0!</v>
      </c>
      <c r="BE34" s="373" t="e">
        <f t="shared" si="10"/>
        <v>#DIV/0!</v>
      </c>
      <c r="BF34" s="373" t="e">
        <f t="shared" si="10"/>
        <v>#DIV/0!</v>
      </c>
      <c r="BG34" s="373" t="e">
        <f t="shared" si="10"/>
        <v>#DIV/0!</v>
      </c>
      <c r="BH34" s="373" t="e">
        <f t="shared" si="10"/>
        <v>#DIV/0!</v>
      </c>
      <c r="BI34" s="373" t="e">
        <f t="shared" si="10"/>
        <v>#DIV/0!</v>
      </c>
      <c r="BJ34" s="373" t="e">
        <f t="shared" si="10"/>
        <v>#DIV/0!</v>
      </c>
      <c r="BK34" s="373" t="e">
        <f t="shared" si="10"/>
        <v>#DIV/0!</v>
      </c>
      <c r="BL34" s="373" t="e">
        <f t="shared" si="10"/>
        <v>#DIV/0!</v>
      </c>
      <c r="BM34" s="373" t="e">
        <f t="shared" si="10"/>
        <v>#DIV/0!</v>
      </c>
      <c r="BN34" s="373" t="e">
        <f t="shared" si="10"/>
        <v>#DIV/0!</v>
      </c>
      <c r="BO34" s="373" t="e">
        <f t="shared" si="10"/>
        <v>#DIV/0!</v>
      </c>
      <c r="BP34" s="373" t="e">
        <f t="shared" si="10"/>
        <v>#DIV/0!</v>
      </c>
      <c r="BQ34" s="373" t="e">
        <f t="shared" ref="BQ34:CF34" si="11">((VLOOKUP(BQ32, voc_nonwork,31,FALSE)) + (VLOOKUP(BQ32, voc_nonwork,32,0))*$E$6 + (VLOOKUP(BQ32, voc_nonwork,33,0))*$E$6^2 + (VLOOKUP(BQ32, voc_nonwork,34,0))*$E$6^3)/$E$6</f>
        <v>#DIV/0!</v>
      </c>
      <c r="BR34" s="373" t="e">
        <f t="shared" si="11"/>
        <v>#DIV/0!</v>
      </c>
      <c r="BS34" s="373" t="e">
        <f t="shared" si="11"/>
        <v>#DIV/0!</v>
      </c>
      <c r="BT34" s="373" t="e">
        <f t="shared" si="11"/>
        <v>#DIV/0!</v>
      </c>
      <c r="BU34" s="373" t="e">
        <f t="shared" si="11"/>
        <v>#DIV/0!</v>
      </c>
      <c r="BV34" s="373" t="e">
        <f t="shared" si="11"/>
        <v>#DIV/0!</v>
      </c>
      <c r="BW34" s="373" t="e">
        <f t="shared" si="11"/>
        <v>#DIV/0!</v>
      </c>
      <c r="BX34" s="373" t="e">
        <f t="shared" si="11"/>
        <v>#DIV/0!</v>
      </c>
      <c r="BY34" s="373" t="e">
        <f t="shared" si="11"/>
        <v>#DIV/0!</v>
      </c>
      <c r="BZ34" s="373" t="e">
        <f t="shared" si="11"/>
        <v>#DIV/0!</v>
      </c>
      <c r="CA34" s="373" t="e">
        <f t="shared" si="11"/>
        <v>#DIV/0!</v>
      </c>
      <c r="CB34" s="373" t="e">
        <f t="shared" si="11"/>
        <v>#DIV/0!</v>
      </c>
      <c r="CC34" s="373" t="e">
        <f t="shared" si="11"/>
        <v>#DIV/0!</v>
      </c>
      <c r="CD34" s="373" t="e">
        <f t="shared" si="11"/>
        <v>#DIV/0!</v>
      </c>
      <c r="CE34" s="373" t="e">
        <f t="shared" si="11"/>
        <v>#DIV/0!</v>
      </c>
      <c r="CF34" s="373" t="e">
        <f t="shared" si="11"/>
        <v>#DIV/0!</v>
      </c>
    </row>
    <row r="35" spans="3:84">
      <c r="D35" s="367"/>
      <c r="E35" s="367"/>
      <c r="F35" s="367"/>
      <c r="G35" s="381"/>
    </row>
    <row r="36" spans="3:84">
      <c r="C36" s="360" t="s">
        <v>258</v>
      </c>
    </row>
    <row r="37" spans="3:84">
      <c r="D37" s="373"/>
      <c r="E37" s="372">
        <v>2010</v>
      </c>
      <c r="F37" s="372">
        <v>2011</v>
      </c>
      <c r="G37" s="372">
        <v>2012</v>
      </c>
      <c r="H37" s="372">
        <v>2013</v>
      </c>
      <c r="I37" s="372">
        <v>2014</v>
      </c>
      <c r="J37" s="372">
        <v>2015</v>
      </c>
      <c r="K37" s="372">
        <v>2016</v>
      </c>
      <c r="L37" s="372">
        <v>2017</v>
      </c>
      <c r="M37" s="372">
        <v>2018</v>
      </c>
      <c r="N37" s="372">
        <v>2019</v>
      </c>
      <c r="O37" s="372">
        <v>2020</v>
      </c>
      <c r="P37" s="372">
        <v>2021</v>
      </c>
      <c r="Q37" s="372">
        <v>2022</v>
      </c>
      <c r="R37" s="372">
        <v>2023</v>
      </c>
      <c r="S37" s="372">
        <v>2024</v>
      </c>
      <c r="T37" s="372">
        <v>2025</v>
      </c>
      <c r="U37" s="372">
        <v>2026</v>
      </c>
      <c r="V37" s="372">
        <v>2027</v>
      </c>
      <c r="W37" s="372">
        <v>2028</v>
      </c>
      <c r="X37" s="372">
        <v>2029</v>
      </c>
      <c r="Y37" s="372">
        <v>2030</v>
      </c>
      <c r="Z37" s="372">
        <v>2031</v>
      </c>
      <c r="AA37" s="372">
        <v>2032</v>
      </c>
      <c r="AB37" s="372">
        <v>2033</v>
      </c>
      <c r="AC37" s="372">
        <v>2034</v>
      </c>
      <c r="AD37" s="372">
        <v>2035</v>
      </c>
      <c r="AE37" s="372">
        <v>2036</v>
      </c>
      <c r="AF37" s="372">
        <v>2037</v>
      </c>
      <c r="AG37" s="372">
        <v>2038</v>
      </c>
      <c r="AH37" s="372">
        <v>2039</v>
      </c>
      <c r="AI37" s="372">
        <v>2040</v>
      </c>
      <c r="AJ37" s="372">
        <v>2041</v>
      </c>
      <c r="AK37" s="372">
        <v>2042</v>
      </c>
      <c r="AL37" s="372">
        <v>2043</v>
      </c>
      <c r="AM37" s="372">
        <v>2044</v>
      </c>
      <c r="AN37" s="372">
        <v>2045</v>
      </c>
      <c r="AO37" s="372">
        <v>2046</v>
      </c>
      <c r="AP37" s="372">
        <v>2047</v>
      </c>
      <c r="AQ37" s="372">
        <v>2048</v>
      </c>
      <c r="AR37" s="372">
        <v>2049</v>
      </c>
      <c r="AS37" s="372">
        <v>2050</v>
      </c>
      <c r="AT37" s="372">
        <v>2051</v>
      </c>
      <c r="AU37" s="372">
        <v>2052</v>
      </c>
      <c r="AV37" s="372">
        <v>2053</v>
      </c>
      <c r="AW37" s="372">
        <v>2054</v>
      </c>
      <c r="AX37" s="372">
        <v>2055</v>
      </c>
      <c r="AY37" s="372">
        <v>2056</v>
      </c>
      <c r="AZ37" s="372">
        <v>2057</v>
      </c>
      <c r="BA37" s="372">
        <v>2058</v>
      </c>
      <c r="BB37" s="372">
        <v>2059</v>
      </c>
      <c r="BC37" s="372">
        <v>2060</v>
      </c>
      <c r="BD37" s="372">
        <v>2061</v>
      </c>
      <c r="BE37" s="372">
        <v>2062</v>
      </c>
      <c r="BF37" s="372">
        <v>2063</v>
      </c>
      <c r="BG37" s="372">
        <v>2064</v>
      </c>
      <c r="BH37" s="372">
        <v>2065</v>
      </c>
      <c r="BI37" s="372">
        <v>2066</v>
      </c>
      <c r="BJ37" s="372">
        <v>2067</v>
      </c>
      <c r="BK37" s="372">
        <v>2068</v>
      </c>
      <c r="BL37" s="372">
        <v>2069</v>
      </c>
      <c r="BM37" s="372">
        <v>2070</v>
      </c>
      <c r="BN37" s="372">
        <v>2071</v>
      </c>
      <c r="BO37" s="372">
        <v>2072</v>
      </c>
      <c r="BP37" s="372">
        <v>2073</v>
      </c>
      <c r="BQ37" s="372">
        <v>2074</v>
      </c>
      <c r="BR37" s="372">
        <v>2075</v>
      </c>
      <c r="BS37" s="372">
        <v>2076</v>
      </c>
      <c r="BT37" s="372">
        <v>2077</v>
      </c>
      <c r="BU37" s="372">
        <v>2078</v>
      </c>
      <c r="BV37" s="372">
        <v>2079</v>
      </c>
      <c r="BW37" s="372">
        <v>2080</v>
      </c>
      <c r="BX37" s="372">
        <v>2081</v>
      </c>
      <c r="BY37" s="372">
        <v>2082</v>
      </c>
      <c r="BZ37" s="372">
        <v>2083</v>
      </c>
      <c r="CA37" s="372">
        <v>2084</v>
      </c>
      <c r="CB37" s="372">
        <v>2085</v>
      </c>
      <c r="CC37" s="372">
        <v>2086</v>
      </c>
      <c r="CD37" s="372">
        <v>2087</v>
      </c>
      <c r="CE37" s="372">
        <v>2088</v>
      </c>
      <c r="CF37" s="372">
        <v>2089</v>
      </c>
    </row>
    <row r="38" spans="3:84">
      <c r="D38" s="373" t="s">
        <v>87</v>
      </c>
      <c r="E38" s="373" t="e">
        <f>(E27*('Table A.1.3.4'!$Q$27+'Table A.1.3.4'!$Q$28) + (E33*'Table A.1.3.4'!$Q$29))/100</f>
        <v>#DIV/0!</v>
      </c>
      <c r="F38" s="373" t="e">
        <f>(F27*('Table A.1.3.4'!$Q$27+'Table A.1.3.4'!$Q$28) + (F33*'Table A.1.3.4'!$Q$29))/100</f>
        <v>#DIV/0!</v>
      </c>
      <c r="G38" s="373" t="e">
        <f>(G27*('Table A.1.3.4'!$Q$27+'Table A.1.3.4'!$Q$28) + (G33*'Table A.1.3.4'!$Q$29))/100</f>
        <v>#DIV/0!</v>
      </c>
      <c r="H38" s="373" t="e">
        <f>(H27*('Table A.1.3.4'!$Q$27+'Table A.1.3.4'!$Q$28) + (H33*'Table A.1.3.4'!$Q$29))/100</f>
        <v>#DIV/0!</v>
      </c>
      <c r="I38" s="373" t="e">
        <f>(I27*('Table A.1.3.4'!$Q$27+'Table A.1.3.4'!$Q$28) + (I33*'Table A.1.3.4'!$Q$29))/100</f>
        <v>#DIV/0!</v>
      </c>
      <c r="J38" s="373" t="e">
        <f>(J27*('Table A.1.3.4'!$Q$27+'Table A.1.3.4'!$Q$28) + (J33*'Table A.1.3.4'!$Q$29))/100</f>
        <v>#DIV/0!</v>
      </c>
      <c r="K38" s="373" t="e">
        <f>(K27*('Table A.1.3.4'!$Q$27+'Table A.1.3.4'!$Q$28) + (K33*'Table A.1.3.4'!$Q$29))/100</f>
        <v>#DIV/0!</v>
      </c>
      <c r="L38" s="373" t="e">
        <f>(L27*('Table A.1.3.4'!$Q$27+'Table A.1.3.4'!$Q$28) + (L33*'Table A.1.3.4'!$Q$29))/100</f>
        <v>#DIV/0!</v>
      </c>
      <c r="M38" s="373" t="e">
        <f>(M27*('Table A.1.3.4'!$Q$27+'Table A.1.3.4'!$Q$28) + (M33*'Table A.1.3.4'!$Q$29))/100</f>
        <v>#DIV/0!</v>
      </c>
      <c r="N38" s="373" t="e">
        <f>(N27*('Table A.1.3.4'!$Q$27+'Table A.1.3.4'!$Q$28) + (N33*'Table A.1.3.4'!$Q$29))/100</f>
        <v>#DIV/0!</v>
      </c>
      <c r="O38" s="373" t="e">
        <f>(O27*('Table A.1.3.4'!$Q$27+'Table A.1.3.4'!$Q$28) + (O33*'Table A.1.3.4'!$Q$29))/100</f>
        <v>#DIV/0!</v>
      </c>
      <c r="P38" s="373" t="e">
        <f>(P27*('Table A.1.3.4'!$Q$27+'Table A.1.3.4'!$Q$28) + (P33*'Table A.1.3.4'!$Q$29))/100</f>
        <v>#DIV/0!</v>
      </c>
      <c r="Q38" s="373" t="e">
        <f>(Q27*('Table A.1.3.4'!$Q$27+'Table A.1.3.4'!$Q$28) + (Q33*'Table A.1.3.4'!$Q$29))/100</f>
        <v>#DIV/0!</v>
      </c>
      <c r="R38" s="373" t="e">
        <f>(R27*('Table A.1.3.4'!$Q$27+'Table A.1.3.4'!$Q$28) + (R33*'Table A.1.3.4'!$Q$29))/100</f>
        <v>#DIV/0!</v>
      </c>
      <c r="S38" s="373" t="e">
        <f>(S27*('Table A.1.3.4'!$Q$27+'Table A.1.3.4'!$Q$28) + (S33*'Table A.1.3.4'!$Q$29))/100</f>
        <v>#DIV/0!</v>
      </c>
      <c r="T38" s="373" t="e">
        <f>(T27*('Table A.1.3.4'!$Q$27+'Table A.1.3.4'!$Q$28) + (T33*'Table A.1.3.4'!$Q$29))/100</f>
        <v>#DIV/0!</v>
      </c>
      <c r="U38" s="373" t="e">
        <f>(U27*('Table A.1.3.4'!$Q$27+'Table A.1.3.4'!$Q$28) + (U33*'Table A.1.3.4'!$Q$29))/100</f>
        <v>#DIV/0!</v>
      </c>
      <c r="V38" s="373" t="e">
        <f>(V27*('Table A.1.3.4'!$Q$27+'Table A.1.3.4'!$Q$28) + (V33*'Table A.1.3.4'!$Q$29))/100</f>
        <v>#DIV/0!</v>
      </c>
      <c r="W38" s="373" t="e">
        <f>(W27*('Table A.1.3.4'!$Q$27+'Table A.1.3.4'!$Q$28) + (W33*'Table A.1.3.4'!$Q$29))/100</f>
        <v>#DIV/0!</v>
      </c>
      <c r="X38" s="373" t="e">
        <f>(X27*('Table A.1.3.4'!$Q$27+'Table A.1.3.4'!$Q$28) + (X33*'Table A.1.3.4'!$Q$29))/100</f>
        <v>#DIV/0!</v>
      </c>
      <c r="Y38" s="373" t="e">
        <f>(Y27*('Table A.1.3.4'!$Q$27+'Table A.1.3.4'!$Q$28) + (Y33*'Table A.1.3.4'!$Q$29))/100</f>
        <v>#DIV/0!</v>
      </c>
      <c r="Z38" s="373" t="e">
        <f>(Z27*('Table A.1.3.4'!$Q$27+'Table A.1.3.4'!$Q$28) + (Z33*'Table A.1.3.4'!$Q$29))/100</f>
        <v>#DIV/0!</v>
      </c>
      <c r="AA38" s="373" t="e">
        <f>(AA27*('Table A.1.3.4'!$Q$27+'Table A.1.3.4'!$Q$28) + (AA33*'Table A.1.3.4'!$Q$29))/100</f>
        <v>#DIV/0!</v>
      </c>
      <c r="AB38" s="373" t="e">
        <f>(AB27*('Table A.1.3.4'!$Q$27+'Table A.1.3.4'!$Q$28) + (AB33*'Table A.1.3.4'!$Q$29))/100</f>
        <v>#DIV/0!</v>
      </c>
      <c r="AC38" s="373" t="e">
        <f>(AC27*('Table A.1.3.4'!$Q$27+'Table A.1.3.4'!$Q$28) + (AC33*'Table A.1.3.4'!$Q$29))/100</f>
        <v>#DIV/0!</v>
      </c>
      <c r="AD38" s="373" t="e">
        <f>(AD27*('Table A.1.3.4'!$Q$27+'Table A.1.3.4'!$Q$28) + (AD33*'Table A.1.3.4'!$Q$29))/100</f>
        <v>#DIV/0!</v>
      </c>
      <c r="AE38" s="373" t="e">
        <f>(AE27*('Table A.1.3.4'!$Q$27+'Table A.1.3.4'!$Q$28) + (AE33*'Table A.1.3.4'!$Q$29))/100</f>
        <v>#DIV/0!</v>
      </c>
      <c r="AF38" s="373" t="e">
        <f>(AF27*('Table A.1.3.4'!$Q$27+'Table A.1.3.4'!$Q$28) + (AF33*'Table A.1.3.4'!$Q$29))/100</f>
        <v>#DIV/0!</v>
      </c>
      <c r="AG38" s="373" t="e">
        <f>(AG27*('Table A.1.3.4'!$Q$27+'Table A.1.3.4'!$Q$28) + (AG33*'Table A.1.3.4'!$Q$29))/100</f>
        <v>#DIV/0!</v>
      </c>
      <c r="AH38" s="373" t="e">
        <f>(AH27*('Table A.1.3.4'!$Q$27+'Table A.1.3.4'!$Q$28) + (AH33*'Table A.1.3.4'!$Q$29))/100</f>
        <v>#DIV/0!</v>
      </c>
      <c r="AI38" s="373" t="e">
        <f>(AI27*('Table A.1.3.4'!$Q$27+'Table A.1.3.4'!$Q$28) + (AI33*'Table A.1.3.4'!$Q$29))/100</f>
        <v>#DIV/0!</v>
      </c>
      <c r="AJ38" s="373" t="e">
        <f>(AJ27*('Table A.1.3.4'!$Q$27+'Table A.1.3.4'!$Q$28) + (AJ33*'Table A.1.3.4'!$Q$29))/100</f>
        <v>#DIV/0!</v>
      </c>
      <c r="AK38" s="373" t="e">
        <f>(AK27*('Table A.1.3.4'!$Q$27+'Table A.1.3.4'!$Q$28) + (AK33*'Table A.1.3.4'!$Q$29))/100</f>
        <v>#DIV/0!</v>
      </c>
      <c r="AL38" s="373" t="e">
        <f>(AL27*('Table A.1.3.4'!$Q$27+'Table A.1.3.4'!$Q$28) + (AL33*'Table A.1.3.4'!$Q$29))/100</f>
        <v>#DIV/0!</v>
      </c>
      <c r="AM38" s="373" t="e">
        <f>(AM27*('Table A.1.3.4'!$Q$27+'Table A.1.3.4'!$Q$28) + (AM33*'Table A.1.3.4'!$Q$29))/100</f>
        <v>#DIV/0!</v>
      </c>
      <c r="AN38" s="373" t="e">
        <f>(AN27*('Table A.1.3.4'!$Q$27+'Table A.1.3.4'!$Q$28) + (AN33*'Table A.1.3.4'!$Q$29))/100</f>
        <v>#DIV/0!</v>
      </c>
      <c r="AO38" s="373" t="e">
        <f>(AO27*('Table A.1.3.4'!$Q$27+'Table A.1.3.4'!$Q$28) + (AO33*'Table A.1.3.4'!$Q$29))/100</f>
        <v>#DIV/0!</v>
      </c>
      <c r="AP38" s="373" t="e">
        <f>(AP27*('Table A.1.3.4'!$Q$27+'Table A.1.3.4'!$Q$28) + (AP33*'Table A.1.3.4'!$Q$29))/100</f>
        <v>#DIV/0!</v>
      </c>
      <c r="AQ38" s="373" t="e">
        <f>(AQ27*('Table A.1.3.4'!$Q$27+'Table A.1.3.4'!$Q$28) + (AQ33*'Table A.1.3.4'!$Q$29))/100</f>
        <v>#DIV/0!</v>
      </c>
      <c r="AR38" s="373" t="e">
        <f>(AR27*('Table A.1.3.4'!$Q$27+'Table A.1.3.4'!$Q$28) + (AR33*'Table A.1.3.4'!$Q$29))/100</f>
        <v>#DIV/0!</v>
      </c>
      <c r="AS38" s="373" t="e">
        <f>(AS27*('Table A.1.3.4'!$Q$27+'Table A.1.3.4'!$Q$28) + (AS33*'Table A.1.3.4'!$Q$29))/100</f>
        <v>#DIV/0!</v>
      </c>
      <c r="AT38" s="373" t="e">
        <f>(AT27*('Table A.1.3.4'!$Q$27+'Table A.1.3.4'!$Q$28) + (AT33*'Table A.1.3.4'!$Q$29))/100</f>
        <v>#DIV/0!</v>
      </c>
      <c r="AU38" s="373" t="e">
        <f>(AU27*('Table A.1.3.4'!$Q$27+'Table A.1.3.4'!$Q$28) + (AU33*'Table A.1.3.4'!$Q$29))/100</f>
        <v>#DIV/0!</v>
      </c>
      <c r="AV38" s="373" t="e">
        <f>(AV27*('Table A.1.3.4'!$Q$27+'Table A.1.3.4'!$Q$28) + (AV33*'Table A.1.3.4'!$Q$29))/100</f>
        <v>#DIV/0!</v>
      </c>
      <c r="AW38" s="373" t="e">
        <f>(AW27*('Table A.1.3.4'!$Q$27+'Table A.1.3.4'!$Q$28) + (AW33*'Table A.1.3.4'!$Q$29))/100</f>
        <v>#DIV/0!</v>
      </c>
      <c r="AX38" s="373" t="e">
        <f>(AX27*('Table A.1.3.4'!$Q$27+'Table A.1.3.4'!$Q$28) + (AX33*'Table A.1.3.4'!$Q$29))/100</f>
        <v>#DIV/0!</v>
      </c>
      <c r="AY38" s="373" t="e">
        <f>(AY27*('Table A.1.3.4'!$Q$27+'Table A.1.3.4'!$Q$28) + (AY33*'Table A.1.3.4'!$Q$29))/100</f>
        <v>#DIV/0!</v>
      </c>
      <c r="AZ38" s="373" t="e">
        <f>(AZ27*('Table A.1.3.4'!$Q$27+'Table A.1.3.4'!$Q$28) + (AZ33*'Table A.1.3.4'!$Q$29))/100</f>
        <v>#DIV/0!</v>
      </c>
      <c r="BA38" s="373" t="e">
        <f>(BA27*('Table A.1.3.4'!$Q$27+'Table A.1.3.4'!$Q$28) + (BA33*'Table A.1.3.4'!$Q$29))/100</f>
        <v>#DIV/0!</v>
      </c>
      <c r="BB38" s="373" t="e">
        <f>(BB27*('Table A.1.3.4'!$Q$27+'Table A.1.3.4'!$Q$28) + (BB33*'Table A.1.3.4'!$Q$29))/100</f>
        <v>#DIV/0!</v>
      </c>
      <c r="BC38" s="373" t="e">
        <f>(BC27*('Table A.1.3.4'!$Q$27+'Table A.1.3.4'!$Q$28) + (BC33*'Table A.1.3.4'!$Q$29))/100</f>
        <v>#DIV/0!</v>
      </c>
      <c r="BD38" s="373" t="e">
        <f>(BD27*('Table A.1.3.4'!$Q$27+'Table A.1.3.4'!$Q$28) + (BD33*'Table A.1.3.4'!$Q$29))/100</f>
        <v>#DIV/0!</v>
      </c>
      <c r="BE38" s="373" t="e">
        <f>(BE27*('Table A.1.3.4'!$Q$27+'Table A.1.3.4'!$Q$28) + (BE33*'Table A.1.3.4'!$Q$29))/100</f>
        <v>#DIV/0!</v>
      </c>
      <c r="BF38" s="373" t="e">
        <f>(BF27*('Table A.1.3.4'!$Q$27+'Table A.1.3.4'!$Q$28) + (BF33*'Table A.1.3.4'!$Q$29))/100</f>
        <v>#DIV/0!</v>
      </c>
      <c r="BG38" s="373" t="e">
        <f>(BG27*('Table A.1.3.4'!$Q$27+'Table A.1.3.4'!$Q$28) + (BG33*'Table A.1.3.4'!$Q$29))/100</f>
        <v>#DIV/0!</v>
      </c>
      <c r="BH38" s="373" t="e">
        <f>(BH27*('Table A.1.3.4'!$Q$27+'Table A.1.3.4'!$Q$28) + (BH33*'Table A.1.3.4'!$Q$29))/100</f>
        <v>#DIV/0!</v>
      </c>
      <c r="BI38" s="373" t="e">
        <f>(BI27*('Table A.1.3.4'!$Q$27+'Table A.1.3.4'!$Q$28) + (BI33*'Table A.1.3.4'!$Q$29))/100</f>
        <v>#DIV/0!</v>
      </c>
      <c r="BJ38" s="373" t="e">
        <f>(BJ27*('Table A.1.3.4'!$Q$27+'Table A.1.3.4'!$Q$28) + (BJ33*'Table A.1.3.4'!$Q$29))/100</f>
        <v>#DIV/0!</v>
      </c>
      <c r="BK38" s="373" t="e">
        <f>(BK27*('Table A.1.3.4'!$Q$27+'Table A.1.3.4'!$Q$28) + (BK33*'Table A.1.3.4'!$Q$29))/100</f>
        <v>#DIV/0!</v>
      </c>
      <c r="BL38" s="373" t="e">
        <f>(BL27*('Table A.1.3.4'!$Q$27+'Table A.1.3.4'!$Q$28) + (BL33*'Table A.1.3.4'!$Q$29))/100</f>
        <v>#DIV/0!</v>
      </c>
      <c r="BM38" s="373" t="e">
        <f>(BM27*('Table A.1.3.4'!$Q$27+'Table A.1.3.4'!$Q$28) + (BM33*'Table A.1.3.4'!$Q$29))/100</f>
        <v>#DIV/0!</v>
      </c>
      <c r="BN38" s="373" t="e">
        <f>(BN27*('Table A.1.3.4'!$Q$27+'Table A.1.3.4'!$Q$28) + (BN33*'Table A.1.3.4'!$Q$29))/100</f>
        <v>#DIV/0!</v>
      </c>
      <c r="BO38" s="373" t="e">
        <f>(BO27*('Table A.1.3.4'!$Q$27+'Table A.1.3.4'!$Q$28) + (BO33*'Table A.1.3.4'!$Q$29))/100</f>
        <v>#DIV/0!</v>
      </c>
      <c r="BP38" s="373" t="e">
        <f>(BP27*('Table A.1.3.4'!$Q$27+'Table A.1.3.4'!$Q$28) + (BP33*'Table A.1.3.4'!$Q$29))/100</f>
        <v>#DIV/0!</v>
      </c>
      <c r="BQ38" s="373" t="e">
        <f>(BQ27*('Table A.1.3.4'!$Q$27+'Table A.1.3.4'!$Q$28) + (BQ33*'Table A.1.3.4'!$Q$29))/100</f>
        <v>#DIV/0!</v>
      </c>
      <c r="BR38" s="373" t="e">
        <f>(BR27*('Table A.1.3.4'!$Q$27+'Table A.1.3.4'!$Q$28) + (BR33*'Table A.1.3.4'!$Q$29))/100</f>
        <v>#DIV/0!</v>
      </c>
      <c r="BS38" s="373" t="e">
        <f>(BS27*('Table A.1.3.4'!$Q$27+'Table A.1.3.4'!$Q$28) + (BS33*'Table A.1.3.4'!$Q$29))/100</f>
        <v>#DIV/0!</v>
      </c>
      <c r="BT38" s="373" t="e">
        <f>(BT27*('Table A.1.3.4'!$Q$27+'Table A.1.3.4'!$Q$28) + (BT33*'Table A.1.3.4'!$Q$29))/100</f>
        <v>#DIV/0!</v>
      </c>
      <c r="BU38" s="373" t="e">
        <f>(BU27*('Table A.1.3.4'!$Q$27+'Table A.1.3.4'!$Q$28) + (BU33*'Table A.1.3.4'!$Q$29))/100</f>
        <v>#DIV/0!</v>
      </c>
      <c r="BV38" s="373" t="e">
        <f>(BV27*('Table A.1.3.4'!$Q$27+'Table A.1.3.4'!$Q$28) + (BV33*'Table A.1.3.4'!$Q$29))/100</f>
        <v>#DIV/0!</v>
      </c>
      <c r="BW38" s="373" t="e">
        <f>(BW27*('Table A.1.3.4'!$Q$27+'Table A.1.3.4'!$Q$28) + (BW33*'Table A.1.3.4'!$Q$29))/100</f>
        <v>#DIV/0!</v>
      </c>
      <c r="BX38" s="373" t="e">
        <f>(BX27*('Table A.1.3.4'!$Q$27+'Table A.1.3.4'!$Q$28) + (BX33*'Table A.1.3.4'!$Q$29))/100</f>
        <v>#DIV/0!</v>
      </c>
      <c r="BY38" s="373" t="e">
        <f>(BY27*('Table A.1.3.4'!$Q$27+'Table A.1.3.4'!$Q$28) + (BY33*'Table A.1.3.4'!$Q$29))/100</f>
        <v>#DIV/0!</v>
      </c>
      <c r="BZ38" s="373" t="e">
        <f>(BZ27*('Table A.1.3.4'!$Q$27+'Table A.1.3.4'!$Q$28) + (BZ33*'Table A.1.3.4'!$Q$29))/100</f>
        <v>#DIV/0!</v>
      </c>
      <c r="CA38" s="373" t="e">
        <f>(CA27*('Table A.1.3.4'!$Q$27+'Table A.1.3.4'!$Q$28) + (CA33*'Table A.1.3.4'!$Q$29))/100</f>
        <v>#DIV/0!</v>
      </c>
      <c r="CB38" s="373" t="e">
        <f>(CB27*('Table A.1.3.4'!$Q$27+'Table A.1.3.4'!$Q$28) + (CB33*'Table A.1.3.4'!$Q$29))/100</f>
        <v>#DIV/0!</v>
      </c>
      <c r="CC38" s="373" t="e">
        <f>(CC27*('Table A.1.3.4'!$Q$27+'Table A.1.3.4'!$Q$28) + (CC33*'Table A.1.3.4'!$Q$29))/100</f>
        <v>#DIV/0!</v>
      </c>
      <c r="CD38" s="373" t="e">
        <f>(CD27*('Table A.1.3.4'!$Q$27+'Table A.1.3.4'!$Q$28) + (CD33*'Table A.1.3.4'!$Q$29))/100</f>
        <v>#DIV/0!</v>
      </c>
      <c r="CE38" s="373" t="e">
        <f>(CE27*('Table A.1.3.4'!$Q$27+'Table A.1.3.4'!$Q$28) + (CE33*'Table A.1.3.4'!$Q$29))/100</f>
        <v>#DIV/0!</v>
      </c>
      <c r="CF38" s="373" t="e">
        <f>(CF27*('Table A.1.3.4'!$Q$27+'Table A.1.3.4'!$Q$28) + (CF33*'Table A.1.3.4'!$Q$29))/100</f>
        <v>#DIV/0!</v>
      </c>
    </row>
    <row r="39" spans="3:84">
      <c r="D39" s="373" t="s">
        <v>89</v>
      </c>
      <c r="E39" s="373" t="e">
        <f>((E28*'Table A.1.3.4'!$Q$30)+(E34*'Table A.1.3.4'!$Q$31))/100</f>
        <v>#DIV/0!</v>
      </c>
      <c r="F39" s="373" t="e">
        <f>((F28*'Table A.1.3.4'!$Q$30)+(F34*'Table A.1.3.4'!$Q$31))/100</f>
        <v>#DIV/0!</v>
      </c>
      <c r="G39" s="373" t="e">
        <f>((G28*'Table A.1.3.4'!$Q$30)+(G34*'Table A.1.3.4'!$Q$31))/100</f>
        <v>#DIV/0!</v>
      </c>
      <c r="H39" s="373" t="e">
        <f>((H28*'Table A.1.3.4'!$Q$30)+(H34*'Table A.1.3.4'!$Q$31))/100</f>
        <v>#DIV/0!</v>
      </c>
      <c r="I39" s="373" t="e">
        <f>((I28*'Table A.1.3.4'!$Q$30)+(I34*'Table A.1.3.4'!$Q$31))/100</f>
        <v>#DIV/0!</v>
      </c>
      <c r="J39" s="373" t="e">
        <f>((J28*'Table A.1.3.4'!$Q$30)+(J34*'Table A.1.3.4'!$Q$31))/100</f>
        <v>#DIV/0!</v>
      </c>
      <c r="K39" s="373" t="e">
        <f>((K28*'Table A.1.3.4'!$Q$30)+(K34*'Table A.1.3.4'!$Q$31))/100</f>
        <v>#DIV/0!</v>
      </c>
      <c r="L39" s="373" t="e">
        <f>((L28*'Table A.1.3.4'!$Q$30)+(L34*'Table A.1.3.4'!$Q$31))/100</f>
        <v>#DIV/0!</v>
      </c>
      <c r="M39" s="373" t="e">
        <f>((M28*'Table A.1.3.4'!$Q$30)+(M34*'Table A.1.3.4'!$Q$31))/100</f>
        <v>#DIV/0!</v>
      </c>
      <c r="N39" s="373" t="e">
        <f>((N28*'Table A.1.3.4'!$Q$30)+(N34*'Table A.1.3.4'!$Q$31))/100</f>
        <v>#DIV/0!</v>
      </c>
      <c r="O39" s="373" t="e">
        <f>((O28*'Table A.1.3.4'!$Q$30)+(O34*'Table A.1.3.4'!$Q$31))/100</f>
        <v>#DIV/0!</v>
      </c>
      <c r="P39" s="373" t="e">
        <f>((P28*'Table A.1.3.4'!$Q$30)+(P34*'Table A.1.3.4'!$Q$31))/100</f>
        <v>#DIV/0!</v>
      </c>
      <c r="Q39" s="373" t="e">
        <f>((Q28*'Table A.1.3.4'!$Q$30)+(Q34*'Table A.1.3.4'!$Q$31))/100</f>
        <v>#DIV/0!</v>
      </c>
      <c r="R39" s="373" t="e">
        <f>((R28*'Table A.1.3.4'!$Q$30)+(R34*'Table A.1.3.4'!$Q$31))/100</f>
        <v>#DIV/0!</v>
      </c>
      <c r="S39" s="373" t="e">
        <f>((S28*'Table A.1.3.4'!$Q$30)+(S34*'Table A.1.3.4'!$Q$31))/100</f>
        <v>#DIV/0!</v>
      </c>
      <c r="T39" s="373" t="e">
        <f>((T28*'Table A.1.3.4'!$Q$30)+(T34*'Table A.1.3.4'!$Q$31))/100</f>
        <v>#DIV/0!</v>
      </c>
      <c r="U39" s="373" t="e">
        <f>((U28*'Table A.1.3.4'!$Q$30)+(U34*'Table A.1.3.4'!$Q$31))/100</f>
        <v>#DIV/0!</v>
      </c>
      <c r="V39" s="373" t="e">
        <f>((V28*'Table A.1.3.4'!$Q$30)+(V34*'Table A.1.3.4'!$Q$31))/100</f>
        <v>#DIV/0!</v>
      </c>
      <c r="W39" s="373" t="e">
        <f>((W28*'Table A.1.3.4'!$Q$30)+(W34*'Table A.1.3.4'!$Q$31))/100</f>
        <v>#DIV/0!</v>
      </c>
      <c r="X39" s="373" t="e">
        <f>((X28*'Table A.1.3.4'!$Q$30)+(X34*'Table A.1.3.4'!$Q$31))/100</f>
        <v>#DIV/0!</v>
      </c>
      <c r="Y39" s="373" t="e">
        <f>((Y28*'Table A.1.3.4'!$Q$30)+(Y34*'Table A.1.3.4'!$Q$31))/100</f>
        <v>#DIV/0!</v>
      </c>
      <c r="Z39" s="373" t="e">
        <f>((Z28*'Table A.1.3.4'!$Q$30)+(Z34*'Table A.1.3.4'!$Q$31))/100</f>
        <v>#DIV/0!</v>
      </c>
      <c r="AA39" s="373" t="e">
        <f>((AA28*'Table A.1.3.4'!$Q$30)+(AA34*'Table A.1.3.4'!$Q$31))/100</f>
        <v>#DIV/0!</v>
      </c>
      <c r="AB39" s="373" t="e">
        <f>((AB28*'Table A.1.3.4'!$Q$30)+(AB34*'Table A.1.3.4'!$Q$31))/100</f>
        <v>#DIV/0!</v>
      </c>
      <c r="AC39" s="373" t="e">
        <f>((AC28*'Table A.1.3.4'!$Q$30)+(AC34*'Table A.1.3.4'!$Q$31))/100</f>
        <v>#DIV/0!</v>
      </c>
      <c r="AD39" s="373" t="e">
        <f>((AD28*'Table A.1.3.4'!$Q$30)+(AD34*'Table A.1.3.4'!$Q$31))/100</f>
        <v>#DIV/0!</v>
      </c>
      <c r="AE39" s="373" t="e">
        <f>((AE28*'Table A.1.3.4'!$Q$30)+(AE34*'Table A.1.3.4'!$Q$31))/100</f>
        <v>#DIV/0!</v>
      </c>
      <c r="AF39" s="373" t="e">
        <f>((AF28*'Table A.1.3.4'!$Q$30)+(AF34*'Table A.1.3.4'!$Q$31))/100</f>
        <v>#DIV/0!</v>
      </c>
      <c r="AG39" s="373" t="e">
        <f>((AG28*'Table A.1.3.4'!$Q$30)+(AG34*'Table A.1.3.4'!$Q$31))/100</f>
        <v>#DIV/0!</v>
      </c>
      <c r="AH39" s="373" t="e">
        <f>((AH28*'Table A.1.3.4'!$Q$30)+(AH34*'Table A.1.3.4'!$Q$31))/100</f>
        <v>#DIV/0!</v>
      </c>
      <c r="AI39" s="373" t="e">
        <f>((AI28*'Table A.1.3.4'!$Q$30)+(AI34*'Table A.1.3.4'!$Q$31))/100</f>
        <v>#DIV/0!</v>
      </c>
      <c r="AJ39" s="373" t="e">
        <f>((AJ28*'Table A.1.3.4'!$Q$30)+(AJ34*'Table A.1.3.4'!$Q$31))/100</f>
        <v>#DIV/0!</v>
      </c>
      <c r="AK39" s="373" t="e">
        <f>((AK28*'Table A.1.3.4'!$Q$30)+(AK34*'Table A.1.3.4'!$Q$31))/100</f>
        <v>#DIV/0!</v>
      </c>
      <c r="AL39" s="373" t="e">
        <f>((AL28*'Table A.1.3.4'!$Q$30)+(AL34*'Table A.1.3.4'!$Q$31))/100</f>
        <v>#DIV/0!</v>
      </c>
      <c r="AM39" s="373" t="e">
        <f>((AM28*'Table A.1.3.4'!$Q$30)+(AM34*'Table A.1.3.4'!$Q$31))/100</f>
        <v>#DIV/0!</v>
      </c>
      <c r="AN39" s="373" t="e">
        <f>((AN28*'Table A.1.3.4'!$Q$30)+(AN34*'Table A.1.3.4'!$Q$31))/100</f>
        <v>#DIV/0!</v>
      </c>
      <c r="AO39" s="373" t="e">
        <f>((AO28*'Table A.1.3.4'!$Q$30)+(AO34*'Table A.1.3.4'!$Q$31))/100</f>
        <v>#DIV/0!</v>
      </c>
      <c r="AP39" s="373" t="e">
        <f>((AP28*'Table A.1.3.4'!$Q$30)+(AP34*'Table A.1.3.4'!$Q$31))/100</f>
        <v>#DIV/0!</v>
      </c>
      <c r="AQ39" s="373" t="e">
        <f>((AQ28*'Table A.1.3.4'!$Q$30)+(AQ34*'Table A.1.3.4'!$Q$31))/100</f>
        <v>#DIV/0!</v>
      </c>
      <c r="AR39" s="373" t="e">
        <f>((AR28*'Table A.1.3.4'!$Q$30)+(AR34*'Table A.1.3.4'!$Q$31))/100</f>
        <v>#DIV/0!</v>
      </c>
      <c r="AS39" s="373" t="e">
        <f>((AS28*'Table A.1.3.4'!$Q$30)+(AS34*'Table A.1.3.4'!$Q$31))/100</f>
        <v>#DIV/0!</v>
      </c>
      <c r="AT39" s="373" t="e">
        <f>((AT28*'Table A.1.3.4'!$Q$30)+(AT34*'Table A.1.3.4'!$Q$31))/100</f>
        <v>#DIV/0!</v>
      </c>
      <c r="AU39" s="373" t="e">
        <f>((AU28*'Table A.1.3.4'!$Q$30)+(AU34*'Table A.1.3.4'!$Q$31))/100</f>
        <v>#DIV/0!</v>
      </c>
      <c r="AV39" s="373" t="e">
        <f>((AV28*'Table A.1.3.4'!$Q$30)+(AV34*'Table A.1.3.4'!$Q$31))/100</f>
        <v>#DIV/0!</v>
      </c>
      <c r="AW39" s="373" t="e">
        <f>((AW28*'Table A.1.3.4'!$Q$30)+(AW34*'Table A.1.3.4'!$Q$31))/100</f>
        <v>#DIV/0!</v>
      </c>
      <c r="AX39" s="373" t="e">
        <f>((AX28*'Table A.1.3.4'!$Q$30)+(AX34*'Table A.1.3.4'!$Q$31))/100</f>
        <v>#DIV/0!</v>
      </c>
      <c r="AY39" s="373" t="e">
        <f>((AY28*'Table A.1.3.4'!$Q$30)+(AY34*'Table A.1.3.4'!$Q$31))/100</f>
        <v>#DIV/0!</v>
      </c>
      <c r="AZ39" s="373" t="e">
        <f>((AZ28*'Table A.1.3.4'!$Q$30)+(AZ34*'Table A.1.3.4'!$Q$31))/100</f>
        <v>#DIV/0!</v>
      </c>
      <c r="BA39" s="373" t="e">
        <f>((BA28*'Table A.1.3.4'!$Q$30)+(BA34*'Table A.1.3.4'!$Q$31))/100</f>
        <v>#DIV/0!</v>
      </c>
      <c r="BB39" s="373" t="e">
        <f>((BB28*'Table A.1.3.4'!$Q$30)+(BB34*'Table A.1.3.4'!$Q$31))/100</f>
        <v>#DIV/0!</v>
      </c>
      <c r="BC39" s="373" t="e">
        <f>((BC28*'Table A.1.3.4'!$Q$30)+(BC34*'Table A.1.3.4'!$Q$31))/100</f>
        <v>#DIV/0!</v>
      </c>
      <c r="BD39" s="373" t="e">
        <f>((BD28*'Table A.1.3.4'!$Q$30)+(BD34*'Table A.1.3.4'!$Q$31))/100</f>
        <v>#DIV/0!</v>
      </c>
      <c r="BE39" s="373" t="e">
        <f>((BE28*'Table A.1.3.4'!$Q$30)+(BE34*'Table A.1.3.4'!$Q$31))/100</f>
        <v>#DIV/0!</v>
      </c>
      <c r="BF39" s="373" t="e">
        <f>((BF28*'Table A.1.3.4'!$Q$30)+(BF34*'Table A.1.3.4'!$Q$31))/100</f>
        <v>#DIV/0!</v>
      </c>
      <c r="BG39" s="373" t="e">
        <f>((BG28*'Table A.1.3.4'!$Q$30)+(BG34*'Table A.1.3.4'!$Q$31))/100</f>
        <v>#DIV/0!</v>
      </c>
      <c r="BH39" s="373" t="e">
        <f>((BH28*'Table A.1.3.4'!$Q$30)+(BH34*'Table A.1.3.4'!$Q$31))/100</f>
        <v>#DIV/0!</v>
      </c>
      <c r="BI39" s="373" t="e">
        <f>((BI28*'Table A.1.3.4'!$Q$30)+(BI34*'Table A.1.3.4'!$Q$31))/100</f>
        <v>#DIV/0!</v>
      </c>
      <c r="BJ39" s="373" t="e">
        <f>((BJ28*'Table A.1.3.4'!$Q$30)+(BJ34*'Table A.1.3.4'!$Q$31))/100</f>
        <v>#DIV/0!</v>
      </c>
      <c r="BK39" s="373" t="e">
        <f>((BK28*'Table A.1.3.4'!$Q$30)+(BK34*'Table A.1.3.4'!$Q$31))/100</f>
        <v>#DIV/0!</v>
      </c>
      <c r="BL39" s="373" t="e">
        <f>((BL28*'Table A.1.3.4'!$Q$30)+(BL34*'Table A.1.3.4'!$Q$31))/100</f>
        <v>#DIV/0!</v>
      </c>
      <c r="BM39" s="373" t="e">
        <f>((BM28*'Table A.1.3.4'!$Q$30)+(BM34*'Table A.1.3.4'!$Q$31))/100</f>
        <v>#DIV/0!</v>
      </c>
      <c r="BN39" s="373" t="e">
        <f>((BN28*'Table A.1.3.4'!$Q$30)+(BN34*'Table A.1.3.4'!$Q$31))/100</f>
        <v>#DIV/0!</v>
      </c>
      <c r="BO39" s="373" t="e">
        <f>((BO28*'Table A.1.3.4'!$Q$30)+(BO34*'Table A.1.3.4'!$Q$31))/100</f>
        <v>#DIV/0!</v>
      </c>
      <c r="BP39" s="373" t="e">
        <f>((BP28*'Table A.1.3.4'!$Q$30)+(BP34*'Table A.1.3.4'!$Q$31))/100</f>
        <v>#DIV/0!</v>
      </c>
      <c r="BQ39" s="373" t="e">
        <f>((BQ28*'Table A.1.3.4'!$Q$30)+(BQ34*'Table A.1.3.4'!$Q$31))/100</f>
        <v>#DIV/0!</v>
      </c>
      <c r="BR39" s="373" t="e">
        <f>((BR28*'Table A.1.3.4'!$Q$30)+(BR34*'Table A.1.3.4'!$Q$31))/100</f>
        <v>#DIV/0!</v>
      </c>
      <c r="BS39" s="373" t="e">
        <f>((BS28*'Table A.1.3.4'!$Q$30)+(BS34*'Table A.1.3.4'!$Q$31))/100</f>
        <v>#DIV/0!</v>
      </c>
      <c r="BT39" s="373" t="e">
        <f>((BT28*'Table A.1.3.4'!$Q$30)+(BT34*'Table A.1.3.4'!$Q$31))/100</f>
        <v>#DIV/0!</v>
      </c>
      <c r="BU39" s="373" t="e">
        <f>((BU28*'Table A.1.3.4'!$Q$30)+(BU34*'Table A.1.3.4'!$Q$31))/100</f>
        <v>#DIV/0!</v>
      </c>
      <c r="BV39" s="373" t="e">
        <f>((BV28*'Table A.1.3.4'!$Q$30)+(BV34*'Table A.1.3.4'!$Q$31))/100</f>
        <v>#DIV/0!</v>
      </c>
      <c r="BW39" s="373" t="e">
        <f>((BW28*'Table A.1.3.4'!$Q$30)+(BW34*'Table A.1.3.4'!$Q$31))/100</f>
        <v>#DIV/0!</v>
      </c>
      <c r="BX39" s="373" t="e">
        <f>((BX28*'Table A.1.3.4'!$Q$30)+(BX34*'Table A.1.3.4'!$Q$31))/100</f>
        <v>#DIV/0!</v>
      </c>
      <c r="BY39" s="373" t="e">
        <f>((BY28*'Table A.1.3.4'!$Q$30)+(BY34*'Table A.1.3.4'!$Q$31))/100</f>
        <v>#DIV/0!</v>
      </c>
      <c r="BZ39" s="373" t="e">
        <f>((BZ28*'Table A.1.3.4'!$Q$30)+(BZ34*'Table A.1.3.4'!$Q$31))/100</f>
        <v>#DIV/0!</v>
      </c>
      <c r="CA39" s="373" t="e">
        <f>((CA28*'Table A.1.3.4'!$Q$30)+(CA34*'Table A.1.3.4'!$Q$31))/100</f>
        <v>#DIV/0!</v>
      </c>
      <c r="CB39" s="373" t="e">
        <f>((CB28*'Table A.1.3.4'!$Q$30)+(CB34*'Table A.1.3.4'!$Q$31))/100</f>
        <v>#DIV/0!</v>
      </c>
      <c r="CC39" s="373" t="e">
        <f>((CC28*'Table A.1.3.4'!$Q$30)+(CC34*'Table A.1.3.4'!$Q$31))/100</f>
        <v>#DIV/0!</v>
      </c>
      <c r="CD39" s="373" t="e">
        <f>((CD28*'Table A.1.3.4'!$Q$30)+(CD34*'Table A.1.3.4'!$Q$31))/100</f>
        <v>#DIV/0!</v>
      </c>
      <c r="CE39" s="373" t="e">
        <f>((CE28*'Table A.1.3.4'!$Q$30)+(CE34*'Table A.1.3.4'!$Q$31))/100</f>
        <v>#DIV/0!</v>
      </c>
      <c r="CF39" s="373" t="e">
        <f>((CF28*'Table A.1.3.4'!$Q$30)+(CF34*'Table A.1.3.4'!$Q$31))/100</f>
        <v>#DIV/0!</v>
      </c>
    </row>
    <row r="40" spans="3:84">
      <c r="D40" s="373" t="s">
        <v>91</v>
      </c>
      <c r="E40" s="373" t="e">
        <f t="shared" ref="E40:BP41" si="12">E29</f>
        <v>#DIV/0!</v>
      </c>
      <c r="F40" s="373" t="e">
        <f t="shared" si="12"/>
        <v>#DIV/0!</v>
      </c>
      <c r="G40" s="373" t="e">
        <f t="shared" si="12"/>
        <v>#DIV/0!</v>
      </c>
      <c r="H40" s="373" t="e">
        <f t="shared" si="12"/>
        <v>#DIV/0!</v>
      </c>
      <c r="I40" s="373" t="e">
        <f t="shared" si="12"/>
        <v>#DIV/0!</v>
      </c>
      <c r="J40" s="373" t="e">
        <f t="shared" si="12"/>
        <v>#DIV/0!</v>
      </c>
      <c r="K40" s="373" t="e">
        <f t="shared" si="12"/>
        <v>#DIV/0!</v>
      </c>
      <c r="L40" s="373" t="e">
        <f t="shared" si="12"/>
        <v>#DIV/0!</v>
      </c>
      <c r="M40" s="373" t="e">
        <f t="shared" si="12"/>
        <v>#DIV/0!</v>
      </c>
      <c r="N40" s="373" t="e">
        <f t="shared" si="12"/>
        <v>#DIV/0!</v>
      </c>
      <c r="O40" s="373" t="e">
        <f t="shared" si="12"/>
        <v>#DIV/0!</v>
      </c>
      <c r="P40" s="373" t="e">
        <f t="shared" si="12"/>
        <v>#DIV/0!</v>
      </c>
      <c r="Q40" s="373" t="e">
        <f t="shared" si="12"/>
        <v>#DIV/0!</v>
      </c>
      <c r="R40" s="373" t="e">
        <f t="shared" si="12"/>
        <v>#DIV/0!</v>
      </c>
      <c r="S40" s="373" t="e">
        <f t="shared" si="12"/>
        <v>#DIV/0!</v>
      </c>
      <c r="T40" s="373" t="e">
        <f t="shared" si="12"/>
        <v>#DIV/0!</v>
      </c>
      <c r="U40" s="373" t="e">
        <f t="shared" si="12"/>
        <v>#DIV/0!</v>
      </c>
      <c r="V40" s="373" t="e">
        <f t="shared" si="12"/>
        <v>#DIV/0!</v>
      </c>
      <c r="W40" s="373" t="e">
        <f t="shared" si="12"/>
        <v>#DIV/0!</v>
      </c>
      <c r="X40" s="373" t="e">
        <f t="shared" si="12"/>
        <v>#DIV/0!</v>
      </c>
      <c r="Y40" s="373" t="e">
        <f t="shared" si="12"/>
        <v>#DIV/0!</v>
      </c>
      <c r="Z40" s="373" t="e">
        <f t="shared" si="12"/>
        <v>#DIV/0!</v>
      </c>
      <c r="AA40" s="373" t="e">
        <f t="shared" si="12"/>
        <v>#DIV/0!</v>
      </c>
      <c r="AB40" s="373" t="e">
        <f t="shared" si="12"/>
        <v>#DIV/0!</v>
      </c>
      <c r="AC40" s="373" t="e">
        <f t="shared" si="12"/>
        <v>#DIV/0!</v>
      </c>
      <c r="AD40" s="373" t="e">
        <f t="shared" si="12"/>
        <v>#DIV/0!</v>
      </c>
      <c r="AE40" s="373" t="e">
        <f t="shared" si="12"/>
        <v>#DIV/0!</v>
      </c>
      <c r="AF40" s="373" t="e">
        <f t="shared" si="12"/>
        <v>#DIV/0!</v>
      </c>
      <c r="AG40" s="373" t="e">
        <f t="shared" si="12"/>
        <v>#DIV/0!</v>
      </c>
      <c r="AH40" s="373" t="e">
        <f t="shared" si="12"/>
        <v>#DIV/0!</v>
      </c>
      <c r="AI40" s="373" t="e">
        <f t="shared" si="12"/>
        <v>#DIV/0!</v>
      </c>
      <c r="AJ40" s="373" t="e">
        <f t="shared" si="12"/>
        <v>#DIV/0!</v>
      </c>
      <c r="AK40" s="373" t="e">
        <f t="shared" si="12"/>
        <v>#DIV/0!</v>
      </c>
      <c r="AL40" s="373" t="e">
        <f t="shared" si="12"/>
        <v>#DIV/0!</v>
      </c>
      <c r="AM40" s="373" t="e">
        <f t="shared" si="12"/>
        <v>#DIV/0!</v>
      </c>
      <c r="AN40" s="373" t="e">
        <f t="shared" si="12"/>
        <v>#DIV/0!</v>
      </c>
      <c r="AO40" s="373" t="e">
        <f t="shared" si="12"/>
        <v>#DIV/0!</v>
      </c>
      <c r="AP40" s="373" t="e">
        <f t="shared" si="12"/>
        <v>#DIV/0!</v>
      </c>
      <c r="AQ40" s="373" t="e">
        <f t="shared" si="12"/>
        <v>#DIV/0!</v>
      </c>
      <c r="AR40" s="373" t="e">
        <f t="shared" si="12"/>
        <v>#DIV/0!</v>
      </c>
      <c r="AS40" s="373" t="e">
        <f t="shared" si="12"/>
        <v>#DIV/0!</v>
      </c>
      <c r="AT40" s="373" t="e">
        <f t="shared" si="12"/>
        <v>#DIV/0!</v>
      </c>
      <c r="AU40" s="373" t="e">
        <f t="shared" si="12"/>
        <v>#DIV/0!</v>
      </c>
      <c r="AV40" s="373" t="e">
        <f t="shared" si="12"/>
        <v>#DIV/0!</v>
      </c>
      <c r="AW40" s="373" t="e">
        <f t="shared" si="12"/>
        <v>#DIV/0!</v>
      </c>
      <c r="AX40" s="373" t="e">
        <f t="shared" si="12"/>
        <v>#DIV/0!</v>
      </c>
      <c r="AY40" s="373" t="e">
        <f t="shared" si="12"/>
        <v>#DIV/0!</v>
      </c>
      <c r="AZ40" s="373" t="e">
        <f t="shared" si="12"/>
        <v>#DIV/0!</v>
      </c>
      <c r="BA40" s="373" t="e">
        <f t="shared" si="12"/>
        <v>#DIV/0!</v>
      </c>
      <c r="BB40" s="373" t="e">
        <f t="shared" si="12"/>
        <v>#DIV/0!</v>
      </c>
      <c r="BC40" s="373" t="e">
        <f t="shared" si="12"/>
        <v>#DIV/0!</v>
      </c>
      <c r="BD40" s="373" t="e">
        <f t="shared" si="12"/>
        <v>#DIV/0!</v>
      </c>
      <c r="BE40" s="373" t="e">
        <f t="shared" si="12"/>
        <v>#DIV/0!</v>
      </c>
      <c r="BF40" s="373" t="e">
        <f t="shared" si="12"/>
        <v>#DIV/0!</v>
      </c>
      <c r="BG40" s="373" t="e">
        <f t="shared" si="12"/>
        <v>#DIV/0!</v>
      </c>
      <c r="BH40" s="373" t="e">
        <f t="shared" si="12"/>
        <v>#DIV/0!</v>
      </c>
      <c r="BI40" s="373" t="e">
        <f t="shared" si="12"/>
        <v>#DIV/0!</v>
      </c>
      <c r="BJ40" s="373" t="e">
        <f t="shared" si="12"/>
        <v>#DIV/0!</v>
      </c>
      <c r="BK40" s="373" t="e">
        <f t="shared" si="12"/>
        <v>#DIV/0!</v>
      </c>
      <c r="BL40" s="373" t="e">
        <f t="shared" si="12"/>
        <v>#DIV/0!</v>
      </c>
      <c r="BM40" s="373" t="e">
        <f t="shared" si="12"/>
        <v>#DIV/0!</v>
      </c>
      <c r="BN40" s="373" t="e">
        <f t="shared" si="12"/>
        <v>#DIV/0!</v>
      </c>
      <c r="BO40" s="373" t="e">
        <f t="shared" si="12"/>
        <v>#DIV/0!</v>
      </c>
      <c r="BP40" s="373" t="e">
        <f t="shared" si="12"/>
        <v>#DIV/0!</v>
      </c>
      <c r="BQ40" s="373" t="e">
        <f t="shared" ref="BQ40:CF41" si="13">BQ29</f>
        <v>#DIV/0!</v>
      </c>
      <c r="BR40" s="373" t="e">
        <f t="shared" si="13"/>
        <v>#DIV/0!</v>
      </c>
      <c r="BS40" s="373" t="e">
        <f t="shared" si="13"/>
        <v>#DIV/0!</v>
      </c>
      <c r="BT40" s="373" t="e">
        <f t="shared" si="13"/>
        <v>#DIV/0!</v>
      </c>
      <c r="BU40" s="373" t="e">
        <f t="shared" si="13"/>
        <v>#DIV/0!</v>
      </c>
      <c r="BV40" s="373" t="e">
        <f t="shared" si="13"/>
        <v>#DIV/0!</v>
      </c>
      <c r="BW40" s="373" t="e">
        <f t="shared" si="13"/>
        <v>#DIV/0!</v>
      </c>
      <c r="BX40" s="373" t="e">
        <f t="shared" si="13"/>
        <v>#DIV/0!</v>
      </c>
      <c r="BY40" s="373" t="e">
        <f t="shared" si="13"/>
        <v>#DIV/0!</v>
      </c>
      <c r="BZ40" s="373" t="e">
        <f t="shared" si="13"/>
        <v>#DIV/0!</v>
      </c>
      <c r="CA40" s="373" t="e">
        <f t="shared" si="13"/>
        <v>#DIV/0!</v>
      </c>
      <c r="CB40" s="373" t="e">
        <f t="shared" si="13"/>
        <v>#DIV/0!</v>
      </c>
      <c r="CC40" s="373" t="e">
        <f t="shared" si="13"/>
        <v>#DIV/0!</v>
      </c>
      <c r="CD40" s="373" t="e">
        <f t="shared" si="13"/>
        <v>#DIV/0!</v>
      </c>
      <c r="CE40" s="373" t="e">
        <f t="shared" si="13"/>
        <v>#DIV/0!</v>
      </c>
      <c r="CF40" s="373" t="e">
        <f t="shared" si="13"/>
        <v>#DIV/0!</v>
      </c>
    </row>
    <row r="41" spans="3:84">
      <c r="D41" s="373" t="s">
        <v>93</v>
      </c>
      <c r="E41" s="373" t="e">
        <f t="shared" si="12"/>
        <v>#DIV/0!</v>
      </c>
      <c r="F41" s="373" t="e">
        <f t="shared" si="12"/>
        <v>#DIV/0!</v>
      </c>
      <c r="G41" s="373" t="e">
        <f t="shared" si="12"/>
        <v>#DIV/0!</v>
      </c>
      <c r="H41" s="373" t="e">
        <f t="shared" si="12"/>
        <v>#DIV/0!</v>
      </c>
      <c r="I41" s="373" t="e">
        <f t="shared" si="12"/>
        <v>#DIV/0!</v>
      </c>
      <c r="J41" s="373" t="e">
        <f t="shared" si="12"/>
        <v>#DIV/0!</v>
      </c>
      <c r="K41" s="373" t="e">
        <f t="shared" si="12"/>
        <v>#DIV/0!</v>
      </c>
      <c r="L41" s="373" t="e">
        <f t="shared" si="12"/>
        <v>#DIV/0!</v>
      </c>
      <c r="M41" s="373" t="e">
        <f t="shared" si="12"/>
        <v>#DIV/0!</v>
      </c>
      <c r="N41" s="373" t="e">
        <f t="shared" si="12"/>
        <v>#DIV/0!</v>
      </c>
      <c r="O41" s="373" t="e">
        <f t="shared" si="12"/>
        <v>#DIV/0!</v>
      </c>
      <c r="P41" s="373" t="e">
        <f t="shared" si="12"/>
        <v>#DIV/0!</v>
      </c>
      <c r="Q41" s="373" t="e">
        <f t="shared" si="12"/>
        <v>#DIV/0!</v>
      </c>
      <c r="R41" s="373" t="e">
        <f t="shared" si="12"/>
        <v>#DIV/0!</v>
      </c>
      <c r="S41" s="373" t="e">
        <f t="shared" si="12"/>
        <v>#DIV/0!</v>
      </c>
      <c r="T41" s="373" t="e">
        <f t="shared" si="12"/>
        <v>#DIV/0!</v>
      </c>
      <c r="U41" s="373" t="e">
        <f t="shared" si="12"/>
        <v>#DIV/0!</v>
      </c>
      <c r="V41" s="373" t="e">
        <f t="shared" si="12"/>
        <v>#DIV/0!</v>
      </c>
      <c r="W41" s="373" t="e">
        <f t="shared" si="12"/>
        <v>#DIV/0!</v>
      </c>
      <c r="X41" s="373" t="e">
        <f t="shared" si="12"/>
        <v>#DIV/0!</v>
      </c>
      <c r="Y41" s="373" t="e">
        <f t="shared" si="12"/>
        <v>#DIV/0!</v>
      </c>
      <c r="Z41" s="373" t="e">
        <f t="shared" si="12"/>
        <v>#DIV/0!</v>
      </c>
      <c r="AA41" s="373" t="e">
        <f t="shared" si="12"/>
        <v>#DIV/0!</v>
      </c>
      <c r="AB41" s="373" t="e">
        <f t="shared" si="12"/>
        <v>#DIV/0!</v>
      </c>
      <c r="AC41" s="373" t="e">
        <f t="shared" si="12"/>
        <v>#DIV/0!</v>
      </c>
      <c r="AD41" s="373" t="e">
        <f t="shared" si="12"/>
        <v>#DIV/0!</v>
      </c>
      <c r="AE41" s="373" t="e">
        <f t="shared" si="12"/>
        <v>#DIV/0!</v>
      </c>
      <c r="AF41" s="373" t="e">
        <f t="shared" si="12"/>
        <v>#DIV/0!</v>
      </c>
      <c r="AG41" s="373" t="e">
        <f t="shared" si="12"/>
        <v>#DIV/0!</v>
      </c>
      <c r="AH41" s="373" t="e">
        <f t="shared" si="12"/>
        <v>#DIV/0!</v>
      </c>
      <c r="AI41" s="373" t="e">
        <f t="shared" si="12"/>
        <v>#DIV/0!</v>
      </c>
      <c r="AJ41" s="373" t="e">
        <f t="shared" si="12"/>
        <v>#DIV/0!</v>
      </c>
      <c r="AK41" s="373" t="e">
        <f t="shared" si="12"/>
        <v>#DIV/0!</v>
      </c>
      <c r="AL41" s="373" t="e">
        <f t="shared" si="12"/>
        <v>#DIV/0!</v>
      </c>
      <c r="AM41" s="373" t="e">
        <f t="shared" si="12"/>
        <v>#DIV/0!</v>
      </c>
      <c r="AN41" s="373" t="e">
        <f t="shared" si="12"/>
        <v>#DIV/0!</v>
      </c>
      <c r="AO41" s="373" t="e">
        <f t="shared" si="12"/>
        <v>#DIV/0!</v>
      </c>
      <c r="AP41" s="373" t="e">
        <f t="shared" si="12"/>
        <v>#DIV/0!</v>
      </c>
      <c r="AQ41" s="373" t="e">
        <f t="shared" si="12"/>
        <v>#DIV/0!</v>
      </c>
      <c r="AR41" s="373" t="e">
        <f t="shared" si="12"/>
        <v>#DIV/0!</v>
      </c>
      <c r="AS41" s="373" t="e">
        <f t="shared" si="12"/>
        <v>#DIV/0!</v>
      </c>
      <c r="AT41" s="373" t="e">
        <f t="shared" si="12"/>
        <v>#DIV/0!</v>
      </c>
      <c r="AU41" s="373" t="e">
        <f t="shared" si="12"/>
        <v>#DIV/0!</v>
      </c>
      <c r="AV41" s="373" t="e">
        <f t="shared" si="12"/>
        <v>#DIV/0!</v>
      </c>
      <c r="AW41" s="373" t="e">
        <f t="shared" si="12"/>
        <v>#DIV/0!</v>
      </c>
      <c r="AX41" s="373" t="e">
        <f t="shared" si="12"/>
        <v>#DIV/0!</v>
      </c>
      <c r="AY41" s="373" t="e">
        <f t="shared" si="12"/>
        <v>#DIV/0!</v>
      </c>
      <c r="AZ41" s="373" t="e">
        <f t="shared" si="12"/>
        <v>#DIV/0!</v>
      </c>
      <c r="BA41" s="373" t="e">
        <f t="shared" si="12"/>
        <v>#DIV/0!</v>
      </c>
      <c r="BB41" s="373" t="e">
        <f t="shared" si="12"/>
        <v>#DIV/0!</v>
      </c>
      <c r="BC41" s="373" t="e">
        <f t="shared" si="12"/>
        <v>#DIV/0!</v>
      </c>
      <c r="BD41" s="373" t="e">
        <f t="shared" si="12"/>
        <v>#DIV/0!</v>
      </c>
      <c r="BE41" s="373" t="e">
        <f t="shared" si="12"/>
        <v>#DIV/0!</v>
      </c>
      <c r="BF41" s="373" t="e">
        <f t="shared" si="12"/>
        <v>#DIV/0!</v>
      </c>
      <c r="BG41" s="373" t="e">
        <f t="shared" si="12"/>
        <v>#DIV/0!</v>
      </c>
      <c r="BH41" s="373" t="e">
        <f t="shared" si="12"/>
        <v>#DIV/0!</v>
      </c>
      <c r="BI41" s="373" t="e">
        <f t="shared" si="12"/>
        <v>#DIV/0!</v>
      </c>
      <c r="BJ41" s="373" t="e">
        <f t="shared" si="12"/>
        <v>#DIV/0!</v>
      </c>
      <c r="BK41" s="373" t="e">
        <f t="shared" si="12"/>
        <v>#DIV/0!</v>
      </c>
      <c r="BL41" s="373" t="e">
        <f t="shared" si="12"/>
        <v>#DIV/0!</v>
      </c>
      <c r="BM41" s="373" t="e">
        <f t="shared" si="12"/>
        <v>#DIV/0!</v>
      </c>
      <c r="BN41" s="373" t="e">
        <f t="shared" si="12"/>
        <v>#DIV/0!</v>
      </c>
      <c r="BO41" s="373" t="e">
        <f t="shared" si="12"/>
        <v>#DIV/0!</v>
      </c>
      <c r="BP41" s="373" t="e">
        <f t="shared" si="12"/>
        <v>#DIV/0!</v>
      </c>
      <c r="BQ41" s="373" t="e">
        <f t="shared" si="13"/>
        <v>#DIV/0!</v>
      </c>
      <c r="BR41" s="373" t="e">
        <f t="shared" si="13"/>
        <v>#DIV/0!</v>
      </c>
      <c r="BS41" s="373" t="e">
        <f t="shared" si="13"/>
        <v>#DIV/0!</v>
      </c>
      <c r="BT41" s="373" t="e">
        <f t="shared" si="13"/>
        <v>#DIV/0!</v>
      </c>
      <c r="BU41" s="373" t="e">
        <f t="shared" si="13"/>
        <v>#DIV/0!</v>
      </c>
      <c r="BV41" s="373" t="e">
        <f t="shared" si="13"/>
        <v>#DIV/0!</v>
      </c>
      <c r="BW41" s="373" t="e">
        <f t="shared" si="13"/>
        <v>#DIV/0!</v>
      </c>
      <c r="BX41" s="373" t="e">
        <f t="shared" si="13"/>
        <v>#DIV/0!</v>
      </c>
      <c r="BY41" s="373" t="e">
        <f t="shared" si="13"/>
        <v>#DIV/0!</v>
      </c>
      <c r="BZ41" s="373" t="e">
        <f t="shared" si="13"/>
        <v>#DIV/0!</v>
      </c>
      <c r="CA41" s="373" t="e">
        <f t="shared" si="13"/>
        <v>#DIV/0!</v>
      </c>
      <c r="CB41" s="373" t="e">
        <f t="shared" si="13"/>
        <v>#DIV/0!</v>
      </c>
      <c r="CC41" s="373" t="e">
        <f t="shared" si="13"/>
        <v>#DIV/0!</v>
      </c>
      <c r="CD41" s="373" t="e">
        <f t="shared" si="13"/>
        <v>#DIV/0!</v>
      </c>
      <c r="CE41" s="373" t="e">
        <f t="shared" si="13"/>
        <v>#DIV/0!</v>
      </c>
      <c r="CF41" s="373" t="e">
        <f t="shared" si="13"/>
        <v>#DIV/0!</v>
      </c>
    </row>
    <row r="43" spans="3:84">
      <c r="C43" s="360" t="s">
        <v>260</v>
      </c>
    </row>
    <row r="44" spans="3:84">
      <c r="D44" s="373"/>
      <c r="E44" s="372">
        <v>2010</v>
      </c>
      <c r="F44" s="372">
        <v>2011</v>
      </c>
      <c r="G44" s="372">
        <v>2012</v>
      </c>
      <c r="H44" s="372">
        <v>2013</v>
      </c>
      <c r="I44" s="372">
        <v>2014</v>
      </c>
      <c r="J44" s="372">
        <v>2015</v>
      </c>
      <c r="K44" s="372">
        <v>2016</v>
      </c>
      <c r="L44" s="372">
        <v>2017</v>
      </c>
      <c r="M44" s="372">
        <v>2018</v>
      </c>
      <c r="N44" s="372">
        <v>2019</v>
      </c>
      <c r="O44" s="372">
        <v>2020</v>
      </c>
      <c r="P44" s="372">
        <v>2021</v>
      </c>
      <c r="Q44" s="372">
        <v>2022</v>
      </c>
      <c r="R44" s="372">
        <v>2023</v>
      </c>
      <c r="S44" s="372">
        <v>2024</v>
      </c>
      <c r="T44" s="372">
        <v>2025</v>
      </c>
      <c r="U44" s="372">
        <v>2026</v>
      </c>
      <c r="V44" s="372">
        <v>2027</v>
      </c>
      <c r="W44" s="372">
        <v>2028</v>
      </c>
      <c r="X44" s="372">
        <v>2029</v>
      </c>
      <c r="Y44" s="372">
        <v>2030</v>
      </c>
      <c r="Z44" s="372">
        <v>2031</v>
      </c>
      <c r="AA44" s="372">
        <v>2032</v>
      </c>
      <c r="AB44" s="372">
        <v>2033</v>
      </c>
      <c r="AC44" s="372">
        <v>2034</v>
      </c>
      <c r="AD44" s="372">
        <v>2035</v>
      </c>
      <c r="AE44" s="372">
        <v>2036</v>
      </c>
      <c r="AF44" s="372">
        <v>2037</v>
      </c>
      <c r="AG44" s="372">
        <v>2038</v>
      </c>
      <c r="AH44" s="372">
        <v>2039</v>
      </c>
      <c r="AI44" s="372">
        <v>2040</v>
      </c>
      <c r="AJ44" s="372">
        <v>2041</v>
      </c>
      <c r="AK44" s="372">
        <v>2042</v>
      </c>
      <c r="AL44" s="372">
        <v>2043</v>
      </c>
      <c r="AM44" s="372">
        <v>2044</v>
      </c>
      <c r="AN44" s="372">
        <v>2045</v>
      </c>
      <c r="AO44" s="372">
        <v>2046</v>
      </c>
      <c r="AP44" s="372">
        <v>2047</v>
      </c>
      <c r="AQ44" s="372">
        <v>2048</v>
      </c>
      <c r="AR44" s="372">
        <v>2049</v>
      </c>
      <c r="AS44" s="372">
        <v>2050</v>
      </c>
      <c r="AT44" s="372">
        <v>2051</v>
      </c>
      <c r="AU44" s="372">
        <v>2052</v>
      </c>
      <c r="AV44" s="372">
        <v>2053</v>
      </c>
      <c r="AW44" s="372">
        <v>2054</v>
      </c>
      <c r="AX44" s="372">
        <v>2055</v>
      </c>
      <c r="AY44" s="372">
        <v>2056</v>
      </c>
      <c r="AZ44" s="372">
        <v>2057</v>
      </c>
      <c r="BA44" s="372">
        <v>2058</v>
      </c>
      <c r="BB44" s="372">
        <v>2059</v>
      </c>
      <c r="BC44" s="372">
        <v>2060</v>
      </c>
      <c r="BD44" s="372">
        <v>2061</v>
      </c>
      <c r="BE44" s="372">
        <v>2062</v>
      </c>
      <c r="BF44" s="372">
        <v>2063</v>
      </c>
      <c r="BG44" s="372">
        <v>2064</v>
      </c>
      <c r="BH44" s="372">
        <v>2065</v>
      </c>
      <c r="BI44" s="372">
        <v>2066</v>
      </c>
      <c r="BJ44" s="372">
        <v>2067</v>
      </c>
      <c r="BK44" s="372">
        <v>2068</v>
      </c>
      <c r="BL44" s="372">
        <v>2069</v>
      </c>
      <c r="BM44" s="372">
        <v>2070</v>
      </c>
      <c r="BN44" s="372">
        <v>2071</v>
      </c>
      <c r="BO44" s="372">
        <v>2072</v>
      </c>
      <c r="BP44" s="372">
        <v>2073</v>
      </c>
      <c r="BQ44" s="372">
        <v>2074</v>
      </c>
      <c r="BR44" s="372">
        <v>2075</v>
      </c>
      <c r="BS44" s="372">
        <v>2076</v>
      </c>
      <c r="BT44" s="372">
        <v>2077</v>
      </c>
      <c r="BU44" s="372">
        <v>2078</v>
      </c>
      <c r="BV44" s="372">
        <v>2079</v>
      </c>
      <c r="BW44" s="372">
        <v>2080</v>
      </c>
      <c r="BX44" s="372">
        <v>2081</v>
      </c>
      <c r="BY44" s="372">
        <v>2082</v>
      </c>
      <c r="BZ44" s="372">
        <v>2083</v>
      </c>
      <c r="CA44" s="372">
        <v>2084</v>
      </c>
      <c r="CB44" s="372">
        <v>2085</v>
      </c>
      <c r="CC44" s="372">
        <v>2086</v>
      </c>
      <c r="CD44" s="372">
        <v>2087</v>
      </c>
      <c r="CE44" s="372">
        <v>2088</v>
      </c>
      <c r="CF44" s="372">
        <v>2089</v>
      </c>
    </row>
    <row r="45" spans="3:84">
      <c r="D45" s="373" t="s">
        <v>87</v>
      </c>
      <c r="E45" s="373" t="e">
        <f>E38*$E$11</f>
        <v>#DIV/0!</v>
      </c>
      <c r="F45" s="373" t="e">
        <f t="shared" ref="F45:BQ48" si="14">F38*$E$11</f>
        <v>#DIV/0!</v>
      </c>
      <c r="G45" s="373" t="e">
        <f t="shared" si="14"/>
        <v>#DIV/0!</v>
      </c>
      <c r="H45" s="373" t="e">
        <f t="shared" si="14"/>
        <v>#DIV/0!</v>
      </c>
      <c r="I45" s="373" t="e">
        <f t="shared" si="14"/>
        <v>#DIV/0!</v>
      </c>
      <c r="J45" s="373" t="e">
        <f t="shared" si="14"/>
        <v>#DIV/0!</v>
      </c>
      <c r="K45" s="373" t="e">
        <f t="shared" si="14"/>
        <v>#DIV/0!</v>
      </c>
      <c r="L45" s="373" t="e">
        <f t="shared" si="14"/>
        <v>#DIV/0!</v>
      </c>
      <c r="M45" s="373" t="e">
        <f t="shared" si="14"/>
        <v>#DIV/0!</v>
      </c>
      <c r="N45" s="373" t="e">
        <f t="shared" si="14"/>
        <v>#DIV/0!</v>
      </c>
      <c r="O45" s="373" t="e">
        <f t="shared" si="14"/>
        <v>#DIV/0!</v>
      </c>
      <c r="P45" s="373" t="e">
        <f t="shared" si="14"/>
        <v>#DIV/0!</v>
      </c>
      <c r="Q45" s="373" t="e">
        <f t="shared" si="14"/>
        <v>#DIV/0!</v>
      </c>
      <c r="R45" s="373" t="e">
        <f t="shared" si="14"/>
        <v>#DIV/0!</v>
      </c>
      <c r="S45" s="373" t="e">
        <f t="shared" si="14"/>
        <v>#DIV/0!</v>
      </c>
      <c r="T45" s="373" t="e">
        <f t="shared" si="14"/>
        <v>#DIV/0!</v>
      </c>
      <c r="U45" s="373" t="e">
        <f t="shared" si="14"/>
        <v>#DIV/0!</v>
      </c>
      <c r="V45" s="373" t="e">
        <f t="shared" si="14"/>
        <v>#DIV/0!</v>
      </c>
      <c r="W45" s="373" t="e">
        <f t="shared" si="14"/>
        <v>#DIV/0!</v>
      </c>
      <c r="X45" s="373" t="e">
        <f t="shared" si="14"/>
        <v>#DIV/0!</v>
      </c>
      <c r="Y45" s="373" t="e">
        <f t="shared" si="14"/>
        <v>#DIV/0!</v>
      </c>
      <c r="Z45" s="373" t="e">
        <f t="shared" si="14"/>
        <v>#DIV/0!</v>
      </c>
      <c r="AA45" s="373" t="e">
        <f t="shared" si="14"/>
        <v>#DIV/0!</v>
      </c>
      <c r="AB45" s="373" t="e">
        <f t="shared" si="14"/>
        <v>#DIV/0!</v>
      </c>
      <c r="AC45" s="373" t="e">
        <f t="shared" si="14"/>
        <v>#DIV/0!</v>
      </c>
      <c r="AD45" s="373" t="e">
        <f t="shared" si="14"/>
        <v>#DIV/0!</v>
      </c>
      <c r="AE45" s="373" t="e">
        <f t="shared" si="14"/>
        <v>#DIV/0!</v>
      </c>
      <c r="AF45" s="373" t="e">
        <f t="shared" si="14"/>
        <v>#DIV/0!</v>
      </c>
      <c r="AG45" s="373" t="e">
        <f t="shared" si="14"/>
        <v>#DIV/0!</v>
      </c>
      <c r="AH45" s="373" t="e">
        <f t="shared" si="14"/>
        <v>#DIV/0!</v>
      </c>
      <c r="AI45" s="373" t="e">
        <f t="shared" si="14"/>
        <v>#DIV/0!</v>
      </c>
      <c r="AJ45" s="373" t="e">
        <f t="shared" si="14"/>
        <v>#DIV/0!</v>
      </c>
      <c r="AK45" s="373" t="e">
        <f t="shared" si="14"/>
        <v>#DIV/0!</v>
      </c>
      <c r="AL45" s="373" t="e">
        <f t="shared" si="14"/>
        <v>#DIV/0!</v>
      </c>
      <c r="AM45" s="373" t="e">
        <f t="shared" si="14"/>
        <v>#DIV/0!</v>
      </c>
      <c r="AN45" s="373" t="e">
        <f t="shared" si="14"/>
        <v>#DIV/0!</v>
      </c>
      <c r="AO45" s="373" t="e">
        <f t="shared" si="14"/>
        <v>#DIV/0!</v>
      </c>
      <c r="AP45" s="373" t="e">
        <f t="shared" si="14"/>
        <v>#DIV/0!</v>
      </c>
      <c r="AQ45" s="373" t="e">
        <f t="shared" si="14"/>
        <v>#DIV/0!</v>
      </c>
      <c r="AR45" s="373" t="e">
        <f t="shared" si="14"/>
        <v>#DIV/0!</v>
      </c>
      <c r="AS45" s="373" t="e">
        <f t="shared" si="14"/>
        <v>#DIV/0!</v>
      </c>
      <c r="AT45" s="373" t="e">
        <f t="shared" si="14"/>
        <v>#DIV/0!</v>
      </c>
      <c r="AU45" s="373" t="e">
        <f t="shared" si="14"/>
        <v>#DIV/0!</v>
      </c>
      <c r="AV45" s="373" t="e">
        <f t="shared" si="14"/>
        <v>#DIV/0!</v>
      </c>
      <c r="AW45" s="373" t="e">
        <f t="shared" si="14"/>
        <v>#DIV/0!</v>
      </c>
      <c r="AX45" s="373" t="e">
        <f t="shared" si="14"/>
        <v>#DIV/0!</v>
      </c>
      <c r="AY45" s="373" t="e">
        <f t="shared" si="14"/>
        <v>#DIV/0!</v>
      </c>
      <c r="AZ45" s="373" t="e">
        <f t="shared" si="14"/>
        <v>#DIV/0!</v>
      </c>
      <c r="BA45" s="373" t="e">
        <f t="shared" si="14"/>
        <v>#DIV/0!</v>
      </c>
      <c r="BB45" s="373" t="e">
        <f t="shared" si="14"/>
        <v>#DIV/0!</v>
      </c>
      <c r="BC45" s="373" t="e">
        <f t="shared" si="14"/>
        <v>#DIV/0!</v>
      </c>
      <c r="BD45" s="373" t="e">
        <f t="shared" si="14"/>
        <v>#DIV/0!</v>
      </c>
      <c r="BE45" s="373" t="e">
        <f t="shared" si="14"/>
        <v>#DIV/0!</v>
      </c>
      <c r="BF45" s="373" t="e">
        <f t="shared" si="14"/>
        <v>#DIV/0!</v>
      </c>
      <c r="BG45" s="373" t="e">
        <f t="shared" si="14"/>
        <v>#DIV/0!</v>
      </c>
      <c r="BH45" s="373" t="e">
        <f t="shared" si="14"/>
        <v>#DIV/0!</v>
      </c>
      <c r="BI45" s="373" t="e">
        <f t="shared" si="14"/>
        <v>#DIV/0!</v>
      </c>
      <c r="BJ45" s="373" t="e">
        <f t="shared" si="14"/>
        <v>#DIV/0!</v>
      </c>
      <c r="BK45" s="373" t="e">
        <f t="shared" si="14"/>
        <v>#DIV/0!</v>
      </c>
      <c r="BL45" s="373" t="e">
        <f t="shared" si="14"/>
        <v>#DIV/0!</v>
      </c>
      <c r="BM45" s="373" t="e">
        <f t="shared" si="14"/>
        <v>#DIV/0!</v>
      </c>
      <c r="BN45" s="373" t="e">
        <f t="shared" si="14"/>
        <v>#DIV/0!</v>
      </c>
      <c r="BO45" s="373" t="e">
        <f t="shared" si="14"/>
        <v>#DIV/0!</v>
      </c>
      <c r="BP45" s="373" t="e">
        <f t="shared" si="14"/>
        <v>#DIV/0!</v>
      </c>
      <c r="BQ45" s="373" t="e">
        <f t="shared" si="14"/>
        <v>#DIV/0!</v>
      </c>
      <c r="BR45" s="373" t="e">
        <f t="shared" ref="BR45:CF48" si="15">BR38*$E$11</f>
        <v>#DIV/0!</v>
      </c>
      <c r="BS45" s="373" t="e">
        <f t="shared" si="15"/>
        <v>#DIV/0!</v>
      </c>
      <c r="BT45" s="373" t="e">
        <f t="shared" si="15"/>
        <v>#DIV/0!</v>
      </c>
      <c r="BU45" s="373" t="e">
        <f t="shared" si="15"/>
        <v>#DIV/0!</v>
      </c>
      <c r="BV45" s="373" t="e">
        <f t="shared" si="15"/>
        <v>#DIV/0!</v>
      </c>
      <c r="BW45" s="373" t="e">
        <f t="shared" si="15"/>
        <v>#DIV/0!</v>
      </c>
      <c r="BX45" s="373" t="e">
        <f t="shared" si="15"/>
        <v>#DIV/0!</v>
      </c>
      <c r="BY45" s="373" t="e">
        <f t="shared" si="15"/>
        <v>#DIV/0!</v>
      </c>
      <c r="BZ45" s="373" t="e">
        <f t="shared" si="15"/>
        <v>#DIV/0!</v>
      </c>
      <c r="CA45" s="373" t="e">
        <f t="shared" si="15"/>
        <v>#DIV/0!</v>
      </c>
      <c r="CB45" s="373" t="e">
        <f t="shared" si="15"/>
        <v>#DIV/0!</v>
      </c>
      <c r="CC45" s="373" t="e">
        <f t="shared" si="15"/>
        <v>#DIV/0!</v>
      </c>
      <c r="CD45" s="373" t="e">
        <f t="shared" si="15"/>
        <v>#DIV/0!</v>
      </c>
      <c r="CE45" s="373" t="e">
        <f t="shared" si="15"/>
        <v>#DIV/0!</v>
      </c>
      <c r="CF45" s="373" t="e">
        <f t="shared" si="15"/>
        <v>#DIV/0!</v>
      </c>
    </row>
    <row r="46" spans="3:84">
      <c r="D46" s="373" t="s">
        <v>89</v>
      </c>
      <c r="E46" s="373" t="e">
        <f>E39*$E$11</f>
        <v>#DIV/0!</v>
      </c>
      <c r="F46" s="373" t="e">
        <f t="shared" si="14"/>
        <v>#DIV/0!</v>
      </c>
      <c r="G46" s="373" t="e">
        <f t="shared" si="14"/>
        <v>#DIV/0!</v>
      </c>
      <c r="H46" s="373" t="e">
        <f t="shared" si="14"/>
        <v>#DIV/0!</v>
      </c>
      <c r="I46" s="373" t="e">
        <f t="shared" si="14"/>
        <v>#DIV/0!</v>
      </c>
      <c r="J46" s="373" t="e">
        <f t="shared" si="14"/>
        <v>#DIV/0!</v>
      </c>
      <c r="K46" s="373" t="e">
        <f t="shared" si="14"/>
        <v>#DIV/0!</v>
      </c>
      <c r="L46" s="373" t="e">
        <f t="shared" si="14"/>
        <v>#DIV/0!</v>
      </c>
      <c r="M46" s="373" t="e">
        <f t="shared" si="14"/>
        <v>#DIV/0!</v>
      </c>
      <c r="N46" s="373" t="e">
        <f t="shared" si="14"/>
        <v>#DIV/0!</v>
      </c>
      <c r="O46" s="373" t="e">
        <f t="shared" si="14"/>
        <v>#DIV/0!</v>
      </c>
      <c r="P46" s="373" t="e">
        <f t="shared" si="14"/>
        <v>#DIV/0!</v>
      </c>
      <c r="Q46" s="373" t="e">
        <f t="shared" si="14"/>
        <v>#DIV/0!</v>
      </c>
      <c r="R46" s="373" t="e">
        <f t="shared" si="14"/>
        <v>#DIV/0!</v>
      </c>
      <c r="S46" s="373" t="e">
        <f t="shared" si="14"/>
        <v>#DIV/0!</v>
      </c>
      <c r="T46" s="373" t="e">
        <f t="shared" si="14"/>
        <v>#DIV/0!</v>
      </c>
      <c r="U46" s="373" t="e">
        <f t="shared" si="14"/>
        <v>#DIV/0!</v>
      </c>
      <c r="V46" s="373" t="e">
        <f t="shared" si="14"/>
        <v>#DIV/0!</v>
      </c>
      <c r="W46" s="373" t="e">
        <f t="shared" si="14"/>
        <v>#DIV/0!</v>
      </c>
      <c r="X46" s="373" t="e">
        <f t="shared" si="14"/>
        <v>#DIV/0!</v>
      </c>
      <c r="Y46" s="373" t="e">
        <f t="shared" si="14"/>
        <v>#DIV/0!</v>
      </c>
      <c r="Z46" s="373" t="e">
        <f t="shared" si="14"/>
        <v>#DIV/0!</v>
      </c>
      <c r="AA46" s="373" t="e">
        <f t="shared" si="14"/>
        <v>#DIV/0!</v>
      </c>
      <c r="AB46" s="373" t="e">
        <f t="shared" si="14"/>
        <v>#DIV/0!</v>
      </c>
      <c r="AC46" s="373" t="e">
        <f t="shared" si="14"/>
        <v>#DIV/0!</v>
      </c>
      <c r="AD46" s="373" t="e">
        <f t="shared" si="14"/>
        <v>#DIV/0!</v>
      </c>
      <c r="AE46" s="373" t="e">
        <f t="shared" si="14"/>
        <v>#DIV/0!</v>
      </c>
      <c r="AF46" s="373" t="e">
        <f t="shared" si="14"/>
        <v>#DIV/0!</v>
      </c>
      <c r="AG46" s="373" t="e">
        <f t="shared" si="14"/>
        <v>#DIV/0!</v>
      </c>
      <c r="AH46" s="373" t="e">
        <f t="shared" si="14"/>
        <v>#DIV/0!</v>
      </c>
      <c r="AI46" s="373" t="e">
        <f t="shared" si="14"/>
        <v>#DIV/0!</v>
      </c>
      <c r="AJ46" s="373" t="e">
        <f t="shared" si="14"/>
        <v>#DIV/0!</v>
      </c>
      <c r="AK46" s="373" t="e">
        <f t="shared" si="14"/>
        <v>#DIV/0!</v>
      </c>
      <c r="AL46" s="373" t="e">
        <f t="shared" si="14"/>
        <v>#DIV/0!</v>
      </c>
      <c r="AM46" s="373" t="e">
        <f t="shared" si="14"/>
        <v>#DIV/0!</v>
      </c>
      <c r="AN46" s="373" t="e">
        <f t="shared" si="14"/>
        <v>#DIV/0!</v>
      </c>
      <c r="AO46" s="373" t="e">
        <f t="shared" si="14"/>
        <v>#DIV/0!</v>
      </c>
      <c r="AP46" s="373" t="e">
        <f t="shared" si="14"/>
        <v>#DIV/0!</v>
      </c>
      <c r="AQ46" s="373" t="e">
        <f t="shared" si="14"/>
        <v>#DIV/0!</v>
      </c>
      <c r="AR46" s="373" t="e">
        <f t="shared" si="14"/>
        <v>#DIV/0!</v>
      </c>
      <c r="AS46" s="373" t="e">
        <f t="shared" si="14"/>
        <v>#DIV/0!</v>
      </c>
      <c r="AT46" s="373" t="e">
        <f t="shared" si="14"/>
        <v>#DIV/0!</v>
      </c>
      <c r="AU46" s="373" t="e">
        <f t="shared" si="14"/>
        <v>#DIV/0!</v>
      </c>
      <c r="AV46" s="373" t="e">
        <f t="shared" si="14"/>
        <v>#DIV/0!</v>
      </c>
      <c r="AW46" s="373" t="e">
        <f t="shared" si="14"/>
        <v>#DIV/0!</v>
      </c>
      <c r="AX46" s="373" t="e">
        <f t="shared" si="14"/>
        <v>#DIV/0!</v>
      </c>
      <c r="AY46" s="373" t="e">
        <f t="shared" si="14"/>
        <v>#DIV/0!</v>
      </c>
      <c r="AZ46" s="373" t="e">
        <f t="shared" si="14"/>
        <v>#DIV/0!</v>
      </c>
      <c r="BA46" s="373" t="e">
        <f t="shared" si="14"/>
        <v>#DIV/0!</v>
      </c>
      <c r="BB46" s="373" t="e">
        <f t="shared" si="14"/>
        <v>#DIV/0!</v>
      </c>
      <c r="BC46" s="373" t="e">
        <f t="shared" si="14"/>
        <v>#DIV/0!</v>
      </c>
      <c r="BD46" s="373" t="e">
        <f t="shared" si="14"/>
        <v>#DIV/0!</v>
      </c>
      <c r="BE46" s="373" t="e">
        <f t="shared" si="14"/>
        <v>#DIV/0!</v>
      </c>
      <c r="BF46" s="373" t="e">
        <f t="shared" si="14"/>
        <v>#DIV/0!</v>
      </c>
      <c r="BG46" s="373" t="e">
        <f t="shared" si="14"/>
        <v>#DIV/0!</v>
      </c>
      <c r="BH46" s="373" t="e">
        <f t="shared" si="14"/>
        <v>#DIV/0!</v>
      </c>
      <c r="BI46" s="373" t="e">
        <f t="shared" si="14"/>
        <v>#DIV/0!</v>
      </c>
      <c r="BJ46" s="373" t="e">
        <f t="shared" si="14"/>
        <v>#DIV/0!</v>
      </c>
      <c r="BK46" s="373" t="e">
        <f t="shared" si="14"/>
        <v>#DIV/0!</v>
      </c>
      <c r="BL46" s="373" t="e">
        <f t="shared" si="14"/>
        <v>#DIV/0!</v>
      </c>
      <c r="BM46" s="373" t="e">
        <f t="shared" si="14"/>
        <v>#DIV/0!</v>
      </c>
      <c r="BN46" s="373" t="e">
        <f t="shared" si="14"/>
        <v>#DIV/0!</v>
      </c>
      <c r="BO46" s="373" t="e">
        <f t="shared" si="14"/>
        <v>#DIV/0!</v>
      </c>
      <c r="BP46" s="373" t="e">
        <f t="shared" si="14"/>
        <v>#DIV/0!</v>
      </c>
      <c r="BQ46" s="373" t="e">
        <f t="shared" si="14"/>
        <v>#DIV/0!</v>
      </c>
      <c r="BR46" s="373" t="e">
        <f t="shared" si="15"/>
        <v>#DIV/0!</v>
      </c>
      <c r="BS46" s="373" t="e">
        <f t="shared" si="15"/>
        <v>#DIV/0!</v>
      </c>
      <c r="BT46" s="373" t="e">
        <f t="shared" si="15"/>
        <v>#DIV/0!</v>
      </c>
      <c r="BU46" s="373" t="e">
        <f t="shared" si="15"/>
        <v>#DIV/0!</v>
      </c>
      <c r="BV46" s="373" t="e">
        <f t="shared" si="15"/>
        <v>#DIV/0!</v>
      </c>
      <c r="BW46" s="373" t="e">
        <f t="shared" si="15"/>
        <v>#DIV/0!</v>
      </c>
      <c r="BX46" s="373" t="e">
        <f t="shared" si="15"/>
        <v>#DIV/0!</v>
      </c>
      <c r="BY46" s="373" t="e">
        <f t="shared" si="15"/>
        <v>#DIV/0!</v>
      </c>
      <c r="BZ46" s="373" t="e">
        <f t="shared" si="15"/>
        <v>#DIV/0!</v>
      </c>
      <c r="CA46" s="373" t="e">
        <f t="shared" si="15"/>
        <v>#DIV/0!</v>
      </c>
      <c r="CB46" s="373" t="e">
        <f t="shared" si="15"/>
        <v>#DIV/0!</v>
      </c>
      <c r="CC46" s="373" t="e">
        <f t="shared" si="15"/>
        <v>#DIV/0!</v>
      </c>
      <c r="CD46" s="373" t="e">
        <f t="shared" si="15"/>
        <v>#DIV/0!</v>
      </c>
      <c r="CE46" s="373" t="e">
        <f t="shared" si="15"/>
        <v>#DIV/0!</v>
      </c>
      <c r="CF46" s="373" t="e">
        <f t="shared" si="15"/>
        <v>#DIV/0!</v>
      </c>
    </row>
    <row r="47" spans="3:84">
      <c r="D47" s="373" t="s">
        <v>91</v>
      </c>
      <c r="E47" s="373" t="e">
        <f>E40*$E$11</f>
        <v>#DIV/0!</v>
      </c>
      <c r="F47" s="373" t="e">
        <f t="shared" si="14"/>
        <v>#DIV/0!</v>
      </c>
      <c r="G47" s="373" t="e">
        <f t="shared" si="14"/>
        <v>#DIV/0!</v>
      </c>
      <c r="H47" s="373" t="e">
        <f t="shared" si="14"/>
        <v>#DIV/0!</v>
      </c>
      <c r="I47" s="373" t="e">
        <f t="shared" si="14"/>
        <v>#DIV/0!</v>
      </c>
      <c r="J47" s="373" t="e">
        <f t="shared" si="14"/>
        <v>#DIV/0!</v>
      </c>
      <c r="K47" s="373" t="e">
        <f t="shared" si="14"/>
        <v>#DIV/0!</v>
      </c>
      <c r="L47" s="373" t="e">
        <f t="shared" si="14"/>
        <v>#DIV/0!</v>
      </c>
      <c r="M47" s="373" t="e">
        <f t="shared" si="14"/>
        <v>#DIV/0!</v>
      </c>
      <c r="N47" s="373" t="e">
        <f t="shared" si="14"/>
        <v>#DIV/0!</v>
      </c>
      <c r="O47" s="373" t="e">
        <f t="shared" si="14"/>
        <v>#DIV/0!</v>
      </c>
      <c r="P47" s="373" t="e">
        <f t="shared" si="14"/>
        <v>#DIV/0!</v>
      </c>
      <c r="Q47" s="373" t="e">
        <f t="shared" si="14"/>
        <v>#DIV/0!</v>
      </c>
      <c r="R47" s="373" t="e">
        <f t="shared" si="14"/>
        <v>#DIV/0!</v>
      </c>
      <c r="S47" s="373" t="e">
        <f t="shared" si="14"/>
        <v>#DIV/0!</v>
      </c>
      <c r="T47" s="373" t="e">
        <f t="shared" si="14"/>
        <v>#DIV/0!</v>
      </c>
      <c r="U47" s="373" t="e">
        <f t="shared" si="14"/>
        <v>#DIV/0!</v>
      </c>
      <c r="V47" s="373" t="e">
        <f t="shared" si="14"/>
        <v>#DIV/0!</v>
      </c>
      <c r="W47" s="373" t="e">
        <f t="shared" si="14"/>
        <v>#DIV/0!</v>
      </c>
      <c r="X47" s="373" t="e">
        <f t="shared" si="14"/>
        <v>#DIV/0!</v>
      </c>
      <c r="Y47" s="373" t="e">
        <f t="shared" si="14"/>
        <v>#DIV/0!</v>
      </c>
      <c r="Z47" s="373" t="e">
        <f t="shared" si="14"/>
        <v>#DIV/0!</v>
      </c>
      <c r="AA47" s="373" t="e">
        <f t="shared" si="14"/>
        <v>#DIV/0!</v>
      </c>
      <c r="AB47" s="373" t="e">
        <f t="shared" si="14"/>
        <v>#DIV/0!</v>
      </c>
      <c r="AC47" s="373" t="e">
        <f t="shared" si="14"/>
        <v>#DIV/0!</v>
      </c>
      <c r="AD47" s="373" t="e">
        <f t="shared" si="14"/>
        <v>#DIV/0!</v>
      </c>
      <c r="AE47" s="373" t="e">
        <f t="shared" si="14"/>
        <v>#DIV/0!</v>
      </c>
      <c r="AF47" s="373" t="e">
        <f t="shared" si="14"/>
        <v>#DIV/0!</v>
      </c>
      <c r="AG47" s="373" t="e">
        <f t="shared" si="14"/>
        <v>#DIV/0!</v>
      </c>
      <c r="AH47" s="373" t="e">
        <f t="shared" si="14"/>
        <v>#DIV/0!</v>
      </c>
      <c r="AI47" s="373" t="e">
        <f t="shared" si="14"/>
        <v>#DIV/0!</v>
      </c>
      <c r="AJ47" s="373" t="e">
        <f t="shared" si="14"/>
        <v>#DIV/0!</v>
      </c>
      <c r="AK47" s="373" t="e">
        <f t="shared" si="14"/>
        <v>#DIV/0!</v>
      </c>
      <c r="AL47" s="373" t="e">
        <f t="shared" si="14"/>
        <v>#DIV/0!</v>
      </c>
      <c r="AM47" s="373" t="e">
        <f t="shared" si="14"/>
        <v>#DIV/0!</v>
      </c>
      <c r="AN47" s="373" t="e">
        <f t="shared" si="14"/>
        <v>#DIV/0!</v>
      </c>
      <c r="AO47" s="373" t="e">
        <f t="shared" si="14"/>
        <v>#DIV/0!</v>
      </c>
      <c r="AP47" s="373" t="e">
        <f t="shared" si="14"/>
        <v>#DIV/0!</v>
      </c>
      <c r="AQ47" s="373" t="e">
        <f t="shared" si="14"/>
        <v>#DIV/0!</v>
      </c>
      <c r="AR47" s="373" t="e">
        <f t="shared" si="14"/>
        <v>#DIV/0!</v>
      </c>
      <c r="AS47" s="373" t="e">
        <f t="shared" si="14"/>
        <v>#DIV/0!</v>
      </c>
      <c r="AT47" s="373" t="e">
        <f t="shared" si="14"/>
        <v>#DIV/0!</v>
      </c>
      <c r="AU47" s="373" t="e">
        <f t="shared" si="14"/>
        <v>#DIV/0!</v>
      </c>
      <c r="AV47" s="373" t="e">
        <f t="shared" si="14"/>
        <v>#DIV/0!</v>
      </c>
      <c r="AW47" s="373" t="e">
        <f t="shared" si="14"/>
        <v>#DIV/0!</v>
      </c>
      <c r="AX47" s="373" t="e">
        <f t="shared" si="14"/>
        <v>#DIV/0!</v>
      </c>
      <c r="AY47" s="373" t="e">
        <f t="shared" si="14"/>
        <v>#DIV/0!</v>
      </c>
      <c r="AZ47" s="373" t="e">
        <f t="shared" si="14"/>
        <v>#DIV/0!</v>
      </c>
      <c r="BA47" s="373" t="e">
        <f t="shared" si="14"/>
        <v>#DIV/0!</v>
      </c>
      <c r="BB47" s="373" t="e">
        <f t="shared" si="14"/>
        <v>#DIV/0!</v>
      </c>
      <c r="BC47" s="373" t="e">
        <f t="shared" si="14"/>
        <v>#DIV/0!</v>
      </c>
      <c r="BD47" s="373" t="e">
        <f t="shared" si="14"/>
        <v>#DIV/0!</v>
      </c>
      <c r="BE47" s="373" t="e">
        <f t="shared" si="14"/>
        <v>#DIV/0!</v>
      </c>
      <c r="BF47" s="373" t="e">
        <f t="shared" si="14"/>
        <v>#DIV/0!</v>
      </c>
      <c r="BG47" s="373" t="e">
        <f t="shared" si="14"/>
        <v>#DIV/0!</v>
      </c>
      <c r="BH47" s="373" t="e">
        <f t="shared" si="14"/>
        <v>#DIV/0!</v>
      </c>
      <c r="BI47" s="373" t="e">
        <f t="shared" si="14"/>
        <v>#DIV/0!</v>
      </c>
      <c r="BJ47" s="373" t="e">
        <f t="shared" si="14"/>
        <v>#DIV/0!</v>
      </c>
      <c r="BK47" s="373" t="e">
        <f t="shared" si="14"/>
        <v>#DIV/0!</v>
      </c>
      <c r="BL47" s="373" t="e">
        <f t="shared" si="14"/>
        <v>#DIV/0!</v>
      </c>
      <c r="BM47" s="373" t="e">
        <f t="shared" si="14"/>
        <v>#DIV/0!</v>
      </c>
      <c r="BN47" s="373" t="e">
        <f t="shared" si="14"/>
        <v>#DIV/0!</v>
      </c>
      <c r="BO47" s="373" t="e">
        <f t="shared" si="14"/>
        <v>#DIV/0!</v>
      </c>
      <c r="BP47" s="373" t="e">
        <f t="shared" si="14"/>
        <v>#DIV/0!</v>
      </c>
      <c r="BQ47" s="373" t="e">
        <f t="shared" si="14"/>
        <v>#DIV/0!</v>
      </c>
      <c r="BR47" s="373" t="e">
        <f t="shared" si="15"/>
        <v>#DIV/0!</v>
      </c>
      <c r="BS47" s="373" t="e">
        <f t="shared" si="15"/>
        <v>#DIV/0!</v>
      </c>
      <c r="BT47" s="373" t="e">
        <f t="shared" si="15"/>
        <v>#DIV/0!</v>
      </c>
      <c r="BU47" s="373" t="e">
        <f t="shared" si="15"/>
        <v>#DIV/0!</v>
      </c>
      <c r="BV47" s="373" t="e">
        <f t="shared" si="15"/>
        <v>#DIV/0!</v>
      </c>
      <c r="BW47" s="373" t="e">
        <f t="shared" si="15"/>
        <v>#DIV/0!</v>
      </c>
      <c r="BX47" s="373" t="e">
        <f t="shared" si="15"/>
        <v>#DIV/0!</v>
      </c>
      <c r="BY47" s="373" t="e">
        <f t="shared" si="15"/>
        <v>#DIV/0!</v>
      </c>
      <c r="BZ47" s="373" t="e">
        <f t="shared" si="15"/>
        <v>#DIV/0!</v>
      </c>
      <c r="CA47" s="373" t="e">
        <f t="shared" si="15"/>
        <v>#DIV/0!</v>
      </c>
      <c r="CB47" s="373" t="e">
        <f t="shared" si="15"/>
        <v>#DIV/0!</v>
      </c>
      <c r="CC47" s="373" t="e">
        <f t="shared" si="15"/>
        <v>#DIV/0!</v>
      </c>
      <c r="CD47" s="373" t="e">
        <f t="shared" si="15"/>
        <v>#DIV/0!</v>
      </c>
      <c r="CE47" s="373" t="e">
        <f t="shared" si="15"/>
        <v>#DIV/0!</v>
      </c>
      <c r="CF47" s="373" t="e">
        <f t="shared" si="15"/>
        <v>#DIV/0!</v>
      </c>
    </row>
    <row r="48" spans="3:84">
      <c r="D48" s="373" t="s">
        <v>93</v>
      </c>
      <c r="E48" s="373" t="e">
        <f>E41*$E$11</f>
        <v>#DIV/0!</v>
      </c>
      <c r="F48" s="373" t="e">
        <f t="shared" si="14"/>
        <v>#DIV/0!</v>
      </c>
      <c r="G48" s="373" t="e">
        <f t="shared" si="14"/>
        <v>#DIV/0!</v>
      </c>
      <c r="H48" s="373" t="e">
        <f t="shared" si="14"/>
        <v>#DIV/0!</v>
      </c>
      <c r="I48" s="373" t="e">
        <f t="shared" si="14"/>
        <v>#DIV/0!</v>
      </c>
      <c r="J48" s="373" t="e">
        <f t="shared" si="14"/>
        <v>#DIV/0!</v>
      </c>
      <c r="K48" s="373" t="e">
        <f t="shared" si="14"/>
        <v>#DIV/0!</v>
      </c>
      <c r="L48" s="373" t="e">
        <f t="shared" si="14"/>
        <v>#DIV/0!</v>
      </c>
      <c r="M48" s="373" t="e">
        <f t="shared" si="14"/>
        <v>#DIV/0!</v>
      </c>
      <c r="N48" s="373" t="e">
        <f t="shared" si="14"/>
        <v>#DIV/0!</v>
      </c>
      <c r="O48" s="373" t="e">
        <f t="shared" si="14"/>
        <v>#DIV/0!</v>
      </c>
      <c r="P48" s="373" t="e">
        <f t="shared" si="14"/>
        <v>#DIV/0!</v>
      </c>
      <c r="Q48" s="373" t="e">
        <f t="shared" si="14"/>
        <v>#DIV/0!</v>
      </c>
      <c r="R48" s="373" t="e">
        <f t="shared" si="14"/>
        <v>#DIV/0!</v>
      </c>
      <c r="S48" s="373" t="e">
        <f t="shared" si="14"/>
        <v>#DIV/0!</v>
      </c>
      <c r="T48" s="373" t="e">
        <f t="shared" si="14"/>
        <v>#DIV/0!</v>
      </c>
      <c r="U48" s="373" t="e">
        <f t="shared" si="14"/>
        <v>#DIV/0!</v>
      </c>
      <c r="V48" s="373" t="e">
        <f t="shared" si="14"/>
        <v>#DIV/0!</v>
      </c>
      <c r="W48" s="373" t="e">
        <f t="shared" si="14"/>
        <v>#DIV/0!</v>
      </c>
      <c r="X48" s="373" t="e">
        <f t="shared" si="14"/>
        <v>#DIV/0!</v>
      </c>
      <c r="Y48" s="373" t="e">
        <f t="shared" si="14"/>
        <v>#DIV/0!</v>
      </c>
      <c r="Z48" s="373" t="e">
        <f t="shared" si="14"/>
        <v>#DIV/0!</v>
      </c>
      <c r="AA48" s="373" t="e">
        <f t="shared" si="14"/>
        <v>#DIV/0!</v>
      </c>
      <c r="AB48" s="373" t="e">
        <f t="shared" si="14"/>
        <v>#DIV/0!</v>
      </c>
      <c r="AC48" s="373" t="e">
        <f t="shared" si="14"/>
        <v>#DIV/0!</v>
      </c>
      <c r="AD48" s="373" t="e">
        <f t="shared" si="14"/>
        <v>#DIV/0!</v>
      </c>
      <c r="AE48" s="373" t="e">
        <f t="shared" si="14"/>
        <v>#DIV/0!</v>
      </c>
      <c r="AF48" s="373" t="e">
        <f t="shared" si="14"/>
        <v>#DIV/0!</v>
      </c>
      <c r="AG48" s="373" t="e">
        <f t="shared" si="14"/>
        <v>#DIV/0!</v>
      </c>
      <c r="AH48" s="373" t="e">
        <f t="shared" si="14"/>
        <v>#DIV/0!</v>
      </c>
      <c r="AI48" s="373" t="e">
        <f t="shared" si="14"/>
        <v>#DIV/0!</v>
      </c>
      <c r="AJ48" s="373" t="e">
        <f t="shared" si="14"/>
        <v>#DIV/0!</v>
      </c>
      <c r="AK48" s="373" t="e">
        <f t="shared" si="14"/>
        <v>#DIV/0!</v>
      </c>
      <c r="AL48" s="373" t="e">
        <f t="shared" si="14"/>
        <v>#DIV/0!</v>
      </c>
      <c r="AM48" s="373" t="e">
        <f t="shared" si="14"/>
        <v>#DIV/0!</v>
      </c>
      <c r="AN48" s="373" t="e">
        <f t="shared" si="14"/>
        <v>#DIV/0!</v>
      </c>
      <c r="AO48" s="373" t="e">
        <f t="shared" si="14"/>
        <v>#DIV/0!</v>
      </c>
      <c r="AP48" s="373" t="e">
        <f t="shared" si="14"/>
        <v>#DIV/0!</v>
      </c>
      <c r="AQ48" s="373" t="e">
        <f t="shared" si="14"/>
        <v>#DIV/0!</v>
      </c>
      <c r="AR48" s="373" t="e">
        <f t="shared" si="14"/>
        <v>#DIV/0!</v>
      </c>
      <c r="AS48" s="373" t="e">
        <f t="shared" si="14"/>
        <v>#DIV/0!</v>
      </c>
      <c r="AT48" s="373" t="e">
        <f t="shared" si="14"/>
        <v>#DIV/0!</v>
      </c>
      <c r="AU48" s="373" t="e">
        <f t="shared" si="14"/>
        <v>#DIV/0!</v>
      </c>
      <c r="AV48" s="373" t="e">
        <f t="shared" si="14"/>
        <v>#DIV/0!</v>
      </c>
      <c r="AW48" s="373" t="e">
        <f t="shared" si="14"/>
        <v>#DIV/0!</v>
      </c>
      <c r="AX48" s="373" t="e">
        <f t="shared" si="14"/>
        <v>#DIV/0!</v>
      </c>
      <c r="AY48" s="373" t="e">
        <f t="shared" si="14"/>
        <v>#DIV/0!</v>
      </c>
      <c r="AZ48" s="373" t="e">
        <f t="shared" si="14"/>
        <v>#DIV/0!</v>
      </c>
      <c r="BA48" s="373" t="e">
        <f t="shared" si="14"/>
        <v>#DIV/0!</v>
      </c>
      <c r="BB48" s="373" t="e">
        <f t="shared" si="14"/>
        <v>#DIV/0!</v>
      </c>
      <c r="BC48" s="373" t="e">
        <f t="shared" si="14"/>
        <v>#DIV/0!</v>
      </c>
      <c r="BD48" s="373" t="e">
        <f t="shared" si="14"/>
        <v>#DIV/0!</v>
      </c>
      <c r="BE48" s="373" t="e">
        <f t="shared" si="14"/>
        <v>#DIV/0!</v>
      </c>
      <c r="BF48" s="373" t="e">
        <f t="shared" si="14"/>
        <v>#DIV/0!</v>
      </c>
      <c r="BG48" s="373" t="e">
        <f t="shared" si="14"/>
        <v>#DIV/0!</v>
      </c>
      <c r="BH48" s="373" t="e">
        <f t="shared" si="14"/>
        <v>#DIV/0!</v>
      </c>
      <c r="BI48" s="373" t="e">
        <f t="shared" si="14"/>
        <v>#DIV/0!</v>
      </c>
      <c r="BJ48" s="373" t="e">
        <f t="shared" si="14"/>
        <v>#DIV/0!</v>
      </c>
      <c r="BK48" s="373" t="e">
        <f t="shared" si="14"/>
        <v>#DIV/0!</v>
      </c>
      <c r="BL48" s="373" t="e">
        <f t="shared" si="14"/>
        <v>#DIV/0!</v>
      </c>
      <c r="BM48" s="373" t="e">
        <f t="shared" si="14"/>
        <v>#DIV/0!</v>
      </c>
      <c r="BN48" s="373" t="e">
        <f t="shared" si="14"/>
        <v>#DIV/0!</v>
      </c>
      <c r="BO48" s="373" t="e">
        <f t="shared" si="14"/>
        <v>#DIV/0!</v>
      </c>
      <c r="BP48" s="373" t="e">
        <f t="shared" si="14"/>
        <v>#DIV/0!</v>
      </c>
      <c r="BQ48" s="373" t="e">
        <f>BQ41*$E$11</f>
        <v>#DIV/0!</v>
      </c>
      <c r="BR48" s="373" t="e">
        <f t="shared" si="15"/>
        <v>#DIV/0!</v>
      </c>
      <c r="BS48" s="373" t="e">
        <f t="shared" si="15"/>
        <v>#DIV/0!</v>
      </c>
      <c r="BT48" s="373" t="e">
        <f t="shared" si="15"/>
        <v>#DIV/0!</v>
      </c>
      <c r="BU48" s="373" t="e">
        <f t="shared" si="15"/>
        <v>#DIV/0!</v>
      </c>
      <c r="BV48" s="373" t="e">
        <f t="shared" si="15"/>
        <v>#DIV/0!</v>
      </c>
      <c r="BW48" s="373" t="e">
        <f t="shared" si="15"/>
        <v>#DIV/0!</v>
      </c>
      <c r="BX48" s="373" t="e">
        <f t="shared" si="15"/>
        <v>#DIV/0!</v>
      </c>
      <c r="BY48" s="373" t="e">
        <f t="shared" si="15"/>
        <v>#DIV/0!</v>
      </c>
      <c r="BZ48" s="373" t="e">
        <f t="shared" si="15"/>
        <v>#DIV/0!</v>
      </c>
      <c r="CA48" s="373" t="e">
        <f t="shared" si="15"/>
        <v>#DIV/0!</v>
      </c>
      <c r="CB48" s="373" t="e">
        <f t="shared" si="15"/>
        <v>#DIV/0!</v>
      </c>
      <c r="CC48" s="373" t="e">
        <f t="shared" si="15"/>
        <v>#DIV/0!</v>
      </c>
      <c r="CD48" s="373" t="e">
        <f t="shared" si="15"/>
        <v>#DIV/0!</v>
      </c>
      <c r="CE48" s="373" t="e">
        <f t="shared" si="15"/>
        <v>#DIV/0!</v>
      </c>
      <c r="CF48" s="373" t="e">
        <f t="shared" si="15"/>
        <v>#DIV/0!</v>
      </c>
    </row>
    <row r="50" spans="1:84">
      <c r="C50" s="360" t="s">
        <v>264</v>
      </c>
      <c r="D50" s="367"/>
      <c r="E50" s="367"/>
      <c r="F50" s="367"/>
      <c r="G50" s="381"/>
    </row>
    <row r="51" spans="1:84" s="377" customFormat="1">
      <c r="A51" s="379"/>
      <c r="B51" s="379"/>
      <c r="C51" s="379"/>
      <c r="D51" s="374"/>
      <c r="E51" s="375">
        <v>2010</v>
      </c>
      <c r="F51" s="376">
        <v>2011</v>
      </c>
      <c r="G51" s="376">
        <v>2012</v>
      </c>
      <c r="H51" s="376">
        <v>2013</v>
      </c>
      <c r="I51" s="376">
        <v>2014</v>
      </c>
      <c r="J51" s="376">
        <v>2015</v>
      </c>
      <c r="K51" s="376">
        <v>2016</v>
      </c>
      <c r="L51" s="376">
        <v>2017</v>
      </c>
      <c r="M51" s="376">
        <v>2018</v>
      </c>
      <c r="N51" s="376">
        <v>2019</v>
      </c>
      <c r="O51" s="376">
        <v>2020</v>
      </c>
      <c r="P51" s="376">
        <v>2021</v>
      </c>
      <c r="Q51" s="376">
        <v>2022</v>
      </c>
      <c r="R51" s="376">
        <v>2023</v>
      </c>
      <c r="S51" s="376">
        <v>2024</v>
      </c>
      <c r="T51" s="376">
        <v>2025</v>
      </c>
      <c r="U51" s="376">
        <v>2026</v>
      </c>
      <c r="V51" s="376">
        <v>2027</v>
      </c>
      <c r="W51" s="376">
        <v>2028</v>
      </c>
      <c r="X51" s="376">
        <v>2029</v>
      </c>
      <c r="Y51" s="376">
        <v>2030</v>
      </c>
      <c r="Z51" s="376">
        <v>2031</v>
      </c>
      <c r="AA51" s="376">
        <v>2032</v>
      </c>
      <c r="AB51" s="376">
        <v>2033</v>
      </c>
      <c r="AC51" s="376">
        <v>2034</v>
      </c>
      <c r="AD51" s="376">
        <v>2035</v>
      </c>
      <c r="AE51" s="376">
        <v>2036</v>
      </c>
      <c r="AF51" s="376">
        <v>2037</v>
      </c>
      <c r="AG51" s="376">
        <v>2038</v>
      </c>
      <c r="AH51" s="376">
        <v>2039</v>
      </c>
      <c r="AI51" s="376">
        <v>2040</v>
      </c>
      <c r="AJ51" s="376">
        <v>2041</v>
      </c>
      <c r="AK51" s="376">
        <v>2042</v>
      </c>
      <c r="AL51" s="376">
        <v>2043</v>
      </c>
      <c r="AM51" s="376">
        <v>2044</v>
      </c>
      <c r="AN51" s="376">
        <v>2045</v>
      </c>
      <c r="AO51" s="376">
        <v>2046</v>
      </c>
      <c r="AP51" s="376">
        <v>2047</v>
      </c>
      <c r="AQ51" s="376">
        <v>2048</v>
      </c>
      <c r="AR51" s="376">
        <v>2049</v>
      </c>
      <c r="AS51" s="376">
        <v>2050</v>
      </c>
      <c r="AT51" s="376">
        <v>2051</v>
      </c>
      <c r="AU51" s="376">
        <v>2052</v>
      </c>
      <c r="AV51" s="376">
        <v>2053</v>
      </c>
      <c r="AW51" s="376">
        <v>2054</v>
      </c>
      <c r="AX51" s="376">
        <v>2055</v>
      </c>
      <c r="AY51" s="376">
        <v>2056</v>
      </c>
      <c r="AZ51" s="376">
        <v>2057</v>
      </c>
      <c r="BA51" s="376">
        <v>2058</v>
      </c>
      <c r="BB51" s="376">
        <v>2059</v>
      </c>
      <c r="BC51" s="376">
        <v>2060</v>
      </c>
      <c r="BD51" s="376">
        <v>2061</v>
      </c>
      <c r="BE51" s="376">
        <v>2062</v>
      </c>
      <c r="BF51" s="376">
        <v>2063</v>
      </c>
      <c r="BG51" s="376">
        <v>2064</v>
      </c>
      <c r="BH51" s="376">
        <v>2065</v>
      </c>
      <c r="BI51" s="376">
        <v>2066</v>
      </c>
      <c r="BJ51" s="376">
        <v>2067</v>
      </c>
      <c r="BK51" s="376">
        <v>2068</v>
      </c>
      <c r="BL51" s="376">
        <v>2069</v>
      </c>
      <c r="BM51" s="376">
        <v>2070</v>
      </c>
      <c r="BN51" s="376">
        <v>2071</v>
      </c>
      <c r="BO51" s="376">
        <v>2072</v>
      </c>
      <c r="BP51" s="376">
        <v>2073</v>
      </c>
      <c r="BQ51" s="376">
        <v>2074</v>
      </c>
      <c r="BR51" s="376">
        <v>2075</v>
      </c>
      <c r="BS51" s="376">
        <v>2076</v>
      </c>
      <c r="BT51" s="376">
        <v>2077</v>
      </c>
      <c r="BU51" s="376">
        <v>2078</v>
      </c>
      <c r="BV51" s="376">
        <v>2079</v>
      </c>
      <c r="BW51" s="376">
        <v>2080</v>
      </c>
      <c r="BX51" s="376">
        <v>2081</v>
      </c>
      <c r="BY51" s="376">
        <v>2082</v>
      </c>
      <c r="BZ51" s="376">
        <v>2083</v>
      </c>
      <c r="CA51" s="376">
        <v>2084</v>
      </c>
      <c r="CB51" s="376">
        <v>2085</v>
      </c>
      <c r="CC51" s="376">
        <v>2086</v>
      </c>
      <c r="CD51" s="376">
        <v>2087</v>
      </c>
      <c r="CE51" s="376">
        <v>2088</v>
      </c>
      <c r="CF51" s="376">
        <v>2089</v>
      </c>
    </row>
    <row r="52" spans="1:84">
      <c r="D52" s="380" t="s">
        <v>87</v>
      </c>
      <c r="E52" s="373" t="e">
        <f>VLOOKUP(E51,voc_nonfuel,7,0)+ (VLOOKUP(E51,voc_nonfuel,8)/$E$5)</f>
        <v>#DIV/0!</v>
      </c>
      <c r="F52" s="373" t="e">
        <f t="shared" ref="F52:AD52" si="16">VLOOKUP(F51,voc_nonfuel,7,0)+ (VLOOKUP(F51,voc_nonfuel,8)/$E$5)</f>
        <v>#DIV/0!</v>
      </c>
      <c r="G52" s="373" t="e">
        <f t="shared" si="16"/>
        <v>#DIV/0!</v>
      </c>
      <c r="H52" s="373" t="e">
        <f t="shared" si="16"/>
        <v>#DIV/0!</v>
      </c>
      <c r="I52" s="373" t="e">
        <f t="shared" si="16"/>
        <v>#DIV/0!</v>
      </c>
      <c r="J52" s="373" t="e">
        <f t="shared" si="16"/>
        <v>#DIV/0!</v>
      </c>
      <c r="K52" s="373" t="e">
        <f t="shared" si="16"/>
        <v>#DIV/0!</v>
      </c>
      <c r="L52" s="373" t="e">
        <f t="shared" si="16"/>
        <v>#DIV/0!</v>
      </c>
      <c r="M52" s="373" t="e">
        <f t="shared" si="16"/>
        <v>#DIV/0!</v>
      </c>
      <c r="N52" s="373" t="e">
        <f t="shared" si="16"/>
        <v>#DIV/0!</v>
      </c>
      <c r="O52" s="373" t="e">
        <f t="shared" si="16"/>
        <v>#DIV/0!</v>
      </c>
      <c r="P52" s="373" t="e">
        <f t="shared" si="16"/>
        <v>#DIV/0!</v>
      </c>
      <c r="Q52" s="373" t="e">
        <f t="shared" si="16"/>
        <v>#DIV/0!</v>
      </c>
      <c r="R52" s="373" t="e">
        <f t="shared" si="16"/>
        <v>#DIV/0!</v>
      </c>
      <c r="S52" s="373" t="e">
        <f t="shared" si="16"/>
        <v>#DIV/0!</v>
      </c>
      <c r="T52" s="373" t="e">
        <f t="shared" si="16"/>
        <v>#DIV/0!</v>
      </c>
      <c r="U52" s="373" t="e">
        <f t="shared" si="16"/>
        <v>#DIV/0!</v>
      </c>
      <c r="V52" s="373" t="e">
        <f t="shared" si="16"/>
        <v>#DIV/0!</v>
      </c>
      <c r="W52" s="373" t="e">
        <f t="shared" si="16"/>
        <v>#DIV/0!</v>
      </c>
      <c r="X52" s="373" t="e">
        <f t="shared" si="16"/>
        <v>#DIV/0!</v>
      </c>
      <c r="Y52" s="373" t="e">
        <f t="shared" si="16"/>
        <v>#DIV/0!</v>
      </c>
      <c r="Z52" s="373" t="e">
        <f t="shared" si="16"/>
        <v>#DIV/0!</v>
      </c>
      <c r="AA52" s="373" t="e">
        <f t="shared" si="16"/>
        <v>#DIV/0!</v>
      </c>
      <c r="AB52" s="373" t="e">
        <f t="shared" si="16"/>
        <v>#DIV/0!</v>
      </c>
      <c r="AC52" s="373" t="e">
        <f t="shared" si="16"/>
        <v>#DIV/0!</v>
      </c>
      <c r="AD52" s="373" t="e">
        <f t="shared" si="16"/>
        <v>#DIV/0!</v>
      </c>
      <c r="AE52" s="373" t="e">
        <f>AD52</f>
        <v>#DIV/0!</v>
      </c>
      <c r="AF52" s="373" t="e">
        <f t="shared" ref="AF52:CF55" si="17">AE52</f>
        <v>#DIV/0!</v>
      </c>
      <c r="AG52" s="373" t="e">
        <f t="shared" si="17"/>
        <v>#DIV/0!</v>
      </c>
      <c r="AH52" s="373" t="e">
        <f t="shared" si="17"/>
        <v>#DIV/0!</v>
      </c>
      <c r="AI52" s="373" t="e">
        <f t="shared" si="17"/>
        <v>#DIV/0!</v>
      </c>
      <c r="AJ52" s="373" t="e">
        <f t="shared" si="17"/>
        <v>#DIV/0!</v>
      </c>
      <c r="AK52" s="373" t="e">
        <f t="shared" si="17"/>
        <v>#DIV/0!</v>
      </c>
      <c r="AL52" s="373" t="e">
        <f t="shared" si="17"/>
        <v>#DIV/0!</v>
      </c>
      <c r="AM52" s="373" t="e">
        <f t="shared" si="17"/>
        <v>#DIV/0!</v>
      </c>
      <c r="AN52" s="373" t="e">
        <f t="shared" si="17"/>
        <v>#DIV/0!</v>
      </c>
      <c r="AO52" s="373" t="e">
        <f t="shared" si="17"/>
        <v>#DIV/0!</v>
      </c>
      <c r="AP52" s="373" t="e">
        <f t="shared" si="17"/>
        <v>#DIV/0!</v>
      </c>
      <c r="AQ52" s="373" t="e">
        <f t="shared" si="17"/>
        <v>#DIV/0!</v>
      </c>
      <c r="AR52" s="373" t="e">
        <f t="shared" si="17"/>
        <v>#DIV/0!</v>
      </c>
      <c r="AS52" s="373" t="e">
        <f t="shared" si="17"/>
        <v>#DIV/0!</v>
      </c>
      <c r="AT52" s="373" t="e">
        <f t="shared" si="17"/>
        <v>#DIV/0!</v>
      </c>
      <c r="AU52" s="373" t="e">
        <f t="shared" si="17"/>
        <v>#DIV/0!</v>
      </c>
      <c r="AV52" s="373" t="e">
        <f t="shared" si="17"/>
        <v>#DIV/0!</v>
      </c>
      <c r="AW52" s="373" t="e">
        <f t="shared" si="17"/>
        <v>#DIV/0!</v>
      </c>
      <c r="AX52" s="373" t="e">
        <f t="shared" si="17"/>
        <v>#DIV/0!</v>
      </c>
      <c r="AY52" s="373" t="e">
        <f t="shared" si="17"/>
        <v>#DIV/0!</v>
      </c>
      <c r="AZ52" s="373" t="e">
        <f t="shared" si="17"/>
        <v>#DIV/0!</v>
      </c>
      <c r="BA52" s="373" t="e">
        <f t="shared" si="17"/>
        <v>#DIV/0!</v>
      </c>
      <c r="BB52" s="373" t="e">
        <f t="shared" si="17"/>
        <v>#DIV/0!</v>
      </c>
      <c r="BC52" s="373" t="e">
        <f t="shared" si="17"/>
        <v>#DIV/0!</v>
      </c>
      <c r="BD52" s="373" t="e">
        <f t="shared" si="17"/>
        <v>#DIV/0!</v>
      </c>
      <c r="BE52" s="373" t="e">
        <f t="shared" si="17"/>
        <v>#DIV/0!</v>
      </c>
      <c r="BF52" s="373" t="e">
        <f t="shared" si="17"/>
        <v>#DIV/0!</v>
      </c>
      <c r="BG52" s="373" t="e">
        <f t="shared" si="17"/>
        <v>#DIV/0!</v>
      </c>
      <c r="BH52" s="373" t="e">
        <f t="shared" si="17"/>
        <v>#DIV/0!</v>
      </c>
      <c r="BI52" s="373" t="e">
        <f t="shared" si="17"/>
        <v>#DIV/0!</v>
      </c>
      <c r="BJ52" s="373" t="e">
        <f t="shared" si="17"/>
        <v>#DIV/0!</v>
      </c>
      <c r="BK52" s="373" t="e">
        <f t="shared" si="17"/>
        <v>#DIV/0!</v>
      </c>
      <c r="BL52" s="373" t="e">
        <f t="shared" si="17"/>
        <v>#DIV/0!</v>
      </c>
      <c r="BM52" s="373" t="e">
        <f t="shared" si="17"/>
        <v>#DIV/0!</v>
      </c>
      <c r="BN52" s="373" t="e">
        <f t="shared" si="17"/>
        <v>#DIV/0!</v>
      </c>
      <c r="BO52" s="373" t="e">
        <f t="shared" si="17"/>
        <v>#DIV/0!</v>
      </c>
      <c r="BP52" s="373" t="e">
        <f t="shared" si="17"/>
        <v>#DIV/0!</v>
      </c>
      <c r="BQ52" s="373" t="e">
        <f t="shared" si="17"/>
        <v>#DIV/0!</v>
      </c>
      <c r="BR52" s="373" t="e">
        <f t="shared" si="17"/>
        <v>#DIV/0!</v>
      </c>
      <c r="BS52" s="373" t="e">
        <f t="shared" si="17"/>
        <v>#DIV/0!</v>
      </c>
      <c r="BT52" s="373" t="e">
        <f t="shared" si="17"/>
        <v>#DIV/0!</v>
      </c>
      <c r="BU52" s="373" t="e">
        <f t="shared" si="17"/>
        <v>#DIV/0!</v>
      </c>
      <c r="BV52" s="373" t="e">
        <f t="shared" si="17"/>
        <v>#DIV/0!</v>
      </c>
      <c r="BW52" s="373" t="e">
        <f t="shared" si="17"/>
        <v>#DIV/0!</v>
      </c>
      <c r="BX52" s="373" t="e">
        <f t="shared" si="17"/>
        <v>#DIV/0!</v>
      </c>
      <c r="BY52" s="373" t="e">
        <f t="shared" si="17"/>
        <v>#DIV/0!</v>
      </c>
      <c r="BZ52" s="373" t="e">
        <f t="shared" si="17"/>
        <v>#DIV/0!</v>
      </c>
      <c r="CA52" s="373" t="e">
        <f t="shared" si="17"/>
        <v>#DIV/0!</v>
      </c>
      <c r="CB52" s="373" t="e">
        <f t="shared" si="17"/>
        <v>#DIV/0!</v>
      </c>
      <c r="CC52" s="373" t="e">
        <f t="shared" si="17"/>
        <v>#DIV/0!</v>
      </c>
      <c r="CD52" s="373" t="e">
        <f t="shared" si="17"/>
        <v>#DIV/0!</v>
      </c>
      <c r="CE52" s="373" t="e">
        <f t="shared" si="17"/>
        <v>#DIV/0!</v>
      </c>
      <c r="CF52" s="373" t="e">
        <f t="shared" si="17"/>
        <v>#DIV/0!</v>
      </c>
    </row>
    <row r="53" spans="1:84">
      <c r="D53" s="380" t="s">
        <v>89</v>
      </c>
      <c r="E53" s="373" t="e">
        <f>(('Table A.3.14'!$D$33+'Table A.3.14'!$E$33/Carriageways!$E$6)*'Table A.1.3.4'!$Q$30 + 'Table A.3.14'!$D$33*'Table A.1.3.4'!$Q$31)/100</f>
        <v>#DIV/0!</v>
      </c>
      <c r="F53" s="373" t="e">
        <f>(('Table A.3.14'!$D$33+'Table A.3.14'!$E$33/Carriageways!$E$6)*'Table A.1.3.4'!$Q$30 + 'Table A.3.14'!$D$33*'Table A.1.3.4'!$Q$31)/100</f>
        <v>#DIV/0!</v>
      </c>
      <c r="G53" s="373" t="e">
        <f>(('Table A.3.14'!$D$33+'Table A.3.14'!$E$33/Carriageways!$E$6)*'Table A.1.3.4'!$Q$30 + 'Table A.3.14'!$D$33*'Table A.1.3.4'!$Q$31)/100</f>
        <v>#DIV/0!</v>
      </c>
      <c r="H53" s="373" t="e">
        <f>(('Table A.3.14'!$D$33+'Table A.3.14'!$E$33/Carriageways!$E$6)*'Table A.1.3.4'!$Q$30 + 'Table A.3.14'!$D$33*'Table A.1.3.4'!$Q$31)/100</f>
        <v>#DIV/0!</v>
      </c>
      <c r="I53" s="373" t="e">
        <f>(('Table A.3.14'!$D$33+'Table A.3.14'!$E$33/Carriageways!$E$6)*'Table A.1.3.4'!$Q$30 + 'Table A.3.14'!$D$33*'Table A.1.3.4'!$Q$31)/100</f>
        <v>#DIV/0!</v>
      </c>
      <c r="J53" s="373" t="e">
        <f>(('Table A.3.14'!$D$33+'Table A.3.14'!$E$33/Carriageways!$E$6)*'Table A.1.3.4'!$Q$30 + 'Table A.3.14'!$D$33*'Table A.1.3.4'!$Q$31)/100</f>
        <v>#DIV/0!</v>
      </c>
      <c r="K53" s="373" t="e">
        <f>(('Table A.3.14'!$D$33+'Table A.3.14'!$E$33/Carriageways!$E$6)*'Table A.1.3.4'!$Q$30 + 'Table A.3.14'!$D$33*'Table A.1.3.4'!$Q$31)/100</f>
        <v>#DIV/0!</v>
      </c>
      <c r="L53" s="373" t="e">
        <f>(('Table A.3.14'!$D$33+'Table A.3.14'!$E$33/Carriageways!$E$6)*'Table A.1.3.4'!$Q$30 + 'Table A.3.14'!$D$33*'Table A.1.3.4'!$Q$31)/100</f>
        <v>#DIV/0!</v>
      </c>
      <c r="M53" s="373" t="e">
        <f>(('Table A.3.14'!$D$33+'Table A.3.14'!$E$33/Carriageways!$E$6)*'Table A.1.3.4'!$Q$30 + 'Table A.3.14'!$D$33*'Table A.1.3.4'!$Q$31)/100</f>
        <v>#DIV/0!</v>
      </c>
      <c r="N53" s="373" t="e">
        <f>(('Table A.3.14'!$D$33+'Table A.3.14'!$E$33/Carriageways!$E$6)*'Table A.1.3.4'!$Q$30 + 'Table A.3.14'!$D$33*'Table A.1.3.4'!$Q$31)/100</f>
        <v>#DIV/0!</v>
      </c>
      <c r="O53" s="373" t="e">
        <f>(('Table A.3.14'!$D$33+'Table A.3.14'!$E$33/Carriageways!$E$6)*'Table A.1.3.4'!$Q$30 + 'Table A.3.14'!$D$33*'Table A.1.3.4'!$Q$31)/100</f>
        <v>#DIV/0!</v>
      </c>
      <c r="P53" s="373" t="e">
        <f>(('Table A.3.14'!$D$33+'Table A.3.14'!$E$33/Carriageways!$E$6)*'Table A.1.3.4'!$Q$30 + 'Table A.3.14'!$D$33*'Table A.1.3.4'!$Q$31)/100</f>
        <v>#DIV/0!</v>
      </c>
      <c r="Q53" s="373" t="e">
        <f>(('Table A.3.14'!$D$33+'Table A.3.14'!$E$33/Carriageways!$E$6)*'Table A.1.3.4'!$Q$30 + 'Table A.3.14'!$D$33*'Table A.1.3.4'!$Q$31)/100</f>
        <v>#DIV/0!</v>
      </c>
      <c r="R53" s="373" t="e">
        <f>(('Table A.3.14'!$D$33+'Table A.3.14'!$E$33/Carriageways!$E$6)*'Table A.1.3.4'!$Q$30 + 'Table A.3.14'!$D$33*'Table A.1.3.4'!$Q$31)/100</f>
        <v>#DIV/0!</v>
      </c>
      <c r="S53" s="373" t="e">
        <f>(('Table A.3.14'!$D$33+'Table A.3.14'!$E$33/Carriageways!$E$6)*'Table A.1.3.4'!$Q$30 + 'Table A.3.14'!$D$33*'Table A.1.3.4'!$Q$31)/100</f>
        <v>#DIV/0!</v>
      </c>
      <c r="T53" s="373" t="e">
        <f>(('Table A.3.14'!$D$33+'Table A.3.14'!$E$33/Carriageways!$E$6)*'Table A.1.3.4'!$Q$30 + 'Table A.3.14'!$D$33*'Table A.1.3.4'!$Q$31)/100</f>
        <v>#DIV/0!</v>
      </c>
      <c r="U53" s="373" t="e">
        <f>(('Table A.3.14'!$D$33+'Table A.3.14'!$E$33/Carriageways!$E$6)*'Table A.1.3.4'!$Q$30 + 'Table A.3.14'!$D$33*'Table A.1.3.4'!$Q$31)/100</f>
        <v>#DIV/0!</v>
      </c>
      <c r="V53" s="373" t="e">
        <f>(('Table A.3.14'!$D$33+'Table A.3.14'!$E$33/Carriageways!$E$6)*'Table A.1.3.4'!$Q$30 + 'Table A.3.14'!$D$33*'Table A.1.3.4'!$Q$31)/100</f>
        <v>#DIV/0!</v>
      </c>
      <c r="W53" s="373" t="e">
        <f>(('Table A.3.14'!$D$33+'Table A.3.14'!$E$33/Carriageways!$E$6)*'Table A.1.3.4'!$Q$30 + 'Table A.3.14'!$D$33*'Table A.1.3.4'!$Q$31)/100</f>
        <v>#DIV/0!</v>
      </c>
      <c r="X53" s="373" t="e">
        <f>(('Table A.3.14'!$D$33+'Table A.3.14'!$E$33/Carriageways!$E$6)*'Table A.1.3.4'!$Q$30 + 'Table A.3.14'!$D$33*'Table A.1.3.4'!$Q$31)/100</f>
        <v>#DIV/0!</v>
      </c>
      <c r="Y53" s="373" t="e">
        <f>(('Table A.3.14'!$D$33+'Table A.3.14'!$E$33/Carriageways!$E$6)*'Table A.1.3.4'!$Q$30 + 'Table A.3.14'!$D$33*'Table A.1.3.4'!$Q$31)/100</f>
        <v>#DIV/0!</v>
      </c>
      <c r="Z53" s="373" t="e">
        <f>(('Table A.3.14'!$D$33+'Table A.3.14'!$E$33/Carriageways!$E$6)*'Table A.1.3.4'!$Q$30 + 'Table A.3.14'!$D$33*'Table A.1.3.4'!$Q$31)/100</f>
        <v>#DIV/0!</v>
      </c>
      <c r="AA53" s="373" t="e">
        <f>(('Table A.3.14'!$D$33+'Table A.3.14'!$E$33/Carriageways!$E$6)*'Table A.1.3.4'!$Q$30 + 'Table A.3.14'!$D$33*'Table A.1.3.4'!$Q$31)/100</f>
        <v>#DIV/0!</v>
      </c>
      <c r="AB53" s="373" t="e">
        <f>(('Table A.3.14'!$D$33+'Table A.3.14'!$E$33/Carriageways!$E$6)*'Table A.1.3.4'!$Q$30 + 'Table A.3.14'!$D$33*'Table A.1.3.4'!$Q$31)/100</f>
        <v>#DIV/0!</v>
      </c>
      <c r="AC53" s="373" t="e">
        <f>(('Table A.3.14'!$D$33+'Table A.3.14'!$E$33/Carriageways!$E$6)*'Table A.1.3.4'!$Q$30 + 'Table A.3.14'!$D$33*'Table A.1.3.4'!$Q$31)/100</f>
        <v>#DIV/0!</v>
      </c>
      <c r="AD53" s="373" t="e">
        <f>(('Table A.3.14'!$D$33+'Table A.3.14'!$E$33/Carriageways!$E$6)*'Table A.1.3.4'!$Q$30 + 'Table A.3.14'!$D$33*'Table A.1.3.4'!$Q$31)/100</f>
        <v>#DIV/0!</v>
      </c>
      <c r="AE53" s="373" t="e">
        <f>AD53</f>
        <v>#DIV/0!</v>
      </c>
      <c r="AF53" s="373" t="e">
        <f t="shared" si="17"/>
        <v>#DIV/0!</v>
      </c>
      <c r="AG53" s="373" t="e">
        <f t="shared" si="17"/>
        <v>#DIV/0!</v>
      </c>
      <c r="AH53" s="373" t="e">
        <f t="shared" si="17"/>
        <v>#DIV/0!</v>
      </c>
      <c r="AI53" s="373" t="e">
        <f t="shared" si="17"/>
        <v>#DIV/0!</v>
      </c>
      <c r="AJ53" s="373" t="e">
        <f t="shared" si="17"/>
        <v>#DIV/0!</v>
      </c>
      <c r="AK53" s="373" t="e">
        <f t="shared" si="17"/>
        <v>#DIV/0!</v>
      </c>
      <c r="AL53" s="373" t="e">
        <f t="shared" si="17"/>
        <v>#DIV/0!</v>
      </c>
      <c r="AM53" s="373" t="e">
        <f t="shared" si="17"/>
        <v>#DIV/0!</v>
      </c>
      <c r="AN53" s="373" t="e">
        <f t="shared" si="17"/>
        <v>#DIV/0!</v>
      </c>
      <c r="AO53" s="373" t="e">
        <f t="shared" si="17"/>
        <v>#DIV/0!</v>
      </c>
      <c r="AP53" s="373" t="e">
        <f t="shared" si="17"/>
        <v>#DIV/0!</v>
      </c>
      <c r="AQ53" s="373" t="e">
        <f t="shared" si="17"/>
        <v>#DIV/0!</v>
      </c>
      <c r="AR53" s="373" t="e">
        <f t="shared" si="17"/>
        <v>#DIV/0!</v>
      </c>
      <c r="AS53" s="373" t="e">
        <f t="shared" si="17"/>
        <v>#DIV/0!</v>
      </c>
      <c r="AT53" s="373" t="e">
        <f t="shared" si="17"/>
        <v>#DIV/0!</v>
      </c>
      <c r="AU53" s="373" t="e">
        <f t="shared" si="17"/>
        <v>#DIV/0!</v>
      </c>
      <c r="AV53" s="373" t="e">
        <f t="shared" si="17"/>
        <v>#DIV/0!</v>
      </c>
      <c r="AW53" s="373" t="e">
        <f t="shared" si="17"/>
        <v>#DIV/0!</v>
      </c>
      <c r="AX53" s="373" t="e">
        <f t="shared" si="17"/>
        <v>#DIV/0!</v>
      </c>
      <c r="AY53" s="373" t="e">
        <f t="shared" si="17"/>
        <v>#DIV/0!</v>
      </c>
      <c r="AZ53" s="373" t="e">
        <f t="shared" si="17"/>
        <v>#DIV/0!</v>
      </c>
      <c r="BA53" s="373" t="e">
        <f t="shared" si="17"/>
        <v>#DIV/0!</v>
      </c>
      <c r="BB53" s="373" t="e">
        <f t="shared" si="17"/>
        <v>#DIV/0!</v>
      </c>
      <c r="BC53" s="373" t="e">
        <f t="shared" si="17"/>
        <v>#DIV/0!</v>
      </c>
      <c r="BD53" s="373" t="e">
        <f t="shared" si="17"/>
        <v>#DIV/0!</v>
      </c>
      <c r="BE53" s="373" t="e">
        <f t="shared" si="17"/>
        <v>#DIV/0!</v>
      </c>
      <c r="BF53" s="373" t="e">
        <f t="shared" si="17"/>
        <v>#DIV/0!</v>
      </c>
      <c r="BG53" s="373" t="e">
        <f t="shared" si="17"/>
        <v>#DIV/0!</v>
      </c>
      <c r="BH53" s="373" t="e">
        <f t="shared" si="17"/>
        <v>#DIV/0!</v>
      </c>
      <c r="BI53" s="373" t="e">
        <f t="shared" si="17"/>
        <v>#DIV/0!</v>
      </c>
      <c r="BJ53" s="373" t="e">
        <f t="shared" si="17"/>
        <v>#DIV/0!</v>
      </c>
      <c r="BK53" s="373" t="e">
        <f t="shared" si="17"/>
        <v>#DIV/0!</v>
      </c>
      <c r="BL53" s="373" t="e">
        <f t="shared" si="17"/>
        <v>#DIV/0!</v>
      </c>
      <c r="BM53" s="373" t="e">
        <f t="shared" si="17"/>
        <v>#DIV/0!</v>
      </c>
      <c r="BN53" s="373" t="e">
        <f t="shared" si="17"/>
        <v>#DIV/0!</v>
      </c>
      <c r="BO53" s="373" t="e">
        <f t="shared" si="17"/>
        <v>#DIV/0!</v>
      </c>
      <c r="BP53" s="373" t="e">
        <f t="shared" si="17"/>
        <v>#DIV/0!</v>
      </c>
      <c r="BQ53" s="373" t="e">
        <f t="shared" si="17"/>
        <v>#DIV/0!</v>
      </c>
      <c r="BR53" s="373" t="e">
        <f t="shared" si="17"/>
        <v>#DIV/0!</v>
      </c>
      <c r="BS53" s="373" t="e">
        <f t="shared" si="17"/>
        <v>#DIV/0!</v>
      </c>
      <c r="BT53" s="373" t="e">
        <f t="shared" si="17"/>
        <v>#DIV/0!</v>
      </c>
      <c r="BU53" s="373" t="e">
        <f t="shared" si="17"/>
        <v>#DIV/0!</v>
      </c>
      <c r="BV53" s="373" t="e">
        <f t="shared" si="17"/>
        <v>#DIV/0!</v>
      </c>
      <c r="BW53" s="373" t="e">
        <f t="shared" si="17"/>
        <v>#DIV/0!</v>
      </c>
      <c r="BX53" s="373" t="e">
        <f t="shared" si="17"/>
        <v>#DIV/0!</v>
      </c>
      <c r="BY53" s="373" t="e">
        <f t="shared" si="17"/>
        <v>#DIV/0!</v>
      </c>
      <c r="BZ53" s="373" t="e">
        <f t="shared" si="17"/>
        <v>#DIV/0!</v>
      </c>
      <c r="CA53" s="373" t="e">
        <f t="shared" si="17"/>
        <v>#DIV/0!</v>
      </c>
      <c r="CB53" s="373" t="e">
        <f t="shared" si="17"/>
        <v>#DIV/0!</v>
      </c>
      <c r="CC53" s="373" t="e">
        <f t="shared" si="17"/>
        <v>#DIV/0!</v>
      </c>
      <c r="CD53" s="373" t="e">
        <f t="shared" si="17"/>
        <v>#DIV/0!</v>
      </c>
      <c r="CE53" s="373" t="e">
        <f t="shared" si="17"/>
        <v>#DIV/0!</v>
      </c>
      <c r="CF53" s="373" t="e">
        <f t="shared" si="17"/>
        <v>#DIV/0!</v>
      </c>
    </row>
    <row r="54" spans="1:84">
      <c r="D54" s="380" t="s">
        <v>91</v>
      </c>
      <c r="E54" s="373" t="e">
        <f>'Table A.3.14'!$D$38+('Table A.3.14'!$E$38/Carriageways!$E$7)</f>
        <v>#DIV/0!</v>
      </c>
      <c r="F54" s="373" t="e">
        <f>'Table A.3.14'!$D$38+('Table A.3.14'!$E$38/Carriageways!$E$7)</f>
        <v>#DIV/0!</v>
      </c>
      <c r="G54" s="373" t="e">
        <f>'Table A.3.14'!$D$38+('Table A.3.14'!$E$38/Carriageways!$E$7)</f>
        <v>#DIV/0!</v>
      </c>
      <c r="H54" s="373" t="e">
        <f>'Table A.3.14'!$D$38+('Table A.3.14'!$E$38/Carriageways!$E$7)</f>
        <v>#DIV/0!</v>
      </c>
      <c r="I54" s="373" t="e">
        <f>'Table A.3.14'!$D$38+('Table A.3.14'!$E$38/Carriageways!$E$7)</f>
        <v>#DIV/0!</v>
      </c>
      <c r="J54" s="373" t="e">
        <f>'Table A.3.14'!$D$38+('Table A.3.14'!$E$38/Carriageways!$E$7)</f>
        <v>#DIV/0!</v>
      </c>
      <c r="K54" s="373" t="e">
        <f>'Table A.3.14'!$D$38+('Table A.3.14'!$E$38/Carriageways!$E$7)</f>
        <v>#DIV/0!</v>
      </c>
      <c r="L54" s="373" t="e">
        <f>'Table A.3.14'!$D$38+('Table A.3.14'!$E$38/Carriageways!$E$7)</f>
        <v>#DIV/0!</v>
      </c>
      <c r="M54" s="373" t="e">
        <f>'Table A.3.14'!$D$38+('Table A.3.14'!$E$38/Carriageways!$E$7)</f>
        <v>#DIV/0!</v>
      </c>
      <c r="N54" s="373" t="e">
        <f>'Table A.3.14'!$D$38+('Table A.3.14'!$E$38/Carriageways!$E$7)</f>
        <v>#DIV/0!</v>
      </c>
      <c r="O54" s="373" t="e">
        <f>'Table A.3.14'!$D$38+('Table A.3.14'!$E$38/Carriageways!$E$7)</f>
        <v>#DIV/0!</v>
      </c>
      <c r="P54" s="373" t="e">
        <f>'Table A.3.14'!$D$38+('Table A.3.14'!$E$38/Carriageways!$E$7)</f>
        <v>#DIV/0!</v>
      </c>
      <c r="Q54" s="373" t="e">
        <f>'Table A.3.14'!$D$38+('Table A.3.14'!$E$38/Carriageways!$E$7)</f>
        <v>#DIV/0!</v>
      </c>
      <c r="R54" s="373" t="e">
        <f>'Table A.3.14'!$D$38+('Table A.3.14'!$E$38/Carriageways!$E$7)</f>
        <v>#DIV/0!</v>
      </c>
      <c r="S54" s="373" t="e">
        <f>'Table A.3.14'!$D$38+('Table A.3.14'!$E$38/Carriageways!$E$7)</f>
        <v>#DIV/0!</v>
      </c>
      <c r="T54" s="373" t="e">
        <f>'Table A.3.14'!$D$38+('Table A.3.14'!$E$38/Carriageways!$E$7)</f>
        <v>#DIV/0!</v>
      </c>
      <c r="U54" s="373" t="e">
        <f>'Table A.3.14'!$D$38+('Table A.3.14'!$E$38/Carriageways!$E$7)</f>
        <v>#DIV/0!</v>
      </c>
      <c r="V54" s="373" t="e">
        <f>'Table A.3.14'!$D$38+('Table A.3.14'!$E$38/Carriageways!$E$7)</f>
        <v>#DIV/0!</v>
      </c>
      <c r="W54" s="373" t="e">
        <f>'Table A.3.14'!$D$38+('Table A.3.14'!$E$38/Carriageways!$E$7)</f>
        <v>#DIV/0!</v>
      </c>
      <c r="X54" s="373" t="e">
        <f>'Table A.3.14'!$D$38+('Table A.3.14'!$E$38/Carriageways!$E$7)</f>
        <v>#DIV/0!</v>
      </c>
      <c r="Y54" s="373" t="e">
        <f>'Table A.3.14'!$D$38+('Table A.3.14'!$E$38/Carriageways!$E$7)</f>
        <v>#DIV/0!</v>
      </c>
      <c r="Z54" s="373" t="e">
        <f>'Table A.3.14'!$D$38+('Table A.3.14'!$E$38/Carriageways!$E$7)</f>
        <v>#DIV/0!</v>
      </c>
      <c r="AA54" s="373" t="e">
        <f>'Table A.3.14'!$D$38+('Table A.3.14'!$E$38/Carriageways!$E$7)</f>
        <v>#DIV/0!</v>
      </c>
      <c r="AB54" s="373" t="e">
        <f>'Table A.3.14'!$D$38+('Table A.3.14'!$E$38/Carriageways!$E$7)</f>
        <v>#DIV/0!</v>
      </c>
      <c r="AC54" s="373" t="e">
        <f>'Table A.3.14'!$D$38+('Table A.3.14'!$E$38/Carriageways!$E$7)</f>
        <v>#DIV/0!</v>
      </c>
      <c r="AD54" s="373" t="e">
        <f>'Table A.3.14'!$D$38+('Table A.3.14'!$E$38/Carriageways!$E$7)</f>
        <v>#DIV/0!</v>
      </c>
      <c r="AE54" s="373" t="e">
        <f>AD54</f>
        <v>#DIV/0!</v>
      </c>
      <c r="AF54" s="373" t="e">
        <f t="shared" si="17"/>
        <v>#DIV/0!</v>
      </c>
      <c r="AG54" s="373" t="e">
        <f t="shared" si="17"/>
        <v>#DIV/0!</v>
      </c>
      <c r="AH54" s="373" t="e">
        <f t="shared" si="17"/>
        <v>#DIV/0!</v>
      </c>
      <c r="AI54" s="373" t="e">
        <f t="shared" si="17"/>
        <v>#DIV/0!</v>
      </c>
      <c r="AJ54" s="373" t="e">
        <f t="shared" si="17"/>
        <v>#DIV/0!</v>
      </c>
      <c r="AK54" s="373" t="e">
        <f t="shared" si="17"/>
        <v>#DIV/0!</v>
      </c>
      <c r="AL54" s="373" t="e">
        <f t="shared" si="17"/>
        <v>#DIV/0!</v>
      </c>
      <c r="AM54" s="373" t="e">
        <f t="shared" si="17"/>
        <v>#DIV/0!</v>
      </c>
      <c r="AN54" s="373" t="e">
        <f t="shared" si="17"/>
        <v>#DIV/0!</v>
      </c>
      <c r="AO54" s="373" t="e">
        <f t="shared" si="17"/>
        <v>#DIV/0!</v>
      </c>
      <c r="AP54" s="373" t="e">
        <f t="shared" si="17"/>
        <v>#DIV/0!</v>
      </c>
      <c r="AQ54" s="373" t="e">
        <f t="shared" si="17"/>
        <v>#DIV/0!</v>
      </c>
      <c r="AR54" s="373" t="e">
        <f t="shared" si="17"/>
        <v>#DIV/0!</v>
      </c>
      <c r="AS54" s="373" t="e">
        <f t="shared" si="17"/>
        <v>#DIV/0!</v>
      </c>
      <c r="AT54" s="373" t="e">
        <f t="shared" si="17"/>
        <v>#DIV/0!</v>
      </c>
      <c r="AU54" s="373" t="e">
        <f t="shared" si="17"/>
        <v>#DIV/0!</v>
      </c>
      <c r="AV54" s="373" t="e">
        <f t="shared" si="17"/>
        <v>#DIV/0!</v>
      </c>
      <c r="AW54" s="373" t="e">
        <f t="shared" si="17"/>
        <v>#DIV/0!</v>
      </c>
      <c r="AX54" s="373" t="e">
        <f t="shared" si="17"/>
        <v>#DIV/0!</v>
      </c>
      <c r="AY54" s="373" t="e">
        <f t="shared" si="17"/>
        <v>#DIV/0!</v>
      </c>
      <c r="AZ54" s="373" t="e">
        <f t="shared" si="17"/>
        <v>#DIV/0!</v>
      </c>
      <c r="BA54" s="373" t="e">
        <f t="shared" si="17"/>
        <v>#DIV/0!</v>
      </c>
      <c r="BB54" s="373" t="e">
        <f t="shared" si="17"/>
        <v>#DIV/0!</v>
      </c>
      <c r="BC54" s="373" t="e">
        <f t="shared" si="17"/>
        <v>#DIV/0!</v>
      </c>
      <c r="BD54" s="373" t="e">
        <f t="shared" si="17"/>
        <v>#DIV/0!</v>
      </c>
      <c r="BE54" s="373" t="e">
        <f t="shared" si="17"/>
        <v>#DIV/0!</v>
      </c>
      <c r="BF54" s="373" t="e">
        <f t="shared" si="17"/>
        <v>#DIV/0!</v>
      </c>
      <c r="BG54" s="373" t="e">
        <f t="shared" si="17"/>
        <v>#DIV/0!</v>
      </c>
      <c r="BH54" s="373" t="e">
        <f t="shared" si="17"/>
        <v>#DIV/0!</v>
      </c>
      <c r="BI54" s="373" t="e">
        <f t="shared" si="17"/>
        <v>#DIV/0!</v>
      </c>
      <c r="BJ54" s="373" t="e">
        <f t="shared" si="17"/>
        <v>#DIV/0!</v>
      </c>
      <c r="BK54" s="373" t="e">
        <f t="shared" si="17"/>
        <v>#DIV/0!</v>
      </c>
      <c r="BL54" s="373" t="e">
        <f t="shared" si="17"/>
        <v>#DIV/0!</v>
      </c>
      <c r="BM54" s="373" t="e">
        <f t="shared" si="17"/>
        <v>#DIV/0!</v>
      </c>
      <c r="BN54" s="373" t="e">
        <f t="shared" si="17"/>
        <v>#DIV/0!</v>
      </c>
      <c r="BO54" s="373" t="e">
        <f t="shared" si="17"/>
        <v>#DIV/0!</v>
      </c>
      <c r="BP54" s="373" t="e">
        <f t="shared" si="17"/>
        <v>#DIV/0!</v>
      </c>
      <c r="BQ54" s="373" t="e">
        <f t="shared" si="17"/>
        <v>#DIV/0!</v>
      </c>
      <c r="BR54" s="373" t="e">
        <f t="shared" si="17"/>
        <v>#DIV/0!</v>
      </c>
      <c r="BS54" s="373" t="e">
        <f t="shared" si="17"/>
        <v>#DIV/0!</v>
      </c>
      <c r="BT54" s="373" t="e">
        <f t="shared" si="17"/>
        <v>#DIV/0!</v>
      </c>
      <c r="BU54" s="373" t="e">
        <f t="shared" si="17"/>
        <v>#DIV/0!</v>
      </c>
      <c r="BV54" s="373" t="e">
        <f t="shared" si="17"/>
        <v>#DIV/0!</v>
      </c>
      <c r="BW54" s="373" t="e">
        <f t="shared" si="17"/>
        <v>#DIV/0!</v>
      </c>
      <c r="BX54" s="373" t="e">
        <f t="shared" si="17"/>
        <v>#DIV/0!</v>
      </c>
      <c r="BY54" s="373" t="e">
        <f t="shared" si="17"/>
        <v>#DIV/0!</v>
      </c>
      <c r="BZ54" s="373" t="e">
        <f t="shared" si="17"/>
        <v>#DIV/0!</v>
      </c>
      <c r="CA54" s="373" t="e">
        <f t="shared" si="17"/>
        <v>#DIV/0!</v>
      </c>
      <c r="CB54" s="373" t="e">
        <f t="shared" si="17"/>
        <v>#DIV/0!</v>
      </c>
      <c r="CC54" s="373" t="e">
        <f t="shared" si="17"/>
        <v>#DIV/0!</v>
      </c>
      <c r="CD54" s="373" t="e">
        <f t="shared" si="17"/>
        <v>#DIV/0!</v>
      </c>
      <c r="CE54" s="373" t="e">
        <f t="shared" si="17"/>
        <v>#DIV/0!</v>
      </c>
      <c r="CF54" s="373" t="e">
        <f t="shared" si="17"/>
        <v>#DIV/0!</v>
      </c>
    </row>
    <row r="55" spans="1:84">
      <c r="D55" s="380" t="s">
        <v>93</v>
      </c>
      <c r="E55" s="373" t="e">
        <f>'Table A.3.14'!$D$39+('Table A.3.14'!$E$39/Carriageways!$E$8)</f>
        <v>#DIV/0!</v>
      </c>
      <c r="F55" s="373" t="e">
        <f>'Table A.3.14'!$D$39+('Table A.3.14'!$E$39/Carriageways!$E$8)</f>
        <v>#DIV/0!</v>
      </c>
      <c r="G55" s="373" t="e">
        <f>'Table A.3.14'!$D$39+('Table A.3.14'!$E$39/Carriageways!$E$8)</f>
        <v>#DIV/0!</v>
      </c>
      <c r="H55" s="373" t="e">
        <f>'Table A.3.14'!$D$39+('Table A.3.14'!$E$39/Carriageways!$E$8)</f>
        <v>#DIV/0!</v>
      </c>
      <c r="I55" s="373" t="e">
        <f>'Table A.3.14'!$D$39+('Table A.3.14'!$E$39/Carriageways!$E$8)</f>
        <v>#DIV/0!</v>
      </c>
      <c r="J55" s="373" t="e">
        <f>'Table A.3.14'!$D$39+('Table A.3.14'!$E$39/Carriageways!$E$8)</f>
        <v>#DIV/0!</v>
      </c>
      <c r="K55" s="373" t="e">
        <f>'Table A.3.14'!$D$39+('Table A.3.14'!$E$39/Carriageways!$E$8)</f>
        <v>#DIV/0!</v>
      </c>
      <c r="L55" s="373" t="e">
        <f>'Table A.3.14'!$D$39+('Table A.3.14'!$E$39/Carriageways!$E$8)</f>
        <v>#DIV/0!</v>
      </c>
      <c r="M55" s="373" t="e">
        <f>'Table A.3.14'!$D$39+('Table A.3.14'!$E$39/Carriageways!$E$8)</f>
        <v>#DIV/0!</v>
      </c>
      <c r="N55" s="373" t="e">
        <f>'Table A.3.14'!$D$39+('Table A.3.14'!$E$39/Carriageways!$E$8)</f>
        <v>#DIV/0!</v>
      </c>
      <c r="O55" s="373" t="e">
        <f>'Table A.3.14'!$D$39+('Table A.3.14'!$E$39/Carriageways!$E$8)</f>
        <v>#DIV/0!</v>
      </c>
      <c r="P55" s="373" t="e">
        <f>'Table A.3.14'!$D$39+('Table A.3.14'!$E$39/Carriageways!$E$8)</f>
        <v>#DIV/0!</v>
      </c>
      <c r="Q55" s="373" t="e">
        <f>'Table A.3.14'!$D$39+('Table A.3.14'!$E$39/Carriageways!$E$8)</f>
        <v>#DIV/0!</v>
      </c>
      <c r="R55" s="373" t="e">
        <f>'Table A.3.14'!$D$39+('Table A.3.14'!$E$39/Carriageways!$E$8)</f>
        <v>#DIV/0!</v>
      </c>
      <c r="S55" s="373" t="e">
        <f>'Table A.3.14'!$D$39+('Table A.3.14'!$E$39/Carriageways!$E$8)</f>
        <v>#DIV/0!</v>
      </c>
      <c r="T55" s="373" t="e">
        <f>'Table A.3.14'!$D$39+('Table A.3.14'!$E$39/Carriageways!$E$8)</f>
        <v>#DIV/0!</v>
      </c>
      <c r="U55" s="373" t="e">
        <f>'Table A.3.14'!$D$39+('Table A.3.14'!$E$39/Carriageways!$E$8)</f>
        <v>#DIV/0!</v>
      </c>
      <c r="V55" s="373" t="e">
        <f>'Table A.3.14'!$D$39+('Table A.3.14'!$E$39/Carriageways!$E$8)</f>
        <v>#DIV/0!</v>
      </c>
      <c r="W55" s="373" t="e">
        <f>'Table A.3.14'!$D$39+('Table A.3.14'!$E$39/Carriageways!$E$8)</f>
        <v>#DIV/0!</v>
      </c>
      <c r="X55" s="373" t="e">
        <f>'Table A.3.14'!$D$39+('Table A.3.14'!$E$39/Carriageways!$E$8)</f>
        <v>#DIV/0!</v>
      </c>
      <c r="Y55" s="373" t="e">
        <f>'Table A.3.14'!$D$39+('Table A.3.14'!$E$39/Carriageways!$E$8)</f>
        <v>#DIV/0!</v>
      </c>
      <c r="Z55" s="373" t="e">
        <f>'Table A.3.14'!$D$39+('Table A.3.14'!$E$39/Carriageways!$E$8)</f>
        <v>#DIV/0!</v>
      </c>
      <c r="AA55" s="373" t="e">
        <f>'Table A.3.14'!$D$39+('Table A.3.14'!$E$39/Carriageways!$E$8)</f>
        <v>#DIV/0!</v>
      </c>
      <c r="AB55" s="373" t="e">
        <f>'Table A.3.14'!$D$39+('Table A.3.14'!$E$39/Carriageways!$E$8)</f>
        <v>#DIV/0!</v>
      </c>
      <c r="AC55" s="373" t="e">
        <f>'Table A.3.14'!$D$39+('Table A.3.14'!$E$39/Carriageways!$E$8)</f>
        <v>#DIV/0!</v>
      </c>
      <c r="AD55" s="373" t="e">
        <f>'Table A.3.14'!$D$39+('Table A.3.14'!$E$39/Carriageways!$E$8)</f>
        <v>#DIV/0!</v>
      </c>
      <c r="AE55" s="373" t="e">
        <f>AD55</f>
        <v>#DIV/0!</v>
      </c>
      <c r="AF55" s="373" t="e">
        <f t="shared" si="17"/>
        <v>#DIV/0!</v>
      </c>
      <c r="AG55" s="373" t="e">
        <f t="shared" si="17"/>
        <v>#DIV/0!</v>
      </c>
      <c r="AH55" s="373" t="e">
        <f t="shared" si="17"/>
        <v>#DIV/0!</v>
      </c>
      <c r="AI55" s="373" t="e">
        <f t="shared" si="17"/>
        <v>#DIV/0!</v>
      </c>
      <c r="AJ55" s="373" t="e">
        <f t="shared" si="17"/>
        <v>#DIV/0!</v>
      </c>
      <c r="AK55" s="373" t="e">
        <f t="shared" si="17"/>
        <v>#DIV/0!</v>
      </c>
      <c r="AL55" s="373" t="e">
        <f t="shared" si="17"/>
        <v>#DIV/0!</v>
      </c>
      <c r="AM55" s="373" t="e">
        <f t="shared" si="17"/>
        <v>#DIV/0!</v>
      </c>
      <c r="AN55" s="373" t="e">
        <f t="shared" si="17"/>
        <v>#DIV/0!</v>
      </c>
      <c r="AO55" s="373" t="e">
        <f t="shared" si="17"/>
        <v>#DIV/0!</v>
      </c>
      <c r="AP55" s="373" t="e">
        <f t="shared" si="17"/>
        <v>#DIV/0!</v>
      </c>
      <c r="AQ55" s="373" t="e">
        <f t="shared" si="17"/>
        <v>#DIV/0!</v>
      </c>
      <c r="AR55" s="373" t="e">
        <f t="shared" si="17"/>
        <v>#DIV/0!</v>
      </c>
      <c r="AS55" s="373" t="e">
        <f t="shared" si="17"/>
        <v>#DIV/0!</v>
      </c>
      <c r="AT55" s="373" t="e">
        <f t="shared" si="17"/>
        <v>#DIV/0!</v>
      </c>
      <c r="AU55" s="373" t="e">
        <f t="shared" si="17"/>
        <v>#DIV/0!</v>
      </c>
      <c r="AV55" s="373" t="e">
        <f t="shared" si="17"/>
        <v>#DIV/0!</v>
      </c>
      <c r="AW55" s="373" t="e">
        <f t="shared" si="17"/>
        <v>#DIV/0!</v>
      </c>
      <c r="AX55" s="373" t="e">
        <f t="shared" si="17"/>
        <v>#DIV/0!</v>
      </c>
      <c r="AY55" s="373" t="e">
        <f t="shared" si="17"/>
        <v>#DIV/0!</v>
      </c>
      <c r="AZ55" s="373" t="e">
        <f t="shared" si="17"/>
        <v>#DIV/0!</v>
      </c>
      <c r="BA55" s="373" t="e">
        <f t="shared" si="17"/>
        <v>#DIV/0!</v>
      </c>
      <c r="BB55" s="373" t="e">
        <f t="shared" si="17"/>
        <v>#DIV/0!</v>
      </c>
      <c r="BC55" s="373" t="e">
        <f t="shared" si="17"/>
        <v>#DIV/0!</v>
      </c>
      <c r="BD55" s="373" t="e">
        <f t="shared" si="17"/>
        <v>#DIV/0!</v>
      </c>
      <c r="BE55" s="373" t="e">
        <f t="shared" si="17"/>
        <v>#DIV/0!</v>
      </c>
      <c r="BF55" s="373" t="e">
        <f t="shared" si="17"/>
        <v>#DIV/0!</v>
      </c>
      <c r="BG55" s="373" t="e">
        <f t="shared" si="17"/>
        <v>#DIV/0!</v>
      </c>
      <c r="BH55" s="373" t="e">
        <f t="shared" si="17"/>
        <v>#DIV/0!</v>
      </c>
      <c r="BI55" s="373" t="e">
        <f t="shared" si="17"/>
        <v>#DIV/0!</v>
      </c>
      <c r="BJ55" s="373" t="e">
        <f t="shared" si="17"/>
        <v>#DIV/0!</v>
      </c>
      <c r="BK55" s="373" t="e">
        <f t="shared" si="17"/>
        <v>#DIV/0!</v>
      </c>
      <c r="BL55" s="373" t="e">
        <f t="shared" si="17"/>
        <v>#DIV/0!</v>
      </c>
      <c r="BM55" s="373" t="e">
        <f t="shared" si="17"/>
        <v>#DIV/0!</v>
      </c>
      <c r="BN55" s="373" t="e">
        <f t="shared" si="17"/>
        <v>#DIV/0!</v>
      </c>
      <c r="BO55" s="373" t="e">
        <f t="shared" si="17"/>
        <v>#DIV/0!</v>
      </c>
      <c r="BP55" s="373" t="e">
        <f t="shared" si="17"/>
        <v>#DIV/0!</v>
      </c>
      <c r="BQ55" s="373" t="e">
        <f t="shared" si="17"/>
        <v>#DIV/0!</v>
      </c>
      <c r="BR55" s="373" t="e">
        <f t="shared" si="17"/>
        <v>#DIV/0!</v>
      </c>
      <c r="BS55" s="373" t="e">
        <f t="shared" si="17"/>
        <v>#DIV/0!</v>
      </c>
      <c r="BT55" s="373" t="e">
        <f t="shared" si="17"/>
        <v>#DIV/0!</v>
      </c>
      <c r="BU55" s="373" t="e">
        <f t="shared" si="17"/>
        <v>#DIV/0!</v>
      </c>
      <c r="BV55" s="373" t="e">
        <f t="shared" si="17"/>
        <v>#DIV/0!</v>
      </c>
      <c r="BW55" s="373" t="e">
        <f t="shared" si="17"/>
        <v>#DIV/0!</v>
      </c>
      <c r="BX55" s="373" t="e">
        <f t="shared" si="17"/>
        <v>#DIV/0!</v>
      </c>
      <c r="BY55" s="373" t="e">
        <f t="shared" si="17"/>
        <v>#DIV/0!</v>
      </c>
      <c r="BZ55" s="373" t="e">
        <f t="shared" si="17"/>
        <v>#DIV/0!</v>
      </c>
      <c r="CA55" s="373" t="e">
        <f t="shared" si="17"/>
        <v>#DIV/0!</v>
      </c>
      <c r="CB55" s="373" t="e">
        <f t="shared" si="17"/>
        <v>#DIV/0!</v>
      </c>
      <c r="CC55" s="373" t="e">
        <f t="shared" si="17"/>
        <v>#DIV/0!</v>
      </c>
      <c r="CD55" s="373" t="e">
        <f t="shared" si="17"/>
        <v>#DIV/0!</v>
      </c>
      <c r="CE55" s="373" t="e">
        <f t="shared" si="17"/>
        <v>#DIV/0!</v>
      </c>
      <c r="CF55" s="373" t="e">
        <f t="shared" si="17"/>
        <v>#DIV/0!</v>
      </c>
    </row>
    <row r="56" spans="1:84">
      <c r="D56" s="378"/>
    </row>
    <row r="57" spans="1:84">
      <c r="C57" s="360" t="s">
        <v>266</v>
      </c>
      <c r="D57" s="378"/>
    </row>
    <row r="58" spans="1:84" s="377" customFormat="1">
      <c r="A58" s="379"/>
      <c r="B58" s="379"/>
      <c r="C58" s="379"/>
      <c r="D58" s="374"/>
      <c r="E58" s="375">
        <v>2010</v>
      </c>
      <c r="F58" s="376">
        <v>2011</v>
      </c>
      <c r="G58" s="376">
        <v>2012</v>
      </c>
      <c r="H58" s="376">
        <v>2013</v>
      </c>
      <c r="I58" s="376">
        <v>2014</v>
      </c>
      <c r="J58" s="376">
        <v>2015</v>
      </c>
      <c r="K58" s="376">
        <v>2016</v>
      </c>
      <c r="L58" s="376">
        <v>2017</v>
      </c>
      <c r="M58" s="376">
        <v>2018</v>
      </c>
      <c r="N58" s="376">
        <v>2019</v>
      </c>
      <c r="O58" s="376">
        <v>2020</v>
      </c>
      <c r="P58" s="376">
        <v>2021</v>
      </c>
      <c r="Q58" s="376">
        <v>2022</v>
      </c>
      <c r="R58" s="376">
        <v>2023</v>
      </c>
      <c r="S58" s="376">
        <v>2024</v>
      </c>
      <c r="T58" s="376">
        <v>2025</v>
      </c>
      <c r="U58" s="376">
        <v>2026</v>
      </c>
      <c r="V58" s="376">
        <v>2027</v>
      </c>
      <c r="W58" s="376">
        <v>2028</v>
      </c>
      <c r="X58" s="376">
        <v>2029</v>
      </c>
      <c r="Y58" s="376">
        <v>2030</v>
      </c>
      <c r="Z58" s="376">
        <v>2031</v>
      </c>
      <c r="AA58" s="376">
        <v>2032</v>
      </c>
      <c r="AB58" s="376">
        <v>2033</v>
      </c>
      <c r="AC58" s="376">
        <v>2034</v>
      </c>
      <c r="AD58" s="376">
        <v>2035</v>
      </c>
      <c r="AE58" s="376">
        <v>2036</v>
      </c>
      <c r="AF58" s="376">
        <v>2037</v>
      </c>
      <c r="AG58" s="376">
        <v>2038</v>
      </c>
      <c r="AH58" s="376">
        <v>2039</v>
      </c>
      <c r="AI58" s="376">
        <v>2040</v>
      </c>
      <c r="AJ58" s="376">
        <v>2041</v>
      </c>
      <c r="AK58" s="376">
        <v>2042</v>
      </c>
      <c r="AL58" s="376">
        <v>2043</v>
      </c>
      <c r="AM58" s="376">
        <v>2044</v>
      </c>
      <c r="AN58" s="376">
        <v>2045</v>
      </c>
      <c r="AO58" s="376">
        <v>2046</v>
      </c>
      <c r="AP58" s="376">
        <v>2047</v>
      </c>
      <c r="AQ58" s="376">
        <v>2048</v>
      </c>
      <c r="AR58" s="376">
        <v>2049</v>
      </c>
      <c r="AS58" s="376">
        <v>2050</v>
      </c>
      <c r="AT58" s="376">
        <v>2051</v>
      </c>
      <c r="AU58" s="376">
        <v>2052</v>
      </c>
      <c r="AV58" s="376">
        <v>2053</v>
      </c>
      <c r="AW58" s="376">
        <v>2054</v>
      </c>
      <c r="AX58" s="376">
        <v>2055</v>
      </c>
      <c r="AY58" s="376">
        <v>2056</v>
      </c>
      <c r="AZ58" s="376">
        <v>2057</v>
      </c>
      <c r="BA58" s="376">
        <v>2058</v>
      </c>
      <c r="BB58" s="376">
        <v>2059</v>
      </c>
      <c r="BC58" s="376">
        <v>2060</v>
      </c>
      <c r="BD58" s="376">
        <v>2061</v>
      </c>
      <c r="BE58" s="376">
        <v>2062</v>
      </c>
      <c r="BF58" s="376">
        <v>2063</v>
      </c>
      <c r="BG58" s="376">
        <v>2064</v>
      </c>
      <c r="BH58" s="376">
        <v>2065</v>
      </c>
      <c r="BI58" s="376">
        <v>2066</v>
      </c>
      <c r="BJ58" s="376">
        <v>2067</v>
      </c>
      <c r="BK58" s="376">
        <v>2068</v>
      </c>
      <c r="BL58" s="376">
        <v>2069</v>
      </c>
      <c r="BM58" s="376">
        <v>2070</v>
      </c>
      <c r="BN58" s="376">
        <v>2071</v>
      </c>
      <c r="BO58" s="376">
        <v>2072</v>
      </c>
      <c r="BP58" s="376">
        <v>2073</v>
      </c>
      <c r="BQ58" s="376">
        <v>2074</v>
      </c>
      <c r="BR58" s="376">
        <v>2075</v>
      </c>
      <c r="BS58" s="376">
        <v>2076</v>
      </c>
      <c r="BT58" s="376">
        <v>2077</v>
      </c>
      <c r="BU58" s="376">
        <v>2078</v>
      </c>
      <c r="BV58" s="376">
        <v>2079</v>
      </c>
      <c r="BW58" s="376">
        <v>2080</v>
      </c>
      <c r="BX58" s="376">
        <v>2081</v>
      </c>
      <c r="BY58" s="376">
        <v>2082</v>
      </c>
      <c r="BZ58" s="376">
        <v>2083</v>
      </c>
      <c r="CA58" s="376">
        <v>2084</v>
      </c>
      <c r="CB58" s="376">
        <v>2085</v>
      </c>
      <c r="CC58" s="376">
        <v>2086</v>
      </c>
      <c r="CD58" s="376">
        <v>2087</v>
      </c>
      <c r="CE58" s="376">
        <v>2088</v>
      </c>
      <c r="CF58" s="376">
        <v>2089</v>
      </c>
    </row>
    <row r="59" spans="1:84">
      <c r="D59" s="380" t="s">
        <v>87</v>
      </c>
      <c r="E59" s="373" t="e">
        <f>E52*$E$11</f>
        <v>#DIV/0!</v>
      </c>
      <c r="F59" s="373" t="e">
        <f t="shared" ref="F59:BQ62" si="18">F52*$E$11</f>
        <v>#DIV/0!</v>
      </c>
      <c r="G59" s="373" t="e">
        <f t="shared" si="18"/>
        <v>#DIV/0!</v>
      </c>
      <c r="H59" s="373" t="e">
        <f t="shared" si="18"/>
        <v>#DIV/0!</v>
      </c>
      <c r="I59" s="373" t="e">
        <f t="shared" si="18"/>
        <v>#DIV/0!</v>
      </c>
      <c r="J59" s="373" t="e">
        <f t="shared" si="18"/>
        <v>#DIV/0!</v>
      </c>
      <c r="K59" s="373" t="e">
        <f t="shared" si="18"/>
        <v>#DIV/0!</v>
      </c>
      <c r="L59" s="373" t="e">
        <f t="shared" si="18"/>
        <v>#DIV/0!</v>
      </c>
      <c r="M59" s="373" t="e">
        <f t="shared" si="18"/>
        <v>#DIV/0!</v>
      </c>
      <c r="N59" s="373" t="e">
        <f t="shared" si="18"/>
        <v>#DIV/0!</v>
      </c>
      <c r="O59" s="373" t="e">
        <f t="shared" si="18"/>
        <v>#DIV/0!</v>
      </c>
      <c r="P59" s="373" t="e">
        <f t="shared" si="18"/>
        <v>#DIV/0!</v>
      </c>
      <c r="Q59" s="373" t="e">
        <f t="shared" si="18"/>
        <v>#DIV/0!</v>
      </c>
      <c r="R59" s="373" t="e">
        <f t="shared" si="18"/>
        <v>#DIV/0!</v>
      </c>
      <c r="S59" s="373" t="e">
        <f t="shared" si="18"/>
        <v>#DIV/0!</v>
      </c>
      <c r="T59" s="373" t="e">
        <f t="shared" si="18"/>
        <v>#DIV/0!</v>
      </c>
      <c r="U59" s="373" t="e">
        <f t="shared" si="18"/>
        <v>#DIV/0!</v>
      </c>
      <c r="V59" s="373" t="e">
        <f t="shared" si="18"/>
        <v>#DIV/0!</v>
      </c>
      <c r="W59" s="373" t="e">
        <f t="shared" si="18"/>
        <v>#DIV/0!</v>
      </c>
      <c r="X59" s="373" t="e">
        <f t="shared" si="18"/>
        <v>#DIV/0!</v>
      </c>
      <c r="Y59" s="373" t="e">
        <f t="shared" si="18"/>
        <v>#DIV/0!</v>
      </c>
      <c r="Z59" s="373" t="e">
        <f t="shared" si="18"/>
        <v>#DIV/0!</v>
      </c>
      <c r="AA59" s="373" t="e">
        <f t="shared" si="18"/>
        <v>#DIV/0!</v>
      </c>
      <c r="AB59" s="373" t="e">
        <f t="shared" si="18"/>
        <v>#DIV/0!</v>
      </c>
      <c r="AC59" s="373" t="e">
        <f t="shared" si="18"/>
        <v>#DIV/0!</v>
      </c>
      <c r="AD59" s="373" t="e">
        <f t="shared" si="18"/>
        <v>#DIV/0!</v>
      </c>
      <c r="AE59" s="373" t="e">
        <f t="shared" si="18"/>
        <v>#DIV/0!</v>
      </c>
      <c r="AF59" s="373" t="e">
        <f t="shared" si="18"/>
        <v>#DIV/0!</v>
      </c>
      <c r="AG59" s="373" t="e">
        <f t="shared" si="18"/>
        <v>#DIV/0!</v>
      </c>
      <c r="AH59" s="373" t="e">
        <f t="shared" si="18"/>
        <v>#DIV/0!</v>
      </c>
      <c r="AI59" s="373" t="e">
        <f t="shared" si="18"/>
        <v>#DIV/0!</v>
      </c>
      <c r="AJ59" s="373" t="e">
        <f t="shared" si="18"/>
        <v>#DIV/0!</v>
      </c>
      <c r="AK59" s="373" t="e">
        <f t="shared" si="18"/>
        <v>#DIV/0!</v>
      </c>
      <c r="AL59" s="373" t="e">
        <f t="shared" si="18"/>
        <v>#DIV/0!</v>
      </c>
      <c r="AM59" s="373" t="e">
        <f t="shared" si="18"/>
        <v>#DIV/0!</v>
      </c>
      <c r="AN59" s="373" t="e">
        <f t="shared" si="18"/>
        <v>#DIV/0!</v>
      </c>
      <c r="AO59" s="373" t="e">
        <f t="shared" si="18"/>
        <v>#DIV/0!</v>
      </c>
      <c r="AP59" s="373" t="e">
        <f t="shared" si="18"/>
        <v>#DIV/0!</v>
      </c>
      <c r="AQ59" s="373" t="e">
        <f t="shared" si="18"/>
        <v>#DIV/0!</v>
      </c>
      <c r="AR59" s="373" t="e">
        <f t="shared" si="18"/>
        <v>#DIV/0!</v>
      </c>
      <c r="AS59" s="373" t="e">
        <f t="shared" si="18"/>
        <v>#DIV/0!</v>
      </c>
      <c r="AT59" s="373" t="e">
        <f t="shared" si="18"/>
        <v>#DIV/0!</v>
      </c>
      <c r="AU59" s="373" t="e">
        <f t="shared" si="18"/>
        <v>#DIV/0!</v>
      </c>
      <c r="AV59" s="373" t="e">
        <f t="shared" si="18"/>
        <v>#DIV/0!</v>
      </c>
      <c r="AW59" s="373" t="e">
        <f t="shared" si="18"/>
        <v>#DIV/0!</v>
      </c>
      <c r="AX59" s="373" t="e">
        <f t="shared" si="18"/>
        <v>#DIV/0!</v>
      </c>
      <c r="AY59" s="373" t="e">
        <f t="shared" si="18"/>
        <v>#DIV/0!</v>
      </c>
      <c r="AZ59" s="373" t="e">
        <f t="shared" si="18"/>
        <v>#DIV/0!</v>
      </c>
      <c r="BA59" s="373" t="e">
        <f t="shared" si="18"/>
        <v>#DIV/0!</v>
      </c>
      <c r="BB59" s="373" t="e">
        <f t="shared" si="18"/>
        <v>#DIV/0!</v>
      </c>
      <c r="BC59" s="373" t="e">
        <f t="shared" si="18"/>
        <v>#DIV/0!</v>
      </c>
      <c r="BD59" s="373" t="e">
        <f t="shared" si="18"/>
        <v>#DIV/0!</v>
      </c>
      <c r="BE59" s="373" t="e">
        <f t="shared" si="18"/>
        <v>#DIV/0!</v>
      </c>
      <c r="BF59" s="373" t="e">
        <f t="shared" si="18"/>
        <v>#DIV/0!</v>
      </c>
      <c r="BG59" s="373" t="e">
        <f t="shared" si="18"/>
        <v>#DIV/0!</v>
      </c>
      <c r="BH59" s="373" t="e">
        <f t="shared" si="18"/>
        <v>#DIV/0!</v>
      </c>
      <c r="BI59" s="373" t="e">
        <f t="shared" si="18"/>
        <v>#DIV/0!</v>
      </c>
      <c r="BJ59" s="373" t="e">
        <f t="shared" si="18"/>
        <v>#DIV/0!</v>
      </c>
      <c r="BK59" s="373" t="e">
        <f t="shared" si="18"/>
        <v>#DIV/0!</v>
      </c>
      <c r="BL59" s="373" t="e">
        <f t="shared" si="18"/>
        <v>#DIV/0!</v>
      </c>
      <c r="BM59" s="373" t="e">
        <f t="shared" si="18"/>
        <v>#DIV/0!</v>
      </c>
      <c r="BN59" s="373" t="e">
        <f t="shared" si="18"/>
        <v>#DIV/0!</v>
      </c>
      <c r="BO59" s="373" t="e">
        <f t="shared" si="18"/>
        <v>#DIV/0!</v>
      </c>
      <c r="BP59" s="373" t="e">
        <f t="shared" si="18"/>
        <v>#DIV/0!</v>
      </c>
      <c r="BQ59" s="373" t="e">
        <f t="shared" si="18"/>
        <v>#DIV/0!</v>
      </c>
      <c r="BR59" s="373" t="e">
        <f t="shared" ref="BR59:CF62" si="19">BR52*$E$11</f>
        <v>#DIV/0!</v>
      </c>
      <c r="BS59" s="373" t="e">
        <f t="shared" si="19"/>
        <v>#DIV/0!</v>
      </c>
      <c r="BT59" s="373" t="e">
        <f t="shared" si="19"/>
        <v>#DIV/0!</v>
      </c>
      <c r="BU59" s="373" t="e">
        <f t="shared" si="19"/>
        <v>#DIV/0!</v>
      </c>
      <c r="BV59" s="373" t="e">
        <f t="shared" si="19"/>
        <v>#DIV/0!</v>
      </c>
      <c r="BW59" s="373" t="e">
        <f t="shared" si="19"/>
        <v>#DIV/0!</v>
      </c>
      <c r="BX59" s="373" t="e">
        <f t="shared" si="19"/>
        <v>#DIV/0!</v>
      </c>
      <c r="BY59" s="373" t="e">
        <f t="shared" si="19"/>
        <v>#DIV/0!</v>
      </c>
      <c r="BZ59" s="373" t="e">
        <f t="shared" si="19"/>
        <v>#DIV/0!</v>
      </c>
      <c r="CA59" s="373" t="e">
        <f t="shared" si="19"/>
        <v>#DIV/0!</v>
      </c>
      <c r="CB59" s="373" t="e">
        <f t="shared" si="19"/>
        <v>#DIV/0!</v>
      </c>
      <c r="CC59" s="373" t="e">
        <f t="shared" si="19"/>
        <v>#DIV/0!</v>
      </c>
      <c r="CD59" s="373" t="e">
        <f t="shared" si="19"/>
        <v>#DIV/0!</v>
      </c>
      <c r="CE59" s="373" t="e">
        <f t="shared" si="19"/>
        <v>#DIV/0!</v>
      </c>
      <c r="CF59" s="373" t="e">
        <f t="shared" si="19"/>
        <v>#DIV/0!</v>
      </c>
    </row>
    <row r="60" spans="1:84">
      <c r="D60" s="380" t="s">
        <v>89</v>
      </c>
      <c r="E60" s="373" t="e">
        <f t="shared" ref="E60:T62" si="20">E53*$E$11</f>
        <v>#DIV/0!</v>
      </c>
      <c r="F60" s="373" t="e">
        <f t="shared" si="20"/>
        <v>#DIV/0!</v>
      </c>
      <c r="G60" s="373" t="e">
        <f t="shared" si="20"/>
        <v>#DIV/0!</v>
      </c>
      <c r="H60" s="373" t="e">
        <f t="shared" si="20"/>
        <v>#DIV/0!</v>
      </c>
      <c r="I60" s="373" t="e">
        <f t="shared" si="20"/>
        <v>#DIV/0!</v>
      </c>
      <c r="J60" s="373" t="e">
        <f t="shared" si="20"/>
        <v>#DIV/0!</v>
      </c>
      <c r="K60" s="373" t="e">
        <f t="shared" si="20"/>
        <v>#DIV/0!</v>
      </c>
      <c r="L60" s="373" t="e">
        <f t="shared" si="20"/>
        <v>#DIV/0!</v>
      </c>
      <c r="M60" s="373" t="e">
        <f t="shared" si="20"/>
        <v>#DIV/0!</v>
      </c>
      <c r="N60" s="373" t="e">
        <f t="shared" si="20"/>
        <v>#DIV/0!</v>
      </c>
      <c r="O60" s="373" t="e">
        <f t="shared" si="20"/>
        <v>#DIV/0!</v>
      </c>
      <c r="P60" s="373" t="e">
        <f t="shared" si="20"/>
        <v>#DIV/0!</v>
      </c>
      <c r="Q60" s="373" t="e">
        <f t="shared" si="20"/>
        <v>#DIV/0!</v>
      </c>
      <c r="R60" s="373" t="e">
        <f t="shared" si="20"/>
        <v>#DIV/0!</v>
      </c>
      <c r="S60" s="373" t="e">
        <f t="shared" si="20"/>
        <v>#DIV/0!</v>
      </c>
      <c r="T60" s="373" t="e">
        <f t="shared" si="20"/>
        <v>#DIV/0!</v>
      </c>
      <c r="U60" s="373" t="e">
        <f t="shared" si="18"/>
        <v>#DIV/0!</v>
      </c>
      <c r="V60" s="373" t="e">
        <f t="shared" si="18"/>
        <v>#DIV/0!</v>
      </c>
      <c r="W60" s="373" t="e">
        <f t="shared" si="18"/>
        <v>#DIV/0!</v>
      </c>
      <c r="X60" s="373" t="e">
        <f t="shared" si="18"/>
        <v>#DIV/0!</v>
      </c>
      <c r="Y60" s="373" t="e">
        <f t="shared" si="18"/>
        <v>#DIV/0!</v>
      </c>
      <c r="Z60" s="373" t="e">
        <f t="shared" si="18"/>
        <v>#DIV/0!</v>
      </c>
      <c r="AA60" s="373" t="e">
        <f t="shared" si="18"/>
        <v>#DIV/0!</v>
      </c>
      <c r="AB60" s="373" t="e">
        <f t="shared" si="18"/>
        <v>#DIV/0!</v>
      </c>
      <c r="AC60" s="373" t="e">
        <f t="shared" si="18"/>
        <v>#DIV/0!</v>
      </c>
      <c r="AD60" s="373" t="e">
        <f t="shared" si="18"/>
        <v>#DIV/0!</v>
      </c>
      <c r="AE60" s="373" t="e">
        <f t="shared" si="18"/>
        <v>#DIV/0!</v>
      </c>
      <c r="AF60" s="373" t="e">
        <f t="shared" si="18"/>
        <v>#DIV/0!</v>
      </c>
      <c r="AG60" s="373" t="e">
        <f t="shared" si="18"/>
        <v>#DIV/0!</v>
      </c>
      <c r="AH60" s="373" t="e">
        <f t="shared" si="18"/>
        <v>#DIV/0!</v>
      </c>
      <c r="AI60" s="373" t="e">
        <f t="shared" si="18"/>
        <v>#DIV/0!</v>
      </c>
      <c r="AJ60" s="373" t="e">
        <f t="shared" si="18"/>
        <v>#DIV/0!</v>
      </c>
      <c r="AK60" s="373" t="e">
        <f t="shared" si="18"/>
        <v>#DIV/0!</v>
      </c>
      <c r="AL60" s="373" t="e">
        <f t="shared" si="18"/>
        <v>#DIV/0!</v>
      </c>
      <c r="AM60" s="373" t="e">
        <f t="shared" si="18"/>
        <v>#DIV/0!</v>
      </c>
      <c r="AN60" s="373" t="e">
        <f t="shared" si="18"/>
        <v>#DIV/0!</v>
      </c>
      <c r="AO60" s="373" t="e">
        <f t="shared" si="18"/>
        <v>#DIV/0!</v>
      </c>
      <c r="AP60" s="373" t="e">
        <f t="shared" si="18"/>
        <v>#DIV/0!</v>
      </c>
      <c r="AQ60" s="373" t="e">
        <f t="shared" si="18"/>
        <v>#DIV/0!</v>
      </c>
      <c r="AR60" s="373" t="e">
        <f t="shared" si="18"/>
        <v>#DIV/0!</v>
      </c>
      <c r="AS60" s="373" t="e">
        <f t="shared" si="18"/>
        <v>#DIV/0!</v>
      </c>
      <c r="AT60" s="373" t="e">
        <f t="shared" si="18"/>
        <v>#DIV/0!</v>
      </c>
      <c r="AU60" s="373" t="e">
        <f t="shared" si="18"/>
        <v>#DIV/0!</v>
      </c>
      <c r="AV60" s="373" t="e">
        <f t="shared" si="18"/>
        <v>#DIV/0!</v>
      </c>
      <c r="AW60" s="373" t="e">
        <f t="shared" si="18"/>
        <v>#DIV/0!</v>
      </c>
      <c r="AX60" s="373" t="e">
        <f t="shared" si="18"/>
        <v>#DIV/0!</v>
      </c>
      <c r="AY60" s="373" t="e">
        <f t="shared" si="18"/>
        <v>#DIV/0!</v>
      </c>
      <c r="AZ60" s="373" t="e">
        <f t="shared" si="18"/>
        <v>#DIV/0!</v>
      </c>
      <c r="BA60" s="373" t="e">
        <f t="shared" si="18"/>
        <v>#DIV/0!</v>
      </c>
      <c r="BB60" s="373" t="e">
        <f t="shared" si="18"/>
        <v>#DIV/0!</v>
      </c>
      <c r="BC60" s="373" t="e">
        <f t="shared" si="18"/>
        <v>#DIV/0!</v>
      </c>
      <c r="BD60" s="373" t="e">
        <f t="shared" si="18"/>
        <v>#DIV/0!</v>
      </c>
      <c r="BE60" s="373" t="e">
        <f t="shared" si="18"/>
        <v>#DIV/0!</v>
      </c>
      <c r="BF60" s="373" t="e">
        <f t="shared" si="18"/>
        <v>#DIV/0!</v>
      </c>
      <c r="BG60" s="373" t="e">
        <f t="shared" si="18"/>
        <v>#DIV/0!</v>
      </c>
      <c r="BH60" s="373" t="e">
        <f t="shared" si="18"/>
        <v>#DIV/0!</v>
      </c>
      <c r="BI60" s="373" t="e">
        <f t="shared" si="18"/>
        <v>#DIV/0!</v>
      </c>
      <c r="BJ60" s="373" t="e">
        <f t="shared" si="18"/>
        <v>#DIV/0!</v>
      </c>
      <c r="BK60" s="373" t="e">
        <f t="shared" si="18"/>
        <v>#DIV/0!</v>
      </c>
      <c r="BL60" s="373" t="e">
        <f t="shared" si="18"/>
        <v>#DIV/0!</v>
      </c>
      <c r="BM60" s="373" t="e">
        <f t="shared" si="18"/>
        <v>#DIV/0!</v>
      </c>
      <c r="BN60" s="373" t="e">
        <f t="shared" si="18"/>
        <v>#DIV/0!</v>
      </c>
      <c r="BO60" s="373" t="e">
        <f t="shared" si="18"/>
        <v>#DIV/0!</v>
      </c>
      <c r="BP60" s="373" t="e">
        <f t="shared" si="18"/>
        <v>#DIV/0!</v>
      </c>
      <c r="BQ60" s="373" t="e">
        <f t="shared" si="18"/>
        <v>#DIV/0!</v>
      </c>
      <c r="BR60" s="373" t="e">
        <f t="shared" si="19"/>
        <v>#DIV/0!</v>
      </c>
      <c r="BS60" s="373" t="e">
        <f t="shared" si="19"/>
        <v>#DIV/0!</v>
      </c>
      <c r="BT60" s="373" t="e">
        <f t="shared" si="19"/>
        <v>#DIV/0!</v>
      </c>
      <c r="BU60" s="373" t="e">
        <f t="shared" si="19"/>
        <v>#DIV/0!</v>
      </c>
      <c r="BV60" s="373" t="e">
        <f t="shared" si="19"/>
        <v>#DIV/0!</v>
      </c>
      <c r="BW60" s="373" t="e">
        <f t="shared" si="19"/>
        <v>#DIV/0!</v>
      </c>
      <c r="BX60" s="373" t="e">
        <f t="shared" si="19"/>
        <v>#DIV/0!</v>
      </c>
      <c r="BY60" s="373" t="e">
        <f t="shared" si="19"/>
        <v>#DIV/0!</v>
      </c>
      <c r="BZ60" s="373" t="e">
        <f t="shared" si="19"/>
        <v>#DIV/0!</v>
      </c>
      <c r="CA60" s="373" t="e">
        <f t="shared" si="19"/>
        <v>#DIV/0!</v>
      </c>
      <c r="CB60" s="373" t="e">
        <f t="shared" si="19"/>
        <v>#DIV/0!</v>
      </c>
      <c r="CC60" s="373" t="e">
        <f t="shared" si="19"/>
        <v>#DIV/0!</v>
      </c>
      <c r="CD60" s="373" t="e">
        <f t="shared" si="19"/>
        <v>#DIV/0!</v>
      </c>
      <c r="CE60" s="373" t="e">
        <f t="shared" si="19"/>
        <v>#DIV/0!</v>
      </c>
      <c r="CF60" s="373" t="e">
        <f t="shared" si="19"/>
        <v>#DIV/0!</v>
      </c>
    </row>
    <row r="61" spans="1:84">
      <c r="D61" s="380" t="s">
        <v>91</v>
      </c>
      <c r="E61" s="373" t="e">
        <f t="shared" si="20"/>
        <v>#DIV/0!</v>
      </c>
      <c r="F61" s="373" t="e">
        <f t="shared" si="20"/>
        <v>#DIV/0!</v>
      </c>
      <c r="G61" s="373" t="e">
        <f t="shared" si="20"/>
        <v>#DIV/0!</v>
      </c>
      <c r="H61" s="373" t="e">
        <f t="shared" si="20"/>
        <v>#DIV/0!</v>
      </c>
      <c r="I61" s="373" t="e">
        <f t="shared" si="20"/>
        <v>#DIV/0!</v>
      </c>
      <c r="J61" s="373" t="e">
        <f t="shared" si="20"/>
        <v>#DIV/0!</v>
      </c>
      <c r="K61" s="373" t="e">
        <f t="shared" si="20"/>
        <v>#DIV/0!</v>
      </c>
      <c r="L61" s="373" t="e">
        <f t="shared" si="20"/>
        <v>#DIV/0!</v>
      </c>
      <c r="M61" s="373" t="e">
        <f t="shared" si="20"/>
        <v>#DIV/0!</v>
      </c>
      <c r="N61" s="373" t="e">
        <f t="shared" si="20"/>
        <v>#DIV/0!</v>
      </c>
      <c r="O61" s="373" t="e">
        <f t="shared" si="20"/>
        <v>#DIV/0!</v>
      </c>
      <c r="P61" s="373" t="e">
        <f t="shared" si="20"/>
        <v>#DIV/0!</v>
      </c>
      <c r="Q61" s="373" t="e">
        <f t="shared" si="20"/>
        <v>#DIV/0!</v>
      </c>
      <c r="R61" s="373" t="e">
        <f t="shared" si="20"/>
        <v>#DIV/0!</v>
      </c>
      <c r="S61" s="373" t="e">
        <f t="shared" si="20"/>
        <v>#DIV/0!</v>
      </c>
      <c r="T61" s="373" t="e">
        <f t="shared" si="20"/>
        <v>#DIV/0!</v>
      </c>
      <c r="U61" s="373" t="e">
        <f t="shared" si="18"/>
        <v>#DIV/0!</v>
      </c>
      <c r="V61" s="373" t="e">
        <f t="shared" si="18"/>
        <v>#DIV/0!</v>
      </c>
      <c r="W61" s="373" t="e">
        <f t="shared" si="18"/>
        <v>#DIV/0!</v>
      </c>
      <c r="X61" s="373" t="e">
        <f t="shared" si="18"/>
        <v>#DIV/0!</v>
      </c>
      <c r="Y61" s="373" t="e">
        <f t="shared" si="18"/>
        <v>#DIV/0!</v>
      </c>
      <c r="Z61" s="373" t="e">
        <f t="shared" si="18"/>
        <v>#DIV/0!</v>
      </c>
      <c r="AA61" s="373" t="e">
        <f t="shared" si="18"/>
        <v>#DIV/0!</v>
      </c>
      <c r="AB61" s="373" t="e">
        <f t="shared" si="18"/>
        <v>#DIV/0!</v>
      </c>
      <c r="AC61" s="373" t="e">
        <f t="shared" si="18"/>
        <v>#DIV/0!</v>
      </c>
      <c r="AD61" s="373" t="e">
        <f t="shared" si="18"/>
        <v>#DIV/0!</v>
      </c>
      <c r="AE61" s="373" t="e">
        <f t="shared" si="18"/>
        <v>#DIV/0!</v>
      </c>
      <c r="AF61" s="373" t="e">
        <f t="shared" si="18"/>
        <v>#DIV/0!</v>
      </c>
      <c r="AG61" s="373" t="e">
        <f t="shared" si="18"/>
        <v>#DIV/0!</v>
      </c>
      <c r="AH61" s="373" t="e">
        <f t="shared" si="18"/>
        <v>#DIV/0!</v>
      </c>
      <c r="AI61" s="373" t="e">
        <f t="shared" si="18"/>
        <v>#DIV/0!</v>
      </c>
      <c r="AJ61" s="373" t="e">
        <f t="shared" si="18"/>
        <v>#DIV/0!</v>
      </c>
      <c r="AK61" s="373" t="e">
        <f t="shared" si="18"/>
        <v>#DIV/0!</v>
      </c>
      <c r="AL61" s="373" t="e">
        <f t="shared" si="18"/>
        <v>#DIV/0!</v>
      </c>
      <c r="AM61" s="373" t="e">
        <f t="shared" si="18"/>
        <v>#DIV/0!</v>
      </c>
      <c r="AN61" s="373" t="e">
        <f t="shared" si="18"/>
        <v>#DIV/0!</v>
      </c>
      <c r="AO61" s="373" t="e">
        <f t="shared" si="18"/>
        <v>#DIV/0!</v>
      </c>
      <c r="AP61" s="373" t="e">
        <f t="shared" si="18"/>
        <v>#DIV/0!</v>
      </c>
      <c r="AQ61" s="373" t="e">
        <f t="shared" si="18"/>
        <v>#DIV/0!</v>
      </c>
      <c r="AR61" s="373" t="e">
        <f t="shared" si="18"/>
        <v>#DIV/0!</v>
      </c>
      <c r="AS61" s="373" t="e">
        <f t="shared" si="18"/>
        <v>#DIV/0!</v>
      </c>
      <c r="AT61" s="373" t="e">
        <f t="shared" si="18"/>
        <v>#DIV/0!</v>
      </c>
      <c r="AU61" s="373" t="e">
        <f t="shared" si="18"/>
        <v>#DIV/0!</v>
      </c>
      <c r="AV61" s="373" t="e">
        <f t="shared" si="18"/>
        <v>#DIV/0!</v>
      </c>
      <c r="AW61" s="373" t="e">
        <f t="shared" si="18"/>
        <v>#DIV/0!</v>
      </c>
      <c r="AX61" s="373" t="e">
        <f t="shared" si="18"/>
        <v>#DIV/0!</v>
      </c>
      <c r="AY61" s="373" t="e">
        <f t="shared" si="18"/>
        <v>#DIV/0!</v>
      </c>
      <c r="AZ61" s="373" t="e">
        <f t="shared" si="18"/>
        <v>#DIV/0!</v>
      </c>
      <c r="BA61" s="373" t="e">
        <f t="shared" si="18"/>
        <v>#DIV/0!</v>
      </c>
      <c r="BB61" s="373" t="e">
        <f t="shared" si="18"/>
        <v>#DIV/0!</v>
      </c>
      <c r="BC61" s="373" t="e">
        <f t="shared" si="18"/>
        <v>#DIV/0!</v>
      </c>
      <c r="BD61" s="373" t="e">
        <f t="shared" si="18"/>
        <v>#DIV/0!</v>
      </c>
      <c r="BE61" s="373" t="e">
        <f t="shared" si="18"/>
        <v>#DIV/0!</v>
      </c>
      <c r="BF61" s="373" t="e">
        <f t="shared" si="18"/>
        <v>#DIV/0!</v>
      </c>
      <c r="BG61" s="373" t="e">
        <f t="shared" si="18"/>
        <v>#DIV/0!</v>
      </c>
      <c r="BH61" s="373" t="e">
        <f t="shared" si="18"/>
        <v>#DIV/0!</v>
      </c>
      <c r="BI61" s="373" t="e">
        <f t="shared" si="18"/>
        <v>#DIV/0!</v>
      </c>
      <c r="BJ61" s="373" t="e">
        <f t="shared" si="18"/>
        <v>#DIV/0!</v>
      </c>
      <c r="BK61" s="373" t="e">
        <f t="shared" si="18"/>
        <v>#DIV/0!</v>
      </c>
      <c r="BL61" s="373" t="e">
        <f t="shared" si="18"/>
        <v>#DIV/0!</v>
      </c>
      <c r="BM61" s="373" t="e">
        <f t="shared" si="18"/>
        <v>#DIV/0!</v>
      </c>
      <c r="BN61" s="373" t="e">
        <f t="shared" si="18"/>
        <v>#DIV/0!</v>
      </c>
      <c r="BO61" s="373" t="e">
        <f t="shared" si="18"/>
        <v>#DIV/0!</v>
      </c>
      <c r="BP61" s="373" t="e">
        <f t="shared" si="18"/>
        <v>#DIV/0!</v>
      </c>
      <c r="BQ61" s="373" t="e">
        <f t="shared" si="18"/>
        <v>#DIV/0!</v>
      </c>
      <c r="BR61" s="373" t="e">
        <f t="shared" si="19"/>
        <v>#DIV/0!</v>
      </c>
      <c r="BS61" s="373" t="e">
        <f t="shared" si="19"/>
        <v>#DIV/0!</v>
      </c>
      <c r="BT61" s="373" t="e">
        <f t="shared" si="19"/>
        <v>#DIV/0!</v>
      </c>
      <c r="BU61" s="373" t="e">
        <f t="shared" si="19"/>
        <v>#DIV/0!</v>
      </c>
      <c r="BV61" s="373" t="e">
        <f t="shared" si="19"/>
        <v>#DIV/0!</v>
      </c>
      <c r="BW61" s="373" t="e">
        <f t="shared" si="19"/>
        <v>#DIV/0!</v>
      </c>
      <c r="BX61" s="373" t="e">
        <f t="shared" si="19"/>
        <v>#DIV/0!</v>
      </c>
      <c r="BY61" s="373" t="e">
        <f t="shared" si="19"/>
        <v>#DIV/0!</v>
      </c>
      <c r="BZ61" s="373" t="e">
        <f t="shared" si="19"/>
        <v>#DIV/0!</v>
      </c>
      <c r="CA61" s="373" t="e">
        <f t="shared" si="19"/>
        <v>#DIV/0!</v>
      </c>
      <c r="CB61" s="373" t="e">
        <f t="shared" si="19"/>
        <v>#DIV/0!</v>
      </c>
      <c r="CC61" s="373" t="e">
        <f t="shared" si="19"/>
        <v>#DIV/0!</v>
      </c>
      <c r="CD61" s="373" t="e">
        <f t="shared" si="19"/>
        <v>#DIV/0!</v>
      </c>
      <c r="CE61" s="373" t="e">
        <f t="shared" si="19"/>
        <v>#DIV/0!</v>
      </c>
      <c r="CF61" s="373" t="e">
        <f t="shared" si="19"/>
        <v>#DIV/0!</v>
      </c>
    </row>
    <row r="62" spans="1:84">
      <c r="D62" s="380" t="s">
        <v>93</v>
      </c>
      <c r="E62" s="373" t="e">
        <f t="shared" si="20"/>
        <v>#DIV/0!</v>
      </c>
      <c r="F62" s="373" t="e">
        <f t="shared" si="18"/>
        <v>#DIV/0!</v>
      </c>
      <c r="G62" s="373" t="e">
        <f t="shared" si="18"/>
        <v>#DIV/0!</v>
      </c>
      <c r="H62" s="373" t="e">
        <f t="shared" si="18"/>
        <v>#DIV/0!</v>
      </c>
      <c r="I62" s="373" t="e">
        <f t="shared" si="18"/>
        <v>#DIV/0!</v>
      </c>
      <c r="J62" s="373" t="e">
        <f t="shared" si="18"/>
        <v>#DIV/0!</v>
      </c>
      <c r="K62" s="373" t="e">
        <f t="shared" si="18"/>
        <v>#DIV/0!</v>
      </c>
      <c r="L62" s="373" t="e">
        <f t="shared" si="18"/>
        <v>#DIV/0!</v>
      </c>
      <c r="M62" s="373" t="e">
        <f t="shared" si="18"/>
        <v>#DIV/0!</v>
      </c>
      <c r="N62" s="373" t="e">
        <f t="shared" si="18"/>
        <v>#DIV/0!</v>
      </c>
      <c r="O62" s="373" t="e">
        <f t="shared" si="18"/>
        <v>#DIV/0!</v>
      </c>
      <c r="P62" s="373" t="e">
        <f t="shared" si="18"/>
        <v>#DIV/0!</v>
      </c>
      <c r="Q62" s="373" t="e">
        <f t="shared" si="18"/>
        <v>#DIV/0!</v>
      </c>
      <c r="R62" s="373" t="e">
        <f t="shared" si="18"/>
        <v>#DIV/0!</v>
      </c>
      <c r="S62" s="373" t="e">
        <f t="shared" si="18"/>
        <v>#DIV/0!</v>
      </c>
      <c r="T62" s="373" t="e">
        <f t="shared" si="18"/>
        <v>#DIV/0!</v>
      </c>
      <c r="U62" s="373" t="e">
        <f t="shared" si="18"/>
        <v>#DIV/0!</v>
      </c>
      <c r="V62" s="373" t="e">
        <f t="shared" si="18"/>
        <v>#DIV/0!</v>
      </c>
      <c r="W62" s="373" t="e">
        <f t="shared" si="18"/>
        <v>#DIV/0!</v>
      </c>
      <c r="X62" s="373" t="e">
        <f t="shared" si="18"/>
        <v>#DIV/0!</v>
      </c>
      <c r="Y62" s="373" t="e">
        <f t="shared" si="18"/>
        <v>#DIV/0!</v>
      </c>
      <c r="Z62" s="373" t="e">
        <f t="shared" si="18"/>
        <v>#DIV/0!</v>
      </c>
      <c r="AA62" s="373" t="e">
        <f t="shared" si="18"/>
        <v>#DIV/0!</v>
      </c>
      <c r="AB62" s="373" t="e">
        <f t="shared" si="18"/>
        <v>#DIV/0!</v>
      </c>
      <c r="AC62" s="373" t="e">
        <f t="shared" si="18"/>
        <v>#DIV/0!</v>
      </c>
      <c r="AD62" s="373" t="e">
        <f t="shared" si="18"/>
        <v>#DIV/0!</v>
      </c>
      <c r="AE62" s="373" t="e">
        <f t="shared" si="18"/>
        <v>#DIV/0!</v>
      </c>
      <c r="AF62" s="373" t="e">
        <f t="shared" si="18"/>
        <v>#DIV/0!</v>
      </c>
      <c r="AG62" s="373" t="e">
        <f t="shared" si="18"/>
        <v>#DIV/0!</v>
      </c>
      <c r="AH62" s="373" t="e">
        <f t="shared" si="18"/>
        <v>#DIV/0!</v>
      </c>
      <c r="AI62" s="373" t="e">
        <f t="shared" si="18"/>
        <v>#DIV/0!</v>
      </c>
      <c r="AJ62" s="373" t="e">
        <f t="shared" si="18"/>
        <v>#DIV/0!</v>
      </c>
      <c r="AK62" s="373" t="e">
        <f t="shared" si="18"/>
        <v>#DIV/0!</v>
      </c>
      <c r="AL62" s="373" t="e">
        <f t="shared" si="18"/>
        <v>#DIV/0!</v>
      </c>
      <c r="AM62" s="373" t="e">
        <f t="shared" si="18"/>
        <v>#DIV/0!</v>
      </c>
      <c r="AN62" s="373" t="e">
        <f t="shared" si="18"/>
        <v>#DIV/0!</v>
      </c>
      <c r="AO62" s="373" t="e">
        <f t="shared" si="18"/>
        <v>#DIV/0!</v>
      </c>
      <c r="AP62" s="373" t="e">
        <f t="shared" si="18"/>
        <v>#DIV/0!</v>
      </c>
      <c r="AQ62" s="373" t="e">
        <f t="shared" si="18"/>
        <v>#DIV/0!</v>
      </c>
      <c r="AR62" s="373" t="e">
        <f t="shared" si="18"/>
        <v>#DIV/0!</v>
      </c>
      <c r="AS62" s="373" t="e">
        <f t="shared" si="18"/>
        <v>#DIV/0!</v>
      </c>
      <c r="AT62" s="373" t="e">
        <f t="shared" si="18"/>
        <v>#DIV/0!</v>
      </c>
      <c r="AU62" s="373" t="e">
        <f t="shared" si="18"/>
        <v>#DIV/0!</v>
      </c>
      <c r="AV62" s="373" t="e">
        <f t="shared" si="18"/>
        <v>#DIV/0!</v>
      </c>
      <c r="AW62" s="373" t="e">
        <f t="shared" si="18"/>
        <v>#DIV/0!</v>
      </c>
      <c r="AX62" s="373" t="e">
        <f t="shared" si="18"/>
        <v>#DIV/0!</v>
      </c>
      <c r="AY62" s="373" t="e">
        <f t="shared" si="18"/>
        <v>#DIV/0!</v>
      </c>
      <c r="AZ62" s="373" t="e">
        <f t="shared" si="18"/>
        <v>#DIV/0!</v>
      </c>
      <c r="BA62" s="373" t="e">
        <f t="shared" si="18"/>
        <v>#DIV/0!</v>
      </c>
      <c r="BB62" s="373" t="e">
        <f t="shared" si="18"/>
        <v>#DIV/0!</v>
      </c>
      <c r="BC62" s="373" t="e">
        <f t="shared" si="18"/>
        <v>#DIV/0!</v>
      </c>
      <c r="BD62" s="373" t="e">
        <f t="shared" si="18"/>
        <v>#DIV/0!</v>
      </c>
      <c r="BE62" s="373" t="e">
        <f t="shared" si="18"/>
        <v>#DIV/0!</v>
      </c>
      <c r="BF62" s="373" t="e">
        <f t="shared" si="18"/>
        <v>#DIV/0!</v>
      </c>
      <c r="BG62" s="373" t="e">
        <f t="shared" si="18"/>
        <v>#DIV/0!</v>
      </c>
      <c r="BH62" s="373" t="e">
        <f t="shared" si="18"/>
        <v>#DIV/0!</v>
      </c>
      <c r="BI62" s="373" t="e">
        <f t="shared" si="18"/>
        <v>#DIV/0!</v>
      </c>
      <c r="BJ62" s="373" t="e">
        <f t="shared" si="18"/>
        <v>#DIV/0!</v>
      </c>
      <c r="BK62" s="373" t="e">
        <f t="shared" si="18"/>
        <v>#DIV/0!</v>
      </c>
      <c r="BL62" s="373" t="e">
        <f t="shared" si="18"/>
        <v>#DIV/0!</v>
      </c>
      <c r="BM62" s="373" t="e">
        <f t="shared" si="18"/>
        <v>#DIV/0!</v>
      </c>
      <c r="BN62" s="373" t="e">
        <f t="shared" si="18"/>
        <v>#DIV/0!</v>
      </c>
      <c r="BO62" s="373" t="e">
        <f t="shared" si="18"/>
        <v>#DIV/0!</v>
      </c>
      <c r="BP62" s="373" t="e">
        <f t="shared" si="18"/>
        <v>#DIV/0!</v>
      </c>
      <c r="BQ62" s="373" t="e">
        <f t="shared" si="18"/>
        <v>#DIV/0!</v>
      </c>
      <c r="BR62" s="373" t="e">
        <f t="shared" si="19"/>
        <v>#DIV/0!</v>
      </c>
      <c r="BS62" s="373" t="e">
        <f t="shared" si="19"/>
        <v>#DIV/0!</v>
      </c>
      <c r="BT62" s="373" t="e">
        <f t="shared" si="19"/>
        <v>#DIV/0!</v>
      </c>
      <c r="BU62" s="373" t="e">
        <f t="shared" si="19"/>
        <v>#DIV/0!</v>
      </c>
      <c r="BV62" s="373" t="e">
        <f t="shared" si="19"/>
        <v>#DIV/0!</v>
      </c>
      <c r="BW62" s="373" t="e">
        <f t="shared" si="19"/>
        <v>#DIV/0!</v>
      </c>
      <c r="BX62" s="373" t="e">
        <f t="shared" si="19"/>
        <v>#DIV/0!</v>
      </c>
      <c r="BY62" s="373" t="e">
        <f t="shared" si="19"/>
        <v>#DIV/0!</v>
      </c>
      <c r="BZ62" s="373" t="e">
        <f t="shared" si="19"/>
        <v>#DIV/0!</v>
      </c>
      <c r="CA62" s="373" t="e">
        <f t="shared" si="19"/>
        <v>#DIV/0!</v>
      </c>
      <c r="CB62" s="373" t="e">
        <f t="shared" si="19"/>
        <v>#DIV/0!</v>
      </c>
      <c r="CC62" s="373" t="e">
        <f t="shared" si="19"/>
        <v>#DIV/0!</v>
      </c>
      <c r="CD62" s="373" t="e">
        <f t="shared" si="19"/>
        <v>#DIV/0!</v>
      </c>
      <c r="CE62" s="373" t="e">
        <f t="shared" si="19"/>
        <v>#DIV/0!</v>
      </c>
      <c r="CF62" s="373" t="e">
        <f t="shared" si="19"/>
        <v>#DIV/0!</v>
      </c>
    </row>
    <row r="63" spans="1:84">
      <c r="D63" s="378"/>
    </row>
    <row r="64" spans="1:84">
      <c r="C64" s="360" t="s">
        <v>346</v>
      </c>
      <c r="D64" s="378"/>
    </row>
    <row r="65" spans="1:84" s="377" customFormat="1">
      <c r="A65" s="379"/>
      <c r="B65" s="379"/>
      <c r="C65" s="379"/>
      <c r="D65" s="374"/>
      <c r="E65" s="375">
        <v>2010</v>
      </c>
      <c r="F65" s="376">
        <v>2011</v>
      </c>
      <c r="G65" s="376">
        <v>2012</v>
      </c>
      <c r="H65" s="376">
        <v>2013</v>
      </c>
      <c r="I65" s="376">
        <v>2014</v>
      </c>
      <c r="J65" s="376">
        <v>2015</v>
      </c>
      <c r="K65" s="376">
        <v>2016</v>
      </c>
      <c r="L65" s="376">
        <v>2017</v>
      </c>
      <c r="M65" s="376">
        <v>2018</v>
      </c>
      <c r="N65" s="376">
        <v>2019</v>
      </c>
      <c r="O65" s="376">
        <v>2020</v>
      </c>
      <c r="P65" s="376">
        <v>2021</v>
      </c>
      <c r="Q65" s="376">
        <v>2022</v>
      </c>
      <c r="R65" s="376">
        <v>2023</v>
      </c>
      <c r="S65" s="376">
        <v>2024</v>
      </c>
      <c r="T65" s="376">
        <v>2025</v>
      </c>
      <c r="U65" s="376">
        <v>2026</v>
      </c>
      <c r="V65" s="376">
        <v>2027</v>
      </c>
      <c r="W65" s="376">
        <v>2028</v>
      </c>
      <c r="X65" s="376">
        <v>2029</v>
      </c>
      <c r="Y65" s="376">
        <v>2030</v>
      </c>
      <c r="Z65" s="376">
        <v>2031</v>
      </c>
      <c r="AA65" s="376">
        <v>2032</v>
      </c>
      <c r="AB65" s="376">
        <v>2033</v>
      </c>
      <c r="AC65" s="376">
        <v>2034</v>
      </c>
      <c r="AD65" s="376">
        <v>2035</v>
      </c>
      <c r="AE65" s="376">
        <v>2036</v>
      </c>
      <c r="AF65" s="376">
        <v>2037</v>
      </c>
      <c r="AG65" s="376">
        <v>2038</v>
      </c>
      <c r="AH65" s="376">
        <v>2039</v>
      </c>
      <c r="AI65" s="376">
        <v>2040</v>
      </c>
      <c r="AJ65" s="376">
        <v>2041</v>
      </c>
      <c r="AK65" s="376">
        <v>2042</v>
      </c>
      <c r="AL65" s="376">
        <v>2043</v>
      </c>
      <c r="AM65" s="376">
        <v>2044</v>
      </c>
      <c r="AN65" s="376">
        <v>2045</v>
      </c>
      <c r="AO65" s="376">
        <v>2046</v>
      </c>
      <c r="AP65" s="376">
        <v>2047</v>
      </c>
      <c r="AQ65" s="376">
        <v>2048</v>
      </c>
      <c r="AR65" s="376">
        <v>2049</v>
      </c>
      <c r="AS65" s="376">
        <v>2050</v>
      </c>
      <c r="AT65" s="376">
        <v>2051</v>
      </c>
      <c r="AU65" s="376">
        <v>2052</v>
      </c>
      <c r="AV65" s="376">
        <v>2053</v>
      </c>
      <c r="AW65" s="376">
        <v>2054</v>
      </c>
      <c r="AX65" s="376">
        <v>2055</v>
      </c>
      <c r="AY65" s="376">
        <v>2056</v>
      </c>
      <c r="AZ65" s="376">
        <v>2057</v>
      </c>
      <c r="BA65" s="376">
        <v>2058</v>
      </c>
      <c r="BB65" s="376">
        <v>2059</v>
      </c>
      <c r="BC65" s="376">
        <v>2060</v>
      </c>
      <c r="BD65" s="376">
        <v>2061</v>
      </c>
      <c r="BE65" s="376">
        <v>2062</v>
      </c>
      <c r="BF65" s="376">
        <v>2063</v>
      </c>
      <c r="BG65" s="376">
        <v>2064</v>
      </c>
      <c r="BH65" s="376">
        <v>2065</v>
      </c>
      <c r="BI65" s="376">
        <v>2066</v>
      </c>
      <c r="BJ65" s="376">
        <v>2067</v>
      </c>
      <c r="BK65" s="376">
        <v>2068</v>
      </c>
      <c r="BL65" s="376">
        <v>2069</v>
      </c>
      <c r="BM65" s="376">
        <v>2070</v>
      </c>
      <c r="BN65" s="376">
        <v>2071</v>
      </c>
      <c r="BO65" s="376">
        <v>2072</v>
      </c>
      <c r="BP65" s="376">
        <v>2073</v>
      </c>
      <c r="BQ65" s="376">
        <v>2074</v>
      </c>
      <c r="BR65" s="376">
        <v>2075</v>
      </c>
      <c r="BS65" s="376">
        <v>2076</v>
      </c>
      <c r="BT65" s="376">
        <v>2077</v>
      </c>
      <c r="BU65" s="376">
        <v>2078</v>
      </c>
      <c r="BV65" s="376">
        <v>2079</v>
      </c>
      <c r="BW65" s="376">
        <v>2080</v>
      </c>
      <c r="BX65" s="376">
        <v>2081</v>
      </c>
      <c r="BY65" s="376">
        <v>2082</v>
      </c>
      <c r="BZ65" s="376">
        <v>2083</v>
      </c>
      <c r="CA65" s="376">
        <v>2084</v>
      </c>
      <c r="CB65" s="376">
        <v>2085</v>
      </c>
      <c r="CC65" s="376">
        <v>2086</v>
      </c>
      <c r="CD65" s="376">
        <v>2087</v>
      </c>
      <c r="CE65" s="376">
        <v>2088</v>
      </c>
      <c r="CF65" s="376">
        <v>2089</v>
      </c>
    </row>
    <row r="66" spans="1:84">
      <c r="D66" s="380" t="s">
        <v>87</v>
      </c>
      <c r="E66" s="373" t="e">
        <f>E59+E45</f>
        <v>#DIV/0!</v>
      </c>
      <c r="F66" s="373" t="e">
        <f t="shared" ref="F66:BQ67" si="21">F59+F45</f>
        <v>#DIV/0!</v>
      </c>
      <c r="G66" s="373" t="e">
        <f t="shared" si="21"/>
        <v>#DIV/0!</v>
      </c>
      <c r="H66" s="373" t="e">
        <f t="shared" si="21"/>
        <v>#DIV/0!</v>
      </c>
      <c r="I66" s="373" t="e">
        <f t="shared" si="21"/>
        <v>#DIV/0!</v>
      </c>
      <c r="J66" s="373" t="e">
        <f t="shared" si="21"/>
        <v>#DIV/0!</v>
      </c>
      <c r="K66" s="373" t="e">
        <f t="shared" si="21"/>
        <v>#DIV/0!</v>
      </c>
      <c r="L66" s="373" t="e">
        <f t="shared" si="21"/>
        <v>#DIV/0!</v>
      </c>
      <c r="M66" s="373" t="e">
        <f t="shared" si="21"/>
        <v>#DIV/0!</v>
      </c>
      <c r="N66" s="373" t="e">
        <f t="shared" si="21"/>
        <v>#DIV/0!</v>
      </c>
      <c r="O66" s="373" t="e">
        <f t="shared" si="21"/>
        <v>#DIV/0!</v>
      </c>
      <c r="P66" s="373" t="e">
        <f t="shared" si="21"/>
        <v>#DIV/0!</v>
      </c>
      <c r="Q66" s="373" t="e">
        <f t="shared" si="21"/>
        <v>#DIV/0!</v>
      </c>
      <c r="R66" s="373" t="e">
        <f t="shared" si="21"/>
        <v>#DIV/0!</v>
      </c>
      <c r="S66" s="373" t="e">
        <f t="shared" si="21"/>
        <v>#DIV/0!</v>
      </c>
      <c r="T66" s="373" t="e">
        <f t="shared" si="21"/>
        <v>#DIV/0!</v>
      </c>
      <c r="U66" s="373" t="e">
        <f t="shared" si="21"/>
        <v>#DIV/0!</v>
      </c>
      <c r="V66" s="373" t="e">
        <f t="shared" si="21"/>
        <v>#DIV/0!</v>
      </c>
      <c r="W66" s="373" t="e">
        <f t="shared" si="21"/>
        <v>#DIV/0!</v>
      </c>
      <c r="X66" s="373" t="e">
        <f t="shared" si="21"/>
        <v>#DIV/0!</v>
      </c>
      <c r="Y66" s="373" t="e">
        <f t="shared" si="21"/>
        <v>#DIV/0!</v>
      </c>
      <c r="Z66" s="373" t="e">
        <f t="shared" si="21"/>
        <v>#DIV/0!</v>
      </c>
      <c r="AA66" s="373" t="e">
        <f t="shared" si="21"/>
        <v>#DIV/0!</v>
      </c>
      <c r="AB66" s="373" t="e">
        <f t="shared" si="21"/>
        <v>#DIV/0!</v>
      </c>
      <c r="AC66" s="373" t="e">
        <f t="shared" si="21"/>
        <v>#DIV/0!</v>
      </c>
      <c r="AD66" s="373" t="e">
        <f t="shared" si="21"/>
        <v>#DIV/0!</v>
      </c>
      <c r="AE66" s="373" t="e">
        <f t="shared" si="21"/>
        <v>#DIV/0!</v>
      </c>
      <c r="AF66" s="373" t="e">
        <f t="shared" si="21"/>
        <v>#DIV/0!</v>
      </c>
      <c r="AG66" s="373" t="e">
        <f t="shared" si="21"/>
        <v>#DIV/0!</v>
      </c>
      <c r="AH66" s="373" t="e">
        <f t="shared" si="21"/>
        <v>#DIV/0!</v>
      </c>
      <c r="AI66" s="373" t="e">
        <f t="shared" si="21"/>
        <v>#DIV/0!</v>
      </c>
      <c r="AJ66" s="373" t="e">
        <f t="shared" si="21"/>
        <v>#DIV/0!</v>
      </c>
      <c r="AK66" s="373" t="e">
        <f t="shared" si="21"/>
        <v>#DIV/0!</v>
      </c>
      <c r="AL66" s="373" t="e">
        <f t="shared" si="21"/>
        <v>#DIV/0!</v>
      </c>
      <c r="AM66" s="373" t="e">
        <f t="shared" si="21"/>
        <v>#DIV/0!</v>
      </c>
      <c r="AN66" s="373" t="e">
        <f t="shared" si="21"/>
        <v>#DIV/0!</v>
      </c>
      <c r="AO66" s="373" t="e">
        <f t="shared" si="21"/>
        <v>#DIV/0!</v>
      </c>
      <c r="AP66" s="373" t="e">
        <f t="shared" si="21"/>
        <v>#DIV/0!</v>
      </c>
      <c r="AQ66" s="373" t="e">
        <f t="shared" si="21"/>
        <v>#DIV/0!</v>
      </c>
      <c r="AR66" s="373" t="e">
        <f t="shared" si="21"/>
        <v>#DIV/0!</v>
      </c>
      <c r="AS66" s="373" t="e">
        <f t="shared" si="21"/>
        <v>#DIV/0!</v>
      </c>
      <c r="AT66" s="373" t="e">
        <f t="shared" si="21"/>
        <v>#DIV/0!</v>
      </c>
      <c r="AU66" s="373" t="e">
        <f t="shared" si="21"/>
        <v>#DIV/0!</v>
      </c>
      <c r="AV66" s="373" t="e">
        <f t="shared" si="21"/>
        <v>#DIV/0!</v>
      </c>
      <c r="AW66" s="373" t="e">
        <f t="shared" si="21"/>
        <v>#DIV/0!</v>
      </c>
      <c r="AX66" s="373" t="e">
        <f t="shared" si="21"/>
        <v>#DIV/0!</v>
      </c>
      <c r="AY66" s="373" t="e">
        <f t="shared" si="21"/>
        <v>#DIV/0!</v>
      </c>
      <c r="AZ66" s="373" t="e">
        <f t="shared" si="21"/>
        <v>#DIV/0!</v>
      </c>
      <c r="BA66" s="373" t="e">
        <f t="shared" si="21"/>
        <v>#DIV/0!</v>
      </c>
      <c r="BB66" s="373" t="e">
        <f t="shared" si="21"/>
        <v>#DIV/0!</v>
      </c>
      <c r="BC66" s="373" t="e">
        <f t="shared" si="21"/>
        <v>#DIV/0!</v>
      </c>
      <c r="BD66" s="373" t="e">
        <f t="shared" si="21"/>
        <v>#DIV/0!</v>
      </c>
      <c r="BE66" s="373" t="e">
        <f t="shared" si="21"/>
        <v>#DIV/0!</v>
      </c>
      <c r="BF66" s="373" t="e">
        <f t="shared" si="21"/>
        <v>#DIV/0!</v>
      </c>
      <c r="BG66" s="373" t="e">
        <f t="shared" si="21"/>
        <v>#DIV/0!</v>
      </c>
      <c r="BH66" s="373" t="e">
        <f t="shared" si="21"/>
        <v>#DIV/0!</v>
      </c>
      <c r="BI66" s="373" t="e">
        <f t="shared" si="21"/>
        <v>#DIV/0!</v>
      </c>
      <c r="BJ66" s="373" t="e">
        <f t="shared" si="21"/>
        <v>#DIV/0!</v>
      </c>
      <c r="BK66" s="373" t="e">
        <f t="shared" si="21"/>
        <v>#DIV/0!</v>
      </c>
      <c r="BL66" s="373" t="e">
        <f t="shared" si="21"/>
        <v>#DIV/0!</v>
      </c>
      <c r="BM66" s="373" t="e">
        <f t="shared" si="21"/>
        <v>#DIV/0!</v>
      </c>
      <c r="BN66" s="373" t="e">
        <f t="shared" si="21"/>
        <v>#DIV/0!</v>
      </c>
      <c r="BO66" s="373" t="e">
        <f t="shared" si="21"/>
        <v>#DIV/0!</v>
      </c>
      <c r="BP66" s="373" t="e">
        <f t="shared" si="21"/>
        <v>#DIV/0!</v>
      </c>
      <c r="BQ66" s="373" t="e">
        <f t="shared" si="21"/>
        <v>#DIV/0!</v>
      </c>
      <c r="BR66" s="373" t="e">
        <f t="shared" ref="BR66:CF69" si="22">BR59+BR45</f>
        <v>#DIV/0!</v>
      </c>
      <c r="BS66" s="373" t="e">
        <f t="shared" si="22"/>
        <v>#DIV/0!</v>
      </c>
      <c r="BT66" s="373" t="e">
        <f t="shared" si="22"/>
        <v>#DIV/0!</v>
      </c>
      <c r="BU66" s="373" t="e">
        <f t="shared" si="22"/>
        <v>#DIV/0!</v>
      </c>
      <c r="BV66" s="373" t="e">
        <f t="shared" si="22"/>
        <v>#DIV/0!</v>
      </c>
      <c r="BW66" s="373" t="e">
        <f t="shared" si="22"/>
        <v>#DIV/0!</v>
      </c>
      <c r="BX66" s="373" t="e">
        <f t="shared" si="22"/>
        <v>#DIV/0!</v>
      </c>
      <c r="BY66" s="373" t="e">
        <f t="shared" si="22"/>
        <v>#DIV/0!</v>
      </c>
      <c r="BZ66" s="373" t="e">
        <f t="shared" si="22"/>
        <v>#DIV/0!</v>
      </c>
      <c r="CA66" s="373" t="e">
        <f t="shared" si="22"/>
        <v>#DIV/0!</v>
      </c>
      <c r="CB66" s="373" t="e">
        <f t="shared" si="22"/>
        <v>#DIV/0!</v>
      </c>
      <c r="CC66" s="373" t="e">
        <f t="shared" si="22"/>
        <v>#DIV/0!</v>
      </c>
      <c r="CD66" s="373" t="e">
        <f t="shared" si="22"/>
        <v>#DIV/0!</v>
      </c>
      <c r="CE66" s="373" t="e">
        <f t="shared" si="22"/>
        <v>#DIV/0!</v>
      </c>
      <c r="CF66" s="373" t="e">
        <f t="shared" si="22"/>
        <v>#DIV/0!</v>
      </c>
    </row>
    <row r="67" spans="1:84">
      <c r="D67" s="380" t="s">
        <v>89</v>
      </c>
      <c r="E67" s="373" t="e">
        <f>E60+E46</f>
        <v>#DIV/0!</v>
      </c>
      <c r="F67" s="373" t="e">
        <f t="shared" ref="F67:T67" si="23">F60+F46</f>
        <v>#DIV/0!</v>
      </c>
      <c r="G67" s="373" t="e">
        <f t="shared" si="23"/>
        <v>#DIV/0!</v>
      </c>
      <c r="H67" s="373" t="e">
        <f t="shared" si="23"/>
        <v>#DIV/0!</v>
      </c>
      <c r="I67" s="373" t="e">
        <f t="shared" si="23"/>
        <v>#DIV/0!</v>
      </c>
      <c r="J67" s="373" t="e">
        <f t="shared" si="23"/>
        <v>#DIV/0!</v>
      </c>
      <c r="K67" s="373" t="e">
        <f t="shared" si="23"/>
        <v>#DIV/0!</v>
      </c>
      <c r="L67" s="373" t="e">
        <f t="shared" si="23"/>
        <v>#DIV/0!</v>
      </c>
      <c r="M67" s="373" t="e">
        <f t="shared" si="23"/>
        <v>#DIV/0!</v>
      </c>
      <c r="N67" s="373" t="e">
        <f t="shared" si="23"/>
        <v>#DIV/0!</v>
      </c>
      <c r="O67" s="373" t="e">
        <f t="shared" si="23"/>
        <v>#DIV/0!</v>
      </c>
      <c r="P67" s="373" t="e">
        <f t="shared" si="23"/>
        <v>#DIV/0!</v>
      </c>
      <c r="Q67" s="373" t="e">
        <f t="shared" si="23"/>
        <v>#DIV/0!</v>
      </c>
      <c r="R67" s="373" t="e">
        <f t="shared" si="23"/>
        <v>#DIV/0!</v>
      </c>
      <c r="S67" s="373" t="e">
        <f t="shared" si="23"/>
        <v>#DIV/0!</v>
      </c>
      <c r="T67" s="373" t="e">
        <f t="shared" si="23"/>
        <v>#DIV/0!</v>
      </c>
      <c r="U67" s="373" t="e">
        <f t="shared" si="21"/>
        <v>#DIV/0!</v>
      </c>
      <c r="V67" s="373" t="e">
        <f t="shared" si="21"/>
        <v>#DIV/0!</v>
      </c>
      <c r="W67" s="373" t="e">
        <f t="shared" si="21"/>
        <v>#DIV/0!</v>
      </c>
      <c r="X67" s="373" t="e">
        <f t="shared" si="21"/>
        <v>#DIV/0!</v>
      </c>
      <c r="Y67" s="373" t="e">
        <f t="shared" si="21"/>
        <v>#DIV/0!</v>
      </c>
      <c r="Z67" s="373" t="e">
        <f t="shared" si="21"/>
        <v>#DIV/0!</v>
      </c>
      <c r="AA67" s="373" t="e">
        <f t="shared" si="21"/>
        <v>#DIV/0!</v>
      </c>
      <c r="AB67" s="373" t="e">
        <f t="shared" si="21"/>
        <v>#DIV/0!</v>
      </c>
      <c r="AC67" s="373" t="e">
        <f t="shared" si="21"/>
        <v>#DIV/0!</v>
      </c>
      <c r="AD67" s="373" t="e">
        <f t="shared" si="21"/>
        <v>#DIV/0!</v>
      </c>
      <c r="AE67" s="373" t="e">
        <f t="shared" si="21"/>
        <v>#DIV/0!</v>
      </c>
      <c r="AF67" s="373" t="e">
        <f t="shared" si="21"/>
        <v>#DIV/0!</v>
      </c>
      <c r="AG67" s="373" t="e">
        <f t="shared" si="21"/>
        <v>#DIV/0!</v>
      </c>
      <c r="AH67" s="373" t="e">
        <f t="shared" si="21"/>
        <v>#DIV/0!</v>
      </c>
      <c r="AI67" s="373" t="e">
        <f t="shared" si="21"/>
        <v>#DIV/0!</v>
      </c>
      <c r="AJ67" s="373" t="e">
        <f t="shared" si="21"/>
        <v>#DIV/0!</v>
      </c>
      <c r="AK67" s="373" t="e">
        <f t="shared" si="21"/>
        <v>#DIV/0!</v>
      </c>
      <c r="AL67" s="373" t="e">
        <f t="shared" si="21"/>
        <v>#DIV/0!</v>
      </c>
      <c r="AM67" s="373" t="e">
        <f t="shared" si="21"/>
        <v>#DIV/0!</v>
      </c>
      <c r="AN67" s="373" t="e">
        <f t="shared" si="21"/>
        <v>#DIV/0!</v>
      </c>
      <c r="AO67" s="373" t="e">
        <f t="shared" si="21"/>
        <v>#DIV/0!</v>
      </c>
      <c r="AP67" s="373" t="e">
        <f t="shared" si="21"/>
        <v>#DIV/0!</v>
      </c>
      <c r="AQ67" s="373" t="e">
        <f t="shared" si="21"/>
        <v>#DIV/0!</v>
      </c>
      <c r="AR67" s="373" t="e">
        <f t="shared" si="21"/>
        <v>#DIV/0!</v>
      </c>
      <c r="AS67" s="373" t="e">
        <f t="shared" si="21"/>
        <v>#DIV/0!</v>
      </c>
      <c r="AT67" s="373" t="e">
        <f t="shared" si="21"/>
        <v>#DIV/0!</v>
      </c>
      <c r="AU67" s="373" t="e">
        <f t="shared" si="21"/>
        <v>#DIV/0!</v>
      </c>
      <c r="AV67" s="373" t="e">
        <f t="shared" si="21"/>
        <v>#DIV/0!</v>
      </c>
      <c r="AW67" s="373" t="e">
        <f t="shared" si="21"/>
        <v>#DIV/0!</v>
      </c>
      <c r="AX67" s="373" t="e">
        <f t="shared" si="21"/>
        <v>#DIV/0!</v>
      </c>
      <c r="AY67" s="373" t="e">
        <f t="shared" si="21"/>
        <v>#DIV/0!</v>
      </c>
      <c r="AZ67" s="373" t="e">
        <f t="shared" si="21"/>
        <v>#DIV/0!</v>
      </c>
      <c r="BA67" s="373" t="e">
        <f t="shared" si="21"/>
        <v>#DIV/0!</v>
      </c>
      <c r="BB67" s="373" t="e">
        <f t="shared" si="21"/>
        <v>#DIV/0!</v>
      </c>
      <c r="BC67" s="373" t="e">
        <f t="shared" si="21"/>
        <v>#DIV/0!</v>
      </c>
      <c r="BD67" s="373" t="e">
        <f t="shared" si="21"/>
        <v>#DIV/0!</v>
      </c>
      <c r="BE67" s="373" t="e">
        <f t="shared" si="21"/>
        <v>#DIV/0!</v>
      </c>
      <c r="BF67" s="373" t="e">
        <f t="shared" si="21"/>
        <v>#DIV/0!</v>
      </c>
      <c r="BG67" s="373" t="e">
        <f t="shared" si="21"/>
        <v>#DIV/0!</v>
      </c>
      <c r="BH67" s="373" t="e">
        <f t="shared" si="21"/>
        <v>#DIV/0!</v>
      </c>
      <c r="BI67" s="373" t="e">
        <f t="shared" si="21"/>
        <v>#DIV/0!</v>
      </c>
      <c r="BJ67" s="373" t="e">
        <f t="shared" si="21"/>
        <v>#DIV/0!</v>
      </c>
      <c r="BK67" s="373" t="e">
        <f t="shared" si="21"/>
        <v>#DIV/0!</v>
      </c>
      <c r="BL67" s="373" t="e">
        <f t="shared" si="21"/>
        <v>#DIV/0!</v>
      </c>
      <c r="BM67" s="373" t="e">
        <f t="shared" si="21"/>
        <v>#DIV/0!</v>
      </c>
      <c r="BN67" s="373" t="e">
        <f t="shared" si="21"/>
        <v>#DIV/0!</v>
      </c>
      <c r="BO67" s="373" t="e">
        <f t="shared" si="21"/>
        <v>#DIV/0!</v>
      </c>
      <c r="BP67" s="373" t="e">
        <f t="shared" si="21"/>
        <v>#DIV/0!</v>
      </c>
      <c r="BQ67" s="373" t="e">
        <f t="shared" si="21"/>
        <v>#DIV/0!</v>
      </c>
      <c r="BR67" s="373" t="e">
        <f t="shared" si="22"/>
        <v>#DIV/0!</v>
      </c>
      <c r="BS67" s="373" t="e">
        <f t="shared" si="22"/>
        <v>#DIV/0!</v>
      </c>
      <c r="BT67" s="373" t="e">
        <f t="shared" si="22"/>
        <v>#DIV/0!</v>
      </c>
      <c r="BU67" s="373" t="e">
        <f t="shared" si="22"/>
        <v>#DIV/0!</v>
      </c>
      <c r="BV67" s="373" t="e">
        <f t="shared" si="22"/>
        <v>#DIV/0!</v>
      </c>
      <c r="BW67" s="373" t="e">
        <f t="shared" si="22"/>
        <v>#DIV/0!</v>
      </c>
      <c r="BX67" s="373" t="e">
        <f t="shared" si="22"/>
        <v>#DIV/0!</v>
      </c>
      <c r="BY67" s="373" t="e">
        <f t="shared" si="22"/>
        <v>#DIV/0!</v>
      </c>
      <c r="BZ67" s="373" t="e">
        <f t="shared" si="22"/>
        <v>#DIV/0!</v>
      </c>
      <c r="CA67" s="373" t="e">
        <f t="shared" si="22"/>
        <v>#DIV/0!</v>
      </c>
      <c r="CB67" s="373" t="e">
        <f t="shared" si="22"/>
        <v>#DIV/0!</v>
      </c>
      <c r="CC67" s="373" t="e">
        <f t="shared" si="22"/>
        <v>#DIV/0!</v>
      </c>
      <c r="CD67" s="373" t="e">
        <f t="shared" si="22"/>
        <v>#DIV/0!</v>
      </c>
      <c r="CE67" s="373" t="e">
        <f t="shared" si="22"/>
        <v>#DIV/0!</v>
      </c>
      <c r="CF67" s="373" t="e">
        <f t="shared" si="22"/>
        <v>#DIV/0!</v>
      </c>
    </row>
    <row r="68" spans="1:84">
      <c r="D68" s="380" t="s">
        <v>91</v>
      </c>
      <c r="E68" s="373" t="e">
        <f>E61+E47</f>
        <v>#DIV/0!</v>
      </c>
      <c r="F68" s="373" t="e">
        <f t="shared" ref="F68:BQ69" si="24">F61+F47</f>
        <v>#DIV/0!</v>
      </c>
      <c r="G68" s="373" t="e">
        <f>G61+G47</f>
        <v>#DIV/0!</v>
      </c>
      <c r="H68" s="373" t="e">
        <f t="shared" si="24"/>
        <v>#DIV/0!</v>
      </c>
      <c r="I68" s="373" t="e">
        <f t="shared" si="24"/>
        <v>#DIV/0!</v>
      </c>
      <c r="J68" s="373" t="e">
        <f t="shared" si="24"/>
        <v>#DIV/0!</v>
      </c>
      <c r="K68" s="373" t="e">
        <f t="shared" si="24"/>
        <v>#DIV/0!</v>
      </c>
      <c r="L68" s="373" t="e">
        <f t="shared" si="24"/>
        <v>#DIV/0!</v>
      </c>
      <c r="M68" s="373" t="e">
        <f t="shared" si="24"/>
        <v>#DIV/0!</v>
      </c>
      <c r="N68" s="373" t="e">
        <f t="shared" si="24"/>
        <v>#DIV/0!</v>
      </c>
      <c r="O68" s="373" t="e">
        <f t="shared" si="24"/>
        <v>#DIV/0!</v>
      </c>
      <c r="P68" s="373" t="e">
        <f t="shared" si="24"/>
        <v>#DIV/0!</v>
      </c>
      <c r="Q68" s="373" t="e">
        <f t="shared" si="24"/>
        <v>#DIV/0!</v>
      </c>
      <c r="R68" s="373" t="e">
        <f t="shared" si="24"/>
        <v>#DIV/0!</v>
      </c>
      <c r="S68" s="373" t="e">
        <f t="shared" si="24"/>
        <v>#DIV/0!</v>
      </c>
      <c r="T68" s="373" t="e">
        <f t="shared" si="24"/>
        <v>#DIV/0!</v>
      </c>
      <c r="U68" s="373" t="e">
        <f t="shared" si="24"/>
        <v>#DIV/0!</v>
      </c>
      <c r="V68" s="373" t="e">
        <f t="shared" si="24"/>
        <v>#DIV/0!</v>
      </c>
      <c r="W68" s="373" t="e">
        <f t="shared" si="24"/>
        <v>#DIV/0!</v>
      </c>
      <c r="X68" s="373" t="e">
        <f t="shared" si="24"/>
        <v>#DIV/0!</v>
      </c>
      <c r="Y68" s="373" t="e">
        <f t="shared" si="24"/>
        <v>#DIV/0!</v>
      </c>
      <c r="Z68" s="373" t="e">
        <f t="shared" si="24"/>
        <v>#DIV/0!</v>
      </c>
      <c r="AA68" s="373" t="e">
        <f t="shared" si="24"/>
        <v>#DIV/0!</v>
      </c>
      <c r="AB68" s="373" t="e">
        <f t="shared" si="24"/>
        <v>#DIV/0!</v>
      </c>
      <c r="AC68" s="373" t="e">
        <f t="shared" si="24"/>
        <v>#DIV/0!</v>
      </c>
      <c r="AD68" s="373" t="e">
        <f t="shared" si="24"/>
        <v>#DIV/0!</v>
      </c>
      <c r="AE68" s="373" t="e">
        <f t="shared" si="24"/>
        <v>#DIV/0!</v>
      </c>
      <c r="AF68" s="373" t="e">
        <f t="shared" si="24"/>
        <v>#DIV/0!</v>
      </c>
      <c r="AG68" s="373" t="e">
        <f t="shared" si="24"/>
        <v>#DIV/0!</v>
      </c>
      <c r="AH68" s="373" t="e">
        <f t="shared" si="24"/>
        <v>#DIV/0!</v>
      </c>
      <c r="AI68" s="373" t="e">
        <f t="shared" si="24"/>
        <v>#DIV/0!</v>
      </c>
      <c r="AJ68" s="373" t="e">
        <f t="shared" si="24"/>
        <v>#DIV/0!</v>
      </c>
      <c r="AK68" s="373" t="e">
        <f t="shared" si="24"/>
        <v>#DIV/0!</v>
      </c>
      <c r="AL68" s="373" t="e">
        <f t="shared" si="24"/>
        <v>#DIV/0!</v>
      </c>
      <c r="AM68" s="373" t="e">
        <f t="shared" si="24"/>
        <v>#DIV/0!</v>
      </c>
      <c r="AN68" s="373" t="e">
        <f t="shared" si="24"/>
        <v>#DIV/0!</v>
      </c>
      <c r="AO68" s="373" t="e">
        <f t="shared" si="24"/>
        <v>#DIV/0!</v>
      </c>
      <c r="AP68" s="373" t="e">
        <f t="shared" si="24"/>
        <v>#DIV/0!</v>
      </c>
      <c r="AQ68" s="373" t="e">
        <f t="shared" si="24"/>
        <v>#DIV/0!</v>
      </c>
      <c r="AR68" s="373" t="e">
        <f t="shared" si="24"/>
        <v>#DIV/0!</v>
      </c>
      <c r="AS68" s="373" t="e">
        <f t="shared" si="24"/>
        <v>#DIV/0!</v>
      </c>
      <c r="AT68" s="373" t="e">
        <f t="shared" si="24"/>
        <v>#DIV/0!</v>
      </c>
      <c r="AU68" s="373" t="e">
        <f t="shared" si="24"/>
        <v>#DIV/0!</v>
      </c>
      <c r="AV68" s="373" t="e">
        <f t="shared" si="24"/>
        <v>#DIV/0!</v>
      </c>
      <c r="AW68" s="373" t="e">
        <f t="shared" si="24"/>
        <v>#DIV/0!</v>
      </c>
      <c r="AX68" s="373" t="e">
        <f t="shared" si="24"/>
        <v>#DIV/0!</v>
      </c>
      <c r="AY68" s="373" t="e">
        <f t="shared" si="24"/>
        <v>#DIV/0!</v>
      </c>
      <c r="AZ68" s="373" t="e">
        <f t="shared" si="24"/>
        <v>#DIV/0!</v>
      </c>
      <c r="BA68" s="373" t="e">
        <f t="shared" si="24"/>
        <v>#DIV/0!</v>
      </c>
      <c r="BB68" s="373" t="e">
        <f t="shared" si="24"/>
        <v>#DIV/0!</v>
      </c>
      <c r="BC68" s="373" t="e">
        <f t="shared" si="24"/>
        <v>#DIV/0!</v>
      </c>
      <c r="BD68" s="373" t="e">
        <f t="shared" si="24"/>
        <v>#DIV/0!</v>
      </c>
      <c r="BE68" s="373" t="e">
        <f t="shared" si="24"/>
        <v>#DIV/0!</v>
      </c>
      <c r="BF68" s="373" t="e">
        <f t="shared" si="24"/>
        <v>#DIV/0!</v>
      </c>
      <c r="BG68" s="373" t="e">
        <f t="shared" si="24"/>
        <v>#DIV/0!</v>
      </c>
      <c r="BH68" s="373" t="e">
        <f t="shared" si="24"/>
        <v>#DIV/0!</v>
      </c>
      <c r="BI68" s="373" t="e">
        <f t="shared" si="24"/>
        <v>#DIV/0!</v>
      </c>
      <c r="BJ68" s="373" t="e">
        <f t="shared" si="24"/>
        <v>#DIV/0!</v>
      </c>
      <c r="BK68" s="373" t="e">
        <f t="shared" si="24"/>
        <v>#DIV/0!</v>
      </c>
      <c r="BL68" s="373" t="e">
        <f t="shared" si="24"/>
        <v>#DIV/0!</v>
      </c>
      <c r="BM68" s="373" t="e">
        <f t="shared" si="24"/>
        <v>#DIV/0!</v>
      </c>
      <c r="BN68" s="373" t="e">
        <f t="shared" si="24"/>
        <v>#DIV/0!</v>
      </c>
      <c r="BO68" s="373" t="e">
        <f t="shared" si="24"/>
        <v>#DIV/0!</v>
      </c>
      <c r="BP68" s="373" t="e">
        <f t="shared" si="24"/>
        <v>#DIV/0!</v>
      </c>
      <c r="BQ68" s="373" t="e">
        <f t="shared" si="24"/>
        <v>#DIV/0!</v>
      </c>
      <c r="BR68" s="373" t="e">
        <f t="shared" si="22"/>
        <v>#DIV/0!</v>
      </c>
      <c r="BS68" s="373" t="e">
        <f t="shared" si="22"/>
        <v>#DIV/0!</v>
      </c>
      <c r="BT68" s="373" t="e">
        <f t="shared" si="22"/>
        <v>#DIV/0!</v>
      </c>
      <c r="BU68" s="373" t="e">
        <f t="shared" si="22"/>
        <v>#DIV/0!</v>
      </c>
      <c r="BV68" s="373" t="e">
        <f t="shared" si="22"/>
        <v>#DIV/0!</v>
      </c>
      <c r="BW68" s="373" t="e">
        <f t="shared" si="22"/>
        <v>#DIV/0!</v>
      </c>
      <c r="BX68" s="373" t="e">
        <f t="shared" si="22"/>
        <v>#DIV/0!</v>
      </c>
      <c r="BY68" s="373" t="e">
        <f t="shared" si="22"/>
        <v>#DIV/0!</v>
      </c>
      <c r="BZ68" s="373" t="e">
        <f t="shared" si="22"/>
        <v>#DIV/0!</v>
      </c>
      <c r="CA68" s="373" t="e">
        <f t="shared" si="22"/>
        <v>#DIV/0!</v>
      </c>
      <c r="CB68" s="373" t="e">
        <f t="shared" si="22"/>
        <v>#DIV/0!</v>
      </c>
      <c r="CC68" s="373" t="e">
        <f t="shared" si="22"/>
        <v>#DIV/0!</v>
      </c>
      <c r="CD68" s="373" t="e">
        <f t="shared" si="22"/>
        <v>#DIV/0!</v>
      </c>
      <c r="CE68" s="373" t="e">
        <f t="shared" si="22"/>
        <v>#DIV/0!</v>
      </c>
      <c r="CF68" s="373" t="e">
        <f t="shared" si="22"/>
        <v>#DIV/0!</v>
      </c>
    </row>
    <row r="69" spans="1:84">
      <c r="D69" s="380" t="s">
        <v>93</v>
      </c>
      <c r="E69" s="373" t="e">
        <f>E62+E48</f>
        <v>#DIV/0!</v>
      </c>
      <c r="F69" s="373" t="e">
        <f t="shared" si="24"/>
        <v>#DIV/0!</v>
      </c>
      <c r="G69" s="373" t="e">
        <f t="shared" si="24"/>
        <v>#DIV/0!</v>
      </c>
      <c r="H69" s="373" t="e">
        <f t="shared" si="24"/>
        <v>#DIV/0!</v>
      </c>
      <c r="I69" s="373" t="e">
        <f t="shared" si="24"/>
        <v>#DIV/0!</v>
      </c>
      <c r="J69" s="373" t="e">
        <f t="shared" si="24"/>
        <v>#DIV/0!</v>
      </c>
      <c r="K69" s="373" t="e">
        <f t="shared" si="24"/>
        <v>#DIV/0!</v>
      </c>
      <c r="L69" s="373" t="e">
        <f t="shared" si="24"/>
        <v>#DIV/0!</v>
      </c>
      <c r="M69" s="373" t="e">
        <f t="shared" si="24"/>
        <v>#DIV/0!</v>
      </c>
      <c r="N69" s="373" t="e">
        <f t="shared" si="24"/>
        <v>#DIV/0!</v>
      </c>
      <c r="O69" s="373" t="e">
        <f t="shared" si="24"/>
        <v>#DIV/0!</v>
      </c>
      <c r="P69" s="373" t="e">
        <f t="shared" si="24"/>
        <v>#DIV/0!</v>
      </c>
      <c r="Q69" s="373" t="e">
        <f t="shared" si="24"/>
        <v>#DIV/0!</v>
      </c>
      <c r="R69" s="373" t="e">
        <f t="shared" si="24"/>
        <v>#DIV/0!</v>
      </c>
      <c r="S69" s="373" t="e">
        <f t="shared" si="24"/>
        <v>#DIV/0!</v>
      </c>
      <c r="T69" s="373" t="e">
        <f t="shared" si="24"/>
        <v>#DIV/0!</v>
      </c>
      <c r="U69" s="373" t="e">
        <f t="shared" si="24"/>
        <v>#DIV/0!</v>
      </c>
      <c r="V69" s="373" t="e">
        <f t="shared" si="24"/>
        <v>#DIV/0!</v>
      </c>
      <c r="W69" s="373" t="e">
        <f t="shared" si="24"/>
        <v>#DIV/0!</v>
      </c>
      <c r="X69" s="373" t="e">
        <f t="shared" si="24"/>
        <v>#DIV/0!</v>
      </c>
      <c r="Y69" s="373" t="e">
        <f t="shared" si="24"/>
        <v>#DIV/0!</v>
      </c>
      <c r="Z69" s="373" t="e">
        <f t="shared" si="24"/>
        <v>#DIV/0!</v>
      </c>
      <c r="AA69" s="373" t="e">
        <f t="shared" si="24"/>
        <v>#DIV/0!</v>
      </c>
      <c r="AB69" s="373" t="e">
        <f t="shared" si="24"/>
        <v>#DIV/0!</v>
      </c>
      <c r="AC69" s="373" t="e">
        <f t="shared" si="24"/>
        <v>#DIV/0!</v>
      </c>
      <c r="AD69" s="373" t="e">
        <f t="shared" si="24"/>
        <v>#DIV/0!</v>
      </c>
      <c r="AE69" s="373" t="e">
        <f t="shared" si="24"/>
        <v>#DIV/0!</v>
      </c>
      <c r="AF69" s="373" t="e">
        <f t="shared" si="24"/>
        <v>#DIV/0!</v>
      </c>
      <c r="AG69" s="373" t="e">
        <f t="shared" si="24"/>
        <v>#DIV/0!</v>
      </c>
      <c r="AH69" s="373" t="e">
        <f t="shared" si="24"/>
        <v>#DIV/0!</v>
      </c>
      <c r="AI69" s="373" t="e">
        <f t="shared" si="24"/>
        <v>#DIV/0!</v>
      </c>
      <c r="AJ69" s="373" t="e">
        <f t="shared" si="24"/>
        <v>#DIV/0!</v>
      </c>
      <c r="AK69" s="373" t="e">
        <f t="shared" si="24"/>
        <v>#DIV/0!</v>
      </c>
      <c r="AL69" s="373" t="e">
        <f t="shared" si="24"/>
        <v>#DIV/0!</v>
      </c>
      <c r="AM69" s="373" t="e">
        <f t="shared" si="24"/>
        <v>#DIV/0!</v>
      </c>
      <c r="AN69" s="373" t="e">
        <f t="shared" si="24"/>
        <v>#DIV/0!</v>
      </c>
      <c r="AO69" s="373" t="e">
        <f t="shared" si="24"/>
        <v>#DIV/0!</v>
      </c>
      <c r="AP69" s="373" t="e">
        <f t="shared" si="24"/>
        <v>#DIV/0!</v>
      </c>
      <c r="AQ69" s="373" t="e">
        <f t="shared" si="24"/>
        <v>#DIV/0!</v>
      </c>
      <c r="AR69" s="373" t="e">
        <f t="shared" si="24"/>
        <v>#DIV/0!</v>
      </c>
      <c r="AS69" s="373" t="e">
        <f t="shared" si="24"/>
        <v>#DIV/0!</v>
      </c>
      <c r="AT69" s="373" t="e">
        <f t="shared" si="24"/>
        <v>#DIV/0!</v>
      </c>
      <c r="AU69" s="373" t="e">
        <f t="shared" si="24"/>
        <v>#DIV/0!</v>
      </c>
      <c r="AV69" s="373" t="e">
        <f t="shared" si="24"/>
        <v>#DIV/0!</v>
      </c>
      <c r="AW69" s="373" t="e">
        <f t="shared" si="24"/>
        <v>#DIV/0!</v>
      </c>
      <c r="AX69" s="373" t="e">
        <f t="shared" si="24"/>
        <v>#DIV/0!</v>
      </c>
      <c r="AY69" s="373" t="e">
        <f t="shared" si="24"/>
        <v>#DIV/0!</v>
      </c>
      <c r="AZ69" s="373" t="e">
        <f t="shared" si="24"/>
        <v>#DIV/0!</v>
      </c>
      <c r="BA69" s="373" t="e">
        <f t="shared" si="24"/>
        <v>#DIV/0!</v>
      </c>
      <c r="BB69" s="373" t="e">
        <f t="shared" si="24"/>
        <v>#DIV/0!</v>
      </c>
      <c r="BC69" s="373" t="e">
        <f t="shared" si="24"/>
        <v>#DIV/0!</v>
      </c>
      <c r="BD69" s="373" t="e">
        <f t="shared" si="24"/>
        <v>#DIV/0!</v>
      </c>
      <c r="BE69" s="373" t="e">
        <f t="shared" si="24"/>
        <v>#DIV/0!</v>
      </c>
      <c r="BF69" s="373" t="e">
        <f t="shared" si="24"/>
        <v>#DIV/0!</v>
      </c>
      <c r="BG69" s="373" t="e">
        <f t="shared" si="24"/>
        <v>#DIV/0!</v>
      </c>
      <c r="BH69" s="373" t="e">
        <f t="shared" si="24"/>
        <v>#DIV/0!</v>
      </c>
      <c r="BI69" s="373" t="e">
        <f t="shared" si="24"/>
        <v>#DIV/0!</v>
      </c>
      <c r="BJ69" s="373" t="e">
        <f t="shared" si="24"/>
        <v>#DIV/0!</v>
      </c>
      <c r="BK69" s="373" t="e">
        <f t="shared" si="24"/>
        <v>#DIV/0!</v>
      </c>
      <c r="BL69" s="373" t="e">
        <f t="shared" si="24"/>
        <v>#DIV/0!</v>
      </c>
      <c r="BM69" s="373" t="e">
        <f t="shared" si="24"/>
        <v>#DIV/0!</v>
      </c>
      <c r="BN69" s="373" t="e">
        <f t="shared" si="24"/>
        <v>#DIV/0!</v>
      </c>
      <c r="BO69" s="373" t="e">
        <f t="shared" si="24"/>
        <v>#DIV/0!</v>
      </c>
      <c r="BP69" s="373" t="e">
        <f t="shared" si="24"/>
        <v>#DIV/0!</v>
      </c>
      <c r="BQ69" s="373" t="e">
        <f t="shared" si="24"/>
        <v>#DIV/0!</v>
      </c>
      <c r="BR69" s="373" t="e">
        <f t="shared" si="22"/>
        <v>#DIV/0!</v>
      </c>
      <c r="BS69" s="373" t="e">
        <f t="shared" si="22"/>
        <v>#DIV/0!</v>
      </c>
      <c r="BT69" s="373" t="e">
        <f t="shared" si="22"/>
        <v>#DIV/0!</v>
      </c>
      <c r="BU69" s="373" t="e">
        <f t="shared" si="22"/>
        <v>#DIV/0!</v>
      </c>
      <c r="BV69" s="373" t="e">
        <f t="shared" si="22"/>
        <v>#DIV/0!</v>
      </c>
      <c r="BW69" s="373" t="e">
        <f t="shared" si="22"/>
        <v>#DIV/0!</v>
      </c>
      <c r="BX69" s="373" t="e">
        <f t="shared" si="22"/>
        <v>#DIV/0!</v>
      </c>
      <c r="BY69" s="373" t="e">
        <f t="shared" si="22"/>
        <v>#DIV/0!</v>
      </c>
      <c r="BZ69" s="373" t="e">
        <f t="shared" si="22"/>
        <v>#DIV/0!</v>
      </c>
      <c r="CA69" s="373" t="e">
        <f t="shared" si="22"/>
        <v>#DIV/0!</v>
      </c>
      <c r="CB69" s="373" t="e">
        <f t="shared" si="22"/>
        <v>#DIV/0!</v>
      </c>
      <c r="CC69" s="373" t="e">
        <f t="shared" si="22"/>
        <v>#DIV/0!</v>
      </c>
      <c r="CD69" s="373" t="e">
        <f t="shared" si="22"/>
        <v>#DIV/0!</v>
      </c>
      <c r="CE69" s="373" t="e">
        <f t="shared" si="22"/>
        <v>#DIV/0!</v>
      </c>
      <c r="CF69" s="373" t="e">
        <f t="shared" si="22"/>
        <v>#DIV/0!</v>
      </c>
    </row>
    <row r="70" spans="1:84">
      <c r="D70" s="378"/>
    </row>
    <row r="71" spans="1:84">
      <c r="C71" s="360" t="s">
        <v>347</v>
      </c>
      <c r="D71" s="378"/>
    </row>
    <row r="72" spans="1:84" s="377" customFormat="1">
      <c r="A72" s="379"/>
      <c r="B72" s="379"/>
      <c r="C72" s="379"/>
      <c r="D72" s="374"/>
      <c r="E72" s="375">
        <v>2010</v>
      </c>
      <c r="F72" s="376">
        <v>2011</v>
      </c>
      <c r="G72" s="376">
        <v>2012</v>
      </c>
      <c r="H72" s="376">
        <v>2013</v>
      </c>
      <c r="I72" s="376">
        <v>2014</v>
      </c>
      <c r="J72" s="376">
        <v>2015</v>
      </c>
      <c r="K72" s="376">
        <v>2016</v>
      </c>
      <c r="L72" s="376">
        <v>2017</v>
      </c>
      <c r="M72" s="376">
        <v>2018</v>
      </c>
      <c r="N72" s="376">
        <v>2019</v>
      </c>
      <c r="O72" s="376">
        <v>2020</v>
      </c>
      <c r="P72" s="376">
        <v>2021</v>
      </c>
      <c r="Q72" s="376">
        <v>2022</v>
      </c>
      <c r="R72" s="376">
        <v>2023</v>
      </c>
      <c r="S72" s="376">
        <v>2024</v>
      </c>
      <c r="T72" s="376">
        <v>2025</v>
      </c>
      <c r="U72" s="376">
        <v>2026</v>
      </c>
      <c r="V72" s="376">
        <v>2027</v>
      </c>
      <c r="W72" s="376">
        <v>2028</v>
      </c>
      <c r="X72" s="376">
        <v>2029</v>
      </c>
      <c r="Y72" s="376">
        <v>2030</v>
      </c>
      <c r="Z72" s="376">
        <v>2031</v>
      </c>
      <c r="AA72" s="376">
        <v>2032</v>
      </c>
      <c r="AB72" s="376">
        <v>2033</v>
      </c>
      <c r="AC72" s="376">
        <v>2034</v>
      </c>
      <c r="AD72" s="376">
        <v>2035</v>
      </c>
      <c r="AE72" s="376">
        <v>2036</v>
      </c>
      <c r="AF72" s="376">
        <v>2037</v>
      </c>
      <c r="AG72" s="376">
        <v>2038</v>
      </c>
      <c r="AH72" s="376">
        <v>2039</v>
      </c>
      <c r="AI72" s="376">
        <v>2040</v>
      </c>
      <c r="AJ72" s="376">
        <v>2041</v>
      </c>
      <c r="AK72" s="376">
        <v>2042</v>
      </c>
      <c r="AL72" s="376">
        <v>2043</v>
      </c>
      <c r="AM72" s="376">
        <v>2044</v>
      </c>
      <c r="AN72" s="376">
        <v>2045</v>
      </c>
      <c r="AO72" s="376">
        <v>2046</v>
      </c>
      <c r="AP72" s="376">
        <v>2047</v>
      </c>
      <c r="AQ72" s="376">
        <v>2048</v>
      </c>
      <c r="AR72" s="376">
        <v>2049</v>
      </c>
      <c r="AS72" s="376">
        <v>2050</v>
      </c>
      <c r="AT72" s="376">
        <v>2051</v>
      </c>
      <c r="AU72" s="376">
        <v>2052</v>
      </c>
      <c r="AV72" s="376">
        <v>2053</v>
      </c>
      <c r="AW72" s="376">
        <v>2054</v>
      </c>
      <c r="AX72" s="376">
        <v>2055</v>
      </c>
      <c r="AY72" s="376">
        <v>2056</v>
      </c>
      <c r="AZ72" s="376">
        <v>2057</v>
      </c>
      <c r="BA72" s="376">
        <v>2058</v>
      </c>
      <c r="BB72" s="376">
        <v>2059</v>
      </c>
      <c r="BC72" s="376">
        <v>2060</v>
      </c>
      <c r="BD72" s="376">
        <v>2061</v>
      </c>
      <c r="BE72" s="376">
        <v>2062</v>
      </c>
      <c r="BF72" s="376">
        <v>2063</v>
      </c>
      <c r="BG72" s="376">
        <v>2064</v>
      </c>
      <c r="BH72" s="376">
        <v>2065</v>
      </c>
      <c r="BI72" s="376">
        <v>2066</v>
      </c>
      <c r="BJ72" s="376">
        <v>2067</v>
      </c>
      <c r="BK72" s="376">
        <v>2068</v>
      </c>
      <c r="BL72" s="376">
        <v>2069</v>
      </c>
      <c r="BM72" s="376">
        <v>2070</v>
      </c>
      <c r="BN72" s="376">
        <v>2071</v>
      </c>
      <c r="BO72" s="376">
        <v>2072</v>
      </c>
      <c r="BP72" s="376">
        <v>2073</v>
      </c>
      <c r="BQ72" s="376">
        <v>2074</v>
      </c>
      <c r="BR72" s="376">
        <v>2075</v>
      </c>
      <c r="BS72" s="376">
        <v>2076</v>
      </c>
      <c r="BT72" s="376">
        <v>2077</v>
      </c>
      <c r="BU72" s="376">
        <v>2078</v>
      </c>
      <c r="BV72" s="376">
        <v>2079</v>
      </c>
      <c r="BW72" s="376">
        <v>2080</v>
      </c>
      <c r="BX72" s="376">
        <v>2081</v>
      </c>
      <c r="BY72" s="376">
        <v>2082</v>
      </c>
      <c r="BZ72" s="376">
        <v>2083</v>
      </c>
      <c r="CA72" s="376">
        <v>2084</v>
      </c>
      <c r="CB72" s="376">
        <v>2085</v>
      </c>
      <c r="CC72" s="376">
        <v>2086</v>
      </c>
      <c r="CD72" s="376">
        <v>2087</v>
      </c>
      <c r="CE72" s="376">
        <v>2088</v>
      </c>
      <c r="CF72" s="376">
        <v>2089</v>
      </c>
    </row>
    <row r="73" spans="1:84">
      <c r="D73" s="380" t="s">
        <v>87</v>
      </c>
      <c r="E73" s="373" t="e">
        <f t="shared" ref="E73:AJ73" si="25">(E66*$E14)/100</f>
        <v>#DIV/0!</v>
      </c>
      <c r="F73" s="373" t="e">
        <f t="shared" si="25"/>
        <v>#DIV/0!</v>
      </c>
      <c r="G73" s="373" t="e">
        <f t="shared" si="25"/>
        <v>#DIV/0!</v>
      </c>
      <c r="H73" s="373" t="e">
        <f t="shared" si="25"/>
        <v>#DIV/0!</v>
      </c>
      <c r="I73" s="373" t="e">
        <f t="shared" si="25"/>
        <v>#DIV/0!</v>
      </c>
      <c r="J73" s="373" t="e">
        <f t="shared" si="25"/>
        <v>#DIV/0!</v>
      </c>
      <c r="K73" s="373" t="e">
        <f t="shared" si="25"/>
        <v>#DIV/0!</v>
      </c>
      <c r="L73" s="373" t="e">
        <f t="shared" si="25"/>
        <v>#DIV/0!</v>
      </c>
      <c r="M73" s="373" t="e">
        <f t="shared" si="25"/>
        <v>#DIV/0!</v>
      </c>
      <c r="N73" s="373" t="e">
        <f t="shared" si="25"/>
        <v>#DIV/0!</v>
      </c>
      <c r="O73" s="373" t="e">
        <f t="shared" si="25"/>
        <v>#DIV/0!</v>
      </c>
      <c r="P73" s="373" t="e">
        <f t="shared" si="25"/>
        <v>#DIV/0!</v>
      </c>
      <c r="Q73" s="373" t="e">
        <f t="shared" si="25"/>
        <v>#DIV/0!</v>
      </c>
      <c r="R73" s="373" t="e">
        <f t="shared" si="25"/>
        <v>#DIV/0!</v>
      </c>
      <c r="S73" s="373" t="e">
        <f t="shared" si="25"/>
        <v>#DIV/0!</v>
      </c>
      <c r="T73" s="373" t="e">
        <f t="shared" si="25"/>
        <v>#DIV/0!</v>
      </c>
      <c r="U73" s="373" t="e">
        <f t="shared" si="25"/>
        <v>#DIV/0!</v>
      </c>
      <c r="V73" s="373" t="e">
        <f t="shared" si="25"/>
        <v>#DIV/0!</v>
      </c>
      <c r="W73" s="373" t="e">
        <f t="shared" si="25"/>
        <v>#DIV/0!</v>
      </c>
      <c r="X73" s="373" t="e">
        <f t="shared" si="25"/>
        <v>#DIV/0!</v>
      </c>
      <c r="Y73" s="373" t="e">
        <f t="shared" si="25"/>
        <v>#DIV/0!</v>
      </c>
      <c r="Z73" s="373" t="e">
        <f t="shared" si="25"/>
        <v>#DIV/0!</v>
      </c>
      <c r="AA73" s="373" t="e">
        <f t="shared" si="25"/>
        <v>#DIV/0!</v>
      </c>
      <c r="AB73" s="373" t="e">
        <f t="shared" si="25"/>
        <v>#DIV/0!</v>
      </c>
      <c r="AC73" s="373" t="e">
        <f t="shared" si="25"/>
        <v>#DIV/0!</v>
      </c>
      <c r="AD73" s="373" t="e">
        <f t="shared" si="25"/>
        <v>#DIV/0!</v>
      </c>
      <c r="AE73" s="373" t="e">
        <f t="shared" si="25"/>
        <v>#DIV/0!</v>
      </c>
      <c r="AF73" s="373" t="e">
        <f t="shared" si="25"/>
        <v>#DIV/0!</v>
      </c>
      <c r="AG73" s="373" t="e">
        <f t="shared" si="25"/>
        <v>#DIV/0!</v>
      </c>
      <c r="AH73" s="373" t="e">
        <f t="shared" si="25"/>
        <v>#DIV/0!</v>
      </c>
      <c r="AI73" s="373" t="e">
        <f t="shared" si="25"/>
        <v>#DIV/0!</v>
      </c>
      <c r="AJ73" s="373" t="e">
        <f t="shared" si="25"/>
        <v>#DIV/0!</v>
      </c>
      <c r="AK73" s="373" t="e">
        <f t="shared" ref="AK73:BP73" si="26">(AK66*$E14)/100</f>
        <v>#DIV/0!</v>
      </c>
      <c r="AL73" s="373" t="e">
        <f t="shared" si="26"/>
        <v>#DIV/0!</v>
      </c>
      <c r="AM73" s="373" t="e">
        <f t="shared" si="26"/>
        <v>#DIV/0!</v>
      </c>
      <c r="AN73" s="373" t="e">
        <f t="shared" si="26"/>
        <v>#DIV/0!</v>
      </c>
      <c r="AO73" s="373" t="e">
        <f t="shared" si="26"/>
        <v>#DIV/0!</v>
      </c>
      <c r="AP73" s="373" t="e">
        <f t="shared" si="26"/>
        <v>#DIV/0!</v>
      </c>
      <c r="AQ73" s="373" t="e">
        <f t="shared" si="26"/>
        <v>#DIV/0!</v>
      </c>
      <c r="AR73" s="373" t="e">
        <f t="shared" si="26"/>
        <v>#DIV/0!</v>
      </c>
      <c r="AS73" s="373" t="e">
        <f t="shared" si="26"/>
        <v>#DIV/0!</v>
      </c>
      <c r="AT73" s="373" t="e">
        <f t="shared" si="26"/>
        <v>#DIV/0!</v>
      </c>
      <c r="AU73" s="373" t="e">
        <f t="shared" si="26"/>
        <v>#DIV/0!</v>
      </c>
      <c r="AV73" s="373" t="e">
        <f t="shared" si="26"/>
        <v>#DIV/0!</v>
      </c>
      <c r="AW73" s="373" t="e">
        <f t="shared" si="26"/>
        <v>#DIV/0!</v>
      </c>
      <c r="AX73" s="373" t="e">
        <f t="shared" si="26"/>
        <v>#DIV/0!</v>
      </c>
      <c r="AY73" s="373" t="e">
        <f t="shared" si="26"/>
        <v>#DIV/0!</v>
      </c>
      <c r="AZ73" s="373" t="e">
        <f t="shared" si="26"/>
        <v>#DIV/0!</v>
      </c>
      <c r="BA73" s="373" t="e">
        <f t="shared" si="26"/>
        <v>#DIV/0!</v>
      </c>
      <c r="BB73" s="373" t="e">
        <f t="shared" si="26"/>
        <v>#DIV/0!</v>
      </c>
      <c r="BC73" s="373" t="e">
        <f t="shared" si="26"/>
        <v>#DIV/0!</v>
      </c>
      <c r="BD73" s="373" t="e">
        <f t="shared" si="26"/>
        <v>#DIV/0!</v>
      </c>
      <c r="BE73" s="373" t="e">
        <f t="shared" si="26"/>
        <v>#DIV/0!</v>
      </c>
      <c r="BF73" s="373" t="e">
        <f t="shared" si="26"/>
        <v>#DIV/0!</v>
      </c>
      <c r="BG73" s="373" t="e">
        <f t="shared" si="26"/>
        <v>#DIV/0!</v>
      </c>
      <c r="BH73" s="373" t="e">
        <f t="shared" si="26"/>
        <v>#DIV/0!</v>
      </c>
      <c r="BI73" s="373" t="e">
        <f t="shared" si="26"/>
        <v>#DIV/0!</v>
      </c>
      <c r="BJ73" s="373" t="e">
        <f t="shared" si="26"/>
        <v>#DIV/0!</v>
      </c>
      <c r="BK73" s="373" t="e">
        <f t="shared" si="26"/>
        <v>#DIV/0!</v>
      </c>
      <c r="BL73" s="373" t="e">
        <f t="shared" si="26"/>
        <v>#DIV/0!</v>
      </c>
      <c r="BM73" s="373" t="e">
        <f t="shared" si="26"/>
        <v>#DIV/0!</v>
      </c>
      <c r="BN73" s="373" t="e">
        <f t="shared" si="26"/>
        <v>#DIV/0!</v>
      </c>
      <c r="BO73" s="373" t="e">
        <f t="shared" si="26"/>
        <v>#DIV/0!</v>
      </c>
      <c r="BP73" s="373" t="e">
        <f t="shared" si="26"/>
        <v>#DIV/0!</v>
      </c>
      <c r="BQ73" s="373" t="e">
        <f t="shared" ref="BQ73:CF73" si="27">(BQ66*$E14)/100</f>
        <v>#DIV/0!</v>
      </c>
      <c r="BR73" s="373" t="e">
        <f t="shared" si="27"/>
        <v>#DIV/0!</v>
      </c>
      <c r="BS73" s="373" t="e">
        <f t="shared" si="27"/>
        <v>#DIV/0!</v>
      </c>
      <c r="BT73" s="373" t="e">
        <f t="shared" si="27"/>
        <v>#DIV/0!</v>
      </c>
      <c r="BU73" s="373" t="e">
        <f t="shared" si="27"/>
        <v>#DIV/0!</v>
      </c>
      <c r="BV73" s="373" t="e">
        <f t="shared" si="27"/>
        <v>#DIV/0!</v>
      </c>
      <c r="BW73" s="373" t="e">
        <f t="shared" si="27"/>
        <v>#DIV/0!</v>
      </c>
      <c r="BX73" s="373" t="e">
        <f t="shared" si="27"/>
        <v>#DIV/0!</v>
      </c>
      <c r="BY73" s="373" t="e">
        <f t="shared" si="27"/>
        <v>#DIV/0!</v>
      </c>
      <c r="BZ73" s="373" t="e">
        <f t="shared" si="27"/>
        <v>#DIV/0!</v>
      </c>
      <c r="CA73" s="373" t="e">
        <f t="shared" si="27"/>
        <v>#DIV/0!</v>
      </c>
      <c r="CB73" s="373" t="e">
        <f t="shared" si="27"/>
        <v>#DIV/0!</v>
      </c>
      <c r="CC73" s="373" t="e">
        <f t="shared" si="27"/>
        <v>#DIV/0!</v>
      </c>
      <c r="CD73" s="373" t="e">
        <f t="shared" si="27"/>
        <v>#DIV/0!</v>
      </c>
      <c r="CE73" s="373" t="e">
        <f t="shared" si="27"/>
        <v>#DIV/0!</v>
      </c>
      <c r="CF73" s="373" t="e">
        <f t="shared" si="27"/>
        <v>#DIV/0!</v>
      </c>
    </row>
    <row r="74" spans="1:84">
      <c r="D74" s="380" t="s">
        <v>89</v>
      </c>
      <c r="E74" s="373" t="e">
        <f t="shared" ref="E74:AJ74" si="28">(E67*$E15)/100</f>
        <v>#DIV/0!</v>
      </c>
      <c r="F74" s="373" t="e">
        <f t="shared" si="28"/>
        <v>#DIV/0!</v>
      </c>
      <c r="G74" s="373" t="e">
        <f t="shared" si="28"/>
        <v>#DIV/0!</v>
      </c>
      <c r="H74" s="373" t="e">
        <f t="shared" si="28"/>
        <v>#DIV/0!</v>
      </c>
      <c r="I74" s="373" t="e">
        <f t="shared" si="28"/>
        <v>#DIV/0!</v>
      </c>
      <c r="J74" s="373" t="e">
        <f t="shared" si="28"/>
        <v>#DIV/0!</v>
      </c>
      <c r="K74" s="373" t="e">
        <f t="shared" si="28"/>
        <v>#DIV/0!</v>
      </c>
      <c r="L74" s="373" t="e">
        <f t="shared" si="28"/>
        <v>#DIV/0!</v>
      </c>
      <c r="M74" s="373" t="e">
        <f t="shared" si="28"/>
        <v>#DIV/0!</v>
      </c>
      <c r="N74" s="373" t="e">
        <f>(N67*$E15)/100</f>
        <v>#DIV/0!</v>
      </c>
      <c r="O74" s="373" t="e">
        <f t="shared" si="28"/>
        <v>#DIV/0!</v>
      </c>
      <c r="P74" s="373" t="e">
        <f t="shared" si="28"/>
        <v>#DIV/0!</v>
      </c>
      <c r="Q74" s="373" t="e">
        <f t="shared" si="28"/>
        <v>#DIV/0!</v>
      </c>
      <c r="R74" s="373" t="e">
        <f t="shared" si="28"/>
        <v>#DIV/0!</v>
      </c>
      <c r="S74" s="373" t="e">
        <f t="shared" si="28"/>
        <v>#DIV/0!</v>
      </c>
      <c r="T74" s="373" t="e">
        <f t="shared" si="28"/>
        <v>#DIV/0!</v>
      </c>
      <c r="U74" s="373" t="e">
        <f t="shared" si="28"/>
        <v>#DIV/0!</v>
      </c>
      <c r="V74" s="373" t="e">
        <f t="shared" si="28"/>
        <v>#DIV/0!</v>
      </c>
      <c r="W74" s="373" t="e">
        <f t="shared" si="28"/>
        <v>#DIV/0!</v>
      </c>
      <c r="X74" s="373" t="e">
        <f t="shared" si="28"/>
        <v>#DIV/0!</v>
      </c>
      <c r="Y74" s="373" t="e">
        <f t="shared" si="28"/>
        <v>#DIV/0!</v>
      </c>
      <c r="Z74" s="373" t="e">
        <f t="shared" si="28"/>
        <v>#DIV/0!</v>
      </c>
      <c r="AA74" s="373" t="e">
        <f t="shared" si="28"/>
        <v>#DIV/0!</v>
      </c>
      <c r="AB74" s="373" t="e">
        <f t="shared" si="28"/>
        <v>#DIV/0!</v>
      </c>
      <c r="AC74" s="373" t="e">
        <f t="shared" si="28"/>
        <v>#DIV/0!</v>
      </c>
      <c r="AD74" s="373" t="e">
        <f t="shared" si="28"/>
        <v>#DIV/0!</v>
      </c>
      <c r="AE74" s="373" t="e">
        <f t="shared" si="28"/>
        <v>#DIV/0!</v>
      </c>
      <c r="AF74" s="373" t="e">
        <f t="shared" si="28"/>
        <v>#DIV/0!</v>
      </c>
      <c r="AG74" s="373" t="e">
        <f t="shared" si="28"/>
        <v>#DIV/0!</v>
      </c>
      <c r="AH74" s="373" t="e">
        <f t="shared" si="28"/>
        <v>#DIV/0!</v>
      </c>
      <c r="AI74" s="373" t="e">
        <f t="shared" si="28"/>
        <v>#DIV/0!</v>
      </c>
      <c r="AJ74" s="373" t="e">
        <f t="shared" si="28"/>
        <v>#DIV/0!</v>
      </c>
      <c r="AK74" s="373" t="e">
        <f t="shared" ref="AK74:BP74" si="29">(AK67*$E15)/100</f>
        <v>#DIV/0!</v>
      </c>
      <c r="AL74" s="373" t="e">
        <f t="shared" si="29"/>
        <v>#DIV/0!</v>
      </c>
      <c r="AM74" s="373" t="e">
        <f t="shared" si="29"/>
        <v>#DIV/0!</v>
      </c>
      <c r="AN74" s="373" t="e">
        <f t="shared" si="29"/>
        <v>#DIV/0!</v>
      </c>
      <c r="AO74" s="373" t="e">
        <f t="shared" si="29"/>
        <v>#DIV/0!</v>
      </c>
      <c r="AP74" s="373" t="e">
        <f t="shared" si="29"/>
        <v>#DIV/0!</v>
      </c>
      <c r="AQ74" s="373" t="e">
        <f t="shared" si="29"/>
        <v>#DIV/0!</v>
      </c>
      <c r="AR74" s="373" t="e">
        <f t="shared" si="29"/>
        <v>#DIV/0!</v>
      </c>
      <c r="AS74" s="373" t="e">
        <f t="shared" si="29"/>
        <v>#DIV/0!</v>
      </c>
      <c r="AT74" s="373" t="e">
        <f t="shared" si="29"/>
        <v>#DIV/0!</v>
      </c>
      <c r="AU74" s="373" t="e">
        <f t="shared" si="29"/>
        <v>#DIV/0!</v>
      </c>
      <c r="AV74" s="373" t="e">
        <f t="shared" si="29"/>
        <v>#DIV/0!</v>
      </c>
      <c r="AW74" s="373" t="e">
        <f t="shared" si="29"/>
        <v>#DIV/0!</v>
      </c>
      <c r="AX74" s="373" t="e">
        <f t="shared" si="29"/>
        <v>#DIV/0!</v>
      </c>
      <c r="AY74" s="373" t="e">
        <f t="shared" si="29"/>
        <v>#DIV/0!</v>
      </c>
      <c r="AZ74" s="373" t="e">
        <f t="shared" si="29"/>
        <v>#DIV/0!</v>
      </c>
      <c r="BA74" s="373" t="e">
        <f t="shared" si="29"/>
        <v>#DIV/0!</v>
      </c>
      <c r="BB74" s="373" t="e">
        <f t="shared" si="29"/>
        <v>#DIV/0!</v>
      </c>
      <c r="BC74" s="373" t="e">
        <f t="shared" si="29"/>
        <v>#DIV/0!</v>
      </c>
      <c r="BD74" s="373" t="e">
        <f t="shared" si="29"/>
        <v>#DIV/0!</v>
      </c>
      <c r="BE74" s="373" t="e">
        <f t="shared" si="29"/>
        <v>#DIV/0!</v>
      </c>
      <c r="BF74" s="373" t="e">
        <f t="shared" si="29"/>
        <v>#DIV/0!</v>
      </c>
      <c r="BG74" s="373" t="e">
        <f t="shared" si="29"/>
        <v>#DIV/0!</v>
      </c>
      <c r="BH74" s="373" t="e">
        <f t="shared" si="29"/>
        <v>#DIV/0!</v>
      </c>
      <c r="BI74" s="373" t="e">
        <f t="shared" si="29"/>
        <v>#DIV/0!</v>
      </c>
      <c r="BJ74" s="373" t="e">
        <f t="shared" si="29"/>
        <v>#DIV/0!</v>
      </c>
      <c r="BK74" s="373" t="e">
        <f t="shared" si="29"/>
        <v>#DIV/0!</v>
      </c>
      <c r="BL74" s="373" t="e">
        <f t="shared" si="29"/>
        <v>#DIV/0!</v>
      </c>
      <c r="BM74" s="373" t="e">
        <f t="shared" si="29"/>
        <v>#DIV/0!</v>
      </c>
      <c r="BN74" s="373" t="e">
        <f t="shared" si="29"/>
        <v>#DIV/0!</v>
      </c>
      <c r="BO74" s="373" t="e">
        <f t="shared" si="29"/>
        <v>#DIV/0!</v>
      </c>
      <c r="BP74" s="373" t="e">
        <f t="shared" si="29"/>
        <v>#DIV/0!</v>
      </c>
      <c r="BQ74" s="373" t="e">
        <f t="shared" ref="BQ74:CF74" si="30">(BQ67*$E15)/100</f>
        <v>#DIV/0!</v>
      </c>
      <c r="BR74" s="373" t="e">
        <f t="shared" si="30"/>
        <v>#DIV/0!</v>
      </c>
      <c r="BS74" s="373" t="e">
        <f t="shared" si="30"/>
        <v>#DIV/0!</v>
      </c>
      <c r="BT74" s="373" t="e">
        <f t="shared" si="30"/>
        <v>#DIV/0!</v>
      </c>
      <c r="BU74" s="373" t="e">
        <f t="shared" si="30"/>
        <v>#DIV/0!</v>
      </c>
      <c r="BV74" s="373" t="e">
        <f t="shared" si="30"/>
        <v>#DIV/0!</v>
      </c>
      <c r="BW74" s="373" t="e">
        <f t="shared" si="30"/>
        <v>#DIV/0!</v>
      </c>
      <c r="BX74" s="373" t="e">
        <f t="shared" si="30"/>
        <v>#DIV/0!</v>
      </c>
      <c r="BY74" s="373" t="e">
        <f t="shared" si="30"/>
        <v>#DIV/0!</v>
      </c>
      <c r="BZ74" s="373" t="e">
        <f t="shared" si="30"/>
        <v>#DIV/0!</v>
      </c>
      <c r="CA74" s="373" t="e">
        <f t="shared" si="30"/>
        <v>#DIV/0!</v>
      </c>
      <c r="CB74" s="373" t="e">
        <f t="shared" si="30"/>
        <v>#DIV/0!</v>
      </c>
      <c r="CC74" s="373" t="e">
        <f t="shared" si="30"/>
        <v>#DIV/0!</v>
      </c>
      <c r="CD74" s="373" t="e">
        <f t="shared" si="30"/>
        <v>#DIV/0!</v>
      </c>
      <c r="CE74" s="373" t="e">
        <f t="shared" si="30"/>
        <v>#DIV/0!</v>
      </c>
      <c r="CF74" s="373" t="e">
        <f t="shared" si="30"/>
        <v>#DIV/0!</v>
      </c>
    </row>
    <row r="75" spans="1:84">
      <c r="D75" s="380" t="s">
        <v>91</v>
      </c>
      <c r="E75" s="373" t="e">
        <f t="shared" ref="E75:AJ75" si="31">(E68*$E16)/100</f>
        <v>#DIV/0!</v>
      </c>
      <c r="F75" s="373" t="e">
        <f t="shared" si="31"/>
        <v>#DIV/0!</v>
      </c>
      <c r="G75" s="373" t="e">
        <f t="shared" si="31"/>
        <v>#DIV/0!</v>
      </c>
      <c r="H75" s="373" t="e">
        <f t="shared" si="31"/>
        <v>#DIV/0!</v>
      </c>
      <c r="I75" s="373" t="e">
        <f t="shared" si="31"/>
        <v>#DIV/0!</v>
      </c>
      <c r="J75" s="373" t="e">
        <f t="shared" si="31"/>
        <v>#DIV/0!</v>
      </c>
      <c r="K75" s="373" t="e">
        <f t="shared" si="31"/>
        <v>#DIV/0!</v>
      </c>
      <c r="L75" s="373" t="e">
        <f t="shared" si="31"/>
        <v>#DIV/0!</v>
      </c>
      <c r="M75" s="373" t="e">
        <f t="shared" si="31"/>
        <v>#DIV/0!</v>
      </c>
      <c r="N75" s="373" t="e">
        <f t="shared" si="31"/>
        <v>#DIV/0!</v>
      </c>
      <c r="O75" s="373" t="e">
        <f t="shared" si="31"/>
        <v>#DIV/0!</v>
      </c>
      <c r="P75" s="373" t="e">
        <f t="shared" si="31"/>
        <v>#DIV/0!</v>
      </c>
      <c r="Q75" s="373" t="e">
        <f t="shared" si="31"/>
        <v>#DIV/0!</v>
      </c>
      <c r="R75" s="373" t="e">
        <f t="shared" si="31"/>
        <v>#DIV/0!</v>
      </c>
      <c r="S75" s="373" t="e">
        <f t="shared" si="31"/>
        <v>#DIV/0!</v>
      </c>
      <c r="T75" s="373" t="e">
        <f t="shared" si="31"/>
        <v>#DIV/0!</v>
      </c>
      <c r="U75" s="373" t="e">
        <f t="shared" si="31"/>
        <v>#DIV/0!</v>
      </c>
      <c r="V75" s="373" t="e">
        <f t="shared" si="31"/>
        <v>#DIV/0!</v>
      </c>
      <c r="W75" s="373" t="e">
        <f t="shared" si="31"/>
        <v>#DIV/0!</v>
      </c>
      <c r="X75" s="373" t="e">
        <f t="shared" si="31"/>
        <v>#DIV/0!</v>
      </c>
      <c r="Y75" s="373" t="e">
        <f t="shared" si="31"/>
        <v>#DIV/0!</v>
      </c>
      <c r="Z75" s="373" t="e">
        <f t="shared" si="31"/>
        <v>#DIV/0!</v>
      </c>
      <c r="AA75" s="373" t="e">
        <f t="shared" si="31"/>
        <v>#DIV/0!</v>
      </c>
      <c r="AB75" s="373" t="e">
        <f t="shared" si="31"/>
        <v>#DIV/0!</v>
      </c>
      <c r="AC75" s="373" t="e">
        <f t="shared" si="31"/>
        <v>#DIV/0!</v>
      </c>
      <c r="AD75" s="373" t="e">
        <f t="shared" si="31"/>
        <v>#DIV/0!</v>
      </c>
      <c r="AE75" s="373" t="e">
        <f t="shared" si="31"/>
        <v>#DIV/0!</v>
      </c>
      <c r="AF75" s="373" t="e">
        <f t="shared" si="31"/>
        <v>#DIV/0!</v>
      </c>
      <c r="AG75" s="373" t="e">
        <f t="shared" si="31"/>
        <v>#DIV/0!</v>
      </c>
      <c r="AH75" s="373" t="e">
        <f t="shared" si="31"/>
        <v>#DIV/0!</v>
      </c>
      <c r="AI75" s="373" t="e">
        <f t="shared" si="31"/>
        <v>#DIV/0!</v>
      </c>
      <c r="AJ75" s="373" t="e">
        <f t="shared" si="31"/>
        <v>#DIV/0!</v>
      </c>
      <c r="AK75" s="373" t="e">
        <f t="shared" ref="AK75:BP75" si="32">(AK68*$E16)/100</f>
        <v>#DIV/0!</v>
      </c>
      <c r="AL75" s="373" t="e">
        <f t="shared" si="32"/>
        <v>#DIV/0!</v>
      </c>
      <c r="AM75" s="373" t="e">
        <f t="shared" si="32"/>
        <v>#DIV/0!</v>
      </c>
      <c r="AN75" s="373" t="e">
        <f t="shared" si="32"/>
        <v>#DIV/0!</v>
      </c>
      <c r="AO75" s="373" t="e">
        <f t="shared" si="32"/>
        <v>#DIV/0!</v>
      </c>
      <c r="AP75" s="373" t="e">
        <f t="shared" si="32"/>
        <v>#DIV/0!</v>
      </c>
      <c r="AQ75" s="373" t="e">
        <f t="shared" si="32"/>
        <v>#DIV/0!</v>
      </c>
      <c r="AR75" s="373" t="e">
        <f t="shared" si="32"/>
        <v>#DIV/0!</v>
      </c>
      <c r="AS75" s="373" t="e">
        <f t="shared" si="32"/>
        <v>#DIV/0!</v>
      </c>
      <c r="AT75" s="373" t="e">
        <f t="shared" si="32"/>
        <v>#DIV/0!</v>
      </c>
      <c r="AU75" s="373" t="e">
        <f t="shared" si="32"/>
        <v>#DIV/0!</v>
      </c>
      <c r="AV75" s="373" t="e">
        <f t="shared" si="32"/>
        <v>#DIV/0!</v>
      </c>
      <c r="AW75" s="373" t="e">
        <f t="shared" si="32"/>
        <v>#DIV/0!</v>
      </c>
      <c r="AX75" s="373" t="e">
        <f t="shared" si="32"/>
        <v>#DIV/0!</v>
      </c>
      <c r="AY75" s="373" t="e">
        <f t="shared" si="32"/>
        <v>#DIV/0!</v>
      </c>
      <c r="AZ75" s="373" t="e">
        <f t="shared" si="32"/>
        <v>#DIV/0!</v>
      </c>
      <c r="BA75" s="373" t="e">
        <f t="shared" si="32"/>
        <v>#DIV/0!</v>
      </c>
      <c r="BB75" s="373" t="e">
        <f t="shared" si="32"/>
        <v>#DIV/0!</v>
      </c>
      <c r="BC75" s="373" t="e">
        <f t="shared" si="32"/>
        <v>#DIV/0!</v>
      </c>
      <c r="BD75" s="373" t="e">
        <f t="shared" si="32"/>
        <v>#DIV/0!</v>
      </c>
      <c r="BE75" s="373" t="e">
        <f t="shared" si="32"/>
        <v>#DIV/0!</v>
      </c>
      <c r="BF75" s="373" t="e">
        <f t="shared" si="32"/>
        <v>#DIV/0!</v>
      </c>
      <c r="BG75" s="373" t="e">
        <f t="shared" si="32"/>
        <v>#DIV/0!</v>
      </c>
      <c r="BH75" s="373" t="e">
        <f t="shared" si="32"/>
        <v>#DIV/0!</v>
      </c>
      <c r="BI75" s="373" t="e">
        <f t="shared" si="32"/>
        <v>#DIV/0!</v>
      </c>
      <c r="BJ75" s="373" t="e">
        <f t="shared" si="32"/>
        <v>#DIV/0!</v>
      </c>
      <c r="BK75" s="373" t="e">
        <f t="shared" si="32"/>
        <v>#DIV/0!</v>
      </c>
      <c r="BL75" s="373" t="e">
        <f t="shared" si="32"/>
        <v>#DIV/0!</v>
      </c>
      <c r="BM75" s="373" t="e">
        <f t="shared" si="32"/>
        <v>#DIV/0!</v>
      </c>
      <c r="BN75" s="373" t="e">
        <f t="shared" si="32"/>
        <v>#DIV/0!</v>
      </c>
      <c r="BO75" s="373" t="e">
        <f t="shared" si="32"/>
        <v>#DIV/0!</v>
      </c>
      <c r="BP75" s="373" t="e">
        <f t="shared" si="32"/>
        <v>#DIV/0!</v>
      </c>
      <c r="BQ75" s="373" t="e">
        <f t="shared" ref="BQ75:CF75" si="33">(BQ68*$E16)/100</f>
        <v>#DIV/0!</v>
      </c>
      <c r="BR75" s="373" t="e">
        <f t="shared" si="33"/>
        <v>#DIV/0!</v>
      </c>
      <c r="BS75" s="373" t="e">
        <f t="shared" si="33"/>
        <v>#DIV/0!</v>
      </c>
      <c r="BT75" s="373" t="e">
        <f t="shared" si="33"/>
        <v>#DIV/0!</v>
      </c>
      <c r="BU75" s="373" t="e">
        <f t="shared" si="33"/>
        <v>#DIV/0!</v>
      </c>
      <c r="BV75" s="373" t="e">
        <f t="shared" si="33"/>
        <v>#DIV/0!</v>
      </c>
      <c r="BW75" s="373" t="e">
        <f t="shared" si="33"/>
        <v>#DIV/0!</v>
      </c>
      <c r="BX75" s="373" t="e">
        <f t="shared" si="33"/>
        <v>#DIV/0!</v>
      </c>
      <c r="BY75" s="373" t="e">
        <f t="shared" si="33"/>
        <v>#DIV/0!</v>
      </c>
      <c r="BZ75" s="373" t="e">
        <f t="shared" si="33"/>
        <v>#DIV/0!</v>
      </c>
      <c r="CA75" s="373" t="e">
        <f t="shared" si="33"/>
        <v>#DIV/0!</v>
      </c>
      <c r="CB75" s="373" t="e">
        <f t="shared" si="33"/>
        <v>#DIV/0!</v>
      </c>
      <c r="CC75" s="373" t="e">
        <f t="shared" si="33"/>
        <v>#DIV/0!</v>
      </c>
      <c r="CD75" s="373" t="e">
        <f t="shared" si="33"/>
        <v>#DIV/0!</v>
      </c>
      <c r="CE75" s="373" t="e">
        <f t="shared" si="33"/>
        <v>#DIV/0!</v>
      </c>
      <c r="CF75" s="373" t="e">
        <f t="shared" si="33"/>
        <v>#DIV/0!</v>
      </c>
    </row>
    <row r="76" spans="1:84">
      <c r="D76" s="380" t="s">
        <v>93</v>
      </c>
      <c r="E76" s="373" t="e">
        <f t="shared" ref="E76:AJ76" si="34">(E69*$E17)/100</f>
        <v>#DIV/0!</v>
      </c>
      <c r="F76" s="373" t="e">
        <f t="shared" si="34"/>
        <v>#DIV/0!</v>
      </c>
      <c r="G76" s="373" t="e">
        <f t="shared" si="34"/>
        <v>#DIV/0!</v>
      </c>
      <c r="H76" s="373" t="e">
        <f t="shared" si="34"/>
        <v>#DIV/0!</v>
      </c>
      <c r="I76" s="373" t="e">
        <f t="shared" si="34"/>
        <v>#DIV/0!</v>
      </c>
      <c r="J76" s="373" t="e">
        <f t="shared" si="34"/>
        <v>#DIV/0!</v>
      </c>
      <c r="K76" s="373" t="e">
        <f t="shared" si="34"/>
        <v>#DIV/0!</v>
      </c>
      <c r="L76" s="373" t="e">
        <f t="shared" si="34"/>
        <v>#DIV/0!</v>
      </c>
      <c r="M76" s="373" t="e">
        <f t="shared" si="34"/>
        <v>#DIV/0!</v>
      </c>
      <c r="N76" s="373" t="e">
        <f t="shared" si="34"/>
        <v>#DIV/0!</v>
      </c>
      <c r="O76" s="373" t="e">
        <f t="shared" si="34"/>
        <v>#DIV/0!</v>
      </c>
      <c r="P76" s="373" t="e">
        <f t="shared" si="34"/>
        <v>#DIV/0!</v>
      </c>
      <c r="Q76" s="373" t="e">
        <f t="shared" si="34"/>
        <v>#DIV/0!</v>
      </c>
      <c r="R76" s="373" t="e">
        <f t="shared" si="34"/>
        <v>#DIV/0!</v>
      </c>
      <c r="S76" s="373" t="e">
        <f t="shared" si="34"/>
        <v>#DIV/0!</v>
      </c>
      <c r="T76" s="373" t="e">
        <f t="shared" si="34"/>
        <v>#DIV/0!</v>
      </c>
      <c r="U76" s="373" t="e">
        <f t="shared" si="34"/>
        <v>#DIV/0!</v>
      </c>
      <c r="V76" s="373" t="e">
        <f t="shared" si="34"/>
        <v>#DIV/0!</v>
      </c>
      <c r="W76" s="373" t="e">
        <f t="shared" si="34"/>
        <v>#DIV/0!</v>
      </c>
      <c r="X76" s="373" t="e">
        <f t="shared" si="34"/>
        <v>#DIV/0!</v>
      </c>
      <c r="Y76" s="373" t="e">
        <f t="shared" si="34"/>
        <v>#DIV/0!</v>
      </c>
      <c r="Z76" s="373" t="e">
        <f t="shared" si="34"/>
        <v>#DIV/0!</v>
      </c>
      <c r="AA76" s="373" t="e">
        <f t="shared" si="34"/>
        <v>#DIV/0!</v>
      </c>
      <c r="AB76" s="373" t="e">
        <f t="shared" si="34"/>
        <v>#DIV/0!</v>
      </c>
      <c r="AC76" s="373" t="e">
        <f t="shared" si="34"/>
        <v>#DIV/0!</v>
      </c>
      <c r="AD76" s="373" t="e">
        <f t="shared" si="34"/>
        <v>#DIV/0!</v>
      </c>
      <c r="AE76" s="373" t="e">
        <f t="shared" si="34"/>
        <v>#DIV/0!</v>
      </c>
      <c r="AF76" s="373" t="e">
        <f t="shared" si="34"/>
        <v>#DIV/0!</v>
      </c>
      <c r="AG76" s="373" t="e">
        <f t="shared" si="34"/>
        <v>#DIV/0!</v>
      </c>
      <c r="AH76" s="373" t="e">
        <f t="shared" si="34"/>
        <v>#DIV/0!</v>
      </c>
      <c r="AI76" s="373" t="e">
        <f t="shared" si="34"/>
        <v>#DIV/0!</v>
      </c>
      <c r="AJ76" s="373" t="e">
        <f t="shared" si="34"/>
        <v>#DIV/0!</v>
      </c>
      <c r="AK76" s="373" t="e">
        <f t="shared" ref="AK76:BP76" si="35">(AK69*$E17)/100</f>
        <v>#DIV/0!</v>
      </c>
      <c r="AL76" s="373" t="e">
        <f t="shared" si="35"/>
        <v>#DIV/0!</v>
      </c>
      <c r="AM76" s="373" t="e">
        <f t="shared" si="35"/>
        <v>#DIV/0!</v>
      </c>
      <c r="AN76" s="373" t="e">
        <f t="shared" si="35"/>
        <v>#DIV/0!</v>
      </c>
      <c r="AO76" s="373" t="e">
        <f t="shared" si="35"/>
        <v>#DIV/0!</v>
      </c>
      <c r="AP76" s="373" t="e">
        <f t="shared" si="35"/>
        <v>#DIV/0!</v>
      </c>
      <c r="AQ76" s="373" t="e">
        <f t="shared" si="35"/>
        <v>#DIV/0!</v>
      </c>
      <c r="AR76" s="373" t="e">
        <f t="shared" si="35"/>
        <v>#DIV/0!</v>
      </c>
      <c r="AS76" s="373" t="e">
        <f t="shared" si="35"/>
        <v>#DIV/0!</v>
      </c>
      <c r="AT76" s="373" t="e">
        <f t="shared" si="35"/>
        <v>#DIV/0!</v>
      </c>
      <c r="AU76" s="373" t="e">
        <f t="shared" si="35"/>
        <v>#DIV/0!</v>
      </c>
      <c r="AV76" s="373" t="e">
        <f t="shared" si="35"/>
        <v>#DIV/0!</v>
      </c>
      <c r="AW76" s="373" t="e">
        <f t="shared" si="35"/>
        <v>#DIV/0!</v>
      </c>
      <c r="AX76" s="373" t="e">
        <f t="shared" si="35"/>
        <v>#DIV/0!</v>
      </c>
      <c r="AY76" s="373" t="e">
        <f t="shared" si="35"/>
        <v>#DIV/0!</v>
      </c>
      <c r="AZ76" s="373" t="e">
        <f t="shared" si="35"/>
        <v>#DIV/0!</v>
      </c>
      <c r="BA76" s="373" t="e">
        <f t="shared" si="35"/>
        <v>#DIV/0!</v>
      </c>
      <c r="BB76" s="373" t="e">
        <f t="shared" si="35"/>
        <v>#DIV/0!</v>
      </c>
      <c r="BC76" s="373" t="e">
        <f t="shared" si="35"/>
        <v>#DIV/0!</v>
      </c>
      <c r="BD76" s="373" t="e">
        <f t="shared" si="35"/>
        <v>#DIV/0!</v>
      </c>
      <c r="BE76" s="373" t="e">
        <f t="shared" si="35"/>
        <v>#DIV/0!</v>
      </c>
      <c r="BF76" s="373" t="e">
        <f t="shared" si="35"/>
        <v>#DIV/0!</v>
      </c>
      <c r="BG76" s="373" t="e">
        <f t="shared" si="35"/>
        <v>#DIV/0!</v>
      </c>
      <c r="BH76" s="373" t="e">
        <f t="shared" si="35"/>
        <v>#DIV/0!</v>
      </c>
      <c r="BI76" s="373" t="e">
        <f t="shared" si="35"/>
        <v>#DIV/0!</v>
      </c>
      <c r="BJ76" s="373" t="e">
        <f t="shared" si="35"/>
        <v>#DIV/0!</v>
      </c>
      <c r="BK76" s="373" t="e">
        <f t="shared" si="35"/>
        <v>#DIV/0!</v>
      </c>
      <c r="BL76" s="373" t="e">
        <f t="shared" si="35"/>
        <v>#DIV/0!</v>
      </c>
      <c r="BM76" s="373" t="e">
        <f t="shared" si="35"/>
        <v>#DIV/0!</v>
      </c>
      <c r="BN76" s="373" t="e">
        <f t="shared" si="35"/>
        <v>#DIV/0!</v>
      </c>
      <c r="BO76" s="373" t="e">
        <f t="shared" si="35"/>
        <v>#DIV/0!</v>
      </c>
      <c r="BP76" s="373" t="e">
        <f t="shared" si="35"/>
        <v>#DIV/0!</v>
      </c>
      <c r="BQ76" s="373" t="e">
        <f t="shared" ref="BQ76:CF76" si="36">(BQ69*$E17)/100</f>
        <v>#DIV/0!</v>
      </c>
      <c r="BR76" s="373" t="e">
        <f t="shared" si="36"/>
        <v>#DIV/0!</v>
      </c>
      <c r="BS76" s="373" t="e">
        <f t="shared" si="36"/>
        <v>#DIV/0!</v>
      </c>
      <c r="BT76" s="373" t="e">
        <f t="shared" si="36"/>
        <v>#DIV/0!</v>
      </c>
      <c r="BU76" s="373" t="e">
        <f t="shared" si="36"/>
        <v>#DIV/0!</v>
      </c>
      <c r="BV76" s="373" t="e">
        <f t="shared" si="36"/>
        <v>#DIV/0!</v>
      </c>
      <c r="BW76" s="373" t="e">
        <f t="shared" si="36"/>
        <v>#DIV/0!</v>
      </c>
      <c r="BX76" s="373" t="e">
        <f t="shared" si="36"/>
        <v>#DIV/0!</v>
      </c>
      <c r="BY76" s="373" t="e">
        <f t="shared" si="36"/>
        <v>#DIV/0!</v>
      </c>
      <c r="BZ76" s="373" t="e">
        <f t="shared" si="36"/>
        <v>#DIV/0!</v>
      </c>
      <c r="CA76" s="373" t="e">
        <f t="shared" si="36"/>
        <v>#DIV/0!</v>
      </c>
      <c r="CB76" s="373" t="e">
        <f t="shared" si="36"/>
        <v>#DIV/0!</v>
      </c>
      <c r="CC76" s="373" t="e">
        <f t="shared" si="36"/>
        <v>#DIV/0!</v>
      </c>
      <c r="CD76" s="373" t="e">
        <f t="shared" si="36"/>
        <v>#DIV/0!</v>
      </c>
      <c r="CE76" s="373" t="e">
        <f t="shared" si="36"/>
        <v>#DIV/0!</v>
      </c>
      <c r="CF76" s="373" t="e">
        <f t="shared" si="36"/>
        <v>#DIV/0!</v>
      </c>
    </row>
    <row r="77" spans="1:84">
      <c r="D77" s="378"/>
    </row>
    <row r="78" spans="1:84">
      <c r="B78" s="360" t="s">
        <v>272</v>
      </c>
      <c r="C78" s="370"/>
    </row>
    <row r="79" spans="1:84">
      <c r="C79" s="370"/>
    </row>
    <row r="80" spans="1:84">
      <c r="C80" s="360" t="s">
        <v>279</v>
      </c>
    </row>
    <row r="81" spans="3:84">
      <c r="D81" s="372"/>
      <c r="E81" s="372">
        <v>2010</v>
      </c>
      <c r="F81" s="372">
        <v>2011</v>
      </c>
      <c r="G81" s="372">
        <v>2012</v>
      </c>
      <c r="H81" s="372">
        <v>2013</v>
      </c>
      <c r="I81" s="372">
        <v>2014</v>
      </c>
      <c r="J81" s="372">
        <v>2015</v>
      </c>
      <c r="K81" s="372">
        <v>2016</v>
      </c>
      <c r="L81" s="372">
        <v>2017</v>
      </c>
      <c r="M81" s="372">
        <v>2018</v>
      </c>
      <c r="N81" s="372">
        <v>2019</v>
      </c>
      <c r="O81" s="372">
        <v>2020</v>
      </c>
      <c r="P81" s="372">
        <v>2021</v>
      </c>
      <c r="Q81" s="372">
        <v>2022</v>
      </c>
      <c r="R81" s="372">
        <v>2023</v>
      </c>
      <c r="S81" s="372">
        <v>2024</v>
      </c>
      <c r="T81" s="372">
        <v>2025</v>
      </c>
      <c r="U81" s="372">
        <v>2026</v>
      </c>
      <c r="V81" s="372">
        <v>2027</v>
      </c>
      <c r="W81" s="372">
        <v>2028</v>
      </c>
      <c r="X81" s="372">
        <v>2029</v>
      </c>
      <c r="Y81" s="372">
        <v>2030</v>
      </c>
      <c r="Z81" s="372">
        <v>2031</v>
      </c>
      <c r="AA81" s="372">
        <v>2032</v>
      </c>
      <c r="AB81" s="372">
        <v>2033</v>
      </c>
      <c r="AC81" s="372">
        <v>2034</v>
      </c>
      <c r="AD81" s="372">
        <v>2035</v>
      </c>
      <c r="AE81" s="372">
        <v>2036</v>
      </c>
      <c r="AF81" s="372">
        <v>2037</v>
      </c>
      <c r="AG81" s="372">
        <v>2038</v>
      </c>
      <c r="AH81" s="372">
        <v>2039</v>
      </c>
      <c r="AI81" s="372">
        <v>2040</v>
      </c>
      <c r="AJ81" s="372">
        <v>2041</v>
      </c>
      <c r="AK81" s="372">
        <v>2042</v>
      </c>
      <c r="AL81" s="372">
        <v>2043</v>
      </c>
      <c r="AM81" s="372">
        <v>2044</v>
      </c>
      <c r="AN81" s="372">
        <v>2045</v>
      </c>
      <c r="AO81" s="372">
        <v>2046</v>
      </c>
      <c r="AP81" s="372">
        <v>2047</v>
      </c>
      <c r="AQ81" s="372">
        <v>2048</v>
      </c>
      <c r="AR81" s="372">
        <v>2049</v>
      </c>
      <c r="AS81" s="372">
        <v>2050</v>
      </c>
      <c r="AT81" s="372">
        <v>2051</v>
      </c>
      <c r="AU81" s="372">
        <v>2052</v>
      </c>
      <c r="AV81" s="372">
        <v>2053</v>
      </c>
      <c r="AW81" s="372">
        <v>2054</v>
      </c>
      <c r="AX81" s="372">
        <v>2055</v>
      </c>
      <c r="AY81" s="372">
        <v>2056</v>
      </c>
      <c r="AZ81" s="372">
        <v>2057</v>
      </c>
      <c r="BA81" s="372">
        <v>2058</v>
      </c>
      <c r="BB81" s="372">
        <v>2059</v>
      </c>
      <c r="BC81" s="372">
        <v>2060</v>
      </c>
      <c r="BD81" s="372">
        <v>2061</v>
      </c>
      <c r="BE81" s="372">
        <v>2062</v>
      </c>
      <c r="BF81" s="372">
        <v>2063</v>
      </c>
      <c r="BG81" s="372">
        <v>2064</v>
      </c>
      <c r="BH81" s="372">
        <v>2065</v>
      </c>
      <c r="BI81" s="372">
        <v>2066</v>
      </c>
      <c r="BJ81" s="372">
        <v>2067</v>
      </c>
      <c r="BK81" s="372">
        <v>2068</v>
      </c>
      <c r="BL81" s="372">
        <v>2069</v>
      </c>
      <c r="BM81" s="372">
        <v>2070</v>
      </c>
      <c r="BN81" s="372">
        <v>2071</v>
      </c>
      <c r="BO81" s="372">
        <v>2072</v>
      </c>
      <c r="BP81" s="372">
        <v>2073</v>
      </c>
      <c r="BQ81" s="372">
        <v>2074</v>
      </c>
      <c r="BR81" s="372">
        <v>2075</v>
      </c>
      <c r="BS81" s="372">
        <v>2076</v>
      </c>
      <c r="BT81" s="372">
        <v>2077</v>
      </c>
      <c r="BU81" s="372">
        <v>2078</v>
      </c>
      <c r="BV81" s="372">
        <v>2079</v>
      </c>
      <c r="BW81" s="372">
        <v>2080</v>
      </c>
      <c r="BX81" s="372">
        <v>2081</v>
      </c>
      <c r="BY81" s="372">
        <v>2082</v>
      </c>
      <c r="BZ81" s="372">
        <v>2083</v>
      </c>
      <c r="CA81" s="372">
        <v>2084</v>
      </c>
      <c r="CB81" s="372">
        <v>2085</v>
      </c>
      <c r="CC81" s="372">
        <v>2086</v>
      </c>
      <c r="CD81" s="372">
        <v>2087</v>
      </c>
      <c r="CE81" s="372">
        <v>2088</v>
      </c>
      <c r="CF81" s="372">
        <v>2089</v>
      </c>
    </row>
    <row r="82" spans="3:84">
      <c r="D82" s="373" t="s">
        <v>87</v>
      </c>
      <c r="E82" s="373">
        <f t="shared" ref="E82:BP82" si="37">VLOOKUP(E$81,VOT,84,0)</f>
        <v>10.79</v>
      </c>
      <c r="F82" s="373">
        <f t="shared" si="37"/>
        <v>10.86</v>
      </c>
      <c r="G82" s="373">
        <f t="shared" si="37"/>
        <v>10.95</v>
      </c>
      <c r="H82" s="373">
        <f t="shared" si="37"/>
        <v>11.08</v>
      </c>
      <c r="I82" s="373">
        <f t="shared" si="37"/>
        <v>11.33</v>
      </c>
      <c r="J82" s="373">
        <f t="shared" si="37"/>
        <v>11.53</v>
      </c>
      <c r="K82" s="373">
        <f t="shared" si="37"/>
        <v>11.7</v>
      </c>
      <c r="L82" s="373">
        <f t="shared" si="37"/>
        <v>11.88</v>
      </c>
      <c r="M82" s="373">
        <f t="shared" si="37"/>
        <v>12</v>
      </c>
      <c r="N82" s="373">
        <f t="shared" si="37"/>
        <v>12.13</v>
      </c>
      <c r="O82" s="373">
        <f t="shared" si="37"/>
        <v>12.15</v>
      </c>
      <c r="P82" s="373">
        <f t="shared" si="37"/>
        <v>12.16</v>
      </c>
      <c r="Q82" s="373">
        <f t="shared" si="37"/>
        <v>12.18</v>
      </c>
      <c r="R82" s="373">
        <f t="shared" si="37"/>
        <v>12.36</v>
      </c>
      <c r="S82" s="373">
        <f t="shared" si="37"/>
        <v>12.59</v>
      </c>
      <c r="T82" s="373">
        <f t="shared" si="37"/>
        <v>12.79</v>
      </c>
      <c r="U82" s="373">
        <f t="shared" si="37"/>
        <v>12.98</v>
      </c>
      <c r="V82" s="373">
        <f t="shared" si="37"/>
        <v>13.17</v>
      </c>
      <c r="W82" s="373">
        <f t="shared" si="37"/>
        <v>13.37</v>
      </c>
      <c r="X82" s="373">
        <f t="shared" si="37"/>
        <v>13.56</v>
      </c>
      <c r="Y82" s="373">
        <f t="shared" si="37"/>
        <v>13.76</v>
      </c>
      <c r="Z82" s="373">
        <f t="shared" si="37"/>
        <v>13.95</v>
      </c>
      <c r="AA82" s="373">
        <f t="shared" si="37"/>
        <v>14.15</v>
      </c>
      <c r="AB82" s="373">
        <f t="shared" si="37"/>
        <v>14.34</v>
      </c>
      <c r="AC82" s="373">
        <f t="shared" si="37"/>
        <v>14.54</v>
      </c>
      <c r="AD82" s="373">
        <f t="shared" si="37"/>
        <v>14.74</v>
      </c>
      <c r="AE82" s="373">
        <f t="shared" si="37"/>
        <v>14.95</v>
      </c>
      <c r="AF82" s="373">
        <f t="shared" si="37"/>
        <v>15.17</v>
      </c>
      <c r="AG82" s="373">
        <f t="shared" si="37"/>
        <v>15.4</v>
      </c>
      <c r="AH82" s="373">
        <f t="shared" si="37"/>
        <v>15.62</v>
      </c>
      <c r="AI82" s="373">
        <f t="shared" si="37"/>
        <v>15.84</v>
      </c>
      <c r="AJ82" s="373">
        <f t="shared" si="37"/>
        <v>16.059999999999999</v>
      </c>
      <c r="AK82" s="373">
        <f t="shared" si="37"/>
        <v>16.28</v>
      </c>
      <c r="AL82" s="373">
        <f t="shared" si="37"/>
        <v>16.5</v>
      </c>
      <c r="AM82" s="373">
        <f t="shared" si="37"/>
        <v>16.72</v>
      </c>
      <c r="AN82" s="373">
        <f t="shared" si="37"/>
        <v>16.940000000000001</v>
      </c>
      <c r="AO82" s="373">
        <f t="shared" si="37"/>
        <v>17.16</v>
      </c>
      <c r="AP82" s="373">
        <f t="shared" si="37"/>
        <v>17.39</v>
      </c>
      <c r="AQ82" s="373">
        <f t="shared" si="37"/>
        <v>17.61</v>
      </c>
      <c r="AR82" s="373">
        <f t="shared" si="37"/>
        <v>17.829999999999998</v>
      </c>
      <c r="AS82" s="373">
        <f t="shared" si="37"/>
        <v>18.059999999999999</v>
      </c>
      <c r="AT82" s="373">
        <f t="shared" si="37"/>
        <v>18.3</v>
      </c>
      <c r="AU82" s="373">
        <f t="shared" si="37"/>
        <v>18.54</v>
      </c>
      <c r="AV82" s="373">
        <f t="shared" si="37"/>
        <v>18.79</v>
      </c>
      <c r="AW82" s="373">
        <f t="shared" si="37"/>
        <v>19.04</v>
      </c>
      <c r="AX82" s="373">
        <f t="shared" si="37"/>
        <v>19.3</v>
      </c>
      <c r="AY82" s="373">
        <f t="shared" si="37"/>
        <v>19.559999999999999</v>
      </c>
      <c r="AZ82" s="373">
        <f t="shared" si="37"/>
        <v>19.829999999999998</v>
      </c>
      <c r="BA82" s="373">
        <f t="shared" si="37"/>
        <v>20.11</v>
      </c>
      <c r="BB82" s="373">
        <f t="shared" si="37"/>
        <v>20.39</v>
      </c>
      <c r="BC82" s="373">
        <f t="shared" si="37"/>
        <v>20.68</v>
      </c>
      <c r="BD82" s="373">
        <f t="shared" si="37"/>
        <v>20.98</v>
      </c>
      <c r="BE82" s="373">
        <f t="shared" si="37"/>
        <v>21.28</v>
      </c>
      <c r="BF82" s="373">
        <f t="shared" si="37"/>
        <v>21.59</v>
      </c>
      <c r="BG82" s="373">
        <f t="shared" si="37"/>
        <v>21.91</v>
      </c>
      <c r="BH82" s="373">
        <f t="shared" si="37"/>
        <v>22.23</v>
      </c>
      <c r="BI82" s="373">
        <f t="shared" si="37"/>
        <v>22.58</v>
      </c>
      <c r="BJ82" s="373">
        <f t="shared" si="37"/>
        <v>22.94</v>
      </c>
      <c r="BK82" s="373">
        <f t="shared" si="37"/>
        <v>23.29</v>
      </c>
      <c r="BL82" s="373">
        <f t="shared" si="37"/>
        <v>23.65</v>
      </c>
      <c r="BM82" s="373">
        <f t="shared" si="37"/>
        <v>24</v>
      </c>
      <c r="BN82" s="373">
        <f t="shared" si="37"/>
        <v>24.36</v>
      </c>
      <c r="BO82" s="373">
        <f t="shared" si="37"/>
        <v>24.72</v>
      </c>
      <c r="BP82" s="373">
        <f t="shared" si="37"/>
        <v>25.07</v>
      </c>
      <c r="BQ82" s="373">
        <f t="shared" ref="BQ82:CF82" si="38">VLOOKUP(BQ$81,VOT,84,0)</f>
        <v>25.41</v>
      </c>
      <c r="BR82" s="373">
        <f t="shared" si="38"/>
        <v>25.75</v>
      </c>
      <c r="BS82" s="373">
        <f t="shared" si="38"/>
        <v>26.07</v>
      </c>
      <c r="BT82" s="373">
        <f t="shared" si="38"/>
        <v>26.4</v>
      </c>
      <c r="BU82" s="373">
        <f t="shared" si="38"/>
        <v>26.73</v>
      </c>
      <c r="BV82" s="373">
        <f t="shared" si="38"/>
        <v>27.06</v>
      </c>
      <c r="BW82" s="373">
        <f t="shared" si="38"/>
        <v>27.38</v>
      </c>
      <c r="BX82" s="373">
        <f t="shared" si="38"/>
        <v>27.72</v>
      </c>
      <c r="BY82" s="373">
        <f t="shared" si="38"/>
        <v>28.08</v>
      </c>
      <c r="BZ82" s="373">
        <f t="shared" si="38"/>
        <v>28.45</v>
      </c>
      <c r="CA82" s="373">
        <f t="shared" si="38"/>
        <v>28.82</v>
      </c>
      <c r="CB82" s="373">
        <f t="shared" si="38"/>
        <v>29.21</v>
      </c>
      <c r="CC82" s="373">
        <f t="shared" si="38"/>
        <v>29.63</v>
      </c>
      <c r="CD82" s="373">
        <f t="shared" si="38"/>
        <v>30.07</v>
      </c>
      <c r="CE82" s="373">
        <f t="shared" si="38"/>
        <v>30.52</v>
      </c>
      <c r="CF82" s="373">
        <f t="shared" si="38"/>
        <v>30.98</v>
      </c>
    </row>
    <row r="83" spans="3:84">
      <c r="D83" s="373" t="s">
        <v>89</v>
      </c>
      <c r="E83" s="373">
        <f t="shared" ref="E83:BP83" si="39">VLOOKUP(E$81,VOT,87,0)</f>
        <v>14.39</v>
      </c>
      <c r="F83" s="373">
        <f t="shared" si="39"/>
        <v>14.47</v>
      </c>
      <c r="G83" s="373">
        <f t="shared" si="39"/>
        <v>14.59</v>
      </c>
      <c r="H83" s="373">
        <f t="shared" si="39"/>
        <v>14.77</v>
      </c>
      <c r="I83" s="373">
        <f t="shared" si="39"/>
        <v>15.1</v>
      </c>
      <c r="J83" s="373">
        <f t="shared" si="39"/>
        <v>15.37</v>
      </c>
      <c r="K83" s="373">
        <f t="shared" si="39"/>
        <v>15.59</v>
      </c>
      <c r="L83" s="373">
        <f t="shared" si="39"/>
        <v>15.83</v>
      </c>
      <c r="M83" s="373">
        <f t="shared" si="39"/>
        <v>16</v>
      </c>
      <c r="N83" s="373">
        <f t="shared" si="39"/>
        <v>16.18</v>
      </c>
      <c r="O83" s="373">
        <f t="shared" si="39"/>
        <v>16.190000000000001</v>
      </c>
      <c r="P83" s="373">
        <f t="shared" si="39"/>
        <v>16.21</v>
      </c>
      <c r="Q83" s="373">
        <f t="shared" si="39"/>
        <v>16.23</v>
      </c>
      <c r="R83" s="373">
        <f t="shared" si="39"/>
        <v>16.48</v>
      </c>
      <c r="S83" s="373">
        <f t="shared" si="39"/>
        <v>16.79</v>
      </c>
      <c r="T83" s="373">
        <f t="shared" si="39"/>
        <v>17.05</v>
      </c>
      <c r="U83" s="373">
        <f t="shared" si="39"/>
        <v>17.3</v>
      </c>
      <c r="V83" s="373">
        <f t="shared" si="39"/>
        <v>17.559999999999999</v>
      </c>
      <c r="W83" s="373">
        <f t="shared" si="39"/>
        <v>17.82</v>
      </c>
      <c r="X83" s="373">
        <f t="shared" si="39"/>
        <v>18.079999999999998</v>
      </c>
      <c r="Y83" s="373">
        <f t="shared" si="39"/>
        <v>18.34</v>
      </c>
      <c r="Z83" s="373">
        <f t="shared" si="39"/>
        <v>18.600000000000001</v>
      </c>
      <c r="AA83" s="373">
        <f t="shared" si="39"/>
        <v>18.86</v>
      </c>
      <c r="AB83" s="373">
        <f t="shared" si="39"/>
        <v>19.12</v>
      </c>
      <c r="AC83" s="373">
        <f t="shared" si="39"/>
        <v>19.38</v>
      </c>
      <c r="AD83" s="373">
        <f t="shared" si="39"/>
        <v>19.64</v>
      </c>
      <c r="AE83" s="373">
        <f t="shared" si="39"/>
        <v>19.93</v>
      </c>
      <c r="AF83" s="373">
        <f t="shared" si="39"/>
        <v>20.23</v>
      </c>
      <c r="AG83" s="373">
        <f t="shared" si="39"/>
        <v>20.52</v>
      </c>
      <c r="AH83" s="373">
        <f t="shared" si="39"/>
        <v>20.82</v>
      </c>
      <c r="AI83" s="373">
        <f t="shared" si="39"/>
        <v>21.11</v>
      </c>
      <c r="AJ83" s="373">
        <f t="shared" si="39"/>
        <v>21.41</v>
      </c>
      <c r="AK83" s="373">
        <f t="shared" si="39"/>
        <v>21.7</v>
      </c>
      <c r="AL83" s="373">
        <f t="shared" si="39"/>
        <v>22</v>
      </c>
      <c r="AM83" s="373">
        <f t="shared" si="39"/>
        <v>22.29</v>
      </c>
      <c r="AN83" s="373">
        <f t="shared" si="39"/>
        <v>22.58</v>
      </c>
      <c r="AO83" s="373">
        <f t="shared" si="39"/>
        <v>22.88</v>
      </c>
      <c r="AP83" s="373">
        <f t="shared" si="39"/>
        <v>23.17</v>
      </c>
      <c r="AQ83" s="373">
        <f t="shared" si="39"/>
        <v>23.47</v>
      </c>
      <c r="AR83" s="373">
        <f t="shared" si="39"/>
        <v>23.77</v>
      </c>
      <c r="AS83" s="373">
        <f t="shared" si="39"/>
        <v>24.08</v>
      </c>
      <c r="AT83" s="373">
        <f t="shared" si="39"/>
        <v>24.39</v>
      </c>
      <c r="AU83" s="373">
        <f t="shared" si="39"/>
        <v>24.72</v>
      </c>
      <c r="AV83" s="373">
        <f t="shared" si="39"/>
        <v>25.05</v>
      </c>
      <c r="AW83" s="373">
        <f t="shared" si="39"/>
        <v>25.38</v>
      </c>
      <c r="AX83" s="373">
        <f t="shared" si="39"/>
        <v>25.73</v>
      </c>
      <c r="AY83" s="373">
        <f t="shared" si="39"/>
        <v>26.08</v>
      </c>
      <c r="AZ83" s="373">
        <f t="shared" si="39"/>
        <v>26.44</v>
      </c>
      <c r="BA83" s="373">
        <f t="shared" si="39"/>
        <v>26.81</v>
      </c>
      <c r="BB83" s="373">
        <f t="shared" si="39"/>
        <v>27.19</v>
      </c>
      <c r="BC83" s="373">
        <f t="shared" si="39"/>
        <v>27.57</v>
      </c>
      <c r="BD83" s="373">
        <f t="shared" si="39"/>
        <v>27.97</v>
      </c>
      <c r="BE83" s="373">
        <f t="shared" si="39"/>
        <v>28.37</v>
      </c>
      <c r="BF83" s="373">
        <f t="shared" si="39"/>
        <v>28.78</v>
      </c>
      <c r="BG83" s="373">
        <f t="shared" si="39"/>
        <v>29.21</v>
      </c>
      <c r="BH83" s="373">
        <f t="shared" si="39"/>
        <v>29.64</v>
      </c>
      <c r="BI83" s="373">
        <f t="shared" si="39"/>
        <v>30.1</v>
      </c>
      <c r="BJ83" s="373">
        <f t="shared" si="39"/>
        <v>30.58</v>
      </c>
      <c r="BK83" s="373">
        <f t="shared" si="39"/>
        <v>31.05</v>
      </c>
      <c r="BL83" s="373">
        <f t="shared" si="39"/>
        <v>31.52</v>
      </c>
      <c r="BM83" s="373">
        <f t="shared" si="39"/>
        <v>31.99</v>
      </c>
      <c r="BN83" s="373">
        <f t="shared" si="39"/>
        <v>32.479999999999997</v>
      </c>
      <c r="BO83" s="373">
        <f t="shared" si="39"/>
        <v>32.950000000000003</v>
      </c>
      <c r="BP83" s="373">
        <f t="shared" si="39"/>
        <v>33.42</v>
      </c>
      <c r="BQ83" s="373">
        <f t="shared" ref="BQ83:CF83" si="40">VLOOKUP(BQ$81,VOT,87,0)</f>
        <v>33.869999999999997</v>
      </c>
      <c r="BR83" s="373">
        <f t="shared" si="40"/>
        <v>34.32</v>
      </c>
      <c r="BS83" s="373">
        <f t="shared" si="40"/>
        <v>34.75</v>
      </c>
      <c r="BT83" s="373">
        <f t="shared" si="40"/>
        <v>35.19</v>
      </c>
      <c r="BU83" s="373">
        <f t="shared" si="40"/>
        <v>35.630000000000003</v>
      </c>
      <c r="BV83" s="373">
        <f t="shared" si="40"/>
        <v>36.07</v>
      </c>
      <c r="BW83" s="373">
        <f t="shared" si="40"/>
        <v>36.5</v>
      </c>
      <c r="BX83" s="373">
        <f t="shared" si="40"/>
        <v>36.950000000000003</v>
      </c>
      <c r="BY83" s="373">
        <f t="shared" si="40"/>
        <v>37.43</v>
      </c>
      <c r="BZ83" s="373">
        <f t="shared" si="40"/>
        <v>37.92</v>
      </c>
      <c r="CA83" s="373">
        <f t="shared" si="40"/>
        <v>38.42</v>
      </c>
      <c r="CB83" s="373">
        <f t="shared" si="40"/>
        <v>38.94</v>
      </c>
      <c r="CC83" s="373">
        <f t="shared" si="40"/>
        <v>39.5</v>
      </c>
      <c r="CD83" s="373">
        <f t="shared" si="40"/>
        <v>40.090000000000003</v>
      </c>
      <c r="CE83" s="373">
        <f t="shared" si="40"/>
        <v>40.68</v>
      </c>
      <c r="CF83" s="373">
        <f t="shared" si="40"/>
        <v>41.29</v>
      </c>
    </row>
    <row r="84" spans="3:84">
      <c r="D84" s="373" t="s">
        <v>91</v>
      </c>
      <c r="E84" s="373">
        <f t="shared" ref="E84:BP84" si="41">VLOOKUP(E$81,VOT,89,0)</f>
        <v>14.43</v>
      </c>
      <c r="F84" s="373">
        <f t="shared" si="41"/>
        <v>14.52</v>
      </c>
      <c r="G84" s="373">
        <f t="shared" si="41"/>
        <v>14.64</v>
      </c>
      <c r="H84" s="373">
        <f t="shared" si="41"/>
        <v>14.82</v>
      </c>
      <c r="I84" s="373">
        <f t="shared" si="41"/>
        <v>15.15</v>
      </c>
      <c r="J84" s="373">
        <f t="shared" si="41"/>
        <v>15.43</v>
      </c>
      <c r="K84" s="373">
        <f t="shared" si="41"/>
        <v>15.65</v>
      </c>
      <c r="L84" s="373">
        <f t="shared" si="41"/>
        <v>15.88</v>
      </c>
      <c r="M84" s="373">
        <f t="shared" si="41"/>
        <v>16.05</v>
      </c>
      <c r="N84" s="373">
        <f t="shared" si="41"/>
        <v>16.23</v>
      </c>
      <c r="O84" s="373">
        <f t="shared" si="41"/>
        <v>16.25</v>
      </c>
      <c r="P84" s="373">
        <f t="shared" si="41"/>
        <v>16.27</v>
      </c>
      <c r="Q84" s="373">
        <f t="shared" si="41"/>
        <v>16.29</v>
      </c>
      <c r="R84" s="373">
        <f t="shared" si="41"/>
        <v>16.53</v>
      </c>
      <c r="S84" s="373">
        <f t="shared" si="41"/>
        <v>16.84</v>
      </c>
      <c r="T84" s="373">
        <f t="shared" si="41"/>
        <v>17.11</v>
      </c>
      <c r="U84" s="373">
        <f t="shared" si="41"/>
        <v>17.36</v>
      </c>
      <c r="V84" s="373">
        <f t="shared" si="41"/>
        <v>17.62</v>
      </c>
      <c r="W84" s="373">
        <f t="shared" si="41"/>
        <v>17.88</v>
      </c>
      <c r="X84" s="373">
        <f t="shared" si="41"/>
        <v>18.14</v>
      </c>
      <c r="Y84" s="373">
        <f t="shared" si="41"/>
        <v>18.399999999999999</v>
      </c>
      <c r="Z84" s="373">
        <f t="shared" si="41"/>
        <v>18.66</v>
      </c>
      <c r="AA84" s="373">
        <f t="shared" si="41"/>
        <v>18.920000000000002</v>
      </c>
      <c r="AB84" s="373">
        <f t="shared" si="41"/>
        <v>19.18</v>
      </c>
      <c r="AC84" s="373">
        <f t="shared" si="41"/>
        <v>19.45</v>
      </c>
      <c r="AD84" s="373">
        <f t="shared" si="41"/>
        <v>19.71</v>
      </c>
      <c r="AE84" s="373">
        <f t="shared" si="41"/>
        <v>20</v>
      </c>
      <c r="AF84" s="373">
        <f t="shared" si="41"/>
        <v>20.3</v>
      </c>
      <c r="AG84" s="373">
        <f t="shared" si="41"/>
        <v>20.59</v>
      </c>
      <c r="AH84" s="373">
        <f t="shared" si="41"/>
        <v>20.89</v>
      </c>
      <c r="AI84" s="373">
        <f t="shared" si="41"/>
        <v>21.19</v>
      </c>
      <c r="AJ84" s="373">
        <f t="shared" si="41"/>
        <v>21.48</v>
      </c>
      <c r="AK84" s="373">
        <f t="shared" si="41"/>
        <v>21.78</v>
      </c>
      <c r="AL84" s="373">
        <f t="shared" si="41"/>
        <v>22.07</v>
      </c>
      <c r="AM84" s="373">
        <f t="shared" si="41"/>
        <v>22.37</v>
      </c>
      <c r="AN84" s="373">
        <f t="shared" si="41"/>
        <v>22.66</v>
      </c>
      <c r="AO84" s="373">
        <f t="shared" si="41"/>
        <v>22.96</v>
      </c>
      <c r="AP84" s="373">
        <f t="shared" si="41"/>
        <v>23.25</v>
      </c>
      <c r="AQ84" s="373">
        <f t="shared" si="41"/>
        <v>23.55</v>
      </c>
      <c r="AR84" s="373">
        <f t="shared" si="41"/>
        <v>23.85</v>
      </c>
      <c r="AS84" s="373">
        <f t="shared" si="41"/>
        <v>24.16</v>
      </c>
      <c r="AT84" s="373">
        <f t="shared" si="41"/>
        <v>24.48</v>
      </c>
      <c r="AU84" s="373">
        <f t="shared" si="41"/>
        <v>24.8</v>
      </c>
      <c r="AV84" s="373">
        <f t="shared" si="41"/>
        <v>25.13</v>
      </c>
      <c r="AW84" s="373">
        <f t="shared" si="41"/>
        <v>25.47</v>
      </c>
      <c r="AX84" s="373">
        <f t="shared" si="41"/>
        <v>25.81</v>
      </c>
      <c r="AY84" s="373">
        <f t="shared" si="41"/>
        <v>26.17</v>
      </c>
      <c r="AZ84" s="373">
        <f t="shared" si="41"/>
        <v>26.53</v>
      </c>
      <c r="BA84" s="373">
        <f t="shared" si="41"/>
        <v>26.9</v>
      </c>
      <c r="BB84" s="373">
        <f t="shared" si="41"/>
        <v>27.28</v>
      </c>
      <c r="BC84" s="373">
        <f t="shared" si="41"/>
        <v>27.66</v>
      </c>
      <c r="BD84" s="373">
        <f t="shared" si="41"/>
        <v>28.06</v>
      </c>
      <c r="BE84" s="373">
        <f t="shared" si="41"/>
        <v>28.47</v>
      </c>
      <c r="BF84" s="373">
        <f t="shared" si="41"/>
        <v>28.88</v>
      </c>
      <c r="BG84" s="373">
        <f t="shared" si="41"/>
        <v>29.31</v>
      </c>
      <c r="BH84" s="373">
        <f t="shared" si="41"/>
        <v>29.74</v>
      </c>
      <c r="BI84" s="373">
        <f t="shared" si="41"/>
        <v>30.2</v>
      </c>
      <c r="BJ84" s="373">
        <f t="shared" si="41"/>
        <v>30.68</v>
      </c>
      <c r="BK84" s="373">
        <f t="shared" si="41"/>
        <v>31.15</v>
      </c>
      <c r="BL84" s="373">
        <f t="shared" si="41"/>
        <v>31.63</v>
      </c>
      <c r="BM84" s="373">
        <f t="shared" si="41"/>
        <v>32.1</v>
      </c>
      <c r="BN84" s="373">
        <f t="shared" si="41"/>
        <v>32.590000000000003</v>
      </c>
      <c r="BO84" s="373">
        <f t="shared" si="41"/>
        <v>33.06</v>
      </c>
      <c r="BP84" s="373">
        <f t="shared" si="41"/>
        <v>33.53</v>
      </c>
      <c r="BQ84" s="373">
        <f t="shared" ref="BQ84:CF84" si="42">VLOOKUP(BQ$81,VOT,89,0)</f>
        <v>33.99</v>
      </c>
      <c r="BR84" s="373">
        <f t="shared" si="42"/>
        <v>34.44</v>
      </c>
      <c r="BS84" s="373">
        <f t="shared" si="42"/>
        <v>34.869999999999997</v>
      </c>
      <c r="BT84" s="373">
        <f t="shared" si="42"/>
        <v>35.31</v>
      </c>
      <c r="BU84" s="373">
        <f t="shared" si="42"/>
        <v>35.75</v>
      </c>
      <c r="BV84" s="373">
        <f t="shared" si="42"/>
        <v>36.19</v>
      </c>
      <c r="BW84" s="373">
        <f t="shared" si="42"/>
        <v>36.619999999999997</v>
      </c>
      <c r="BX84" s="373">
        <f t="shared" si="42"/>
        <v>37.08</v>
      </c>
      <c r="BY84" s="373">
        <f t="shared" si="42"/>
        <v>37.56</v>
      </c>
      <c r="BZ84" s="373">
        <f t="shared" si="42"/>
        <v>38.049999999999997</v>
      </c>
      <c r="CA84" s="373">
        <f t="shared" si="42"/>
        <v>38.549999999999997</v>
      </c>
      <c r="CB84" s="373">
        <f t="shared" si="42"/>
        <v>39.08</v>
      </c>
      <c r="CC84" s="373">
        <f t="shared" si="42"/>
        <v>39.630000000000003</v>
      </c>
      <c r="CD84" s="373">
        <f t="shared" si="42"/>
        <v>40.22</v>
      </c>
      <c r="CE84" s="373">
        <f t="shared" si="42"/>
        <v>40.82</v>
      </c>
      <c r="CF84" s="373">
        <f t="shared" si="42"/>
        <v>41.43</v>
      </c>
    </row>
    <row r="85" spans="3:84">
      <c r="D85" s="373" t="s">
        <v>93</v>
      </c>
      <c r="E85" s="373">
        <f t="shared" ref="E85:BP85" si="43">VLOOKUP(E$81,VOT,93,0)</f>
        <v>79.55</v>
      </c>
      <c r="F85" s="373">
        <f t="shared" si="43"/>
        <v>80.040000000000006</v>
      </c>
      <c r="G85" s="373">
        <f t="shared" si="43"/>
        <v>80.680000000000007</v>
      </c>
      <c r="H85" s="373">
        <f t="shared" si="43"/>
        <v>81.69</v>
      </c>
      <c r="I85" s="373">
        <f t="shared" si="43"/>
        <v>83.49</v>
      </c>
      <c r="J85" s="373">
        <f t="shared" si="43"/>
        <v>85.01</v>
      </c>
      <c r="K85" s="373">
        <f t="shared" si="43"/>
        <v>86.22</v>
      </c>
      <c r="L85" s="373">
        <f t="shared" si="43"/>
        <v>87.54</v>
      </c>
      <c r="M85" s="373">
        <f t="shared" si="43"/>
        <v>88.45</v>
      </c>
      <c r="N85" s="373">
        <f t="shared" si="43"/>
        <v>89.45</v>
      </c>
      <c r="O85" s="373">
        <f t="shared" si="43"/>
        <v>89.55</v>
      </c>
      <c r="P85" s="373">
        <f t="shared" si="43"/>
        <v>89.65</v>
      </c>
      <c r="Q85" s="373">
        <f t="shared" si="43"/>
        <v>89.75</v>
      </c>
      <c r="R85" s="373">
        <f t="shared" si="43"/>
        <v>91.11</v>
      </c>
      <c r="S85" s="373">
        <f t="shared" si="43"/>
        <v>92.83</v>
      </c>
      <c r="T85" s="373">
        <f t="shared" si="43"/>
        <v>94.3</v>
      </c>
      <c r="U85" s="373">
        <f t="shared" si="43"/>
        <v>95.68</v>
      </c>
      <c r="V85" s="373">
        <f t="shared" si="43"/>
        <v>97.1</v>
      </c>
      <c r="W85" s="373">
        <f t="shared" si="43"/>
        <v>98.53</v>
      </c>
      <c r="X85" s="373">
        <f t="shared" si="43"/>
        <v>99.98</v>
      </c>
      <c r="Y85" s="373">
        <f t="shared" si="43"/>
        <v>101.41</v>
      </c>
      <c r="Z85" s="373">
        <f t="shared" si="43"/>
        <v>102.85</v>
      </c>
      <c r="AA85" s="373">
        <f t="shared" si="43"/>
        <v>104.28</v>
      </c>
      <c r="AB85" s="373">
        <f t="shared" si="43"/>
        <v>105.72</v>
      </c>
      <c r="AC85" s="373">
        <f t="shared" si="43"/>
        <v>107.17</v>
      </c>
      <c r="AD85" s="373">
        <f t="shared" si="43"/>
        <v>108.62</v>
      </c>
      <c r="AE85" s="373">
        <f t="shared" si="43"/>
        <v>110.22</v>
      </c>
      <c r="AF85" s="373">
        <f t="shared" si="43"/>
        <v>111.85</v>
      </c>
      <c r="AG85" s="373">
        <f t="shared" si="43"/>
        <v>113.49</v>
      </c>
      <c r="AH85" s="373">
        <f t="shared" si="43"/>
        <v>115.12</v>
      </c>
      <c r="AI85" s="373">
        <f t="shared" si="43"/>
        <v>116.75</v>
      </c>
      <c r="AJ85" s="373">
        <f t="shared" si="43"/>
        <v>118.39</v>
      </c>
      <c r="AK85" s="373">
        <f t="shared" si="43"/>
        <v>120.01</v>
      </c>
      <c r="AL85" s="373">
        <f t="shared" si="43"/>
        <v>121.63</v>
      </c>
      <c r="AM85" s="373">
        <f t="shared" si="43"/>
        <v>123.25</v>
      </c>
      <c r="AN85" s="373">
        <f t="shared" si="43"/>
        <v>124.88</v>
      </c>
      <c r="AO85" s="373">
        <f t="shared" si="43"/>
        <v>126.52</v>
      </c>
      <c r="AP85" s="373">
        <f t="shared" si="43"/>
        <v>128.15</v>
      </c>
      <c r="AQ85" s="373">
        <f t="shared" si="43"/>
        <v>129.79</v>
      </c>
      <c r="AR85" s="373">
        <f t="shared" si="43"/>
        <v>131.46</v>
      </c>
      <c r="AS85" s="373">
        <f t="shared" si="43"/>
        <v>133.15</v>
      </c>
      <c r="AT85" s="373">
        <f t="shared" si="43"/>
        <v>134.88999999999999</v>
      </c>
      <c r="AU85" s="373">
        <f t="shared" si="43"/>
        <v>136.66999999999999</v>
      </c>
      <c r="AV85" s="373">
        <f t="shared" si="43"/>
        <v>138.5</v>
      </c>
      <c r="AW85" s="373">
        <f t="shared" si="43"/>
        <v>140.35</v>
      </c>
      <c r="AX85" s="373">
        <f t="shared" si="43"/>
        <v>142.25</v>
      </c>
      <c r="AY85" s="373">
        <f t="shared" si="43"/>
        <v>144.19999999999999</v>
      </c>
      <c r="AZ85" s="373">
        <f t="shared" si="43"/>
        <v>146.19999999999999</v>
      </c>
      <c r="BA85" s="373">
        <f t="shared" si="43"/>
        <v>148.24</v>
      </c>
      <c r="BB85" s="373">
        <f t="shared" si="43"/>
        <v>150.33000000000001</v>
      </c>
      <c r="BC85" s="373">
        <f t="shared" si="43"/>
        <v>152.46</v>
      </c>
      <c r="BD85" s="373">
        <f t="shared" si="43"/>
        <v>154.65</v>
      </c>
      <c r="BE85" s="373">
        <f t="shared" si="43"/>
        <v>156.88</v>
      </c>
      <c r="BF85" s="373">
        <f t="shared" si="43"/>
        <v>159.16999999999999</v>
      </c>
      <c r="BG85" s="373">
        <f t="shared" si="43"/>
        <v>161.5</v>
      </c>
      <c r="BH85" s="373">
        <f t="shared" si="43"/>
        <v>163.9</v>
      </c>
      <c r="BI85" s="373">
        <f t="shared" si="43"/>
        <v>166.42</v>
      </c>
      <c r="BJ85" s="373">
        <f t="shared" si="43"/>
        <v>169.09</v>
      </c>
      <c r="BK85" s="373">
        <f t="shared" si="43"/>
        <v>171.68</v>
      </c>
      <c r="BL85" s="373">
        <f t="shared" si="43"/>
        <v>174.29</v>
      </c>
      <c r="BM85" s="373">
        <f t="shared" si="43"/>
        <v>176.9</v>
      </c>
      <c r="BN85" s="373">
        <f t="shared" si="43"/>
        <v>179.58</v>
      </c>
      <c r="BO85" s="373">
        <f t="shared" si="43"/>
        <v>182.21</v>
      </c>
      <c r="BP85" s="373">
        <f t="shared" si="43"/>
        <v>184.81</v>
      </c>
      <c r="BQ85" s="373">
        <f t="shared" ref="BQ85:CF85" si="44">VLOOKUP(BQ$81,VOT,93,0)</f>
        <v>187.31</v>
      </c>
      <c r="BR85" s="373">
        <f t="shared" si="44"/>
        <v>189.78</v>
      </c>
      <c r="BS85" s="373">
        <f t="shared" si="44"/>
        <v>192.16</v>
      </c>
      <c r="BT85" s="373">
        <f t="shared" si="44"/>
        <v>194.6</v>
      </c>
      <c r="BU85" s="373">
        <f t="shared" si="44"/>
        <v>197.04</v>
      </c>
      <c r="BV85" s="373">
        <f t="shared" si="44"/>
        <v>199.44</v>
      </c>
      <c r="BW85" s="373">
        <f t="shared" si="44"/>
        <v>201.82</v>
      </c>
      <c r="BX85" s="373">
        <f t="shared" si="44"/>
        <v>204.35</v>
      </c>
      <c r="BY85" s="373">
        <f t="shared" si="44"/>
        <v>206.99</v>
      </c>
      <c r="BZ85" s="373">
        <f t="shared" si="44"/>
        <v>209.7</v>
      </c>
      <c r="CA85" s="373">
        <f t="shared" si="44"/>
        <v>212.45</v>
      </c>
      <c r="CB85" s="373">
        <f t="shared" si="44"/>
        <v>215.34</v>
      </c>
      <c r="CC85" s="373">
        <f t="shared" si="44"/>
        <v>218.41</v>
      </c>
      <c r="CD85" s="373">
        <f t="shared" si="44"/>
        <v>221.66</v>
      </c>
      <c r="CE85" s="373">
        <f t="shared" si="44"/>
        <v>224.95</v>
      </c>
      <c r="CF85" s="373">
        <f t="shared" si="44"/>
        <v>228.32</v>
      </c>
    </row>
    <row r="87" spans="3:84">
      <c r="C87" s="360" t="s">
        <v>280</v>
      </c>
    </row>
    <row r="88" spans="3:84">
      <c r="D88" s="372"/>
      <c r="E88" s="372">
        <v>2010</v>
      </c>
      <c r="F88" s="372">
        <v>2011</v>
      </c>
      <c r="G88" s="372">
        <v>2012</v>
      </c>
      <c r="H88" s="372">
        <v>2013</v>
      </c>
      <c r="I88" s="372">
        <v>2014</v>
      </c>
      <c r="J88" s="372">
        <v>2015</v>
      </c>
      <c r="K88" s="372">
        <v>2016</v>
      </c>
      <c r="L88" s="372">
        <v>2017</v>
      </c>
      <c r="M88" s="372">
        <v>2018</v>
      </c>
      <c r="N88" s="372">
        <v>2019</v>
      </c>
      <c r="O88" s="372">
        <v>2020</v>
      </c>
      <c r="P88" s="372">
        <v>2021</v>
      </c>
      <c r="Q88" s="372">
        <v>2022</v>
      </c>
      <c r="R88" s="372">
        <v>2023</v>
      </c>
      <c r="S88" s="372">
        <v>2024</v>
      </c>
      <c r="T88" s="372">
        <v>2025</v>
      </c>
      <c r="U88" s="372">
        <v>2026</v>
      </c>
      <c r="V88" s="372">
        <v>2027</v>
      </c>
      <c r="W88" s="372">
        <v>2028</v>
      </c>
      <c r="X88" s="372">
        <v>2029</v>
      </c>
      <c r="Y88" s="372">
        <v>2030</v>
      </c>
      <c r="Z88" s="372">
        <v>2031</v>
      </c>
      <c r="AA88" s="372">
        <v>2032</v>
      </c>
      <c r="AB88" s="372">
        <v>2033</v>
      </c>
      <c r="AC88" s="372">
        <v>2034</v>
      </c>
      <c r="AD88" s="372">
        <v>2035</v>
      </c>
      <c r="AE88" s="372">
        <v>2036</v>
      </c>
      <c r="AF88" s="372">
        <v>2037</v>
      </c>
      <c r="AG88" s="372">
        <v>2038</v>
      </c>
      <c r="AH88" s="372">
        <v>2039</v>
      </c>
      <c r="AI88" s="372">
        <v>2040</v>
      </c>
      <c r="AJ88" s="372">
        <v>2041</v>
      </c>
      <c r="AK88" s="372">
        <v>2042</v>
      </c>
      <c r="AL88" s="372">
        <v>2043</v>
      </c>
      <c r="AM88" s="372">
        <v>2044</v>
      </c>
      <c r="AN88" s="372">
        <v>2045</v>
      </c>
      <c r="AO88" s="372">
        <v>2046</v>
      </c>
      <c r="AP88" s="372">
        <v>2047</v>
      </c>
      <c r="AQ88" s="372">
        <v>2048</v>
      </c>
      <c r="AR88" s="372">
        <v>2049</v>
      </c>
      <c r="AS88" s="372">
        <v>2050</v>
      </c>
      <c r="AT88" s="372">
        <v>2051</v>
      </c>
      <c r="AU88" s="372">
        <v>2052</v>
      </c>
      <c r="AV88" s="372">
        <v>2053</v>
      </c>
      <c r="AW88" s="372">
        <v>2054</v>
      </c>
      <c r="AX88" s="372">
        <v>2055</v>
      </c>
      <c r="AY88" s="372">
        <v>2056</v>
      </c>
      <c r="AZ88" s="372">
        <v>2057</v>
      </c>
      <c r="BA88" s="372">
        <v>2058</v>
      </c>
      <c r="BB88" s="372">
        <v>2059</v>
      </c>
      <c r="BC88" s="372">
        <v>2060</v>
      </c>
      <c r="BD88" s="372">
        <v>2061</v>
      </c>
      <c r="BE88" s="372">
        <v>2062</v>
      </c>
      <c r="BF88" s="372">
        <v>2063</v>
      </c>
      <c r="BG88" s="372">
        <v>2064</v>
      </c>
      <c r="BH88" s="372">
        <v>2065</v>
      </c>
      <c r="BI88" s="372">
        <v>2066</v>
      </c>
      <c r="BJ88" s="372">
        <v>2067</v>
      </c>
      <c r="BK88" s="372">
        <v>2068</v>
      </c>
      <c r="BL88" s="372">
        <v>2069</v>
      </c>
      <c r="BM88" s="372">
        <v>2070</v>
      </c>
      <c r="BN88" s="372">
        <v>2071</v>
      </c>
      <c r="BO88" s="372">
        <v>2072</v>
      </c>
      <c r="BP88" s="372">
        <v>2073</v>
      </c>
      <c r="BQ88" s="372">
        <v>2074</v>
      </c>
      <c r="BR88" s="372">
        <v>2075</v>
      </c>
      <c r="BS88" s="372">
        <v>2076</v>
      </c>
      <c r="BT88" s="372">
        <v>2077</v>
      </c>
      <c r="BU88" s="372">
        <v>2078</v>
      </c>
      <c r="BV88" s="372">
        <v>2079</v>
      </c>
      <c r="BW88" s="372">
        <v>2080</v>
      </c>
      <c r="BX88" s="372">
        <v>2081</v>
      </c>
      <c r="BY88" s="372">
        <v>2082</v>
      </c>
      <c r="BZ88" s="372">
        <v>2083</v>
      </c>
      <c r="CA88" s="372">
        <v>2084</v>
      </c>
      <c r="CB88" s="372">
        <v>2085</v>
      </c>
      <c r="CC88" s="372">
        <v>2086</v>
      </c>
      <c r="CD88" s="372">
        <v>2087</v>
      </c>
      <c r="CE88" s="372">
        <v>2088</v>
      </c>
      <c r="CF88" s="372">
        <v>2089</v>
      </c>
    </row>
    <row r="89" spans="3:84">
      <c r="D89" s="373" t="s">
        <v>249</v>
      </c>
      <c r="E89" s="373">
        <f>(($E$19/60)*E82)</f>
        <v>0</v>
      </c>
      <c r="F89" s="373">
        <f t="shared" ref="F89:BQ89" si="45">(($E$19/60)*F82)</f>
        <v>0</v>
      </c>
      <c r="G89" s="373">
        <f t="shared" si="45"/>
        <v>0</v>
      </c>
      <c r="H89" s="373">
        <f t="shared" si="45"/>
        <v>0</v>
      </c>
      <c r="I89" s="373">
        <f t="shared" si="45"/>
        <v>0</v>
      </c>
      <c r="J89" s="373">
        <f t="shared" si="45"/>
        <v>0</v>
      </c>
      <c r="K89" s="373">
        <f t="shared" si="45"/>
        <v>0</v>
      </c>
      <c r="L89" s="373">
        <f t="shared" si="45"/>
        <v>0</v>
      </c>
      <c r="M89" s="373">
        <f t="shared" si="45"/>
        <v>0</v>
      </c>
      <c r="N89" s="373">
        <f t="shared" si="45"/>
        <v>0</v>
      </c>
      <c r="O89" s="373">
        <f t="shared" si="45"/>
        <v>0</v>
      </c>
      <c r="P89" s="373">
        <f t="shared" si="45"/>
        <v>0</v>
      </c>
      <c r="Q89" s="373">
        <f t="shared" si="45"/>
        <v>0</v>
      </c>
      <c r="R89" s="373">
        <f t="shared" si="45"/>
        <v>0</v>
      </c>
      <c r="S89" s="373">
        <f t="shared" si="45"/>
        <v>0</v>
      </c>
      <c r="T89" s="373">
        <f t="shared" si="45"/>
        <v>0</v>
      </c>
      <c r="U89" s="373">
        <f t="shared" si="45"/>
        <v>0</v>
      </c>
      <c r="V89" s="373">
        <f t="shared" si="45"/>
        <v>0</v>
      </c>
      <c r="W89" s="373">
        <f t="shared" si="45"/>
        <v>0</v>
      </c>
      <c r="X89" s="373">
        <f t="shared" si="45"/>
        <v>0</v>
      </c>
      <c r="Y89" s="373">
        <f t="shared" si="45"/>
        <v>0</v>
      </c>
      <c r="Z89" s="373">
        <f t="shared" si="45"/>
        <v>0</v>
      </c>
      <c r="AA89" s="373">
        <f t="shared" si="45"/>
        <v>0</v>
      </c>
      <c r="AB89" s="373">
        <f t="shared" si="45"/>
        <v>0</v>
      </c>
      <c r="AC89" s="373">
        <f t="shared" si="45"/>
        <v>0</v>
      </c>
      <c r="AD89" s="373">
        <f t="shared" si="45"/>
        <v>0</v>
      </c>
      <c r="AE89" s="373">
        <f t="shared" si="45"/>
        <v>0</v>
      </c>
      <c r="AF89" s="373">
        <f t="shared" si="45"/>
        <v>0</v>
      </c>
      <c r="AG89" s="373">
        <f t="shared" si="45"/>
        <v>0</v>
      </c>
      <c r="AH89" s="373">
        <f t="shared" si="45"/>
        <v>0</v>
      </c>
      <c r="AI89" s="373">
        <f t="shared" si="45"/>
        <v>0</v>
      </c>
      <c r="AJ89" s="373">
        <f t="shared" si="45"/>
        <v>0</v>
      </c>
      <c r="AK89" s="373">
        <f t="shared" si="45"/>
        <v>0</v>
      </c>
      <c r="AL89" s="373">
        <f t="shared" si="45"/>
        <v>0</v>
      </c>
      <c r="AM89" s="373">
        <f t="shared" si="45"/>
        <v>0</v>
      </c>
      <c r="AN89" s="373">
        <f t="shared" si="45"/>
        <v>0</v>
      </c>
      <c r="AO89" s="373">
        <f t="shared" si="45"/>
        <v>0</v>
      </c>
      <c r="AP89" s="373">
        <f t="shared" si="45"/>
        <v>0</v>
      </c>
      <c r="AQ89" s="373">
        <f t="shared" si="45"/>
        <v>0</v>
      </c>
      <c r="AR89" s="373">
        <f t="shared" si="45"/>
        <v>0</v>
      </c>
      <c r="AS89" s="373">
        <f t="shared" si="45"/>
        <v>0</v>
      </c>
      <c r="AT89" s="373">
        <f t="shared" si="45"/>
        <v>0</v>
      </c>
      <c r="AU89" s="373">
        <f t="shared" si="45"/>
        <v>0</v>
      </c>
      <c r="AV89" s="373">
        <f t="shared" si="45"/>
        <v>0</v>
      </c>
      <c r="AW89" s="373">
        <f t="shared" si="45"/>
        <v>0</v>
      </c>
      <c r="AX89" s="373">
        <f t="shared" si="45"/>
        <v>0</v>
      </c>
      <c r="AY89" s="373">
        <f t="shared" si="45"/>
        <v>0</v>
      </c>
      <c r="AZ89" s="373">
        <f t="shared" si="45"/>
        <v>0</v>
      </c>
      <c r="BA89" s="373">
        <f t="shared" si="45"/>
        <v>0</v>
      </c>
      <c r="BB89" s="373">
        <f t="shared" si="45"/>
        <v>0</v>
      </c>
      <c r="BC89" s="373">
        <f t="shared" si="45"/>
        <v>0</v>
      </c>
      <c r="BD89" s="373">
        <f t="shared" si="45"/>
        <v>0</v>
      </c>
      <c r="BE89" s="373">
        <f t="shared" si="45"/>
        <v>0</v>
      </c>
      <c r="BF89" s="373">
        <f t="shared" si="45"/>
        <v>0</v>
      </c>
      <c r="BG89" s="373">
        <f t="shared" si="45"/>
        <v>0</v>
      </c>
      <c r="BH89" s="373">
        <f t="shared" si="45"/>
        <v>0</v>
      </c>
      <c r="BI89" s="373">
        <f t="shared" si="45"/>
        <v>0</v>
      </c>
      <c r="BJ89" s="373">
        <f t="shared" si="45"/>
        <v>0</v>
      </c>
      <c r="BK89" s="373">
        <f t="shared" si="45"/>
        <v>0</v>
      </c>
      <c r="BL89" s="373">
        <f t="shared" si="45"/>
        <v>0</v>
      </c>
      <c r="BM89" s="373">
        <f t="shared" si="45"/>
        <v>0</v>
      </c>
      <c r="BN89" s="373">
        <f t="shared" si="45"/>
        <v>0</v>
      </c>
      <c r="BO89" s="373">
        <f t="shared" si="45"/>
        <v>0</v>
      </c>
      <c r="BP89" s="373">
        <f t="shared" si="45"/>
        <v>0</v>
      </c>
      <c r="BQ89" s="373">
        <f t="shared" si="45"/>
        <v>0</v>
      </c>
      <c r="BR89" s="373">
        <f t="shared" ref="BR89:CF89" si="46">(($E$19/60)*BR82)</f>
        <v>0</v>
      </c>
      <c r="BS89" s="373">
        <f t="shared" si="46"/>
        <v>0</v>
      </c>
      <c r="BT89" s="373">
        <f t="shared" si="46"/>
        <v>0</v>
      </c>
      <c r="BU89" s="373">
        <f t="shared" si="46"/>
        <v>0</v>
      </c>
      <c r="BV89" s="373">
        <f t="shared" si="46"/>
        <v>0</v>
      </c>
      <c r="BW89" s="373">
        <f t="shared" si="46"/>
        <v>0</v>
      </c>
      <c r="BX89" s="373">
        <f t="shared" si="46"/>
        <v>0</v>
      </c>
      <c r="BY89" s="373">
        <f t="shared" si="46"/>
        <v>0</v>
      </c>
      <c r="BZ89" s="373">
        <f t="shared" si="46"/>
        <v>0</v>
      </c>
      <c r="CA89" s="373">
        <f t="shared" si="46"/>
        <v>0</v>
      </c>
      <c r="CB89" s="373">
        <f t="shared" si="46"/>
        <v>0</v>
      </c>
      <c r="CC89" s="373">
        <f t="shared" si="46"/>
        <v>0</v>
      </c>
      <c r="CD89" s="373">
        <f t="shared" si="46"/>
        <v>0</v>
      </c>
      <c r="CE89" s="373">
        <f t="shared" si="46"/>
        <v>0</v>
      </c>
      <c r="CF89" s="373">
        <f t="shared" si="46"/>
        <v>0</v>
      </c>
    </row>
    <row r="90" spans="3:84">
      <c r="D90" s="373" t="s">
        <v>89</v>
      </c>
      <c r="E90" s="373">
        <f>(($E$19/60)*E83)</f>
        <v>0</v>
      </c>
      <c r="F90" s="373">
        <f t="shared" ref="F90:BQ91" si="47">(($E$19/60)*F83)</f>
        <v>0</v>
      </c>
      <c r="G90" s="373">
        <f t="shared" si="47"/>
        <v>0</v>
      </c>
      <c r="H90" s="373">
        <f t="shared" si="47"/>
        <v>0</v>
      </c>
      <c r="I90" s="373">
        <f t="shared" si="47"/>
        <v>0</v>
      </c>
      <c r="J90" s="373">
        <f t="shared" si="47"/>
        <v>0</v>
      </c>
      <c r="K90" s="373">
        <f t="shared" si="47"/>
        <v>0</v>
      </c>
      <c r="L90" s="373">
        <f t="shared" si="47"/>
        <v>0</v>
      </c>
      <c r="M90" s="373">
        <f t="shared" si="47"/>
        <v>0</v>
      </c>
      <c r="N90" s="373">
        <f t="shared" si="47"/>
        <v>0</v>
      </c>
      <c r="O90" s="373">
        <f t="shared" si="47"/>
        <v>0</v>
      </c>
      <c r="P90" s="373">
        <f t="shared" si="47"/>
        <v>0</v>
      </c>
      <c r="Q90" s="373">
        <f t="shared" si="47"/>
        <v>0</v>
      </c>
      <c r="R90" s="373">
        <f t="shared" si="47"/>
        <v>0</v>
      </c>
      <c r="S90" s="373">
        <f t="shared" si="47"/>
        <v>0</v>
      </c>
      <c r="T90" s="373">
        <f t="shared" si="47"/>
        <v>0</v>
      </c>
      <c r="U90" s="373">
        <f t="shared" si="47"/>
        <v>0</v>
      </c>
      <c r="V90" s="373">
        <f t="shared" si="47"/>
        <v>0</v>
      </c>
      <c r="W90" s="373">
        <f t="shared" si="47"/>
        <v>0</v>
      </c>
      <c r="X90" s="373">
        <f t="shared" si="47"/>
        <v>0</v>
      </c>
      <c r="Y90" s="373">
        <f t="shared" si="47"/>
        <v>0</v>
      </c>
      <c r="Z90" s="373">
        <f t="shared" si="47"/>
        <v>0</v>
      </c>
      <c r="AA90" s="373">
        <f t="shared" si="47"/>
        <v>0</v>
      </c>
      <c r="AB90" s="373">
        <f t="shared" si="47"/>
        <v>0</v>
      </c>
      <c r="AC90" s="373">
        <f t="shared" si="47"/>
        <v>0</v>
      </c>
      <c r="AD90" s="373">
        <f t="shared" si="47"/>
        <v>0</v>
      </c>
      <c r="AE90" s="373">
        <f t="shared" si="47"/>
        <v>0</v>
      </c>
      <c r="AF90" s="373">
        <f t="shared" si="47"/>
        <v>0</v>
      </c>
      <c r="AG90" s="373">
        <f t="shared" si="47"/>
        <v>0</v>
      </c>
      <c r="AH90" s="373">
        <f t="shared" si="47"/>
        <v>0</v>
      </c>
      <c r="AI90" s="373">
        <f t="shared" si="47"/>
        <v>0</v>
      </c>
      <c r="AJ90" s="373">
        <f t="shared" si="47"/>
        <v>0</v>
      </c>
      <c r="AK90" s="373">
        <f t="shared" si="47"/>
        <v>0</v>
      </c>
      <c r="AL90" s="373">
        <f t="shared" si="47"/>
        <v>0</v>
      </c>
      <c r="AM90" s="373">
        <f t="shared" si="47"/>
        <v>0</v>
      </c>
      <c r="AN90" s="373">
        <f t="shared" si="47"/>
        <v>0</v>
      </c>
      <c r="AO90" s="373">
        <f t="shared" si="47"/>
        <v>0</v>
      </c>
      <c r="AP90" s="373">
        <f t="shared" si="47"/>
        <v>0</v>
      </c>
      <c r="AQ90" s="373">
        <f t="shared" si="47"/>
        <v>0</v>
      </c>
      <c r="AR90" s="373">
        <f t="shared" si="47"/>
        <v>0</v>
      </c>
      <c r="AS90" s="373">
        <f t="shared" si="47"/>
        <v>0</v>
      </c>
      <c r="AT90" s="373">
        <f t="shared" si="47"/>
        <v>0</v>
      </c>
      <c r="AU90" s="373">
        <f t="shared" si="47"/>
        <v>0</v>
      </c>
      <c r="AV90" s="373">
        <f t="shared" si="47"/>
        <v>0</v>
      </c>
      <c r="AW90" s="373">
        <f t="shared" si="47"/>
        <v>0</v>
      </c>
      <c r="AX90" s="373">
        <f t="shared" si="47"/>
        <v>0</v>
      </c>
      <c r="AY90" s="373">
        <f t="shared" si="47"/>
        <v>0</v>
      </c>
      <c r="AZ90" s="373">
        <f t="shared" si="47"/>
        <v>0</v>
      </c>
      <c r="BA90" s="373">
        <f t="shared" si="47"/>
        <v>0</v>
      </c>
      <c r="BB90" s="373">
        <f t="shared" si="47"/>
        <v>0</v>
      </c>
      <c r="BC90" s="373">
        <f t="shared" si="47"/>
        <v>0</v>
      </c>
      <c r="BD90" s="373">
        <f t="shared" si="47"/>
        <v>0</v>
      </c>
      <c r="BE90" s="373">
        <f t="shared" si="47"/>
        <v>0</v>
      </c>
      <c r="BF90" s="373">
        <f t="shared" si="47"/>
        <v>0</v>
      </c>
      <c r="BG90" s="373">
        <f t="shared" si="47"/>
        <v>0</v>
      </c>
      <c r="BH90" s="373">
        <f t="shared" si="47"/>
        <v>0</v>
      </c>
      <c r="BI90" s="373">
        <f t="shared" si="47"/>
        <v>0</v>
      </c>
      <c r="BJ90" s="373">
        <f t="shared" si="47"/>
        <v>0</v>
      </c>
      <c r="BK90" s="373">
        <f t="shared" si="47"/>
        <v>0</v>
      </c>
      <c r="BL90" s="373">
        <f t="shared" si="47"/>
        <v>0</v>
      </c>
      <c r="BM90" s="373">
        <f t="shared" si="47"/>
        <v>0</v>
      </c>
      <c r="BN90" s="373">
        <f t="shared" si="47"/>
        <v>0</v>
      </c>
      <c r="BO90" s="373">
        <f t="shared" si="47"/>
        <v>0</v>
      </c>
      <c r="BP90" s="373">
        <f t="shared" si="47"/>
        <v>0</v>
      </c>
      <c r="BQ90" s="373">
        <f t="shared" si="47"/>
        <v>0</v>
      </c>
      <c r="BR90" s="373">
        <f t="shared" ref="BR90:CF92" si="48">(($E$19/60)*BR83)</f>
        <v>0</v>
      </c>
      <c r="BS90" s="373">
        <f t="shared" si="48"/>
        <v>0</v>
      </c>
      <c r="BT90" s="373">
        <f t="shared" si="48"/>
        <v>0</v>
      </c>
      <c r="BU90" s="373">
        <f t="shared" si="48"/>
        <v>0</v>
      </c>
      <c r="BV90" s="373">
        <f t="shared" si="48"/>
        <v>0</v>
      </c>
      <c r="BW90" s="373">
        <f t="shared" si="48"/>
        <v>0</v>
      </c>
      <c r="BX90" s="373">
        <f t="shared" si="48"/>
        <v>0</v>
      </c>
      <c r="BY90" s="373">
        <f t="shared" si="48"/>
        <v>0</v>
      </c>
      <c r="BZ90" s="373">
        <f t="shared" si="48"/>
        <v>0</v>
      </c>
      <c r="CA90" s="373">
        <f t="shared" si="48"/>
        <v>0</v>
      </c>
      <c r="CB90" s="373">
        <f t="shared" si="48"/>
        <v>0</v>
      </c>
      <c r="CC90" s="373">
        <f t="shared" si="48"/>
        <v>0</v>
      </c>
      <c r="CD90" s="373">
        <f t="shared" si="48"/>
        <v>0</v>
      </c>
      <c r="CE90" s="373">
        <f t="shared" si="48"/>
        <v>0</v>
      </c>
      <c r="CF90" s="373">
        <f t="shared" si="48"/>
        <v>0</v>
      </c>
    </row>
    <row r="91" spans="3:84">
      <c r="D91" s="373" t="s">
        <v>91</v>
      </c>
      <c r="E91" s="373">
        <f t="shared" ref="E91:T92" si="49">(($E$19/60)*E84)</f>
        <v>0</v>
      </c>
      <c r="F91" s="373">
        <f t="shared" si="49"/>
        <v>0</v>
      </c>
      <c r="G91" s="373">
        <f t="shared" si="49"/>
        <v>0</v>
      </c>
      <c r="H91" s="373">
        <f t="shared" si="49"/>
        <v>0</v>
      </c>
      <c r="I91" s="373">
        <f t="shared" si="49"/>
        <v>0</v>
      </c>
      <c r="J91" s="373">
        <f t="shared" si="49"/>
        <v>0</v>
      </c>
      <c r="K91" s="373">
        <f t="shared" si="49"/>
        <v>0</v>
      </c>
      <c r="L91" s="373">
        <f t="shared" si="49"/>
        <v>0</v>
      </c>
      <c r="M91" s="373">
        <f t="shared" si="49"/>
        <v>0</v>
      </c>
      <c r="N91" s="373">
        <f t="shared" si="49"/>
        <v>0</v>
      </c>
      <c r="O91" s="373">
        <f t="shared" si="49"/>
        <v>0</v>
      </c>
      <c r="P91" s="373">
        <f t="shared" si="49"/>
        <v>0</v>
      </c>
      <c r="Q91" s="373">
        <f t="shared" si="49"/>
        <v>0</v>
      </c>
      <c r="R91" s="373">
        <f t="shared" si="49"/>
        <v>0</v>
      </c>
      <c r="S91" s="373">
        <f t="shared" si="49"/>
        <v>0</v>
      </c>
      <c r="T91" s="373">
        <f t="shared" si="49"/>
        <v>0</v>
      </c>
      <c r="U91" s="373">
        <f t="shared" si="47"/>
        <v>0</v>
      </c>
      <c r="V91" s="373">
        <f t="shared" si="47"/>
        <v>0</v>
      </c>
      <c r="W91" s="373">
        <f t="shared" si="47"/>
        <v>0</v>
      </c>
      <c r="X91" s="373">
        <f t="shared" si="47"/>
        <v>0</v>
      </c>
      <c r="Y91" s="373">
        <f t="shared" si="47"/>
        <v>0</v>
      </c>
      <c r="Z91" s="373">
        <f t="shared" si="47"/>
        <v>0</v>
      </c>
      <c r="AA91" s="373">
        <f t="shared" si="47"/>
        <v>0</v>
      </c>
      <c r="AB91" s="373">
        <f t="shared" si="47"/>
        <v>0</v>
      </c>
      <c r="AC91" s="373">
        <f t="shared" si="47"/>
        <v>0</v>
      </c>
      <c r="AD91" s="373">
        <f t="shared" si="47"/>
        <v>0</v>
      </c>
      <c r="AE91" s="373">
        <f t="shared" si="47"/>
        <v>0</v>
      </c>
      <c r="AF91" s="373">
        <f t="shared" si="47"/>
        <v>0</v>
      </c>
      <c r="AG91" s="373">
        <f t="shared" si="47"/>
        <v>0</v>
      </c>
      <c r="AH91" s="373">
        <f t="shared" si="47"/>
        <v>0</v>
      </c>
      <c r="AI91" s="373">
        <f t="shared" si="47"/>
        <v>0</v>
      </c>
      <c r="AJ91" s="373">
        <f t="shared" si="47"/>
        <v>0</v>
      </c>
      <c r="AK91" s="373">
        <f t="shared" si="47"/>
        <v>0</v>
      </c>
      <c r="AL91" s="373">
        <f t="shared" si="47"/>
        <v>0</v>
      </c>
      <c r="AM91" s="373">
        <f t="shared" si="47"/>
        <v>0</v>
      </c>
      <c r="AN91" s="373">
        <f t="shared" si="47"/>
        <v>0</v>
      </c>
      <c r="AO91" s="373">
        <f t="shared" si="47"/>
        <v>0</v>
      </c>
      <c r="AP91" s="373">
        <f t="shared" si="47"/>
        <v>0</v>
      </c>
      <c r="AQ91" s="373">
        <f t="shared" si="47"/>
        <v>0</v>
      </c>
      <c r="AR91" s="373">
        <f t="shared" si="47"/>
        <v>0</v>
      </c>
      <c r="AS91" s="373">
        <f t="shared" si="47"/>
        <v>0</v>
      </c>
      <c r="AT91" s="373">
        <f t="shared" si="47"/>
        <v>0</v>
      </c>
      <c r="AU91" s="373">
        <f t="shared" si="47"/>
        <v>0</v>
      </c>
      <c r="AV91" s="373">
        <f t="shared" si="47"/>
        <v>0</v>
      </c>
      <c r="AW91" s="373">
        <f t="shared" si="47"/>
        <v>0</v>
      </c>
      <c r="AX91" s="373">
        <f t="shared" si="47"/>
        <v>0</v>
      </c>
      <c r="AY91" s="373">
        <f t="shared" si="47"/>
        <v>0</v>
      </c>
      <c r="AZ91" s="373">
        <f t="shared" si="47"/>
        <v>0</v>
      </c>
      <c r="BA91" s="373">
        <f t="shared" si="47"/>
        <v>0</v>
      </c>
      <c r="BB91" s="373">
        <f t="shared" si="47"/>
        <v>0</v>
      </c>
      <c r="BC91" s="373">
        <f t="shared" si="47"/>
        <v>0</v>
      </c>
      <c r="BD91" s="373">
        <f t="shared" si="47"/>
        <v>0</v>
      </c>
      <c r="BE91" s="373">
        <f t="shared" si="47"/>
        <v>0</v>
      </c>
      <c r="BF91" s="373">
        <f t="shared" si="47"/>
        <v>0</v>
      </c>
      <c r="BG91" s="373">
        <f t="shared" si="47"/>
        <v>0</v>
      </c>
      <c r="BH91" s="373">
        <f t="shared" si="47"/>
        <v>0</v>
      </c>
      <c r="BI91" s="373">
        <f t="shared" si="47"/>
        <v>0</v>
      </c>
      <c r="BJ91" s="373">
        <f t="shared" si="47"/>
        <v>0</v>
      </c>
      <c r="BK91" s="373">
        <f t="shared" si="47"/>
        <v>0</v>
      </c>
      <c r="BL91" s="373">
        <f t="shared" si="47"/>
        <v>0</v>
      </c>
      <c r="BM91" s="373">
        <f t="shared" si="47"/>
        <v>0</v>
      </c>
      <c r="BN91" s="373">
        <f t="shared" si="47"/>
        <v>0</v>
      </c>
      <c r="BO91" s="373">
        <f t="shared" si="47"/>
        <v>0</v>
      </c>
      <c r="BP91" s="373">
        <f t="shared" si="47"/>
        <v>0</v>
      </c>
      <c r="BQ91" s="373">
        <f t="shared" si="47"/>
        <v>0</v>
      </c>
      <c r="BR91" s="373">
        <f t="shared" si="48"/>
        <v>0</v>
      </c>
      <c r="BS91" s="373">
        <f t="shared" si="48"/>
        <v>0</v>
      </c>
      <c r="BT91" s="373">
        <f t="shared" si="48"/>
        <v>0</v>
      </c>
      <c r="BU91" s="373">
        <f t="shared" si="48"/>
        <v>0</v>
      </c>
      <c r="BV91" s="373">
        <f t="shared" si="48"/>
        <v>0</v>
      </c>
      <c r="BW91" s="373">
        <f t="shared" si="48"/>
        <v>0</v>
      </c>
      <c r="BX91" s="373">
        <f t="shared" si="48"/>
        <v>0</v>
      </c>
      <c r="BY91" s="373">
        <f t="shared" si="48"/>
        <v>0</v>
      </c>
      <c r="BZ91" s="373">
        <f t="shared" si="48"/>
        <v>0</v>
      </c>
      <c r="CA91" s="373">
        <f t="shared" si="48"/>
        <v>0</v>
      </c>
      <c r="CB91" s="373">
        <f t="shared" si="48"/>
        <v>0</v>
      </c>
      <c r="CC91" s="373">
        <f t="shared" si="48"/>
        <v>0</v>
      </c>
      <c r="CD91" s="373">
        <f t="shared" si="48"/>
        <v>0</v>
      </c>
      <c r="CE91" s="373">
        <f t="shared" si="48"/>
        <v>0</v>
      </c>
      <c r="CF91" s="373">
        <f t="shared" si="48"/>
        <v>0</v>
      </c>
    </row>
    <row r="92" spans="3:84">
      <c r="D92" s="373" t="s">
        <v>93</v>
      </c>
      <c r="E92" s="373">
        <f t="shared" si="49"/>
        <v>0</v>
      </c>
      <c r="F92" s="373">
        <f t="shared" ref="F92:BQ92" si="50">(($E$19/60)*F85)</f>
        <v>0</v>
      </c>
      <c r="G92" s="373">
        <f t="shared" si="50"/>
        <v>0</v>
      </c>
      <c r="H92" s="373">
        <f t="shared" si="50"/>
        <v>0</v>
      </c>
      <c r="I92" s="373">
        <f t="shared" si="50"/>
        <v>0</v>
      </c>
      <c r="J92" s="373">
        <f t="shared" si="50"/>
        <v>0</v>
      </c>
      <c r="K92" s="373">
        <f t="shared" si="50"/>
        <v>0</v>
      </c>
      <c r="L92" s="373">
        <f t="shared" si="50"/>
        <v>0</v>
      </c>
      <c r="M92" s="373">
        <f t="shared" si="50"/>
        <v>0</v>
      </c>
      <c r="N92" s="373">
        <f t="shared" si="50"/>
        <v>0</v>
      </c>
      <c r="O92" s="373">
        <f t="shared" si="50"/>
        <v>0</v>
      </c>
      <c r="P92" s="373">
        <f t="shared" si="50"/>
        <v>0</v>
      </c>
      <c r="Q92" s="373">
        <f t="shared" si="50"/>
        <v>0</v>
      </c>
      <c r="R92" s="373">
        <f t="shared" si="50"/>
        <v>0</v>
      </c>
      <c r="S92" s="373">
        <f t="shared" si="50"/>
        <v>0</v>
      </c>
      <c r="T92" s="373">
        <f t="shared" si="50"/>
        <v>0</v>
      </c>
      <c r="U92" s="373">
        <f t="shared" si="50"/>
        <v>0</v>
      </c>
      <c r="V92" s="373">
        <f t="shared" si="50"/>
        <v>0</v>
      </c>
      <c r="W92" s="373">
        <f t="shared" si="50"/>
        <v>0</v>
      </c>
      <c r="X92" s="373">
        <f t="shared" si="50"/>
        <v>0</v>
      </c>
      <c r="Y92" s="373">
        <f t="shared" si="50"/>
        <v>0</v>
      </c>
      <c r="Z92" s="373">
        <f t="shared" si="50"/>
        <v>0</v>
      </c>
      <c r="AA92" s="373">
        <f t="shared" si="50"/>
        <v>0</v>
      </c>
      <c r="AB92" s="373">
        <f t="shared" si="50"/>
        <v>0</v>
      </c>
      <c r="AC92" s="373">
        <f t="shared" si="50"/>
        <v>0</v>
      </c>
      <c r="AD92" s="373">
        <f t="shared" si="50"/>
        <v>0</v>
      </c>
      <c r="AE92" s="373">
        <f t="shared" si="50"/>
        <v>0</v>
      </c>
      <c r="AF92" s="373">
        <f t="shared" si="50"/>
        <v>0</v>
      </c>
      <c r="AG92" s="373">
        <f t="shared" si="50"/>
        <v>0</v>
      </c>
      <c r="AH92" s="373">
        <f t="shared" si="50"/>
        <v>0</v>
      </c>
      <c r="AI92" s="373">
        <f t="shared" si="50"/>
        <v>0</v>
      </c>
      <c r="AJ92" s="373">
        <f t="shared" si="50"/>
        <v>0</v>
      </c>
      <c r="AK92" s="373">
        <f t="shared" si="50"/>
        <v>0</v>
      </c>
      <c r="AL92" s="373">
        <f t="shared" si="50"/>
        <v>0</v>
      </c>
      <c r="AM92" s="373">
        <f t="shared" si="50"/>
        <v>0</v>
      </c>
      <c r="AN92" s="373">
        <f t="shared" si="50"/>
        <v>0</v>
      </c>
      <c r="AO92" s="373">
        <f t="shared" si="50"/>
        <v>0</v>
      </c>
      <c r="AP92" s="373">
        <f t="shared" si="50"/>
        <v>0</v>
      </c>
      <c r="AQ92" s="373">
        <f t="shared" si="50"/>
        <v>0</v>
      </c>
      <c r="AR92" s="373">
        <f t="shared" si="50"/>
        <v>0</v>
      </c>
      <c r="AS92" s="373">
        <f t="shared" si="50"/>
        <v>0</v>
      </c>
      <c r="AT92" s="373">
        <f t="shared" si="50"/>
        <v>0</v>
      </c>
      <c r="AU92" s="373">
        <f t="shared" si="50"/>
        <v>0</v>
      </c>
      <c r="AV92" s="373">
        <f t="shared" si="50"/>
        <v>0</v>
      </c>
      <c r="AW92" s="373">
        <f t="shared" si="50"/>
        <v>0</v>
      </c>
      <c r="AX92" s="373">
        <f t="shared" si="50"/>
        <v>0</v>
      </c>
      <c r="AY92" s="373">
        <f t="shared" si="50"/>
        <v>0</v>
      </c>
      <c r="AZ92" s="373">
        <f t="shared" si="50"/>
        <v>0</v>
      </c>
      <c r="BA92" s="373">
        <f t="shared" si="50"/>
        <v>0</v>
      </c>
      <c r="BB92" s="373">
        <f t="shared" si="50"/>
        <v>0</v>
      </c>
      <c r="BC92" s="373">
        <f t="shared" si="50"/>
        <v>0</v>
      </c>
      <c r="BD92" s="373">
        <f t="shared" si="50"/>
        <v>0</v>
      </c>
      <c r="BE92" s="373">
        <f t="shared" si="50"/>
        <v>0</v>
      </c>
      <c r="BF92" s="373">
        <f t="shared" si="50"/>
        <v>0</v>
      </c>
      <c r="BG92" s="373">
        <f t="shared" si="50"/>
        <v>0</v>
      </c>
      <c r="BH92" s="373">
        <f t="shared" si="50"/>
        <v>0</v>
      </c>
      <c r="BI92" s="373">
        <f t="shared" si="50"/>
        <v>0</v>
      </c>
      <c r="BJ92" s="373">
        <f t="shared" si="50"/>
        <v>0</v>
      </c>
      <c r="BK92" s="373">
        <f t="shared" si="50"/>
        <v>0</v>
      </c>
      <c r="BL92" s="373">
        <f t="shared" si="50"/>
        <v>0</v>
      </c>
      <c r="BM92" s="373">
        <f t="shared" si="50"/>
        <v>0</v>
      </c>
      <c r="BN92" s="373">
        <f t="shared" si="50"/>
        <v>0</v>
      </c>
      <c r="BO92" s="373">
        <f t="shared" si="50"/>
        <v>0</v>
      </c>
      <c r="BP92" s="373">
        <f t="shared" si="50"/>
        <v>0</v>
      </c>
      <c r="BQ92" s="373">
        <f t="shared" si="50"/>
        <v>0</v>
      </c>
      <c r="BR92" s="373">
        <f t="shared" si="48"/>
        <v>0</v>
      </c>
      <c r="BS92" s="373">
        <f t="shared" si="48"/>
        <v>0</v>
      </c>
      <c r="BT92" s="373">
        <f t="shared" si="48"/>
        <v>0</v>
      </c>
      <c r="BU92" s="373">
        <f t="shared" si="48"/>
        <v>0</v>
      </c>
      <c r="BV92" s="373">
        <f t="shared" si="48"/>
        <v>0</v>
      </c>
      <c r="BW92" s="373">
        <f t="shared" si="48"/>
        <v>0</v>
      </c>
      <c r="BX92" s="373">
        <f t="shared" si="48"/>
        <v>0</v>
      </c>
      <c r="BY92" s="373">
        <f t="shared" si="48"/>
        <v>0</v>
      </c>
      <c r="BZ92" s="373">
        <f t="shared" si="48"/>
        <v>0</v>
      </c>
      <c r="CA92" s="373">
        <f t="shared" si="48"/>
        <v>0</v>
      </c>
      <c r="CB92" s="373">
        <f t="shared" si="48"/>
        <v>0</v>
      </c>
      <c r="CC92" s="373">
        <f t="shared" si="48"/>
        <v>0</v>
      </c>
      <c r="CD92" s="373">
        <f t="shared" si="48"/>
        <v>0</v>
      </c>
      <c r="CE92" s="373">
        <f t="shared" si="48"/>
        <v>0</v>
      </c>
      <c r="CF92" s="373">
        <f t="shared" si="48"/>
        <v>0</v>
      </c>
    </row>
    <row r="94" spans="3:84">
      <c r="C94" s="360" t="s">
        <v>348</v>
      </c>
    </row>
    <row r="95" spans="3:84">
      <c r="D95" s="372"/>
      <c r="E95" s="372">
        <v>2010</v>
      </c>
      <c r="F95" s="372">
        <v>2011</v>
      </c>
      <c r="G95" s="372">
        <v>2012</v>
      </c>
      <c r="H95" s="372">
        <v>2013</v>
      </c>
      <c r="I95" s="372">
        <v>2014</v>
      </c>
      <c r="J95" s="372">
        <v>2015</v>
      </c>
      <c r="K95" s="372">
        <v>2016</v>
      </c>
      <c r="L95" s="372">
        <v>2017</v>
      </c>
      <c r="M95" s="372">
        <v>2018</v>
      </c>
      <c r="N95" s="372">
        <v>2019</v>
      </c>
      <c r="O95" s="372">
        <v>2020</v>
      </c>
      <c r="P95" s="372">
        <v>2021</v>
      </c>
      <c r="Q95" s="372">
        <v>2022</v>
      </c>
      <c r="R95" s="372">
        <v>2023</v>
      </c>
      <c r="S95" s="372">
        <v>2024</v>
      </c>
      <c r="T95" s="372">
        <v>2025</v>
      </c>
      <c r="U95" s="372">
        <v>2026</v>
      </c>
      <c r="V95" s="372">
        <v>2027</v>
      </c>
      <c r="W95" s="372">
        <v>2028</v>
      </c>
      <c r="X95" s="372">
        <v>2029</v>
      </c>
      <c r="Y95" s="372">
        <v>2030</v>
      </c>
      <c r="Z95" s="372">
        <v>2031</v>
      </c>
      <c r="AA95" s="372">
        <v>2032</v>
      </c>
      <c r="AB95" s="372">
        <v>2033</v>
      </c>
      <c r="AC95" s="372">
        <v>2034</v>
      </c>
      <c r="AD95" s="372">
        <v>2035</v>
      </c>
      <c r="AE95" s="372">
        <v>2036</v>
      </c>
      <c r="AF95" s="372">
        <v>2037</v>
      </c>
      <c r="AG95" s="372">
        <v>2038</v>
      </c>
      <c r="AH95" s="372">
        <v>2039</v>
      </c>
      <c r="AI95" s="372">
        <v>2040</v>
      </c>
      <c r="AJ95" s="372">
        <v>2041</v>
      </c>
      <c r="AK95" s="372">
        <v>2042</v>
      </c>
      <c r="AL95" s="372">
        <v>2043</v>
      </c>
      <c r="AM95" s="372">
        <v>2044</v>
      </c>
      <c r="AN95" s="372">
        <v>2045</v>
      </c>
      <c r="AO95" s="372">
        <v>2046</v>
      </c>
      <c r="AP95" s="372">
        <v>2047</v>
      </c>
      <c r="AQ95" s="372">
        <v>2048</v>
      </c>
      <c r="AR95" s="372">
        <v>2049</v>
      </c>
      <c r="AS95" s="372">
        <v>2050</v>
      </c>
      <c r="AT95" s="372">
        <v>2051</v>
      </c>
      <c r="AU95" s="372">
        <v>2052</v>
      </c>
      <c r="AV95" s="372">
        <v>2053</v>
      </c>
      <c r="AW95" s="372">
        <v>2054</v>
      </c>
      <c r="AX95" s="372">
        <v>2055</v>
      </c>
      <c r="AY95" s="372">
        <v>2056</v>
      </c>
      <c r="AZ95" s="372">
        <v>2057</v>
      </c>
      <c r="BA95" s="372">
        <v>2058</v>
      </c>
      <c r="BB95" s="372">
        <v>2059</v>
      </c>
      <c r="BC95" s="372">
        <v>2060</v>
      </c>
      <c r="BD95" s="372">
        <v>2061</v>
      </c>
      <c r="BE95" s="372">
        <v>2062</v>
      </c>
      <c r="BF95" s="372">
        <v>2063</v>
      </c>
      <c r="BG95" s="372">
        <v>2064</v>
      </c>
      <c r="BH95" s="372">
        <v>2065</v>
      </c>
      <c r="BI95" s="372">
        <v>2066</v>
      </c>
      <c r="BJ95" s="372">
        <v>2067</v>
      </c>
      <c r="BK95" s="372">
        <v>2068</v>
      </c>
      <c r="BL95" s="372">
        <v>2069</v>
      </c>
      <c r="BM95" s="372">
        <v>2070</v>
      </c>
      <c r="BN95" s="372">
        <v>2071</v>
      </c>
      <c r="BO95" s="372">
        <v>2072</v>
      </c>
      <c r="BP95" s="372">
        <v>2073</v>
      </c>
      <c r="BQ95" s="372">
        <v>2074</v>
      </c>
      <c r="BR95" s="372">
        <v>2075</v>
      </c>
      <c r="BS95" s="372">
        <v>2076</v>
      </c>
      <c r="BT95" s="372">
        <v>2077</v>
      </c>
      <c r="BU95" s="372">
        <v>2078</v>
      </c>
      <c r="BV95" s="372">
        <v>2079</v>
      </c>
      <c r="BW95" s="372">
        <v>2080</v>
      </c>
      <c r="BX95" s="372">
        <v>2081</v>
      </c>
      <c r="BY95" s="372">
        <v>2082</v>
      </c>
      <c r="BZ95" s="372">
        <v>2083</v>
      </c>
      <c r="CA95" s="372">
        <v>2084</v>
      </c>
      <c r="CB95" s="372">
        <v>2085</v>
      </c>
      <c r="CC95" s="372">
        <v>2086</v>
      </c>
      <c r="CD95" s="372">
        <v>2087</v>
      </c>
      <c r="CE95" s="372">
        <v>2088</v>
      </c>
      <c r="CF95" s="372">
        <v>2089</v>
      </c>
    </row>
    <row r="96" spans="3:84">
      <c r="D96" s="373" t="s">
        <v>249</v>
      </c>
      <c r="E96" s="373">
        <f t="shared" ref="E96:AJ96" si="51">(E89*$E14)</f>
        <v>0</v>
      </c>
      <c r="F96" s="373">
        <f t="shared" si="51"/>
        <v>0</v>
      </c>
      <c r="G96" s="373">
        <f t="shared" si="51"/>
        <v>0</v>
      </c>
      <c r="H96" s="373">
        <f t="shared" si="51"/>
        <v>0</v>
      </c>
      <c r="I96" s="373">
        <f t="shared" si="51"/>
        <v>0</v>
      </c>
      <c r="J96" s="373">
        <f t="shared" si="51"/>
        <v>0</v>
      </c>
      <c r="K96" s="373">
        <f t="shared" si="51"/>
        <v>0</v>
      </c>
      <c r="L96" s="373">
        <f t="shared" si="51"/>
        <v>0</v>
      </c>
      <c r="M96" s="373">
        <f t="shared" si="51"/>
        <v>0</v>
      </c>
      <c r="N96" s="373">
        <f t="shared" si="51"/>
        <v>0</v>
      </c>
      <c r="O96" s="373">
        <f t="shared" si="51"/>
        <v>0</v>
      </c>
      <c r="P96" s="373">
        <f t="shared" si="51"/>
        <v>0</v>
      </c>
      <c r="Q96" s="373">
        <f t="shared" si="51"/>
        <v>0</v>
      </c>
      <c r="R96" s="373">
        <f t="shared" si="51"/>
        <v>0</v>
      </c>
      <c r="S96" s="373">
        <f t="shared" si="51"/>
        <v>0</v>
      </c>
      <c r="T96" s="373">
        <f t="shared" si="51"/>
        <v>0</v>
      </c>
      <c r="U96" s="373">
        <f t="shared" si="51"/>
        <v>0</v>
      </c>
      <c r="V96" s="373">
        <f t="shared" si="51"/>
        <v>0</v>
      </c>
      <c r="W96" s="373">
        <f t="shared" si="51"/>
        <v>0</v>
      </c>
      <c r="X96" s="373">
        <f t="shared" si="51"/>
        <v>0</v>
      </c>
      <c r="Y96" s="373">
        <f t="shared" si="51"/>
        <v>0</v>
      </c>
      <c r="Z96" s="373">
        <f t="shared" si="51"/>
        <v>0</v>
      </c>
      <c r="AA96" s="373">
        <f t="shared" si="51"/>
        <v>0</v>
      </c>
      <c r="AB96" s="373">
        <f t="shared" si="51"/>
        <v>0</v>
      </c>
      <c r="AC96" s="373">
        <f t="shared" si="51"/>
        <v>0</v>
      </c>
      <c r="AD96" s="373">
        <f t="shared" si="51"/>
        <v>0</v>
      </c>
      <c r="AE96" s="373">
        <f t="shared" si="51"/>
        <v>0</v>
      </c>
      <c r="AF96" s="373">
        <f t="shared" si="51"/>
        <v>0</v>
      </c>
      <c r="AG96" s="373">
        <f t="shared" si="51"/>
        <v>0</v>
      </c>
      <c r="AH96" s="373">
        <f t="shared" si="51"/>
        <v>0</v>
      </c>
      <c r="AI96" s="373">
        <f t="shared" si="51"/>
        <v>0</v>
      </c>
      <c r="AJ96" s="373">
        <f t="shared" si="51"/>
        <v>0</v>
      </c>
      <c r="AK96" s="373">
        <f t="shared" ref="AK96:BP96" si="52">(AK89*$E14)</f>
        <v>0</v>
      </c>
      <c r="AL96" s="373">
        <f t="shared" si="52"/>
        <v>0</v>
      </c>
      <c r="AM96" s="373">
        <f t="shared" si="52"/>
        <v>0</v>
      </c>
      <c r="AN96" s="373">
        <f t="shared" si="52"/>
        <v>0</v>
      </c>
      <c r="AO96" s="373">
        <f t="shared" si="52"/>
        <v>0</v>
      </c>
      <c r="AP96" s="373">
        <f t="shared" si="52"/>
        <v>0</v>
      </c>
      <c r="AQ96" s="373">
        <f t="shared" si="52"/>
        <v>0</v>
      </c>
      <c r="AR96" s="373">
        <f t="shared" si="52"/>
        <v>0</v>
      </c>
      <c r="AS96" s="373">
        <f t="shared" si="52"/>
        <v>0</v>
      </c>
      <c r="AT96" s="373">
        <f t="shared" si="52"/>
        <v>0</v>
      </c>
      <c r="AU96" s="373">
        <f t="shared" si="52"/>
        <v>0</v>
      </c>
      <c r="AV96" s="373">
        <f t="shared" si="52"/>
        <v>0</v>
      </c>
      <c r="AW96" s="373">
        <f t="shared" si="52"/>
        <v>0</v>
      </c>
      <c r="AX96" s="373">
        <f t="shared" si="52"/>
        <v>0</v>
      </c>
      <c r="AY96" s="373">
        <f t="shared" si="52"/>
        <v>0</v>
      </c>
      <c r="AZ96" s="373">
        <f t="shared" si="52"/>
        <v>0</v>
      </c>
      <c r="BA96" s="373">
        <f t="shared" si="52"/>
        <v>0</v>
      </c>
      <c r="BB96" s="373">
        <f t="shared" si="52"/>
        <v>0</v>
      </c>
      <c r="BC96" s="373">
        <f t="shared" si="52"/>
        <v>0</v>
      </c>
      <c r="BD96" s="373">
        <f t="shared" si="52"/>
        <v>0</v>
      </c>
      <c r="BE96" s="373">
        <f t="shared" si="52"/>
        <v>0</v>
      </c>
      <c r="BF96" s="373">
        <f t="shared" si="52"/>
        <v>0</v>
      </c>
      <c r="BG96" s="373">
        <f t="shared" si="52"/>
        <v>0</v>
      </c>
      <c r="BH96" s="373">
        <f t="shared" si="52"/>
        <v>0</v>
      </c>
      <c r="BI96" s="373">
        <f t="shared" si="52"/>
        <v>0</v>
      </c>
      <c r="BJ96" s="373">
        <f t="shared" si="52"/>
        <v>0</v>
      </c>
      <c r="BK96" s="373">
        <f t="shared" si="52"/>
        <v>0</v>
      </c>
      <c r="BL96" s="373">
        <f t="shared" si="52"/>
        <v>0</v>
      </c>
      <c r="BM96" s="373">
        <f t="shared" si="52"/>
        <v>0</v>
      </c>
      <c r="BN96" s="373">
        <f t="shared" si="52"/>
        <v>0</v>
      </c>
      <c r="BO96" s="373">
        <f t="shared" si="52"/>
        <v>0</v>
      </c>
      <c r="BP96" s="373">
        <f t="shared" si="52"/>
        <v>0</v>
      </c>
      <c r="BQ96" s="373">
        <f t="shared" ref="BQ96:CF96" si="53">(BQ89*$E14)</f>
        <v>0</v>
      </c>
      <c r="BR96" s="373">
        <f t="shared" si="53"/>
        <v>0</v>
      </c>
      <c r="BS96" s="373">
        <f t="shared" si="53"/>
        <v>0</v>
      </c>
      <c r="BT96" s="373">
        <f t="shared" si="53"/>
        <v>0</v>
      </c>
      <c r="BU96" s="373">
        <f t="shared" si="53"/>
        <v>0</v>
      </c>
      <c r="BV96" s="373">
        <f t="shared" si="53"/>
        <v>0</v>
      </c>
      <c r="BW96" s="373">
        <f t="shared" si="53"/>
        <v>0</v>
      </c>
      <c r="BX96" s="373">
        <f t="shared" si="53"/>
        <v>0</v>
      </c>
      <c r="BY96" s="373">
        <f t="shared" si="53"/>
        <v>0</v>
      </c>
      <c r="BZ96" s="373">
        <f t="shared" si="53"/>
        <v>0</v>
      </c>
      <c r="CA96" s="373">
        <f t="shared" si="53"/>
        <v>0</v>
      </c>
      <c r="CB96" s="373">
        <f t="shared" si="53"/>
        <v>0</v>
      </c>
      <c r="CC96" s="373">
        <f t="shared" si="53"/>
        <v>0</v>
      </c>
      <c r="CD96" s="373">
        <f t="shared" si="53"/>
        <v>0</v>
      </c>
      <c r="CE96" s="373">
        <f t="shared" si="53"/>
        <v>0</v>
      </c>
      <c r="CF96" s="373">
        <f t="shared" si="53"/>
        <v>0</v>
      </c>
    </row>
    <row r="97" spans="2:84">
      <c r="D97" s="373" t="s">
        <v>89</v>
      </c>
      <c r="E97" s="373">
        <f t="shared" ref="E97:AJ97" si="54">(E90*$E15)</f>
        <v>0</v>
      </c>
      <c r="F97" s="373">
        <f t="shared" si="54"/>
        <v>0</v>
      </c>
      <c r="G97" s="373">
        <f t="shared" si="54"/>
        <v>0</v>
      </c>
      <c r="H97" s="373">
        <f t="shared" si="54"/>
        <v>0</v>
      </c>
      <c r="I97" s="373">
        <f t="shared" si="54"/>
        <v>0</v>
      </c>
      <c r="J97" s="373">
        <f t="shared" si="54"/>
        <v>0</v>
      </c>
      <c r="K97" s="373">
        <f t="shared" si="54"/>
        <v>0</v>
      </c>
      <c r="L97" s="373">
        <f t="shared" si="54"/>
        <v>0</v>
      </c>
      <c r="M97" s="373">
        <f t="shared" si="54"/>
        <v>0</v>
      </c>
      <c r="N97" s="373">
        <f t="shared" si="54"/>
        <v>0</v>
      </c>
      <c r="O97" s="373">
        <f t="shared" si="54"/>
        <v>0</v>
      </c>
      <c r="P97" s="373">
        <f t="shared" si="54"/>
        <v>0</v>
      </c>
      <c r="Q97" s="373">
        <f t="shared" si="54"/>
        <v>0</v>
      </c>
      <c r="R97" s="373">
        <f t="shared" si="54"/>
        <v>0</v>
      </c>
      <c r="S97" s="373">
        <f t="shared" si="54"/>
        <v>0</v>
      </c>
      <c r="T97" s="373">
        <f t="shared" si="54"/>
        <v>0</v>
      </c>
      <c r="U97" s="373">
        <f t="shared" si="54"/>
        <v>0</v>
      </c>
      <c r="V97" s="373">
        <f t="shared" si="54"/>
        <v>0</v>
      </c>
      <c r="W97" s="373">
        <f t="shared" si="54"/>
        <v>0</v>
      </c>
      <c r="X97" s="373">
        <f t="shared" si="54"/>
        <v>0</v>
      </c>
      <c r="Y97" s="373">
        <f t="shared" si="54"/>
        <v>0</v>
      </c>
      <c r="Z97" s="373">
        <f t="shared" si="54"/>
        <v>0</v>
      </c>
      <c r="AA97" s="373">
        <f t="shared" si="54"/>
        <v>0</v>
      </c>
      <c r="AB97" s="373">
        <f t="shared" si="54"/>
        <v>0</v>
      </c>
      <c r="AC97" s="373">
        <f t="shared" si="54"/>
        <v>0</v>
      </c>
      <c r="AD97" s="373">
        <f t="shared" si="54"/>
        <v>0</v>
      </c>
      <c r="AE97" s="373">
        <f t="shared" si="54"/>
        <v>0</v>
      </c>
      <c r="AF97" s="373">
        <f t="shared" si="54"/>
        <v>0</v>
      </c>
      <c r="AG97" s="373">
        <f t="shared" si="54"/>
        <v>0</v>
      </c>
      <c r="AH97" s="373">
        <f t="shared" si="54"/>
        <v>0</v>
      </c>
      <c r="AI97" s="373">
        <f t="shared" si="54"/>
        <v>0</v>
      </c>
      <c r="AJ97" s="373">
        <f t="shared" si="54"/>
        <v>0</v>
      </c>
      <c r="AK97" s="373">
        <f t="shared" ref="AK97:BP97" si="55">(AK90*$E15)</f>
        <v>0</v>
      </c>
      <c r="AL97" s="373">
        <f t="shared" si="55"/>
        <v>0</v>
      </c>
      <c r="AM97" s="373">
        <f t="shared" si="55"/>
        <v>0</v>
      </c>
      <c r="AN97" s="373">
        <f t="shared" si="55"/>
        <v>0</v>
      </c>
      <c r="AO97" s="373">
        <f t="shared" si="55"/>
        <v>0</v>
      </c>
      <c r="AP97" s="373">
        <f t="shared" si="55"/>
        <v>0</v>
      </c>
      <c r="AQ97" s="373">
        <f t="shared" si="55"/>
        <v>0</v>
      </c>
      <c r="AR97" s="373">
        <f t="shared" si="55"/>
        <v>0</v>
      </c>
      <c r="AS97" s="373">
        <f t="shared" si="55"/>
        <v>0</v>
      </c>
      <c r="AT97" s="373">
        <f t="shared" si="55"/>
        <v>0</v>
      </c>
      <c r="AU97" s="373">
        <f t="shared" si="55"/>
        <v>0</v>
      </c>
      <c r="AV97" s="373">
        <f t="shared" si="55"/>
        <v>0</v>
      </c>
      <c r="AW97" s="373">
        <f t="shared" si="55"/>
        <v>0</v>
      </c>
      <c r="AX97" s="373">
        <f t="shared" si="55"/>
        <v>0</v>
      </c>
      <c r="AY97" s="373">
        <f t="shared" si="55"/>
        <v>0</v>
      </c>
      <c r="AZ97" s="373">
        <f t="shared" si="55"/>
        <v>0</v>
      </c>
      <c r="BA97" s="373">
        <f t="shared" si="55"/>
        <v>0</v>
      </c>
      <c r="BB97" s="373">
        <f t="shared" si="55"/>
        <v>0</v>
      </c>
      <c r="BC97" s="373">
        <f t="shared" si="55"/>
        <v>0</v>
      </c>
      <c r="BD97" s="373">
        <f t="shared" si="55"/>
        <v>0</v>
      </c>
      <c r="BE97" s="373">
        <f t="shared" si="55"/>
        <v>0</v>
      </c>
      <c r="BF97" s="373">
        <f t="shared" si="55"/>
        <v>0</v>
      </c>
      <c r="BG97" s="373">
        <f t="shared" si="55"/>
        <v>0</v>
      </c>
      <c r="BH97" s="373">
        <f t="shared" si="55"/>
        <v>0</v>
      </c>
      <c r="BI97" s="373">
        <f t="shared" si="55"/>
        <v>0</v>
      </c>
      <c r="BJ97" s="373">
        <f t="shared" si="55"/>
        <v>0</v>
      </c>
      <c r="BK97" s="373">
        <f t="shared" si="55"/>
        <v>0</v>
      </c>
      <c r="BL97" s="373">
        <f t="shared" si="55"/>
        <v>0</v>
      </c>
      <c r="BM97" s="373">
        <f t="shared" si="55"/>
        <v>0</v>
      </c>
      <c r="BN97" s="373">
        <f t="shared" si="55"/>
        <v>0</v>
      </c>
      <c r="BO97" s="373">
        <f t="shared" si="55"/>
        <v>0</v>
      </c>
      <c r="BP97" s="373">
        <f t="shared" si="55"/>
        <v>0</v>
      </c>
      <c r="BQ97" s="373">
        <f t="shared" ref="BQ97:CF97" si="56">(BQ90*$E15)</f>
        <v>0</v>
      </c>
      <c r="BR97" s="373">
        <f t="shared" si="56"/>
        <v>0</v>
      </c>
      <c r="BS97" s="373">
        <f t="shared" si="56"/>
        <v>0</v>
      </c>
      <c r="BT97" s="373">
        <f t="shared" si="56"/>
        <v>0</v>
      </c>
      <c r="BU97" s="373">
        <f t="shared" si="56"/>
        <v>0</v>
      </c>
      <c r="BV97" s="373">
        <f t="shared" si="56"/>
        <v>0</v>
      </c>
      <c r="BW97" s="373">
        <f t="shared" si="56"/>
        <v>0</v>
      </c>
      <c r="BX97" s="373">
        <f t="shared" si="56"/>
        <v>0</v>
      </c>
      <c r="BY97" s="373">
        <f t="shared" si="56"/>
        <v>0</v>
      </c>
      <c r="BZ97" s="373">
        <f t="shared" si="56"/>
        <v>0</v>
      </c>
      <c r="CA97" s="373">
        <f t="shared" si="56"/>
        <v>0</v>
      </c>
      <c r="CB97" s="373">
        <f t="shared" si="56"/>
        <v>0</v>
      </c>
      <c r="CC97" s="373">
        <f t="shared" si="56"/>
        <v>0</v>
      </c>
      <c r="CD97" s="373">
        <f t="shared" si="56"/>
        <v>0</v>
      </c>
      <c r="CE97" s="373">
        <f t="shared" si="56"/>
        <v>0</v>
      </c>
      <c r="CF97" s="373">
        <f t="shared" si="56"/>
        <v>0</v>
      </c>
    </row>
    <row r="98" spans="2:84">
      <c r="D98" s="373" t="s">
        <v>91</v>
      </c>
      <c r="E98" s="373">
        <f t="shared" ref="E98:AJ98" si="57">(E91*$E16)</f>
        <v>0</v>
      </c>
      <c r="F98" s="373">
        <f t="shared" si="57"/>
        <v>0</v>
      </c>
      <c r="G98" s="373">
        <f t="shared" si="57"/>
        <v>0</v>
      </c>
      <c r="H98" s="373">
        <f t="shared" si="57"/>
        <v>0</v>
      </c>
      <c r="I98" s="373">
        <f t="shared" si="57"/>
        <v>0</v>
      </c>
      <c r="J98" s="373">
        <f t="shared" si="57"/>
        <v>0</v>
      </c>
      <c r="K98" s="373">
        <f t="shared" si="57"/>
        <v>0</v>
      </c>
      <c r="L98" s="373">
        <f t="shared" si="57"/>
        <v>0</v>
      </c>
      <c r="M98" s="373">
        <f t="shared" si="57"/>
        <v>0</v>
      </c>
      <c r="N98" s="373">
        <f t="shared" si="57"/>
        <v>0</v>
      </c>
      <c r="O98" s="373">
        <f t="shared" si="57"/>
        <v>0</v>
      </c>
      <c r="P98" s="373">
        <f t="shared" si="57"/>
        <v>0</v>
      </c>
      <c r="Q98" s="373">
        <f t="shared" si="57"/>
        <v>0</v>
      </c>
      <c r="R98" s="373">
        <f t="shared" si="57"/>
        <v>0</v>
      </c>
      <c r="S98" s="373">
        <f t="shared" si="57"/>
        <v>0</v>
      </c>
      <c r="T98" s="373">
        <f t="shared" si="57"/>
        <v>0</v>
      </c>
      <c r="U98" s="373">
        <f t="shared" si="57"/>
        <v>0</v>
      </c>
      <c r="V98" s="373">
        <f t="shared" si="57"/>
        <v>0</v>
      </c>
      <c r="W98" s="373">
        <f t="shared" si="57"/>
        <v>0</v>
      </c>
      <c r="X98" s="373">
        <f t="shared" si="57"/>
        <v>0</v>
      </c>
      <c r="Y98" s="373">
        <f t="shared" si="57"/>
        <v>0</v>
      </c>
      <c r="Z98" s="373">
        <f t="shared" si="57"/>
        <v>0</v>
      </c>
      <c r="AA98" s="373">
        <f t="shared" si="57"/>
        <v>0</v>
      </c>
      <c r="AB98" s="373">
        <f t="shared" si="57"/>
        <v>0</v>
      </c>
      <c r="AC98" s="373">
        <f t="shared" si="57"/>
        <v>0</v>
      </c>
      <c r="AD98" s="373">
        <f t="shared" si="57"/>
        <v>0</v>
      </c>
      <c r="AE98" s="373">
        <f t="shared" si="57"/>
        <v>0</v>
      </c>
      <c r="AF98" s="373">
        <f t="shared" si="57"/>
        <v>0</v>
      </c>
      <c r="AG98" s="373">
        <f t="shared" si="57"/>
        <v>0</v>
      </c>
      <c r="AH98" s="373">
        <f t="shared" si="57"/>
        <v>0</v>
      </c>
      <c r="AI98" s="373">
        <f t="shared" si="57"/>
        <v>0</v>
      </c>
      <c r="AJ98" s="373">
        <f t="shared" si="57"/>
        <v>0</v>
      </c>
      <c r="AK98" s="373">
        <f t="shared" ref="AK98:BP98" si="58">(AK91*$E16)</f>
        <v>0</v>
      </c>
      <c r="AL98" s="373">
        <f t="shared" si="58"/>
        <v>0</v>
      </c>
      <c r="AM98" s="373">
        <f t="shared" si="58"/>
        <v>0</v>
      </c>
      <c r="AN98" s="373">
        <f t="shared" si="58"/>
        <v>0</v>
      </c>
      <c r="AO98" s="373">
        <f t="shared" si="58"/>
        <v>0</v>
      </c>
      <c r="AP98" s="373">
        <f t="shared" si="58"/>
        <v>0</v>
      </c>
      <c r="AQ98" s="373">
        <f t="shared" si="58"/>
        <v>0</v>
      </c>
      <c r="AR98" s="373">
        <f t="shared" si="58"/>
        <v>0</v>
      </c>
      <c r="AS98" s="373">
        <f t="shared" si="58"/>
        <v>0</v>
      </c>
      <c r="AT98" s="373">
        <f t="shared" si="58"/>
        <v>0</v>
      </c>
      <c r="AU98" s="373">
        <f t="shared" si="58"/>
        <v>0</v>
      </c>
      <c r="AV98" s="373">
        <f t="shared" si="58"/>
        <v>0</v>
      </c>
      <c r="AW98" s="373">
        <f t="shared" si="58"/>
        <v>0</v>
      </c>
      <c r="AX98" s="373">
        <f t="shared" si="58"/>
        <v>0</v>
      </c>
      <c r="AY98" s="373">
        <f t="shared" si="58"/>
        <v>0</v>
      </c>
      <c r="AZ98" s="373">
        <f t="shared" si="58"/>
        <v>0</v>
      </c>
      <c r="BA98" s="373">
        <f t="shared" si="58"/>
        <v>0</v>
      </c>
      <c r="BB98" s="373">
        <f t="shared" si="58"/>
        <v>0</v>
      </c>
      <c r="BC98" s="373">
        <f t="shared" si="58"/>
        <v>0</v>
      </c>
      <c r="BD98" s="373">
        <f t="shared" si="58"/>
        <v>0</v>
      </c>
      <c r="BE98" s="373">
        <f t="shared" si="58"/>
        <v>0</v>
      </c>
      <c r="BF98" s="373">
        <f t="shared" si="58"/>
        <v>0</v>
      </c>
      <c r="BG98" s="373">
        <f t="shared" si="58"/>
        <v>0</v>
      </c>
      <c r="BH98" s="373">
        <f t="shared" si="58"/>
        <v>0</v>
      </c>
      <c r="BI98" s="373">
        <f t="shared" si="58"/>
        <v>0</v>
      </c>
      <c r="BJ98" s="373">
        <f t="shared" si="58"/>
        <v>0</v>
      </c>
      <c r="BK98" s="373">
        <f t="shared" si="58"/>
        <v>0</v>
      </c>
      <c r="BL98" s="373">
        <f t="shared" si="58"/>
        <v>0</v>
      </c>
      <c r="BM98" s="373">
        <f t="shared" si="58"/>
        <v>0</v>
      </c>
      <c r="BN98" s="373">
        <f t="shared" si="58"/>
        <v>0</v>
      </c>
      <c r="BO98" s="373">
        <f t="shared" si="58"/>
        <v>0</v>
      </c>
      <c r="BP98" s="373">
        <f t="shared" si="58"/>
        <v>0</v>
      </c>
      <c r="BQ98" s="373">
        <f t="shared" ref="BQ98:CF98" si="59">(BQ91*$E16)</f>
        <v>0</v>
      </c>
      <c r="BR98" s="373">
        <f t="shared" si="59"/>
        <v>0</v>
      </c>
      <c r="BS98" s="373">
        <f t="shared" si="59"/>
        <v>0</v>
      </c>
      <c r="BT98" s="373">
        <f t="shared" si="59"/>
        <v>0</v>
      </c>
      <c r="BU98" s="373">
        <f t="shared" si="59"/>
        <v>0</v>
      </c>
      <c r="BV98" s="373">
        <f t="shared" si="59"/>
        <v>0</v>
      </c>
      <c r="BW98" s="373">
        <f t="shared" si="59"/>
        <v>0</v>
      </c>
      <c r="BX98" s="373">
        <f t="shared" si="59"/>
        <v>0</v>
      </c>
      <c r="BY98" s="373">
        <f t="shared" si="59"/>
        <v>0</v>
      </c>
      <c r="BZ98" s="373">
        <f t="shared" si="59"/>
        <v>0</v>
      </c>
      <c r="CA98" s="373">
        <f t="shared" si="59"/>
        <v>0</v>
      </c>
      <c r="CB98" s="373">
        <f t="shared" si="59"/>
        <v>0</v>
      </c>
      <c r="CC98" s="373">
        <f t="shared" si="59"/>
        <v>0</v>
      </c>
      <c r="CD98" s="373">
        <f t="shared" si="59"/>
        <v>0</v>
      </c>
      <c r="CE98" s="373">
        <f t="shared" si="59"/>
        <v>0</v>
      </c>
      <c r="CF98" s="373">
        <f t="shared" si="59"/>
        <v>0</v>
      </c>
    </row>
    <row r="99" spans="2:84">
      <c r="D99" s="373" t="s">
        <v>93</v>
      </c>
      <c r="E99" s="373">
        <f t="shared" ref="E99:AJ99" si="60">(E92*$E17)</f>
        <v>0</v>
      </c>
      <c r="F99" s="373">
        <f t="shared" si="60"/>
        <v>0</v>
      </c>
      <c r="G99" s="373">
        <f t="shared" si="60"/>
        <v>0</v>
      </c>
      <c r="H99" s="373">
        <f t="shared" si="60"/>
        <v>0</v>
      </c>
      <c r="I99" s="373">
        <f t="shared" si="60"/>
        <v>0</v>
      </c>
      <c r="J99" s="373">
        <f t="shared" si="60"/>
        <v>0</v>
      </c>
      <c r="K99" s="373">
        <f t="shared" si="60"/>
        <v>0</v>
      </c>
      <c r="L99" s="373">
        <f t="shared" si="60"/>
        <v>0</v>
      </c>
      <c r="M99" s="373">
        <f t="shared" si="60"/>
        <v>0</v>
      </c>
      <c r="N99" s="373">
        <f t="shared" si="60"/>
        <v>0</v>
      </c>
      <c r="O99" s="373">
        <f t="shared" si="60"/>
        <v>0</v>
      </c>
      <c r="P99" s="373">
        <f t="shared" si="60"/>
        <v>0</v>
      </c>
      <c r="Q99" s="373">
        <f t="shared" si="60"/>
        <v>0</v>
      </c>
      <c r="R99" s="373">
        <f t="shared" si="60"/>
        <v>0</v>
      </c>
      <c r="S99" s="373">
        <f t="shared" si="60"/>
        <v>0</v>
      </c>
      <c r="T99" s="373">
        <f t="shared" si="60"/>
        <v>0</v>
      </c>
      <c r="U99" s="373">
        <f t="shared" si="60"/>
        <v>0</v>
      </c>
      <c r="V99" s="373">
        <f t="shared" si="60"/>
        <v>0</v>
      </c>
      <c r="W99" s="373">
        <f t="shared" si="60"/>
        <v>0</v>
      </c>
      <c r="X99" s="373">
        <f t="shared" si="60"/>
        <v>0</v>
      </c>
      <c r="Y99" s="373">
        <f t="shared" si="60"/>
        <v>0</v>
      </c>
      <c r="Z99" s="373">
        <f t="shared" si="60"/>
        <v>0</v>
      </c>
      <c r="AA99" s="373">
        <f t="shared" si="60"/>
        <v>0</v>
      </c>
      <c r="AB99" s="373">
        <f t="shared" si="60"/>
        <v>0</v>
      </c>
      <c r="AC99" s="373">
        <f t="shared" si="60"/>
        <v>0</v>
      </c>
      <c r="AD99" s="373">
        <f t="shared" si="60"/>
        <v>0</v>
      </c>
      <c r="AE99" s="373">
        <f t="shared" si="60"/>
        <v>0</v>
      </c>
      <c r="AF99" s="373">
        <f t="shared" si="60"/>
        <v>0</v>
      </c>
      <c r="AG99" s="373">
        <f t="shared" si="60"/>
        <v>0</v>
      </c>
      <c r="AH99" s="373">
        <f t="shared" si="60"/>
        <v>0</v>
      </c>
      <c r="AI99" s="373">
        <f t="shared" si="60"/>
        <v>0</v>
      </c>
      <c r="AJ99" s="373">
        <f t="shared" si="60"/>
        <v>0</v>
      </c>
      <c r="AK99" s="373">
        <f t="shared" ref="AK99:BP99" si="61">(AK92*$E17)</f>
        <v>0</v>
      </c>
      <c r="AL99" s="373">
        <f t="shared" si="61"/>
        <v>0</v>
      </c>
      <c r="AM99" s="373">
        <f t="shared" si="61"/>
        <v>0</v>
      </c>
      <c r="AN99" s="373">
        <f t="shared" si="61"/>
        <v>0</v>
      </c>
      <c r="AO99" s="373">
        <f t="shared" si="61"/>
        <v>0</v>
      </c>
      <c r="AP99" s="373">
        <f t="shared" si="61"/>
        <v>0</v>
      </c>
      <c r="AQ99" s="373">
        <f t="shared" si="61"/>
        <v>0</v>
      </c>
      <c r="AR99" s="373">
        <f t="shared" si="61"/>
        <v>0</v>
      </c>
      <c r="AS99" s="373">
        <f t="shared" si="61"/>
        <v>0</v>
      </c>
      <c r="AT99" s="373">
        <f t="shared" si="61"/>
        <v>0</v>
      </c>
      <c r="AU99" s="373">
        <f t="shared" si="61"/>
        <v>0</v>
      </c>
      <c r="AV99" s="373">
        <f t="shared" si="61"/>
        <v>0</v>
      </c>
      <c r="AW99" s="373">
        <f t="shared" si="61"/>
        <v>0</v>
      </c>
      <c r="AX99" s="373">
        <f t="shared" si="61"/>
        <v>0</v>
      </c>
      <c r="AY99" s="373">
        <f t="shared" si="61"/>
        <v>0</v>
      </c>
      <c r="AZ99" s="373">
        <f t="shared" si="61"/>
        <v>0</v>
      </c>
      <c r="BA99" s="373">
        <f t="shared" si="61"/>
        <v>0</v>
      </c>
      <c r="BB99" s="373">
        <f t="shared" si="61"/>
        <v>0</v>
      </c>
      <c r="BC99" s="373">
        <f t="shared" si="61"/>
        <v>0</v>
      </c>
      <c r="BD99" s="373">
        <f t="shared" si="61"/>
        <v>0</v>
      </c>
      <c r="BE99" s="373">
        <f t="shared" si="61"/>
        <v>0</v>
      </c>
      <c r="BF99" s="373">
        <f t="shared" si="61"/>
        <v>0</v>
      </c>
      <c r="BG99" s="373">
        <f t="shared" si="61"/>
        <v>0</v>
      </c>
      <c r="BH99" s="373">
        <f t="shared" si="61"/>
        <v>0</v>
      </c>
      <c r="BI99" s="373">
        <f t="shared" si="61"/>
        <v>0</v>
      </c>
      <c r="BJ99" s="373">
        <f t="shared" si="61"/>
        <v>0</v>
      </c>
      <c r="BK99" s="373">
        <f t="shared" si="61"/>
        <v>0</v>
      </c>
      <c r="BL99" s="373">
        <f t="shared" si="61"/>
        <v>0</v>
      </c>
      <c r="BM99" s="373">
        <f t="shared" si="61"/>
        <v>0</v>
      </c>
      <c r="BN99" s="373">
        <f t="shared" si="61"/>
        <v>0</v>
      </c>
      <c r="BO99" s="373">
        <f t="shared" si="61"/>
        <v>0</v>
      </c>
      <c r="BP99" s="373">
        <f t="shared" si="61"/>
        <v>0</v>
      </c>
      <c r="BQ99" s="373">
        <f t="shared" ref="BQ99:CF99" si="62">(BQ92*$E17)</f>
        <v>0</v>
      </c>
      <c r="BR99" s="373">
        <f t="shared" si="62"/>
        <v>0</v>
      </c>
      <c r="BS99" s="373">
        <f t="shared" si="62"/>
        <v>0</v>
      </c>
      <c r="BT99" s="373">
        <f t="shared" si="62"/>
        <v>0</v>
      </c>
      <c r="BU99" s="373">
        <f t="shared" si="62"/>
        <v>0</v>
      </c>
      <c r="BV99" s="373">
        <f t="shared" si="62"/>
        <v>0</v>
      </c>
      <c r="BW99" s="373">
        <f t="shared" si="62"/>
        <v>0</v>
      </c>
      <c r="BX99" s="373">
        <f t="shared" si="62"/>
        <v>0</v>
      </c>
      <c r="BY99" s="373">
        <f t="shared" si="62"/>
        <v>0</v>
      </c>
      <c r="BZ99" s="373">
        <f t="shared" si="62"/>
        <v>0</v>
      </c>
      <c r="CA99" s="373">
        <f t="shared" si="62"/>
        <v>0</v>
      </c>
      <c r="CB99" s="373">
        <f t="shared" si="62"/>
        <v>0</v>
      </c>
      <c r="CC99" s="373">
        <f t="shared" si="62"/>
        <v>0</v>
      </c>
      <c r="CD99" s="373">
        <f t="shared" si="62"/>
        <v>0</v>
      </c>
      <c r="CE99" s="373">
        <f t="shared" si="62"/>
        <v>0</v>
      </c>
      <c r="CF99" s="373">
        <f t="shared" si="62"/>
        <v>0</v>
      </c>
    </row>
    <row r="102" spans="2:84">
      <c r="B102" s="360" t="s">
        <v>282</v>
      </c>
    </row>
    <row r="103" spans="2:84">
      <c r="B103" s="370"/>
      <c r="C103" s="360" t="s">
        <v>283</v>
      </c>
    </row>
    <row r="104" spans="2:84">
      <c r="D104" s="372"/>
      <c r="E104" s="372">
        <v>2010</v>
      </c>
      <c r="F104" s="372">
        <v>2011</v>
      </c>
      <c r="G104" s="372">
        <v>2012</v>
      </c>
      <c r="H104" s="372">
        <v>2013</v>
      </c>
      <c r="I104" s="372">
        <v>2014</v>
      </c>
      <c r="J104" s="372">
        <v>2015</v>
      </c>
      <c r="K104" s="372">
        <v>2016</v>
      </c>
      <c r="L104" s="372">
        <v>2017</v>
      </c>
      <c r="M104" s="372">
        <v>2018</v>
      </c>
      <c r="N104" s="372">
        <v>2019</v>
      </c>
      <c r="O104" s="372">
        <v>2020</v>
      </c>
      <c r="P104" s="372">
        <v>2021</v>
      </c>
      <c r="Q104" s="372">
        <v>2022</v>
      </c>
      <c r="R104" s="372">
        <v>2023</v>
      </c>
      <c r="S104" s="372">
        <v>2024</v>
      </c>
      <c r="T104" s="372">
        <v>2025</v>
      </c>
      <c r="U104" s="372">
        <v>2026</v>
      </c>
      <c r="V104" s="372">
        <v>2027</v>
      </c>
      <c r="W104" s="372">
        <v>2028</v>
      </c>
      <c r="X104" s="372">
        <v>2029</v>
      </c>
      <c r="Y104" s="372">
        <v>2030</v>
      </c>
      <c r="Z104" s="372">
        <v>2031</v>
      </c>
      <c r="AA104" s="372">
        <v>2032</v>
      </c>
      <c r="AB104" s="372">
        <v>2033</v>
      </c>
      <c r="AC104" s="372">
        <v>2034</v>
      </c>
      <c r="AD104" s="372">
        <v>2035</v>
      </c>
      <c r="AE104" s="372">
        <v>2036</v>
      </c>
      <c r="AF104" s="372">
        <v>2037</v>
      </c>
      <c r="AG104" s="372">
        <v>2038</v>
      </c>
      <c r="AH104" s="372">
        <v>2039</v>
      </c>
      <c r="AI104" s="372">
        <v>2040</v>
      </c>
      <c r="AJ104" s="372">
        <v>2041</v>
      </c>
      <c r="AK104" s="372">
        <v>2042</v>
      </c>
      <c r="AL104" s="372">
        <v>2043</v>
      </c>
      <c r="AM104" s="372">
        <v>2044</v>
      </c>
      <c r="AN104" s="372">
        <v>2045</v>
      </c>
      <c r="AO104" s="372">
        <v>2046</v>
      </c>
      <c r="AP104" s="372">
        <v>2047</v>
      </c>
      <c r="AQ104" s="372">
        <v>2048</v>
      </c>
      <c r="AR104" s="372">
        <v>2049</v>
      </c>
      <c r="AS104" s="372">
        <v>2050</v>
      </c>
      <c r="AT104" s="372">
        <v>2051</v>
      </c>
      <c r="AU104" s="372">
        <v>2052</v>
      </c>
      <c r="AV104" s="372">
        <v>2053</v>
      </c>
      <c r="AW104" s="372">
        <v>2054</v>
      </c>
      <c r="AX104" s="372">
        <v>2055</v>
      </c>
      <c r="AY104" s="372">
        <v>2056</v>
      </c>
      <c r="AZ104" s="372">
        <v>2057</v>
      </c>
      <c r="BA104" s="372">
        <v>2058</v>
      </c>
      <c r="BB104" s="372">
        <v>2059</v>
      </c>
      <c r="BC104" s="372">
        <v>2060</v>
      </c>
      <c r="BD104" s="372">
        <v>2061</v>
      </c>
      <c r="BE104" s="372">
        <v>2062</v>
      </c>
      <c r="BF104" s="372">
        <v>2063</v>
      </c>
      <c r="BG104" s="372">
        <v>2064</v>
      </c>
      <c r="BH104" s="372">
        <v>2065</v>
      </c>
      <c r="BI104" s="372">
        <v>2066</v>
      </c>
      <c r="BJ104" s="372">
        <v>2067</v>
      </c>
      <c r="BK104" s="372">
        <v>2068</v>
      </c>
      <c r="BL104" s="372">
        <v>2069</v>
      </c>
      <c r="BM104" s="372">
        <v>2070</v>
      </c>
      <c r="BN104" s="372">
        <v>2071</v>
      </c>
      <c r="BO104" s="372">
        <v>2072</v>
      </c>
      <c r="BP104" s="372">
        <v>2073</v>
      </c>
      <c r="BQ104" s="372">
        <v>2074</v>
      </c>
      <c r="BR104" s="372">
        <v>2075</v>
      </c>
      <c r="BS104" s="372">
        <v>2076</v>
      </c>
      <c r="BT104" s="372">
        <v>2077</v>
      </c>
      <c r="BU104" s="372">
        <v>2078</v>
      </c>
      <c r="BV104" s="372">
        <v>2079</v>
      </c>
      <c r="BW104" s="372">
        <v>2080</v>
      </c>
      <c r="BX104" s="372">
        <v>2081</v>
      </c>
      <c r="BY104" s="372">
        <v>2082</v>
      </c>
      <c r="BZ104" s="372">
        <v>2083</v>
      </c>
      <c r="CA104" s="372">
        <v>2084</v>
      </c>
      <c r="CB104" s="372">
        <v>2085</v>
      </c>
      <c r="CC104" s="372">
        <v>2086</v>
      </c>
      <c r="CD104" s="372">
        <v>2087</v>
      </c>
      <c r="CE104" s="372">
        <v>2088</v>
      </c>
      <c r="CF104" s="372">
        <v>2089</v>
      </c>
    </row>
    <row r="105" spans="2:84">
      <c r="D105" s="364" t="s">
        <v>87</v>
      </c>
      <c r="E105" s="373" t="e">
        <f t="shared" ref="E105:BP105" si="63">(((VLOOKUP(E104, GG_fuel,7,FALSE)) + (VLOOKUP(E104, GG_fuel,8,0))*$E$5 + (VLOOKUP(E104, GG_fuel,9,0))*$E$5^2 + (VLOOKUP(E104, GG_fuel,10,0))*$E$5^3)/$E$5)</f>
        <v>#DIV/0!</v>
      </c>
      <c r="F105" s="373" t="e">
        <f t="shared" si="63"/>
        <v>#DIV/0!</v>
      </c>
      <c r="G105" s="373" t="e">
        <f t="shared" si="63"/>
        <v>#DIV/0!</v>
      </c>
      <c r="H105" s="373" t="e">
        <f t="shared" si="63"/>
        <v>#DIV/0!</v>
      </c>
      <c r="I105" s="373" t="e">
        <f t="shared" si="63"/>
        <v>#DIV/0!</v>
      </c>
      <c r="J105" s="373" t="e">
        <f t="shared" si="63"/>
        <v>#DIV/0!</v>
      </c>
      <c r="K105" s="373" t="e">
        <f t="shared" si="63"/>
        <v>#DIV/0!</v>
      </c>
      <c r="L105" s="373" t="e">
        <f t="shared" si="63"/>
        <v>#DIV/0!</v>
      </c>
      <c r="M105" s="373" t="e">
        <f t="shared" si="63"/>
        <v>#DIV/0!</v>
      </c>
      <c r="N105" s="373" t="e">
        <f t="shared" si="63"/>
        <v>#DIV/0!</v>
      </c>
      <c r="O105" s="373" t="e">
        <f t="shared" si="63"/>
        <v>#DIV/0!</v>
      </c>
      <c r="P105" s="373" t="e">
        <f t="shared" si="63"/>
        <v>#DIV/0!</v>
      </c>
      <c r="Q105" s="373" t="e">
        <f t="shared" si="63"/>
        <v>#DIV/0!</v>
      </c>
      <c r="R105" s="373" t="e">
        <f t="shared" si="63"/>
        <v>#DIV/0!</v>
      </c>
      <c r="S105" s="373" t="e">
        <f t="shared" si="63"/>
        <v>#DIV/0!</v>
      </c>
      <c r="T105" s="373" t="e">
        <f t="shared" si="63"/>
        <v>#DIV/0!</v>
      </c>
      <c r="U105" s="373" t="e">
        <f t="shared" si="63"/>
        <v>#DIV/0!</v>
      </c>
      <c r="V105" s="373" t="e">
        <f t="shared" si="63"/>
        <v>#DIV/0!</v>
      </c>
      <c r="W105" s="373" t="e">
        <f t="shared" si="63"/>
        <v>#DIV/0!</v>
      </c>
      <c r="X105" s="373" t="e">
        <f t="shared" si="63"/>
        <v>#DIV/0!</v>
      </c>
      <c r="Y105" s="373" t="e">
        <f t="shared" si="63"/>
        <v>#DIV/0!</v>
      </c>
      <c r="Z105" s="373" t="e">
        <f t="shared" si="63"/>
        <v>#DIV/0!</v>
      </c>
      <c r="AA105" s="373" t="e">
        <f t="shared" si="63"/>
        <v>#DIV/0!</v>
      </c>
      <c r="AB105" s="373" t="e">
        <f t="shared" si="63"/>
        <v>#DIV/0!</v>
      </c>
      <c r="AC105" s="373" t="e">
        <f t="shared" si="63"/>
        <v>#DIV/0!</v>
      </c>
      <c r="AD105" s="373" t="e">
        <f t="shared" si="63"/>
        <v>#DIV/0!</v>
      </c>
      <c r="AE105" s="373" t="e">
        <f t="shared" si="63"/>
        <v>#DIV/0!</v>
      </c>
      <c r="AF105" s="373" t="e">
        <f t="shared" si="63"/>
        <v>#DIV/0!</v>
      </c>
      <c r="AG105" s="373" t="e">
        <f t="shared" si="63"/>
        <v>#DIV/0!</v>
      </c>
      <c r="AH105" s="373" t="e">
        <f t="shared" si="63"/>
        <v>#DIV/0!</v>
      </c>
      <c r="AI105" s="373" t="e">
        <f t="shared" si="63"/>
        <v>#DIV/0!</v>
      </c>
      <c r="AJ105" s="373" t="e">
        <f t="shared" si="63"/>
        <v>#DIV/0!</v>
      </c>
      <c r="AK105" s="373" t="e">
        <f t="shared" si="63"/>
        <v>#DIV/0!</v>
      </c>
      <c r="AL105" s="373" t="e">
        <f t="shared" si="63"/>
        <v>#DIV/0!</v>
      </c>
      <c r="AM105" s="373" t="e">
        <f t="shared" si="63"/>
        <v>#DIV/0!</v>
      </c>
      <c r="AN105" s="373" t="e">
        <f t="shared" si="63"/>
        <v>#DIV/0!</v>
      </c>
      <c r="AO105" s="373" t="e">
        <f t="shared" si="63"/>
        <v>#DIV/0!</v>
      </c>
      <c r="AP105" s="373" t="e">
        <f t="shared" si="63"/>
        <v>#DIV/0!</v>
      </c>
      <c r="AQ105" s="373" t="e">
        <f t="shared" si="63"/>
        <v>#DIV/0!</v>
      </c>
      <c r="AR105" s="373" t="e">
        <f t="shared" si="63"/>
        <v>#DIV/0!</v>
      </c>
      <c r="AS105" s="373" t="e">
        <f t="shared" si="63"/>
        <v>#DIV/0!</v>
      </c>
      <c r="AT105" s="373" t="e">
        <f t="shared" si="63"/>
        <v>#DIV/0!</v>
      </c>
      <c r="AU105" s="373" t="e">
        <f t="shared" si="63"/>
        <v>#DIV/0!</v>
      </c>
      <c r="AV105" s="373" t="e">
        <f t="shared" si="63"/>
        <v>#DIV/0!</v>
      </c>
      <c r="AW105" s="373" t="e">
        <f t="shared" si="63"/>
        <v>#DIV/0!</v>
      </c>
      <c r="AX105" s="373" t="e">
        <f t="shared" si="63"/>
        <v>#DIV/0!</v>
      </c>
      <c r="AY105" s="373" t="e">
        <f t="shared" si="63"/>
        <v>#DIV/0!</v>
      </c>
      <c r="AZ105" s="373" t="e">
        <f t="shared" si="63"/>
        <v>#DIV/0!</v>
      </c>
      <c r="BA105" s="373" t="e">
        <f t="shared" si="63"/>
        <v>#DIV/0!</v>
      </c>
      <c r="BB105" s="373" t="e">
        <f t="shared" si="63"/>
        <v>#DIV/0!</v>
      </c>
      <c r="BC105" s="373" t="e">
        <f t="shared" si="63"/>
        <v>#DIV/0!</v>
      </c>
      <c r="BD105" s="373" t="e">
        <f t="shared" si="63"/>
        <v>#DIV/0!</v>
      </c>
      <c r="BE105" s="373" t="e">
        <f t="shared" si="63"/>
        <v>#DIV/0!</v>
      </c>
      <c r="BF105" s="373" t="e">
        <f t="shared" si="63"/>
        <v>#DIV/0!</v>
      </c>
      <c r="BG105" s="373" t="e">
        <f t="shared" si="63"/>
        <v>#DIV/0!</v>
      </c>
      <c r="BH105" s="373" t="e">
        <f t="shared" si="63"/>
        <v>#DIV/0!</v>
      </c>
      <c r="BI105" s="373" t="e">
        <f t="shared" si="63"/>
        <v>#DIV/0!</v>
      </c>
      <c r="BJ105" s="373" t="e">
        <f t="shared" si="63"/>
        <v>#DIV/0!</v>
      </c>
      <c r="BK105" s="373" t="e">
        <f t="shared" si="63"/>
        <v>#DIV/0!</v>
      </c>
      <c r="BL105" s="373" t="e">
        <f t="shared" si="63"/>
        <v>#DIV/0!</v>
      </c>
      <c r="BM105" s="373" t="e">
        <f t="shared" si="63"/>
        <v>#DIV/0!</v>
      </c>
      <c r="BN105" s="373" t="e">
        <f t="shared" si="63"/>
        <v>#DIV/0!</v>
      </c>
      <c r="BO105" s="373" t="e">
        <f t="shared" si="63"/>
        <v>#DIV/0!</v>
      </c>
      <c r="BP105" s="373" t="e">
        <f t="shared" si="63"/>
        <v>#DIV/0!</v>
      </c>
      <c r="BQ105" s="373" t="e">
        <f t="shared" ref="BQ105:CF105" si="64">(((VLOOKUP(BQ104, GG_fuel,7,FALSE)) + (VLOOKUP(BQ104, GG_fuel,8,0))*$E$5 + (VLOOKUP(BQ104, GG_fuel,9,0))*$E$5^2 + (VLOOKUP(BQ104, GG_fuel,10,0))*$E$5^3)/$E$5)</f>
        <v>#DIV/0!</v>
      </c>
      <c r="BR105" s="373" t="e">
        <f t="shared" si="64"/>
        <v>#DIV/0!</v>
      </c>
      <c r="BS105" s="373" t="e">
        <f t="shared" si="64"/>
        <v>#DIV/0!</v>
      </c>
      <c r="BT105" s="373" t="e">
        <f t="shared" si="64"/>
        <v>#DIV/0!</v>
      </c>
      <c r="BU105" s="373" t="e">
        <f t="shared" si="64"/>
        <v>#DIV/0!</v>
      </c>
      <c r="BV105" s="373" t="e">
        <f t="shared" si="64"/>
        <v>#DIV/0!</v>
      </c>
      <c r="BW105" s="373" t="e">
        <f t="shared" si="64"/>
        <v>#DIV/0!</v>
      </c>
      <c r="BX105" s="373" t="e">
        <f t="shared" si="64"/>
        <v>#DIV/0!</v>
      </c>
      <c r="BY105" s="373" t="e">
        <f t="shared" si="64"/>
        <v>#DIV/0!</v>
      </c>
      <c r="BZ105" s="373" t="e">
        <f t="shared" si="64"/>
        <v>#DIV/0!</v>
      </c>
      <c r="CA105" s="373" t="e">
        <f t="shared" si="64"/>
        <v>#DIV/0!</v>
      </c>
      <c r="CB105" s="373" t="e">
        <f t="shared" si="64"/>
        <v>#DIV/0!</v>
      </c>
      <c r="CC105" s="373" t="e">
        <f t="shared" si="64"/>
        <v>#DIV/0!</v>
      </c>
      <c r="CD105" s="373" t="e">
        <f t="shared" si="64"/>
        <v>#DIV/0!</v>
      </c>
      <c r="CE105" s="373" t="e">
        <f t="shared" si="64"/>
        <v>#DIV/0!</v>
      </c>
      <c r="CF105" s="373" t="e">
        <f t="shared" si="64"/>
        <v>#DIV/0!</v>
      </c>
    </row>
    <row r="106" spans="2:84">
      <c r="D106" s="364" t="s">
        <v>89</v>
      </c>
      <c r="E106" s="373" t="e">
        <f>(((VLOOKUP(E104, GG_fuel,19,FALSE)) + (VLOOKUP(E104, GG_fuel,20,0))*$E$6 + (VLOOKUP(E104, GG_fuel,21,0))*$E$6^2 + (VLOOKUP(E104, GG_fuel,22,0))*$E$6^3)/$E$6)</f>
        <v>#DIV/0!</v>
      </c>
      <c r="F106" s="373" t="e">
        <f t="shared" ref="F106:BP106" si="65">(((VLOOKUP(F104, GG_fuel,19,FALSE)) + (VLOOKUP(F104, GG_fuel,20,0))*$E$6 + (VLOOKUP(F104, GG_fuel,21,0))*$E$6^2 + (VLOOKUP(F104, GG_fuel,22,0))*$E$6^3)/$E$6)</f>
        <v>#DIV/0!</v>
      </c>
      <c r="G106" s="373" t="e">
        <f t="shared" si="65"/>
        <v>#DIV/0!</v>
      </c>
      <c r="H106" s="373" t="e">
        <f t="shared" si="65"/>
        <v>#DIV/0!</v>
      </c>
      <c r="I106" s="373" t="e">
        <f t="shared" si="65"/>
        <v>#DIV/0!</v>
      </c>
      <c r="J106" s="373" t="e">
        <f t="shared" si="65"/>
        <v>#DIV/0!</v>
      </c>
      <c r="K106" s="373" t="e">
        <f t="shared" si="65"/>
        <v>#DIV/0!</v>
      </c>
      <c r="L106" s="373" t="e">
        <f t="shared" si="65"/>
        <v>#DIV/0!</v>
      </c>
      <c r="M106" s="373" t="e">
        <f t="shared" si="65"/>
        <v>#DIV/0!</v>
      </c>
      <c r="N106" s="373" t="e">
        <f t="shared" si="65"/>
        <v>#DIV/0!</v>
      </c>
      <c r="O106" s="373" t="e">
        <f>(((VLOOKUP(O104, GG_fuel,19,FALSE)) + (VLOOKUP(O104, GG_fuel,20,0))*$E$6 + (VLOOKUP(O104, GG_fuel,21,0))*$E$6^2 + (VLOOKUP(O104, GG_fuel,22,0))*$E$6^3)/$E$6)</f>
        <v>#DIV/0!</v>
      </c>
      <c r="P106" s="373" t="e">
        <f t="shared" si="65"/>
        <v>#DIV/0!</v>
      </c>
      <c r="Q106" s="373" t="e">
        <f>(((VLOOKUP(Q104, GG_fuel,19,FALSE)) + (VLOOKUP(Q104, GG_fuel,20,0))*$E$6 + (VLOOKUP(Q104, GG_fuel,21,0))*$E$6^2 + (VLOOKUP(Q104, GG_fuel,22,0))*$E$6^3)/$E$6)</f>
        <v>#DIV/0!</v>
      </c>
      <c r="R106" s="373" t="e">
        <f t="shared" si="65"/>
        <v>#DIV/0!</v>
      </c>
      <c r="S106" s="373" t="e">
        <f t="shared" si="65"/>
        <v>#DIV/0!</v>
      </c>
      <c r="T106" s="373" t="e">
        <f t="shared" si="65"/>
        <v>#DIV/0!</v>
      </c>
      <c r="U106" s="373" t="e">
        <f t="shared" si="65"/>
        <v>#DIV/0!</v>
      </c>
      <c r="V106" s="373" t="e">
        <f t="shared" si="65"/>
        <v>#DIV/0!</v>
      </c>
      <c r="W106" s="373" t="e">
        <f t="shared" si="65"/>
        <v>#DIV/0!</v>
      </c>
      <c r="X106" s="373" t="e">
        <f t="shared" si="65"/>
        <v>#DIV/0!</v>
      </c>
      <c r="Y106" s="373" t="e">
        <f t="shared" si="65"/>
        <v>#DIV/0!</v>
      </c>
      <c r="Z106" s="373" t="e">
        <f t="shared" si="65"/>
        <v>#DIV/0!</v>
      </c>
      <c r="AA106" s="373" t="e">
        <f t="shared" si="65"/>
        <v>#DIV/0!</v>
      </c>
      <c r="AB106" s="373" t="e">
        <f t="shared" si="65"/>
        <v>#DIV/0!</v>
      </c>
      <c r="AC106" s="373" t="e">
        <f t="shared" si="65"/>
        <v>#DIV/0!</v>
      </c>
      <c r="AD106" s="373" t="e">
        <f t="shared" si="65"/>
        <v>#DIV/0!</v>
      </c>
      <c r="AE106" s="373" t="e">
        <f t="shared" si="65"/>
        <v>#DIV/0!</v>
      </c>
      <c r="AF106" s="373" t="e">
        <f t="shared" si="65"/>
        <v>#DIV/0!</v>
      </c>
      <c r="AG106" s="373" t="e">
        <f t="shared" si="65"/>
        <v>#DIV/0!</v>
      </c>
      <c r="AH106" s="373" t="e">
        <f t="shared" si="65"/>
        <v>#DIV/0!</v>
      </c>
      <c r="AI106" s="373" t="e">
        <f t="shared" si="65"/>
        <v>#DIV/0!</v>
      </c>
      <c r="AJ106" s="373" t="e">
        <f t="shared" si="65"/>
        <v>#DIV/0!</v>
      </c>
      <c r="AK106" s="373" t="e">
        <f t="shared" si="65"/>
        <v>#DIV/0!</v>
      </c>
      <c r="AL106" s="373" t="e">
        <f t="shared" si="65"/>
        <v>#DIV/0!</v>
      </c>
      <c r="AM106" s="373" t="e">
        <f t="shared" si="65"/>
        <v>#DIV/0!</v>
      </c>
      <c r="AN106" s="373" t="e">
        <f t="shared" si="65"/>
        <v>#DIV/0!</v>
      </c>
      <c r="AO106" s="373" t="e">
        <f t="shared" si="65"/>
        <v>#DIV/0!</v>
      </c>
      <c r="AP106" s="373" t="e">
        <f t="shared" si="65"/>
        <v>#DIV/0!</v>
      </c>
      <c r="AQ106" s="373" t="e">
        <f t="shared" si="65"/>
        <v>#DIV/0!</v>
      </c>
      <c r="AR106" s="373" t="e">
        <f t="shared" si="65"/>
        <v>#DIV/0!</v>
      </c>
      <c r="AS106" s="373" t="e">
        <f t="shared" si="65"/>
        <v>#DIV/0!</v>
      </c>
      <c r="AT106" s="373" t="e">
        <f t="shared" si="65"/>
        <v>#DIV/0!</v>
      </c>
      <c r="AU106" s="373" t="e">
        <f t="shared" si="65"/>
        <v>#DIV/0!</v>
      </c>
      <c r="AV106" s="373" t="e">
        <f t="shared" si="65"/>
        <v>#DIV/0!</v>
      </c>
      <c r="AW106" s="373" t="e">
        <f t="shared" si="65"/>
        <v>#DIV/0!</v>
      </c>
      <c r="AX106" s="373" t="e">
        <f t="shared" si="65"/>
        <v>#DIV/0!</v>
      </c>
      <c r="AY106" s="373" t="e">
        <f t="shared" si="65"/>
        <v>#DIV/0!</v>
      </c>
      <c r="AZ106" s="373" t="e">
        <f t="shared" si="65"/>
        <v>#DIV/0!</v>
      </c>
      <c r="BA106" s="373" t="e">
        <f t="shared" si="65"/>
        <v>#DIV/0!</v>
      </c>
      <c r="BB106" s="373" t="e">
        <f t="shared" si="65"/>
        <v>#DIV/0!</v>
      </c>
      <c r="BC106" s="373" t="e">
        <f t="shared" si="65"/>
        <v>#DIV/0!</v>
      </c>
      <c r="BD106" s="373" t="e">
        <f t="shared" si="65"/>
        <v>#DIV/0!</v>
      </c>
      <c r="BE106" s="373" t="e">
        <f t="shared" si="65"/>
        <v>#DIV/0!</v>
      </c>
      <c r="BF106" s="373" t="e">
        <f t="shared" si="65"/>
        <v>#DIV/0!</v>
      </c>
      <c r="BG106" s="373" t="e">
        <f t="shared" si="65"/>
        <v>#DIV/0!</v>
      </c>
      <c r="BH106" s="373" t="e">
        <f t="shared" si="65"/>
        <v>#DIV/0!</v>
      </c>
      <c r="BI106" s="373" t="e">
        <f t="shared" si="65"/>
        <v>#DIV/0!</v>
      </c>
      <c r="BJ106" s="373" t="e">
        <f t="shared" si="65"/>
        <v>#DIV/0!</v>
      </c>
      <c r="BK106" s="373" t="e">
        <f t="shared" si="65"/>
        <v>#DIV/0!</v>
      </c>
      <c r="BL106" s="373" t="e">
        <f t="shared" si="65"/>
        <v>#DIV/0!</v>
      </c>
      <c r="BM106" s="373" t="e">
        <f t="shared" si="65"/>
        <v>#DIV/0!</v>
      </c>
      <c r="BN106" s="373" t="e">
        <f t="shared" si="65"/>
        <v>#DIV/0!</v>
      </c>
      <c r="BO106" s="373" t="e">
        <f t="shared" si="65"/>
        <v>#DIV/0!</v>
      </c>
      <c r="BP106" s="373" t="e">
        <f t="shared" si="65"/>
        <v>#DIV/0!</v>
      </c>
      <c r="BQ106" s="373" t="e">
        <f t="shared" ref="BQ106:CF106" si="66">(((VLOOKUP(BQ104, GG_fuel,19,FALSE)) + (VLOOKUP(BQ104, GG_fuel,20,0))*$E$6 + (VLOOKUP(BQ104, GG_fuel,21,0))*$E$6^2 + (VLOOKUP(BQ104, GG_fuel,22,0))*$E$6^3)/$E$6)</f>
        <v>#DIV/0!</v>
      </c>
      <c r="BR106" s="373" t="e">
        <f t="shared" si="66"/>
        <v>#DIV/0!</v>
      </c>
      <c r="BS106" s="373" t="e">
        <f t="shared" si="66"/>
        <v>#DIV/0!</v>
      </c>
      <c r="BT106" s="373" t="e">
        <f t="shared" si="66"/>
        <v>#DIV/0!</v>
      </c>
      <c r="BU106" s="373" t="e">
        <f t="shared" si="66"/>
        <v>#DIV/0!</v>
      </c>
      <c r="BV106" s="373" t="e">
        <f t="shared" si="66"/>
        <v>#DIV/0!</v>
      </c>
      <c r="BW106" s="373" t="e">
        <f t="shared" si="66"/>
        <v>#DIV/0!</v>
      </c>
      <c r="BX106" s="373" t="e">
        <f t="shared" si="66"/>
        <v>#DIV/0!</v>
      </c>
      <c r="BY106" s="373" t="e">
        <f t="shared" si="66"/>
        <v>#DIV/0!</v>
      </c>
      <c r="BZ106" s="373" t="e">
        <f t="shared" si="66"/>
        <v>#DIV/0!</v>
      </c>
      <c r="CA106" s="373" t="e">
        <f t="shared" si="66"/>
        <v>#DIV/0!</v>
      </c>
      <c r="CB106" s="373" t="e">
        <f t="shared" si="66"/>
        <v>#DIV/0!</v>
      </c>
      <c r="CC106" s="373" t="e">
        <f t="shared" si="66"/>
        <v>#DIV/0!</v>
      </c>
      <c r="CD106" s="373" t="e">
        <f t="shared" si="66"/>
        <v>#DIV/0!</v>
      </c>
      <c r="CE106" s="373" t="e">
        <f t="shared" si="66"/>
        <v>#DIV/0!</v>
      </c>
      <c r="CF106" s="373" t="e">
        <f t="shared" si="66"/>
        <v>#DIV/0!</v>
      </c>
    </row>
    <row r="107" spans="2:84">
      <c r="D107" s="364" t="s">
        <v>91</v>
      </c>
      <c r="E107" s="373" t="e">
        <f>(((VLOOKUP(E104, GG_fuel,27,FALSE)) + (VLOOKUP(E104, GG_fuel,28,0))*$E$7 + (VLOOKUP(E104, GG_fuel,29,0))*$E$7^2 + (VLOOKUP(E104, GG_fuel,30,0))*$E$7^3)/$E$7)*'HGV classes'!$E$2+(((VLOOKUP(E104, GG_fuel,31,FALSE)) + (VLOOKUP(E104, GG_fuel,32,0))*$E$7 + (VLOOKUP(E104, GG_fuel,33,0))*$E$7^2 + (VLOOKUP(E104, GG_fuel,34,0))*$E$7^3)/$E$7)*'HGV classes'!$E$3</f>
        <v>#DIV/0!</v>
      </c>
      <c r="F107" s="373" t="e">
        <f>(((VLOOKUP(F104, GG_fuel,27,FALSE)) + (VLOOKUP(F104, GG_fuel,28,0))*$E$7 + (VLOOKUP(F104, GG_fuel,29,0))*$E$7^2 + (VLOOKUP(F104, GG_fuel,30,0))*$E$7^3)/$E$7)*'HGV classes'!$E$2+(((VLOOKUP(F104, GG_fuel,31,FALSE)) + (VLOOKUP(F104, GG_fuel,32,0))*$E$7 + (VLOOKUP(F104, GG_fuel,33,0))*$E$7^2 + (VLOOKUP(F104, GG_fuel,34,0))*$E$7^3)/$E$7)*'HGV classes'!$E$3</f>
        <v>#DIV/0!</v>
      </c>
      <c r="G107" s="373" t="e">
        <f>(((VLOOKUP(G104, GG_fuel,27,FALSE)) + (VLOOKUP(G104, GG_fuel,28,0))*$E$7 + (VLOOKUP(G104, GG_fuel,29,0))*$E$7^2 + (VLOOKUP(G104, GG_fuel,30,0))*$E$7^3)/$E$7)*'HGV classes'!$E$2+(((VLOOKUP(G104, GG_fuel,31,FALSE)) + (VLOOKUP(G104, GG_fuel,32,0))*$E$7 + (VLOOKUP(G104, GG_fuel,33,0))*$E$7^2 + (VLOOKUP(G104, GG_fuel,34,0))*$E$7^3)/$E$7)*'HGV classes'!$E$3</f>
        <v>#DIV/0!</v>
      </c>
      <c r="H107" s="373" t="e">
        <f>(((VLOOKUP(H104, GG_fuel,27,FALSE)) + (VLOOKUP(H104, GG_fuel,28,0))*$E$7 + (VLOOKUP(H104, GG_fuel,29,0))*$E$7^2 + (VLOOKUP(H104, GG_fuel,30,0))*$E$7^3)/$E$7)*'HGV classes'!$E$2+(((VLOOKUP(H104, GG_fuel,31,FALSE)) + (VLOOKUP(H104, GG_fuel,32,0))*$E$7 + (VLOOKUP(H104, GG_fuel,33,0))*$E$7^2 + (VLOOKUP(H104, GG_fuel,34,0))*$E$7^3)/$E$7)*'HGV classes'!$E$3</f>
        <v>#DIV/0!</v>
      </c>
      <c r="I107" s="373" t="e">
        <f>(((VLOOKUP(I104, GG_fuel,27,FALSE)) + (VLOOKUP(I104, GG_fuel,28,0))*$E$7 + (VLOOKUP(I104, GG_fuel,29,0))*$E$7^2 + (VLOOKUP(I104, GG_fuel,30,0))*$E$7^3)/$E$7)*'HGV classes'!$E$2+(((VLOOKUP(I104, GG_fuel,31,FALSE)) + (VLOOKUP(I104, GG_fuel,32,0))*$E$7 + (VLOOKUP(I104, GG_fuel,33,0))*$E$7^2 + (VLOOKUP(I104, GG_fuel,34,0))*$E$7^3)/$E$7)*'HGV classes'!$E$3</f>
        <v>#DIV/0!</v>
      </c>
      <c r="J107" s="373" t="e">
        <f>(((VLOOKUP(J104, GG_fuel,27,FALSE)) + (VLOOKUP(J104, GG_fuel,28,0))*$E$7 + (VLOOKUP(J104, GG_fuel,29,0))*$E$7^2 + (VLOOKUP(J104, GG_fuel,30,0))*$E$7^3)/$E$7)*'HGV classes'!$E$2+(((VLOOKUP(J104, GG_fuel,31,FALSE)) + (VLOOKUP(J104, GG_fuel,32,0))*$E$7 + (VLOOKUP(J104, GG_fuel,33,0))*$E$7^2 + (VLOOKUP(J104, GG_fuel,34,0))*$E$7^3)/$E$7)*'HGV classes'!$E$3</f>
        <v>#DIV/0!</v>
      </c>
      <c r="K107" s="373" t="e">
        <f>(((VLOOKUP(K104, GG_fuel,27,FALSE)) + (VLOOKUP(K104, GG_fuel,28,0))*$E$7 + (VLOOKUP(K104, GG_fuel,29,0))*$E$7^2 + (VLOOKUP(K104, GG_fuel,30,0))*$E$7^3)/$E$7)*'HGV classes'!$E$2+(((VLOOKUP(K104, GG_fuel,31,FALSE)) + (VLOOKUP(K104, GG_fuel,32,0))*$E$7 + (VLOOKUP(K104, GG_fuel,33,0))*$E$7^2 + (VLOOKUP(K104, GG_fuel,34,0))*$E$7^3)/$E$7)*'HGV classes'!$E$3</f>
        <v>#DIV/0!</v>
      </c>
      <c r="L107" s="373" t="e">
        <f>(((VLOOKUP(L104, GG_fuel,27,FALSE)) + (VLOOKUP(L104, GG_fuel,28,0))*$E$7 + (VLOOKUP(L104, GG_fuel,29,0))*$E$7^2 + (VLOOKUP(L104, GG_fuel,30,0))*$E$7^3)/$E$7)*'HGV classes'!$E$2+(((VLOOKUP(L104, GG_fuel,31,FALSE)) + (VLOOKUP(L104, GG_fuel,32,0))*$E$7 + (VLOOKUP(L104, GG_fuel,33,0))*$E$7^2 + (VLOOKUP(L104, GG_fuel,34,0))*$E$7^3)/$E$7)*'HGV classes'!$E$3</f>
        <v>#DIV/0!</v>
      </c>
      <c r="M107" s="373" t="e">
        <f>(((VLOOKUP(M104, GG_fuel,27,FALSE)) + (VLOOKUP(M104, GG_fuel,28,0))*$E$7 + (VLOOKUP(M104, GG_fuel,29,0))*$E$7^2 + (VLOOKUP(M104, GG_fuel,30,0))*$E$7^3)/$E$7)*'HGV classes'!$E$2+(((VLOOKUP(M104, GG_fuel,31,FALSE)) + (VLOOKUP(M104, GG_fuel,32,0))*$E$7 + (VLOOKUP(M104, GG_fuel,33,0))*$E$7^2 + (VLOOKUP(M104, GG_fuel,34,0))*$E$7^3)/$E$7)*'HGV classes'!$E$3</f>
        <v>#DIV/0!</v>
      </c>
      <c r="N107" s="373" t="e">
        <f>(((VLOOKUP(N104, GG_fuel,27,FALSE)) + (VLOOKUP(N104, GG_fuel,28,0))*$E$7 + (VLOOKUP(N104, GG_fuel,29,0))*$E$7^2 + (VLOOKUP(N104, GG_fuel,30,0))*$E$7^3)/$E$7)*'HGV classes'!$E$2+(((VLOOKUP(N104, GG_fuel,31,FALSE)) + (VLOOKUP(N104, GG_fuel,32,0))*$E$7 + (VLOOKUP(N104, GG_fuel,33,0))*$E$7^2 + (VLOOKUP(N104, GG_fuel,34,0))*$E$7^3)/$E$7)*'HGV classes'!$E$3</f>
        <v>#DIV/0!</v>
      </c>
      <c r="O107" s="373" t="e">
        <f>(((VLOOKUP(O104, GG_fuel,27,FALSE)) + (VLOOKUP(O104, GG_fuel,28,0))*$E$7 + (VLOOKUP(O104, GG_fuel,29,0))*$E$7^2 + (VLOOKUP(O104, GG_fuel,30,0))*$E$7^3)/$E$7)*'HGV classes'!$E$2+(((VLOOKUP(O104, GG_fuel,31,FALSE)) + (VLOOKUP(O104, GG_fuel,32,0))*$E$7 + (VLOOKUP(O104, GG_fuel,33,0))*$E$7^2 + (VLOOKUP(O104, GG_fuel,34,0))*$E$7^3)/$E$7)*'HGV classes'!$E$3</f>
        <v>#DIV/0!</v>
      </c>
      <c r="P107" s="373" t="e">
        <f>(((VLOOKUP(P104, GG_fuel,27,FALSE)) + (VLOOKUP(P104, GG_fuel,28,0))*$E$7 + (VLOOKUP(P104, GG_fuel,29,0))*$E$7^2 + (VLOOKUP(P104, GG_fuel,30,0))*$E$7^3)/$E$7)*'HGV classes'!$E$2+(((VLOOKUP(P104, GG_fuel,31,FALSE)) + (VLOOKUP(P104, GG_fuel,32,0))*$E$7 + (VLOOKUP(P104, GG_fuel,33,0))*$E$7^2 + (VLOOKUP(P104, GG_fuel,34,0))*$E$7^3)/$E$7)*'HGV classes'!$E$3</f>
        <v>#DIV/0!</v>
      </c>
      <c r="Q107" s="373" t="e">
        <f>(((VLOOKUP(Q104, GG_fuel,27,FALSE)) + (VLOOKUP(Q104, GG_fuel,28,0))*$E$7 + (VLOOKUP(Q104, GG_fuel,29,0))*$E$7^2 + (VLOOKUP(Q104, GG_fuel,30,0))*$E$7^3)/$E$7)*'HGV classes'!$E$2+(((VLOOKUP(Q104, GG_fuel,31,FALSE)) + (VLOOKUP(Q104, GG_fuel,32,0))*$E$7 + (VLOOKUP(Q104, GG_fuel,33,0))*$E$7^2 + (VLOOKUP(Q104, GG_fuel,34,0))*$E$7^3)/$E$7)*'HGV classes'!$E$3</f>
        <v>#DIV/0!</v>
      </c>
      <c r="R107" s="373" t="e">
        <f>(((VLOOKUP(R104, GG_fuel,27,FALSE)) + (VLOOKUP(R104, GG_fuel,28,0))*$E$7 + (VLOOKUP(R104, GG_fuel,29,0))*$E$7^2 + (VLOOKUP(R104, GG_fuel,30,0))*$E$7^3)/$E$7)*'HGV classes'!$E$2+(((VLOOKUP(R104, GG_fuel,31,FALSE)) + (VLOOKUP(R104, GG_fuel,32,0))*$E$7 + (VLOOKUP(R104, GG_fuel,33,0))*$E$7^2 + (VLOOKUP(R104, GG_fuel,34,0))*$E$7^3)/$E$7)*'HGV classes'!$E$3</f>
        <v>#DIV/0!</v>
      </c>
      <c r="S107" s="373" t="e">
        <f>(((VLOOKUP(S104, GG_fuel,27,FALSE)) + (VLOOKUP(S104, GG_fuel,28,0))*$E$7 + (VLOOKUP(S104, GG_fuel,29,0))*$E$7^2 + (VLOOKUP(S104, GG_fuel,30,0))*$E$7^3)/$E$7)*'HGV classes'!$E$2+(((VLOOKUP(S104, GG_fuel,31,FALSE)) + (VLOOKUP(S104, GG_fuel,32,0))*$E$7 + (VLOOKUP(S104, GG_fuel,33,0))*$E$7^2 + (VLOOKUP(S104, GG_fuel,34,0))*$E$7^3)/$E$7)*'HGV classes'!$E$3</f>
        <v>#DIV/0!</v>
      </c>
      <c r="T107" s="373" t="e">
        <f>(((VLOOKUP(T104, GG_fuel,27,FALSE)) + (VLOOKUP(T104, GG_fuel,28,0))*$E$7 + (VLOOKUP(T104, GG_fuel,29,0))*$E$7^2 + (VLOOKUP(T104, GG_fuel,30,0))*$E$7^3)/$E$7)*'HGV classes'!$E$2+(((VLOOKUP(T104, GG_fuel,31,FALSE)) + (VLOOKUP(T104, GG_fuel,32,0))*$E$7 + (VLOOKUP(T104, GG_fuel,33,0))*$E$7^2 + (VLOOKUP(T104, GG_fuel,34,0))*$E$7^3)/$E$7)*'HGV classes'!$E$3</f>
        <v>#DIV/0!</v>
      </c>
      <c r="U107" s="373" t="e">
        <f>(((VLOOKUP(U104, GG_fuel,27,FALSE)) + (VLOOKUP(U104, GG_fuel,28,0))*$E$7 + (VLOOKUP(U104, GG_fuel,29,0))*$E$7^2 + (VLOOKUP(U104, GG_fuel,30,0))*$E$7^3)/$E$7)*'HGV classes'!$E$2+(((VLOOKUP(U104, GG_fuel,31,FALSE)) + (VLOOKUP(U104, GG_fuel,32,0))*$E$7 + (VLOOKUP(U104, GG_fuel,33,0))*$E$7^2 + (VLOOKUP(U104, GG_fuel,34,0))*$E$7^3)/$E$7)*'HGV classes'!$E$3</f>
        <v>#DIV/0!</v>
      </c>
      <c r="V107" s="373" t="e">
        <f>(((VLOOKUP(V104, GG_fuel,27,FALSE)) + (VLOOKUP(V104, GG_fuel,28,0))*$E$7 + (VLOOKUP(V104, GG_fuel,29,0))*$E$7^2 + (VLOOKUP(V104, GG_fuel,30,0))*$E$7^3)/$E$7)*'HGV classes'!$E$2+(((VLOOKUP(V104, GG_fuel,31,FALSE)) + (VLOOKUP(V104, GG_fuel,32,0))*$E$7 + (VLOOKUP(V104, GG_fuel,33,0))*$E$7^2 + (VLOOKUP(V104, GG_fuel,34,0))*$E$7^3)/$E$7)*'HGV classes'!$E$3</f>
        <v>#DIV/0!</v>
      </c>
      <c r="W107" s="373" t="e">
        <f>(((VLOOKUP(W104, GG_fuel,27,FALSE)) + (VLOOKUP(W104, GG_fuel,28,0))*$E$7 + (VLOOKUP(W104, GG_fuel,29,0))*$E$7^2 + (VLOOKUP(W104, GG_fuel,30,0))*$E$7^3)/$E$7)*'HGV classes'!$E$2+(((VLOOKUP(W104, GG_fuel,31,FALSE)) + (VLOOKUP(W104, GG_fuel,32,0))*$E$7 + (VLOOKUP(W104, GG_fuel,33,0))*$E$7^2 + (VLOOKUP(W104, GG_fuel,34,0))*$E$7^3)/$E$7)*'HGV classes'!$E$3</f>
        <v>#DIV/0!</v>
      </c>
      <c r="X107" s="373" t="e">
        <f>(((VLOOKUP(X104, GG_fuel,27,FALSE)) + (VLOOKUP(X104, GG_fuel,28,0))*$E$7 + (VLOOKUP(X104, GG_fuel,29,0))*$E$7^2 + (VLOOKUP(X104, GG_fuel,30,0))*$E$7^3)/$E$7)*'HGV classes'!$E$2+(((VLOOKUP(X104, GG_fuel,31,FALSE)) + (VLOOKUP(X104, GG_fuel,32,0))*$E$7 + (VLOOKUP(X104, GG_fuel,33,0))*$E$7^2 + (VLOOKUP(X104, GG_fuel,34,0))*$E$7^3)/$E$7)*'HGV classes'!$E$3</f>
        <v>#DIV/0!</v>
      </c>
      <c r="Y107" s="373" t="e">
        <f>(((VLOOKUP(Y104, GG_fuel,27,FALSE)) + (VLOOKUP(Y104, GG_fuel,28,0))*$E$7 + (VLOOKUP(Y104, GG_fuel,29,0))*$E$7^2 + (VLOOKUP(Y104, GG_fuel,30,0))*$E$7^3)/$E$7)*'HGV classes'!$E$2+(((VLOOKUP(Y104, GG_fuel,31,FALSE)) + (VLOOKUP(Y104, GG_fuel,32,0))*$E$7 + (VLOOKUP(Y104, GG_fuel,33,0))*$E$7^2 + (VLOOKUP(Y104, GG_fuel,34,0))*$E$7^3)/$E$7)*'HGV classes'!$E$3</f>
        <v>#DIV/0!</v>
      </c>
      <c r="Z107" s="373" t="e">
        <f>(((VLOOKUP(Z104, GG_fuel,27,FALSE)) + (VLOOKUP(Z104, GG_fuel,28,0))*$E$7 + (VLOOKUP(Z104, GG_fuel,29,0))*$E$7^2 + (VLOOKUP(Z104, GG_fuel,30,0))*$E$7^3)/$E$7)*'HGV classes'!$E$2+(((VLOOKUP(Z104, GG_fuel,31,FALSE)) + (VLOOKUP(Z104, GG_fuel,32,0))*$E$7 + (VLOOKUP(Z104, GG_fuel,33,0))*$E$7^2 + (VLOOKUP(Z104, GG_fuel,34,0))*$E$7^3)/$E$7)*'HGV classes'!$E$3</f>
        <v>#DIV/0!</v>
      </c>
      <c r="AA107" s="373" t="e">
        <f>(((VLOOKUP(AA104, GG_fuel,27,FALSE)) + (VLOOKUP(AA104, GG_fuel,28,0))*$E$7 + (VLOOKUP(AA104, GG_fuel,29,0))*$E$7^2 + (VLOOKUP(AA104, GG_fuel,30,0))*$E$7^3)/$E$7)*'HGV classes'!$E$2+(((VLOOKUP(AA104, GG_fuel,31,FALSE)) + (VLOOKUP(AA104, GG_fuel,32,0))*$E$7 + (VLOOKUP(AA104, GG_fuel,33,0))*$E$7^2 + (VLOOKUP(AA104, GG_fuel,34,0))*$E$7^3)/$E$7)*'HGV classes'!$E$3</f>
        <v>#DIV/0!</v>
      </c>
      <c r="AB107" s="373" t="e">
        <f>(((VLOOKUP(AB104, GG_fuel,27,FALSE)) + (VLOOKUP(AB104, GG_fuel,28,0))*$E$7 + (VLOOKUP(AB104, GG_fuel,29,0))*$E$7^2 + (VLOOKUP(AB104, GG_fuel,30,0))*$E$7^3)/$E$7)*'HGV classes'!$E$2+(((VLOOKUP(AB104, GG_fuel,31,FALSE)) + (VLOOKUP(AB104, GG_fuel,32,0))*$E$7 + (VLOOKUP(AB104, GG_fuel,33,0))*$E$7^2 + (VLOOKUP(AB104, GG_fuel,34,0))*$E$7^3)/$E$7)*'HGV classes'!$E$3</f>
        <v>#DIV/0!</v>
      </c>
      <c r="AC107" s="373" t="e">
        <f>(((VLOOKUP(AC104, GG_fuel,27,FALSE)) + (VLOOKUP(AC104, GG_fuel,28,0))*$E$7 + (VLOOKUP(AC104, GG_fuel,29,0))*$E$7^2 + (VLOOKUP(AC104, GG_fuel,30,0))*$E$7^3)/$E$7)*'HGV classes'!$E$2+(((VLOOKUP(AC104, GG_fuel,31,FALSE)) + (VLOOKUP(AC104, GG_fuel,32,0))*$E$7 + (VLOOKUP(AC104, GG_fuel,33,0))*$E$7^2 + (VLOOKUP(AC104, GG_fuel,34,0))*$E$7^3)/$E$7)*'HGV classes'!$E$3</f>
        <v>#DIV/0!</v>
      </c>
      <c r="AD107" s="373" t="e">
        <f>(((VLOOKUP(AD104, GG_fuel,27,FALSE)) + (VLOOKUP(AD104, GG_fuel,28,0))*$E$7 + (VLOOKUP(AD104, GG_fuel,29,0))*$E$7^2 + (VLOOKUP(AD104, GG_fuel,30,0))*$E$7^3)/$E$7)*'HGV classes'!$E$2+(((VLOOKUP(AD104, GG_fuel,31,FALSE)) + (VLOOKUP(AD104, GG_fuel,32,0))*$E$7 + (VLOOKUP(AD104, GG_fuel,33,0))*$E$7^2 + (VLOOKUP(AD104, GG_fuel,34,0))*$E$7^3)/$E$7)*'HGV classes'!$E$3</f>
        <v>#DIV/0!</v>
      </c>
      <c r="AE107" s="373" t="e">
        <f>(((VLOOKUP(AE104, GG_fuel,27,FALSE)) + (VLOOKUP(AE104, GG_fuel,28,0))*$E$7 + (VLOOKUP(AE104, GG_fuel,29,0))*$E$7^2 + (VLOOKUP(AE104, GG_fuel,30,0))*$E$7^3)/$E$7)*'HGV classes'!$E$2+(((VLOOKUP(AE104, GG_fuel,31,FALSE)) + (VLOOKUP(AE104, GG_fuel,32,0))*$E$7 + (VLOOKUP(AE104, GG_fuel,33,0))*$E$7^2 + (VLOOKUP(AE104, GG_fuel,34,0))*$E$7^3)/$E$7)*'HGV classes'!$E$3</f>
        <v>#DIV/0!</v>
      </c>
      <c r="AF107" s="373" t="e">
        <f>(((VLOOKUP(AF104, GG_fuel,27,FALSE)) + (VLOOKUP(AF104, GG_fuel,28,0))*$E$7 + (VLOOKUP(AF104, GG_fuel,29,0))*$E$7^2 + (VLOOKUP(AF104, GG_fuel,30,0))*$E$7^3)/$E$7)*'HGV classes'!$E$2+(((VLOOKUP(AF104, GG_fuel,31,FALSE)) + (VLOOKUP(AF104, GG_fuel,32,0))*$E$7 + (VLOOKUP(AF104, GG_fuel,33,0))*$E$7^2 + (VLOOKUP(AF104, GG_fuel,34,0))*$E$7^3)/$E$7)*'HGV classes'!$E$3</f>
        <v>#DIV/0!</v>
      </c>
      <c r="AG107" s="373" t="e">
        <f>(((VLOOKUP(AG104, GG_fuel,27,FALSE)) + (VLOOKUP(AG104, GG_fuel,28,0))*$E$7 + (VLOOKUP(AG104, GG_fuel,29,0))*$E$7^2 + (VLOOKUP(AG104, GG_fuel,30,0))*$E$7^3)/$E$7)*'HGV classes'!$E$2+(((VLOOKUP(AG104, GG_fuel,31,FALSE)) + (VLOOKUP(AG104, GG_fuel,32,0))*$E$7 + (VLOOKUP(AG104, GG_fuel,33,0))*$E$7^2 + (VLOOKUP(AG104, GG_fuel,34,0))*$E$7^3)/$E$7)*'HGV classes'!$E$3</f>
        <v>#DIV/0!</v>
      </c>
      <c r="AH107" s="373" t="e">
        <f>(((VLOOKUP(AH104, GG_fuel,27,FALSE)) + (VLOOKUP(AH104, GG_fuel,28,0))*$E$7 + (VLOOKUP(AH104, GG_fuel,29,0))*$E$7^2 + (VLOOKUP(AH104, GG_fuel,30,0))*$E$7^3)/$E$7)*'HGV classes'!$E$2+(((VLOOKUP(AH104, GG_fuel,31,FALSE)) + (VLOOKUP(AH104, GG_fuel,32,0))*$E$7 + (VLOOKUP(AH104, GG_fuel,33,0))*$E$7^2 + (VLOOKUP(AH104, GG_fuel,34,0))*$E$7^3)/$E$7)*'HGV classes'!$E$3</f>
        <v>#DIV/0!</v>
      </c>
      <c r="AI107" s="373" t="e">
        <f>(((VLOOKUP(AI104, GG_fuel,27,FALSE)) + (VLOOKUP(AI104, GG_fuel,28,0))*$E$7 + (VLOOKUP(AI104, GG_fuel,29,0))*$E$7^2 + (VLOOKUP(AI104, GG_fuel,30,0))*$E$7^3)/$E$7)*'HGV classes'!$E$2+(((VLOOKUP(AI104, GG_fuel,31,FALSE)) + (VLOOKUP(AI104, GG_fuel,32,0))*$E$7 + (VLOOKUP(AI104, GG_fuel,33,0))*$E$7^2 + (VLOOKUP(AI104, GG_fuel,34,0))*$E$7^3)/$E$7)*'HGV classes'!$E$3</f>
        <v>#DIV/0!</v>
      </c>
      <c r="AJ107" s="373" t="e">
        <f>(((VLOOKUP(AJ104, GG_fuel,27,FALSE)) + (VLOOKUP(AJ104, GG_fuel,28,0))*$E$7 + (VLOOKUP(AJ104, GG_fuel,29,0))*$E$7^2 + (VLOOKUP(AJ104, GG_fuel,30,0))*$E$7^3)/$E$7)*'HGV classes'!$E$2+(((VLOOKUP(AJ104, GG_fuel,31,FALSE)) + (VLOOKUP(AJ104, GG_fuel,32,0))*$E$7 + (VLOOKUP(AJ104, GG_fuel,33,0))*$E$7^2 + (VLOOKUP(AJ104, GG_fuel,34,0))*$E$7^3)/$E$7)*'HGV classes'!$E$3</f>
        <v>#DIV/0!</v>
      </c>
      <c r="AK107" s="373" t="e">
        <f>(((VLOOKUP(AK104, GG_fuel,27,FALSE)) + (VLOOKUP(AK104, GG_fuel,28,0))*$E$7 + (VLOOKUP(AK104, GG_fuel,29,0))*$E$7^2 + (VLOOKUP(AK104, GG_fuel,30,0))*$E$7^3)/$E$7)*'HGV classes'!$E$2+(((VLOOKUP(AK104, GG_fuel,31,FALSE)) + (VLOOKUP(AK104, GG_fuel,32,0))*$E$7 + (VLOOKUP(AK104, GG_fuel,33,0))*$E$7^2 + (VLOOKUP(AK104, GG_fuel,34,0))*$E$7^3)/$E$7)*'HGV classes'!$E$3</f>
        <v>#DIV/0!</v>
      </c>
      <c r="AL107" s="373" t="e">
        <f>(((VLOOKUP(AL104, GG_fuel,27,FALSE)) + (VLOOKUP(AL104, GG_fuel,28,0))*$E$7 + (VLOOKUP(AL104, GG_fuel,29,0))*$E$7^2 + (VLOOKUP(AL104, GG_fuel,30,0))*$E$7^3)/$E$7)*'HGV classes'!$E$2+(((VLOOKUP(AL104, GG_fuel,31,FALSE)) + (VLOOKUP(AL104, GG_fuel,32,0))*$E$7 + (VLOOKUP(AL104, GG_fuel,33,0))*$E$7^2 + (VLOOKUP(AL104, GG_fuel,34,0))*$E$7^3)/$E$7)*'HGV classes'!$E$3</f>
        <v>#DIV/0!</v>
      </c>
      <c r="AM107" s="373" t="e">
        <f>(((VLOOKUP(AM104, GG_fuel,27,FALSE)) + (VLOOKUP(AM104, GG_fuel,28,0))*$E$7 + (VLOOKUP(AM104, GG_fuel,29,0))*$E$7^2 + (VLOOKUP(AM104, GG_fuel,30,0))*$E$7^3)/$E$7)*'HGV classes'!$E$2+(((VLOOKUP(AM104, GG_fuel,31,FALSE)) + (VLOOKUP(AM104, GG_fuel,32,0))*$E$7 + (VLOOKUP(AM104, GG_fuel,33,0))*$E$7^2 + (VLOOKUP(AM104, GG_fuel,34,0))*$E$7^3)/$E$7)*'HGV classes'!$E$3</f>
        <v>#DIV/0!</v>
      </c>
      <c r="AN107" s="373" t="e">
        <f>(((VLOOKUP(AN104, GG_fuel,27,FALSE)) + (VLOOKUP(AN104, GG_fuel,28,0))*$E$7 + (VLOOKUP(AN104, GG_fuel,29,0))*$E$7^2 + (VLOOKUP(AN104, GG_fuel,30,0))*$E$7^3)/$E$7)*'HGV classes'!$E$2+(((VLOOKUP(AN104, GG_fuel,31,FALSE)) + (VLOOKUP(AN104, GG_fuel,32,0))*$E$7 + (VLOOKUP(AN104, GG_fuel,33,0))*$E$7^2 + (VLOOKUP(AN104, GG_fuel,34,0))*$E$7^3)/$E$7)*'HGV classes'!$E$3</f>
        <v>#DIV/0!</v>
      </c>
      <c r="AO107" s="373" t="e">
        <f>(((VLOOKUP(AO104, GG_fuel,27,FALSE)) + (VLOOKUP(AO104, GG_fuel,28,0))*$E$7 + (VLOOKUP(AO104, GG_fuel,29,0))*$E$7^2 + (VLOOKUP(AO104, GG_fuel,30,0))*$E$7^3)/$E$7)*'HGV classes'!$E$2+(((VLOOKUP(AO104, GG_fuel,31,FALSE)) + (VLOOKUP(AO104, GG_fuel,32,0))*$E$7 + (VLOOKUP(AO104, GG_fuel,33,0))*$E$7^2 + (VLOOKUP(AO104, GG_fuel,34,0))*$E$7^3)/$E$7)*'HGV classes'!$E$3</f>
        <v>#DIV/0!</v>
      </c>
      <c r="AP107" s="373" t="e">
        <f>(((VLOOKUP(AP104, GG_fuel,27,FALSE)) + (VLOOKUP(AP104, GG_fuel,28,0))*$E$7 + (VLOOKUP(AP104, GG_fuel,29,0))*$E$7^2 + (VLOOKUP(AP104, GG_fuel,30,0))*$E$7^3)/$E$7)*'HGV classes'!$E$2+(((VLOOKUP(AP104, GG_fuel,31,FALSE)) + (VLOOKUP(AP104, GG_fuel,32,0))*$E$7 + (VLOOKUP(AP104, GG_fuel,33,0))*$E$7^2 + (VLOOKUP(AP104, GG_fuel,34,0))*$E$7^3)/$E$7)*'HGV classes'!$E$3</f>
        <v>#DIV/0!</v>
      </c>
      <c r="AQ107" s="373" t="e">
        <f>(((VLOOKUP(AQ104, GG_fuel,27,FALSE)) + (VLOOKUP(AQ104, GG_fuel,28,0))*$E$7 + (VLOOKUP(AQ104, GG_fuel,29,0))*$E$7^2 + (VLOOKUP(AQ104, GG_fuel,30,0))*$E$7^3)/$E$7)*'HGV classes'!$E$2+(((VLOOKUP(AQ104, GG_fuel,31,FALSE)) + (VLOOKUP(AQ104, GG_fuel,32,0))*$E$7 + (VLOOKUP(AQ104, GG_fuel,33,0))*$E$7^2 + (VLOOKUP(AQ104, GG_fuel,34,0))*$E$7^3)/$E$7)*'HGV classes'!$E$3</f>
        <v>#DIV/0!</v>
      </c>
      <c r="AR107" s="373" t="e">
        <f>(((VLOOKUP(AR104, GG_fuel,27,FALSE)) + (VLOOKUP(AR104, GG_fuel,28,0))*$E$7 + (VLOOKUP(AR104, GG_fuel,29,0))*$E$7^2 + (VLOOKUP(AR104, GG_fuel,30,0))*$E$7^3)/$E$7)*'HGV classes'!$E$2+(((VLOOKUP(AR104, GG_fuel,31,FALSE)) + (VLOOKUP(AR104, GG_fuel,32,0))*$E$7 + (VLOOKUP(AR104, GG_fuel,33,0))*$E$7^2 + (VLOOKUP(AR104, GG_fuel,34,0))*$E$7^3)/$E$7)*'HGV classes'!$E$3</f>
        <v>#DIV/0!</v>
      </c>
      <c r="AS107" s="373" t="e">
        <f>(((VLOOKUP(AS104, GG_fuel,27,FALSE)) + (VLOOKUP(AS104, GG_fuel,28,0))*$E$7 + (VLOOKUP(AS104, GG_fuel,29,0))*$E$7^2 + (VLOOKUP(AS104, GG_fuel,30,0))*$E$7^3)/$E$7)*'HGV classes'!$E$2+(((VLOOKUP(AS104, GG_fuel,31,FALSE)) + (VLOOKUP(AS104, GG_fuel,32,0))*$E$7 + (VLOOKUP(AS104, GG_fuel,33,0))*$E$7^2 + (VLOOKUP(AS104, GG_fuel,34,0))*$E$7^3)/$E$7)*'HGV classes'!$E$3</f>
        <v>#DIV/0!</v>
      </c>
      <c r="AT107" s="373" t="e">
        <f>(((VLOOKUP(AT104, GG_fuel,27,FALSE)) + (VLOOKUP(AT104, GG_fuel,28,0))*$E$7 + (VLOOKUP(AT104, GG_fuel,29,0))*$E$7^2 + (VLOOKUP(AT104, GG_fuel,30,0))*$E$7^3)/$E$7)*'HGV classes'!$E$2+(((VLOOKUP(AT104, GG_fuel,31,FALSE)) + (VLOOKUP(AT104, GG_fuel,32,0))*$E$7 + (VLOOKUP(AT104, GG_fuel,33,0))*$E$7^2 + (VLOOKUP(AT104, GG_fuel,34,0))*$E$7^3)/$E$7)*'HGV classes'!$E$3</f>
        <v>#DIV/0!</v>
      </c>
      <c r="AU107" s="373" t="e">
        <f>(((VLOOKUP(AU104, GG_fuel,27,FALSE)) + (VLOOKUP(AU104, GG_fuel,28,0))*$E$7 + (VLOOKUP(AU104, GG_fuel,29,0))*$E$7^2 + (VLOOKUP(AU104, GG_fuel,30,0))*$E$7^3)/$E$7)*'HGV classes'!$E$2+(((VLOOKUP(AU104, GG_fuel,31,FALSE)) + (VLOOKUP(AU104, GG_fuel,32,0))*$E$7 + (VLOOKUP(AU104, GG_fuel,33,0))*$E$7^2 + (VLOOKUP(AU104, GG_fuel,34,0))*$E$7^3)/$E$7)*'HGV classes'!$E$3</f>
        <v>#DIV/0!</v>
      </c>
      <c r="AV107" s="373" t="e">
        <f>(((VLOOKUP(AV104, GG_fuel,27,FALSE)) + (VLOOKUP(AV104, GG_fuel,28,0))*$E$7 + (VLOOKUP(AV104, GG_fuel,29,0))*$E$7^2 + (VLOOKUP(AV104, GG_fuel,30,0))*$E$7^3)/$E$7)*'HGV classes'!$E$2+(((VLOOKUP(AV104, GG_fuel,31,FALSE)) + (VLOOKUP(AV104, GG_fuel,32,0))*$E$7 + (VLOOKUP(AV104, GG_fuel,33,0))*$E$7^2 + (VLOOKUP(AV104, GG_fuel,34,0))*$E$7^3)/$E$7)*'HGV classes'!$E$3</f>
        <v>#DIV/0!</v>
      </c>
      <c r="AW107" s="373" t="e">
        <f>(((VLOOKUP(AW104, GG_fuel,27,FALSE)) + (VLOOKUP(AW104, GG_fuel,28,0))*$E$7 + (VLOOKUP(AW104, GG_fuel,29,0))*$E$7^2 + (VLOOKUP(AW104, GG_fuel,30,0))*$E$7^3)/$E$7)*'HGV classes'!$E$2+(((VLOOKUP(AW104, GG_fuel,31,FALSE)) + (VLOOKUP(AW104, GG_fuel,32,0))*$E$7 + (VLOOKUP(AW104, GG_fuel,33,0))*$E$7^2 + (VLOOKUP(AW104, GG_fuel,34,0))*$E$7^3)/$E$7)*'HGV classes'!$E$3</f>
        <v>#DIV/0!</v>
      </c>
      <c r="AX107" s="373" t="e">
        <f>(((VLOOKUP(AX104, GG_fuel,27,FALSE)) + (VLOOKUP(AX104, GG_fuel,28,0))*$E$7 + (VLOOKUP(AX104, GG_fuel,29,0))*$E$7^2 + (VLOOKUP(AX104, GG_fuel,30,0))*$E$7^3)/$E$7)*'HGV classes'!$E$2+(((VLOOKUP(AX104, GG_fuel,31,FALSE)) + (VLOOKUP(AX104, GG_fuel,32,0))*$E$7 + (VLOOKUP(AX104, GG_fuel,33,0))*$E$7^2 + (VLOOKUP(AX104, GG_fuel,34,0))*$E$7^3)/$E$7)*'HGV classes'!$E$3</f>
        <v>#DIV/0!</v>
      </c>
      <c r="AY107" s="373" t="e">
        <f>(((VLOOKUP(AY104, GG_fuel,27,FALSE)) + (VLOOKUP(AY104, GG_fuel,28,0))*$E$7 + (VLOOKUP(AY104, GG_fuel,29,0))*$E$7^2 + (VLOOKUP(AY104, GG_fuel,30,0))*$E$7^3)/$E$7)*'HGV classes'!$E$2+(((VLOOKUP(AY104, GG_fuel,31,FALSE)) + (VLOOKUP(AY104, GG_fuel,32,0))*$E$7 + (VLOOKUP(AY104, GG_fuel,33,0))*$E$7^2 + (VLOOKUP(AY104, GG_fuel,34,0))*$E$7^3)/$E$7)*'HGV classes'!$E$3</f>
        <v>#DIV/0!</v>
      </c>
      <c r="AZ107" s="373" t="e">
        <f>(((VLOOKUP(AZ104, GG_fuel,27,FALSE)) + (VLOOKUP(AZ104, GG_fuel,28,0))*$E$7 + (VLOOKUP(AZ104, GG_fuel,29,0))*$E$7^2 + (VLOOKUP(AZ104, GG_fuel,30,0))*$E$7^3)/$E$7)*'HGV classes'!$E$2+(((VLOOKUP(AZ104, GG_fuel,31,FALSE)) + (VLOOKUP(AZ104, GG_fuel,32,0))*$E$7 + (VLOOKUP(AZ104, GG_fuel,33,0))*$E$7^2 + (VLOOKUP(AZ104, GG_fuel,34,0))*$E$7^3)/$E$7)*'HGV classes'!$E$3</f>
        <v>#DIV/0!</v>
      </c>
      <c r="BA107" s="373" t="e">
        <f>(((VLOOKUP(BA104, GG_fuel,27,FALSE)) + (VLOOKUP(BA104, GG_fuel,28,0))*$E$7 + (VLOOKUP(BA104, GG_fuel,29,0))*$E$7^2 + (VLOOKUP(BA104, GG_fuel,30,0))*$E$7^3)/$E$7)*'HGV classes'!$E$2+(((VLOOKUP(BA104, GG_fuel,31,FALSE)) + (VLOOKUP(BA104, GG_fuel,32,0))*$E$7 + (VLOOKUP(BA104, GG_fuel,33,0))*$E$7^2 + (VLOOKUP(BA104, GG_fuel,34,0))*$E$7^3)/$E$7)*'HGV classes'!$E$3</f>
        <v>#DIV/0!</v>
      </c>
      <c r="BB107" s="373" t="e">
        <f>(((VLOOKUP(BB104, GG_fuel,27,FALSE)) + (VLOOKUP(BB104, GG_fuel,28,0))*$E$7 + (VLOOKUP(BB104, GG_fuel,29,0))*$E$7^2 + (VLOOKUP(BB104, GG_fuel,30,0))*$E$7^3)/$E$7)*'HGV classes'!$E$2+(((VLOOKUP(BB104, GG_fuel,31,FALSE)) + (VLOOKUP(BB104, GG_fuel,32,0))*$E$7 + (VLOOKUP(BB104, GG_fuel,33,0))*$E$7^2 + (VLOOKUP(BB104, GG_fuel,34,0))*$E$7^3)/$E$7)*'HGV classes'!$E$3</f>
        <v>#DIV/0!</v>
      </c>
      <c r="BC107" s="373" t="e">
        <f>(((VLOOKUP(BC104, GG_fuel,27,FALSE)) + (VLOOKUP(BC104, GG_fuel,28,0))*$E$7 + (VLOOKUP(BC104, GG_fuel,29,0))*$E$7^2 + (VLOOKUP(BC104, GG_fuel,30,0))*$E$7^3)/$E$7)*'HGV classes'!$E$2+(((VLOOKUP(BC104, GG_fuel,31,FALSE)) + (VLOOKUP(BC104, GG_fuel,32,0))*$E$7 + (VLOOKUP(BC104, GG_fuel,33,0))*$E$7^2 + (VLOOKUP(BC104, GG_fuel,34,0))*$E$7^3)/$E$7)*'HGV classes'!$E$3</f>
        <v>#DIV/0!</v>
      </c>
      <c r="BD107" s="373" t="e">
        <f>(((VLOOKUP(BD104, GG_fuel,27,FALSE)) + (VLOOKUP(BD104, GG_fuel,28,0))*$E$7 + (VLOOKUP(BD104, GG_fuel,29,0))*$E$7^2 + (VLOOKUP(BD104, GG_fuel,30,0))*$E$7^3)/$E$7)*'HGV classes'!$E$2+(((VLOOKUP(BD104, GG_fuel,31,FALSE)) + (VLOOKUP(BD104, GG_fuel,32,0))*$E$7 + (VLOOKUP(BD104, GG_fuel,33,0))*$E$7^2 + (VLOOKUP(BD104, GG_fuel,34,0))*$E$7^3)/$E$7)*'HGV classes'!$E$3</f>
        <v>#DIV/0!</v>
      </c>
      <c r="BE107" s="373" t="e">
        <f>(((VLOOKUP(BE104, GG_fuel,27,FALSE)) + (VLOOKUP(BE104, GG_fuel,28,0))*$E$7 + (VLOOKUP(BE104, GG_fuel,29,0))*$E$7^2 + (VLOOKUP(BE104, GG_fuel,30,0))*$E$7^3)/$E$7)*'HGV classes'!$E$2+(((VLOOKUP(BE104, GG_fuel,31,FALSE)) + (VLOOKUP(BE104, GG_fuel,32,0))*$E$7 + (VLOOKUP(BE104, GG_fuel,33,0))*$E$7^2 + (VLOOKUP(BE104, GG_fuel,34,0))*$E$7^3)/$E$7)*'HGV classes'!$E$3</f>
        <v>#DIV/0!</v>
      </c>
      <c r="BF107" s="373" t="e">
        <f>(((VLOOKUP(BF104, GG_fuel,27,FALSE)) + (VLOOKUP(BF104, GG_fuel,28,0))*$E$7 + (VLOOKUP(BF104, GG_fuel,29,0))*$E$7^2 + (VLOOKUP(BF104, GG_fuel,30,0))*$E$7^3)/$E$7)*'HGV classes'!$E$2+(((VLOOKUP(BF104, GG_fuel,31,FALSE)) + (VLOOKUP(BF104, GG_fuel,32,0))*$E$7 + (VLOOKUP(BF104, GG_fuel,33,0))*$E$7^2 + (VLOOKUP(BF104, GG_fuel,34,0))*$E$7^3)/$E$7)*'HGV classes'!$E$3</f>
        <v>#DIV/0!</v>
      </c>
      <c r="BG107" s="373" t="e">
        <f>(((VLOOKUP(BG104, GG_fuel,27,FALSE)) + (VLOOKUP(BG104, GG_fuel,28,0))*$E$7 + (VLOOKUP(BG104, GG_fuel,29,0))*$E$7^2 + (VLOOKUP(BG104, GG_fuel,30,0))*$E$7^3)/$E$7)*'HGV classes'!$E$2+(((VLOOKUP(BG104, GG_fuel,31,FALSE)) + (VLOOKUP(BG104, GG_fuel,32,0))*$E$7 + (VLOOKUP(BG104, GG_fuel,33,0))*$E$7^2 + (VLOOKUP(BG104, GG_fuel,34,0))*$E$7^3)/$E$7)*'HGV classes'!$E$3</f>
        <v>#DIV/0!</v>
      </c>
      <c r="BH107" s="373" t="e">
        <f>(((VLOOKUP(BH104, GG_fuel,27,FALSE)) + (VLOOKUP(BH104, GG_fuel,28,0))*$E$7 + (VLOOKUP(BH104, GG_fuel,29,0))*$E$7^2 + (VLOOKUP(BH104, GG_fuel,30,0))*$E$7^3)/$E$7)*'HGV classes'!$E$2+(((VLOOKUP(BH104, GG_fuel,31,FALSE)) + (VLOOKUP(BH104, GG_fuel,32,0))*$E$7 + (VLOOKUP(BH104, GG_fuel,33,0))*$E$7^2 + (VLOOKUP(BH104, GG_fuel,34,0))*$E$7^3)/$E$7)*'HGV classes'!$E$3</f>
        <v>#DIV/0!</v>
      </c>
      <c r="BI107" s="373" t="e">
        <f>(((VLOOKUP(BI104, GG_fuel,27,FALSE)) + (VLOOKUP(BI104, GG_fuel,28,0))*$E$7 + (VLOOKUP(BI104, GG_fuel,29,0))*$E$7^2 + (VLOOKUP(BI104, GG_fuel,30,0))*$E$7^3)/$E$7)*'HGV classes'!$E$2+(((VLOOKUP(BI104, GG_fuel,31,FALSE)) + (VLOOKUP(BI104, GG_fuel,32,0))*$E$7 + (VLOOKUP(BI104, GG_fuel,33,0))*$E$7^2 + (VLOOKUP(BI104, GG_fuel,34,0))*$E$7^3)/$E$7)*'HGV classes'!$E$3</f>
        <v>#DIV/0!</v>
      </c>
      <c r="BJ107" s="373" t="e">
        <f>(((VLOOKUP(BJ104, GG_fuel,27,FALSE)) + (VLOOKUP(BJ104, GG_fuel,28,0))*$E$7 + (VLOOKUP(BJ104, GG_fuel,29,0))*$E$7^2 + (VLOOKUP(BJ104, GG_fuel,30,0))*$E$7^3)/$E$7)*'HGV classes'!$E$2+(((VLOOKUP(BJ104, GG_fuel,31,FALSE)) + (VLOOKUP(BJ104, GG_fuel,32,0))*$E$7 + (VLOOKUP(BJ104, GG_fuel,33,0))*$E$7^2 + (VLOOKUP(BJ104, GG_fuel,34,0))*$E$7^3)/$E$7)*'HGV classes'!$E$3</f>
        <v>#DIV/0!</v>
      </c>
      <c r="BK107" s="373" t="e">
        <f>(((VLOOKUP(BK104, GG_fuel,27,FALSE)) + (VLOOKUP(BK104, GG_fuel,28,0))*$E$7 + (VLOOKUP(BK104, GG_fuel,29,0))*$E$7^2 + (VLOOKUP(BK104, GG_fuel,30,0))*$E$7^3)/$E$7)*'HGV classes'!$E$2+(((VLOOKUP(BK104, GG_fuel,31,FALSE)) + (VLOOKUP(BK104, GG_fuel,32,0))*$E$7 + (VLOOKUP(BK104, GG_fuel,33,0))*$E$7^2 + (VLOOKUP(BK104, GG_fuel,34,0))*$E$7^3)/$E$7)*'HGV classes'!$E$3</f>
        <v>#DIV/0!</v>
      </c>
      <c r="BL107" s="373" t="e">
        <f>(((VLOOKUP(BL104, GG_fuel,27,FALSE)) + (VLOOKUP(BL104, GG_fuel,28,0))*$E$7 + (VLOOKUP(BL104, GG_fuel,29,0))*$E$7^2 + (VLOOKUP(BL104, GG_fuel,30,0))*$E$7^3)/$E$7)*'HGV classes'!$E$2+(((VLOOKUP(BL104, GG_fuel,31,FALSE)) + (VLOOKUP(BL104, GG_fuel,32,0))*$E$7 + (VLOOKUP(BL104, GG_fuel,33,0))*$E$7^2 + (VLOOKUP(BL104, GG_fuel,34,0))*$E$7^3)/$E$7)*'HGV classes'!$E$3</f>
        <v>#DIV/0!</v>
      </c>
      <c r="BM107" s="373" t="e">
        <f>(((VLOOKUP(BM104, GG_fuel,27,FALSE)) + (VLOOKUP(BM104, GG_fuel,28,0))*$E$7 + (VLOOKUP(BM104, GG_fuel,29,0))*$E$7^2 + (VLOOKUP(BM104, GG_fuel,30,0))*$E$7^3)/$E$7)*'HGV classes'!$E$2+(((VLOOKUP(BM104, GG_fuel,31,FALSE)) + (VLOOKUP(BM104, GG_fuel,32,0))*$E$7 + (VLOOKUP(BM104, GG_fuel,33,0))*$E$7^2 + (VLOOKUP(BM104, GG_fuel,34,0))*$E$7^3)/$E$7)*'HGV classes'!$E$3</f>
        <v>#DIV/0!</v>
      </c>
      <c r="BN107" s="373" t="e">
        <f>(((VLOOKUP(BN104, GG_fuel,27,FALSE)) + (VLOOKUP(BN104, GG_fuel,28,0))*$E$7 + (VLOOKUP(BN104, GG_fuel,29,0))*$E$7^2 + (VLOOKUP(BN104, GG_fuel,30,0))*$E$7^3)/$E$7)*'HGV classes'!$E$2+(((VLOOKUP(BN104, GG_fuel,31,FALSE)) + (VLOOKUP(BN104, GG_fuel,32,0))*$E$7 + (VLOOKUP(BN104, GG_fuel,33,0))*$E$7^2 + (VLOOKUP(BN104, GG_fuel,34,0))*$E$7^3)/$E$7)*'HGV classes'!$E$3</f>
        <v>#DIV/0!</v>
      </c>
      <c r="BO107" s="373" t="e">
        <f>(((VLOOKUP(BO104, GG_fuel,27,FALSE)) + (VLOOKUP(BO104, GG_fuel,28,0))*$E$7 + (VLOOKUP(BO104, GG_fuel,29,0))*$E$7^2 + (VLOOKUP(BO104, GG_fuel,30,0))*$E$7^3)/$E$7)*'HGV classes'!$E$2+(((VLOOKUP(BO104, GG_fuel,31,FALSE)) + (VLOOKUP(BO104, GG_fuel,32,0))*$E$7 + (VLOOKUP(BO104, GG_fuel,33,0))*$E$7^2 + (VLOOKUP(BO104, GG_fuel,34,0))*$E$7^3)/$E$7)*'HGV classes'!$E$3</f>
        <v>#DIV/0!</v>
      </c>
      <c r="BP107" s="373" t="e">
        <f>(((VLOOKUP(BP104, GG_fuel,27,FALSE)) + (VLOOKUP(BP104, GG_fuel,28,0))*$E$7 + (VLOOKUP(BP104, GG_fuel,29,0))*$E$7^2 + (VLOOKUP(BP104, GG_fuel,30,0))*$E$7^3)/$E$7)*'HGV classes'!$E$2+(((VLOOKUP(BP104, GG_fuel,31,FALSE)) + (VLOOKUP(BP104, GG_fuel,32,0))*$E$7 + (VLOOKUP(BP104, GG_fuel,33,0))*$E$7^2 + (VLOOKUP(BP104, GG_fuel,34,0))*$E$7^3)/$E$7)*'HGV classes'!$E$3</f>
        <v>#DIV/0!</v>
      </c>
      <c r="BQ107" s="373" t="e">
        <f>(((VLOOKUP(BQ104, GG_fuel,27,FALSE)) + (VLOOKUP(BQ104, GG_fuel,28,0))*$E$7 + (VLOOKUP(BQ104, GG_fuel,29,0))*$E$7^2 + (VLOOKUP(BQ104, GG_fuel,30,0))*$E$7^3)/$E$7)*'HGV classes'!$E$2+(((VLOOKUP(BQ104, GG_fuel,31,FALSE)) + (VLOOKUP(BQ104, GG_fuel,32,0))*$E$7 + (VLOOKUP(BQ104, GG_fuel,33,0))*$E$7^2 + (VLOOKUP(BQ104, GG_fuel,34,0))*$E$7^3)/$E$7)*'HGV classes'!$E$3</f>
        <v>#DIV/0!</v>
      </c>
      <c r="BR107" s="373" t="e">
        <f>(((VLOOKUP(BR104, GG_fuel,27,FALSE)) + (VLOOKUP(BR104, GG_fuel,28,0))*$E$7 + (VLOOKUP(BR104, GG_fuel,29,0))*$E$7^2 + (VLOOKUP(BR104, GG_fuel,30,0))*$E$7^3)/$E$7)*'HGV classes'!$E$2+(((VLOOKUP(BR104, GG_fuel,31,FALSE)) + (VLOOKUP(BR104, GG_fuel,32,0))*$E$7 + (VLOOKUP(BR104, GG_fuel,33,0))*$E$7^2 + (VLOOKUP(BR104, GG_fuel,34,0))*$E$7^3)/$E$7)*'HGV classes'!$E$3</f>
        <v>#DIV/0!</v>
      </c>
      <c r="BS107" s="373" t="e">
        <f>(((VLOOKUP(BS104, GG_fuel,27,FALSE)) + (VLOOKUP(BS104, GG_fuel,28,0))*$E$7 + (VLOOKUP(BS104, GG_fuel,29,0))*$E$7^2 + (VLOOKUP(BS104, GG_fuel,30,0))*$E$7^3)/$E$7)*'HGV classes'!$E$2+(((VLOOKUP(BS104, GG_fuel,31,FALSE)) + (VLOOKUP(BS104, GG_fuel,32,0))*$E$7 + (VLOOKUP(BS104, GG_fuel,33,0))*$E$7^2 + (VLOOKUP(BS104, GG_fuel,34,0))*$E$7^3)/$E$7)*'HGV classes'!$E$3</f>
        <v>#DIV/0!</v>
      </c>
      <c r="BT107" s="373" t="e">
        <f>(((VLOOKUP(BT104, GG_fuel,27,FALSE)) + (VLOOKUP(BT104, GG_fuel,28,0))*$E$7 + (VLOOKUP(BT104, GG_fuel,29,0))*$E$7^2 + (VLOOKUP(BT104, GG_fuel,30,0))*$E$7^3)/$E$7)*'HGV classes'!$E$2+(((VLOOKUP(BT104, GG_fuel,31,FALSE)) + (VLOOKUP(BT104, GG_fuel,32,0))*$E$7 + (VLOOKUP(BT104, GG_fuel,33,0))*$E$7^2 + (VLOOKUP(BT104, GG_fuel,34,0))*$E$7^3)/$E$7)*'HGV classes'!$E$3</f>
        <v>#DIV/0!</v>
      </c>
      <c r="BU107" s="373" t="e">
        <f>(((VLOOKUP(BU104, GG_fuel,27,FALSE)) + (VLOOKUP(BU104, GG_fuel,28,0))*$E$7 + (VLOOKUP(BU104, GG_fuel,29,0))*$E$7^2 + (VLOOKUP(BU104, GG_fuel,30,0))*$E$7^3)/$E$7)*'HGV classes'!$E$2+(((VLOOKUP(BU104, GG_fuel,31,FALSE)) + (VLOOKUP(BU104, GG_fuel,32,0))*$E$7 + (VLOOKUP(BU104, GG_fuel,33,0))*$E$7^2 + (VLOOKUP(BU104, GG_fuel,34,0))*$E$7^3)/$E$7)*'HGV classes'!$E$3</f>
        <v>#DIV/0!</v>
      </c>
      <c r="BV107" s="373" t="e">
        <f>(((VLOOKUP(BV104, GG_fuel,27,FALSE)) + (VLOOKUP(BV104, GG_fuel,28,0))*$E$7 + (VLOOKUP(BV104, GG_fuel,29,0))*$E$7^2 + (VLOOKUP(BV104, GG_fuel,30,0))*$E$7^3)/$E$7)*'HGV classes'!$E$2+(((VLOOKUP(BV104, GG_fuel,31,FALSE)) + (VLOOKUP(BV104, GG_fuel,32,0))*$E$7 + (VLOOKUP(BV104, GG_fuel,33,0))*$E$7^2 + (VLOOKUP(BV104, GG_fuel,34,0))*$E$7^3)/$E$7)*'HGV classes'!$E$3</f>
        <v>#DIV/0!</v>
      </c>
      <c r="BW107" s="373" t="e">
        <f>(((VLOOKUP(BW104, GG_fuel,27,FALSE)) + (VLOOKUP(BW104, GG_fuel,28,0))*$E$7 + (VLOOKUP(BW104, GG_fuel,29,0))*$E$7^2 + (VLOOKUP(BW104, GG_fuel,30,0))*$E$7^3)/$E$7)*'HGV classes'!$E$2+(((VLOOKUP(BW104, GG_fuel,31,FALSE)) + (VLOOKUP(BW104, GG_fuel,32,0))*$E$7 + (VLOOKUP(BW104, GG_fuel,33,0))*$E$7^2 + (VLOOKUP(BW104, GG_fuel,34,0))*$E$7^3)/$E$7)*'HGV classes'!$E$3</f>
        <v>#DIV/0!</v>
      </c>
      <c r="BX107" s="373" t="e">
        <f>(((VLOOKUP(BX104, GG_fuel,27,FALSE)) + (VLOOKUP(BX104, GG_fuel,28,0))*$E$7 + (VLOOKUP(BX104, GG_fuel,29,0))*$E$7^2 + (VLOOKUP(BX104, GG_fuel,30,0))*$E$7^3)/$E$7)*'HGV classes'!$E$2+(((VLOOKUP(BX104, GG_fuel,31,FALSE)) + (VLOOKUP(BX104, GG_fuel,32,0))*$E$7 + (VLOOKUP(BX104, GG_fuel,33,0))*$E$7^2 + (VLOOKUP(BX104, GG_fuel,34,0))*$E$7^3)/$E$7)*'HGV classes'!$E$3</f>
        <v>#DIV/0!</v>
      </c>
      <c r="BY107" s="373" t="e">
        <f>(((VLOOKUP(BY104, GG_fuel,27,FALSE)) + (VLOOKUP(BY104, GG_fuel,28,0))*$E$7 + (VLOOKUP(BY104, GG_fuel,29,0))*$E$7^2 + (VLOOKUP(BY104, GG_fuel,30,0))*$E$7^3)/$E$7)*'HGV classes'!$E$2+(((VLOOKUP(BY104, GG_fuel,31,FALSE)) + (VLOOKUP(BY104, GG_fuel,32,0))*$E$7 + (VLOOKUP(BY104, GG_fuel,33,0))*$E$7^2 + (VLOOKUP(BY104, GG_fuel,34,0))*$E$7^3)/$E$7)*'HGV classes'!$E$3</f>
        <v>#DIV/0!</v>
      </c>
      <c r="BZ107" s="373" t="e">
        <f>(((VLOOKUP(BZ104, GG_fuel,27,FALSE)) + (VLOOKUP(BZ104, GG_fuel,28,0))*$E$7 + (VLOOKUP(BZ104, GG_fuel,29,0))*$E$7^2 + (VLOOKUP(BZ104, GG_fuel,30,0))*$E$7^3)/$E$7)*'HGV classes'!$E$2+(((VLOOKUP(BZ104, GG_fuel,31,FALSE)) + (VLOOKUP(BZ104, GG_fuel,32,0))*$E$7 + (VLOOKUP(BZ104, GG_fuel,33,0))*$E$7^2 + (VLOOKUP(BZ104, GG_fuel,34,0))*$E$7^3)/$E$7)*'HGV classes'!$E$3</f>
        <v>#DIV/0!</v>
      </c>
      <c r="CA107" s="373" t="e">
        <f>(((VLOOKUP(CA104, GG_fuel,27,FALSE)) + (VLOOKUP(CA104, GG_fuel,28,0))*$E$7 + (VLOOKUP(CA104, GG_fuel,29,0))*$E$7^2 + (VLOOKUP(CA104, GG_fuel,30,0))*$E$7^3)/$E$7)*'HGV classes'!$E$2+(((VLOOKUP(CA104, GG_fuel,31,FALSE)) + (VLOOKUP(CA104, GG_fuel,32,0))*$E$7 + (VLOOKUP(CA104, GG_fuel,33,0))*$E$7^2 + (VLOOKUP(CA104, GG_fuel,34,0))*$E$7^3)/$E$7)*'HGV classes'!$E$3</f>
        <v>#DIV/0!</v>
      </c>
      <c r="CB107" s="373" t="e">
        <f>(((VLOOKUP(CB104, GG_fuel,27,FALSE)) + (VLOOKUP(CB104, GG_fuel,28,0))*$E$7 + (VLOOKUP(CB104, GG_fuel,29,0))*$E$7^2 + (VLOOKUP(CB104, GG_fuel,30,0))*$E$7^3)/$E$7)*'HGV classes'!$E$2+(((VLOOKUP(CB104, GG_fuel,31,FALSE)) + (VLOOKUP(CB104, GG_fuel,32,0))*$E$7 + (VLOOKUP(CB104, GG_fuel,33,0))*$E$7^2 + (VLOOKUP(CB104, GG_fuel,34,0))*$E$7^3)/$E$7)*'HGV classes'!$E$3</f>
        <v>#DIV/0!</v>
      </c>
      <c r="CC107" s="373" t="e">
        <f>(((VLOOKUP(CC104, GG_fuel,27,FALSE)) + (VLOOKUP(CC104, GG_fuel,28,0))*$E$7 + (VLOOKUP(CC104, GG_fuel,29,0))*$E$7^2 + (VLOOKUP(CC104, GG_fuel,30,0))*$E$7^3)/$E$7)*'HGV classes'!$E$2+(((VLOOKUP(CC104, GG_fuel,31,FALSE)) + (VLOOKUP(CC104, GG_fuel,32,0))*$E$7 + (VLOOKUP(CC104, GG_fuel,33,0))*$E$7^2 + (VLOOKUP(CC104, GG_fuel,34,0))*$E$7^3)/$E$7)*'HGV classes'!$E$3</f>
        <v>#DIV/0!</v>
      </c>
      <c r="CD107" s="373" t="e">
        <f>(((VLOOKUP(CD104, GG_fuel,27,FALSE)) + (VLOOKUP(CD104, GG_fuel,28,0))*$E$7 + (VLOOKUP(CD104, GG_fuel,29,0))*$E$7^2 + (VLOOKUP(CD104, GG_fuel,30,0))*$E$7^3)/$E$7)*'HGV classes'!$E$2+(((VLOOKUP(CD104, GG_fuel,31,FALSE)) + (VLOOKUP(CD104, GG_fuel,32,0))*$E$7 + (VLOOKUP(CD104, GG_fuel,33,0))*$E$7^2 + (VLOOKUP(CD104, GG_fuel,34,0))*$E$7^3)/$E$7)*'HGV classes'!$E$3</f>
        <v>#DIV/0!</v>
      </c>
      <c r="CE107" s="373" t="e">
        <f>(((VLOOKUP(CE104, GG_fuel,27,FALSE)) + (VLOOKUP(CE104, GG_fuel,28,0))*$E$7 + (VLOOKUP(CE104, GG_fuel,29,0))*$E$7^2 + (VLOOKUP(CE104, GG_fuel,30,0))*$E$7^3)/$E$7)*'HGV classes'!$E$2+(((VLOOKUP(CE104, GG_fuel,31,FALSE)) + (VLOOKUP(CE104, GG_fuel,32,0))*$E$7 + (VLOOKUP(CE104, GG_fuel,33,0))*$E$7^2 + (VLOOKUP(CE104, GG_fuel,34,0))*$E$7^3)/$E$7)*'HGV classes'!$E$3</f>
        <v>#DIV/0!</v>
      </c>
      <c r="CF107" s="373" t="e">
        <f>(((VLOOKUP(CF104, GG_fuel,27,FALSE)) + (VLOOKUP(CF104, GG_fuel,28,0))*$E$7 + (VLOOKUP(CF104, GG_fuel,29,0))*$E$7^2 + (VLOOKUP(CF104, GG_fuel,30,0))*$E$7^3)/$E$7)*'HGV classes'!$E$2+(((VLOOKUP(CF104, GG_fuel,31,FALSE)) + (VLOOKUP(CF104, GG_fuel,32,0))*$E$7 + (VLOOKUP(CF104, GG_fuel,33,0))*$E$7^2 + (VLOOKUP(CF104, GG_fuel,34,0))*$E$7^3)/$E$7)*'HGV classes'!$E$3</f>
        <v>#DIV/0!</v>
      </c>
    </row>
    <row r="108" spans="2:84">
      <c r="D108" s="364" t="s">
        <v>93</v>
      </c>
      <c r="E108" s="373" t="e">
        <f t="shared" ref="E108:AJ108" si="67">((VLOOKUP(E104, GG_fuel,35,FALSE)) + (VLOOKUP(E104, GG_fuel,36,0))*$E$7 + (VLOOKUP(E104, GG_fuel,37,0))*$E$7^2 + (VLOOKUP(E104, GG_fuel,38,0))*$E$7^3)/$E$7</f>
        <v>#DIV/0!</v>
      </c>
      <c r="F108" s="373" t="e">
        <f t="shared" si="67"/>
        <v>#DIV/0!</v>
      </c>
      <c r="G108" s="373" t="e">
        <f t="shared" si="67"/>
        <v>#DIV/0!</v>
      </c>
      <c r="H108" s="373" t="e">
        <f t="shared" si="67"/>
        <v>#DIV/0!</v>
      </c>
      <c r="I108" s="373" t="e">
        <f t="shared" si="67"/>
        <v>#DIV/0!</v>
      </c>
      <c r="J108" s="373" t="e">
        <f t="shared" si="67"/>
        <v>#DIV/0!</v>
      </c>
      <c r="K108" s="373" t="e">
        <f t="shared" si="67"/>
        <v>#DIV/0!</v>
      </c>
      <c r="L108" s="373" t="e">
        <f t="shared" si="67"/>
        <v>#DIV/0!</v>
      </c>
      <c r="M108" s="373" t="e">
        <f t="shared" si="67"/>
        <v>#DIV/0!</v>
      </c>
      <c r="N108" s="373" t="e">
        <f t="shared" si="67"/>
        <v>#DIV/0!</v>
      </c>
      <c r="O108" s="373" t="e">
        <f t="shared" si="67"/>
        <v>#DIV/0!</v>
      </c>
      <c r="P108" s="373" t="e">
        <f t="shared" si="67"/>
        <v>#DIV/0!</v>
      </c>
      <c r="Q108" s="373" t="e">
        <f t="shared" si="67"/>
        <v>#DIV/0!</v>
      </c>
      <c r="R108" s="373" t="e">
        <f t="shared" si="67"/>
        <v>#DIV/0!</v>
      </c>
      <c r="S108" s="373" t="e">
        <f t="shared" si="67"/>
        <v>#DIV/0!</v>
      </c>
      <c r="T108" s="373" t="e">
        <f t="shared" si="67"/>
        <v>#DIV/0!</v>
      </c>
      <c r="U108" s="373" t="e">
        <f t="shared" si="67"/>
        <v>#DIV/0!</v>
      </c>
      <c r="V108" s="373" t="e">
        <f t="shared" si="67"/>
        <v>#DIV/0!</v>
      </c>
      <c r="W108" s="373" t="e">
        <f t="shared" si="67"/>
        <v>#DIV/0!</v>
      </c>
      <c r="X108" s="373" t="e">
        <f t="shared" si="67"/>
        <v>#DIV/0!</v>
      </c>
      <c r="Y108" s="373" t="e">
        <f t="shared" si="67"/>
        <v>#DIV/0!</v>
      </c>
      <c r="Z108" s="373" t="e">
        <f t="shared" si="67"/>
        <v>#DIV/0!</v>
      </c>
      <c r="AA108" s="373" t="e">
        <f t="shared" si="67"/>
        <v>#DIV/0!</v>
      </c>
      <c r="AB108" s="373" t="e">
        <f t="shared" si="67"/>
        <v>#DIV/0!</v>
      </c>
      <c r="AC108" s="373" t="e">
        <f t="shared" si="67"/>
        <v>#DIV/0!</v>
      </c>
      <c r="AD108" s="373" t="e">
        <f t="shared" si="67"/>
        <v>#DIV/0!</v>
      </c>
      <c r="AE108" s="373" t="e">
        <f t="shared" si="67"/>
        <v>#DIV/0!</v>
      </c>
      <c r="AF108" s="373" t="e">
        <f t="shared" si="67"/>
        <v>#DIV/0!</v>
      </c>
      <c r="AG108" s="373" t="e">
        <f t="shared" si="67"/>
        <v>#DIV/0!</v>
      </c>
      <c r="AH108" s="373" t="e">
        <f t="shared" si="67"/>
        <v>#DIV/0!</v>
      </c>
      <c r="AI108" s="373" t="e">
        <f t="shared" si="67"/>
        <v>#DIV/0!</v>
      </c>
      <c r="AJ108" s="373" t="e">
        <f t="shared" si="67"/>
        <v>#DIV/0!</v>
      </c>
      <c r="AK108" s="373" t="e">
        <f t="shared" ref="AK108:BP108" si="68">((VLOOKUP(AK104, GG_fuel,35,FALSE)) + (VLOOKUP(AK104, GG_fuel,36,0))*$E$7 + (VLOOKUP(AK104, GG_fuel,37,0))*$E$7^2 + (VLOOKUP(AK104, GG_fuel,38,0))*$E$7^3)/$E$7</f>
        <v>#DIV/0!</v>
      </c>
      <c r="AL108" s="373" t="e">
        <f t="shared" si="68"/>
        <v>#DIV/0!</v>
      </c>
      <c r="AM108" s="373" t="e">
        <f t="shared" si="68"/>
        <v>#DIV/0!</v>
      </c>
      <c r="AN108" s="373" t="e">
        <f t="shared" si="68"/>
        <v>#DIV/0!</v>
      </c>
      <c r="AO108" s="373" t="e">
        <f t="shared" si="68"/>
        <v>#DIV/0!</v>
      </c>
      <c r="AP108" s="373" t="e">
        <f t="shared" si="68"/>
        <v>#DIV/0!</v>
      </c>
      <c r="AQ108" s="373" t="e">
        <f t="shared" si="68"/>
        <v>#DIV/0!</v>
      </c>
      <c r="AR108" s="373" t="e">
        <f t="shared" si="68"/>
        <v>#DIV/0!</v>
      </c>
      <c r="AS108" s="373" t="e">
        <f t="shared" si="68"/>
        <v>#DIV/0!</v>
      </c>
      <c r="AT108" s="373" t="e">
        <f t="shared" si="68"/>
        <v>#DIV/0!</v>
      </c>
      <c r="AU108" s="373" t="e">
        <f t="shared" si="68"/>
        <v>#DIV/0!</v>
      </c>
      <c r="AV108" s="373" t="e">
        <f t="shared" si="68"/>
        <v>#DIV/0!</v>
      </c>
      <c r="AW108" s="373" t="e">
        <f t="shared" si="68"/>
        <v>#DIV/0!</v>
      </c>
      <c r="AX108" s="373" t="e">
        <f t="shared" si="68"/>
        <v>#DIV/0!</v>
      </c>
      <c r="AY108" s="373" t="e">
        <f t="shared" si="68"/>
        <v>#DIV/0!</v>
      </c>
      <c r="AZ108" s="373" t="e">
        <f t="shared" si="68"/>
        <v>#DIV/0!</v>
      </c>
      <c r="BA108" s="373" t="e">
        <f t="shared" si="68"/>
        <v>#DIV/0!</v>
      </c>
      <c r="BB108" s="373" t="e">
        <f t="shared" si="68"/>
        <v>#DIV/0!</v>
      </c>
      <c r="BC108" s="373" t="e">
        <f t="shared" si="68"/>
        <v>#DIV/0!</v>
      </c>
      <c r="BD108" s="373" t="e">
        <f t="shared" si="68"/>
        <v>#DIV/0!</v>
      </c>
      <c r="BE108" s="373" t="e">
        <f t="shared" si="68"/>
        <v>#DIV/0!</v>
      </c>
      <c r="BF108" s="373" t="e">
        <f t="shared" si="68"/>
        <v>#DIV/0!</v>
      </c>
      <c r="BG108" s="373" t="e">
        <f t="shared" si="68"/>
        <v>#DIV/0!</v>
      </c>
      <c r="BH108" s="373" t="e">
        <f t="shared" si="68"/>
        <v>#DIV/0!</v>
      </c>
      <c r="BI108" s="373" t="e">
        <f t="shared" si="68"/>
        <v>#DIV/0!</v>
      </c>
      <c r="BJ108" s="373" t="e">
        <f t="shared" si="68"/>
        <v>#DIV/0!</v>
      </c>
      <c r="BK108" s="373" t="e">
        <f t="shared" si="68"/>
        <v>#DIV/0!</v>
      </c>
      <c r="BL108" s="373" t="e">
        <f t="shared" si="68"/>
        <v>#DIV/0!</v>
      </c>
      <c r="BM108" s="373" t="e">
        <f t="shared" si="68"/>
        <v>#DIV/0!</v>
      </c>
      <c r="BN108" s="373" t="e">
        <f t="shared" si="68"/>
        <v>#DIV/0!</v>
      </c>
      <c r="BO108" s="373" t="e">
        <f t="shared" si="68"/>
        <v>#DIV/0!</v>
      </c>
      <c r="BP108" s="373" t="e">
        <f t="shared" si="68"/>
        <v>#DIV/0!</v>
      </c>
      <c r="BQ108" s="373" t="e">
        <f t="shared" ref="BQ108:CF108" si="69">((VLOOKUP(BQ104, GG_fuel,35,FALSE)) + (VLOOKUP(BQ104, GG_fuel,36,0))*$E$7 + (VLOOKUP(BQ104, GG_fuel,37,0))*$E$7^2 + (VLOOKUP(BQ104, GG_fuel,38,0))*$E$7^3)/$E$7</f>
        <v>#DIV/0!</v>
      </c>
      <c r="BR108" s="373" t="e">
        <f t="shared" si="69"/>
        <v>#DIV/0!</v>
      </c>
      <c r="BS108" s="373" t="e">
        <f t="shared" si="69"/>
        <v>#DIV/0!</v>
      </c>
      <c r="BT108" s="373" t="e">
        <f t="shared" si="69"/>
        <v>#DIV/0!</v>
      </c>
      <c r="BU108" s="373" t="e">
        <f t="shared" si="69"/>
        <v>#DIV/0!</v>
      </c>
      <c r="BV108" s="373" t="e">
        <f t="shared" si="69"/>
        <v>#DIV/0!</v>
      </c>
      <c r="BW108" s="373" t="e">
        <f t="shared" si="69"/>
        <v>#DIV/0!</v>
      </c>
      <c r="BX108" s="373" t="e">
        <f t="shared" si="69"/>
        <v>#DIV/0!</v>
      </c>
      <c r="BY108" s="373" t="e">
        <f t="shared" si="69"/>
        <v>#DIV/0!</v>
      </c>
      <c r="BZ108" s="373" t="e">
        <f t="shared" si="69"/>
        <v>#DIV/0!</v>
      </c>
      <c r="CA108" s="373" t="e">
        <f t="shared" si="69"/>
        <v>#DIV/0!</v>
      </c>
      <c r="CB108" s="373" t="e">
        <f t="shared" si="69"/>
        <v>#DIV/0!</v>
      </c>
      <c r="CC108" s="373" t="e">
        <f t="shared" si="69"/>
        <v>#DIV/0!</v>
      </c>
      <c r="CD108" s="373" t="e">
        <f t="shared" si="69"/>
        <v>#DIV/0!</v>
      </c>
      <c r="CE108" s="373" t="e">
        <f t="shared" si="69"/>
        <v>#DIV/0!</v>
      </c>
      <c r="CF108" s="373" t="e">
        <f t="shared" si="69"/>
        <v>#DIV/0!</v>
      </c>
    </row>
    <row r="109" spans="2:84">
      <c r="D109" s="365"/>
    </row>
    <row r="110" spans="2:84">
      <c r="C110" s="360" t="s">
        <v>349</v>
      </c>
      <c r="D110" s="365"/>
    </row>
    <row r="111" spans="2:84">
      <c r="D111" s="372"/>
      <c r="E111" s="372">
        <v>2010</v>
      </c>
      <c r="F111" s="372">
        <v>2011</v>
      </c>
      <c r="G111" s="372">
        <v>2012</v>
      </c>
      <c r="H111" s="372">
        <v>2013</v>
      </c>
      <c r="I111" s="372">
        <v>2014</v>
      </c>
      <c r="J111" s="372">
        <v>2015</v>
      </c>
      <c r="K111" s="372">
        <v>2016</v>
      </c>
      <c r="L111" s="372">
        <v>2017</v>
      </c>
      <c r="M111" s="372">
        <v>2018</v>
      </c>
      <c r="N111" s="372">
        <v>2019</v>
      </c>
      <c r="O111" s="372">
        <v>2020</v>
      </c>
      <c r="P111" s="372">
        <v>2021</v>
      </c>
      <c r="Q111" s="372">
        <v>2022</v>
      </c>
      <c r="R111" s="372">
        <v>2023</v>
      </c>
      <c r="S111" s="372">
        <v>2024</v>
      </c>
      <c r="T111" s="372">
        <v>2025</v>
      </c>
      <c r="U111" s="372">
        <v>2026</v>
      </c>
      <c r="V111" s="372">
        <v>2027</v>
      </c>
      <c r="W111" s="372">
        <v>2028</v>
      </c>
      <c r="X111" s="372">
        <v>2029</v>
      </c>
      <c r="Y111" s="372">
        <v>2030</v>
      </c>
      <c r="Z111" s="372">
        <v>2031</v>
      </c>
      <c r="AA111" s="372">
        <v>2032</v>
      </c>
      <c r="AB111" s="372">
        <v>2033</v>
      </c>
      <c r="AC111" s="372">
        <v>2034</v>
      </c>
      <c r="AD111" s="372">
        <v>2035</v>
      </c>
      <c r="AE111" s="372">
        <v>2036</v>
      </c>
      <c r="AF111" s="372">
        <v>2037</v>
      </c>
      <c r="AG111" s="372">
        <v>2038</v>
      </c>
      <c r="AH111" s="372">
        <v>2039</v>
      </c>
      <c r="AI111" s="372">
        <v>2040</v>
      </c>
      <c r="AJ111" s="372">
        <v>2041</v>
      </c>
      <c r="AK111" s="372">
        <v>2042</v>
      </c>
      <c r="AL111" s="372">
        <v>2043</v>
      </c>
      <c r="AM111" s="372">
        <v>2044</v>
      </c>
      <c r="AN111" s="372">
        <v>2045</v>
      </c>
      <c r="AO111" s="372">
        <v>2046</v>
      </c>
      <c r="AP111" s="372">
        <v>2047</v>
      </c>
      <c r="AQ111" s="372">
        <v>2048</v>
      </c>
      <c r="AR111" s="372">
        <v>2049</v>
      </c>
      <c r="AS111" s="372">
        <v>2050</v>
      </c>
      <c r="AT111" s="372">
        <v>2051</v>
      </c>
      <c r="AU111" s="372">
        <v>2052</v>
      </c>
      <c r="AV111" s="372">
        <v>2053</v>
      </c>
      <c r="AW111" s="372">
        <v>2054</v>
      </c>
      <c r="AX111" s="372">
        <v>2055</v>
      </c>
      <c r="AY111" s="372">
        <v>2056</v>
      </c>
      <c r="AZ111" s="372">
        <v>2057</v>
      </c>
      <c r="BA111" s="372">
        <v>2058</v>
      </c>
      <c r="BB111" s="372">
        <v>2059</v>
      </c>
      <c r="BC111" s="372">
        <v>2060</v>
      </c>
      <c r="BD111" s="372">
        <v>2061</v>
      </c>
      <c r="BE111" s="372">
        <v>2062</v>
      </c>
      <c r="BF111" s="372">
        <v>2063</v>
      </c>
      <c r="BG111" s="372">
        <v>2064</v>
      </c>
      <c r="BH111" s="372">
        <v>2065</v>
      </c>
      <c r="BI111" s="372">
        <v>2066</v>
      </c>
      <c r="BJ111" s="372">
        <v>2067</v>
      </c>
      <c r="BK111" s="372">
        <v>2068</v>
      </c>
      <c r="BL111" s="372">
        <v>2069</v>
      </c>
      <c r="BM111" s="372">
        <v>2070</v>
      </c>
      <c r="BN111" s="372">
        <v>2071</v>
      </c>
      <c r="BO111" s="372">
        <v>2072</v>
      </c>
      <c r="BP111" s="372">
        <v>2073</v>
      </c>
      <c r="BQ111" s="372">
        <v>2074</v>
      </c>
      <c r="BR111" s="372">
        <v>2075</v>
      </c>
      <c r="BS111" s="372">
        <v>2076</v>
      </c>
      <c r="BT111" s="372">
        <v>2077</v>
      </c>
      <c r="BU111" s="372">
        <v>2078</v>
      </c>
      <c r="BV111" s="372">
        <v>2079</v>
      </c>
      <c r="BW111" s="372">
        <v>2080</v>
      </c>
      <c r="BX111" s="372">
        <v>2081</v>
      </c>
      <c r="BY111" s="372">
        <v>2082</v>
      </c>
      <c r="BZ111" s="372">
        <v>2083</v>
      </c>
      <c r="CA111" s="372">
        <v>2084</v>
      </c>
      <c r="CB111" s="372">
        <v>2085</v>
      </c>
      <c r="CC111" s="372">
        <v>2086</v>
      </c>
      <c r="CD111" s="372">
        <v>2087</v>
      </c>
      <c r="CE111" s="372">
        <v>2088</v>
      </c>
      <c r="CF111" s="372">
        <v>2089</v>
      </c>
    </row>
    <row r="112" spans="2:84">
      <c r="D112" s="364" t="s">
        <v>87</v>
      </c>
      <c r="E112" s="373" t="e">
        <f t="shared" ref="E112:BP115" si="70">VLOOKUP(E$111,Carbon,4)*E105</f>
        <v>#DIV/0!</v>
      </c>
      <c r="F112" s="373" t="e">
        <f t="shared" si="70"/>
        <v>#DIV/0!</v>
      </c>
      <c r="G112" s="373" t="e">
        <f t="shared" si="70"/>
        <v>#DIV/0!</v>
      </c>
      <c r="H112" s="373" t="e">
        <f t="shared" si="70"/>
        <v>#DIV/0!</v>
      </c>
      <c r="I112" s="373" t="e">
        <f t="shared" si="70"/>
        <v>#DIV/0!</v>
      </c>
      <c r="J112" s="373" t="e">
        <f t="shared" si="70"/>
        <v>#DIV/0!</v>
      </c>
      <c r="K112" s="373" t="e">
        <f t="shared" si="70"/>
        <v>#DIV/0!</v>
      </c>
      <c r="L112" s="373" t="e">
        <f t="shared" si="70"/>
        <v>#DIV/0!</v>
      </c>
      <c r="M112" s="373" t="e">
        <f t="shared" si="70"/>
        <v>#DIV/0!</v>
      </c>
      <c r="N112" s="373" t="e">
        <f t="shared" si="70"/>
        <v>#DIV/0!</v>
      </c>
      <c r="O112" s="373" t="e">
        <f t="shared" si="70"/>
        <v>#DIV/0!</v>
      </c>
      <c r="P112" s="373" t="e">
        <f t="shared" si="70"/>
        <v>#DIV/0!</v>
      </c>
      <c r="Q112" s="373" t="e">
        <f t="shared" si="70"/>
        <v>#DIV/0!</v>
      </c>
      <c r="R112" s="373" t="e">
        <f t="shared" si="70"/>
        <v>#DIV/0!</v>
      </c>
      <c r="S112" s="373" t="e">
        <f t="shared" si="70"/>
        <v>#DIV/0!</v>
      </c>
      <c r="T112" s="373" t="e">
        <f t="shared" si="70"/>
        <v>#DIV/0!</v>
      </c>
      <c r="U112" s="373" t="e">
        <f t="shared" si="70"/>
        <v>#DIV/0!</v>
      </c>
      <c r="V112" s="373" t="e">
        <f t="shared" si="70"/>
        <v>#DIV/0!</v>
      </c>
      <c r="W112" s="373" t="e">
        <f t="shared" si="70"/>
        <v>#DIV/0!</v>
      </c>
      <c r="X112" s="373" t="e">
        <f t="shared" si="70"/>
        <v>#DIV/0!</v>
      </c>
      <c r="Y112" s="373" t="e">
        <f t="shared" si="70"/>
        <v>#DIV/0!</v>
      </c>
      <c r="Z112" s="373" t="e">
        <f t="shared" si="70"/>
        <v>#DIV/0!</v>
      </c>
      <c r="AA112" s="373" t="e">
        <f t="shared" si="70"/>
        <v>#DIV/0!</v>
      </c>
      <c r="AB112" s="373" t="e">
        <f t="shared" si="70"/>
        <v>#DIV/0!</v>
      </c>
      <c r="AC112" s="373" t="e">
        <f t="shared" si="70"/>
        <v>#DIV/0!</v>
      </c>
      <c r="AD112" s="373" t="e">
        <f t="shared" si="70"/>
        <v>#DIV/0!</v>
      </c>
      <c r="AE112" s="373" t="e">
        <f t="shared" si="70"/>
        <v>#DIV/0!</v>
      </c>
      <c r="AF112" s="373" t="e">
        <f t="shared" si="70"/>
        <v>#DIV/0!</v>
      </c>
      <c r="AG112" s="373" t="e">
        <f t="shared" si="70"/>
        <v>#DIV/0!</v>
      </c>
      <c r="AH112" s="373" t="e">
        <f t="shared" si="70"/>
        <v>#DIV/0!</v>
      </c>
      <c r="AI112" s="373" t="e">
        <f t="shared" si="70"/>
        <v>#DIV/0!</v>
      </c>
      <c r="AJ112" s="373" t="e">
        <f t="shared" si="70"/>
        <v>#DIV/0!</v>
      </c>
      <c r="AK112" s="373" t="e">
        <f t="shared" si="70"/>
        <v>#DIV/0!</v>
      </c>
      <c r="AL112" s="373" t="e">
        <f t="shared" si="70"/>
        <v>#DIV/0!</v>
      </c>
      <c r="AM112" s="373" t="e">
        <f t="shared" si="70"/>
        <v>#DIV/0!</v>
      </c>
      <c r="AN112" s="373" t="e">
        <f t="shared" si="70"/>
        <v>#DIV/0!</v>
      </c>
      <c r="AO112" s="373" t="e">
        <f t="shared" si="70"/>
        <v>#DIV/0!</v>
      </c>
      <c r="AP112" s="373" t="e">
        <f t="shared" si="70"/>
        <v>#DIV/0!</v>
      </c>
      <c r="AQ112" s="373" t="e">
        <f t="shared" si="70"/>
        <v>#DIV/0!</v>
      </c>
      <c r="AR112" s="373" t="e">
        <f t="shared" si="70"/>
        <v>#DIV/0!</v>
      </c>
      <c r="AS112" s="373" t="e">
        <f t="shared" si="70"/>
        <v>#DIV/0!</v>
      </c>
      <c r="AT112" s="373" t="e">
        <f t="shared" si="70"/>
        <v>#DIV/0!</v>
      </c>
      <c r="AU112" s="373" t="e">
        <f t="shared" si="70"/>
        <v>#DIV/0!</v>
      </c>
      <c r="AV112" s="373" t="e">
        <f t="shared" si="70"/>
        <v>#DIV/0!</v>
      </c>
      <c r="AW112" s="373" t="e">
        <f t="shared" si="70"/>
        <v>#DIV/0!</v>
      </c>
      <c r="AX112" s="373" t="e">
        <f t="shared" si="70"/>
        <v>#DIV/0!</v>
      </c>
      <c r="AY112" s="373" t="e">
        <f t="shared" si="70"/>
        <v>#DIV/0!</v>
      </c>
      <c r="AZ112" s="373" t="e">
        <f t="shared" si="70"/>
        <v>#DIV/0!</v>
      </c>
      <c r="BA112" s="373" t="e">
        <f t="shared" si="70"/>
        <v>#DIV/0!</v>
      </c>
      <c r="BB112" s="373" t="e">
        <f t="shared" si="70"/>
        <v>#DIV/0!</v>
      </c>
      <c r="BC112" s="373" t="e">
        <f t="shared" si="70"/>
        <v>#DIV/0!</v>
      </c>
      <c r="BD112" s="373" t="e">
        <f t="shared" si="70"/>
        <v>#DIV/0!</v>
      </c>
      <c r="BE112" s="373" t="e">
        <f t="shared" si="70"/>
        <v>#DIV/0!</v>
      </c>
      <c r="BF112" s="373" t="e">
        <f t="shared" si="70"/>
        <v>#DIV/0!</v>
      </c>
      <c r="BG112" s="373" t="e">
        <f t="shared" si="70"/>
        <v>#DIV/0!</v>
      </c>
      <c r="BH112" s="373" t="e">
        <f t="shared" si="70"/>
        <v>#DIV/0!</v>
      </c>
      <c r="BI112" s="373" t="e">
        <f t="shared" si="70"/>
        <v>#DIV/0!</v>
      </c>
      <c r="BJ112" s="373" t="e">
        <f t="shared" si="70"/>
        <v>#DIV/0!</v>
      </c>
      <c r="BK112" s="373" t="e">
        <f t="shared" si="70"/>
        <v>#DIV/0!</v>
      </c>
      <c r="BL112" s="373" t="e">
        <f t="shared" si="70"/>
        <v>#DIV/0!</v>
      </c>
      <c r="BM112" s="373" t="e">
        <f t="shared" si="70"/>
        <v>#DIV/0!</v>
      </c>
      <c r="BN112" s="373" t="e">
        <f t="shared" si="70"/>
        <v>#DIV/0!</v>
      </c>
      <c r="BO112" s="373" t="e">
        <f t="shared" si="70"/>
        <v>#DIV/0!</v>
      </c>
      <c r="BP112" s="373" t="e">
        <f t="shared" si="70"/>
        <v>#DIV/0!</v>
      </c>
      <c r="BQ112" s="373" t="e">
        <f t="shared" ref="BQ112:CF115" si="71">VLOOKUP(BQ$111,Carbon,4)*BQ105</f>
        <v>#DIV/0!</v>
      </c>
      <c r="BR112" s="373" t="e">
        <f t="shared" si="71"/>
        <v>#DIV/0!</v>
      </c>
      <c r="BS112" s="373" t="e">
        <f t="shared" si="71"/>
        <v>#DIV/0!</v>
      </c>
      <c r="BT112" s="373" t="e">
        <f t="shared" si="71"/>
        <v>#DIV/0!</v>
      </c>
      <c r="BU112" s="373" t="e">
        <f t="shared" si="71"/>
        <v>#DIV/0!</v>
      </c>
      <c r="BV112" s="373" t="e">
        <f t="shared" si="71"/>
        <v>#DIV/0!</v>
      </c>
      <c r="BW112" s="373" t="e">
        <f t="shared" si="71"/>
        <v>#DIV/0!</v>
      </c>
      <c r="BX112" s="373" t="e">
        <f t="shared" si="71"/>
        <v>#DIV/0!</v>
      </c>
      <c r="BY112" s="373" t="e">
        <f t="shared" si="71"/>
        <v>#DIV/0!</v>
      </c>
      <c r="BZ112" s="373" t="e">
        <f t="shared" si="71"/>
        <v>#DIV/0!</v>
      </c>
      <c r="CA112" s="373" t="e">
        <f t="shared" si="71"/>
        <v>#DIV/0!</v>
      </c>
      <c r="CB112" s="373" t="e">
        <f t="shared" si="71"/>
        <v>#DIV/0!</v>
      </c>
      <c r="CC112" s="373" t="e">
        <f t="shared" si="71"/>
        <v>#DIV/0!</v>
      </c>
      <c r="CD112" s="373" t="e">
        <f t="shared" si="71"/>
        <v>#DIV/0!</v>
      </c>
      <c r="CE112" s="373" t="e">
        <f t="shared" si="71"/>
        <v>#DIV/0!</v>
      </c>
      <c r="CF112" s="373" t="e">
        <f t="shared" si="71"/>
        <v>#DIV/0!</v>
      </c>
    </row>
    <row r="113" spans="3:84">
      <c r="D113" s="364" t="s">
        <v>89</v>
      </c>
      <c r="E113" s="373" t="e">
        <f>VLOOKUP(E$111,Carbon,4)*E106</f>
        <v>#DIV/0!</v>
      </c>
      <c r="F113" s="373" t="e">
        <f t="shared" si="70"/>
        <v>#DIV/0!</v>
      </c>
      <c r="G113" s="373" t="e">
        <f t="shared" si="70"/>
        <v>#DIV/0!</v>
      </c>
      <c r="H113" s="373" t="e">
        <f t="shared" si="70"/>
        <v>#DIV/0!</v>
      </c>
      <c r="I113" s="373" t="e">
        <f t="shared" si="70"/>
        <v>#DIV/0!</v>
      </c>
      <c r="J113" s="373" t="e">
        <f t="shared" si="70"/>
        <v>#DIV/0!</v>
      </c>
      <c r="K113" s="373" t="e">
        <f t="shared" si="70"/>
        <v>#DIV/0!</v>
      </c>
      <c r="L113" s="373" t="e">
        <f t="shared" si="70"/>
        <v>#DIV/0!</v>
      </c>
      <c r="M113" s="373" t="e">
        <f t="shared" si="70"/>
        <v>#DIV/0!</v>
      </c>
      <c r="N113" s="373" t="e">
        <f t="shared" si="70"/>
        <v>#DIV/0!</v>
      </c>
      <c r="O113" s="373" t="e">
        <f t="shared" si="70"/>
        <v>#DIV/0!</v>
      </c>
      <c r="P113" s="373" t="e">
        <f t="shared" si="70"/>
        <v>#DIV/0!</v>
      </c>
      <c r="Q113" s="373" t="e">
        <f t="shared" si="70"/>
        <v>#DIV/0!</v>
      </c>
      <c r="R113" s="373" t="e">
        <f t="shared" si="70"/>
        <v>#DIV/0!</v>
      </c>
      <c r="S113" s="373" t="e">
        <f t="shared" si="70"/>
        <v>#DIV/0!</v>
      </c>
      <c r="T113" s="373" t="e">
        <f t="shared" si="70"/>
        <v>#DIV/0!</v>
      </c>
      <c r="U113" s="373" t="e">
        <f t="shared" si="70"/>
        <v>#DIV/0!</v>
      </c>
      <c r="V113" s="373" t="e">
        <f t="shared" si="70"/>
        <v>#DIV/0!</v>
      </c>
      <c r="W113" s="373" t="e">
        <f t="shared" si="70"/>
        <v>#DIV/0!</v>
      </c>
      <c r="X113" s="373" t="e">
        <f t="shared" si="70"/>
        <v>#DIV/0!</v>
      </c>
      <c r="Y113" s="373" t="e">
        <f t="shared" si="70"/>
        <v>#DIV/0!</v>
      </c>
      <c r="Z113" s="373" t="e">
        <f t="shared" si="70"/>
        <v>#DIV/0!</v>
      </c>
      <c r="AA113" s="373" t="e">
        <f t="shared" si="70"/>
        <v>#DIV/0!</v>
      </c>
      <c r="AB113" s="373" t="e">
        <f t="shared" si="70"/>
        <v>#DIV/0!</v>
      </c>
      <c r="AC113" s="373" t="e">
        <f t="shared" si="70"/>
        <v>#DIV/0!</v>
      </c>
      <c r="AD113" s="373" t="e">
        <f t="shared" si="70"/>
        <v>#DIV/0!</v>
      </c>
      <c r="AE113" s="373" t="e">
        <f t="shared" si="70"/>
        <v>#DIV/0!</v>
      </c>
      <c r="AF113" s="373" t="e">
        <f t="shared" si="70"/>
        <v>#DIV/0!</v>
      </c>
      <c r="AG113" s="373" t="e">
        <f t="shared" si="70"/>
        <v>#DIV/0!</v>
      </c>
      <c r="AH113" s="373" t="e">
        <f t="shared" si="70"/>
        <v>#DIV/0!</v>
      </c>
      <c r="AI113" s="373" t="e">
        <f t="shared" si="70"/>
        <v>#DIV/0!</v>
      </c>
      <c r="AJ113" s="373" t="e">
        <f t="shared" si="70"/>
        <v>#DIV/0!</v>
      </c>
      <c r="AK113" s="373" t="e">
        <f t="shared" si="70"/>
        <v>#DIV/0!</v>
      </c>
      <c r="AL113" s="373" t="e">
        <f t="shared" si="70"/>
        <v>#DIV/0!</v>
      </c>
      <c r="AM113" s="373" t="e">
        <f t="shared" si="70"/>
        <v>#DIV/0!</v>
      </c>
      <c r="AN113" s="373" t="e">
        <f t="shared" si="70"/>
        <v>#DIV/0!</v>
      </c>
      <c r="AO113" s="373" t="e">
        <f t="shared" si="70"/>
        <v>#DIV/0!</v>
      </c>
      <c r="AP113" s="373" t="e">
        <f t="shared" si="70"/>
        <v>#DIV/0!</v>
      </c>
      <c r="AQ113" s="373" t="e">
        <f t="shared" si="70"/>
        <v>#DIV/0!</v>
      </c>
      <c r="AR113" s="373" t="e">
        <f t="shared" si="70"/>
        <v>#DIV/0!</v>
      </c>
      <c r="AS113" s="373" t="e">
        <f t="shared" si="70"/>
        <v>#DIV/0!</v>
      </c>
      <c r="AT113" s="373" t="e">
        <f t="shared" si="70"/>
        <v>#DIV/0!</v>
      </c>
      <c r="AU113" s="373" t="e">
        <f t="shared" si="70"/>
        <v>#DIV/0!</v>
      </c>
      <c r="AV113" s="373" t="e">
        <f t="shared" si="70"/>
        <v>#DIV/0!</v>
      </c>
      <c r="AW113" s="373" t="e">
        <f t="shared" si="70"/>
        <v>#DIV/0!</v>
      </c>
      <c r="AX113" s="373" t="e">
        <f t="shared" si="70"/>
        <v>#DIV/0!</v>
      </c>
      <c r="AY113" s="373" t="e">
        <f t="shared" si="70"/>
        <v>#DIV/0!</v>
      </c>
      <c r="AZ113" s="373" t="e">
        <f t="shared" si="70"/>
        <v>#DIV/0!</v>
      </c>
      <c r="BA113" s="373" t="e">
        <f t="shared" si="70"/>
        <v>#DIV/0!</v>
      </c>
      <c r="BB113" s="373" t="e">
        <f t="shared" si="70"/>
        <v>#DIV/0!</v>
      </c>
      <c r="BC113" s="373" t="e">
        <f t="shared" si="70"/>
        <v>#DIV/0!</v>
      </c>
      <c r="BD113" s="373" t="e">
        <f t="shared" si="70"/>
        <v>#DIV/0!</v>
      </c>
      <c r="BE113" s="373" t="e">
        <f t="shared" si="70"/>
        <v>#DIV/0!</v>
      </c>
      <c r="BF113" s="373" t="e">
        <f t="shared" si="70"/>
        <v>#DIV/0!</v>
      </c>
      <c r="BG113" s="373" t="e">
        <f t="shared" si="70"/>
        <v>#DIV/0!</v>
      </c>
      <c r="BH113" s="373" t="e">
        <f t="shared" si="70"/>
        <v>#DIV/0!</v>
      </c>
      <c r="BI113" s="373" t="e">
        <f t="shared" si="70"/>
        <v>#DIV/0!</v>
      </c>
      <c r="BJ113" s="373" t="e">
        <f t="shared" si="70"/>
        <v>#DIV/0!</v>
      </c>
      <c r="BK113" s="373" t="e">
        <f t="shared" si="70"/>
        <v>#DIV/0!</v>
      </c>
      <c r="BL113" s="373" t="e">
        <f t="shared" si="70"/>
        <v>#DIV/0!</v>
      </c>
      <c r="BM113" s="373" t="e">
        <f t="shared" si="70"/>
        <v>#DIV/0!</v>
      </c>
      <c r="BN113" s="373" t="e">
        <f t="shared" si="70"/>
        <v>#DIV/0!</v>
      </c>
      <c r="BO113" s="373" t="e">
        <f t="shared" si="70"/>
        <v>#DIV/0!</v>
      </c>
      <c r="BP113" s="373" t="e">
        <f t="shared" si="70"/>
        <v>#DIV/0!</v>
      </c>
      <c r="BQ113" s="373" t="e">
        <f t="shared" si="71"/>
        <v>#DIV/0!</v>
      </c>
      <c r="BR113" s="373" t="e">
        <f t="shared" si="71"/>
        <v>#DIV/0!</v>
      </c>
      <c r="BS113" s="373" t="e">
        <f t="shared" si="71"/>
        <v>#DIV/0!</v>
      </c>
      <c r="BT113" s="373" t="e">
        <f t="shared" si="71"/>
        <v>#DIV/0!</v>
      </c>
      <c r="BU113" s="373" t="e">
        <f t="shared" si="71"/>
        <v>#DIV/0!</v>
      </c>
      <c r="BV113" s="373" t="e">
        <f t="shared" si="71"/>
        <v>#DIV/0!</v>
      </c>
      <c r="BW113" s="373" t="e">
        <f t="shared" si="71"/>
        <v>#DIV/0!</v>
      </c>
      <c r="BX113" s="373" t="e">
        <f t="shared" si="71"/>
        <v>#DIV/0!</v>
      </c>
      <c r="BY113" s="373" t="e">
        <f t="shared" si="71"/>
        <v>#DIV/0!</v>
      </c>
      <c r="BZ113" s="373" t="e">
        <f t="shared" si="71"/>
        <v>#DIV/0!</v>
      </c>
      <c r="CA113" s="373" t="e">
        <f t="shared" si="71"/>
        <v>#DIV/0!</v>
      </c>
      <c r="CB113" s="373" t="e">
        <f t="shared" si="71"/>
        <v>#DIV/0!</v>
      </c>
      <c r="CC113" s="373" t="e">
        <f t="shared" si="71"/>
        <v>#DIV/0!</v>
      </c>
      <c r="CD113" s="373" t="e">
        <f t="shared" si="71"/>
        <v>#DIV/0!</v>
      </c>
      <c r="CE113" s="373" t="e">
        <f t="shared" si="71"/>
        <v>#DIV/0!</v>
      </c>
      <c r="CF113" s="373" t="e">
        <f t="shared" si="71"/>
        <v>#DIV/0!</v>
      </c>
    </row>
    <row r="114" spans="3:84">
      <c r="D114" s="364" t="s">
        <v>91</v>
      </c>
      <c r="E114" s="373" t="e">
        <f t="shared" si="70"/>
        <v>#DIV/0!</v>
      </c>
      <c r="F114" s="373" t="e">
        <f t="shared" si="70"/>
        <v>#DIV/0!</v>
      </c>
      <c r="G114" s="373" t="e">
        <f t="shared" si="70"/>
        <v>#DIV/0!</v>
      </c>
      <c r="H114" s="373" t="e">
        <f t="shared" si="70"/>
        <v>#DIV/0!</v>
      </c>
      <c r="I114" s="373" t="e">
        <f t="shared" si="70"/>
        <v>#DIV/0!</v>
      </c>
      <c r="J114" s="373" t="e">
        <f t="shared" si="70"/>
        <v>#DIV/0!</v>
      </c>
      <c r="K114" s="373" t="e">
        <f t="shared" si="70"/>
        <v>#DIV/0!</v>
      </c>
      <c r="L114" s="373" t="e">
        <f t="shared" si="70"/>
        <v>#DIV/0!</v>
      </c>
      <c r="M114" s="373" t="e">
        <f t="shared" si="70"/>
        <v>#DIV/0!</v>
      </c>
      <c r="N114" s="373" t="e">
        <f t="shared" si="70"/>
        <v>#DIV/0!</v>
      </c>
      <c r="O114" s="373" t="e">
        <f t="shared" si="70"/>
        <v>#DIV/0!</v>
      </c>
      <c r="P114" s="373" t="e">
        <f t="shared" si="70"/>
        <v>#DIV/0!</v>
      </c>
      <c r="Q114" s="373" t="e">
        <f t="shared" si="70"/>
        <v>#DIV/0!</v>
      </c>
      <c r="R114" s="373" t="e">
        <f t="shared" si="70"/>
        <v>#DIV/0!</v>
      </c>
      <c r="S114" s="373" t="e">
        <f t="shared" si="70"/>
        <v>#DIV/0!</v>
      </c>
      <c r="T114" s="373" t="e">
        <f t="shared" si="70"/>
        <v>#DIV/0!</v>
      </c>
      <c r="U114" s="373" t="e">
        <f t="shared" si="70"/>
        <v>#DIV/0!</v>
      </c>
      <c r="V114" s="373" t="e">
        <f t="shared" si="70"/>
        <v>#DIV/0!</v>
      </c>
      <c r="W114" s="373" t="e">
        <f t="shared" si="70"/>
        <v>#DIV/0!</v>
      </c>
      <c r="X114" s="373" t="e">
        <f t="shared" si="70"/>
        <v>#DIV/0!</v>
      </c>
      <c r="Y114" s="373" t="e">
        <f t="shared" si="70"/>
        <v>#DIV/0!</v>
      </c>
      <c r="Z114" s="373" t="e">
        <f t="shared" si="70"/>
        <v>#DIV/0!</v>
      </c>
      <c r="AA114" s="373" t="e">
        <f t="shared" si="70"/>
        <v>#DIV/0!</v>
      </c>
      <c r="AB114" s="373" t="e">
        <f t="shared" si="70"/>
        <v>#DIV/0!</v>
      </c>
      <c r="AC114" s="373" t="e">
        <f t="shared" si="70"/>
        <v>#DIV/0!</v>
      </c>
      <c r="AD114" s="373" t="e">
        <f t="shared" si="70"/>
        <v>#DIV/0!</v>
      </c>
      <c r="AE114" s="373" t="e">
        <f t="shared" si="70"/>
        <v>#DIV/0!</v>
      </c>
      <c r="AF114" s="373" t="e">
        <f t="shared" si="70"/>
        <v>#DIV/0!</v>
      </c>
      <c r="AG114" s="373" t="e">
        <f t="shared" si="70"/>
        <v>#DIV/0!</v>
      </c>
      <c r="AH114" s="373" t="e">
        <f t="shared" si="70"/>
        <v>#DIV/0!</v>
      </c>
      <c r="AI114" s="373" t="e">
        <f t="shared" si="70"/>
        <v>#DIV/0!</v>
      </c>
      <c r="AJ114" s="373" t="e">
        <f t="shared" si="70"/>
        <v>#DIV/0!</v>
      </c>
      <c r="AK114" s="373" t="e">
        <f t="shared" si="70"/>
        <v>#DIV/0!</v>
      </c>
      <c r="AL114" s="373" t="e">
        <f t="shared" si="70"/>
        <v>#DIV/0!</v>
      </c>
      <c r="AM114" s="373" t="e">
        <f t="shared" si="70"/>
        <v>#DIV/0!</v>
      </c>
      <c r="AN114" s="373" t="e">
        <f t="shared" si="70"/>
        <v>#DIV/0!</v>
      </c>
      <c r="AO114" s="373" t="e">
        <f t="shared" si="70"/>
        <v>#DIV/0!</v>
      </c>
      <c r="AP114" s="373" t="e">
        <f t="shared" si="70"/>
        <v>#DIV/0!</v>
      </c>
      <c r="AQ114" s="373" t="e">
        <f t="shared" si="70"/>
        <v>#DIV/0!</v>
      </c>
      <c r="AR114" s="373" t="e">
        <f t="shared" si="70"/>
        <v>#DIV/0!</v>
      </c>
      <c r="AS114" s="373" t="e">
        <f t="shared" si="70"/>
        <v>#DIV/0!</v>
      </c>
      <c r="AT114" s="373" t="e">
        <f t="shared" si="70"/>
        <v>#DIV/0!</v>
      </c>
      <c r="AU114" s="373" t="e">
        <f t="shared" si="70"/>
        <v>#DIV/0!</v>
      </c>
      <c r="AV114" s="373" t="e">
        <f t="shared" si="70"/>
        <v>#DIV/0!</v>
      </c>
      <c r="AW114" s="373" t="e">
        <f t="shared" si="70"/>
        <v>#DIV/0!</v>
      </c>
      <c r="AX114" s="373" t="e">
        <f t="shared" si="70"/>
        <v>#DIV/0!</v>
      </c>
      <c r="AY114" s="373" t="e">
        <f t="shared" si="70"/>
        <v>#DIV/0!</v>
      </c>
      <c r="AZ114" s="373" t="e">
        <f t="shared" si="70"/>
        <v>#DIV/0!</v>
      </c>
      <c r="BA114" s="373" t="e">
        <f t="shared" si="70"/>
        <v>#DIV/0!</v>
      </c>
      <c r="BB114" s="373" t="e">
        <f t="shared" si="70"/>
        <v>#DIV/0!</v>
      </c>
      <c r="BC114" s="373" t="e">
        <f t="shared" si="70"/>
        <v>#DIV/0!</v>
      </c>
      <c r="BD114" s="373" t="e">
        <f t="shared" si="70"/>
        <v>#DIV/0!</v>
      </c>
      <c r="BE114" s="373" t="e">
        <f t="shared" si="70"/>
        <v>#DIV/0!</v>
      </c>
      <c r="BF114" s="373" t="e">
        <f t="shared" si="70"/>
        <v>#DIV/0!</v>
      </c>
      <c r="BG114" s="373" t="e">
        <f t="shared" si="70"/>
        <v>#DIV/0!</v>
      </c>
      <c r="BH114" s="373" t="e">
        <f t="shared" si="70"/>
        <v>#DIV/0!</v>
      </c>
      <c r="BI114" s="373" t="e">
        <f t="shared" si="70"/>
        <v>#DIV/0!</v>
      </c>
      <c r="BJ114" s="373" t="e">
        <f t="shared" si="70"/>
        <v>#DIV/0!</v>
      </c>
      <c r="BK114" s="373" t="e">
        <f t="shared" si="70"/>
        <v>#DIV/0!</v>
      </c>
      <c r="BL114" s="373" t="e">
        <f t="shared" si="70"/>
        <v>#DIV/0!</v>
      </c>
      <c r="BM114" s="373" t="e">
        <f t="shared" si="70"/>
        <v>#DIV/0!</v>
      </c>
      <c r="BN114" s="373" t="e">
        <f t="shared" si="70"/>
        <v>#DIV/0!</v>
      </c>
      <c r="BO114" s="373" t="e">
        <f t="shared" si="70"/>
        <v>#DIV/0!</v>
      </c>
      <c r="BP114" s="373" t="e">
        <f t="shared" si="70"/>
        <v>#DIV/0!</v>
      </c>
      <c r="BQ114" s="373" t="e">
        <f t="shared" si="71"/>
        <v>#DIV/0!</v>
      </c>
      <c r="BR114" s="373" t="e">
        <f t="shared" si="71"/>
        <v>#DIV/0!</v>
      </c>
      <c r="BS114" s="373" t="e">
        <f t="shared" si="71"/>
        <v>#DIV/0!</v>
      </c>
      <c r="BT114" s="373" t="e">
        <f t="shared" si="71"/>
        <v>#DIV/0!</v>
      </c>
      <c r="BU114" s="373" t="e">
        <f t="shared" si="71"/>
        <v>#DIV/0!</v>
      </c>
      <c r="BV114" s="373" t="e">
        <f t="shared" si="71"/>
        <v>#DIV/0!</v>
      </c>
      <c r="BW114" s="373" t="e">
        <f t="shared" si="71"/>
        <v>#DIV/0!</v>
      </c>
      <c r="BX114" s="373" t="e">
        <f t="shared" si="71"/>
        <v>#DIV/0!</v>
      </c>
      <c r="BY114" s="373" t="e">
        <f t="shared" si="71"/>
        <v>#DIV/0!</v>
      </c>
      <c r="BZ114" s="373" t="e">
        <f t="shared" si="71"/>
        <v>#DIV/0!</v>
      </c>
      <c r="CA114" s="373" t="e">
        <f t="shared" si="71"/>
        <v>#DIV/0!</v>
      </c>
      <c r="CB114" s="373" t="e">
        <f t="shared" si="71"/>
        <v>#DIV/0!</v>
      </c>
      <c r="CC114" s="373" t="e">
        <f t="shared" si="71"/>
        <v>#DIV/0!</v>
      </c>
      <c r="CD114" s="373" t="e">
        <f t="shared" si="71"/>
        <v>#DIV/0!</v>
      </c>
      <c r="CE114" s="373" t="e">
        <f t="shared" si="71"/>
        <v>#DIV/0!</v>
      </c>
      <c r="CF114" s="373" t="e">
        <f t="shared" si="71"/>
        <v>#DIV/0!</v>
      </c>
    </row>
    <row r="115" spans="3:84">
      <c r="D115" s="364" t="s">
        <v>93</v>
      </c>
      <c r="E115" s="373" t="e">
        <f t="shared" si="70"/>
        <v>#DIV/0!</v>
      </c>
      <c r="F115" s="373" t="e">
        <f t="shared" si="70"/>
        <v>#DIV/0!</v>
      </c>
      <c r="G115" s="373" t="e">
        <f t="shared" si="70"/>
        <v>#DIV/0!</v>
      </c>
      <c r="H115" s="373" t="e">
        <f t="shared" si="70"/>
        <v>#DIV/0!</v>
      </c>
      <c r="I115" s="373" t="e">
        <f t="shared" si="70"/>
        <v>#DIV/0!</v>
      </c>
      <c r="J115" s="373" t="e">
        <f t="shared" si="70"/>
        <v>#DIV/0!</v>
      </c>
      <c r="K115" s="373" t="e">
        <f t="shared" si="70"/>
        <v>#DIV/0!</v>
      </c>
      <c r="L115" s="373" t="e">
        <f t="shared" si="70"/>
        <v>#DIV/0!</v>
      </c>
      <c r="M115" s="373" t="e">
        <f t="shared" si="70"/>
        <v>#DIV/0!</v>
      </c>
      <c r="N115" s="373" t="e">
        <f t="shared" si="70"/>
        <v>#DIV/0!</v>
      </c>
      <c r="O115" s="373" t="e">
        <f t="shared" si="70"/>
        <v>#DIV/0!</v>
      </c>
      <c r="P115" s="373" t="e">
        <f t="shared" si="70"/>
        <v>#DIV/0!</v>
      </c>
      <c r="Q115" s="373" t="e">
        <f t="shared" si="70"/>
        <v>#DIV/0!</v>
      </c>
      <c r="R115" s="373" t="e">
        <f t="shared" si="70"/>
        <v>#DIV/0!</v>
      </c>
      <c r="S115" s="373" t="e">
        <f t="shared" si="70"/>
        <v>#DIV/0!</v>
      </c>
      <c r="T115" s="373" t="e">
        <f t="shared" si="70"/>
        <v>#DIV/0!</v>
      </c>
      <c r="U115" s="373" t="e">
        <f t="shared" si="70"/>
        <v>#DIV/0!</v>
      </c>
      <c r="V115" s="373" t="e">
        <f t="shared" si="70"/>
        <v>#DIV/0!</v>
      </c>
      <c r="W115" s="373" t="e">
        <f t="shared" si="70"/>
        <v>#DIV/0!</v>
      </c>
      <c r="X115" s="373" t="e">
        <f t="shared" si="70"/>
        <v>#DIV/0!</v>
      </c>
      <c r="Y115" s="373" t="e">
        <f t="shared" si="70"/>
        <v>#DIV/0!</v>
      </c>
      <c r="Z115" s="373" t="e">
        <f t="shared" si="70"/>
        <v>#DIV/0!</v>
      </c>
      <c r="AA115" s="373" t="e">
        <f t="shared" si="70"/>
        <v>#DIV/0!</v>
      </c>
      <c r="AB115" s="373" t="e">
        <f t="shared" si="70"/>
        <v>#DIV/0!</v>
      </c>
      <c r="AC115" s="373" t="e">
        <f t="shared" si="70"/>
        <v>#DIV/0!</v>
      </c>
      <c r="AD115" s="373" t="e">
        <f t="shared" si="70"/>
        <v>#DIV/0!</v>
      </c>
      <c r="AE115" s="373" t="e">
        <f t="shared" si="70"/>
        <v>#DIV/0!</v>
      </c>
      <c r="AF115" s="373" t="e">
        <f t="shared" si="70"/>
        <v>#DIV/0!</v>
      </c>
      <c r="AG115" s="373" t="e">
        <f t="shared" si="70"/>
        <v>#DIV/0!</v>
      </c>
      <c r="AH115" s="373" t="e">
        <f t="shared" si="70"/>
        <v>#DIV/0!</v>
      </c>
      <c r="AI115" s="373" t="e">
        <f t="shared" si="70"/>
        <v>#DIV/0!</v>
      </c>
      <c r="AJ115" s="373" t="e">
        <f t="shared" si="70"/>
        <v>#DIV/0!</v>
      </c>
      <c r="AK115" s="373" t="e">
        <f t="shared" si="70"/>
        <v>#DIV/0!</v>
      </c>
      <c r="AL115" s="373" t="e">
        <f t="shared" si="70"/>
        <v>#DIV/0!</v>
      </c>
      <c r="AM115" s="373" t="e">
        <f t="shared" si="70"/>
        <v>#DIV/0!</v>
      </c>
      <c r="AN115" s="373" t="e">
        <f t="shared" si="70"/>
        <v>#DIV/0!</v>
      </c>
      <c r="AO115" s="373" t="e">
        <f t="shared" si="70"/>
        <v>#DIV/0!</v>
      </c>
      <c r="AP115" s="373" t="e">
        <f t="shared" si="70"/>
        <v>#DIV/0!</v>
      </c>
      <c r="AQ115" s="373" t="e">
        <f t="shared" si="70"/>
        <v>#DIV/0!</v>
      </c>
      <c r="AR115" s="373" t="e">
        <f t="shared" si="70"/>
        <v>#DIV/0!</v>
      </c>
      <c r="AS115" s="373" t="e">
        <f t="shared" si="70"/>
        <v>#DIV/0!</v>
      </c>
      <c r="AT115" s="373" t="e">
        <f t="shared" si="70"/>
        <v>#DIV/0!</v>
      </c>
      <c r="AU115" s="373" t="e">
        <f t="shared" si="70"/>
        <v>#DIV/0!</v>
      </c>
      <c r="AV115" s="373" t="e">
        <f t="shared" si="70"/>
        <v>#DIV/0!</v>
      </c>
      <c r="AW115" s="373" t="e">
        <f t="shared" si="70"/>
        <v>#DIV/0!</v>
      </c>
      <c r="AX115" s="373" t="e">
        <f t="shared" si="70"/>
        <v>#DIV/0!</v>
      </c>
      <c r="AY115" s="373" t="e">
        <f t="shared" si="70"/>
        <v>#DIV/0!</v>
      </c>
      <c r="AZ115" s="373" t="e">
        <f t="shared" si="70"/>
        <v>#DIV/0!</v>
      </c>
      <c r="BA115" s="373" t="e">
        <f t="shared" si="70"/>
        <v>#DIV/0!</v>
      </c>
      <c r="BB115" s="373" t="e">
        <f t="shared" si="70"/>
        <v>#DIV/0!</v>
      </c>
      <c r="BC115" s="373" t="e">
        <f t="shared" si="70"/>
        <v>#DIV/0!</v>
      </c>
      <c r="BD115" s="373" t="e">
        <f t="shared" si="70"/>
        <v>#DIV/0!</v>
      </c>
      <c r="BE115" s="373" t="e">
        <f t="shared" si="70"/>
        <v>#DIV/0!</v>
      </c>
      <c r="BF115" s="373" t="e">
        <f t="shared" si="70"/>
        <v>#DIV/0!</v>
      </c>
      <c r="BG115" s="373" t="e">
        <f t="shared" si="70"/>
        <v>#DIV/0!</v>
      </c>
      <c r="BH115" s="373" t="e">
        <f t="shared" si="70"/>
        <v>#DIV/0!</v>
      </c>
      <c r="BI115" s="373" t="e">
        <f t="shared" si="70"/>
        <v>#DIV/0!</v>
      </c>
      <c r="BJ115" s="373" t="e">
        <f t="shared" si="70"/>
        <v>#DIV/0!</v>
      </c>
      <c r="BK115" s="373" t="e">
        <f t="shared" si="70"/>
        <v>#DIV/0!</v>
      </c>
      <c r="BL115" s="373" t="e">
        <f t="shared" si="70"/>
        <v>#DIV/0!</v>
      </c>
      <c r="BM115" s="373" t="e">
        <f t="shared" si="70"/>
        <v>#DIV/0!</v>
      </c>
      <c r="BN115" s="373" t="e">
        <f t="shared" si="70"/>
        <v>#DIV/0!</v>
      </c>
      <c r="BO115" s="373" t="e">
        <f t="shared" si="70"/>
        <v>#DIV/0!</v>
      </c>
      <c r="BP115" s="373" t="e">
        <f>VLOOKUP(BP$111,Carbon,4)*BP108</f>
        <v>#DIV/0!</v>
      </c>
      <c r="BQ115" s="373" t="e">
        <f t="shared" si="71"/>
        <v>#DIV/0!</v>
      </c>
      <c r="BR115" s="373" t="e">
        <f t="shared" si="71"/>
        <v>#DIV/0!</v>
      </c>
      <c r="BS115" s="373" t="e">
        <f t="shared" si="71"/>
        <v>#DIV/0!</v>
      </c>
      <c r="BT115" s="373" t="e">
        <f t="shared" si="71"/>
        <v>#DIV/0!</v>
      </c>
      <c r="BU115" s="373" t="e">
        <f t="shared" si="71"/>
        <v>#DIV/0!</v>
      </c>
      <c r="BV115" s="373" t="e">
        <f t="shared" si="71"/>
        <v>#DIV/0!</v>
      </c>
      <c r="BW115" s="373" t="e">
        <f t="shared" si="71"/>
        <v>#DIV/0!</v>
      </c>
      <c r="BX115" s="373" t="e">
        <f t="shared" si="71"/>
        <v>#DIV/0!</v>
      </c>
      <c r="BY115" s="373" t="e">
        <f t="shared" si="71"/>
        <v>#DIV/0!</v>
      </c>
      <c r="BZ115" s="373" t="e">
        <f t="shared" si="71"/>
        <v>#DIV/0!</v>
      </c>
      <c r="CA115" s="373" t="e">
        <f t="shared" si="71"/>
        <v>#DIV/0!</v>
      </c>
      <c r="CB115" s="373" t="e">
        <f t="shared" si="71"/>
        <v>#DIV/0!</v>
      </c>
      <c r="CC115" s="373" t="e">
        <f t="shared" si="71"/>
        <v>#DIV/0!</v>
      </c>
      <c r="CD115" s="373" t="e">
        <f t="shared" si="71"/>
        <v>#DIV/0!</v>
      </c>
      <c r="CE115" s="373" t="e">
        <f t="shared" si="71"/>
        <v>#DIV/0!</v>
      </c>
      <c r="CF115" s="373" t="e">
        <f t="shared" si="71"/>
        <v>#DIV/0!</v>
      </c>
    </row>
    <row r="116" spans="3:84">
      <c r="D116" s="365"/>
    </row>
    <row r="117" spans="3:84">
      <c r="C117" s="360" t="s">
        <v>285</v>
      </c>
      <c r="D117" s="365"/>
    </row>
    <row r="118" spans="3:84">
      <c r="D118" s="372"/>
      <c r="E118" s="372">
        <v>2010</v>
      </c>
      <c r="F118" s="372">
        <v>2011</v>
      </c>
      <c r="G118" s="372">
        <v>2012</v>
      </c>
      <c r="H118" s="372">
        <v>2013</v>
      </c>
      <c r="I118" s="372">
        <v>2014</v>
      </c>
      <c r="J118" s="372">
        <v>2015</v>
      </c>
      <c r="K118" s="372">
        <v>2016</v>
      </c>
      <c r="L118" s="372">
        <v>2017</v>
      </c>
      <c r="M118" s="372">
        <v>2018</v>
      </c>
      <c r="N118" s="372">
        <v>2019</v>
      </c>
      <c r="O118" s="372">
        <v>2020</v>
      </c>
      <c r="P118" s="372">
        <v>2021</v>
      </c>
      <c r="Q118" s="372">
        <v>2022</v>
      </c>
      <c r="R118" s="372">
        <v>2023</v>
      </c>
      <c r="S118" s="372">
        <v>2024</v>
      </c>
      <c r="T118" s="372">
        <v>2025</v>
      </c>
      <c r="U118" s="372">
        <v>2026</v>
      </c>
      <c r="V118" s="372">
        <v>2027</v>
      </c>
      <c r="W118" s="372">
        <v>2028</v>
      </c>
      <c r="X118" s="372">
        <v>2029</v>
      </c>
      <c r="Y118" s="372">
        <v>2030</v>
      </c>
      <c r="Z118" s="372">
        <v>2031</v>
      </c>
      <c r="AA118" s="372">
        <v>2032</v>
      </c>
      <c r="AB118" s="372">
        <v>2033</v>
      </c>
      <c r="AC118" s="372">
        <v>2034</v>
      </c>
      <c r="AD118" s="372">
        <v>2035</v>
      </c>
      <c r="AE118" s="372">
        <v>2036</v>
      </c>
      <c r="AF118" s="372">
        <v>2037</v>
      </c>
      <c r="AG118" s="372">
        <v>2038</v>
      </c>
      <c r="AH118" s="372">
        <v>2039</v>
      </c>
      <c r="AI118" s="372">
        <v>2040</v>
      </c>
      <c r="AJ118" s="372">
        <v>2041</v>
      </c>
      <c r="AK118" s="372">
        <v>2042</v>
      </c>
      <c r="AL118" s="372">
        <v>2043</v>
      </c>
      <c r="AM118" s="372">
        <v>2044</v>
      </c>
      <c r="AN118" s="372">
        <v>2045</v>
      </c>
      <c r="AO118" s="372">
        <v>2046</v>
      </c>
      <c r="AP118" s="372">
        <v>2047</v>
      </c>
      <c r="AQ118" s="372">
        <v>2048</v>
      </c>
      <c r="AR118" s="372">
        <v>2049</v>
      </c>
      <c r="AS118" s="372">
        <v>2050</v>
      </c>
      <c r="AT118" s="372">
        <v>2051</v>
      </c>
      <c r="AU118" s="372">
        <v>2052</v>
      </c>
      <c r="AV118" s="372">
        <v>2053</v>
      </c>
      <c r="AW118" s="372">
        <v>2054</v>
      </c>
      <c r="AX118" s="372">
        <v>2055</v>
      </c>
      <c r="AY118" s="372">
        <v>2056</v>
      </c>
      <c r="AZ118" s="372">
        <v>2057</v>
      </c>
      <c r="BA118" s="372">
        <v>2058</v>
      </c>
      <c r="BB118" s="372">
        <v>2059</v>
      </c>
      <c r="BC118" s="372">
        <v>2060</v>
      </c>
      <c r="BD118" s="372">
        <v>2061</v>
      </c>
      <c r="BE118" s="372">
        <v>2062</v>
      </c>
      <c r="BF118" s="372">
        <v>2063</v>
      </c>
      <c r="BG118" s="372">
        <v>2064</v>
      </c>
      <c r="BH118" s="372">
        <v>2065</v>
      </c>
      <c r="BI118" s="372">
        <v>2066</v>
      </c>
      <c r="BJ118" s="372">
        <v>2067</v>
      </c>
      <c r="BK118" s="372">
        <v>2068</v>
      </c>
      <c r="BL118" s="372">
        <v>2069</v>
      </c>
      <c r="BM118" s="372">
        <v>2070</v>
      </c>
      <c r="BN118" s="372">
        <v>2071</v>
      </c>
      <c r="BO118" s="372">
        <v>2072</v>
      </c>
      <c r="BP118" s="372">
        <v>2073</v>
      </c>
      <c r="BQ118" s="372">
        <v>2074</v>
      </c>
      <c r="BR118" s="372">
        <v>2075</v>
      </c>
      <c r="BS118" s="372">
        <v>2076</v>
      </c>
      <c r="BT118" s="372">
        <v>2077</v>
      </c>
      <c r="BU118" s="372">
        <v>2078</v>
      </c>
      <c r="BV118" s="372">
        <v>2079</v>
      </c>
      <c r="BW118" s="372">
        <v>2080</v>
      </c>
      <c r="BX118" s="372">
        <v>2081</v>
      </c>
      <c r="BY118" s="372">
        <v>2082</v>
      </c>
      <c r="BZ118" s="372">
        <v>2083</v>
      </c>
      <c r="CA118" s="372">
        <v>2084</v>
      </c>
      <c r="CB118" s="372">
        <v>2085</v>
      </c>
      <c r="CC118" s="372">
        <v>2086</v>
      </c>
      <c r="CD118" s="372">
        <v>2087</v>
      </c>
      <c r="CE118" s="372">
        <v>2088</v>
      </c>
      <c r="CF118" s="372">
        <v>2089</v>
      </c>
    </row>
    <row r="119" spans="3:84">
      <c r="D119" s="364" t="s">
        <v>87</v>
      </c>
      <c r="E119" s="373" t="e">
        <f t="shared" ref="E119:BP119" si="72">((((VLOOKUP(E118,GG_fuel,3,FALSE))+(VLOOKUP(E118,GG_fuel,4,0))*$E$5+(VLOOKUP(E118,GG_fuel,5,0))*$E$5^2+(VLOOKUP(E118,GG_fuel,6,0))*$E$5^3)/$E$5))</f>
        <v>#DIV/0!</v>
      </c>
      <c r="F119" s="373" t="e">
        <f t="shared" si="72"/>
        <v>#DIV/0!</v>
      </c>
      <c r="G119" s="373" t="e">
        <f t="shared" si="72"/>
        <v>#DIV/0!</v>
      </c>
      <c r="H119" s="373" t="e">
        <f t="shared" si="72"/>
        <v>#DIV/0!</v>
      </c>
      <c r="I119" s="373" t="e">
        <f t="shared" si="72"/>
        <v>#DIV/0!</v>
      </c>
      <c r="J119" s="373" t="e">
        <f t="shared" si="72"/>
        <v>#DIV/0!</v>
      </c>
      <c r="K119" s="373" t="e">
        <f t="shared" si="72"/>
        <v>#DIV/0!</v>
      </c>
      <c r="L119" s="373" t="e">
        <f t="shared" si="72"/>
        <v>#DIV/0!</v>
      </c>
      <c r="M119" s="373" t="e">
        <f t="shared" si="72"/>
        <v>#DIV/0!</v>
      </c>
      <c r="N119" s="373" t="e">
        <f t="shared" si="72"/>
        <v>#DIV/0!</v>
      </c>
      <c r="O119" s="373" t="e">
        <f t="shared" si="72"/>
        <v>#DIV/0!</v>
      </c>
      <c r="P119" s="373" t="e">
        <f t="shared" si="72"/>
        <v>#DIV/0!</v>
      </c>
      <c r="Q119" s="373" t="e">
        <f t="shared" si="72"/>
        <v>#DIV/0!</v>
      </c>
      <c r="R119" s="373" t="e">
        <f t="shared" si="72"/>
        <v>#DIV/0!</v>
      </c>
      <c r="S119" s="373" t="e">
        <f t="shared" si="72"/>
        <v>#DIV/0!</v>
      </c>
      <c r="T119" s="373" t="e">
        <f t="shared" si="72"/>
        <v>#DIV/0!</v>
      </c>
      <c r="U119" s="373" t="e">
        <f t="shared" si="72"/>
        <v>#DIV/0!</v>
      </c>
      <c r="V119" s="373" t="e">
        <f t="shared" si="72"/>
        <v>#DIV/0!</v>
      </c>
      <c r="W119" s="373" t="e">
        <f t="shared" si="72"/>
        <v>#DIV/0!</v>
      </c>
      <c r="X119" s="373" t="e">
        <f t="shared" si="72"/>
        <v>#DIV/0!</v>
      </c>
      <c r="Y119" s="373" t="e">
        <f t="shared" si="72"/>
        <v>#DIV/0!</v>
      </c>
      <c r="Z119" s="373" t="e">
        <f t="shared" si="72"/>
        <v>#DIV/0!</v>
      </c>
      <c r="AA119" s="373" t="e">
        <f t="shared" si="72"/>
        <v>#DIV/0!</v>
      </c>
      <c r="AB119" s="373" t="e">
        <f t="shared" si="72"/>
        <v>#DIV/0!</v>
      </c>
      <c r="AC119" s="373" t="e">
        <f t="shared" si="72"/>
        <v>#DIV/0!</v>
      </c>
      <c r="AD119" s="373" t="e">
        <f t="shared" si="72"/>
        <v>#DIV/0!</v>
      </c>
      <c r="AE119" s="373" t="e">
        <f t="shared" si="72"/>
        <v>#DIV/0!</v>
      </c>
      <c r="AF119" s="373" t="e">
        <f t="shared" si="72"/>
        <v>#DIV/0!</v>
      </c>
      <c r="AG119" s="373" t="e">
        <f t="shared" si="72"/>
        <v>#DIV/0!</v>
      </c>
      <c r="AH119" s="373" t="e">
        <f t="shared" si="72"/>
        <v>#DIV/0!</v>
      </c>
      <c r="AI119" s="373" t="e">
        <f t="shared" si="72"/>
        <v>#DIV/0!</v>
      </c>
      <c r="AJ119" s="373" t="e">
        <f t="shared" si="72"/>
        <v>#DIV/0!</v>
      </c>
      <c r="AK119" s="373" t="e">
        <f t="shared" si="72"/>
        <v>#DIV/0!</v>
      </c>
      <c r="AL119" s="373" t="e">
        <f t="shared" si="72"/>
        <v>#DIV/0!</v>
      </c>
      <c r="AM119" s="373" t="e">
        <f t="shared" si="72"/>
        <v>#DIV/0!</v>
      </c>
      <c r="AN119" s="373" t="e">
        <f t="shared" si="72"/>
        <v>#DIV/0!</v>
      </c>
      <c r="AO119" s="373" t="e">
        <f t="shared" si="72"/>
        <v>#DIV/0!</v>
      </c>
      <c r="AP119" s="373" t="e">
        <f t="shared" si="72"/>
        <v>#DIV/0!</v>
      </c>
      <c r="AQ119" s="373" t="e">
        <f t="shared" si="72"/>
        <v>#DIV/0!</v>
      </c>
      <c r="AR119" s="373" t="e">
        <f t="shared" si="72"/>
        <v>#DIV/0!</v>
      </c>
      <c r="AS119" s="373" t="e">
        <f t="shared" si="72"/>
        <v>#DIV/0!</v>
      </c>
      <c r="AT119" s="373" t="e">
        <f t="shared" si="72"/>
        <v>#DIV/0!</v>
      </c>
      <c r="AU119" s="373" t="e">
        <f t="shared" si="72"/>
        <v>#DIV/0!</v>
      </c>
      <c r="AV119" s="373" t="e">
        <f t="shared" si="72"/>
        <v>#DIV/0!</v>
      </c>
      <c r="AW119" s="373" t="e">
        <f t="shared" si="72"/>
        <v>#DIV/0!</v>
      </c>
      <c r="AX119" s="373" t="e">
        <f t="shared" si="72"/>
        <v>#DIV/0!</v>
      </c>
      <c r="AY119" s="373" t="e">
        <f t="shared" si="72"/>
        <v>#DIV/0!</v>
      </c>
      <c r="AZ119" s="373" t="e">
        <f t="shared" si="72"/>
        <v>#DIV/0!</v>
      </c>
      <c r="BA119" s="373" t="e">
        <f t="shared" si="72"/>
        <v>#DIV/0!</v>
      </c>
      <c r="BB119" s="373" t="e">
        <f t="shared" si="72"/>
        <v>#DIV/0!</v>
      </c>
      <c r="BC119" s="373" t="e">
        <f t="shared" si="72"/>
        <v>#DIV/0!</v>
      </c>
      <c r="BD119" s="373" t="e">
        <f t="shared" si="72"/>
        <v>#DIV/0!</v>
      </c>
      <c r="BE119" s="373" t="e">
        <f t="shared" si="72"/>
        <v>#DIV/0!</v>
      </c>
      <c r="BF119" s="373" t="e">
        <f t="shared" si="72"/>
        <v>#DIV/0!</v>
      </c>
      <c r="BG119" s="373" t="e">
        <f t="shared" si="72"/>
        <v>#DIV/0!</v>
      </c>
      <c r="BH119" s="373" t="e">
        <f t="shared" si="72"/>
        <v>#DIV/0!</v>
      </c>
      <c r="BI119" s="373" t="e">
        <f t="shared" si="72"/>
        <v>#DIV/0!</v>
      </c>
      <c r="BJ119" s="373" t="e">
        <f t="shared" si="72"/>
        <v>#DIV/0!</v>
      </c>
      <c r="BK119" s="373" t="e">
        <f t="shared" si="72"/>
        <v>#DIV/0!</v>
      </c>
      <c r="BL119" s="373" t="e">
        <f t="shared" si="72"/>
        <v>#DIV/0!</v>
      </c>
      <c r="BM119" s="373" t="e">
        <f t="shared" si="72"/>
        <v>#DIV/0!</v>
      </c>
      <c r="BN119" s="373" t="e">
        <f t="shared" si="72"/>
        <v>#DIV/0!</v>
      </c>
      <c r="BO119" s="373" t="e">
        <f t="shared" si="72"/>
        <v>#DIV/0!</v>
      </c>
      <c r="BP119" s="373" t="e">
        <f t="shared" si="72"/>
        <v>#DIV/0!</v>
      </c>
      <c r="BQ119" s="373" t="e">
        <f t="shared" ref="BQ119:CF119" si="73">((((VLOOKUP(BQ118,GG_fuel,3,FALSE))+(VLOOKUP(BQ118,GG_fuel,4,0))*$E$5+(VLOOKUP(BQ118,GG_fuel,5,0))*$E$5^2+(VLOOKUP(BQ118,GG_fuel,6,0))*$E$5^3)/$E$5))</f>
        <v>#DIV/0!</v>
      </c>
      <c r="BR119" s="373" t="e">
        <f t="shared" si="73"/>
        <v>#DIV/0!</v>
      </c>
      <c r="BS119" s="373" t="e">
        <f t="shared" si="73"/>
        <v>#DIV/0!</v>
      </c>
      <c r="BT119" s="373" t="e">
        <f t="shared" si="73"/>
        <v>#DIV/0!</v>
      </c>
      <c r="BU119" s="373" t="e">
        <f t="shared" si="73"/>
        <v>#DIV/0!</v>
      </c>
      <c r="BV119" s="373" t="e">
        <f t="shared" si="73"/>
        <v>#DIV/0!</v>
      </c>
      <c r="BW119" s="373" t="e">
        <f t="shared" si="73"/>
        <v>#DIV/0!</v>
      </c>
      <c r="BX119" s="373" t="e">
        <f t="shared" si="73"/>
        <v>#DIV/0!</v>
      </c>
      <c r="BY119" s="373" t="e">
        <f t="shared" si="73"/>
        <v>#DIV/0!</v>
      </c>
      <c r="BZ119" s="373" t="e">
        <f t="shared" si="73"/>
        <v>#DIV/0!</v>
      </c>
      <c r="CA119" s="373" t="e">
        <f t="shared" si="73"/>
        <v>#DIV/0!</v>
      </c>
      <c r="CB119" s="373" t="e">
        <f t="shared" si="73"/>
        <v>#DIV/0!</v>
      </c>
      <c r="CC119" s="373" t="e">
        <f t="shared" si="73"/>
        <v>#DIV/0!</v>
      </c>
      <c r="CD119" s="373" t="e">
        <f t="shared" si="73"/>
        <v>#DIV/0!</v>
      </c>
      <c r="CE119" s="373" t="e">
        <f t="shared" si="73"/>
        <v>#DIV/0!</v>
      </c>
      <c r="CF119" s="373" t="e">
        <f t="shared" si="73"/>
        <v>#DIV/0!</v>
      </c>
    </row>
    <row r="120" spans="3:84">
      <c r="D120" s="364" t="s">
        <v>89</v>
      </c>
      <c r="E120" s="373" t="e">
        <f t="shared" ref="E120:BP120" si="74">((((VLOOKUP(E118,GG_fuel,15,FALSE))+(VLOOKUP(E118,GG_fuel,16,0))*$E$6+(VLOOKUP(E118,GG_fuel,17,0))*$E$6^2+(VLOOKUP(E118,GG_fuel,18,0))*$E$6^3)/$E$6))</f>
        <v>#DIV/0!</v>
      </c>
      <c r="F120" s="373" t="e">
        <f t="shared" si="74"/>
        <v>#DIV/0!</v>
      </c>
      <c r="G120" s="373" t="e">
        <f t="shared" si="74"/>
        <v>#DIV/0!</v>
      </c>
      <c r="H120" s="373" t="e">
        <f t="shared" si="74"/>
        <v>#DIV/0!</v>
      </c>
      <c r="I120" s="373" t="e">
        <f t="shared" si="74"/>
        <v>#DIV/0!</v>
      </c>
      <c r="J120" s="373" t="e">
        <f t="shared" si="74"/>
        <v>#DIV/0!</v>
      </c>
      <c r="K120" s="373" t="e">
        <f t="shared" si="74"/>
        <v>#DIV/0!</v>
      </c>
      <c r="L120" s="373" t="e">
        <f t="shared" si="74"/>
        <v>#DIV/0!</v>
      </c>
      <c r="M120" s="373" t="e">
        <f t="shared" si="74"/>
        <v>#DIV/0!</v>
      </c>
      <c r="N120" s="373" t="e">
        <f t="shared" si="74"/>
        <v>#DIV/0!</v>
      </c>
      <c r="O120" s="373" t="e">
        <f t="shared" si="74"/>
        <v>#DIV/0!</v>
      </c>
      <c r="P120" s="373" t="e">
        <f t="shared" si="74"/>
        <v>#DIV/0!</v>
      </c>
      <c r="Q120" s="373" t="e">
        <f t="shared" si="74"/>
        <v>#DIV/0!</v>
      </c>
      <c r="R120" s="373" t="e">
        <f t="shared" si="74"/>
        <v>#DIV/0!</v>
      </c>
      <c r="S120" s="373" t="e">
        <f t="shared" si="74"/>
        <v>#DIV/0!</v>
      </c>
      <c r="T120" s="373" t="e">
        <f t="shared" si="74"/>
        <v>#DIV/0!</v>
      </c>
      <c r="U120" s="373" t="e">
        <f t="shared" si="74"/>
        <v>#DIV/0!</v>
      </c>
      <c r="V120" s="373" t="e">
        <f t="shared" si="74"/>
        <v>#DIV/0!</v>
      </c>
      <c r="W120" s="373" t="e">
        <f t="shared" si="74"/>
        <v>#DIV/0!</v>
      </c>
      <c r="X120" s="373" t="e">
        <f t="shared" si="74"/>
        <v>#DIV/0!</v>
      </c>
      <c r="Y120" s="373" t="e">
        <f t="shared" si="74"/>
        <v>#DIV/0!</v>
      </c>
      <c r="Z120" s="373" t="e">
        <f t="shared" si="74"/>
        <v>#DIV/0!</v>
      </c>
      <c r="AA120" s="373" t="e">
        <f t="shared" si="74"/>
        <v>#DIV/0!</v>
      </c>
      <c r="AB120" s="373" t="e">
        <f t="shared" si="74"/>
        <v>#DIV/0!</v>
      </c>
      <c r="AC120" s="373" t="e">
        <f t="shared" si="74"/>
        <v>#DIV/0!</v>
      </c>
      <c r="AD120" s="373" t="e">
        <f t="shared" si="74"/>
        <v>#DIV/0!</v>
      </c>
      <c r="AE120" s="373" t="e">
        <f t="shared" si="74"/>
        <v>#DIV/0!</v>
      </c>
      <c r="AF120" s="373" t="e">
        <f t="shared" si="74"/>
        <v>#DIV/0!</v>
      </c>
      <c r="AG120" s="373" t="e">
        <f t="shared" si="74"/>
        <v>#DIV/0!</v>
      </c>
      <c r="AH120" s="373" t="e">
        <f t="shared" si="74"/>
        <v>#DIV/0!</v>
      </c>
      <c r="AI120" s="373" t="e">
        <f t="shared" si="74"/>
        <v>#DIV/0!</v>
      </c>
      <c r="AJ120" s="373" t="e">
        <f t="shared" si="74"/>
        <v>#DIV/0!</v>
      </c>
      <c r="AK120" s="373" t="e">
        <f t="shared" si="74"/>
        <v>#DIV/0!</v>
      </c>
      <c r="AL120" s="373" t="e">
        <f t="shared" si="74"/>
        <v>#DIV/0!</v>
      </c>
      <c r="AM120" s="373" t="e">
        <f t="shared" si="74"/>
        <v>#DIV/0!</v>
      </c>
      <c r="AN120" s="373" t="e">
        <f t="shared" si="74"/>
        <v>#DIV/0!</v>
      </c>
      <c r="AO120" s="373" t="e">
        <f t="shared" si="74"/>
        <v>#DIV/0!</v>
      </c>
      <c r="AP120" s="373" t="e">
        <f t="shared" si="74"/>
        <v>#DIV/0!</v>
      </c>
      <c r="AQ120" s="373" t="e">
        <f t="shared" si="74"/>
        <v>#DIV/0!</v>
      </c>
      <c r="AR120" s="373" t="e">
        <f t="shared" si="74"/>
        <v>#DIV/0!</v>
      </c>
      <c r="AS120" s="373" t="e">
        <f t="shared" si="74"/>
        <v>#DIV/0!</v>
      </c>
      <c r="AT120" s="373" t="e">
        <f t="shared" si="74"/>
        <v>#DIV/0!</v>
      </c>
      <c r="AU120" s="373" t="e">
        <f t="shared" si="74"/>
        <v>#DIV/0!</v>
      </c>
      <c r="AV120" s="373" t="e">
        <f t="shared" si="74"/>
        <v>#DIV/0!</v>
      </c>
      <c r="AW120" s="373" t="e">
        <f t="shared" si="74"/>
        <v>#DIV/0!</v>
      </c>
      <c r="AX120" s="373" t="e">
        <f t="shared" si="74"/>
        <v>#DIV/0!</v>
      </c>
      <c r="AY120" s="373" t="e">
        <f t="shared" si="74"/>
        <v>#DIV/0!</v>
      </c>
      <c r="AZ120" s="373" t="e">
        <f t="shared" si="74"/>
        <v>#DIV/0!</v>
      </c>
      <c r="BA120" s="373" t="e">
        <f t="shared" si="74"/>
        <v>#DIV/0!</v>
      </c>
      <c r="BB120" s="373" t="e">
        <f t="shared" si="74"/>
        <v>#DIV/0!</v>
      </c>
      <c r="BC120" s="373" t="e">
        <f t="shared" si="74"/>
        <v>#DIV/0!</v>
      </c>
      <c r="BD120" s="373" t="e">
        <f t="shared" si="74"/>
        <v>#DIV/0!</v>
      </c>
      <c r="BE120" s="373" t="e">
        <f t="shared" si="74"/>
        <v>#DIV/0!</v>
      </c>
      <c r="BF120" s="373" t="e">
        <f t="shared" si="74"/>
        <v>#DIV/0!</v>
      </c>
      <c r="BG120" s="373" t="e">
        <f t="shared" si="74"/>
        <v>#DIV/0!</v>
      </c>
      <c r="BH120" s="373" t="e">
        <f t="shared" si="74"/>
        <v>#DIV/0!</v>
      </c>
      <c r="BI120" s="373" t="e">
        <f t="shared" si="74"/>
        <v>#DIV/0!</v>
      </c>
      <c r="BJ120" s="373" t="e">
        <f t="shared" si="74"/>
        <v>#DIV/0!</v>
      </c>
      <c r="BK120" s="373" t="e">
        <f t="shared" si="74"/>
        <v>#DIV/0!</v>
      </c>
      <c r="BL120" s="373" t="e">
        <f t="shared" si="74"/>
        <v>#DIV/0!</v>
      </c>
      <c r="BM120" s="373" t="e">
        <f t="shared" si="74"/>
        <v>#DIV/0!</v>
      </c>
      <c r="BN120" s="373" t="e">
        <f t="shared" si="74"/>
        <v>#DIV/0!</v>
      </c>
      <c r="BO120" s="373" t="e">
        <f t="shared" si="74"/>
        <v>#DIV/0!</v>
      </c>
      <c r="BP120" s="373" t="e">
        <f t="shared" si="74"/>
        <v>#DIV/0!</v>
      </c>
      <c r="BQ120" s="373" t="e">
        <f t="shared" ref="BQ120:CF120" si="75">((((VLOOKUP(BQ118,GG_fuel,15,FALSE))+(VLOOKUP(BQ118,GG_fuel,16,0))*$E$6+(VLOOKUP(BQ118,GG_fuel,17,0))*$E$6^2+(VLOOKUP(BQ118,GG_fuel,18,0))*$E$6^3)/$E$6))</f>
        <v>#DIV/0!</v>
      </c>
      <c r="BR120" s="373" t="e">
        <f t="shared" si="75"/>
        <v>#DIV/0!</v>
      </c>
      <c r="BS120" s="373" t="e">
        <f t="shared" si="75"/>
        <v>#DIV/0!</v>
      </c>
      <c r="BT120" s="373" t="e">
        <f t="shared" si="75"/>
        <v>#DIV/0!</v>
      </c>
      <c r="BU120" s="373" t="e">
        <f t="shared" si="75"/>
        <v>#DIV/0!</v>
      </c>
      <c r="BV120" s="373" t="e">
        <f t="shared" si="75"/>
        <v>#DIV/0!</v>
      </c>
      <c r="BW120" s="373" t="e">
        <f t="shared" si="75"/>
        <v>#DIV/0!</v>
      </c>
      <c r="BX120" s="373" t="e">
        <f t="shared" si="75"/>
        <v>#DIV/0!</v>
      </c>
      <c r="BY120" s="373" t="e">
        <f t="shared" si="75"/>
        <v>#DIV/0!</v>
      </c>
      <c r="BZ120" s="373" t="e">
        <f t="shared" si="75"/>
        <v>#DIV/0!</v>
      </c>
      <c r="CA120" s="373" t="e">
        <f t="shared" si="75"/>
        <v>#DIV/0!</v>
      </c>
      <c r="CB120" s="373" t="e">
        <f t="shared" si="75"/>
        <v>#DIV/0!</v>
      </c>
      <c r="CC120" s="373" t="e">
        <f t="shared" si="75"/>
        <v>#DIV/0!</v>
      </c>
      <c r="CD120" s="373" t="e">
        <f t="shared" si="75"/>
        <v>#DIV/0!</v>
      </c>
      <c r="CE120" s="373" t="e">
        <f t="shared" si="75"/>
        <v>#DIV/0!</v>
      </c>
      <c r="CF120" s="373" t="e">
        <f t="shared" si="75"/>
        <v>#DIV/0!</v>
      </c>
    </row>
    <row r="122" spans="3:84">
      <c r="C122" s="360" t="s">
        <v>286</v>
      </c>
    </row>
    <row r="123" spans="3:84">
      <c r="D123" s="372"/>
      <c r="E123" s="372">
        <v>2010</v>
      </c>
      <c r="F123" s="372">
        <v>2011</v>
      </c>
      <c r="G123" s="372">
        <v>2012</v>
      </c>
      <c r="H123" s="372">
        <v>2013</v>
      </c>
      <c r="I123" s="372">
        <v>2014</v>
      </c>
      <c r="J123" s="372">
        <v>2015</v>
      </c>
      <c r="K123" s="372">
        <v>2016</v>
      </c>
      <c r="L123" s="372">
        <v>2017</v>
      </c>
      <c r="M123" s="372">
        <v>2018</v>
      </c>
      <c r="N123" s="372">
        <v>2019</v>
      </c>
      <c r="O123" s="372">
        <v>2020</v>
      </c>
      <c r="P123" s="372">
        <v>2021</v>
      </c>
      <c r="Q123" s="372">
        <v>2022</v>
      </c>
      <c r="R123" s="372">
        <v>2023</v>
      </c>
      <c r="S123" s="372">
        <v>2024</v>
      </c>
      <c r="T123" s="372">
        <v>2025</v>
      </c>
      <c r="U123" s="372">
        <v>2026</v>
      </c>
      <c r="V123" s="372">
        <v>2027</v>
      </c>
      <c r="W123" s="372">
        <v>2028</v>
      </c>
      <c r="X123" s="372">
        <v>2029</v>
      </c>
      <c r="Y123" s="372">
        <v>2030</v>
      </c>
      <c r="Z123" s="372">
        <v>2031</v>
      </c>
      <c r="AA123" s="372">
        <v>2032</v>
      </c>
      <c r="AB123" s="372">
        <v>2033</v>
      </c>
      <c r="AC123" s="372">
        <v>2034</v>
      </c>
      <c r="AD123" s="372">
        <v>2035</v>
      </c>
      <c r="AE123" s="372">
        <v>2036</v>
      </c>
      <c r="AF123" s="372">
        <v>2037</v>
      </c>
      <c r="AG123" s="372">
        <v>2038</v>
      </c>
      <c r="AH123" s="372">
        <v>2039</v>
      </c>
      <c r="AI123" s="372">
        <v>2040</v>
      </c>
      <c r="AJ123" s="372">
        <v>2041</v>
      </c>
      <c r="AK123" s="372">
        <v>2042</v>
      </c>
      <c r="AL123" s="372">
        <v>2043</v>
      </c>
      <c r="AM123" s="372">
        <v>2044</v>
      </c>
      <c r="AN123" s="372">
        <v>2045</v>
      </c>
      <c r="AO123" s="372">
        <v>2046</v>
      </c>
      <c r="AP123" s="372">
        <v>2047</v>
      </c>
      <c r="AQ123" s="372">
        <v>2048</v>
      </c>
      <c r="AR123" s="372">
        <v>2049</v>
      </c>
      <c r="AS123" s="372">
        <v>2050</v>
      </c>
      <c r="AT123" s="372">
        <v>2051</v>
      </c>
      <c r="AU123" s="372">
        <v>2052</v>
      </c>
      <c r="AV123" s="372">
        <v>2053</v>
      </c>
      <c r="AW123" s="372">
        <v>2054</v>
      </c>
      <c r="AX123" s="372">
        <v>2055</v>
      </c>
      <c r="AY123" s="372">
        <v>2056</v>
      </c>
      <c r="AZ123" s="372">
        <v>2057</v>
      </c>
      <c r="BA123" s="372">
        <v>2058</v>
      </c>
      <c r="BB123" s="372">
        <v>2059</v>
      </c>
      <c r="BC123" s="372">
        <v>2060</v>
      </c>
      <c r="BD123" s="372">
        <v>2061</v>
      </c>
      <c r="BE123" s="372">
        <v>2062</v>
      </c>
      <c r="BF123" s="372">
        <v>2063</v>
      </c>
      <c r="BG123" s="372">
        <v>2064</v>
      </c>
      <c r="BH123" s="372">
        <v>2065</v>
      </c>
      <c r="BI123" s="372">
        <v>2066</v>
      </c>
      <c r="BJ123" s="372">
        <v>2067</v>
      </c>
      <c r="BK123" s="372">
        <v>2068</v>
      </c>
      <c r="BL123" s="372">
        <v>2069</v>
      </c>
      <c r="BM123" s="372">
        <v>2070</v>
      </c>
      <c r="BN123" s="372">
        <v>2071</v>
      </c>
      <c r="BO123" s="372">
        <v>2072</v>
      </c>
      <c r="BP123" s="372">
        <v>2073</v>
      </c>
      <c r="BQ123" s="372">
        <v>2074</v>
      </c>
      <c r="BR123" s="372">
        <v>2075</v>
      </c>
      <c r="BS123" s="372">
        <v>2076</v>
      </c>
      <c r="BT123" s="372">
        <v>2077</v>
      </c>
      <c r="BU123" s="372">
        <v>2078</v>
      </c>
      <c r="BV123" s="372">
        <v>2079</v>
      </c>
      <c r="BW123" s="372">
        <v>2080</v>
      </c>
      <c r="BX123" s="372">
        <v>2081</v>
      </c>
      <c r="BY123" s="372">
        <v>2082</v>
      </c>
      <c r="BZ123" s="372">
        <v>2083</v>
      </c>
      <c r="CA123" s="372">
        <v>2084</v>
      </c>
      <c r="CB123" s="372">
        <v>2085</v>
      </c>
      <c r="CC123" s="372">
        <v>2086</v>
      </c>
      <c r="CD123" s="372">
        <v>2087</v>
      </c>
      <c r="CE123" s="372">
        <v>2088</v>
      </c>
      <c r="CF123" s="372">
        <v>2089</v>
      </c>
    </row>
    <row r="124" spans="3:84">
      <c r="C124" s="378"/>
      <c r="D124" s="373" t="s">
        <v>87</v>
      </c>
      <c r="E124" s="373" t="e">
        <f>VLOOKUP(E123,Carbon,3)*E119</f>
        <v>#DIV/0!</v>
      </c>
      <c r="F124" s="373" t="e">
        <f t="shared" ref="F124:BP124" si="76">VLOOKUP(F123,Carbon,3)*F119</f>
        <v>#DIV/0!</v>
      </c>
      <c r="G124" s="373" t="e">
        <f t="shared" si="76"/>
        <v>#DIV/0!</v>
      </c>
      <c r="H124" s="373" t="e">
        <f t="shared" si="76"/>
        <v>#DIV/0!</v>
      </c>
      <c r="I124" s="373" t="e">
        <f t="shared" si="76"/>
        <v>#DIV/0!</v>
      </c>
      <c r="J124" s="373" t="e">
        <f>VLOOKUP(J123,Carbon,3)*J119</f>
        <v>#DIV/0!</v>
      </c>
      <c r="K124" s="373" t="e">
        <f t="shared" si="76"/>
        <v>#DIV/0!</v>
      </c>
      <c r="L124" s="373" t="e">
        <f t="shared" si="76"/>
        <v>#DIV/0!</v>
      </c>
      <c r="M124" s="373" t="e">
        <f t="shared" si="76"/>
        <v>#DIV/0!</v>
      </c>
      <c r="N124" s="373" t="e">
        <f t="shared" si="76"/>
        <v>#DIV/0!</v>
      </c>
      <c r="O124" s="373" t="e">
        <f t="shared" si="76"/>
        <v>#DIV/0!</v>
      </c>
      <c r="P124" s="373" t="e">
        <f t="shared" si="76"/>
        <v>#DIV/0!</v>
      </c>
      <c r="Q124" s="373" t="e">
        <f t="shared" si="76"/>
        <v>#DIV/0!</v>
      </c>
      <c r="R124" s="373" t="e">
        <f t="shared" si="76"/>
        <v>#DIV/0!</v>
      </c>
      <c r="S124" s="373" t="e">
        <f t="shared" si="76"/>
        <v>#DIV/0!</v>
      </c>
      <c r="T124" s="373" t="e">
        <f t="shared" si="76"/>
        <v>#DIV/0!</v>
      </c>
      <c r="U124" s="373" t="e">
        <f t="shared" si="76"/>
        <v>#DIV/0!</v>
      </c>
      <c r="V124" s="373" t="e">
        <f t="shared" si="76"/>
        <v>#DIV/0!</v>
      </c>
      <c r="W124" s="373" t="e">
        <f t="shared" si="76"/>
        <v>#DIV/0!</v>
      </c>
      <c r="X124" s="373" t="e">
        <f t="shared" si="76"/>
        <v>#DIV/0!</v>
      </c>
      <c r="Y124" s="373" t="e">
        <f t="shared" si="76"/>
        <v>#DIV/0!</v>
      </c>
      <c r="Z124" s="373" t="e">
        <f t="shared" si="76"/>
        <v>#DIV/0!</v>
      </c>
      <c r="AA124" s="373" t="e">
        <f t="shared" si="76"/>
        <v>#DIV/0!</v>
      </c>
      <c r="AB124" s="373" t="e">
        <f t="shared" si="76"/>
        <v>#DIV/0!</v>
      </c>
      <c r="AC124" s="373" t="e">
        <f t="shared" si="76"/>
        <v>#DIV/0!</v>
      </c>
      <c r="AD124" s="373" t="e">
        <f t="shared" si="76"/>
        <v>#DIV/0!</v>
      </c>
      <c r="AE124" s="373" t="e">
        <f t="shared" si="76"/>
        <v>#DIV/0!</v>
      </c>
      <c r="AF124" s="373" t="e">
        <f t="shared" si="76"/>
        <v>#DIV/0!</v>
      </c>
      <c r="AG124" s="373" t="e">
        <f t="shared" si="76"/>
        <v>#DIV/0!</v>
      </c>
      <c r="AH124" s="373" t="e">
        <f t="shared" si="76"/>
        <v>#DIV/0!</v>
      </c>
      <c r="AI124" s="373" t="e">
        <f t="shared" si="76"/>
        <v>#DIV/0!</v>
      </c>
      <c r="AJ124" s="373" t="e">
        <f t="shared" si="76"/>
        <v>#DIV/0!</v>
      </c>
      <c r="AK124" s="373" t="e">
        <f t="shared" si="76"/>
        <v>#DIV/0!</v>
      </c>
      <c r="AL124" s="373" t="e">
        <f t="shared" si="76"/>
        <v>#DIV/0!</v>
      </c>
      <c r="AM124" s="373" t="e">
        <f t="shared" si="76"/>
        <v>#DIV/0!</v>
      </c>
      <c r="AN124" s="373" t="e">
        <f t="shared" si="76"/>
        <v>#DIV/0!</v>
      </c>
      <c r="AO124" s="373" t="e">
        <f t="shared" si="76"/>
        <v>#DIV/0!</v>
      </c>
      <c r="AP124" s="373" t="e">
        <f t="shared" si="76"/>
        <v>#DIV/0!</v>
      </c>
      <c r="AQ124" s="373" t="e">
        <f t="shared" si="76"/>
        <v>#DIV/0!</v>
      </c>
      <c r="AR124" s="373" t="e">
        <f t="shared" si="76"/>
        <v>#DIV/0!</v>
      </c>
      <c r="AS124" s="373" t="e">
        <f t="shared" si="76"/>
        <v>#DIV/0!</v>
      </c>
      <c r="AT124" s="373" t="e">
        <f t="shared" si="76"/>
        <v>#DIV/0!</v>
      </c>
      <c r="AU124" s="373" t="e">
        <f t="shared" si="76"/>
        <v>#DIV/0!</v>
      </c>
      <c r="AV124" s="373" t="e">
        <f t="shared" si="76"/>
        <v>#DIV/0!</v>
      </c>
      <c r="AW124" s="373" t="e">
        <f t="shared" si="76"/>
        <v>#DIV/0!</v>
      </c>
      <c r="AX124" s="373" t="e">
        <f t="shared" si="76"/>
        <v>#DIV/0!</v>
      </c>
      <c r="AY124" s="373" t="e">
        <f t="shared" si="76"/>
        <v>#DIV/0!</v>
      </c>
      <c r="AZ124" s="373" t="e">
        <f t="shared" si="76"/>
        <v>#DIV/0!</v>
      </c>
      <c r="BA124" s="373" t="e">
        <f t="shared" si="76"/>
        <v>#DIV/0!</v>
      </c>
      <c r="BB124" s="373" t="e">
        <f t="shared" si="76"/>
        <v>#DIV/0!</v>
      </c>
      <c r="BC124" s="373" t="e">
        <f t="shared" si="76"/>
        <v>#DIV/0!</v>
      </c>
      <c r="BD124" s="373" t="e">
        <f t="shared" si="76"/>
        <v>#DIV/0!</v>
      </c>
      <c r="BE124" s="373" t="e">
        <f t="shared" si="76"/>
        <v>#DIV/0!</v>
      </c>
      <c r="BF124" s="373" t="e">
        <f t="shared" si="76"/>
        <v>#DIV/0!</v>
      </c>
      <c r="BG124" s="373" t="e">
        <f t="shared" si="76"/>
        <v>#DIV/0!</v>
      </c>
      <c r="BH124" s="373" t="e">
        <f t="shared" si="76"/>
        <v>#DIV/0!</v>
      </c>
      <c r="BI124" s="373" t="e">
        <f t="shared" si="76"/>
        <v>#DIV/0!</v>
      </c>
      <c r="BJ124" s="373" t="e">
        <f t="shared" si="76"/>
        <v>#DIV/0!</v>
      </c>
      <c r="BK124" s="373" t="e">
        <f t="shared" si="76"/>
        <v>#DIV/0!</v>
      </c>
      <c r="BL124" s="373" t="e">
        <f t="shared" si="76"/>
        <v>#DIV/0!</v>
      </c>
      <c r="BM124" s="373" t="e">
        <f t="shared" si="76"/>
        <v>#DIV/0!</v>
      </c>
      <c r="BN124" s="373" t="e">
        <f t="shared" si="76"/>
        <v>#DIV/0!</v>
      </c>
      <c r="BO124" s="373" t="e">
        <f t="shared" si="76"/>
        <v>#DIV/0!</v>
      </c>
      <c r="BP124" s="373" t="e">
        <f t="shared" si="76"/>
        <v>#DIV/0!</v>
      </c>
      <c r="BQ124" s="373" t="e">
        <f t="shared" ref="BQ124:CF124" si="77">VLOOKUP(BQ123,Carbon,3)*BQ119</f>
        <v>#DIV/0!</v>
      </c>
      <c r="BR124" s="373" t="e">
        <f t="shared" si="77"/>
        <v>#DIV/0!</v>
      </c>
      <c r="BS124" s="373" t="e">
        <f t="shared" si="77"/>
        <v>#DIV/0!</v>
      </c>
      <c r="BT124" s="373" t="e">
        <f t="shared" si="77"/>
        <v>#DIV/0!</v>
      </c>
      <c r="BU124" s="373" t="e">
        <f t="shared" si="77"/>
        <v>#DIV/0!</v>
      </c>
      <c r="BV124" s="373" t="e">
        <f t="shared" si="77"/>
        <v>#DIV/0!</v>
      </c>
      <c r="BW124" s="373" t="e">
        <f t="shared" si="77"/>
        <v>#DIV/0!</v>
      </c>
      <c r="BX124" s="373" t="e">
        <f t="shared" si="77"/>
        <v>#DIV/0!</v>
      </c>
      <c r="BY124" s="373" t="e">
        <f t="shared" si="77"/>
        <v>#DIV/0!</v>
      </c>
      <c r="BZ124" s="373" t="e">
        <f t="shared" si="77"/>
        <v>#DIV/0!</v>
      </c>
      <c r="CA124" s="373" t="e">
        <f t="shared" si="77"/>
        <v>#DIV/0!</v>
      </c>
      <c r="CB124" s="373" t="e">
        <f t="shared" si="77"/>
        <v>#DIV/0!</v>
      </c>
      <c r="CC124" s="373" t="e">
        <f t="shared" si="77"/>
        <v>#DIV/0!</v>
      </c>
      <c r="CD124" s="373" t="e">
        <f t="shared" si="77"/>
        <v>#DIV/0!</v>
      </c>
      <c r="CE124" s="373" t="e">
        <f t="shared" si="77"/>
        <v>#DIV/0!</v>
      </c>
      <c r="CF124" s="373" t="e">
        <f t="shared" si="77"/>
        <v>#DIV/0!</v>
      </c>
    </row>
    <row r="125" spans="3:84">
      <c r="C125" s="378"/>
      <c r="D125" s="373" t="s">
        <v>89</v>
      </c>
      <c r="E125" s="373" t="e">
        <f t="shared" ref="E125:BP125" si="78">VLOOKUP(E123,Carbon,3,0)*E120</f>
        <v>#DIV/0!</v>
      </c>
      <c r="F125" s="373" t="e">
        <f t="shared" si="78"/>
        <v>#DIV/0!</v>
      </c>
      <c r="G125" s="373" t="e">
        <f t="shared" si="78"/>
        <v>#DIV/0!</v>
      </c>
      <c r="H125" s="373" t="e">
        <f t="shared" si="78"/>
        <v>#DIV/0!</v>
      </c>
      <c r="I125" s="373" t="e">
        <f>VLOOKUP(I123,Carbon,3,0)*I120</f>
        <v>#DIV/0!</v>
      </c>
      <c r="J125" s="373" t="e">
        <f t="shared" si="78"/>
        <v>#DIV/0!</v>
      </c>
      <c r="K125" s="373" t="e">
        <f t="shared" si="78"/>
        <v>#DIV/0!</v>
      </c>
      <c r="L125" s="373" t="e">
        <f t="shared" si="78"/>
        <v>#DIV/0!</v>
      </c>
      <c r="M125" s="373" t="e">
        <f t="shared" si="78"/>
        <v>#DIV/0!</v>
      </c>
      <c r="N125" s="373" t="e">
        <f t="shared" si="78"/>
        <v>#DIV/0!</v>
      </c>
      <c r="O125" s="373" t="e">
        <f t="shared" si="78"/>
        <v>#DIV/0!</v>
      </c>
      <c r="P125" s="373" t="e">
        <f t="shared" si="78"/>
        <v>#DIV/0!</v>
      </c>
      <c r="Q125" s="373" t="e">
        <f t="shared" si="78"/>
        <v>#DIV/0!</v>
      </c>
      <c r="R125" s="373" t="e">
        <f t="shared" si="78"/>
        <v>#DIV/0!</v>
      </c>
      <c r="S125" s="373" t="e">
        <f t="shared" si="78"/>
        <v>#DIV/0!</v>
      </c>
      <c r="T125" s="373" t="e">
        <f t="shared" si="78"/>
        <v>#DIV/0!</v>
      </c>
      <c r="U125" s="373" t="e">
        <f t="shared" si="78"/>
        <v>#DIV/0!</v>
      </c>
      <c r="V125" s="373" t="e">
        <f t="shared" si="78"/>
        <v>#DIV/0!</v>
      </c>
      <c r="W125" s="373" t="e">
        <f t="shared" si="78"/>
        <v>#DIV/0!</v>
      </c>
      <c r="X125" s="373" t="e">
        <f t="shared" si="78"/>
        <v>#DIV/0!</v>
      </c>
      <c r="Y125" s="373" t="e">
        <f t="shared" si="78"/>
        <v>#DIV/0!</v>
      </c>
      <c r="Z125" s="373" t="e">
        <f t="shared" si="78"/>
        <v>#DIV/0!</v>
      </c>
      <c r="AA125" s="373" t="e">
        <f t="shared" si="78"/>
        <v>#DIV/0!</v>
      </c>
      <c r="AB125" s="373" t="e">
        <f t="shared" si="78"/>
        <v>#DIV/0!</v>
      </c>
      <c r="AC125" s="373" t="e">
        <f t="shared" si="78"/>
        <v>#DIV/0!</v>
      </c>
      <c r="AD125" s="373" t="e">
        <f t="shared" si="78"/>
        <v>#DIV/0!</v>
      </c>
      <c r="AE125" s="373" t="e">
        <f t="shared" si="78"/>
        <v>#DIV/0!</v>
      </c>
      <c r="AF125" s="373" t="e">
        <f t="shared" si="78"/>
        <v>#DIV/0!</v>
      </c>
      <c r="AG125" s="373" t="e">
        <f t="shared" si="78"/>
        <v>#DIV/0!</v>
      </c>
      <c r="AH125" s="373" t="e">
        <f t="shared" si="78"/>
        <v>#DIV/0!</v>
      </c>
      <c r="AI125" s="373" t="e">
        <f t="shared" si="78"/>
        <v>#DIV/0!</v>
      </c>
      <c r="AJ125" s="373" t="e">
        <f t="shared" si="78"/>
        <v>#DIV/0!</v>
      </c>
      <c r="AK125" s="373" t="e">
        <f t="shared" si="78"/>
        <v>#DIV/0!</v>
      </c>
      <c r="AL125" s="373" t="e">
        <f t="shared" si="78"/>
        <v>#DIV/0!</v>
      </c>
      <c r="AM125" s="373" t="e">
        <f t="shared" si="78"/>
        <v>#DIV/0!</v>
      </c>
      <c r="AN125" s="373" t="e">
        <f t="shared" si="78"/>
        <v>#DIV/0!</v>
      </c>
      <c r="AO125" s="373" t="e">
        <f t="shared" si="78"/>
        <v>#DIV/0!</v>
      </c>
      <c r="AP125" s="373" t="e">
        <f t="shared" si="78"/>
        <v>#DIV/0!</v>
      </c>
      <c r="AQ125" s="373" t="e">
        <f t="shared" si="78"/>
        <v>#DIV/0!</v>
      </c>
      <c r="AR125" s="373" t="e">
        <f t="shared" si="78"/>
        <v>#DIV/0!</v>
      </c>
      <c r="AS125" s="373" t="e">
        <f t="shared" si="78"/>
        <v>#DIV/0!</v>
      </c>
      <c r="AT125" s="373" t="e">
        <f t="shared" si="78"/>
        <v>#DIV/0!</v>
      </c>
      <c r="AU125" s="373" t="e">
        <f t="shared" si="78"/>
        <v>#DIV/0!</v>
      </c>
      <c r="AV125" s="373" t="e">
        <f t="shared" si="78"/>
        <v>#DIV/0!</v>
      </c>
      <c r="AW125" s="373" t="e">
        <f t="shared" si="78"/>
        <v>#DIV/0!</v>
      </c>
      <c r="AX125" s="373" t="e">
        <f t="shared" si="78"/>
        <v>#DIV/0!</v>
      </c>
      <c r="AY125" s="373" t="e">
        <f t="shared" si="78"/>
        <v>#DIV/0!</v>
      </c>
      <c r="AZ125" s="373" t="e">
        <f t="shared" si="78"/>
        <v>#DIV/0!</v>
      </c>
      <c r="BA125" s="373" t="e">
        <f t="shared" si="78"/>
        <v>#DIV/0!</v>
      </c>
      <c r="BB125" s="373" t="e">
        <f t="shared" si="78"/>
        <v>#DIV/0!</v>
      </c>
      <c r="BC125" s="373" t="e">
        <f t="shared" si="78"/>
        <v>#DIV/0!</v>
      </c>
      <c r="BD125" s="373" t="e">
        <f t="shared" si="78"/>
        <v>#DIV/0!</v>
      </c>
      <c r="BE125" s="373" t="e">
        <f t="shared" si="78"/>
        <v>#DIV/0!</v>
      </c>
      <c r="BF125" s="373" t="e">
        <f t="shared" si="78"/>
        <v>#DIV/0!</v>
      </c>
      <c r="BG125" s="373" t="e">
        <f t="shared" si="78"/>
        <v>#DIV/0!</v>
      </c>
      <c r="BH125" s="373" t="e">
        <f t="shared" si="78"/>
        <v>#DIV/0!</v>
      </c>
      <c r="BI125" s="373" t="e">
        <f t="shared" si="78"/>
        <v>#DIV/0!</v>
      </c>
      <c r="BJ125" s="373" t="e">
        <f t="shared" si="78"/>
        <v>#DIV/0!</v>
      </c>
      <c r="BK125" s="373" t="e">
        <f t="shared" si="78"/>
        <v>#DIV/0!</v>
      </c>
      <c r="BL125" s="373" t="e">
        <f t="shared" si="78"/>
        <v>#DIV/0!</v>
      </c>
      <c r="BM125" s="373" t="e">
        <f t="shared" si="78"/>
        <v>#DIV/0!</v>
      </c>
      <c r="BN125" s="373" t="e">
        <f t="shared" si="78"/>
        <v>#DIV/0!</v>
      </c>
      <c r="BO125" s="373" t="e">
        <f t="shared" si="78"/>
        <v>#DIV/0!</v>
      </c>
      <c r="BP125" s="373" t="e">
        <f t="shared" si="78"/>
        <v>#DIV/0!</v>
      </c>
      <c r="BQ125" s="373" t="e">
        <f t="shared" ref="BQ125:CF125" si="79">VLOOKUP(BQ123,Carbon,3,0)*BQ120</f>
        <v>#DIV/0!</v>
      </c>
      <c r="BR125" s="373" t="e">
        <f t="shared" si="79"/>
        <v>#DIV/0!</v>
      </c>
      <c r="BS125" s="373" t="e">
        <f t="shared" si="79"/>
        <v>#DIV/0!</v>
      </c>
      <c r="BT125" s="373" t="e">
        <f t="shared" si="79"/>
        <v>#DIV/0!</v>
      </c>
      <c r="BU125" s="373" t="e">
        <f t="shared" si="79"/>
        <v>#DIV/0!</v>
      </c>
      <c r="BV125" s="373" t="e">
        <f t="shared" si="79"/>
        <v>#DIV/0!</v>
      </c>
      <c r="BW125" s="373" t="e">
        <f t="shared" si="79"/>
        <v>#DIV/0!</v>
      </c>
      <c r="BX125" s="373" t="e">
        <f t="shared" si="79"/>
        <v>#DIV/0!</v>
      </c>
      <c r="BY125" s="373" t="e">
        <f t="shared" si="79"/>
        <v>#DIV/0!</v>
      </c>
      <c r="BZ125" s="373" t="e">
        <f t="shared" si="79"/>
        <v>#DIV/0!</v>
      </c>
      <c r="CA125" s="373" t="e">
        <f t="shared" si="79"/>
        <v>#DIV/0!</v>
      </c>
      <c r="CB125" s="373" t="e">
        <f t="shared" si="79"/>
        <v>#DIV/0!</v>
      </c>
      <c r="CC125" s="373" t="e">
        <f t="shared" si="79"/>
        <v>#DIV/0!</v>
      </c>
      <c r="CD125" s="373" t="e">
        <f t="shared" si="79"/>
        <v>#DIV/0!</v>
      </c>
      <c r="CE125" s="373" t="e">
        <f t="shared" si="79"/>
        <v>#DIV/0!</v>
      </c>
      <c r="CF125" s="373" t="e">
        <f t="shared" si="79"/>
        <v>#DIV/0!</v>
      </c>
    </row>
    <row r="126" spans="3:84">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71"/>
      <c r="AF126" s="371"/>
      <c r="AG126" s="371"/>
      <c r="AH126" s="371"/>
      <c r="AI126" s="371"/>
      <c r="AJ126" s="371"/>
      <c r="AK126" s="371"/>
      <c r="AL126" s="371"/>
      <c r="AM126" s="371"/>
      <c r="AN126" s="371"/>
      <c r="AO126" s="371"/>
      <c r="AP126" s="371"/>
      <c r="AQ126" s="371"/>
      <c r="AR126" s="371"/>
      <c r="AS126" s="371"/>
      <c r="AT126" s="371"/>
      <c r="AU126" s="371"/>
      <c r="AV126" s="371"/>
      <c r="AW126" s="371"/>
      <c r="AX126" s="371"/>
      <c r="AY126" s="371"/>
      <c r="AZ126" s="371"/>
      <c r="BA126" s="371"/>
      <c r="BB126" s="371"/>
      <c r="BC126" s="371"/>
      <c r="BD126" s="371"/>
      <c r="BE126" s="371"/>
      <c r="BF126" s="371"/>
      <c r="BG126" s="371"/>
      <c r="BH126" s="371"/>
      <c r="BI126" s="371"/>
      <c r="BJ126" s="371"/>
      <c r="BK126" s="371"/>
      <c r="BL126" s="371"/>
      <c r="BM126" s="371"/>
      <c r="BN126" s="371"/>
      <c r="BO126" s="371"/>
      <c r="BP126" s="371"/>
      <c r="BQ126" s="371"/>
      <c r="BR126" s="371"/>
      <c r="BS126" s="371"/>
      <c r="BT126" s="371"/>
      <c r="BU126" s="371"/>
      <c r="BV126" s="371"/>
      <c r="BW126" s="371"/>
      <c r="BX126" s="371"/>
      <c r="BY126" s="371"/>
      <c r="BZ126" s="371"/>
      <c r="CA126" s="371"/>
      <c r="CB126" s="371"/>
      <c r="CC126" s="371"/>
      <c r="CD126" s="371"/>
      <c r="CE126" s="371"/>
      <c r="CF126" s="371"/>
    </row>
    <row r="127" spans="3:84">
      <c r="C127" s="360" t="s">
        <v>350</v>
      </c>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71"/>
      <c r="AJ127" s="371"/>
      <c r="AK127" s="371"/>
      <c r="AL127" s="371"/>
      <c r="AM127" s="371"/>
      <c r="AN127" s="371"/>
      <c r="AO127" s="371"/>
      <c r="AP127" s="371"/>
      <c r="AQ127" s="371"/>
      <c r="AR127" s="371"/>
      <c r="AS127" s="371"/>
      <c r="AT127" s="371"/>
      <c r="AU127" s="371"/>
      <c r="AV127" s="371"/>
      <c r="AW127" s="371"/>
      <c r="AX127" s="371"/>
      <c r="AY127" s="371"/>
      <c r="AZ127" s="371"/>
      <c r="BA127" s="371"/>
      <c r="BB127" s="371"/>
      <c r="BC127" s="371"/>
      <c r="BD127" s="371"/>
      <c r="BE127" s="371"/>
      <c r="BF127" s="371"/>
      <c r="BG127" s="371"/>
      <c r="BH127" s="371"/>
      <c r="BI127" s="371"/>
      <c r="BJ127" s="371"/>
      <c r="BK127" s="371"/>
      <c r="BL127" s="371"/>
      <c r="BM127" s="371"/>
      <c r="BN127" s="371"/>
      <c r="BO127" s="371"/>
      <c r="BP127" s="371"/>
      <c r="BQ127" s="371"/>
      <c r="BR127" s="371"/>
      <c r="BS127" s="371"/>
      <c r="BT127" s="371"/>
      <c r="BU127" s="371"/>
      <c r="BV127" s="371"/>
      <c r="BW127" s="371"/>
      <c r="BX127" s="371"/>
      <c r="BY127" s="371"/>
      <c r="BZ127" s="371"/>
      <c r="CA127" s="371"/>
      <c r="CB127" s="371"/>
      <c r="CC127" s="371"/>
      <c r="CD127" s="371"/>
      <c r="CE127" s="371"/>
      <c r="CF127" s="371"/>
    </row>
    <row r="128" spans="3:84">
      <c r="D128" s="372"/>
      <c r="E128" s="372">
        <v>2010</v>
      </c>
      <c r="F128" s="372">
        <v>2011</v>
      </c>
      <c r="G128" s="372">
        <v>2012</v>
      </c>
      <c r="H128" s="372">
        <v>2013</v>
      </c>
      <c r="I128" s="372">
        <v>2014</v>
      </c>
      <c r="J128" s="372">
        <v>2015</v>
      </c>
      <c r="K128" s="372">
        <v>2016</v>
      </c>
      <c r="L128" s="372">
        <v>2017</v>
      </c>
      <c r="M128" s="372">
        <v>2018</v>
      </c>
      <c r="N128" s="372">
        <v>2019</v>
      </c>
      <c r="O128" s="372">
        <v>2020</v>
      </c>
      <c r="P128" s="372">
        <v>2021</v>
      </c>
      <c r="Q128" s="372">
        <v>2022</v>
      </c>
      <c r="R128" s="372">
        <v>2023</v>
      </c>
      <c r="S128" s="372">
        <v>2024</v>
      </c>
      <c r="T128" s="372">
        <v>2025</v>
      </c>
      <c r="U128" s="372">
        <v>2026</v>
      </c>
      <c r="V128" s="372">
        <v>2027</v>
      </c>
      <c r="W128" s="372">
        <v>2028</v>
      </c>
      <c r="X128" s="372">
        <v>2029</v>
      </c>
      <c r="Y128" s="372">
        <v>2030</v>
      </c>
      <c r="Z128" s="372">
        <v>2031</v>
      </c>
      <c r="AA128" s="372">
        <v>2032</v>
      </c>
      <c r="AB128" s="372">
        <v>2033</v>
      </c>
      <c r="AC128" s="372">
        <v>2034</v>
      </c>
      <c r="AD128" s="372">
        <v>2035</v>
      </c>
      <c r="AE128" s="372">
        <v>2036</v>
      </c>
      <c r="AF128" s="372">
        <v>2037</v>
      </c>
      <c r="AG128" s="372">
        <v>2038</v>
      </c>
      <c r="AH128" s="372">
        <v>2039</v>
      </c>
      <c r="AI128" s="372">
        <v>2040</v>
      </c>
      <c r="AJ128" s="372">
        <v>2041</v>
      </c>
      <c r="AK128" s="372">
        <v>2042</v>
      </c>
      <c r="AL128" s="372">
        <v>2043</v>
      </c>
      <c r="AM128" s="372">
        <v>2044</v>
      </c>
      <c r="AN128" s="372">
        <v>2045</v>
      </c>
      <c r="AO128" s="372">
        <v>2046</v>
      </c>
      <c r="AP128" s="372">
        <v>2047</v>
      </c>
      <c r="AQ128" s="372">
        <v>2048</v>
      </c>
      <c r="AR128" s="372">
        <v>2049</v>
      </c>
      <c r="AS128" s="372">
        <v>2050</v>
      </c>
      <c r="AT128" s="372">
        <v>2051</v>
      </c>
      <c r="AU128" s="372">
        <v>2052</v>
      </c>
      <c r="AV128" s="372">
        <v>2053</v>
      </c>
      <c r="AW128" s="372">
        <v>2054</v>
      </c>
      <c r="AX128" s="372">
        <v>2055</v>
      </c>
      <c r="AY128" s="372">
        <v>2056</v>
      </c>
      <c r="AZ128" s="372">
        <v>2057</v>
      </c>
      <c r="BA128" s="372">
        <v>2058</v>
      </c>
      <c r="BB128" s="372">
        <v>2059</v>
      </c>
      <c r="BC128" s="372">
        <v>2060</v>
      </c>
      <c r="BD128" s="372">
        <v>2061</v>
      </c>
      <c r="BE128" s="372">
        <v>2062</v>
      </c>
      <c r="BF128" s="372">
        <v>2063</v>
      </c>
      <c r="BG128" s="372">
        <v>2064</v>
      </c>
      <c r="BH128" s="372">
        <v>2065</v>
      </c>
      <c r="BI128" s="372">
        <v>2066</v>
      </c>
      <c r="BJ128" s="372">
        <v>2067</v>
      </c>
      <c r="BK128" s="372">
        <v>2068</v>
      </c>
      <c r="BL128" s="372">
        <v>2069</v>
      </c>
      <c r="BM128" s="372">
        <v>2070</v>
      </c>
      <c r="BN128" s="372">
        <v>2071</v>
      </c>
      <c r="BO128" s="372">
        <v>2072</v>
      </c>
      <c r="BP128" s="372">
        <v>2073</v>
      </c>
      <c r="BQ128" s="372">
        <v>2074</v>
      </c>
      <c r="BR128" s="372">
        <v>2075</v>
      </c>
      <c r="BS128" s="372">
        <v>2076</v>
      </c>
      <c r="BT128" s="372">
        <v>2077</v>
      </c>
      <c r="BU128" s="372">
        <v>2078</v>
      </c>
      <c r="BV128" s="372">
        <v>2079</v>
      </c>
      <c r="BW128" s="372">
        <v>2080</v>
      </c>
      <c r="BX128" s="372">
        <v>2081</v>
      </c>
      <c r="BY128" s="372">
        <v>2082</v>
      </c>
      <c r="BZ128" s="372">
        <v>2083</v>
      </c>
      <c r="CA128" s="372">
        <v>2084</v>
      </c>
      <c r="CB128" s="372">
        <v>2085</v>
      </c>
      <c r="CC128" s="372">
        <v>2086</v>
      </c>
      <c r="CD128" s="372">
        <v>2087</v>
      </c>
      <c r="CE128" s="372">
        <v>2088</v>
      </c>
      <c r="CF128" s="372">
        <v>2089</v>
      </c>
    </row>
    <row r="129" spans="1:84">
      <c r="A129" s="378"/>
      <c r="B129" s="378"/>
      <c r="C129" s="378"/>
      <c r="D129" s="373" t="s">
        <v>87</v>
      </c>
      <c r="E129" s="373">
        <f t="shared" ref="E129:AS129" si="80">VLOOKUP(E$128,Fuel_proportion,4,0)</f>
        <v>0.4</v>
      </c>
      <c r="F129" s="373">
        <f t="shared" si="80"/>
        <v>0.42</v>
      </c>
      <c r="G129" s="373">
        <f t="shared" si="80"/>
        <v>0.45</v>
      </c>
      <c r="H129" s="373">
        <f t="shared" si="80"/>
        <v>0.47</v>
      </c>
      <c r="I129" s="373">
        <f t="shared" si="80"/>
        <v>0.48</v>
      </c>
      <c r="J129" s="373">
        <f t="shared" si="80"/>
        <v>0.5</v>
      </c>
      <c r="K129" s="373">
        <f t="shared" si="80"/>
        <v>0.51</v>
      </c>
      <c r="L129" s="373">
        <f t="shared" si="80"/>
        <v>0.52</v>
      </c>
      <c r="M129" s="373">
        <f t="shared" si="80"/>
        <v>0.51</v>
      </c>
      <c r="N129" s="373">
        <f t="shared" si="80"/>
        <v>0.5</v>
      </c>
      <c r="O129" s="373">
        <f t="shared" si="80"/>
        <v>0.49</v>
      </c>
      <c r="P129" s="373">
        <f t="shared" si="80"/>
        <v>0.48</v>
      </c>
      <c r="Q129" s="373">
        <f t="shared" si="80"/>
        <v>0.46</v>
      </c>
      <c r="R129" s="373">
        <f t="shared" si="80"/>
        <v>0.45</v>
      </c>
      <c r="S129" s="373">
        <f t="shared" si="80"/>
        <v>0.43</v>
      </c>
      <c r="T129" s="373">
        <f t="shared" si="80"/>
        <v>0.41</v>
      </c>
      <c r="U129" s="373">
        <f t="shared" si="80"/>
        <v>0.39</v>
      </c>
      <c r="V129" s="373">
        <f t="shared" si="80"/>
        <v>0.38</v>
      </c>
      <c r="W129" s="373">
        <f t="shared" si="80"/>
        <v>0.36</v>
      </c>
      <c r="X129" s="373">
        <f t="shared" si="80"/>
        <v>0.34</v>
      </c>
      <c r="Y129" s="373">
        <f t="shared" si="80"/>
        <v>0.32</v>
      </c>
      <c r="Z129" s="373">
        <f t="shared" si="80"/>
        <v>0.31</v>
      </c>
      <c r="AA129" s="373">
        <f t="shared" si="80"/>
        <v>0.28999999999999998</v>
      </c>
      <c r="AB129" s="373">
        <f t="shared" si="80"/>
        <v>0.28000000000000003</v>
      </c>
      <c r="AC129" s="373">
        <f t="shared" si="80"/>
        <v>0.27</v>
      </c>
      <c r="AD129" s="373">
        <f t="shared" si="80"/>
        <v>0.26</v>
      </c>
      <c r="AE129" s="373">
        <f t="shared" si="80"/>
        <v>0.26</v>
      </c>
      <c r="AF129" s="373">
        <f t="shared" si="80"/>
        <v>0.25</v>
      </c>
      <c r="AG129" s="373">
        <f t="shared" si="80"/>
        <v>0.24</v>
      </c>
      <c r="AH129" s="373">
        <f t="shared" si="80"/>
        <v>0.24</v>
      </c>
      <c r="AI129" s="373">
        <f t="shared" si="80"/>
        <v>0.23</v>
      </c>
      <c r="AJ129" s="373">
        <f t="shared" si="80"/>
        <v>0.23</v>
      </c>
      <c r="AK129" s="373">
        <f t="shared" si="80"/>
        <v>0.22</v>
      </c>
      <c r="AL129" s="373">
        <f t="shared" si="80"/>
        <v>0.22</v>
      </c>
      <c r="AM129" s="373">
        <f t="shared" si="80"/>
        <v>0.21</v>
      </c>
      <c r="AN129" s="373">
        <f t="shared" si="80"/>
        <v>0.21</v>
      </c>
      <c r="AO129" s="373">
        <f t="shared" si="80"/>
        <v>0.2</v>
      </c>
      <c r="AP129" s="373">
        <f t="shared" si="80"/>
        <v>0.2</v>
      </c>
      <c r="AQ129" s="373">
        <f t="shared" si="80"/>
        <v>0.2</v>
      </c>
      <c r="AR129" s="373">
        <f t="shared" si="80"/>
        <v>0.19</v>
      </c>
      <c r="AS129" s="373">
        <f t="shared" si="80"/>
        <v>0.19</v>
      </c>
      <c r="AT129" s="373">
        <f>AS129</f>
        <v>0.19</v>
      </c>
      <c r="AU129" s="373">
        <f t="shared" ref="AU129:CF129" si="81">AT129</f>
        <v>0.19</v>
      </c>
      <c r="AV129" s="373">
        <f t="shared" si="81"/>
        <v>0.19</v>
      </c>
      <c r="AW129" s="373">
        <f t="shared" si="81"/>
        <v>0.19</v>
      </c>
      <c r="AX129" s="373">
        <f t="shared" si="81"/>
        <v>0.19</v>
      </c>
      <c r="AY129" s="373">
        <f t="shared" si="81"/>
        <v>0.19</v>
      </c>
      <c r="AZ129" s="373">
        <f t="shared" si="81"/>
        <v>0.19</v>
      </c>
      <c r="BA129" s="373">
        <f t="shared" si="81"/>
        <v>0.19</v>
      </c>
      <c r="BB129" s="373">
        <f t="shared" si="81"/>
        <v>0.19</v>
      </c>
      <c r="BC129" s="373">
        <f t="shared" si="81"/>
        <v>0.19</v>
      </c>
      <c r="BD129" s="373">
        <f t="shared" si="81"/>
        <v>0.19</v>
      </c>
      <c r="BE129" s="373">
        <f t="shared" si="81"/>
        <v>0.19</v>
      </c>
      <c r="BF129" s="373">
        <f t="shared" si="81"/>
        <v>0.19</v>
      </c>
      <c r="BG129" s="373">
        <f t="shared" si="81"/>
        <v>0.19</v>
      </c>
      <c r="BH129" s="373">
        <f t="shared" si="81"/>
        <v>0.19</v>
      </c>
      <c r="BI129" s="373">
        <f t="shared" si="81"/>
        <v>0.19</v>
      </c>
      <c r="BJ129" s="373">
        <f t="shared" si="81"/>
        <v>0.19</v>
      </c>
      <c r="BK129" s="373">
        <f t="shared" si="81"/>
        <v>0.19</v>
      </c>
      <c r="BL129" s="373">
        <f t="shared" si="81"/>
        <v>0.19</v>
      </c>
      <c r="BM129" s="373">
        <f t="shared" si="81"/>
        <v>0.19</v>
      </c>
      <c r="BN129" s="373">
        <f t="shared" si="81"/>
        <v>0.19</v>
      </c>
      <c r="BO129" s="373">
        <f t="shared" si="81"/>
        <v>0.19</v>
      </c>
      <c r="BP129" s="373">
        <f t="shared" si="81"/>
        <v>0.19</v>
      </c>
      <c r="BQ129" s="373">
        <f t="shared" si="81"/>
        <v>0.19</v>
      </c>
      <c r="BR129" s="373">
        <f t="shared" si="81"/>
        <v>0.19</v>
      </c>
      <c r="BS129" s="373">
        <f t="shared" si="81"/>
        <v>0.19</v>
      </c>
      <c r="BT129" s="373">
        <f t="shared" si="81"/>
        <v>0.19</v>
      </c>
      <c r="BU129" s="373">
        <f t="shared" si="81"/>
        <v>0.19</v>
      </c>
      <c r="BV129" s="373">
        <f t="shared" si="81"/>
        <v>0.19</v>
      </c>
      <c r="BW129" s="373">
        <f t="shared" si="81"/>
        <v>0.19</v>
      </c>
      <c r="BX129" s="373">
        <f t="shared" si="81"/>
        <v>0.19</v>
      </c>
      <c r="BY129" s="373">
        <f t="shared" si="81"/>
        <v>0.19</v>
      </c>
      <c r="BZ129" s="373">
        <f t="shared" si="81"/>
        <v>0.19</v>
      </c>
      <c r="CA129" s="373">
        <f t="shared" si="81"/>
        <v>0.19</v>
      </c>
      <c r="CB129" s="373">
        <f t="shared" si="81"/>
        <v>0.19</v>
      </c>
      <c r="CC129" s="373">
        <f t="shared" si="81"/>
        <v>0.19</v>
      </c>
      <c r="CD129" s="373">
        <f t="shared" si="81"/>
        <v>0.19</v>
      </c>
      <c r="CE129" s="373">
        <f t="shared" si="81"/>
        <v>0.19</v>
      </c>
      <c r="CF129" s="373">
        <f t="shared" si="81"/>
        <v>0.19</v>
      </c>
    </row>
    <row r="130" spans="1:84">
      <c r="A130" s="378"/>
      <c r="B130" s="378"/>
      <c r="C130" s="378"/>
      <c r="D130" s="373" t="s">
        <v>89</v>
      </c>
      <c r="E130" s="373">
        <f t="shared" ref="E130:AS130" si="82">VLOOKUP(E$128,Fuel_proportion,7,0)</f>
        <v>0.96</v>
      </c>
      <c r="F130" s="373">
        <f t="shared" si="82"/>
        <v>0.97</v>
      </c>
      <c r="G130" s="373">
        <f t="shared" si="82"/>
        <v>0.97</v>
      </c>
      <c r="H130" s="373">
        <f t="shared" si="82"/>
        <v>0.97</v>
      </c>
      <c r="I130" s="373">
        <f t="shared" si="82"/>
        <v>0.97</v>
      </c>
      <c r="J130" s="373">
        <f t="shared" si="82"/>
        <v>0.98</v>
      </c>
      <c r="K130" s="373">
        <f t="shared" si="82"/>
        <v>0.98</v>
      </c>
      <c r="L130" s="373">
        <f t="shared" si="82"/>
        <v>0.98</v>
      </c>
      <c r="M130" s="373">
        <f t="shared" si="82"/>
        <v>0.98</v>
      </c>
      <c r="N130" s="373">
        <f t="shared" si="82"/>
        <v>0.98</v>
      </c>
      <c r="O130" s="373">
        <f t="shared" si="82"/>
        <v>0.98</v>
      </c>
      <c r="P130" s="373">
        <f t="shared" si="82"/>
        <v>0.98</v>
      </c>
      <c r="Q130" s="373">
        <f t="shared" si="82"/>
        <v>0.98</v>
      </c>
      <c r="R130" s="373">
        <f t="shared" si="82"/>
        <v>0.97</v>
      </c>
      <c r="S130" s="373">
        <f t="shared" si="82"/>
        <v>0.97</v>
      </c>
      <c r="T130" s="373">
        <f t="shared" si="82"/>
        <v>0.97</v>
      </c>
      <c r="U130" s="373">
        <f t="shared" si="82"/>
        <v>0.96</v>
      </c>
      <c r="V130" s="373">
        <f t="shared" si="82"/>
        <v>0.96</v>
      </c>
      <c r="W130" s="373">
        <f t="shared" si="82"/>
        <v>0.95</v>
      </c>
      <c r="X130" s="373">
        <f t="shared" si="82"/>
        <v>0.94</v>
      </c>
      <c r="Y130" s="373">
        <f t="shared" si="82"/>
        <v>0.94</v>
      </c>
      <c r="Z130" s="373">
        <f t="shared" si="82"/>
        <v>0.93</v>
      </c>
      <c r="AA130" s="373">
        <f t="shared" si="82"/>
        <v>0.92</v>
      </c>
      <c r="AB130" s="373">
        <f t="shared" si="82"/>
        <v>0.91</v>
      </c>
      <c r="AC130" s="373">
        <f t="shared" si="82"/>
        <v>0.9</v>
      </c>
      <c r="AD130" s="373">
        <f t="shared" si="82"/>
        <v>0.89</v>
      </c>
      <c r="AE130" s="373">
        <f t="shared" si="82"/>
        <v>0.88</v>
      </c>
      <c r="AF130" s="373">
        <f t="shared" si="82"/>
        <v>0.87</v>
      </c>
      <c r="AG130" s="373">
        <f t="shared" si="82"/>
        <v>0.86</v>
      </c>
      <c r="AH130" s="373">
        <f t="shared" si="82"/>
        <v>0.85</v>
      </c>
      <c r="AI130" s="373">
        <f t="shared" si="82"/>
        <v>0.84</v>
      </c>
      <c r="AJ130" s="373">
        <f t="shared" si="82"/>
        <v>0.83</v>
      </c>
      <c r="AK130" s="373">
        <f t="shared" si="82"/>
        <v>0.82</v>
      </c>
      <c r="AL130" s="373">
        <f t="shared" si="82"/>
        <v>0.81</v>
      </c>
      <c r="AM130" s="373">
        <f t="shared" si="82"/>
        <v>0.8</v>
      </c>
      <c r="AN130" s="373">
        <f t="shared" si="82"/>
        <v>0.79</v>
      </c>
      <c r="AO130" s="373">
        <f t="shared" si="82"/>
        <v>0.78</v>
      </c>
      <c r="AP130" s="373">
        <f t="shared" si="82"/>
        <v>0.77</v>
      </c>
      <c r="AQ130" s="373">
        <f t="shared" si="82"/>
        <v>0.76</v>
      </c>
      <c r="AR130" s="373">
        <f t="shared" si="82"/>
        <v>0.75</v>
      </c>
      <c r="AS130" s="373">
        <f t="shared" si="82"/>
        <v>0.74</v>
      </c>
      <c r="AT130" s="373">
        <f>AS130</f>
        <v>0.74</v>
      </c>
      <c r="AU130" s="373">
        <f t="shared" ref="AU130:CF130" si="83">AT130</f>
        <v>0.74</v>
      </c>
      <c r="AV130" s="373">
        <f t="shared" si="83"/>
        <v>0.74</v>
      </c>
      <c r="AW130" s="373">
        <f t="shared" si="83"/>
        <v>0.74</v>
      </c>
      <c r="AX130" s="373">
        <f t="shared" si="83"/>
        <v>0.74</v>
      </c>
      <c r="AY130" s="373">
        <f t="shared" si="83"/>
        <v>0.74</v>
      </c>
      <c r="AZ130" s="373">
        <f t="shared" si="83"/>
        <v>0.74</v>
      </c>
      <c r="BA130" s="373">
        <f t="shared" si="83"/>
        <v>0.74</v>
      </c>
      <c r="BB130" s="373">
        <f t="shared" si="83"/>
        <v>0.74</v>
      </c>
      <c r="BC130" s="373">
        <f t="shared" si="83"/>
        <v>0.74</v>
      </c>
      <c r="BD130" s="373">
        <f t="shared" si="83"/>
        <v>0.74</v>
      </c>
      <c r="BE130" s="373">
        <f t="shared" si="83"/>
        <v>0.74</v>
      </c>
      <c r="BF130" s="373">
        <f t="shared" si="83"/>
        <v>0.74</v>
      </c>
      <c r="BG130" s="373">
        <f t="shared" si="83"/>
        <v>0.74</v>
      </c>
      <c r="BH130" s="373">
        <f t="shared" si="83"/>
        <v>0.74</v>
      </c>
      <c r="BI130" s="373">
        <f t="shared" si="83"/>
        <v>0.74</v>
      </c>
      <c r="BJ130" s="373">
        <f t="shared" si="83"/>
        <v>0.74</v>
      </c>
      <c r="BK130" s="373">
        <f t="shared" si="83"/>
        <v>0.74</v>
      </c>
      <c r="BL130" s="373">
        <f t="shared" si="83"/>
        <v>0.74</v>
      </c>
      <c r="BM130" s="373">
        <f t="shared" si="83"/>
        <v>0.74</v>
      </c>
      <c r="BN130" s="373">
        <f t="shared" si="83"/>
        <v>0.74</v>
      </c>
      <c r="BO130" s="373">
        <f t="shared" si="83"/>
        <v>0.74</v>
      </c>
      <c r="BP130" s="373">
        <f t="shared" si="83"/>
        <v>0.74</v>
      </c>
      <c r="BQ130" s="373">
        <f t="shared" si="83"/>
        <v>0.74</v>
      </c>
      <c r="BR130" s="373">
        <f t="shared" si="83"/>
        <v>0.74</v>
      </c>
      <c r="BS130" s="373">
        <f t="shared" si="83"/>
        <v>0.74</v>
      </c>
      <c r="BT130" s="373">
        <f t="shared" si="83"/>
        <v>0.74</v>
      </c>
      <c r="BU130" s="373">
        <f t="shared" si="83"/>
        <v>0.74</v>
      </c>
      <c r="BV130" s="373">
        <f t="shared" si="83"/>
        <v>0.74</v>
      </c>
      <c r="BW130" s="373">
        <f t="shared" si="83"/>
        <v>0.74</v>
      </c>
      <c r="BX130" s="373">
        <f t="shared" si="83"/>
        <v>0.74</v>
      </c>
      <c r="BY130" s="373">
        <f t="shared" si="83"/>
        <v>0.74</v>
      </c>
      <c r="BZ130" s="373">
        <f t="shared" si="83"/>
        <v>0.74</v>
      </c>
      <c r="CA130" s="373">
        <f t="shared" si="83"/>
        <v>0.74</v>
      </c>
      <c r="CB130" s="373">
        <f t="shared" si="83"/>
        <v>0.74</v>
      </c>
      <c r="CC130" s="373">
        <f t="shared" si="83"/>
        <v>0.74</v>
      </c>
      <c r="CD130" s="373">
        <f t="shared" si="83"/>
        <v>0.74</v>
      </c>
      <c r="CE130" s="373">
        <f t="shared" si="83"/>
        <v>0.74</v>
      </c>
      <c r="CF130" s="373">
        <f t="shared" si="83"/>
        <v>0.74</v>
      </c>
    </row>
    <row r="131" spans="1:84">
      <c r="A131" s="378"/>
      <c r="B131" s="378"/>
      <c r="C131" s="378"/>
    </row>
    <row r="132" spans="1:84">
      <c r="C132" s="360" t="s">
        <v>288</v>
      </c>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71"/>
      <c r="AF132" s="371"/>
      <c r="AG132" s="371"/>
      <c r="AH132" s="371"/>
      <c r="AI132" s="371"/>
      <c r="AJ132" s="371"/>
      <c r="AK132" s="371"/>
      <c r="AL132" s="371"/>
      <c r="AM132" s="371"/>
      <c r="AN132" s="371"/>
      <c r="AO132" s="371"/>
      <c r="AP132" s="371"/>
      <c r="AQ132" s="371"/>
      <c r="AR132" s="371"/>
      <c r="AS132" s="371"/>
      <c r="AT132" s="371"/>
      <c r="AU132" s="371"/>
      <c r="AV132" s="371"/>
      <c r="AW132" s="371"/>
      <c r="AX132" s="371"/>
      <c r="AY132" s="371"/>
      <c r="AZ132" s="371"/>
      <c r="BA132" s="371"/>
      <c r="BB132" s="371"/>
      <c r="BC132" s="371"/>
      <c r="BD132" s="371"/>
      <c r="BE132" s="371"/>
      <c r="BF132" s="371"/>
      <c r="BG132" s="371"/>
      <c r="BH132" s="371"/>
      <c r="BI132" s="371"/>
      <c r="BJ132" s="371"/>
      <c r="BK132" s="371"/>
      <c r="BL132" s="371"/>
      <c r="BM132" s="371"/>
      <c r="BN132" s="371"/>
      <c r="BO132" s="371"/>
      <c r="BP132" s="371"/>
      <c r="BQ132" s="371"/>
      <c r="BR132" s="371"/>
      <c r="BS132" s="371"/>
      <c r="BT132" s="371"/>
      <c r="BU132" s="371"/>
      <c r="BV132" s="371"/>
      <c r="BW132" s="371"/>
      <c r="BX132" s="371"/>
      <c r="BY132" s="371"/>
      <c r="BZ132" s="371"/>
      <c r="CA132" s="371"/>
      <c r="CB132" s="371"/>
      <c r="CC132" s="371"/>
      <c r="CD132" s="371"/>
      <c r="CE132" s="371"/>
      <c r="CF132" s="371"/>
    </row>
    <row r="133" spans="1:84">
      <c r="D133" s="372"/>
      <c r="E133" s="372">
        <v>2010</v>
      </c>
      <c r="F133" s="372">
        <v>2011</v>
      </c>
      <c r="G133" s="372">
        <v>2012</v>
      </c>
      <c r="H133" s="372">
        <v>2013</v>
      </c>
      <c r="I133" s="372">
        <v>2014</v>
      </c>
      <c r="J133" s="372">
        <v>2015</v>
      </c>
      <c r="K133" s="372">
        <v>2016</v>
      </c>
      <c r="L133" s="372">
        <v>2017</v>
      </c>
      <c r="M133" s="372">
        <v>2018</v>
      </c>
      <c r="N133" s="372">
        <v>2019</v>
      </c>
      <c r="O133" s="372">
        <v>2020</v>
      </c>
      <c r="P133" s="372">
        <v>2021</v>
      </c>
      <c r="Q133" s="372">
        <v>2022</v>
      </c>
      <c r="R133" s="372">
        <v>2023</v>
      </c>
      <c r="S133" s="372">
        <v>2024</v>
      </c>
      <c r="T133" s="372">
        <v>2025</v>
      </c>
      <c r="U133" s="372">
        <v>2026</v>
      </c>
      <c r="V133" s="372">
        <v>2027</v>
      </c>
      <c r="W133" s="372">
        <v>2028</v>
      </c>
      <c r="X133" s="372">
        <v>2029</v>
      </c>
      <c r="Y133" s="372">
        <v>2030</v>
      </c>
      <c r="Z133" s="372">
        <v>2031</v>
      </c>
      <c r="AA133" s="372">
        <v>2032</v>
      </c>
      <c r="AB133" s="372">
        <v>2033</v>
      </c>
      <c r="AC133" s="372">
        <v>2034</v>
      </c>
      <c r="AD133" s="372">
        <v>2035</v>
      </c>
      <c r="AE133" s="372">
        <v>2036</v>
      </c>
      <c r="AF133" s="372">
        <v>2037</v>
      </c>
      <c r="AG133" s="372">
        <v>2038</v>
      </c>
      <c r="AH133" s="372">
        <v>2039</v>
      </c>
      <c r="AI133" s="372">
        <v>2040</v>
      </c>
      <c r="AJ133" s="372">
        <v>2041</v>
      </c>
      <c r="AK133" s="372">
        <v>2042</v>
      </c>
      <c r="AL133" s="372">
        <v>2043</v>
      </c>
      <c r="AM133" s="372">
        <v>2044</v>
      </c>
      <c r="AN133" s="372">
        <v>2045</v>
      </c>
      <c r="AO133" s="372">
        <v>2046</v>
      </c>
      <c r="AP133" s="372">
        <v>2047</v>
      </c>
      <c r="AQ133" s="372">
        <v>2048</v>
      </c>
      <c r="AR133" s="372">
        <v>2049</v>
      </c>
      <c r="AS133" s="372">
        <v>2050</v>
      </c>
      <c r="AT133" s="372">
        <v>2051</v>
      </c>
      <c r="AU133" s="372">
        <v>2052</v>
      </c>
      <c r="AV133" s="372">
        <v>2053</v>
      </c>
      <c r="AW133" s="372">
        <v>2054</v>
      </c>
      <c r="AX133" s="372">
        <v>2055</v>
      </c>
      <c r="AY133" s="372">
        <v>2056</v>
      </c>
      <c r="AZ133" s="372">
        <v>2057</v>
      </c>
      <c r="BA133" s="372">
        <v>2058</v>
      </c>
      <c r="BB133" s="372">
        <v>2059</v>
      </c>
      <c r="BC133" s="372">
        <v>2060</v>
      </c>
      <c r="BD133" s="372">
        <v>2061</v>
      </c>
      <c r="BE133" s="372">
        <v>2062</v>
      </c>
      <c r="BF133" s="372">
        <v>2063</v>
      </c>
      <c r="BG133" s="372">
        <v>2064</v>
      </c>
      <c r="BH133" s="372">
        <v>2065</v>
      </c>
      <c r="BI133" s="372">
        <v>2066</v>
      </c>
      <c r="BJ133" s="372">
        <v>2067</v>
      </c>
      <c r="BK133" s="372">
        <v>2068</v>
      </c>
      <c r="BL133" s="372">
        <v>2069</v>
      </c>
      <c r="BM133" s="372">
        <v>2070</v>
      </c>
      <c r="BN133" s="372">
        <v>2071</v>
      </c>
      <c r="BO133" s="372">
        <v>2072</v>
      </c>
      <c r="BP133" s="372">
        <v>2073</v>
      </c>
      <c r="BQ133" s="372">
        <v>2074</v>
      </c>
      <c r="BR133" s="372">
        <v>2075</v>
      </c>
      <c r="BS133" s="372">
        <v>2076</v>
      </c>
      <c r="BT133" s="372">
        <v>2077</v>
      </c>
      <c r="BU133" s="372">
        <v>2078</v>
      </c>
      <c r="BV133" s="372">
        <v>2079</v>
      </c>
      <c r="BW133" s="372">
        <v>2080</v>
      </c>
      <c r="BX133" s="372">
        <v>2081</v>
      </c>
      <c r="BY133" s="372">
        <v>2082</v>
      </c>
      <c r="BZ133" s="372">
        <v>2083</v>
      </c>
      <c r="CA133" s="372">
        <v>2084</v>
      </c>
      <c r="CB133" s="372">
        <v>2085</v>
      </c>
      <c r="CC133" s="372">
        <v>2086</v>
      </c>
      <c r="CD133" s="372">
        <v>2087</v>
      </c>
      <c r="CE133" s="372">
        <v>2088</v>
      </c>
      <c r="CF133" s="372">
        <v>2089</v>
      </c>
    </row>
    <row r="134" spans="1:84">
      <c r="A134" s="378"/>
      <c r="B134" s="378"/>
      <c r="C134" s="378"/>
      <c r="D134" s="373" t="s">
        <v>87</v>
      </c>
      <c r="E134" s="373">
        <f t="shared" ref="E134:AS134" si="84">VLOOKUP(E$133,Fuel_proportion,3,0)</f>
        <v>0.6</v>
      </c>
      <c r="F134" s="373">
        <f t="shared" si="84"/>
        <v>0.57999999999999996</v>
      </c>
      <c r="G134" s="373">
        <f t="shared" si="84"/>
        <v>0.55000000000000004</v>
      </c>
      <c r="H134" s="373">
        <f t="shared" si="84"/>
        <v>0.53</v>
      </c>
      <c r="I134" s="373">
        <f t="shared" si="84"/>
        <v>0.51</v>
      </c>
      <c r="J134" s="373">
        <f t="shared" si="84"/>
        <v>0.5</v>
      </c>
      <c r="K134" s="373">
        <f t="shared" si="84"/>
        <v>0.48</v>
      </c>
      <c r="L134" s="373">
        <f t="shared" si="84"/>
        <v>0.48</v>
      </c>
      <c r="M134" s="373">
        <f t="shared" si="84"/>
        <v>0.49</v>
      </c>
      <c r="N134" s="373">
        <f t="shared" si="84"/>
        <v>0.49</v>
      </c>
      <c r="O134" s="373">
        <f t="shared" si="84"/>
        <v>0.5</v>
      </c>
      <c r="P134" s="373">
        <f t="shared" si="84"/>
        <v>0.51</v>
      </c>
      <c r="Q134" s="373">
        <f t="shared" si="84"/>
        <v>0.52</v>
      </c>
      <c r="R134" s="373">
        <f t="shared" si="84"/>
        <v>0.53</v>
      </c>
      <c r="S134" s="373">
        <f t="shared" si="84"/>
        <v>0.53</v>
      </c>
      <c r="T134" s="373">
        <f t="shared" si="84"/>
        <v>0.53</v>
      </c>
      <c r="U134" s="373">
        <f t="shared" si="84"/>
        <v>0.53</v>
      </c>
      <c r="V134" s="373">
        <f t="shared" si="84"/>
        <v>0.53</v>
      </c>
      <c r="W134" s="373">
        <f t="shared" si="84"/>
        <v>0.53</v>
      </c>
      <c r="X134" s="373">
        <f t="shared" si="84"/>
        <v>0.53</v>
      </c>
      <c r="Y134" s="373">
        <f t="shared" si="84"/>
        <v>0.52</v>
      </c>
      <c r="Z134" s="373">
        <f t="shared" si="84"/>
        <v>0.51</v>
      </c>
      <c r="AA134" s="373">
        <f t="shared" si="84"/>
        <v>0.51</v>
      </c>
      <c r="AB134" s="373">
        <f t="shared" si="84"/>
        <v>0.5</v>
      </c>
      <c r="AC134" s="373">
        <f t="shared" si="84"/>
        <v>0.49</v>
      </c>
      <c r="AD134" s="373">
        <f t="shared" si="84"/>
        <v>0.48</v>
      </c>
      <c r="AE134" s="373">
        <f t="shared" si="84"/>
        <v>0.47</v>
      </c>
      <c r="AF134" s="373">
        <f t="shared" si="84"/>
        <v>0.46</v>
      </c>
      <c r="AG134" s="373">
        <f t="shared" si="84"/>
        <v>0.46</v>
      </c>
      <c r="AH134" s="373">
        <f t="shared" si="84"/>
        <v>0.45</v>
      </c>
      <c r="AI134" s="373">
        <f t="shared" si="84"/>
        <v>0.44</v>
      </c>
      <c r="AJ134" s="373">
        <f t="shared" si="84"/>
        <v>0.43</v>
      </c>
      <c r="AK134" s="373">
        <f t="shared" si="84"/>
        <v>0.42</v>
      </c>
      <c r="AL134" s="373">
        <f t="shared" si="84"/>
        <v>0.41</v>
      </c>
      <c r="AM134" s="373">
        <f t="shared" si="84"/>
        <v>0.41</v>
      </c>
      <c r="AN134" s="373">
        <f t="shared" si="84"/>
        <v>0.4</v>
      </c>
      <c r="AO134" s="373">
        <f t="shared" si="84"/>
        <v>0.39</v>
      </c>
      <c r="AP134" s="373">
        <f t="shared" si="84"/>
        <v>0.39</v>
      </c>
      <c r="AQ134" s="373">
        <f t="shared" si="84"/>
        <v>0.38</v>
      </c>
      <c r="AR134" s="373">
        <f t="shared" si="84"/>
        <v>0.37</v>
      </c>
      <c r="AS134" s="373">
        <f t="shared" si="84"/>
        <v>0.37</v>
      </c>
      <c r="AT134" s="373">
        <f t="shared" ref="AT134:CF135" si="85">AS134</f>
        <v>0.37</v>
      </c>
      <c r="AU134" s="373">
        <f t="shared" si="85"/>
        <v>0.37</v>
      </c>
      <c r="AV134" s="373">
        <f t="shared" si="85"/>
        <v>0.37</v>
      </c>
      <c r="AW134" s="373">
        <f t="shared" si="85"/>
        <v>0.37</v>
      </c>
      <c r="AX134" s="373">
        <f t="shared" si="85"/>
        <v>0.37</v>
      </c>
      <c r="AY134" s="373">
        <f t="shared" si="85"/>
        <v>0.37</v>
      </c>
      <c r="AZ134" s="373">
        <f t="shared" si="85"/>
        <v>0.37</v>
      </c>
      <c r="BA134" s="373">
        <f t="shared" si="85"/>
        <v>0.37</v>
      </c>
      <c r="BB134" s="373">
        <f t="shared" si="85"/>
        <v>0.37</v>
      </c>
      <c r="BC134" s="373">
        <f t="shared" si="85"/>
        <v>0.37</v>
      </c>
      <c r="BD134" s="373">
        <f t="shared" si="85"/>
        <v>0.37</v>
      </c>
      <c r="BE134" s="373">
        <f t="shared" si="85"/>
        <v>0.37</v>
      </c>
      <c r="BF134" s="373">
        <f t="shared" si="85"/>
        <v>0.37</v>
      </c>
      <c r="BG134" s="373">
        <f t="shared" si="85"/>
        <v>0.37</v>
      </c>
      <c r="BH134" s="373">
        <f t="shared" si="85"/>
        <v>0.37</v>
      </c>
      <c r="BI134" s="373">
        <f t="shared" si="85"/>
        <v>0.37</v>
      </c>
      <c r="BJ134" s="373">
        <f t="shared" si="85"/>
        <v>0.37</v>
      </c>
      <c r="BK134" s="373">
        <f t="shared" si="85"/>
        <v>0.37</v>
      </c>
      <c r="BL134" s="373">
        <f t="shared" si="85"/>
        <v>0.37</v>
      </c>
      <c r="BM134" s="373">
        <f t="shared" si="85"/>
        <v>0.37</v>
      </c>
      <c r="BN134" s="373">
        <f t="shared" si="85"/>
        <v>0.37</v>
      </c>
      <c r="BO134" s="373">
        <f t="shared" si="85"/>
        <v>0.37</v>
      </c>
      <c r="BP134" s="373">
        <f t="shared" si="85"/>
        <v>0.37</v>
      </c>
      <c r="BQ134" s="373">
        <f t="shared" si="85"/>
        <v>0.37</v>
      </c>
      <c r="BR134" s="373">
        <f t="shared" si="85"/>
        <v>0.37</v>
      </c>
      <c r="BS134" s="373">
        <f t="shared" si="85"/>
        <v>0.37</v>
      </c>
      <c r="BT134" s="373">
        <f t="shared" si="85"/>
        <v>0.37</v>
      </c>
      <c r="BU134" s="373">
        <f t="shared" si="85"/>
        <v>0.37</v>
      </c>
      <c r="BV134" s="373">
        <f t="shared" si="85"/>
        <v>0.37</v>
      </c>
      <c r="BW134" s="373">
        <f t="shared" si="85"/>
        <v>0.37</v>
      </c>
      <c r="BX134" s="373">
        <f t="shared" si="85"/>
        <v>0.37</v>
      </c>
      <c r="BY134" s="373">
        <f t="shared" si="85"/>
        <v>0.37</v>
      </c>
      <c r="BZ134" s="373">
        <f t="shared" si="85"/>
        <v>0.37</v>
      </c>
      <c r="CA134" s="373">
        <f t="shared" si="85"/>
        <v>0.37</v>
      </c>
      <c r="CB134" s="373">
        <f t="shared" si="85"/>
        <v>0.37</v>
      </c>
      <c r="CC134" s="373">
        <f t="shared" si="85"/>
        <v>0.37</v>
      </c>
      <c r="CD134" s="373">
        <f t="shared" si="85"/>
        <v>0.37</v>
      </c>
      <c r="CE134" s="373">
        <f t="shared" si="85"/>
        <v>0.37</v>
      </c>
      <c r="CF134" s="373">
        <f t="shared" si="85"/>
        <v>0.37</v>
      </c>
    </row>
    <row r="135" spans="1:84">
      <c r="A135" s="378"/>
      <c r="B135" s="378"/>
      <c r="C135" s="378"/>
      <c r="D135" s="373" t="s">
        <v>89</v>
      </c>
      <c r="E135" s="373">
        <f t="shared" ref="E135:AS135" si="86">VLOOKUP(E$133,Fuel_proportion,6,0)</f>
        <v>0.03</v>
      </c>
      <c r="F135" s="373">
        <f t="shared" si="86"/>
        <v>0.03</v>
      </c>
      <c r="G135" s="373">
        <f t="shared" si="86"/>
        <v>0.03</v>
      </c>
      <c r="H135" s="373">
        <f t="shared" si="86"/>
        <v>0.03</v>
      </c>
      <c r="I135" s="373">
        <f t="shared" si="86"/>
        <v>0.02</v>
      </c>
      <c r="J135" s="373">
        <f t="shared" si="86"/>
        <v>0.02</v>
      </c>
      <c r="K135" s="373">
        <f t="shared" si="86"/>
        <v>0.02</v>
      </c>
      <c r="L135" s="373">
        <f t="shared" si="86"/>
        <v>0.02</v>
      </c>
      <c r="M135" s="373">
        <f t="shared" si="86"/>
        <v>0.02</v>
      </c>
      <c r="N135" s="373">
        <f t="shared" si="86"/>
        <v>0.02</v>
      </c>
      <c r="O135" s="373">
        <f t="shared" si="86"/>
        <v>0.02</v>
      </c>
      <c r="P135" s="373">
        <f t="shared" si="86"/>
        <v>0.02</v>
      </c>
      <c r="Q135" s="373">
        <f t="shared" si="86"/>
        <v>0.02</v>
      </c>
      <c r="R135" s="373">
        <f t="shared" si="86"/>
        <v>0.02</v>
      </c>
      <c r="S135" s="373">
        <f t="shared" si="86"/>
        <v>0.02</v>
      </c>
      <c r="T135" s="373">
        <f t="shared" si="86"/>
        <v>0.02</v>
      </c>
      <c r="U135" s="373">
        <f t="shared" si="86"/>
        <v>0.02</v>
      </c>
      <c r="V135" s="373">
        <f t="shared" si="86"/>
        <v>0.02</v>
      </c>
      <c r="W135" s="373">
        <f t="shared" si="86"/>
        <v>0.02</v>
      </c>
      <c r="X135" s="373">
        <f t="shared" si="86"/>
        <v>0.03</v>
      </c>
      <c r="Y135" s="373">
        <f t="shared" si="86"/>
        <v>0.03</v>
      </c>
      <c r="Z135" s="373">
        <f t="shared" si="86"/>
        <v>0.03</v>
      </c>
      <c r="AA135" s="373">
        <f t="shared" si="86"/>
        <v>0.03</v>
      </c>
      <c r="AB135" s="373">
        <f t="shared" si="86"/>
        <v>0.03</v>
      </c>
      <c r="AC135" s="373">
        <f t="shared" si="86"/>
        <v>0.03</v>
      </c>
      <c r="AD135" s="373">
        <f t="shared" si="86"/>
        <v>0.03</v>
      </c>
      <c r="AE135" s="373">
        <f t="shared" si="86"/>
        <v>0.03</v>
      </c>
      <c r="AF135" s="373">
        <f t="shared" si="86"/>
        <v>0.04</v>
      </c>
      <c r="AG135" s="373">
        <f t="shared" si="86"/>
        <v>0.04</v>
      </c>
      <c r="AH135" s="373">
        <f t="shared" si="86"/>
        <v>0.04</v>
      </c>
      <c r="AI135" s="373">
        <f t="shared" si="86"/>
        <v>0.04</v>
      </c>
      <c r="AJ135" s="373">
        <f t="shared" si="86"/>
        <v>0.04</v>
      </c>
      <c r="AK135" s="373">
        <f t="shared" si="86"/>
        <v>0.04</v>
      </c>
      <c r="AL135" s="373">
        <f t="shared" si="86"/>
        <v>0.04</v>
      </c>
      <c r="AM135" s="373">
        <f t="shared" si="86"/>
        <v>0.04</v>
      </c>
      <c r="AN135" s="373">
        <f t="shared" si="86"/>
        <v>0.04</v>
      </c>
      <c r="AO135" s="373">
        <f t="shared" si="86"/>
        <v>0.04</v>
      </c>
      <c r="AP135" s="373">
        <f t="shared" si="86"/>
        <v>0.05</v>
      </c>
      <c r="AQ135" s="373">
        <f t="shared" si="86"/>
        <v>0.05</v>
      </c>
      <c r="AR135" s="373">
        <f t="shared" si="86"/>
        <v>0.05</v>
      </c>
      <c r="AS135" s="373">
        <f t="shared" si="86"/>
        <v>0.05</v>
      </c>
      <c r="AT135" s="373">
        <f t="shared" si="85"/>
        <v>0.05</v>
      </c>
      <c r="AU135" s="373">
        <f t="shared" si="85"/>
        <v>0.05</v>
      </c>
      <c r="AV135" s="373">
        <f t="shared" si="85"/>
        <v>0.05</v>
      </c>
      <c r="AW135" s="373">
        <f t="shared" si="85"/>
        <v>0.05</v>
      </c>
      <c r="AX135" s="373">
        <f t="shared" si="85"/>
        <v>0.05</v>
      </c>
      <c r="AY135" s="373">
        <f t="shared" si="85"/>
        <v>0.05</v>
      </c>
      <c r="AZ135" s="373">
        <f t="shared" si="85"/>
        <v>0.05</v>
      </c>
      <c r="BA135" s="373">
        <f t="shared" si="85"/>
        <v>0.05</v>
      </c>
      <c r="BB135" s="373">
        <f t="shared" si="85"/>
        <v>0.05</v>
      </c>
      <c r="BC135" s="373">
        <f t="shared" si="85"/>
        <v>0.05</v>
      </c>
      <c r="BD135" s="373">
        <f t="shared" si="85"/>
        <v>0.05</v>
      </c>
      <c r="BE135" s="373">
        <f t="shared" si="85"/>
        <v>0.05</v>
      </c>
      <c r="BF135" s="373">
        <f t="shared" si="85"/>
        <v>0.05</v>
      </c>
      <c r="BG135" s="373">
        <f t="shared" si="85"/>
        <v>0.05</v>
      </c>
      <c r="BH135" s="373">
        <f t="shared" si="85"/>
        <v>0.05</v>
      </c>
      <c r="BI135" s="373">
        <f t="shared" si="85"/>
        <v>0.05</v>
      </c>
      <c r="BJ135" s="373">
        <f t="shared" si="85"/>
        <v>0.05</v>
      </c>
      <c r="BK135" s="373">
        <f t="shared" si="85"/>
        <v>0.05</v>
      </c>
      <c r="BL135" s="373">
        <f t="shared" si="85"/>
        <v>0.05</v>
      </c>
      <c r="BM135" s="373">
        <f t="shared" si="85"/>
        <v>0.05</v>
      </c>
      <c r="BN135" s="373">
        <f t="shared" si="85"/>
        <v>0.05</v>
      </c>
      <c r="BO135" s="373">
        <f t="shared" si="85"/>
        <v>0.05</v>
      </c>
      <c r="BP135" s="373">
        <f t="shared" si="85"/>
        <v>0.05</v>
      </c>
      <c r="BQ135" s="373">
        <f t="shared" si="85"/>
        <v>0.05</v>
      </c>
      <c r="BR135" s="373">
        <f t="shared" si="85"/>
        <v>0.05</v>
      </c>
      <c r="BS135" s="373">
        <f t="shared" si="85"/>
        <v>0.05</v>
      </c>
      <c r="BT135" s="373">
        <f t="shared" si="85"/>
        <v>0.05</v>
      </c>
      <c r="BU135" s="373">
        <f t="shared" si="85"/>
        <v>0.05</v>
      </c>
      <c r="BV135" s="373">
        <f t="shared" si="85"/>
        <v>0.05</v>
      </c>
      <c r="BW135" s="373">
        <f t="shared" si="85"/>
        <v>0.05</v>
      </c>
      <c r="BX135" s="373">
        <f t="shared" si="85"/>
        <v>0.05</v>
      </c>
      <c r="BY135" s="373">
        <f t="shared" si="85"/>
        <v>0.05</v>
      </c>
      <c r="BZ135" s="373">
        <f t="shared" si="85"/>
        <v>0.05</v>
      </c>
      <c r="CA135" s="373">
        <f t="shared" si="85"/>
        <v>0.05</v>
      </c>
      <c r="CB135" s="373">
        <f t="shared" si="85"/>
        <v>0.05</v>
      </c>
      <c r="CC135" s="373">
        <f t="shared" si="85"/>
        <v>0.05</v>
      </c>
      <c r="CD135" s="373">
        <f t="shared" si="85"/>
        <v>0.05</v>
      </c>
      <c r="CE135" s="373">
        <f t="shared" si="85"/>
        <v>0.05</v>
      </c>
      <c r="CF135" s="373">
        <f t="shared" si="85"/>
        <v>0.05</v>
      </c>
    </row>
    <row r="136" spans="1:84">
      <c r="A136" s="378"/>
      <c r="B136" s="378"/>
      <c r="C136" s="378"/>
    </row>
    <row r="137" spans="1:84">
      <c r="C137" s="360" t="s">
        <v>289</v>
      </c>
    </row>
    <row r="138" spans="1:84">
      <c r="D138" s="372"/>
      <c r="E138" s="372">
        <v>2010</v>
      </c>
      <c r="F138" s="372">
        <v>2011</v>
      </c>
      <c r="G138" s="372">
        <v>2012</v>
      </c>
      <c r="H138" s="372">
        <v>2013</v>
      </c>
      <c r="I138" s="372">
        <v>2014</v>
      </c>
      <c r="J138" s="372">
        <v>2015</v>
      </c>
      <c r="K138" s="372">
        <v>2016</v>
      </c>
      <c r="L138" s="372">
        <v>2017</v>
      </c>
      <c r="M138" s="372">
        <v>2018</v>
      </c>
      <c r="N138" s="372">
        <v>2019</v>
      </c>
      <c r="O138" s="372">
        <v>2020</v>
      </c>
      <c r="P138" s="372">
        <v>2021</v>
      </c>
      <c r="Q138" s="372">
        <v>2022</v>
      </c>
      <c r="R138" s="372">
        <v>2023</v>
      </c>
      <c r="S138" s="372">
        <v>2024</v>
      </c>
      <c r="T138" s="372">
        <v>2025</v>
      </c>
      <c r="U138" s="372">
        <v>2026</v>
      </c>
      <c r="V138" s="372">
        <v>2027</v>
      </c>
      <c r="W138" s="372">
        <v>2028</v>
      </c>
      <c r="X138" s="372">
        <v>2029</v>
      </c>
      <c r="Y138" s="372">
        <v>2030</v>
      </c>
      <c r="Z138" s="372">
        <v>2031</v>
      </c>
      <c r="AA138" s="372">
        <v>2032</v>
      </c>
      <c r="AB138" s="372">
        <v>2033</v>
      </c>
      <c r="AC138" s="372">
        <v>2034</v>
      </c>
      <c r="AD138" s="372">
        <v>2035</v>
      </c>
      <c r="AE138" s="372">
        <v>2036</v>
      </c>
      <c r="AF138" s="372">
        <v>2037</v>
      </c>
      <c r="AG138" s="372">
        <v>2038</v>
      </c>
      <c r="AH138" s="372">
        <v>2039</v>
      </c>
      <c r="AI138" s="372">
        <v>2040</v>
      </c>
      <c r="AJ138" s="372">
        <v>2041</v>
      </c>
      <c r="AK138" s="372">
        <v>2042</v>
      </c>
      <c r="AL138" s="372">
        <v>2043</v>
      </c>
      <c r="AM138" s="372">
        <v>2044</v>
      </c>
      <c r="AN138" s="372">
        <v>2045</v>
      </c>
      <c r="AO138" s="372">
        <v>2046</v>
      </c>
      <c r="AP138" s="372">
        <v>2047</v>
      </c>
      <c r="AQ138" s="372">
        <v>2048</v>
      </c>
      <c r="AR138" s="372">
        <v>2049</v>
      </c>
      <c r="AS138" s="372">
        <v>2050</v>
      </c>
      <c r="AT138" s="372">
        <v>2051</v>
      </c>
      <c r="AU138" s="372">
        <v>2052</v>
      </c>
      <c r="AV138" s="372">
        <v>2053</v>
      </c>
      <c r="AW138" s="372">
        <v>2054</v>
      </c>
      <c r="AX138" s="372">
        <v>2055</v>
      </c>
      <c r="AY138" s="372">
        <v>2056</v>
      </c>
      <c r="AZ138" s="372">
        <v>2057</v>
      </c>
      <c r="BA138" s="372">
        <v>2058</v>
      </c>
      <c r="BB138" s="372">
        <v>2059</v>
      </c>
      <c r="BC138" s="372">
        <v>2060</v>
      </c>
      <c r="BD138" s="372">
        <v>2061</v>
      </c>
      <c r="BE138" s="372">
        <v>2062</v>
      </c>
      <c r="BF138" s="372">
        <v>2063</v>
      </c>
      <c r="BG138" s="372">
        <v>2064</v>
      </c>
      <c r="BH138" s="372">
        <v>2065</v>
      </c>
      <c r="BI138" s="372">
        <v>2066</v>
      </c>
      <c r="BJ138" s="372">
        <v>2067</v>
      </c>
      <c r="BK138" s="372">
        <v>2068</v>
      </c>
      <c r="BL138" s="372">
        <v>2069</v>
      </c>
      <c r="BM138" s="372">
        <v>2070</v>
      </c>
      <c r="BN138" s="372">
        <v>2071</v>
      </c>
      <c r="BO138" s="372">
        <v>2072</v>
      </c>
      <c r="BP138" s="372">
        <v>2073</v>
      </c>
      <c r="BQ138" s="372">
        <v>2074</v>
      </c>
      <c r="BR138" s="372">
        <v>2075</v>
      </c>
      <c r="BS138" s="372">
        <v>2076</v>
      </c>
      <c r="BT138" s="372">
        <v>2077</v>
      </c>
      <c r="BU138" s="372">
        <v>2078</v>
      </c>
      <c r="BV138" s="372">
        <v>2079</v>
      </c>
      <c r="BW138" s="372">
        <v>2080</v>
      </c>
      <c r="BX138" s="372">
        <v>2081</v>
      </c>
      <c r="BY138" s="372">
        <v>2082</v>
      </c>
      <c r="BZ138" s="372">
        <v>2083</v>
      </c>
      <c r="CA138" s="372">
        <v>2084</v>
      </c>
      <c r="CB138" s="372">
        <v>2085</v>
      </c>
      <c r="CC138" s="372">
        <v>2086</v>
      </c>
      <c r="CD138" s="372">
        <v>2087</v>
      </c>
      <c r="CE138" s="372">
        <v>2088</v>
      </c>
      <c r="CF138" s="372">
        <v>2089</v>
      </c>
    </row>
    <row r="139" spans="1:84">
      <c r="D139" s="373" t="s">
        <v>87</v>
      </c>
      <c r="E139" s="373" t="e">
        <f>E112*E129+E119*E134</f>
        <v>#DIV/0!</v>
      </c>
      <c r="F139" s="373" t="e">
        <f>F112*F129+F119*F134</f>
        <v>#DIV/0!</v>
      </c>
      <c r="G139" s="373" t="e">
        <f>G112*G129+G119*G134</f>
        <v>#DIV/0!</v>
      </c>
      <c r="H139" s="373" t="e">
        <f t="shared" ref="H139:BQ139" si="87">H112*H129+H119*H134</f>
        <v>#DIV/0!</v>
      </c>
      <c r="I139" s="373" t="e">
        <f t="shared" si="87"/>
        <v>#DIV/0!</v>
      </c>
      <c r="J139" s="373" t="e">
        <f t="shared" si="87"/>
        <v>#DIV/0!</v>
      </c>
      <c r="K139" s="373" t="e">
        <f t="shared" si="87"/>
        <v>#DIV/0!</v>
      </c>
      <c r="L139" s="373" t="e">
        <f t="shared" si="87"/>
        <v>#DIV/0!</v>
      </c>
      <c r="M139" s="373" t="e">
        <f t="shared" si="87"/>
        <v>#DIV/0!</v>
      </c>
      <c r="N139" s="373" t="e">
        <f t="shared" si="87"/>
        <v>#DIV/0!</v>
      </c>
      <c r="O139" s="373" t="e">
        <f t="shared" si="87"/>
        <v>#DIV/0!</v>
      </c>
      <c r="P139" s="373" t="e">
        <f t="shared" si="87"/>
        <v>#DIV/0!</v>
      </c>
      <c r="Q139" s="373" t="e">
        <f t="shared" si="87"/>
        <v>#DIV/0!</v>
      </c>
      <c r="R139" s="373" t="e">
        <f t="shared" si="87"/>
        <v>#DIV/0!</v>
      </c>
      <c r="S139" s="373" t="e">
        <f t="shared" si="87"/>
        <v>#DIV/0!</v>
      </c>
      <c r="T139" s="373" t="e">
        <f t="shared" si="87"/>
        <v>#DIV/0!</v>
      </c>
      <c r="U139" s="373" t="e">
        <f t="shared" si="87"/>
        <v>#DIV/0!</v>
      </c>
      <c r="V139" s="373" t="e">
        <f t="shared" si="87"/>
        <v>#DIV/0!</v>
      </c>
      <c r="W139" s="373" t="e">
        <f t="shared" si="87"/>
        <v>#DIV/0!</v>
      </c>
      <c r="X139" s="373" t="e">
        <f t="shared" si="87"/>
        <v>#DIV/0!</v>
      </c>
      <c r="Y139" s="373" t="e">
        <f t="shared" si="87"/>
        <v>#DIV/0!</v>
      </c>
      <c r="Z139" s="373" t="e">
        <f t="shared" si="87"/>
        <v>#DIV/0!</v>
      </c>
      <c r="AA139" s="373" t="e">
        <f t="shared" si="87"/>
        <v>#DIV/0!</v>
      </c>
      <c r="AB139" s="373" t="e">
        <f t="shared" si="87"/>
        <v>#DIV/0!</v>
      </c>
      <c r="AC139" s="373" t="e">
        <f t="shared" si="87"/>
        <v>#DIV/0!</v>
      </c>
      <c r="AD139" s="373" t="e">
        <f t="shared" si="87"/>
        <v>#DIV/0!</v>
      </c>
      <c r="AE139" s="373" t="e">
        <f t="shared" si="87"/>
        <v>#DIV/0!</v>
      </c>
      <c r="AF139" s="373" t="e">
        <f t="shared" si="87"/>
        <v>#DIV/0!</v>
      </c>
      <c r="AG139" s="373" t="e">
        <f t="shared" si="87"/>
        <v>#DIV/0!</v>
      </c>
      <c r="AH139" s="373" t="e">
        <f t="shared" si="87"/>
        <v>#DIV/0!</v>
      </c>
      <c r="AI139" s="373" t="e">
        <f t="shared" si="87"/>
        <v>#DIV/0!</v>
      </c>
      <c r="AJ139" s="373" t="e">
        <f t="shared" si="87"/>
        <v>#DIV/0!</v>
      </c>
      <c r="AK139" s="373" t="e">
        <f t="shared" si="87"/>
        <v>#DIV/0!</v>
      </c>
      <c r="AL139" s="373" t="e">
        <f t="shared" si="87"/>
        <v>#DIV/0!</v>
      </c>
      <c r="AM139" s="373" t="e">
        <f t="shared" si="87"/>
        <v>#DIV/0!</v>
      </c>
      <c r="AN139" s="373" t="e">
        <f t="shared" si="87"/>
        <v>#DIV/0!</v>
      </c>
      <c r="AO139" s="373" t="e">
        <f t="shared" si="87"/>
        <v>#DIV/0!</v>
      </c>
      <c r="AP139" s="373" t="e">
        <f t="shared" si="87"/>
        <v>#DIV/0!</v>
      </c>
      <c r="AQ139" s="373" t="e">
        <f t="shared" si="87"/>
        <v>#DIV/0!</v>
      </c>
      <c r="AR139" s="373" t="e">
        <f t="shared" si="87"/>
        <v>#DIV/0!</v>
      </c>
      <c r="AS139" s="373" t="e">
        <f t="shared" si="87"/>
        <v>#DIV/0!</v>
      </c>
      <c r="AT139" s="373" t="e">
        <f t="shared" si="87"/>
        <v>#DIV/0!</v>
      </c>
      <c r="AU139" s="373" t="e">
        <f t="shared" si="87"/>
        <v>#DIV/0!</v>
      </c>
      <c r="AV139" s="373" t="e">
        <f t="shared" si="87"/>
        <v>#DIV/0!</v>
      </c>
      <c r="AW139" s="373" t="e">
        <f t="shared" si="87"/>
        <v>#DIV/0!</v>
      </c>
      <c r="AX139" s="373" t="e">
        <f t="shared" si="87"/>
        <v>#DIV/0!</v>
      </c>
      <c r="AY139" s="373" t="e">
        <f t="shared" si="87"/>
        <v>#DIV/0!</v>
      </c>
      <c r="AZ139" s="373" t="e">
        <f t="shared" si="87"/>
        <v>#DIV/0!</v>
      </c>
      <c r="BA139" s="373" t="e">
        <f t="shared" si="87"/>
        <v>#DIV/0!</v>
      </c>
      <c r="BB139" s="373" t="e">
        <f t="shared" si="87"/>
        <v>#DIV/0!</v>
      </c>
      <c r="BC139" s="373" t="e">
        <f t="shared" si="87"/>
        <v>#DIV/0!</v>
      </c>
      <c r="BD139" s="373" t="e">
        <f t="shared" si="87"/>
        <v>#DIV/0!</v>
      </c>
      <c r="BE139" s="373" t="e">
        <f t="shared" si="87"/>
        <v>#DIV/0!</v>
      </c>
      <c r="BF139" s="373" t="e">
        <f t="shared" si="87"/>
        <v>#DIV/0!</v>
      </c>
      <c r="BG139" s="373" t="e">
        <f t="shared" si="87"/>
        <v>#DIV/0!</v>
      </c>
      <c r="BH139" s="373" t="e">
        <f t="shared" si="87"/>
        <v>#DIV/0!</v>
      </c>
      <c r="BI139" s="373" t="e">
        <f t="shared" si="87"/>
        <v>#DIV/0!</v>
      </c>
      <c r="BJ139" s="373" t="e">
        <f t="shared" si="87"/>
        <v>#DIV/0!</v>
      </c>
      <c r="BK139" s="373" t="e">
        <f t="shared" si="87"/>
        <v>#DIV/0!</v>
      </c>
      <c r="BL139" s="373" t="e">
        <f t="shared" si="87"/>
        <v>#DIV/0!</v>
      </c>
      <c r="BM139" s="373" t="e">
        <f t="shared" si="87"/>
        <v>#DIV/0!</v>
      </c>
      <c r="BN139" s="373" t="e">
        <f t="shared" si="87"/>
        <v>#DIV/0!</v>
      </c>
      <c r="BO139" s="373" t="e">
        <f t="shared" si="87"/>
        <v>#DIV/0!</v>
      </c>
      <c r="BP139" s="373" t="e">
        <f t="shared" si="87"/>
        <v>#DIV/0!</v>
      </c>
      <c r="BQ139" s="373" t="e">
        <f t="shared" si="87"/>
        <v>#DIV/0!</v>
      </c>
      <c r="BR139" s="373" t="e">
        <f t="shared" ref="BR139:CF139" si="88">BR112*BR129+BR119*BR134</f>
        <v>#DIV/0!</v>
      </c>
      <c r="BS139" s="373" t="e">
        <f t="shared" si="88"/>
        <v>#DIV/0!</v>
      </c>
      <c r="BT139" s="373" t="e">
        <f t="shared" si="88"/>
        <v>#DIV/0!</v>
      </c>
      <c r="BU139" s="373" t="e">
        <f t="shared" si="88"/>
        <v>#DIV/0!</v>
      </c>
      <c r="BV139" s="373" t="e">
        <f t="shared" si="88"/>
        <v>#DIV/0!</v>
      </c>
      <c r="BW139" s="373" t="e">
        <f t="shared" si="88"/>
        <v>#DIV/0!</v>
      </c>
      <c r="BX139" s="373" t="e">
        <f t="shared" si="88"/>
        <v>#DIV/0!</v>
      </c>
      <c r="BY139" s="373" t="e">
        <f t="shared" si="88"/>
        <v>#DIV/0!</v>
      </c>
      <c r="BZ139" s="373" t="e">
        <f t="shared" si="88"/>
        <v>#DIV/0!</v>
      </c>
      <c r="CA139" s="373" t="e">
        <f t="shared" si="88"/>
        <v>#DIV/0!</v>
      </c>
      <c r="CB139" s="373" t="e">
        <f t="shared" si="88"/>
        <v>#DIV/0!</v>
      </c>
      <c r="CC139" s="373" t="e">
        <f>CC112*CC129+CC119*CC134</f>
        <v>#DIV/0!</v>
      </c>
      <c r="CD139" s="373" t="e">
        <f t="shared" si="88"/>
        <v>#DIV/0!</v>
      </c>
      <c r="CE139" s="373" t="e">
        <f t="shared" si="88"/>
        <v>#DIV/0!</v>
      </c>
      <c r="CF139" s="373" t="e">
        <f t="shared" si="88"/>
        <v>#DIV/0!</v>
      </c>
    </row>
    <row r="140" spans="1:84">
      <c r="D140" s="373" t="s">
        <v>89</v>
      </c>
      <c r="E140" s="373" t="e">
        <f>E113*E130+E125*E135</f>
        <v>#DIV/0!</v>
      </c>
      <c r="F140" s="373" t="e">
        <f>F113*F130+F125*F135</f>
        <v>#DIV/0!</v>
      </c>
      <c r="G140" s="373" t="e">
        <f t="shared" ref="G140:BP140" si="89">G113*G130+G125*G135</f>
        <v>#DIV/0!</v>
      </c>
      <c r="H140" s="373" t="e">
        <f t="shared" si="89"/>
        <v>#DIV/0!</v>
      </c>
      <c r="I140" s="373" t="e">
        <f t="shared" si="89"/>
        <v>#DIV/0!</v>
      </c>
      <c r="J140" s="373" t="e">
        <f t="shared" si="89"/>
        <v>#DIV/0!</v>
      </c>
      <c r="K140" s="373" t="e">
        <f t="shared" si="89"/>
        <v>#DIV/0!</v>
      </c>
      <c r="L140" s="373" t="e">
        <f t="shared" si="89"/>
        <v>#DIV/0!</v>
      </c>
      <c r="M140" s="373" t="e">
        <f t="shared" si="89"/>
        <v>#DIV/0!</v>
      </c>
      <c r="N140" s="373" t="e">
        <f t="shared" si="89"/>
        <v>#DIV/0!</v>
      </c>
      <c r="O140" s="373" t="e">
        <f t="shared" si="89"/>
        <v>#DIV/0!</v>
      </c>
      <c r="P140" s="373" t="e">
        <f t="shared" si="89"/>
        <v>#DIV/0!</v>
      </c>
      <c r="Q140" s="373" t="e">
        <f t="shared" si="89"/>
        <v>#DIV/0!</v>
      </c>
      <c r="R140" s="373" t="e">
        <f t="shared" si="89"/>
        <v>#DIV/0!</v>
      </c>
      <c r="S140" s="373" t="e">
        <f t="shared" si="89"/>
        <v>#DIV/0!</v>
      </c>
      <c r="T140" s="373" t="e">
        <f t="shared" si="89"/>
        <v>#DIV/0!</v>
      </c>
      <c r="U140" s="373" t="e">
        <f t="shared" si="89"/>
        <v>#DIV/0!</v>
      </c>
      <c r="V140" s="373" t="e">
        <f t="shared" si="89"/>
        <v>#DIV/0!</v>
      </c>
      <c r="W140" s="373" t="e">
        <f t="shared" si="89"/>
        <v>#DIV/0!</v>
      </c>
      <c r="X140" s="373" t="e">
        <f t="shared" si="89"/>
        <v>#DIV/0!</v>
      </c>
      <c r="Y140" s="373" t="e">
        <f t="shared" si="89"/>
        <v>#DIV/0!</v>
      </c>
      <c r="Z140" s="373" t="e">
        <f t="shared" si="89"/>
        <v>#DIV/0!</v>
      </c>
      <c r="AA140" s="373" t="e">
        <f t="shared" si="89"/>
        <v>#DIV/0!</v>
      </c>
      <c r="AB140" s="373" t="e">
        <f t="shared" si="89"/>
        <v>#DIV/0!</v>
      </c>
      <c r="AC140" s="373" t="e">
        <f t="shared" si="89"/>
        <v>#DIV/0!</v>
      </c>
      <c r="AD140" s="373" t="e">
        <f t="shared" si="89"/>
        <v>#DIV/0!</v>
      </c>
      <c r="AE140" s="373" t="e">
        <f t="shared" si="89"/>
        <v>#DIV/0!</v>
      </c>
      <c r="AF140" s="373" t="e">
        <f t="shared" si="89"/>
        <v>#DIV/0!</v>
      </c>
      <c r="AG140" s="373" t="e">
        <f t="shared" si="89"/>
        <v>#DIV/0!</v>
      </c>
      <c r="AH140" s="373" t="e">
        <f t="shared" si="89"/>
        <v>#DIV/0!</v>
      </c>
      <c r="AI140" s="373" t="e">
        <f t="shared" si="89"/>
        <v>#DIV/0!</v>
      </c>
      <c r="AJ140" s="373" t="e">
        <f t="shared" si="89"/>
        <v>#DIV/0!</v>
      </c>
      <c r="AK140" s="373" t="e">
        <f t="shared" si="89"/>
        <v>#DIV/0!</v>
      </c>
      <c r="AL140" s="373" t="e">
        <f t="shared" si="89"/>
        <v>#DIV/0!</v>
      </c>
      <c r="AM140" s="373" t="e">
        <f t="shared" si="89"/>
        <v>#DIV/0!</v>
      </c>
      <c r="AN140" s="373" t="e">
        <f t="shared" si="89"/>
        <v>#DIV/0!</v>
      </c>
      <c r="AO140" s="373" t="e">
        <f t="shared" si="89"/>
        <v>#DIV/0!</v>
      </c>
      <c r="AP140" s="373" t="e">
        <f t="shared" si="89"/>
        <v>#DIV/0!</v>
      </c>
      <c r="AQ140" s="373" t="e">
        <f t="shared" si="89"/>
        <v>#DIV/0!</v>
      </c>
      <c r="AR140" s="373" t="e">
        <f t="shared" si="89"/>
        <v>#DIV/0!</v>
      </c>
      <c r="AS140" s="373" t="e">
        <f t="shared" si="89"/>
        <v>#DIV/0!</v>
      </c>
      <c r="AT140" s="373" t="e">
        <f t="shared" si="89"/>
        <v>#DIV/0!</v>
      </c>
      <c r="AU140" s="373" t="e">
        <f t="shared" si="89"/>
        <v>#DIV/0!</v>
      </c>
      <c r="AV140" s="373" t="e">
        <f t="shared" si="89"/>
        <v>#DIV/0!</v>
      </c>
      <c r="AW140" s="373" t="e">
        <f t="shared" si="89"/>
        <v>#DIV/0!</v>
      </c>
      <c r="AX140" s="373" t="e">
        <f t="shared" si="89"/>
        <v>#DIV/0!</v>
      </c>
      <c r="AY140" s="373" t="e">
        <f t="shared" si="89"/>
        <v>#DIV/0!</v>
      </c>
      <c r="AZ140" s="373" t="e">
        <f t="shared" si="89"/>
        <v>#DIV/0!</v>
      </c>
      <c r="BA140" s="373" t="e">
        <f t="shared" si="89"/>
        <v>#DIV/0!</v>
      </c>
      <c r="BB140" s="373" t="e">
        <f t="shared" si="89"/>
        <v>#DIV/0!</v>
      </c>
      <c r="BC140" s="373" t="e">
        <f t="shared" si="89"/>
        <v>#DIV/0!</v>
      </c>
      <c r="BD140" s="373" t="e">
        <f t="shared" si="89"/>
        <v>#DIV/0!</v>
      </c>
      <c r="BE140" s="373" t="e">
        <f t="shared" si="89"/>
        <v>#DIV/0!</v>
      </c>
      <c r="BF140" s="373" t="e">
        <f t="shared" si="89"/>
        <v>#DIV/0!</v>
      </c>
      <c r="BG140" s="373" t="e">
        <f t="shared" si="89"/>
        <v>#DIV/0!</v>
      </c>
      <c r="BH140" s="373" t="e">
        <f t="shared" si="89"/>
        <v>#DIV/0!</v>
      </c>
      <c r="BI140" s="373" t="e">
        <f t="shared" si="89"/>
        <v>#DIV/0!</v>
      </c>
      <c r="BJ140" s="373" t="e">
        <f t="shared" si="89"/>
        <v>#DIV/0!</v>
      </c>
      <c r="BK140" s="373" t="e">
        <f t="shared" si="89"/>
        <v>#DIV/0!</v>
      </c>
      <c r="BL140" s="373" t="e">
        <f t="shared" si="89"/>
        <v>#DIV/0!</v>
      </c>
      <c r="BM140" s="373" t="e">
        <f t="shared" si="89"/>
        <v>#DIV/0!</v>
      </c>
      <c r="BN140" s="373" t="e">
        <f t="shared" si="89"/>
        <v>#DIV/0!</v>
      </c>
      <c r="BO140" s="373" t="e">
        <f t="shared" si="89"/>
        <v>#DIV/0!</v>
      </c>
      <c r="BP140" s="373" t="e">
        <f t="shared" si="89"/>
        <v>#DIV/0!</v>
      </c>
      <c r="BQ140" s="373" t="e">
        <f t="shared" ref="BQ140:CF140" si="90">BQ113*BQ130+BQ125*BQ135</f>
        <v>#DIV/0!</v>
      </c>
      <c r="BR140" s="373" t="e">
        <f t="shared" si="90"/>
        <v>#DIV/0!</v>
      </c>
      <c r="BS140" s="373" t="e">
        <f t="shared" si="90"/>
        <v>#DIV/0!</v>
      </c>
      <c r="BT140" s="373" t="e">
        <f t="shared" si="90"/>
        <v>#DIV/0!</v>
      </c>
      <c r="BU140" s="373" t="e">
        <f t="shared" si="90"/>
        <v>#DIV/0!</v>
      </c>
      <c r="BV140" s="373" t="e">
        <f t="shared" si="90"/>
        <v>#DIV/0!</v>
      </c>
      <c r="BW140" s="373" t="e">
        <f t="shared" si="90"/>
        <v>#DIV/0!</v>
      </c>
      <c r="BX140" s="373" t="e">
        <f t="shared" si="90"/>
        <v>#DIV/0!</v>
      </c>
      <c r="BY140" s="373" t="e">
        <f t="shared" si="90"/>
        <v>#DIV/0!</v>
      </c>
      <c r="BZ140" s="373" t="e">
        <f t="shared" si="90"/>
        <v>#DIV/0!</v>
      </c>
      <c r="CA140" s="373" t="e">
        <f t="shared" si="90"/>
        <v>#DIV/0!</v>
      </c>
      <c r="CB140" s="373" t="e">
        <f t="shared" si="90"/>
        <v>#DIV/0!</v>
      </c>
      <c r="CC140" s="373" t="e">
        <f t="shared" si="90"/>
        <v>#DIV/0!</v>
      </c>
      <c r="CD140" s="373" t="e">
        <f t="shared" si="90"/>
        <v>#DIV/0!</v>
      </c>
      <c r="CE140" s="373" t="e">
        <f t="shared" si="90"/>
        <v>#DIV/0!</v>
      </c>
      <c r="CF140" s="373" t="e">
        <f t="shared" si="90"/>
        <v>#DIV/0!</v>
      </c>
    </row>
    <row r="141" spans="1:84">
      <c r="D141" s="373" t="s">
        <v>91</v>
      </c>
      <c r="E141" s="373" t="e">
        <f>E114</f>
        <v>#DIV/0!</v>
      </c>
      <c r="F141" s="373" t="e">
        <f>F114</f>
        <v>#DIV/0!</v>
      </c>
      <c r="G141" s="373" t="e">
        <f t="shared" ref="G141:BQ142" si="91">G114</f>
        <v>#DIV/0!</v>
      </c>
      <c r="H141" s="373" t="e">
        <f t="shared" si="91"/>
        <v>#DIV/0!</v>
      </c>
      <c r="I141" s="373" t="e">
        <f t="shared" si="91"/>
        <v>#DIV/0!</v>
      </c>
      <c r="J141" s="373" t="e">
        <f t="shared" si="91"/>
        <v>#DIV/0!</v>
      </c>
      <c r="K141" s="373" t="e">
        <f t="shared" si="91"/>
        <v>#DIV/0!</v>
      </c>
      <c r="L141" s="373" t="e">
        <f t="shared" si="91"/>
        <v>#DIV/0!</v>
      </c>
      <c r="M141" s="373" t="e">
        <f t="shared" si="91"/>
        <v>#DIV/0!</v>
      </c>
      <c r="N141" s="373" t="e">
        <f t="shared" si="91"/>
        <v>#DIV/0!</v>
      </c>
      <c r="O141" s="373" t="e">
        <f t="shared" si="91"/>
        <v>#DIV/0!</v>
      </c>
      <c r="P141" s="373" t="e">
        <f t="shared" si="91"/>
        <v>#DIV/0!</v>
      </c>
      <c r="Q141" s="373" t="e">
        <f t="shared" si="91"/>
        <v>#DIV/0!</v>
      </c>
      <c r="R141" s="373" t="e">
        <f t="shared" si="91"/>
        <v>#DIV/0!</v>
      </c>
      <c r="S141" s="373" t="e">
        <f t="shared" si="91"/>
        <v>#DIV/0!</v>
      </c>
      <c r="T141" s="373" t="e">
        <f t="shared" si="91"/>
        <v>#DIV/0!</v>
      </c>
      <c r="U141" s="373" t="e">
        <f t="shared" si="91"/>
        <v>#DIV/0!</v>
      </c>
      <c r="V141" s="373" t="e">
        <f t="shared" si="91"/>
        <v>#DIV/0!</v>
      </c>
      <c r="W141" s="373" t="e">
        <f t="shared" si="91"/>
        <v>#DIV/0!</v>
      </c>
      <c r="X141" s="373" t="e">
        <f t="shared" si="91"/>
        <v>#DIV/0!</v>
      </c>
      <c r="Y141" s="373" t="e">
        <f t="shared" si="91"/>
        <v>#DIV/0!</v>
      </c>
      <c r="Z141" s="373" t="e">
        <f t="shared" si="91"/>
        <v>#DIV/0!</v>
      </c>
      <c r="AA141" s="373" t="e">
        <f t="shared" si="91"/>
        <v>#DIV/0!</v>
      </c>
      <c r="AB141" s="373" t="e">
        <f t="shared" si="91"/>
        <v>#DIV/0!</v>
      </c>
      <c r="AC141" s="373" t="e">
        <f t="shared" si="91"/>
        <v>#DIV/0!</v>
      </c>
      <c r="AD141" s="373" t="e">
        <f t="shared" si="91"/>
        <v>#DIV/0!</v>
      </c>
      <c r="AE141" s="373" t="e">
        <f t="shared" si="91"/>
        <v>#DIV/0!</v>
      </c>
      <c r="AF141" s="373" t="e">
        <f t="shared" si="91"/>
        <v>#DIV/0!</v>
      </c>
      <c r="AG141" s="373" t="e">
        <f t="shared" si="91"/>
        <v>#DIV/0!</v>
      </c>
      <c r="AH141" s="373" t="e">
        <f t="shared" si="91"/>
        <v>#DIV/0!</v>
      </c>
      <c r="AI141" s="373" t="e">
        <f t="shared" si="91"/>
        <v>#DIV/0!</v>
      </c>
      <c r="AJ141" s="373" t="e">
        <f t="shared" si="91"/>
        <v>#DIV/0!</v>
      </c>
      <c r="AK141" s="373" t="e">
        <f t="shared" si="91"/>
        <v>#DIV/0!</v>
      </c>
      <c r="AL141" s="373" t="e">
        <f t="shared" si="91"/>
        <v>#DIV/0!</v>
      </c>
      <c r="AM141" s="373" t="e">
        <f t="shared" si="91"/>
        <v>#DIV/0!</v>
      </c>
      <c r="AN141" s="373" t="e">
        <f t="shared" si="91"/>
        <v>#DIV/0!</v>
      </c>
      <c r="AO141" s="373" t="e">
        <f t="shared" si="91"/>
        <v>#DIV/0!</v>
      </c>
      <c r="AP141" s="373" t="e">
        <f t="shared" si="91"/>
        <v>#DIV/0!</v>
      </c>
      <c r="AQ141" s="373" t="e">
        <f t="shared" si="91"/>
        <v>#DIV/0!</v>
      </c>
      <c r="AR141" s="373" t="e">
        <f t="shared" si="91"/>
        <v>#DIV/0!</v>
      </c>
      <c r="AS141" s="373" t="e">
        <f t="shared" si="91"/>
        <v>#DIV/0!</v>
      </c>
      <c r="AT141" s="373" t="e">
        <f t="shared" si="91"/>
        <v>#DIV/0!</v>
      </c>
      <c r="AU141" s="373" t="e">
        <f t="shared" si="91"/>
        <v>#DIV/0!</v>
      </c>
      <c r="AV141" s="373" t="e">
        <f t="shared" si="91"/>
        <v>#DIV/0!</v>
      </c>
      <c r="AW141" s="373" t="e">
        <f t="shared" si="91"/>
        <v>#DIV/0!</v>
      </c>
      <c r="AX141" s="373" t="e">
        <f t="shared" si="91"/>
        <v>#DIV/0!</v>
      </c>
      <c r="AY141" s="373" t="e">
        <f t="shared" si="91"/>
        <v>#DIV/0!</v>
      </c>
      <c r="AZ141" s="373" t="e">
        <f t="shared" si="91"/>
        <v>#DIV/0!</v>
      </c>
      <c r="BA141" s="373" t="e">
        <f t="shared" si="91"/>
        <v>#DIV/0!</v>
      </c>
      <c r="BB141" s="373" t="e">
        <f t="shared" si="91"/>
        <v>#DIV/0!</v>
      </c>
      <c r="BC141" s="373" t="e">
        <f t="shared" si="91"/>
        <v>#DIV/0!</v>
      </c>
      <c r="BD141" s="373" t="e">
        <f t="shared" si="91"/>
        <v>#DIV/0!</v>
      </c>
      <c r="BE141" s="373" t="e">
        <f t="shared" si="91"/>
        <v>#DIV/0!</v>
      </c>
      <c r="BF141" s="373" t="e">
        <f t="shared" si="91"/>
        <v>#DIV/0!</v>
      </c>
      <c r="BG141" s="373" t="e">
        <f t="shared" si="91"/>
        <v>#DIV/0!</v>
      </c>
      <c r="BH141" s="373" t="e">
        <f t="shared" si="91"/>
        <v>#DIV/0!</v>
      </c>
      <c r="BI141" s="373" t="e">
        <f t="shared" si="91"/>
        <v>#DIV/0!</v>
      </c>
      <c r="BJ141" s="373" t="e">
        <f t="shared" si="91"/>
        <v>#DIV/0!</v>
      </c>
      <c r="BK141" s="373" t="e">
        <f t="shared" si="91"/>
        <v>#DIV/0!</v>
      </c>
      <c r="BL141" s="373" t="e">
        <f t="shared" si="91"/>
        <v>#DIV/0!</v>
      </c>
      <c r="BM141" s="373" t="e">
        <f t="shared" si="91"/>
        <v>#DIV/0!</v>
      </c>
      <c r="BN141" s="373" t="e">
        <f t="shared" si="91"/>
        <v>#DIV/0!</v>
      </c>
      <c r="BO141" s="373" t="e">
        <f t="shared" si="91"/>
        <v>#DIV/0!</v>
      </c>
      <c r="BP141" s="373" t="e">
        <f t="shared" si="91"/>
        <v>#DIV/0!</v>
      </c>
      <c r="BQ141" s="373" t="e">
        <f t="shared" si="91"/>
        <v>#DIV/0!</v>
      </c>
      <c r="BR141" s="373" t="e">
        <f t="shared" ref="BR141:CF142" si="92">BR114</f>
        <v>#DIV/0!</v>
      </c>
      <c r="BS141" s="373" t="e">
        <f t="shared" si="92"/>
        <v>#DIV/0!</v>
      </c>
      <c r="BT141" s="373" t="e">
        <f t="shared" si="92"/>
        <v>#DIV/0!</v>
      </c>
      <c r="BU141" s="373" t="e">
        <f t="shared" si="92"/>
        <v>#DIV/0!</v>
      </c>
      <c r="BV141" s="373" t="e">
        <f t="shared" si="92"/>
        <v>#DIV/0!</v>
      </c>
      <c r="BW141" s="373" t="e">
        <f t="shared" si="92"/>
        <v>#DIV/0!</v>
      </c>
      <c r="BX141" s="373" t="e">
        <f t="shared" si="92"/>
        <v>#DIV/0!</v>
      </c>
      <c r="BY141" s="373" t="e">
        <f t="shared" si="92"/>
        <v>#DIV/0!</v>
      </c>
      <c r="BZ141" s="373" t="e">
        <f t="shared" si="92"/>
        <v>#DIV/0!</v>
      </c>
      <c r="CA141" s="373" t="e">
        <f t="shared" si="92"/>
        <v>#DIV/0!</v>
      </c>
      <c r="CB141" s="373" t="e">
        <f t="shared" si="92"/>
        <v>#DIV/0!</v>
      </c>
      <c r="CC141" s="373" t="e">
        <f t="shared" si="92"/>
        <v>#DIV/0!</v>
      </c>
      <c r="CD141" s="373" t="e">
        <f t="shared" si="92"/>
        <v>#DIV/0!</v>
      </c>
      <c r="CE141" s="373" t="e">
        <f t="shared" si="92"/>
        <v>#DIV/0!</v>
      </c>
      <c r="CF141" s="373" t="e">
        <f t="shared" si="92"/>
        <v>#DIV/0!</v>
      </c>
    </row>
    <row r="142" spans="1:84">
      <c r="D142" s="373" t="s">
        <v>93</v>
      </c>
      <c r="E142" s="373" t="e">
        <f>E115</f>
        <v>#DIV/0!</v>
      </c>
      <c r="F142" s="373" t="e">
        <f>F115</f>
        <v>#DIV/0!</v>
      </c>
      <c r="G142" s="373" t="e">
        <f t="shared" si="91"/>
        <v>#DIV/0!</v>
      </c>
      <c r="H142" s="373" t="e">
        <f t="shared" si="91"/>
        <v>#DIV/0!</v>
      </c>
      <c r="I142" s="373" t="e">
        <f t="shared" si="91"/>
        <v>#DIV/0!</v>
      </c>
      <c r="J142" s="373" t="e">
        <f t="shared" si="91"/>
        <v>#DIV/0!</v>
      </c>
      <c r="K142" s="373" t="e">
        <f t="shared" si="91"/>
        <v>#DIV/0!</v>
      </c>
      <c r="L142" s="373" t="e">
        <f t="shared" si="91"/>
        <v>#DIV/0!</v>
      </c>
      <c r="M142" s="373" t="e">
        <f t="shared" si="91"/>
        <v>#DIV/0!</v>
      </c>
      <c r="N142" s="373" t="e">
        <f t="shared" si="91"/>
        <v>#DIV/0!</v>
      </c>
      <c r="O142" s="373" t="e">
        <f t="shared" si="91"/>
        <v>#DIV/0!</v>
      </c>
      <c r="P142" s="373" t="e">
        <f t="shared" si="91"/>
        <v>#DIV/0!</v>
      </c>
      <c r="Q142" s="373" t="e">
        <f t="shared" si="91"/>
        <v>#DIV/0!</v>
      </c>
      <c r="R142" s="373" t="e">
        <f t="shared" si="91"/>
        <v>#DIV/0!</v>
      </c>
      <c r="S142" s="373" t="e">
        <f t="shared" si="91"/>
        <v>#DIV/0!</v>
      </c>
      <c r="T142" s="373" t="e">
        <f t="shared" si="91"/>
        <v>#DIV/0!</v>
      </c>
      <c r="U142" s="373" t="e">
        <f t="shared" si="91"/>
        <v>#DIV/0!</v>
      </c>
      <c r="V142" s="373" t="e">
        <f t="shared" si="91"/>
        <v>#DIV/0!</v>
      </c>
      <c r="W142" s="373" t="e">
        <f t="shared" si="91"/>
        <v>#DIV/0!</v>
      </c>
      <c r="X142" s="373" t="e">
        <f t="shared" si="91"/>
        <v>#DIV/0!</v>
      </c>
      <c r="Y142" s="373" t="e">
        <f t="shared" si="91"/>
        <v>#DIV/0!</v>
      </c>
      <c r="Z142" s="373" t="e">
        <f t="shared" si="91"/>
        <v>#DIV/0!</v>
      </c>
      <c r="AA142" s="373" t="e">
        <f t="shared" si="91"/>
        <v>#DIV/0!</v>
      </c>
      <c r="AB142" s="373" t="e">
        <f t="shared" si="91"/>
        <v>#DIV/0!</v>
      </c>
      <c r="AC142" s="373" t="e">
        <f t="shared" si="91"/>
        <v>#DIV/0!</v>
      </c>
      <c r="AD142" s="373" t="e">
        <f t="shared" si="91"/>
        <v>#DIV/0!</v>
      </c>
      <c r="AE142" s="373" t="e">
        <f t="shared" si="91"/>
        <v>#DIV/0!</v>
      </c>
      <c r="AF142" s="373" t="e">
        <f t="shared" si="91"/>
        <v>#DIV/0!</v>
      </c>
      <c r="AG142" s="373" t="e">
        <f t="shared" si="91"/>
        <v>#DIV/0!</v>
      </c>
      <c r="AH142" s="373" t="e">
        <f t="shared" si="91"/>
        <v>#DIV/0!</v>
      </c>
      <c r="AI142" s="373" t="e">
        <f t="shared" si="91"/>
        <v>#DIV/0!</v>
      </c>
      <c r="AJ142" s="373" t="e">
        <f t="shared" si="91"/>
        <v>#DIV/0!</v>
      </c>
      <c r="AK142" s="373" t="e">
        <f t="shared" si="91"/>
        <v>#DIV/0!</v>
      </c>
      <c r="AL142" s="373" t="e">
        <f t="shared" si="91"/>
        <v>#DIV/0!</v>
      </c>
      <c r="AM142" s="373" t="e">
        <f t="shared" si="91"/>
        <v>#DIV/0!</v>
      </c>
      <c r="AN142" s="373" t="e">
        <f t="shared" si="91"/>
        <v>#DIV/0!</v>
      </c>
      <c r="AO142" s="373" t="e">
        <f t="shared" si="91"/>
        <v>#DIV/0!</v>
      </c>
      <c r="AP142" s="373" t="e">
        <f t="shared" si="91"/>
        <v>#DIV/0!</v>
      </c>
      <c r="AQ142" s="373" t="e">
        <f t="shared" si="91"/>
        <v>#DIV/0!</v>
      </c>
      <c r="AR142" s="373" t="e">
        <f t="shared" si="91"/>
        <v>#DIV/0!</v>
      </c>
      <c r="AS142" s="373" t="e">
        <f t="shared" si="91"/>
        <v>#DIV/0!</v>
      </c>
      <c r="AT142" s="373" t="e">
        <f t="shared" si="91"/>
        <v>#DIV/0!</v>
      </c>
      <c r="AU142" s="373" t="e">
        <f t="shared" si="91"/>
        <v>#DIV/0!</v>
      </c>
      <c r="AV142" s="373" t="e">
        <f t="shared" si="91"/>
        <v>#DIV/0!</v>
      </c>
      <c r="AW142" s="373" t="e">
        <f t="shared" si="91"/>
        <v>#DIV/0!</v>
      </c>
      <c r="AX142" s="373" t="e">
        <f t="shared" si="91"/>
        <v>#DIV/0!</v>
      </c>
      <c r="AY142" s="373" t="e">
        <f t="shared" si="91"/>
        <v>#DIV/0!</v>
      </c>
      <c r="AZ142" s="373" t="e">
        <f t="shared" si="91"/>
        <v>#DIV/0!</v>
      </c>
      <c r="BA142" s="373" t="e">
        <f t="shared" si="91"/>
        <v>#DIV/0!</v>
      </c>
      <c r="BB142" s="373" t="e">
        <f t="shared" si="91"/>
        <v>#DIV/0!</v>
      </c>
      <c r="BC142" s="373" t="e">
        <f t="shared" si="91"/>
        <v>#DIV/0!</v>
      </c>
      <c r="BD142" s="373" t="e">
        <f t="shared" si="91"/>
        <v>#DIV/0!</v>
      </c>
      <c r="BE142" s="373" t="e">
        <f t="shared" si="91"/>
        <v>#DIV/0!</v>
      </c>
      <c r="BF142" s="373" t="e">
        <f t="shared" si="91"/>
        <v>#DIV/0!</v>
      </c>
      <c r="BG142" s="373" t="e">
        <f t="shared" si="91"/>
        <v>#DIV/0!</v>
      </c>
      <c r="BH142" s="373" t="e">
        <f t="shared" si="91"/>
        <v>#DIV/0!</v>
      </c>
      <c r="BI142" s="373" t="e">
        <f t="shared" si="91"/>
        <v>#DIV/0!</v>
      </c>
      <c r="BJ142" s="373" t="e">
        <f t="shared" si="91"/>
        <v>#DIV/0!</v>
      </c>
      <c r="BK142" s="373" t="e">
        <f t="shared" si="91"/>
        <v>#DIV/0!</v>
      </c>
      <c r="BL142" s="373" t="e">
        <f t="shared" si="91"/>
        <v>#DIV/0!</v>
      </c>
      <c r="BM142" s="373" t="e">
        <f t="shared" si="91"/>
        <v>#DIV/0!</v>
      </c>
      <c r="BN142" s="373" t="e">
        <f t="shared" si="91"/>
        <v>#DIV/0!</v>
      </c>
      <c r="BO142" s="373" t="e">
        <f t="shared" si="91"/>
        <v>#DIV/0!</v>
      </c>
      <c r="BP142" s="373" t="e">
        <f t="shared" si="91"/>
        <v>#DIV/0!</v>
      </c>
      <c r="BQ142" s="373" t="e">
        <f t="shared" si="91"/>
        <v>#DIV/0!</v>
      </c>
      <c r="BR142" s="373" t="e">
        <f t="shared" si="92"/>
        <v>#DIV/0!</v>
      </c>
      <c r="BS142" s="373" t="e">
        <f t="shared" si="92"/>
        <v>#DIV/0!</v>
      </c>
      <c r="BT142" s="373" t="e">
        <f t="shared" si="92"/>
        <v>#DIV/0!</v>
      </c>
      <c r="BU142" s="373" t="e">
        <f t="shared" si="92"/>
        <v>#DIV/0!</v>
      </c>
      <c r="BV142" s="373" t="e">
        <f t="shared" si="92"/>
        <v>#DIV/0!</v>
      </c>
      <c r="BW142" s="373" t="e">
        <f t="shared" si="92"/>
        <v>#DIV/0!</v>
      </c>
      <c r="BX142" s="373" t="e">
        <f t="shared" si="92"/>
        <v>#DIV/0!</v>
      </c>
      <c r="BY142" s="373" t="e">
        <f t="shared" si="92"/>
        <v>#DIV/0!</v>
      </c>
      <c r="BZ142" s="373" t="e">
        <f t="shared" si="92"/>
        <v>#DIV/0!</v>
      </c>
      <c r="CA142" s="373" t="e">
        <f t="shared" si="92"/>
        <v>#DIV/0!</v>
      </c>
      <c r="CB142" s="373" t="e">
        <f t="shared" si="92"/>
        <v>#DIV/0!</v>
      </c>
      <c r="CC142" s="373" t="e">
        <f t="shared" si="92"/>
        <v>#DIV/0!</v>
      </c>
      <c r="CD142" s="373" t="e">
        <f t="shared" si="92"/>
        <v>#DIV/0!</v>
      </c>
      <c r="CE142" s="373" t="e">
        <f t="shared" si="92"/>
        <v>#DIV/0!</v>
      </c>
      <c r="CF142" s="373" t="e">
        <f t="shared" si="92"/>
        <v>#DIV/0!</v>
      </c>
    </row>
    <row r="144" spans="1:84">
      <c r="C144" s="360" t="s">
        <v>351</v>
      </c>
    </row>
    <row r="145" spans="3:84">
      <c r="D145" s="372"/>
      <c r="E145" s="372">
        <v>2010</v>
      </c>
      <c r="F145" s="372">
        <v>2011</v>
      </c>
      <c r="G145" s="372">
        <v>2012</v>
      </c>
      <c r="H145" s="372">
        <v>2013</v>
      </c>
      <c r="I145" s="372">
        <v>2014</v>
      </c>
      <c r="J145" s="372">
        <v>2015</v>
      </c>
      <c r="K145" s="372">
        <v>2016</v>
      </c>
      <c r="L145" s="372">
        <v>2017</v>
      </c>
      <c r="M145" s="372">
        <v>2018</v>
      </c>
      <c r="N145" s="372">
        <v>2019</v>
      </c>
      <c r="O145" s="372">
        <v>2020</v>
      </c>
      <c r="P145" s="372">
        <v>2021</v>
      </c>
      <c r="Q145" s="372">
        <v>2022</v>
      </c>
      <c r="R145" s="372">
        <v>2023</v>
      </c>
      <c r="S145" s="372">
        <v>2024</v>
      </c>
      <c r="T145" s="372">
        <v>2025</v>
      </c>
      <c r="U145" s="372">
        <v>2026</v>
      </c>
      <c r="V145" s="372">
        <v>2027</v>
      </c>
      <c r="W145" s="372">
        <v>2028</v>
      </c>
      <c r="X145" s="372">
        <v>2029</v>
      </c>
      <c r="Y145" s="372">
        <v>2030</v>
      </c>
      <c r="Z145" s="372">
        <v>2031</v>
      </c>
      <c r="AA145" s="372">
        <v>2032</v>
      </c>
      <c r="AB145" s="372">
        <v>2033</v>
      </c>
      <c r="AC145" s="372">
        <v>2034</v>
      </c>
      <c r="AD145" s="372">
        <v>2035</v>
      </c>
      <c r="AE145" s="372">
        <v>2036</v>
      </c>
      <c r="AF145" s="372">
        <v>2037</v>
      </c>
      <c r="AG145" s="372">
        <v>2038</v>
      </c>
      <c r="AH145" s="372">
        <v>2039</v>
      </c>
      <c r="AI145" s="372">
        <v>2040</v>
      </c>
      <c r="AJ145" s="372">
        <v>2041</v>
      </c>
      <c r="AK145" s="372">
        <v>2042</v>
      </c>
      <c r="AL145" s="372">
        <v>2043</v>
      </c>
      <c r="AM145" s="372">
        <v>2044</v>
      </c>
      <c r="AN145" s="372">
        <v>2045</v>
      </c>
      <c r="AO145" s="372">
        <v>2046</v>
      </c>
      <c r="AP145" s="372">
        <v>2047</v>
      </c>
      <c r="AQ145" s="372">
        <v>2048</v>
      </c>
      <c r="AR145" s="372">
        <v>2049</v>
      </c>
      <c r="AS145" s="372">
        <v>2050</v>
      </c>
      <c r="AT145" s="372">
        <v>2051</v>
      </c>
      <c r="AU145" s="372">
        <v>2052</v>
      </c>
      <c r="AV145" s="372">
        <v>2053</v>
      </c>
      <c r="AW145" s="372">
        <v>2054</v>
      </c>
      <c r="AX145" s="372">
        <v>2055</v>
      </c>
      <c r="AY145" s="372">
        <v>2056</v>
      </c>
      <c r="AZ145" s="372">
        <v>2057</v>
      </c>
      <c r="BA145" s="372">
        <v>2058</v>
      </c>
      <c r="BB145" s="372">
        <v>2059</v>
      </c>
      <c r="BC145" s="372">
        <v>2060</v>
      </c>
      <c r="BD145" s="372">
        <v>2061</v>
      </c>
      <c r="BE145" s="372">
        <v>2062</v>
      </c>
      <c r="BF145" s="372">
        <v>2063</v>
      </c>
      <c r="BG145" s="372">
        <v>2064</v>
      </c>
      <c r="BH145" s="372">
        <v>2065</v>
      </c>
      <c r="BI145" s="372">
        <v>2066</v>
      </c>
      <c r="BJ145" s="372">
        <v>2067</v>
      </c>
      <c r="BK145" s="372">
        <v>2068</v>
      </c>
      <c r="BL145" s="372">
        <v>2069</v>
      </c>
      <c r="BM145" s="372">
        <v>2070</v>
      </c>
      <c r="BN145" s="372">
        <v>2071</v>
      </c>
      <c r="BO145" s="372">
        <v>2072</v>
      </c>
      <c r="BP145" s="372">
        <v>2073</v>
      </c>
      <c r="BQ145" s="372">
        <v>2074</v>
      </c>
      <c r="BR145" s="372">
        <v>2075</v>
      </c>
      <c r="BS145" s="372">
        <v>2076</v>
      </c>
      <c r="BT145" s="372">
        <v>2077</v>
      </c>
      <c r="BU145" s="372">
        <v>2078</v>
      </c>
      <c r="BV145" s="372">
        <v>2079</v>
      </c>
      <c r="BW145" s="372">
        <v>2080</v>
      </c>
      <c r="BX145" s="372">
        <v>2081</v>
      </c>
      <c r="BY145" s="372">
        <v>2082</v>
      </c>
      <c r="BZ145" s="372">
        <v>2083</v>
      </c>
      <c r="CA145" s="372">
        <v>2084</v>
      </c>
      <c r="CB145" s="372">
        <v>2085</v>
      </c>
      <c r="CC145" s="372">
        <v>2086</v>
      </c>
      <c r="CD145" s="372">
        <v>2087</v>
      </c>
      <c r="CE145" s="372">
        <v>2088</v>
      </c>
      <c r="CF145" s="372">
        <v>2089</v>
      </c>
    </row>
    <row r="146" spans="3:84">
      <c r="D146" s="373" t="s">
        <v>87</v>
      </c>
      <c r="E146" s="373" t="e">
        <f t="shared" ref="E146:AJ146" si="93">VLOOKUP(E$145, Carbon_price,4,0)*E139/10</f>
        <v>#DIV/0!</v>
      </c>
      <c r="F146" s="373" t="e">
        <f t="shared" si="93"/>
        <v>#DIV/0!</v>
      </c>
      <c r="G146" s="373" t="e">
        <f t="shared" si="93"/>
        <v>#DIV/0!</v>
      </c>
      <c r="H146" s="373" t="e">
        <f t="shared" si="93"/>
        <v>#DIV/0!</v>
      </c>
      <c r="I146" s="373" t="e">
        <f t="shared" si="93"/>
        <v>#DIV/0!</v>
      </c>
      <c r="J146" s="373" t="e">
        <f t="shared" si="93"/>
        <v>#DIV/0!</v>
      </c>
      <c r="K146" s="373" t="e">
        <f t="shared" si="93"/>
        <v>#DIV/0!</v>
      </c>
      <c r="L146" s="373" t="e">
        <f t="shared" si="93"/>
        <v>#DIV/0!</v>
      </c>
      <c r="M146" s="373" t="e">
        <f t="shared" si="93"/>
        <v>#DIV/0!</v>
      </c>
      <c r="N146" s="373" t="e">
        <f t="shared" si="93"/>
        <v>#DIV/0!</v>
      </c>
      <c r="O146" s="373" t="e">
        <f t="shared" si="93"/>
        <v>#DIV/0!</v>
      </c>
      <c r="P146" s="373" t="e">
        <f t="shared" si="93"/>
        <v>#DIV/0!</v>
      </c>
      <c r="Q146" s="373" t="e">
        <f t="shared" si="93"/>
        <v>#DIV/0!</v>
      </c>
      <c r="R146" s="373" t="e">
        <f t="shared" si="93"/>
        <v>#DIV/0!</v>
      </c>
      <c r="S146" s="373" t="e">
        <f t="shared" si="93"/>
        <v>#DIV/0!</v>
      </c>
      <c r="T146" s="373" t="e">
        <f t="shared" si="93"/>
        <v>#DIV/0!</v>
      </c>
      <c r="U146" s="373" t="e">
        <f t="shared" si="93"/>
        <v>#DIV/0!</v>
      </c>
      <c r="V146" s="373" t="e">
        <f t="shared" si="93"/>
        <v>#DIV/0!</v>
      </c>
      <c r="W146" s="373" t="e">
        <f t="shared" si="93"/>
        <v>#DIV/0!</v>
      </c>
      <c r="X146" s="373" t="e">
        <f t="shared" si="93"/>
        <v>#DIV/0!</v>
      </c>
      <c r="Y146" s="373" t="e">
        <f t="shared" si="93"/>
        <v>#DIV/0!</v>
      </c>
      <c r="Z146" s="373" t="e">
        <f t="shared" si="93"/>
        <v>#DIV/0!</v>
      </c>
      <c r="AA146" s="373" t="e">
        <f t="shared" si="93"/>
        <v>#DIV/0!</v>
      </c>
      <c r="AB146" s="373" t="e">
        <f t="shared" si="93"/>
        <v>#DIV/0!</v>
      </c>
      <c r="AC146" s="373" t="e">
        <f t="shared" si="93"/>
        <v>#DIV/0!</v>
      </c>
      <c r="AD146" s="373" t="e">
        <f t="shared" si="93"/>
        <v>#DIV/0!</v>
      </c>
      <c r="AE146" s="373" t="e">
        <f t="shared" si="93"/>
        <v>#DIV/0!</v>
      </c>
      <c r="AF146" s="373" t="e">
        <f t="shared" si="93"/>
        <v>#DIV/0!</v>
      </c>
      <c r="AG146" s="373" t="e">
        <f t="shared" si="93"/>
        <v>#DIV/0!</v>
      </c>
      <c r="AH146" s="373" t="e">
        <f t="shared" si="93"/>
        <v>#DIV/0!</v>
      </c>
      <c r="AI146" s="373" t="e">
        <f t="shared" si="93"/>
        <v>#DIV/0!</v>
      </c>
      <c r="AJ146" s="373" t="e">
        <f t="shared" si="93"/>
        <v>#DIV/0!</v>
      </c>
      <c r="AK146" s="373" t="e">
        <f t="shared" ref="AK146:BP146" si="94">VLOOKUP(AK$145, Carbon_price,4,0)*AK139/10</f>
        <v>#DIV/0!</v>
      </c>
      <c r="AL146" s="373" t="e">
        <f t="shared" si="94"/>
        <v>#DIV/0!</v>
      </c>
      <c r="AM146" s="373" t="e">
        <f t="shared" si="94"/>
        <v>#DIV/0!</v>
      </c>
      <c r="AN146" s="373" t="e">
        <f t="shared" si="94"/>
        <v>#DIV/0!</v>
      </c>
      <c r="AO146" s="373" t="e">
        <f t="shared" si="94"/>
        <v>#DIV/0!</v>
      </c>
      <c r="AP146" s="373" t="e">
        <f t="shared" si="94"/>
        <v>#DIV/0!</v>
      </c>
      <c r="AQ146" s="373" t="e">
        <f t="shared" si="94"/>
        <v>#DIV/0!</v>
      </c>
      <c r="AR146" s="373" t="e">
        <f t="shared" si="94"/>
        <v>#DIV/0!</v>
      </c>
      <c r="AS146" s="373" t="e">
        <f t="shared" si="94"/>
        <v>#DIV/0!</v>
      </c>
      <c r="AT146" s="373" t="e">
        <f t="shared" si="94"/>
        <v>#DIV/0!</v>
      </c>
      <c r="AU146" s="373" t="e">
        <f t="shared" si="94"/>
        <v>#DIV/0!</v>
      </c>
      <c r="AV146" s="373" t="e">
        <f t="shared" si="94"/>
        <v>#DIV/0!</v>
      </c>
      <c r="AW146" s="373" t="e">
        <f t="shared" si="94"/>
        <v>#DIV/0!</v>
      </c>
      <c r="AX146" s="373" t="e">
        <f t="shared" si="94"/>
        <v>#DIV/0!</v>
      </c>
      <c r="AY146" s="373" t="e">
        <f t="shared" si="94"/>
        <v>#DIV/0!</v>
      </c>
      <c r="AZ146" s="373" t="e">
        <f t="shared" si="94"/>
        <v>#DIV/0!</v>
      </c>
      <c r="BA146" s="373" t="e">
        <f t="shared" si="94"/>
        <v>#DIV/0!</v>
      </c>
      <c r="BB146" s="373" t="e">
        <f t="shared" si="94"/>
        <v>#DIV/0!</v>
      </c>
      <c r="BC146" s="373" t="e">
        <f t="shared" si="94"/>
        <v>#DIV/0!</v>
      </c>
      <c r="BD146" s="373" t="e">
        <f t="shared" si="94"/>
        <v>#DIV/0!</v>
      </c>
      <c r="BE146" s="373" t="e">
        <f t="shared" si="94"/>
        <v>#DIV/0!</v>
      </c>
      <c r="BF146" s="373" t="e">
        <f t="shared" si="94"/>
        <v>#DIV/0!</v>
      </c>
      <c r="BG146" s="373" t="e">
        <f t="shared" si="94"/>
        <v>#DIV/0!</v>
      </c>
      <c r="BH146" s="373" t="e">
        <f t="shared" si="94"/>
        <v>#DIV/0!</v>
      </c>
      <c r="BI146" s="373" t="e">
        <f t="shared" si="94"/>
        <v>#DIV/0!</v>
      </c>
      <c r="BJ146" s="373" t="e">
        <f t="shared" si="94"/>
        <v>#DIV/0!</v>
      </c>
      <c r="BK146" s="373" t="e">
        <f t="shared" si="94"/>
        <v>#DIV/0!</v>
      </c>
      <c r="BL146" s="373" t="e">
        <f t="shared" si="94"/>
        <v>#DIV/0!</v>
      </c>
      <c r="BM146" s="373" t="e">
        <f t="shared" si="94"/>
        <v>#DIV/0!</v>
      </c>
      <c r="BN146" s="373" t="e">
        <f t="shared" si="94"/>
        <v>#DIV/0!</v>
      </c>
      <c r="BO146" s="373" t="e">
        <f t="shared" si="94"/>
        <v>#DIV/0!</v>
      </c>
      <c r="BP146" s="373" t="e">
        <f t="shared" si="94"/>
        <v>#DIV/0!</v>
      </c>
      <c r="BQ146" s="373" t="e">
        <f t="shared" ref="BQ146:CF146" si="95">VLOOKUP(BQ$145, Carbon_price,4,0)*BQ139/10</f>
        <v>#DIV/0!</v>
      </c>
      <c r="BR146" s="373" t="e">
        <f t="shared" si="95"/>
        <v>#DIV/0!</v>
      </c>
      <c r="BS146" s="373" t="e">
        <f t="shared" si="95"/>
        <v>#DIV/0!</v>
      </c>
      <c r="BT146" s="373" t="e">
        <f t="shared" si="95"/>
        <v>#DIV/0!</v>
      </c>
      <c r="BU146" s="373" t="e">
        <f t="shared" si="95"/>
        <v>#DIV/0!</v>
      </c>
      <c r="BV146" s="373" t="e">
        <f t="shared" si="95"/>
        <v>#DIV/0!</v>
      </c>
      <c r="BW146" s="373" t="e">
        <f t="shared" si="95"/>
        <v>#DIV/0!</v>
      </c>
      <c r="BX146" s="373" t="e">
        <f t="shared" si="95"/>
        <v>#DIV/0!</v>
      </c>
      <c r="BY146" s="373" t="e">
        <f t="shared" si="95"/>
        <v>#DIV/0!</v>
      </c>
      <c r="BZ146" s="373" t="e">
        <f t="shared" si="95"/>
        <v>#DIV/0!</v>
      </c>
      <c r="CA146" s="373" t="e">
        <f t="shared" si="95"/>
        <v>#DIV/0!</v>
      </c>
      <c r="CB146" s="373" t="e">
        <f t="shared" si="95"/>
        <v>#DIV/0!</v>
      </c>
      <c r="CC146" s="373" t="e">
        <f t="shared" si="95"/>
        <v>#DIV/0!</v>
      </c>
      <c r="CD146" s="373" t="e">
        <f t="shared" si="95"/>
        <v>#DIV/0!</v>
      </c>
      <c r="CE146" s="373" t="e">
        <f t="shared" si="95"/>
        <v>#DIV/0!</v>
      </c>
      <c r="CF146" s="373" t="e">
        <f t="shared" si="95"/>
        <v>#DIV/0!</v>
      </c>
    </row>
    <row r="147" spans="3:84">
      <c r="D147" s="373" t="s">
        <v>89</v>
      </c>
      <c r="E147" s="373" t="e">
        <f t="shared" ref="E147:AJ147" si="96">VLOOKUP(E$145, Carbon_price,4,0)*E140/10</f>
        <v>#DIV/0!</v>
      </c>
      <c r="F147" s="373" t="e">
        <f t="shared" si="96"/>
        <v>#DIV/0!</v>
      </c>
      <c r="G147" s="373" t="e">
        <f t="shared" si="96"/>
        <v>#DIV/0!</v>
      </c>
      <c r="H147" s="373" t="e">
        <f t="shared" si="96"/>
        <v>#DIV/0!</v>
      </c>
      <c r="I147" s="373" t="e">
        <f t="shared" si="96"/>
        <v>#DIV/0!</v>
      </c>
      <c r="J147" s="373" t="e">
        <f t="shared" si="96"/>
        <v>#DIV/0!</v>
      </c>
      <c r="K147" s="373" t="e">
        <f t="shared" si="96"/>
        <v>#DIV/0!</v>
      </c>
      <c r="L147" s="373" t="e">
        <f t="shared" si="96"/>
        <v>#DIV/0!</v>
      </c>
      <c r="M147" s="373" t="e">
        <f t="shared" si="96"/>
        <v>#DIV/0!</v>
      </c>
      <c r="N147" s="373" t="e">
        <f t="shared" si="96"/>
        <v>#DIV/0!</v>
      </c>
      <c r="O147" s="373" t="e">
        <f t="shared" si="96"/>
        <v>#DIV/0!</v>
      </c>
      <c r="P147" s="373" t="e">
        <f t="shared" si="96"/>
        <v>#DIV/0!</v>
      </c>
      <c r="Q147" s="373" t="e">
        <f t="shared" si="96"/>
        <v>#DIV/0!</v>
      </c>
      <c r="R147" s="373" t="e">
        <f t="shared" si="96"/>
        <v>#DIV/0!</v>
      </c>
      <c r="S147" s="373" t="e">
        <f t="shared" si="96"/>
        <v>#DIV/0!</v>
      </c>
      <c r="T147" s="373" t="e">
        <f t="shared" si="96"/>
        <v>#DIV/0!</v>
      </c>
      <c r="U147" s="373" t="e">
        <f t="shared" si="96"/>
        <v>#DIV/0!</v>
      </c>
      <c r="V147" s="373" t="e">
        <f t="shared" si="96"/>
        <v>#DIV/0!</v>
      </c>
      <c r="W147" s="373" t="e">
        <f t="shared" si="96"/>
        <v>#DIV/0!</v>
      </c>
      <c r="X147" s="373" t="e">
        <f t="shared" si="96"/>
        <v>#DIV/0!</v>
      </c>
      <c r="Y147" s="373" t="e">
        <f t="shared" si="96"/>
        <v>#DIV/0!</v>
      </c>
      <c r="Z147" s="373" t="e">
        <f t="shared" si="96"/>
        <v>#DIV/0!</v>
      </c>
      <c r="AA147" s="373" t="e">
        <f t="shared" si="96"/>
        <v>#DIV/0!</v>
      </c>
      <c r="AB147" s="373" t="e">
        <f t="shared" si="96"/>
        <v>#DIV/0!</v>
      </c>
      <c r="AC147" s="373" t="e">
        <f t="shared" si="96"/>
        <v>#DIV/0!</v>
      </c>
      <c r="AD147" s="373" t="e">
        <f t="shared" si="96"/>
        <v>#DIV/0!</v>
      </c>
      <c r="AE147" s="373" t="e">
        <f t="shared" si="96"/>
        <v>#DIV/0!</v>
      </c>
      <c r="AF147" s="373" t="e">
        <f t="shared" si="96"/>
        <v>#DIV/0!</v>
      </c>
      <c r="AG147" s="373" t="e">
        <f t="shared" si="96"/>
        <v>#DIV/0!</v>
      </c>
      <c r="AH147" s="373" t="e">
        <f t="shared" si="96"/>
        <v>#DIV/0!</v>
      </c>
      <c r="AI147" s="373" t="e">
        <f t="shared" si="96"/>
        <v>#DIV/0!</v>
      </c>
      <c r="AJ147" s="373" t="e">
        <f t="shared" si="96"/>
        <v>#DIV/0!</v>
      </c>
      <c r="AK147" s="373" t="e">
        <f t="shared" ref="AK147:BP147" si="97">VLOOKUP(AK$145, Carbon_price,4,0)*AK140/10</f>
        <v>#DIV/0!</v>
      </c>
      <c r="AL147" s="373" t="e">
        <f t="shared" si="97"/>
        <v>#DIV/0!</v>
      </c>
      <c r="AM147" s="373" t="e">
        <f t="shared" si="97"/>
        <v>#DIV/0!</v>
      </c>
      <c r="AN147" s="373" t="e">
        <f t="shared" si="97"/>
        <v>#DIV/0!</v>
      </c>
      <c r="AO147" s="373" t="e">
        <f t="shared" si="97"/>
        <v>#DIV/0!</v>
      </c>
      <c r="AP147" s="373" t="e">
        <f t="shared" si="97"/>
        <v>#DIV/0!</v>
      </c>
      <c r="AQ147" s="373" t="e">
        <f t="shared" si="97"/>
        <v>#DIV/0!</v>
      </c>
      <c r="AR147" s="373" t="e">
        <f t="shared" si="97"/>
        <v>#DIV/0!</v>
      </c>
      <c r="AS147" s="373" t="e">
        <f t="shared" si="97"/>
        <v>#DIV/0!</v>
      </c>
      <c r="AT147" s="373" t="e">
        <f t="shared" si="97"/>
        <v>#DIV/0!</v>
      </c>
      <c r="AU147" s="373" t="e">
        <f t="shared" si="97"/>
        <v>#DIV/0!</v>
      </c>
      <c r="AV147" s="373" t="e">
        <f t="shared" si="97"/>
        <v>#DIV/0!</v>
      </c>
      <c r="AW147" s="373" t="e">
        <f t="shared" si="97"/>
        <v>#DIV/0!</v>
      </c>
      <c r="AX147" s="373" t="e">
        <f t="shared" si="97"/>
        <v>#DIV/0!</v>
      </c>
      <c r="AY147" s="373" t="e">
        <f t="shared" si="97"/>
        <v>#DIV/0!</v>
      </c>
      <c r="AZ147" s="373" t="e">
        <f t="shared" si="97"/>
        <v>#DIV/0!</v>
      </c>
      <c r="BA147" s="373" t="e">
        <f t="shared" si="97"/>
        <v>#DIV/0!</v>
      </c>
      <c r="BB147" s="373" t="e">
        <f t="shared" si="97"/>
        <v>#DIV/0!</v>
      </c>
      <c r="BC147" s="373" t="e">
        <f t="shared" si="97"/>
        <v>#DIV/0!</v>
      </c>
      <c r="BD147" s="373" t="e">
        <f t="shared" si="97"/>
        <v>#DIV/0!</v>
      </c>
      <c r="BE147" s="373" t="e">
        <f t="shared" si="97"/>
        <v>#DIV/0!</v>
      </c>
      <c r="BF147" s="373" t="e">
        <f t="shared" si="97"/>
        <v>#DIV/0!</v>
      </c>
      <c r="BG147" s="373" t="e">
        <f t="shared" si="97"/>
        <v>#DIV/0!</v>
      </c>
      <c r="BH147" s="373" t="e">
        <f t="shared" si="97"/>
        <v>#DIV/0!</v>
      </c>
      <c r="BI147" s="373" t="e">
        <f t="shared" si="97"/>
        <v>#DIV/0!</v>
      </c>
      <c r="BJ147" s="373" t="e">
        <f t="shared" si="97"/>
        <v>#DIV/0!</v>
      </c>
      <c r="BK147" s="373" t="e">
        <f t="shared" si="97"/>
        <v>#DIV/0!</v>
      </c>
      <c r="BL147" s="373" t="e">
        <f t="shared" si="97"/>
        <v>#DIV/0!</v>
      </c>
      <c r="BM147" s="373" t="e">
        <f t="shared" si="97"/>
        <v>#DIV/0!</v>
      </c>
      <c r="BN147" s="373" t="e">
        <f t="shared" si="97"/>
        <v>#DIV/0!</v>
      </c>
      <c r="BO147" s="373" t="e">
        <f t="shared" si="97"/>
        <v>#DIV/0!</v>
      </c>
      <c r="BP147" s="373" t="e">
        <f t="shared" si="97"/>
        <v>#DIV/0!</v>
      </c>
      <c r="BQ147" s="373" t="e">
        <f t="shared" ref="BQ147:CF147" si="98">VLOOKUP(BQ$145, Carbon_price,4,0)*BQ140/10</f>
        <v>#DIV/0!</v>
      </c>
      <c r="BR147" s="373" t="e">
        <f t="shared" si="98"/>
        <v>#DIV/0!</v>
      </c>
      <c r="BS147" s="373" t="e">
        <f t="shared" si="98"/>
        <v>#DIV/0!</v>
      </c>
      <c r="BT147" s="373" t="e">
        <f t="shared" si="98"/>
        <v>#DIV/0!</v>
      </c>
      <c r="BU147" s="373" t="e">
        <f t="shared" si="98"/>
        <v>#DIV/0!</v>
      </c>
      <c r="BV147" s="373" t="e">
        <f t="shared" si="98"/>
        <v>#DIV/0!</v>
      </c>
      <c r="BW147" s="373" t="e">
        <f t="shared" si="98"/>
        <v>#DIV/0!</v>
      </c>
      <c r="BX147" s="373" t="e">
        <f t="shared" si="98"/>
        <v>#DIV/0!</v>
      </c>
      <c r="BY147" s="373" t="e">
        <f t="shared" si="98"/>
        <v>#DIV/0!</v>
      </c>
      <c r="BZ147" s="373" t="e">
        <f t="shared" si="98"/>
        <v>#DIV/0!</v>
      </c>
      <c r="CA147" s="373" t="e">
        <f t="shared" si="98"/>
        <v>#DIV/0!</v>
      </c>
      <c r="CB147" s="373" t="e">
        <f t="shared" si="98"/>
        <v>#DIV/0!</v>
      </c>
      <c r="CC147" s="373" t="e">
        <f t="shared" si="98"/>
        <v>#DIV/0!</v>
      </c>
      <c r="CD147" s="373" t="e">
        <f t="shared" si="98"/>
        <v>#DIV/0!</v>
      </c>
      <c r="CE147" s="373" t="e">
        <f t="shared" si="98"/>
        <v>#DIV/0!</v>
      </c>
      <c r="CF147" s="373" t="e">
        <f t="shared" si="98"/>
        <v>#DIV/0!</v>
      </c>
    </row>
    <row r="148" spans="3:84">
      <c r="D148" s="373" t="s">
        <v>91</v>
      </c>
      <c r="E148" s="887" t="e">
        <f t="shared" ref="E148:AJ148" si="99">VLOOKUP(E$145, Carbon_price,4,0)*E141/10</f>
        <v>#DIV/0!</v>
      </c>
      <c r="F148" s="373" t="e">
        <f t="shared" si="99"/>
        <v>#DIV/0!</v>
      </c>
      <c r="G148" s="373" t="e">
        <f t="shared" si="99"/>
        <v>#DIV/0!</v>
      </c>
      <c r="H148" s="373" t="e">
        <f t="shared" si="99"/>
        <v>#DIV/0!</v>
      </c>
      <c r="I148" s="373" t="e">
        <f t="shared" si="99"/>
        <v>#DIV/0!</v>
      </c>
      <c r="J148" s="373" t="e">
        <f t="shared" si="99"/>
        <v>#DIV/0!</v>
      </c>
      <c r="K148" s="373" t="e">
        <f t="shared" si="99"/>
        <v>#DIV/0!</v>
      </c>
      <c r="L148" s="373" t="e">
        <f t="shared" si="99"/>
        <v>#DIV/0!</v>
      </c>
      <c r="M148" s="373" t="e">
        <f t="shared" si="99"/>
        <v>#DIV/0!</v>
      </c>
      <c r="N148" s="373" t="e">
        <f t="shared" si="99"/>
        <v>#DIV/0!</v>
      </c>
      <c r="O148" s="373" t="e">
        <f t="shared" si="99"/>
        <v>#DIV/0!</v>
      </c>
      <c r="P148" s="373" t="e">
        <f t="shared" si="99"/>
        <v>#DIV/0!</v>
      </c>
      <c r="Q148" s="373" t="e">
        <f t="shared" si="99"/>
        <v>#DIV/0!</v>
      </c>
      <c r="R148" s="373" t="e">
        <f t="shared" si="99"/>
        <v>#DIV/0!</v>
      </c>
      <c r="S148" s="373" t="e">
        <f t="shared" si="99"/>
        <v>#DIV/0!</v>
      </c>
      <c r="T148" s="373" t="e">
        <f t="shared" si="99"/>
        <v>#DIV/0!</v>
      </c>
      <c r="U148" s="373" t="e">
        <f t="shared" si="99"/>
        <v>#DIV/0!</v>
      </c>
      <c r="V148" s="373" t="e">
        <f t="shared" si="99"/>
        <v>#DIV/0!</v>
      </c>
      <c r="W148" s="373" t="e">
        <f t="shared" si="99"/>
        <v>#DIV/0!</v>
      </c>
      <c r="X148" s="373" t="e">
        <f t="shared" si="99"/>
        <v>#DIV/0!</v>
      </c>
      <c r="Y148" s="373" t="e">
        <f t="shared" si="99"/>
        <v>#DIV/0!</v>
      </c>
      <c r="Z148" s="373" t="e">
        <f t="shared" si="99"/>
        <v>#DIV/0!</v>
      </c>
      <c r="AA148" s="373" t="e">
        <f t="shared" si="99"/>
        <v>#DIV/0!</v>
      </c>
      <c r="AB148" s="373" t="e">
        <f t="shared" si="99"/>
        <v>#DIV/0!</v>
      </c>
      <c r="AC148" s="373" t="e">
        <f t="shared" si="99"/>
        <v>#DIV/0!</v>
      </c>
      <c r="AD148" s="373" t="e">
        <f t="shared" si="99"/>
        <v>#DIV/0!</v>
      </c>
      <c r="AE148" s="373" t="e">
        <f t="shared" si="99"/>
        <v>#DIV/0!</v>
      </c>
      <c r="AF148" s="373" t="e">
        <f t="shared" si="99"/>
        <v>#DIV/0!</v>
      </c>
      <c r="AG148" s="373" t="e">
        <f t="shared" si="99"/>
        <v>#DIV/0!</v>
      </c>
      <c r="AH148" s="373" t="e">
        <f t="shared" si="99"/>
        <v>#DIV/0!</v>
      </c>
      <c r="AI148" s="373" t="e">
        <f t="shared" si="99"/>
        <v>#DIV/0!</v>
      </c>
      <c r="AJ148" s="373" t="e">
        <f t="shared" si="99"/>
        <v>#DIV/0!</v>
      </c>
      <c r="AK148" s="373" t="e">
        <f t="shared" ref="AK148:BP148" si="100">VLOOKUP(AK$145, Carbon_price,4,0)*AK141/10</f>
        <v>#DIV/0!</v>
      </c>
      <c r="AL148" s="373" t="e">
        <f t="shared" si="100"/>
        <v>#DIV/0!</v>
      </c>
      <c r="AM148" s="373" t="e">
        <f t="shared" si="100"/>
        <v>#DIV/0!</v>
      </c>
      <c r="AN148" s="373" t="e">
        <f t="shared" si="100"/>
        <v>#DIV/0!</v>
      </c>
      <c r="AO148" s="373" t="e">
        <f t="shared" si="100"/>
        <v>#DIV/0!</v>
      </c>
      <c r="AP148" s="373" t="e">
        <f t="shared" si="100"/>
        <v>#DIV/0!</v>
      </c>
      <c r="AQ148" s="373" t="e">
        <f t="shared" si="100"/>
        <v>#DIV/0!</v>
      </c>
      <c r="AR148" s="373" t="e">
        <f t="shared" si="100"/>
        <v>#DIV/0!</v>
      </c>
      <c r="AS148" s="373" t="e">
        <f t="shared" si="100"/>
        <v>#DIV/0!</v>
      </c>
      <c r="AT148" s="373" t="e">
        <f t="shared" si="100"/>
        <v>#DIV/0!</v>
      </c>
      <c r="AU148" s="373" t="e">
        <f t="shared" si="100"/>
        <v>#DIV/0!</v>
      </c>
      <c r="AV148" s="373" t="e">
        <f t="shared" si="100"/>
        <v>#DIV/0!</v>
      </c>
      <c r="AW148" s="373" t="e">
        <f t="shared" si="100"/>
        <v>#DIV/0!</v>
      </c>
      <c r="AX148" s="373" t="e">
        <f t="shared" si="100"/>
        <v>#DIV/0!</v>
      </c>
      <c r="AY148" s="373" t="e">
        <f t="shared" si="100"/>
        <v>#DIV/0!</v>
      </c>
      <c r="AZ148" s="373" t="e">
        <f t="shared" si="100"/>
        <v>#DIV/0!</v>
      </c>
      <c r="BA148" s="373" t="e">
        <f t="shared" si="100"/>
        <v>#DIV/0!</v>
      </c>
      <c r="BB148" s="373" t="e">
        <f t="shared" si="100"/>
        <v>#DIV/0!</v>
      </c>
      <c r="BC148" s="373" t="e">
        <f t="shared" si="100"/>
        <v>#DIV/0!</v>
      </c>
      <c r="BD148" s="373" t="e">
        <f t="shared" si="100"/>
        <v>#DIV/0!</v>
      </c>
      <c r="BE148" s="373" t="e">
        <f t="shared" si="100"/>
        <v>#DIV/0!</v>
      </c>
      <c r="BF148" s="373" t="e">
        <f t="shared" si="100"/>
        <v>#DIV/0!</v>
      </c>
      <c r="BG148" s="373" t="e">
        <f t="shared" si="100"/>
        <v>#DIV/0!</v>
      </c>
      <c r="BH148" s="373" t="e">
        <f t="shared" si="100"/>
        <v>#DIV/0!</v>
      </c>
      <c r="BI148" s="373" t="e">
        <f t="shared" si="100"/>
        <v>#DIV/0!</v>
      </c>
      <c r="BJ148" s="373" t="e">
        <f t="shared" si="100"/>
        <v>#DIV/0!</v>
      </c>
      <c r="BK148" s="373" t="e">
        <f t="shared" si="100"/>
        <v>#DIV/0!</v>
      </c>
      <c r="BL148" s="373" t="e">
        <f t="shared" si="100"/>
        <v>#DIV/0!</v>
      </c>
      <c r="BM148" s="373" t="e">
        <f t="shared" si="100"/>
        <v>#DIV/0!</v>
      </c>
      <c r="BN148" s="373" t="e">
        <f t="shared" si="100"/>
        <v>#DIV/0!</v>
      </c>
      <c r="BO148" s="373" t="e">
        <f t="shared" si="100"/>
        <v>#DIV/0!</v>
      </c>
      <c r="BP148" s="373" t="e">
        <f t="shared" si="100"/>
        <v>#DIV/0!</v>
      </c>
      <c r="BQ148" s="373" t="e">
        <f t="shared" ref="BQ148:CF148" si="101">VLOOKUP(BQ$145, Carbon_price,4,0)*BQ141/10</f>
        <v>#DIV/0!</v>
      </c>
      <c r="BR148" s="373" t="e">
        <f t="shared" si="101"/>
        <v>#DIV/0!</v>
      </c>
      <c r="BS148" s="373" t="e">
        <f t="shared" si="101"/>
        <v>#DIV/0!</v>
      </c>
      <c r="BT148" s="373" t="e">
        <f t="shared" si="101"/>
        <v>#DIV/0!</v>
      </c>
      <c r="BU148" s="373" t="e">
        <f t="shared" si="101"/>
        <v>#DIV/0!</v>
      </c>
      <c r="BV148" s="373" t="e">
        <f t="shared" si="101"/>
        <v>#DIV/0!</v>
      </c>
      <c r="BW148" s="373" t="e">
        <f t="shared" si="101"/>
        <v>#DIV/0!</v>
      </c>
      <c r="BX148" s="373" t="e">
        <f t="shared" si="101"/>
        <v>#DIV/0!</v>
      </c>
      <c r="BY148" s="373" t="e">
        <f t="shared" si="101"/>
        <v>#DIV/0!</v>
      </c>
      <c r="BZ148" s="373" t="e">
        <f t="shared" si="101"/>
        <v>#DIV/0!</v>
      </c>
      <c r="CA148" s="373" t="e">
        <f t="shared" si="101"/>
        <v>#DIV/0!</v>
      </c>
      <c r="CB148" s="373" t="e">
        <f t="shared" si="101"/>
        <v>#DIV/0!</v>
      </c>
      <c r="CC148" s="373" t="e">
        <f t="shared" si="101"/>
        <v>#DIV/0!</v>
      </c>
      <c r="CD148" s="373" t="e">
        <f t="shared" si="101"/>
        <v>#DIV/0!</v>
      </c>
      <c r="CE148" s="373" t="e">
        <f t="shared" si="101"/>
        <v>#DIV/0!</v>
      </c>
      <c r="CF148" s="373" t="e">
        <f t="shared" si="101"/>
        <v>#DIV/0!</v>
      </c>
    </row>
    <row r="149" spans="3:84" ht="15" customHeight="1">
      <c r="D149" s="373" t="s">
        <v>93</v>
      </c>
      <c r="E149" s="373" t="e">
        <f t="shared" ref="E149:AJ149" si="102">VLOOKUP(E$145, Carbon_price,4,0)*E142/10</f>
        <v>#DIV/0!</v>
      </c>
      <c r="F149" s="373" t="e">
        <f t="shared" si="102"/>
        <v>#DIV/0!</v>
      </c>
      <c r="G149" s="373" t="e">
        <f t="shared" si="102"/>
        <v>#DIV/0!</v>
      </c>
      <c r="H149" s="373" t="e">
        <f t="shared" si="102"/>
        <v>#DIV/0!</v>
      </c>
      <c r="I149" s="373" t="e">
        <f t="shared" si="102"/>
        <v>#DIV/0!</v>
      </c>
      <c r="J149" s="373" t="e">
        <f t="shared" si="102"/>
        <v>#DIV/0!</v>
      </c>
      <c r="K149" s="373" t="e">
        <f t="shared" si="102"/>
        <v>#DIV/0!</v>
      </c>
      <c r="L149" s="373" t="e">
        <f t="shared" si="102"/>
        <v>#DIV/0!</v>
      </c>
      <c r="M149" s="373" t="e">
        <f t="shared" si="102"/>
        <v>#DIV/0!</v>
      </c>
      <c r="N149" s="373" t="e">
        <f t="shared" si="102"/>
        <v>#DIV/0!</v>
      </c>
      <c r="O149" s="373" t="e">
        <f t="shared" si="102"/>
        <v>#DIV/0!</v>
      </c>
      <c r="P149" s="373" t="e">
        <f t="shared" si="102"/>
        <v>#DIV/0!</v>
      </c>
      <c r="Q149" s="373" t="e">
        <f t="shared" si="102"/>
        <v>#DIV/0!</v>
      </c>
      <c r="R149" s="373" t="e">
        <f t="shared" si="102"/>
        <v>#DIV/0!</v>
      </c>
      <c r="S149" s="373" t="e">
        <f t="shared" si="102"/>
        <v>#DIV/0!</v>
      </c>
      <c r="T149" s="373" t="e">
        <f t="shared" si="102"/>
        <v>#DIV/0!</v>
      </c>
      <c r="U149" s="373" t="e">
        <f t="shared" si="102"/>
        <v>#DIV/0!</v>
      </c>
      <c r="V149" s="373" t="e">
        <f t="shared" si="102"/>
        <v>#DIV/0!</v>
      </c>
      <c r="W149" s="373" t="e">
        <f t="shared" si="102"/>
        <v>#DIV/0!</v>
      </c>
      <c r="X149" s="373" t="e">
        <f t="shared" si="102"/>
        <v>#DIV/0!</v>
      </c>
      <c r="Y149" s="373" t="e">
        <f t="shared" si="102"/>
        <v>#DIV/0!</v>
      </c>
      <c r="Z149" s="373" t="e">
        <f t="shared" si="102"/>
        <v>#DIV/0!</v>
      </c>
      <c r="AA149" s="373" t="e">
        <f t="shared" si="102"/>
        <v>#DIV/0!</v>
      </c>
      <c r="AB149" s="373" t="e">
        <f t="shared" si="102"/>
        <v>#DIV/0!</v>
      </c>
      <c r="AC149" s="373" t="e">
        <f t="shared" si="102"/>
        <v>#DIV/0!</v>
      </c>
      <c r="AD149" s="373" t="e">
        <f t="shared" si="102"/>
        <v>#DIV/0!</v>
      </c>
      <c r="AE149" s="373" t="e">
        <f t="shared" si="102"/>
        <v>#DIV/0!</v>
      </c>
      <c r="AF149" s="373" t="e">
        <f t="shared" si="102"/>
        <v>#DIV/0!</v>
      </c>
      <c r="AG149" s="373" t="e">
        <f t="shared" si="102"/>
        <v>#DIV/0!</v>
      </c>
      <c r="AH149" s="373" t="e">
        <f t="shared" si="102"/>
        <v>#DIV/0!</v>
      </c>
      <c r="AI149" s="373" t="e">
        <f t="shared" si="102"/>
        <v>#DIV/0!</v>
      </c>
      <c r="AJ149" s="373" t="e">
        <f t="shared" si="102"/>
        <v>#DIV/0!</v>
      </c>
      <c r="AK149" s="373" t="e">
        <f t="shared" ref="AK149:BP149" si="103">VLOOKUP(AK$145, Carbon_price,4,0)*AK142/10</f>
        <v>#DIV/0!</v>
      </c>
      <c r="AL149" s="373" t="e">
        <f t="shared" si="103"/>
        <v>#DIV/0!</v>
      </c>
      <c r="AM149" s="373" t="e">
        <f t="shared" si="103"/>
        <v>#DIV/0!</v>
      </c>
      <c r="AN149" s="373" t="e">
        <f t="shared" si="103"/>
        <v>#DIV/0!</v>
      </c>
      <c r="AO149" s="373" t="e">
        <f t="shared" si="103"/>
        <v>#DIV/0!</v>
      </c>
      <c r="AP149" s="373" t="e">
        <f t="shared" si="103"/>
        <v>#DIV/0!</v>
      </c>
      <c r="AQ149" s="373" t="e">
        <f t="shared" si="103"/>
        <v>#DIV/0!</v>
      </c>
      <c r="AR149" s="373" t="e">
        <f t="shared" si="103"/>
        <v>#DIV/0!</v>
      </c>
      <c r="AS149" s="373" t="e">
        <f t="shared" si="103"/>
        <v>#DIV/0!</v>
      </c>
      <c r="AT149" s="373" t="e">
        <f t="shared" si="103"/>
        <v>#DIV/0!</v>
      </c>
      <c r="AU149" s="373" t="e">
        <f t="shared" si="103"/>
        <v>#DIV/0!</v>
      </c>
      <c r="AV149" s="373" t="e">
        <f t="shared" si="103"/>
        <v>#DIV/0!</v>
      </c>
      <c r="AW149" s="373" t="e">
        <f t="shared" si="103"/>
        <v>#DIV/0!</v>
      </c>
      <c r="AX149" s="373" t="e">
        <f t="shared" si="103"/>
        <v>#DIV/0!</v>
      </c>
      <c r="AY149" s="373" t="e">
        <f t="shared" si="103"/>
        <v>#DIV/0!</v>
      </c>
      <c r="AZ149" s="373" t="e">
        <f t="shared" si="103"/>
        <v>#DIV/0!</v>
      </c>
      <c r="BA149" s="373" t="e">
        <f t="shared" si="103"/>
        <v>#DIV/0!</v>
      </c>
      <c r="BB149" s="373" t="e">
        <f t="shared" si="103"/>
        <v>#DIV/0!</v>
      </c>
      <c r="BC149" s="373" t="e">
        <f t="shared" si="103"/>
        <v>#DIV/0!</v>
      </c>
      <c r="BD149" s="373" t="e">
        <f t="shared" si="103"/>
        <v>#DIV/0!</v>
      </c>
      <c r="BE149" s="373" t="e">
        <f t="shared" si="103"/>
        <v>#DIV/0!</v>
      </c>
      <c r="BF149" s="373" t="e">
        <f t="shared" si="103"/>
        <v>#DIV/0!</v>
      </c>
      <c r="BG149" s="373" t="e">
        <f t="shared" si="103"/>
        <v>#DIV/0!</v>
      </c>
      <c r="BH149" s="373" t="e">
        <f t="shared" si="103"/>
        <v>#DIV/0!</v>
      </c>
      <c r="BI149" s="373" t="e">
        <f t="shared" si="103"/>
        <v>#DIV/0!</v>
      </c>
      <c r="BJ149" s="373" t="e">
        <f t="shared" si="103"/>
        <v>#DIV/0!</v>
      </c>
      <c r="BK149" s="373" t="e">
        <f t="shared" si="103"/>
        <v>#DIV/0!</v>
      </c>
      <c r="BL149" s="373" t="e">
        <f t="shared" si="103"/>
        <v>#DIV/0!</v>
      </c>
      <c r="BM149" s="373" t="e">
        <f t="shared" si="103"/>
        <v>#DIV/0!</v>
      </c>
      <c r="BN149" s="373" t="e">
        <f t="shared" si="103"/>
        <v>#DIV/0!</v>
      </c>
      <c r="BO149" s="373" t="e">
        <f t="shared" si="103"/>
        <v>#DIV/0!</v>
      </c>
      <c r="BP149" s="373" t="e">
        <f t="shared" si="103"/>
        <v>#DIV/0!</v>
      </c>
      <c r="BQ149" s="373" t="e">
        <f t="shared" ref="BQ149:CF149" si="104">VLOOKUP(BQ$145, Carbon_price,4,0)*BQ142/10</f>
        <v>#DIV/0!</v>
      </c>
      <c r="BR149" s="373" t="e">
        <f t="shared" si="104"/>
        <v>#DIV/0!</v>
      </c>
      <c r="BS149" s="373" t="e">
        <f t="shared" si="104"/>
        <v>#DIV/0!</v>
      </c>
      <c r="BT149" s="373" t="e">
        <f t="shared" si="104"/>
        <v>#DIV/0!</v>
      </c>
      <c r="BU149" s="373" t="e">
        <f t="shared" si="104"/>
        <v>#DIV/0!</v>
      </c>
      <c r="BV149" s="373" t="e">
        <f t="shared" si="104"/>
        <v>#DIV/0!</v>
      </c>
      <c r="BW149" s="373" t="e">
        <f t="shared" si="104"/>
        <v>#DIV/0!</v>
      </c>
      <c r="BX149" s="373" t="e">
        <f t="shared" si="104"/>
        <v>#DIV/0!</v>
      </c>
      <c r="BY149" s="373" t="e">
        <f t="shared" si="104"/>
        <v>#DIV/0!</v>
      </c>
      <c r="BZ149" s="373" t="e">
        <f t="shared" si="104"/>
        <v>#DIV/0!</v>
      </c>
      <c r="CA149" s="373" t="e">
        <f t="shared" si="104"/>
        <v>#DIV/0!</v>
      </c>
      <c r="CB149" s="373" t="e">
        <f t="shared" si="104"/>
        <v>#DIV/0!</v>
      </c>
      <c r="CC149" s="373" t="e">
        <f t="shared" si="104"/>
        <v>#DIV/0!</v>
      </c>
      <c r="CD149" s="373" t="e">
        <f t="shared" si="104"/>
        <v>#DIV/0!</v>
      </c>
      <c r="CE149" s="373" t="e">
        <f t="shared" si="104"/>
        <v>#DIV/0!</v>
      </c>
      <c r="CF149" s="373" t="e">
        <f t="shared" si="104"/>
        <v>#DIV/0!</v>
      </c>
    </row>
    <row r="151" spans="3:84">
      <c r="C151" s="360" t="s">
        <v>290</v>
      </c>
    </row>
    <row r="152" spans="3:84">
      <c r="D152" s="372"/>
      <c r="E152" s="372">
        <v>2010</v>
      </c>
      <c r="F152" s="372">
        <v>2011</v>
      </c>
      <c r="G152" s="372">
        <v>2012</v>
      </c>
      <c r="H152" s="372">
        <v>2013</v>
      </c>
      <c r="I152" s="372">
        <v>2014</v>
      </c>
      <c r="J152" s="372">
        <v>2015</v>
      </c>
      <c r="K152" s="372">
        <v>2016</v>
      </c>
      <c r="L152" s="372">
        <v>2017</v>
      </c>
      <c r="M152" s="372">
        <v>2018</v>
      </c>
      <c r="N152" s="372">
        <v>2019</v>
      </c>
      <c r="O152" s="372">
        <v>2020</v>
      </c>
      <c r="P152" s="372">
        <v>2021</v>
      </c>
      <c r="Q152" s="372">
        <v>2022</v>
      </c>
      <c r="R152" s="372">
        <v>2023</v>
      </c>
      <c r="S152" s="372">
        <v>2024</v>
      </c>
      <c r="T152" s="372">
        <v>2025</v>
      </c>
      <c r="U152" s="372">
        <v>2026</v>
      </c>
      <c r="V152" s="372">
        <v>2027</v>
      </c>
      <c r="W152" s="372">
        <v>2028</v>
      </c>
      <c r="X152" s="372">
        <v>2029</v>
      </c>
      <c r="Y152" s="372">
        <v>2030</v>
      </c>
      <c r="Z152" s="372">
        <v>2031</v>
      </c>
      <c r="AA152" s="372">
        <v>2032</v>
      </c>
      <c r="AB152" s="372">
        <v>2033</v>
      </c>
      <c r="AC152" s="372">
        <v>2034</v>
      </c>
      <c r="AD152" s="372">
        <v>2035</v>
      </c>
      <c r="AE152" s="372">
        <v>2036</v>
      </c>
      <c r="AF152" s="372">
        <v>2037</v>
      </c>
      <c r="AG152" s="372">
        <v>2038</v>
      </c>
      <c r="AH152" s="372">
        <v>2039</v>
      </c>
      <c r="AI152" s="372">
        <v>2040</v>
      </c>
      <c r="AJ152" s="372">
        <v>2041</v>
      </c>
      <c r="AK152" s="372">
        <v>2042</v>
      </c>
      <c r="AL152" s="372">
        <v>2043</v>
      </c>
      <c r="AM152" s="372">
        <v>2044</v>
      </c>
      <c r="AN152" s="372">
        <v>2045</v>
      </c>
      <c r="AO152" s="372">
        <v>2046</v>
      </c>
      <c r="AP152" s="372">
        <v>2047</v>
      </c>
      <c r="AQ152" s="372">
        <v>2048</v>
      </c>
      <c r="AR152" s="372">
        <v>2049</v>
      </c>
      <c r="AS152" s="372">
        <v>2050</v>
      </c>
      <c r="AT152" s="372">
        <v>2051</v>
      </c>
      <c r="AU152" s="372">
        <v>2052</v>
      </c>
      <c r="AV152" s="372">
        <v>2053</v>
      </c>
      <c r="AW152" s="372">
        <v>2054</v>
      </c>
      <c r="AX152" s="372">
        <v>2055</v>
      </c>
      <c r="AY152" s="372">
        <v>2056</v>
      </c>
      <c r="AZ152" s="372">
        <v>2057</v>
      </c>
      <c r="BA152" s="372">
        <v>2058</v>
      </c>
      <c r="BB152" s="372">
        <v>2059</v>
      </c>
      <c r="BC152" s="372">
        <v>2060</v>
      </c>
      <c r="BD152" s="372">
        <v>2061</v>
      </c>
      <c r="BE152" s="372">
        <v>2062</v>
      </c>
      <c r="BF152" s="372">
        <v>2063</v>
      </c>
      <c r="BG152" s="372">
        <v>2064</v>
      </c>
      <c r="BH152" s="372">
        <v>2065</v>
      </c>
      <c r="BI152" s="372">
        <v>2066</v>
      </c>
      <c r="BJ152" s="372">
        <v>2067</v>
      </c>
      <c r="BK152" s="372">
        <v>2068</v>
      </c>
      <c r="BL152" s="372">
        <v>2069</v>
      </c>
      <c r="BM152" s="372">
        <v>2070</v>
      </c>
      <c r="BN152" s="372">
        <v>2071</v>
      </c>
      <c r="BO152" s="372">
        <v>2072</v>
      </c>
      <c r="BP152" s="372">
        <v>2073</v>
      </c>
      <c r="BQ152" s="372">
        <v>2074</v>
      </c>
      <c r="BR152" s="372">
        <v>2075</v>
      </c>
      <c r="BS152" s="372">
        <v>2076</v>
      </c>
      <c r="BT152" s="372">
        <v>2077</v>
      </c>
      <c r="BU152" s="372">
        <v>2078</v>
      </c>
      <c r="BV152" s="372">
        <v>2079</v>
      </c>
      <c r="BW152" s="372">
        <v>2080</v>
      </c>
      <c r="BX152" s="372">
        <v>2081</v>
      </c>
      <c r="BY152" s="372">
        <v>2082</v>
      </c>
      <c r="BZ152" s="372">
        <v>2083</v>
      </c>
      <c r="CA152" s="372">
        <v>2084</v>
      </c>
      <c r="CB152" s="372">
        <v>2085</v>
      </c>
      <c r="CC152" s="372">
        <v>2086</v>
      </c>
      <c r="CD152" s="372">
        <v>2087</v>
      </c>
      <c r="CE152" s="372">
        <v>2088</v>
      </c>
      <c r="CF152" s="372">
        <v>2089</v>
      </c>
    </row>
    <row r="153" spans="3:84">
      <c r="D153" s="373" t="s">
        <v>87</v>
      </c>
      <c r="E153" s="373" t="e">
        <f t="shared" ref="E153:AJ153" si="105">E139*$E$11</f>
        <v>#DIV/0!</v>
      </c>
      <c r="F153" s="373" t="e">
        <f t="shared" si="105"/>
        <v>#DIV/0!</v>
      </c>
      <c r="G153" s="373" t="e">
        <f t="shared" si="105"/>
        <v>#DIV/0!</v>
      </c>
      <c r="H153" s="373" t="e">
        <f t="shared" si="105"/>
        <v>#DIV/0!</v>
      </c>
      <c r="I153" s="373" t="e">
        <f t="shared" si="105"/>
        <v>#DIV/0!</v>
      </c>
      <c r="J153" s="373" t="e">
        <f t="shared" si="105"/>
        <v>#DIV/0!</v>
      </c>
      <c r="K153" s="373" t="e">
        <f t="shared" si="105"/>
        <v>#DIV/0!</v>
      </c>
      <c r="L153" s="373" t="e">
        <f t="shared" si="105"/>
        <v>#DIV/0!</v>
      </c>
      <c r="M153" s="373" t="e">
        <f t="shared" si="105"/>
        <v>#DIV/0!</v>
      </c>
      <c r="N153" s="373" t="e">
        <f t="shared" si="105"/>
        <v>#DIV/0!</v>
      </c>
      <c r="O153" s="373" t="e">
        <f t="shared" si="105"/>
        <v>#DIV/0!</v>
      </c>
      <c r="P153" s="373" t="e">
        <f t="shared" si="105"/>
        <v>#DIV/0!</v>
      </c>
      <c r="Q153" s="373" t="e">
        <f t="shared" si="105"/>
        <v>#DIV/0!</v>
      </c>
      <c r="R153" s="373" t="e">
        <f t="shared" si="105"/>
        <v>#DIV/0!</v>
      </c>
      <c r="S153" s="373" t="e">
        <f t="shared" si="105"/>
        <v>#DIV/0!</v>
      </c>
      <c r="T153" s="373" t="e">
        <f t="shared" si="105"/>
        <v>#DIV/0!</v>
      </c>
      <c r="U153" s="373" t="e">
        <f t="shared" si="105"/>
        <v>#DIV/0!</v>
      </c>
      <c r="V153" s="373" t="e">
        <f t="shared" si="105"/>
        <v>#DIV/0!</v>
      </c>
      <c r="W153" s="373" t="e">
        <f t="shared" si="105"/>
        <v>#DIV/0!</v>
      </c>
      <c r="X153" s="373" t="e">
        <f t="shared" si="105"/>
        <v>#DIV/0!</v>
      </c>
      <c r="Y153" s="373" t="e">
        <f t="shared" si="105"/>
        <v>#DIV/0!</v>
      </c>
      <c r="Z153" s="373" t="e">
        <f t="shared" si="105"/>
        <v>#DIV/0!</v>
      </c>
      <c r="AA153" s="373" t="e">
        <f t="shared" si="105"/>
        <v>#DIV/0!</v>
      </c>
      <c r="AB153" s="373" t="e">
        <f t="shared" si="105"/>
        <v>#DIV/0!</v>
      </c>
      <c r="AC153" s="373" t="e">
        <f t="shared" si="105"/>
        <v>#DIV/0!</v>
      </c>
      <c r="AD153" s="373" t="e">
        <f t="shared" si="105"/>
        <v>#DIV/0!</v>
      </c>
      <c r="AE153" s="373" t="e">
        <f t="shared" si="105"/>
        <v>#DIV/0!</v>
      </c>
      <c r="AF153" s="373" t="e">
        <f t="shared" si="105"/>
        <v>#DIV/0!</v>
      </c>
      <c r="AG153" s="373" t="e">
        <f t="shared" si="105"/>
        <v>#DIV/0!</v>
      </c>
      <c r="AH153" s="373" t="e">
        <f t="shared" si="105"/>
        <v>#DIV/0!</v>
      </c>
      <c r="AI153" s="373" t="e">
        <f t="shared" si="105"/>
        <v>#DIV/0!</v>
      </c>
      <c r="AJ153" s="373" t="e">
        <f t="shared" si="105"/>
        <v>#DIV/0!</v>
      </c>
      <c r="AK153" s="373" t="e">
        <f t="shared" ref="AK153:BP153" si="106">AK139*$E$11</f>
        <v>#DIV/0!</v>
      </c>
      <c r="AL153" s="373" t="e">
        <f t="shared" si="106"/>
        <v>#DIV/0!</v>
      </c>
      <c r="AM153" s="373" t="e">
        <f t="shared" si="106"/>
        <v>#DIV/0!</v>
      </c>
      <c r="AN153" s="373" t="e">
        <f t="shared" si="106"/>
        <v>#DIV/0!</v>
      </c>
      <c r="AO153" s="373" t="e">
        <f t="shared" si="106"/>
        <v>#DIV/0!</v>
      </c>
      <c r="AP153" s="373" t="e">
        <f t="shared" si="106"/>
        <v>#DIV/0!</v>
      </c>
      <c r="AQ153" s="373" t="e">
        <f t="shared" si="106"/>
        <v>#DIV/0!</v>
      </c>
      <c r="AR153" s="373" t="e">
        <f t="shared" si="106"/>
        <v>#DIV/0!</v>
      </c>
      <c r="AS153" s="373" t="e">
        <f t="shared" si="106"/>
        <v>#DIV/0!</v>
      </c>
      <c r="AT153" s="373" t="e">
        <f t="shared" si="106"/>
        <v>#DIV/0!</v>
      </c>
      <c r="AU153" s="373" t="e">
        <f t="shared" si="106"/>
        <v>#DIV/0!</v>
      </c>
      <c r="AV153" s="373" t="e">
        <f t="shared" si="106"/>
        <v>#DIV/0!</v>
      </c>
      <c r="AW153" s="373" t="e">
        <f t="shared" si="106"/>
        <v>#DIV/0!</v>
      </c>
      <c r="AX153" s="373" t="e">
        <f t="shared" si="106"/>
        <v>#DIV/0!</v>
      </c>
      <c r="AY153" s="373" t="e">
        <f t="shared" si="106"/>
        <v>#DIV/0!</v>
      </c>
      <c r="AZ153" s="373" t="e">
        <f t="shared" si="106"/>
        <v>#DIV/0!</v>
      </c>
      <c r="BA153" s="373" t="e">
        <f t="shared" si="106"/>
        <v>#DIV/0!</v>
      </c>
      <c r="BB153" s="373" t="e">
        <f t="shared" si="106"/>
        <v>#DIV/0!</v>
      </c>
      <c r="BC153" s="373" t="e">
        <f t="shared" si="106"/>
        <v>#DIV/0!</v>
      </c>
      <c r="BD153" s="373" t="e">
        <f t="shared" si="106"/>
        <v>#DIV/0!</v>
      </c>
      <c r="BE153" s="373" t="e">
        <f t="shared" si="106"/>
        <v>#DIV/0!</v>
      </c>
      <c r="BF153" s="373" t="e">
        <f t="shared" si="106"/>
        <v>#DIV/0!</v>
      </c>
      <c r="BG153" s="373" t="e">
        <f t="shared" si="106"/>
        <v>#DIV/0!</v>
      </c>
      <c r="BH153" s="373" t="e">
        <f t="shared" si="106"/>
        <v>#DIV/0!</v>
      </c>
      <c r="BI153" s="373" t="e">
        <f t="shared" si="106"/>
        <v>#DIV/0!</v>
      </c>
      <c r="BJ153" s="373" t="e">
        <f t="shared" si="106"/>
        <v>#DIV/0!</v>
      </c>
      <c r="BK153" s="373" t="e">
        <f t="shared" si="106"/>
        <v>#DIV/0!</v>
      </c>
      <c r="BL153" s="373" t="e">
        <f t="shared" si="106"/>
        <v>#DIV/0!</v>
      </c>
      <c r="BM153" s="373" t="e">
        <f t="shared" si="106"/>
        <v>#DIV/0!</v>
      </c>
      <c r="BN153" s="373" t="e">
        <f t="shared" si="106"/>
        <v>#DIV/0!</v>
      </c>
      <c r="BO153" s="373" t="e">
        <f t="shared" si="106"/>
        <v>#DIV/0!</v>
      </c>
      <c r="BP153" s="373" t="e">
        <f t="shared" si="106"/>
        <v>#DIV/0!</v>
      </c>
      <c r="BQ153" s="373" t="e">
        <f t="shared" ref="BQ153:CF153" si="107">BQ139*$E$11</f>
        <v>#DIV/0!</v>
      </c>
      <c r="BR153" s="373" t="e">
        <f t="shared" si="107"/>
        <v>#DIV/0!</v>
      </c>
      <c r="BS153" s="373" t="e">
        <f t="shared" si="107"/>
        <v>#DIV/0!</v>
      </c>
      <c r="BT153" s="373" t="e">
        <f t="shared" si="107"/>
        <v>#DIV/0!</v>
      </c>
      <c r="BU153" s="373" t="e">
        <f t="shared" si="107"/>
        <v>#DIV/0!</v>
      </c>
      <c r="BV153" s="373" t="e">
        <f t="shared" si="107"/>
        <v>#DIV/0!</v>
      </c>
      <c r="BW153" s="373" t="e">
        <f t="shared" si="107"/>
        <v>#DIV/0!</v>
      </c>
      <c r="BX153" s="373" t="e">
        <f t="shared" si="107"/>
        <v>#DIV/0!</v>
      </c>
      <c r="BY153" s="373" t="e">
        <f t="shared" si="107"/>
        <v>#DIV/0!</v>
      </c>
      <c r="BZ153" s="373" t="e">
        <f t="shared" si="107"/>
        <v>#DIV/0!</v>
      </c>
      <c r="CA153" s="373" t="e">
        <f t="shared" si="107"/>
        <v>#DIV/0!</v>
      </c>
      <c r="CB153" s="373" t="e">
        <f t="shared" si="107"/>
        <v>#DIV/0!</v>
      </c>
      <c r="CC153" s="373" t="e">
        <f t="shared" si="107"/>
        <v>#DIV/0!</v>
      </c>
      <c r="CD153" s="373" t="e">
        <f t="shared" si="107"/>
        <v>#DIV/0!</v>
      </c>
      <c r="CE153" s="373" t="e">
        <f t="shared" si="107"/>
        <v>#DIV/0!</v>
      </c>
      <c r="CF153" s="373" t="e">
        <f t="shared" si="107"/>
        <v>#DIV/0!</v>
      </c>
    </row>
    <row r="154" spans="3:84">
      <c r="D154" s="373" t="s">
        <v>89</v>
      </c>
      <c r="E154" s="373" t="e">
        <f t="shared" ref="E154:AJ154" si="108">E140*$E$11</f>
        <v>#DIV/0!</v>
      </c>
      <c r="F154" s="373" t="e">
        <f t="shared" si="108"/>
        <v>#DIV/0!</v>
      </c>
      <c r="G154" s="373" t="e">
        <f t="shared" si="108"/>
        <v>#DIV/0!</v>
      </c>
      <c r="H154" s="373" t="e">
        <f t="shared" si="108"/>
        <v>#DIV/0!</v>
      </c>
      <c r="I154" s="373" t="e">
        <f t="shared" si="108"/>
        <v>#DIV/0!</v>
      </c>
      <c r="J154" s="373" t="e">
        <f t="shared" si="108"/>
        <v>#DIV/0!</v>
      </c>
      <c r="K154" s="373" t="e">
        <f t="shared" si="108"/>
        <v>#DIV/0!</v>
      </c>
      <c r="L154" s="373" t="e">
        <f t="shared" si="108"/>
        <v>#DIV/0!</v>
      </c>
      <c r="M154" s="373" t="e">
        <f t="shared" si="108"/>
        <v>#DIV/0!</v>
      </c>
      <c r="N154" s="373" t="e">
        <f t="shared" si="108"/>
        <v>#DIV/0!</v>
      </c>
      <c r="O154" s="373" t="e">
        <f t="shared" si="108"/>
        <v>#DIV/0!</v>
      </c>
      <c r="P154" s="373" t="e">
        <f t="shared" si="108"/>
        <v>#DIV/0!</v>
      </c>
      <c r="Q154" s="373" t="e">
        <f t="shared" si="108"/>
        <v>#DIV/0!</v>
      </c>
      <c r="R154" s="373" t="e">
        <f t="shared" si="108"/>
        <v>#DIV/0!</v>
      </c>
      <c r="S154" s="373" t="e">
        <f t="shared" si="108"/>
        <v>#DIV/0!</v>
      </c>
      <c r="T154" s="373" t="e">
        <f t="shared" si="108"/>
        <v>#DIV/0!</v>
      </c>
      <c r="U154" s="373" t="e">
        <f t="shared" si="108"/>
        <v>#DIV/0!</v>
      </c>
      <c r="V154" s="373" t="e">
        <f t="shared" si="108"/>
        <v>#DIV/0!</v>
      </c>
      <c r="W154" s="373" t="e">
        <f t="shared" si="108"/>
        <v>#DIV/0!</v>
      </c>
      <c r="X154" s="373" t="e">
        <f t="shared" si="108"/>
        <v>#DIV/0!</v>
      </c>
      <c r="Y154" s="373" t="e">
        <f t="shared" si="108"/>
        <v>#DIV/0!</v>
      </c>
      <c r="Z154" s="373" t="e">
        <f t="shared" si="108"/>
        <v>#DIV/0!</v>
      </c>
      <c r="AA154" s="373" t="e">
        <f t="shared" si="108"/>
        <v>#DIV/0!</v>
      </c>
      <c r="AB154" s="373" t="e">
        <f t="shared" si="108"/>
        <v>#DIV/0!</v>
      </c>
      <c r="AC154" s="373" t="e">
        <f t="shared" si="108"/>
        <v>#DIV/0!</v>
      </c>
      <c r="AD154" s="373" t="e">
        <f t="shared" si="108"/>
        <v>#DIV/0!</v>
      </c>
      <c r="AE154" s="373" t="e">
        <f t="shared" si="108"/>
        <v>#DIV/0!</v>
      </c>
      <c r="AF154" s="373" t="e">
        <f t="shared" si="108"/>
        <v>#DIV/0!</v>
      </c>
      <c r="AG154" s="373" t="e">
        <f t="shared" si="108"/>
        <v>#DIV/0!</v>
      </c>
      <c r="AH154" s="373" t="e">
        <f t="shared" si="108"/>
        <v>#DIV/0!</v>
      </c>
      <c r="AI154" s="373" t="e">
        <f t="shared" si="108"/>
        <v>#DIV/0!</v>
      </c>
      <c r="AJ154" s="373" t="e">
        <f t="shared" si="108"/>
        <v>#DIV/0!</v>
      </c>
      <c r="AK154" s="373" t="e">
        <f t="shared" ref="AK154:BP154" si="109">AK140*$E$11</f>
        <v>#DIV/0!</v>
      </c>
      <c r="AL154" s="373" t="e">
        <f t="shared" si="109"/>
        <v>#DIV/0!</v>
      </c>
      <c r="AM154" s="373" t="e">
        <f t="shared" si="109"/>
        <v>#DIV/0!</v>
      </c>
      <c r="AN154" s="373" t="e">
        <f t="shared" si="109"/>
        <v>#DIV/0!</v>
      </c>
      <c r="AO154" s="373" t="e">
        <f t="shared" si="109"/>
        <v>#DIV/0!</v>
      </c>
      <c r="AP154" s="373" t="e">
        <f t="shared" si="109"/>
        <v>#DIV/0!</v>
      </c>
      <c r="AQ154" s="373" t="e">
        <f t="shared" si="109"/>
        <v>#DIV/0!</v>
      </c>
      <c r="AR154" s="373" t="e">
        <f t="shared" si="109"/>
        <v>#DIV/0!</v>
      </c>
      <c r="AS154" s="373" t="e">
        <f t="shared" si="109"/>
        <v>#DIV/0!</v>
      </c>
      <c r="AT154" s="373" t="e">
        <f t="shared" si="109"/>
        <v>#DIV/0!</v>
      </c>
      <c r="AU154" s="373" t="e">
        <f t="shared" si="109"/>
        <v>#DIV/0!</v>
      </c>
      <c r="AV154" s="373" t="e">
        <f t="shared" si="109"/>
        <v>#DIV/0!</v>
      </c>
      <c r="AW154" s="373" t="e">
        <f t="shared" si="109"/>
        <v>#DIV/0!</v>
      </c>
      <c r="AX154" s="373" t="e">
        <f t="shared" si="109"/>
        <v>#DIV/0!</v>
      </c>
      <c r="AY154" s="373" t="e">
        <f t="shared" si="109"/>
        <v>#DIV/0!</v>
      </c>
      <c r="AZ154" s="373" t="e">
        <f t="shared" si="109"/>
        <v>#DIV/0!</v>
      </c>
      <c r="BA154" s="373" t="e">
        <f t="shared" si="109"/>
        <v>#DIV/0!</v>
      </c>
      <c r="BB154" s="373" t="e">
        <f t="shared" si="109"/>
        <v>#DIV/0!</v>
      </c>
      <c r="BC154" s="373" t="e">
        <f t="shared" si="109"/>
        <v>#DIV/0!</v>
      </c>
      <c r="BD154" s="373" t="e">
        <f t="shared" si="109"/>
        <v>#DIV/0!</v>
      </c>
      <c r="BE154" s="373" t="e">
        <f t="shared" si="109"/>
        <v>#DIV/0!</v>
      </c>
      <c r="BF154" s="373" t="e">
        <f t="shared" si="109"/>
        <v>#DIV/0!</v>
      </c>
      <c r="BG154" s="373" t="e">
        <f t="shared" si="109"/>
        <v>#DIV/0!</v>
      </c>
      <c r="BH154" s="373" t="e">
        <f t="shared" si="109"/>
        <v>#DIV/0!</v>
      </c>
      <c r="BI154" s="373" t="e">
        <f t="shared" si="109"/>
        <v>#DIV/0!</v>
      </c>
      <c r="BJ154" s="373" t="e">
        <f t="shared" si="109"/>
        <v>#DIV/0!</v>
      </c>
      <c r="BK154" s="373" t="e">
        <f t="shared" si="109"/>
        <v>#DIV/0!</v>
      </c>
      <c r="BL154" s="373" t="e">
        <f t="shared" si="109"/>
        <v>#DIV/0!</v>
      </c>
      <c r="BM154" s="373" t="e">
        <f t="shared" si="109"/>
        <v>#DIV/0!</v>
      </c>
      <c r="BN154" s="373" t="e">
        <f t="shared" si="109"/>
        <v>#DIV/0!</v>
      </c>
      <c r="BO154" s="373" t="e">
        <f t="shared" si="109"/>
        <v>#DIV/0!</v>
      </c>
      <c r="BP154" s="373" t="e">
        <f t="shared" si="109"/>
        <v>#DIV/0!</v>
      </c>
      <c r="BQ154" s="373" t="e">
        <f t="shared" ref="BQ154:CF154" si="110">BQ140*$E$11</f>
        <v>#DIV/0!</v>
      </c>
      <c r="BR154" s="373" t="e">
        <f t="shared" si="110"/>
        <v>#DIV/0!</v>
      </c>
      <c r="BS154" s="373" t="e">
        <f t="shared" si="110"/>
        <v>#DIV/0!</v>
      </c>
      <c r="BT154" s="373" t="e">
        <f t="shared" si="110"/>
        <v>#DIV/0!</v>
      </c>
      <c r="BU154" s="373" t="e">
        <f t="shared" si="110"/>
        <v>#DIV/0!</v>
      </c>
      <c r="BV154" s="373" t="e">
        <f t="shared" si="110"/>
        <v>#DIV/0!</v>
      </c>
      <c r="BW154" s="373" t="e">
        <f t="shared" si="110"/>
        <v>#DIV/0!</v>
      </c>
      <c r="BX154" s="373" t="e">
        <f t="shared" si="110"/>
        <v>#DIV/0!</v>
      </c>
      <c r="BY154" s="373" t="e">
        <f t="shared" si="110"/>
        <v>#DIV/0!</v>
      </c>
      <c r="BZ154" s="373" t="e">
        <f t="shared" si="110"/>
        <v>#DIV/0!</v>
      </c>
      <c r="CA154" s="373" t="e">
        <f t="shared" si="110"/>
        <v>#DIV/0!</v>
      </c>
      <c r="CB154" s="373" t="e">
        <f t="shared" si="110"/>
        <v>#DIV/0!</v>
      </c>
      <c r="CC154" s="373" t="e">
        <f t="shared" si="110"/>
        <v>#DIV/0!</v>
      </c>
      <c r="CD154" s="373" t="e">
        <f t="shared" si="110"/>
        <v>#DIV/0!</v>
      </c>
      <c r="CE154" s="373" t="e">
        <f t="shared" si="110"/>
        <v>#DIV/0!</v>
      </c>
      <c r="CF154" s="373" t="e">
        <f t="shared" si="110"/>
        <v>#DIV/0!</v>
      </c>
    </row>
    <row r="155" spans="3:84">
      <c r="D155" s="373" t="s">
        <v>91</v>
      </c>
      <c r="E155" s="373" t="e">
        <f t="shared" ref="E155:AJ155" si="111">E141*$E$11</f>
        <v>#DIV/0!</v>
      </c>
      <c r="F155" s="373" t="e">
        <f t="shared" si="111"/>
        <v>#DIV/0!</v>
      </c>
      <c r="G155" s="373" t="e">
        <f t="shared" si="111"/>
        <v>#DIV/0!</v>
      </c>
      <c r="H155" s="373" t="e">
        <f t="shared" si="111"/>
        <v>#DIV/0!</v>
      </c>
      <c r="I155" s="373" t="e">
        <f t="shared" si="111"/>
        <v>#DIV/0!</v>
      </c>
      <c r="J155" s="373" t="e">
        <f t="shared" si="111"/>
        <v>#DIV/0!</v>
      </c>
      <c r="K155" s="373" t="e">
        <f t="shared" si="111"/>
        <v>#DIV/0!</v>
      </c>
      <c r="L155" s="373" t="e">
        <f t="shared" si="111"/>
        <v>#DIV/0!</v>
      </c>
      <c r="M155" s="373" t="e">
        <f t="shared" si="111"/>
        <v>#DIV/0!</v>
      </c>
      <c r="N155" s="373" t="e">
        <f t="shared" si="111"/>
        <v>#DIV/0!</v>
      </c>
      <c r="O155" s="373" t="e">
        <f t="shared" si="111"/>
        <v>#DIV/0!</v>
      </c>
      <c r="P155" s="373" t="e">
        <f t="shared" si="111"/>
        <v>#DIV/0!</v>
      </c>
      <c r="Q155" s="373" t="e">
        <f t="shared" si="111"/>
        <v>#DIV/0!</v>
      </c>
      <c r="R155" s="373" t="e">
        <f t="shared" si="111"/>
        <v>#DIV/0!</v>
      </c>
      <c r="S155" s="373" t="e">
        <f t="shared" si="111"/>
        <v>#DIV/0!</v>
      </c>
      <c r="T155" s="373" t="e">
        <f t="shared" si="111"/>
        <v>#DIV/0!</v>
      </c>
      <c r="U155" s="373" t="e">
        <f t="shared" si="111"/>
        <v>#DIV/0!</v>
      </c>
      <c r="V155" s="373" t="e">
        <f t="shared" si="111"/>
        <v>#DIV/0!</v>
      </c>
      <c r="W155" s="373" t="e">
        <f t="shared" si="111"/>
        <v>#DIV/0!</v>
      </c>
      <c r="X155" s="373" t="e">
        <f t="shared" si="111"/>
        <v>#DIV/0!</v>
      </c>
      <c r="Y155" s="373" t="e">
        <f t="shared" si="111"/>
        <v>#DIV/0!</v>
      </c>
      <c r="Z155" s="373" t="e">
        <f t="shared" si="111"/>
        <v>#DIV/0!</v>
      </c>
      <c r="AA155" s="373" t="e">
        <f t="shared" si="111"/>
        <v>#DIV/0!</v>
      </c>
      <c r="AB155" s="373" t="e">
        <f t="shared" si="111"/>
        <v>#DIV/0!</v>
      </c>
      <c r="AC155" s="373" t="e">
        <f t="shared" si="111"/>
        <v>#DIV/0!</v>
      </c>
      <c r="AD155" s="373" t="e">
        <f t="shared" si="111"/>
        <v>#DIV/0!</v>
      </c>
      <c r="AE155" s="373" t="e">
        <f t="shared" si="111"/>
        <v>#DIV/0!</v>
      </c>
      <c r="AF155" s="373" t="e">
        <f t="shared" si="111"/>
        <v>#DIV/0!</v>
      </c>
      <c r="AG155" s="373" t="e">
        <f t="shared" si="111"/>
        <v>#DIV/0!</v>
      </c>
      <c r="AH155" s="373" t="e">
        <f t="shared" si="111"/>
        <v>#DIV/0!</v>
      </c>
      <c r="AI155" s="373" t="e">
        <f t="shared" si="111"/>
        <v>#DIV/0!</v>
      </c>
      <c r="AJ155" s="373" t="e">
        <f t="shared" si="111"/>
        <v>#DIV/0!</v>
      </c>
      <c r="AK155" s="373" t="e">
        <f t="shared" ref="AK155:BP155" si="112">AK141*$E$11</f>
        <v>#DIV/0!</v>
      </c>
      <c r="AL155" s="373" t="e">
        <f t="shared" si="112"/>
        <v>#DIV/0!</v>
      </c>
      <c r="AM155" s="373" t="e">
        <f t="shared" si="112"/>
        <v>#DIV/0!</v>
      </c>
      <c r="AN155" s="373" t="e">
        <f t="shared" si="112"/>
        <v>#DIV/0!</v>
      </c>
      <c r="AO155" s="373" t="e">
        <f t="shared" si="112"/>
        <v>#DIV/0!</v>
      </c>
      <c r="AP155" s="373" t="e">
        <f t="shared" si="112"/>
        <v>#DIV/0!</v>
      </c>
      <c r="AQ155" s="373" t="e">
        <f t="shared" si="112"/>
        <v>#DIV/0!</v>
      </c>
      <c r="AR155" s="373" t="e">
        <f t="shared" si="112"/>
        <v>#DIV/0!</v>
      </c>
      <c r="AS155" s="373" t="e">
        <f t="shared" si="112"/>
        <v>#DIV/0!</v>
      </c>
      <c r="AT155" s="373" t="e">
        <f t="shared" si="112"/>
        <v>#DIV/0!</v>
      </c>
      <c r="AU155" s="373" t="e">
        <f t="shared" si="112"/>
        <v>#DIV/0!</v>
      </c>
      <c r="AV155" s="373" t="e">
        <f t="shared" si="112"/>
        <v>#DIV/0!</v>
      </c>
      <c r="AW155" s="373" t="e">
        <f t="shared" si="112"/>
        <v>#DIV/0!</v>
      </c>
      <c r="AX155" s="373" t="e">
        <f t="shared" si="112"/>
        <v>#DIV/0!</v>
      </c>
      <c r="AY155" s="373" t="e">
        <f t="shared" si="112"/>
        <v>#DIV/0!</v>
      </c>
      <c r="AZ155" s="373" t="e">
        <f t="shared" si="112"/>
        <v>#DIV/0!</v>
      </c>
      <c r="BA155" s="373" t="e">
        <f t="shared" si="112"/>
        <v>#DIV/0!</v>
      </c>
      <c r="BB155" s="373" t="e">
        <f t="shared" si="112"/>
        <v>#DIV/0!</v>
      </c>
      <c r="BC155" s="373" t="e">
        <f t="shared" si="112"/>
        <v>#DIV/0!</v>
      </c>
      <c r="BD155" s="373" t="e">
        <f t="shared" si="112"/>
        <v>#DIV/0!</v>
      </c>
      <c r="BE155" s="373" t="e">
        <f t="shared" si="112"/>
        <v>#DIV/0!</v>
      </c>
      <c r="BF155" s="373" t="e">
        <f t="shared" si="112"/>
        <v>#DIV/0!</v>
      </c>
      <c r="BG155" s="373" t="e">
        <f t="shared" si="112"/>
        <v>#DIV/0!</v>
      </c>
      <c r="BH155" s="373" t="e">
        <f t="shared" si="112"/>
        <v>#DIV/0!</v>
      </c>
      <c r="BI155" s="373" t="e">
        <f t="shared" si="112"/>
        <v>#DIV/0!</v>
      </c>
      <c r="BJ155" s="373" t="e">
        <f t="shared" si="112"/>
        <v>#DIV/0!</v>
      </c>
      <c r="BK155" s="373" t="e">
        <f t="shared" si="112"/>
        <v>#DIV/0!</v>
      </c>
      <c r="BL155" s="373" t="e">
        <f t="shared" si="112"/>
        <v>#DIV/0!</v>
      </c>
      <c r="BM155" s="373" t="e">
        <f t="shared" si="112"/>
        <v>#DIV/0!</v>
      </c>
      <c r="BN155" s="373" t="e">
        <f t="shared" si="112"/>
        <v>#DIV/0!</v>
      </c>
      <c r="BO155" s="373" t="e">
        <f t="shared" si="112"/>
        <v>#DIV/0!</v>
      </c>
      <c r="BP155" s="373" t="e">
        <f t="shared" si="112"/>
        <v>#DIV/0!</v>
      </c>
      <c r="BQ155" s="373" t="e">
        <f t="shared" ref="BQ155:CF155" si="113">BQ141*$E$11</f>
        <v>#DIV/0!</v>
      </c>
      <c r="BR155" s="373" t="e">
        <f t="shared" si="113"/>
        <v>#DIV/0!</v>
      </c>
      <c r="BS155" s="373" t="e">
        <f t="shared" si="113"/>
        <v>#DIV/0!</v>
      </c>
      <c r="BT155" s="373" t="e">
        <f t="shared" si="113"/>
        <v>#DIV/0!</v>
      </c>
      <c r="BU155" s="373" t="e">
        <f t="shared" si="113"/>
        <v>#DIV/0!</v>
      </c>
      <c r="BV155" s="373" t="e">
        <f t="shared" si="113"/>
        <v>#DIV/0!</v>
      </c>
      <c r="BW155" s="373" t="e">
        <f t="shared" si="113"/>
        <v>#DIV/0!</v>
      </c>
      <c r="BX155" s="373" t="e">
        <f t="shared" si="113"/>
        <v>#DIV/0!</v>
      </c>
      <c r="BY155" s="373" t="e">
        <f t="shared" si="113"/>
        <v>#DIV/0!</v>
      </c>
      <c r="BZ155" s="373" t="e">
        <f t="shared" si="113"/>
        <v>#DIV/0!</v>
      </c>
      <c r="CA155" s="373" t="e">
        <f t="shared" si="113"/>
        <v>#DIV/0!</v>
      </c>
      <c r="CB155" s="373" t="e">
        <f t="shared" si="113"/>
        <v>#DIV/0!</v>
      </c>
      <c r="CC155" s="373" t="e">
        <f t="shared" si="113"/>
        <v>#DIV/0!</v>
      </c>
      <c r="CD155" s="373" t="e">
        <f t="shared" si="113"/>
        <v>#DIV/0!</v>
      </c>
      <c r="CE155" s="373" t="e">
        <f t="shared" si="113"/>
        <v>#DIV/0!</v>
      </c>
      <c r="CF155" s="373" t="e">
        <f t="shared" si="113"/>
        <v>#DIV/0!</v>
      </c>
    </row>
    <row r="156" spans="3:84">
      <c r="D156" s="373" t="s">
        <v>93</v>
      </c>
      <c r="E156" s="373" t="e">
        <f t="shared" ref="E156:AJ156" si="114">E142*$E$11</f>
        <v>#DIV/0!</v>
      </c>
      <c r="F156" s="373" t="e">
        <f t="shared" si="114"/>
        <v>#DIV/0!</v>
      </c>
      <c r="G156" s="373" t="e">
        <f t="shared" si="114"/>
        <v>#DIV/0!</v>
      </c>
      <c r="H156" s="373" t="e">
        <f t="shared" si="114"/>
        <v>#DIV/0!</v>
      </c>
      <c r="I156" s="373" t="e">
        <f t="shared" si="114"/>
        <v>#DIV/0!</v>
      </c>
      <c r="J156" s="373" t="e">
        <f t="shared" si="114"/>
        <v>#DIV/0!</v>
      </c>
      <c r="K156" s="373" t="e">
        <f t="shared" si="114"/>
        <v>#DIV/0!</v>
      </c>
      <c r="L156" s="373" t="e">
        <f t="shared" si="114"/>
        <v>#DIV/0!</v>
      </c>
      <c r="M156" s="373" t="e">
        <f t="shared" si="114"/>
        <v>#DIV/0!</v>
      </c>
      <c r="N156" s="373" t="e">
        <f t="shared" si="114"/>
        <v>#DIV/0!</v>
      </c>
      <c r="O156" s="373" t="e">
        <f t="shared" si="114"/>
        <v>#DIV/0!</v>
      </c>
      <c r="P156" s="373" t="e">
        <f t="shared" si="114"/>
        <v>#DIV/0!</v>
      </c>
      <c r="Q156" s="373" t="e">
        <f t="shared" si="114"/>
        <v>#DIV/0!</v>
      </c>
      <c r="R156" s="373" t="e">
        <f t="shared" si="114"/>
        <v>#DIV/0!</v>
      </c>
      <c r="S156" s="373" t="e">
        <f t="shared" si="114"/>
        <v>#DIV/0!</v>
      </c>
      <c r="T156" s="373" t="e">
        <f t="shared" si="114"/>
        <v>#DIV/0!</v>
      </c>
      <c r="U156" s="373" t="e">
        <f t="shared" si="114"/>
        <v>#DIV/0!</v>
      </c>
      <c r="V156" s="373" t="e">
        <f t="shared" si="114"/>
        <v>#DIV/0!</v>
      </c>
      <c r="W156" s="373" t="e">
        <f t="shared" si="114"/>
        <v>#DIV/0!</v>
      </c>
      <c r="X156" s="373" t="e">
        <f t="shared" si="114"/>
        <v>#DIV/0!</v>
      </c>
      <c r="Y156" s="373" t="e">
        <f t="shared" si="114"/>
        <v>#DIV/0!</v>
      </c>
      <c r="Z156" s="373" t="e">
        <f t="shared" si="114"/>
        <v>#DIV/0!</v>
      </c>
      <c r="AA156" s="373" t="e">
        <f t="shared" si="114"/>
        <v>#DIV/0!</v>
      </c>
      <c r="AB156" s="373" t="e">
        <f t="shared" si="114"/>
        <v>#DIV/0!</v>
      </c>
      <c r="AC156" s="373" t="e">
        <f t="shared" si="114"/>
        <v>#DIV/0!</v>
      </c>
      <c r="AD156" s="373" t="e">
        <f t="shared" si="114"/>
        <v>#DIV/0!</v>
      </c>
      <c r="AE156" s="373" t="e">
        <f t="shared" si="114"/>
        <v>#DIV/0!</v>
      </c>
      <c r="AF156" s="373" t="e">
        <f t="shared" si="114"/>
        <v>#DIV/0!</v>
      </c>
      <c r="AG156" s="373" t="e">
        <f t="shared" si="114"/>
        <v>#DIV/0!</v>
      </c>
      <c r="AH156" s="373" t="e">
        <f t="shared" si="114"/>
        <v>#DIV/0!</v>
      </c>
      <c r="AI156" s="373" t="e">
        <f t="shared" si="114"/>
        <v>#DIV/0!</v>
      </c>
      <c r="AJ156" s="373" t="e">
        <f t="shared" si="114"/>
        <v>#DIV/0!</v>
      </c>
      <c r="AK156" s="373" t="e">
        <f t="shared" ref="AK156:BP156" si="115">AK142*$E$11</f>
        <v>#DIV/0!</v>
      </c>
      <c r="AL156" s="373" t="e">
        <f t="shared" si="115"/>
        <v>#DIV/0!</v>
      </c>
      <c r="AM156" s="373" t="e">
        <f t="shared" si="115"/>
        <v>#DIV/0!</v>
      </c>
      <c r="AN156" s="373" t="e">
        <f t="shared" si="115"/>
        <v>#DIV/0!</v>
      </c>
      <c r="AO156" s="373" t="e">
        <f t="shared" si="115"/>
        <v>#DIV/0!</v>
      </c>
      <c r="AP156" s="373" t="e">
        <f t="shared" si="115"/>
        <v>#DIV/0!</v>
      </c>
      <c r="AQ156" s="373" t="e">
        <f t="shared" si="115"/>
        <v>#DIV/0!</v>
      </c>
      <c r="AR156" s="373" t="e">
        <f t="shared" si="115"/>
        <v>#DIV/0!</v>
      </c>
      <c r="AS156" s="373" t="e">
        <f t="shared" si="115"/>
        <v>#DIV/0!</v>
      </c>
      <c r="AT156" s="373" t="e">
        <f t="shared" si="115"/>
        <v>#DIV/0!</v>
      </c>
      <c r="AU156" s="373" t="e">
        <f t="shared" si="115"/>
        <v>#DIV/0!</v>
      </c>
      <c r="AV156" s="373" t="e">
        <f t="shared" si="115"/>
        <v>#DIV/0!</v>
      </c>
      <c r="AW156" s="373" t="e">
        <f t="shared" si="115"/>
        <v>#DIV/0!</v>
      </c>
      <c r="AX156" s="373" t="e">
        <f t="shared" si="115"/>
        <v>#DIV/0!</v>
      </c>
      <c r="AY156" s="373" t="e">
        <f t="shared" si="115"/>
        <v>#DIV/0!</v>
      </c>
      <c r="AZ156" s="373" t="e">
        <f t="shared" si="115"/>
        <v>#DIV/0!</v>
      </c>
      <c r="BA156" s="373" t="e">
        <f t="shared" si="115"/>
        <v>#DIV/0!</v>
      </c>
      <c r="BB156" s="373" t="e">
        <f t="shared" si="115"/>
        <v>#DIV/0!</v>
      </c>
      <c r="BC156" s="373" t="e">
        <f t="shared" si="115"/>
        <v>#DIV/0!</v>
      </c>
      <c r="BD156" s="373" t="e">
        <f t="shared" si="115"/>
        <v>#DIV/0!</v>
      </c>
      <c r="BE156" s="373" t="e">
        <f t="shared" si="115"/>
        <v>#DIV/0!</v>
      </c>
      <c r="BF156" s="373" t="e">
        <f t="shared" si="115"/>
        <v>#DIV/0!</v>
      </c>
      <c r="BG156" s="373" t="e">
        <f t="shared" si="115"/>
        <v>#DIV/0!</v>
      </c>
      <c r="BH156" s="373" t="e">
        <f t="shared" si="115"/>
        <v>#DIV/0!</v>
      </c>
      <c r="BI156" s="373" t="e">
        <f t="shared" si="115"/>
        <v>#DIV/0!</v>
      </c>
      <c r="BJ156" s="373" t="e">
        <f t="shared" si="115"/>
        <v>#DIV/0!</v>
      </c>
      <c r="BK156" s="373" t="e">
        <f t="shared" si="115"/>
        <v>#DIV/0!</v>
      </c>
      <c r="BL156" s="373" t="e">
        <f t="shared" si="115"/>
        <v>#DIV/0!</v>
      </c>
      <c r="BM156" s="373" t="e">
        <f t="shared" si="115"/>
        <v>#DIV/0!</v>
      </c>
      <c r="BN156" s="373" t="e">
        <f t="shared" si="115"/>
        <v>#DIV/0!</v>
      </c>
      <c r="BO156" s="373" t="e">
        <f t="shared" si="115"/>
        <v>#DIV/0!</v>
      </c>
      <c r="BP156" s="373" t="e">
        <f t="shared" si="115"/>
        <v>#DIV/0!</v>
      </c>
      <c r="BQ156" s="373" t="e">
        <f t="shared" ref="BQ156:CF156" si="116">BQ142*$E$11</f>
        <v>#DIV/0!</v>
      </c>
      <c r="BR156" s="373" t="e">
        <f t="shared" si="116"/>
        <v>#DIV/0!</v>
      </c>
      <c r="BS156" s="373" t="e">
        <f t="shared" si="116"/>
        <v>#DIV/0!</v>
      </c>
      <c r="BT156" s="373" t="e">
        <f t="shared" si="116"/>
        <v>#DIV/0!</v>
      </c>
      <c r="BU156" s="373" t="e">
        <f t="shared" si="116"/>
        <v>#DIV/0!</v>
      </c>
      <c r="BV156" s="373" t="e">
        <f t="shared" si="116"/>
        <v>#DIV/0!</v>
      </c>
      <c r="BW156" s="373" t="e">
        <f t="shared" si="116"/>
        <v>#DIV/0!</v>
      </c>
      <c r="BX156" s="373" t="e">
        <f t="shared" si="116"/>
        <v>#DIV/0!</v>
      </c>
      <c r="BY156" s="373" t="e">
        <f t="shared" si="116"/>
        <v>#DIV/0!</v>
      </c>
      <c r="BZ156" s="373" t="e">
        <f t="shared" si="116"/>
        <v>#DIV/0!</v>
      </c>
      <c r="CA156" s="373" t="e">
        <f t="shared" si="116"/>
        <v>#DIV/0!</v>
      </c>
      <c r="CB156" s="373" t="e">
        <f t="shared" si="116"/>
        <v>#DIV/0!</v>
      </c>
      <c r="CC156" s="373" t="e">
        <f t="shared" si="116"/>
        <v>#DIV/0!</v>
      </c>
      <c r="CD156" s="373" t="e">
        <f t="shared" si="116"/>
        <v>#DIV/0!</v>
      </c>
      <c r="CE156" s="373" t="e">
        <f t="shared" si="116"/>
        <v>#DIV/0!</v>
      </c>
      <c r="CF156" s="373" t="e">
        <f t="shared" si="116"/>
        <v>#DIV/0!</v>
      </c>
    </row>
    <row r="159" spans="3:84">
      <c r="C159" s="360" t="s">
        <v>352</v>
      </c>
    </row>
    <row r="160" spans="3:84">
      <c r="D160" s="372"/>
      <c r="E160" s="372">
        <v>2010</v>
      </c>
      <c r="F160" s="372">
        <v>2011</v>
      </c>
      <c r="G160" s="372">
        <v>2012</v>
      </c>
      <c r="H160" s="372">
        <v>2013</v>
      </c>
      <c r="I160" s="372">
        <v>2014</v>
      </c>
      <c r="J160" s="372">
        <v>2015</v>
      </c>
      <c r="K160" s="372">
        <v>2016</v>
      </c>
      <c r="L160" s="372">
        <v>2017</v>
      </c>
      <c r="M160" s="372">
        <v>2018</v>
      </c>
      <c r="N160" s="372">
        <v>2019</v>
      </c>
      <c r="O160" s="372">
        <v>2020</v>
      </c>
      <c r="P160" s="372">
        <v>2021</v>
      </c>
      <c r="Q160" s="372">
        <v>2022</v>
      </c>
      <c r="R160" s="372">
        <v>2023</v>
      </c>
      <c r="S160" s="372">
        <v>2024</v>
      </c>
      <c r="T160" s="372">
        <v>2025</v>
      </c>
      <c r="U160" s="372">
        <v>2026</v>
      </c>
      <c r="V160" s="372">
        <v>2027</v>
      </c>
      <c r="W160" s="372">
        <v>2028</v>
      </c>
      <c r="X160" s="372">
        <v>2029</v>
      </c>
      <c r="Y160" s="372">
        <v>2030</v>
      </c>
      <c r="Z160" s="372">
        <v>2031</v>
      </c>
      <c r="AA160" s="372">
        <v>2032</v>
      </c>
      <c r="AB160" s="372">
        <v>2033</v>
      </c>
      <c r="AC160" s="372">
        <v>2034</v>
      </c>
      <c r="AD160" s="372">
        <v>2035</v>
      </c>
      <c r="AE160" s="372">
        <v>2036</v>
      </c>
      <c r="AF160" s="372">
        <v>2037</v>
      </c>
      <c r="AG160" s="372">
        <v>2038</v>
      </c>
      <c r="AH160" s="372">
        <v>2039</v>
      </c>
      <c r="AI160" s="372">
        <v>2040</v>
      </c>
      <c r="AJ160" s="372">
        <v>2041</v>
      </c>
      <c r="AK160" s="372">
        <v>2042</v>
      </c>
      <c r="AL160" s="372">
        <v>2043</v>
      </c>
      <c r="AM160" s="372">
        <v>2044</v>
      </c>
      <c r="AN160" s="372">
        <v>2045</v>
      </c>
      <c r="AO160" s="372">
        <v>2046</v>
      </c>
      <c r="AP160" s="372">
        <v>2047</v>
      </c>
      <c r="AQ160" s="372">
        <v>2048</v>
      </c>
      <c r="AR160" s="372">
        <v>2049</v>
      </c>
      <c r="AS160" s="372">
        <v>2050</v>
      </c>
      <c r="AT160" s="372">
        <v>2051</v>
      </c>
      <c r="AU160" s="372">
        <v>2052</v>
      </c>
      <c r="AV160" s="372">
        <v>2053</v>
      </c>
      <c r="AW160" s="372">
        <v>2054</v>
      </c>
      <c r="AX160" s="372">
        <v>2055</v>
      </c>
      <c r="AY160" s="372">
        <v>2056</v>
      </c>
      <c r="AZ160" s="372">
        <v>2057</v>
      </c>
      <c r="BA160" s="372">
        <v>2058</v>
      </c>
      <c r="BB160" s="372">
        <v>2059</v>
      </c>
      <c r="BC160" s="372">
        <v>2060</v>
      </c>
      <c r="BD160" s="372">
        <v>2061</v>
      </c>
      <c r="BE160" s="372">
        <v>2062</v>
      </c>
      <c r="BF160" s="372">
        <v>2063</v>
      </c>
      <c r="BG160" s="372">
        <v>2064</v>
      </c>
      <c r="BH160" s="372">
        <v>2065</v>
      </c>
      <c r="BI160" s="372">
        <v>2066</v>
      </c>
      <c r="BJ160" s="372">
        <v>2067</v>
      </c>
      <c r="BK160" s="372">
        <v>2068</v>
      </c>
      <c r="BL160" s="372">
        <v>2069</v>
      </c>
      <c r="BM160" s="372">
        <v>2070</v>
      </c>
      <c r="BN160" s="372">
        <v>2071</v>
      </c>
      <c r="BO160" s="372">
        <v>2072</v>
      </c>
      <c r="BP160" s="372">
        <v>2073</v>
      </c>
      <c r="BQ160" s="372">
        <v>2074</v>
      </c>
      <c r="BR160" s="372">
        <v>2075</v>
      </c>
      <c r="BS160" s="372">
        <v>2076</v>
      </c>
      <c r="BT160" s="372">
        <v>2077</v>
      </c>
      <c r="BU160" s="372">
        <v>2078</v>
      </c>
      <c r="BV160" s="372">
        <v>2079</v>
      </c>
      <c r="BW160" s="372">
        <v>2080</v>
      </c>
      <c r="BX160" s="372">
        <v>2081</v>
      </c>
      <c r="BY160" s="372">
        <v>2082</v>
      </c>
      <c r="BZ160" s="372">
        <v>2083</v>
      </c>
      <c r="CA160" s="372">
        <v>2084</v>
      </c>
      <c r="CB160" s="372">
        <v>2085</v>
      </c>
      <c r="CC160" s="372">
        <v>2086</v>
      </c>
      <c r="CD160" s="372">
        <v>2087</v>
      </c>
      <c r="CE160" s="372">
        <v>2088</v>
      </c>
      <c r="CF160" s="372">
        <v>2089</v>
      </c>
    </row>
    <row r="161" spans="1:84">
      <c r="D161" s="373" t="s">
        <v>87</v>
      </c>
      <c r="E161" s="373" t="e">
        <f>VLOOKUP(E$160, Carbon_price,4,0)*E153/10</f>
        <v>#DIV/0!</v>
      </c>
      <c r="F161" s="373" t="e">
        <f t="shared" ref="F161:AJ161" si="117">VLOOKUP(F$160, Carbon_price,4,0)*F153/10</f>
        <v>#DIV/0!</v>
      </c>
      <c r="G161" s="373" t="e">
        <f t="shared" si="117"/>
        <v>#DIV/0!</v>
      </c>
      <c r="H161" s="373" t="e">
        <f t="shared" si="117"/>
        <v>#DIV/0!</v>
      </c>
      <c r="I161" s="373" t="e">
        <f t="shared" si="117"/>
        <v>#DIV/0!</v>
      </c>
      <c r="J161" s="373" t="e">
        <f t="shared" si="117"/>
        <v>#DIV/0!</v>
      </c>
      <c r="K161" s="373" t="e">
        <f t="shared" si="117"/>
        <v>#DIV/0!</v>
      </c>
      <c r="L161" s="373" t="e">
        <f t="shared" si="117"/>
        <v>#DIV/0!</v>
      </c>
      <c r="M161" s="373" t="e">
        <f t="shared" si="117"/>
        <v>#DIV/0!</v>
      </c>
      <c r="N161" s="373" t="e">
        <f t="shared" si="117"/>
        <v>#DIV/0!</v>
      </c>
      <c r="O161" s="373" t="e">
        <f t="shared" si="117"/>
        <v>#DIV/0!</v>
      </c>
      <c r="P161" s="373" t="e">
        <f t="shared" si="117"/>
        <v>#DIV/0!</v>
      </c>
      <c r="Q161" s="373" t="e">
        <f t="shared" si="117"/>
        <v>#DIV/0!</v>
      </c>
      <c r="R161" s="373" t="e">
        <f t="shared" si="117"/>
        <v>#DIV/0!</v>
      </c>
      <c r="S161" s="373" t="e">
        <f t="shared" si="117"/>
        <v>#DIV/0!</v>
      </c>
      <c r="T161" s="373" t="e">
        <f t="shared" si="117"/>
        <v>#DIV/0!</v>
      </c>
      <c r="U161" s="373" t="e">
        <f t="shared" si="117"/>
        <v>#DIV/0!</v>
      </c>
      <c r="V161" s="373" t="e">
        <f t="shared" si="117"/>
        <v>#DIV/0!</v>
      </c>
      <c r="W161" s="373" t="e">
        <f t="shared" si="117"/>
        <v>#DIV/0!</v>
      </c>
      <c r="X161" s="373" t="e">
        <f t="shared" si="117"/>
        <v>#DIV/0!</v>
      </c>
      <c r="Y161" s="373" t="e">
        <f t="shared" si="117"/>
        <v>#DIV/0!</v>
      </c>
      <c r="Z161" s="373" t="e">
        <f t="shared" si="117"/>
        <v>#DIV/0!</v>
      </c>
      <c r="AA161" s="373" t="e">
        <f t="shared" si="117"/>
        <v>#DIV/0!</v>
      </c>
      <c r="AB161" s="373" t="e">
        <f t="shared" si="117"/>
        <v>#DIV/0!</v>
      </c>
      <c r="AC161" s="373" t="e">
        <f t="shared" si="117"/>
        <v>#DIV/0!</v>
      </c>
      <c r="AD161" s="373" t="e">
        <f t="shared" si="117"/>
        <v>#DIV/0!</v>
      </c>
      <c r="AE161" s="373" t="e">
        <f t="shared" si="117"/>
        <v>#DIV/0!</v>
      </c>
      <c r="AF161" s="373" t="e">
        <f t="shared" si="117"/>
        <v>#DIV/0!</v>
      </c>
      <c r="AG161" s="373" t="e">
        <f t="shared" si="117"/>
        <v>#DIV/0!</v>
      </c>
      <c r="AH161" s="373" t="e">
        <f t="shared" si="117"/>
        <v>#DIV/0!</v>
      </c>
      <c r="AI161" s="373" t="e">
        <f t="shared" si="117"/>
        <v>#DIV/0!</v>
      </c>
      <c r="AJ161" s="373" t="e">
        <f t="shared" si="117"/>
        <v>#DIV/0!</v>
      </c>
      <c r="AK161" s="373" t="e">
        <f t="shared" ref="AK161:BP161" si="118">VLOOKUP(AK$160, Carbon_price,4,0)*AK153/10</f>
        <v>#DIV/0!</v>
      </c>
      <c r="AL161" s="373" t="e">
        <f t="shared" si="118"/>
        <v>#DIV/0!</v>
      </c>
      <c r="AM161" s="373" t="e">
        <f t="shared" si="118"/>
        <v>#DIV/0!</v>
      </c>
      <c r="AN161" s="373" t="e">
        <f t="shared" si="118"/>
        <v>#DIV/0!</v>
      </c>
      <c r="AO161" s="373" t="e">
        <f t="shared" si="118"/>
        <v>#DIV/0!</v>
      </c>
      <c r="AP161" s="373" t="e">
        <f t="shared" si="118"/>
        <v>#DIV/0!</v>
      </c>
      <c r="AQ161" s="373" t="e">
        <f t="shared" si="118"/>
        <v>#DIV/0!</v>
      </c>
      <c r="AR161" s="373" t="e">
        <f t="shared" si="118"/>
        <v>#DIV/0!</v>
      </c>
      <c r="AS161" s="373" t="e">
        <f t="shared" si="118"/>
        <v>#DIV/0!</v>
      </c>
      <c r="AT161" s="373" t="e">
        <f t="shared" si="118"/>
        <v>#DIV/0!</v>
      </c>
      <c r="AU161" s="373" t="e">
        <f t="shared" si="118"/>
        <v>#DIV/0!</v>
      </c>
      <c r="AV161" s="373" t="e">
        <f t="shared" si="118"/>
        <v>#DIV/0!</v>
      </c>
      <c r="AW161" s="373" t="e">
        <f t="shared" si="118"/>
        <v>#DIV/0!</v>
      </c>
      <c r="AX161" s="373" t="e">
        <f t="shared" si="118"/>
        <v>#DIV/0!</v>
      </c>
      <c r="AY161" s="373" t="e">
        <f t="shared" si="118"/>
        <v>#DIV/0!</v>
      </c>
      <c r="AZ161" s="373" t="e">
        <f t="shared" si="118"/>
        <v>#DIV/0!</v>
      </c>
      <c r="BA161" s="373" t="e">
        <f t="shared" si="118"/>
        <v>#DIV/0!</v>
      </c>
      <c r="BB161" s="373" t="e">
        <f t="shared" si="118"/>
        <v>#DIV/0!</v>
      </c>
      <c r="BC161" s="373" t="e">
        <f t="shared" si="118"/>
        <v>#DIV/0!</v>
      </c>
      <c r="BD161" s="373" t="e">
        <f t="shared" si="118"/>
        <v>#DIV/0!</v>
      </c>
      <c r="BE161" s="373" t="e">
        <f t="shared" si="118"/>
        <v>#DIV/0!</v>
      </c>
      <c r="BF161" s="373" t="e">
        <f t="shared" si="118"/>
        <v>#DIV/0!</v>
      </c>
      <c r="BG161" s="373" t="e">
        <f t="shared" si="118"/>
        <v>#DIV/0!</v>
      </c>
      <c r="BH161" s="373" t="e">
        <f t="shared" si="118"/>
        <v>#DIV/0!</v>
      </c>
      <c r="BI161" s="373" t="e">
        <f t="shared" si="118"/>
        <v>#DIV/0!</v>
      </c>
      <c r="BJ161" s="373" t="e">
        <f t="shared" si="118"/>
        <v>#DIV/0!</v>
      </c>
      <c r="BK161" s="373" t="e">
        <f t="shared" si="118"/>
        <v>#DIV/0!</v>
      </c>
      <c r="BL161" s="373" t="e">
        <f t="shared" si="118"/>
        <v>#DIV/0!</v>
      </c>
      <c r="BM161" s="373" t="e">
        <f t="shared" si="118"/>
        <v>#DIV/0!</v>
      </c>
      <c r="BN161" s="373" t="e">
        <f t="shared" si="118"/>
        <v>#DIV/0!</v>
      </c>
      <c r="BO161" s="373" t="e">
        <f t="shared" si="118"/>
        <v>#DIV/0!</v>
      </c>
      <c r="BP161" s="373" t="e">
        <f t="shared" si="118"/>
        <v>#DIV/0!</v>
      </c>
      <c r="BQ161" s="373" t="e">
        <f t="shared" ref="BQ161:CF161" si="119">VLOOKUP(BQ$160, Carbon_price,4,0)*BQ153/10</f>
        <v>#DIV/0!</v>
      </c>
      <c r="BR161" s="373" t="e">
        <f t="shared" si="119"/>
        <v>#DIV/0!</v>
      </c>
      <c r="BS161" s="373" t="e">
        <f t="shared" si="119"/>
        <v>#DIV/0!</v>
      </c>
      <c r="BT161" s="373" t="e">
        <f t="shared" si="119"/>
        <v>#DIV/0!</v>
      </c>
      <c r="BU161" s="373" t="e">
        <f t="shared" si="119"/>
        <v>#DIV/0!</v>
      </c>
      <c r="BV161" s="373" t="e">
        <f t="shared" si="119"/>
        <v>#DIV/0!</v>
      </c>
      <c r="BW161" s="373" t="e">
        <f t="shared" si="119"/>
        <v>#DIV/0!</v>
      </c>
      <c r="BX161" s="373" t="e">
        <f t="shared" si="119"/>
        <v>#DIV/0!</v>
      </c>
      <c r="BY161" s="373" t="e">
        <f t="shared" si="119"/>
        <v>#DIV/0!</v>
      </c>
      <c r="BZ161" s="373" t="e">
        <f t="shared" si="119"/>
        <v>#DIV/0!</v>
      </c>
      <c r="CA161" s="373" t="e">
        <f t="shared" si="119"/>
        <v>#DIV/0!</v>
      </c>
      <c r="CB161" s="373" t="e">
        <f t="shared" si="119"/>
        <v>#DIV/0!</v>
      </c>
      <c r="CC161" s="373" t="e">
        <f t="shared" si="119"/>
        <v>#DIV/0!</v>
      </c>
      <c r="CD161" s="373" t="e">
        <f t="shared" si="119"/>
        <v>#DIV/0!</v>
      </c>
      <c r="CE161" s="373" t="e">
        <f t="shared" si="119"/>
        <v>#DIV/0!</v>
      </c>
      <c r="CF161" s="373" t="e">
        <f t="shared" si="119"/>
        <v>#DIV/0!</v>
      </c>
    </row>
    <row r="162" spans="1:84">
      <c r="D162" s="373" t="s">
        <v>89</v>
      </c>
      <c r="E162" s="373" t="e">
        <f t="shared" ref="E162:AJ162" si="120">VLOOKUP(E$160, Carbon_price,4,0)*E154/10</f>
        <v>#DIV/0!</v>
      </c>
      <c r="F162" s="373" t="e">
        <f t="shared" si="120"/>
        <v>#DIV/0!</v>
      </c>
      <c r="G162" s="373" t="e">
        <f t="shared" si="120"/>
        <v>#DIV/0!</v>
      </c>
      <c r="H162" s="373" t="e">
        <f t="shared" si="120"/>
        <v>#DIV/0!</v>
      </c>
      <c r="I162" s="373" t="e">
        <f t="shared" si="120"/>
        <v>#DIV/0!</v>
      </c>
      <c r="J162" s="373" t="e">
        <f t="shared" si="120"/>
        <v>#DIV/0!</v>
      </c>
      <c r="K162" s="373" t="e">
        <f t="shared" si="120"/>
        <v>#DIV/0!</v>
      </c>
      <c r="L162" s="373" t="e">
        <f t="shared" si="120"/>
        <v>#DIV/0!</v>
      </c>
      <c r="M162" s="373" t="e">
        <f t="shared" si="120"/>
        <v>#DIV/0!</v>
      </c>
      <c r="N162" s="373" t="e">
        <f t="shared" si="120"/>
        <v>#DIV/0!</v>
      </c>
      <c r="O162" s="373" t="e">
        <f t="shared" si="120"/>
        <v>#DIV/0!</v>
      </c>
      <c r="P162" s="373" t="e">
        <f t="shared" si="120"/>
        <v>#DIV/0!</v>
      </c>
      <c r="Q162" s="373" t="e">
        <f t="shared" si="120"/>
        <v>#DIV/0!</v>
      </c>
      <c r="R162" s="373" t="e">
        <f t="shared" si="120"/>
        <v>#DIV/0!</v>
      </c>
      <c r="S162" s="373" t="e">
        <f t="shared" si="120"/>
        <v>#DIV/0!</v>
      </c>
      <c r="T162" s="373" t="e">
        <f t="shared" si="120"/>
        <v>#DIV/0!</v>
      </c>
      <c r="U162" s="373" t="e">
        <f t="shared" si="120"/>
        <v>#DIV/0!</v>
      </c>
      <c r="V162" s="373" t="e">
        <f t="shared" si="120"/>
        <v>#DIV/0!</v>
      </c>
      <c r="W162" s="373" t="e">
        <f t="shared" si="120"/>
        <v>#DIV/0!</v>
      </c>
      <c r="X162" s="373" t="e">
        <f t="shared" si="120"/>
        <v>#DIV/0!</v>
      </c>
      <c r="Y162" s="373" t="e">
        <f t="shared" si="120"/>
        <v>#DIV/0!</v>
      </c>
      <c r="Z162" s="373" t="e">
        <f t="shared" si="120"/>
        <v>#DIV/0!</v>
      </c>
      <c r="AA162" s="373" t="e">
        <f t="shared" si="120"/>
        <v>#DIV/0!</v>
      </c>
      <c r="AB162" s="373" t="e">
        <f t="shared" si="120"/>
        <v>#DIV/0!</v>
      </c>
      <c r="AC162" s="373" t="e">
        <f t="shared" si="120"/>
        <v>#DIV/0!</v>
      </c>
      <c r="AD162" s="373" t="e">
        <f t="shared" si="120"/>
        <v>#DIV/0!</v>
      </c>
      <c r="AE162" s="373" t="e">
        <f t="shared" si="120"/>
        <v>#DIV/0!</v>
      </c>
      <c r="AF162" s="373" t="e">
        <f t="shared" si="120"/>
        <v>#DIV/0!</v>
      </c>
      <c r="AG162" s="373" t="e">
        <f t="shared" si="120"/>
        <v>#DIV/0!</v>
      </c>
      <c r="AH162" s="373" t="e">
        <f t="shared" si="120"/>
        <v>#DIV/0!</v>
      </c>
      <c r="AI162" s="373" t="e">
        <f t="shared" si="120"/>
        <v>#DIV/0!</v>
      </c>
      <c r="AJ162" s="373" t="e">
        <f t="shared" si="120"/>
        <v>#DIV/0!</v>
      </c>
      <c r="AK162" s="373" t="e">
        <f t="shared" ref="AK162:BP162" si="121">VLOOKUP(AK$160, Carbon_price,4,0)*AK154/10</f>
        <v>#DIV/0!</v>
      </c>
      <c r="AL162" s="373" t="e">
        <f t="shared" si="121"/>
        <v>#DIV/0!</v>
      </c>
      <c r="AM162" s="373" t="e">
        <f t="shared" si="121"/>
        <v>#DIV/0!</v>
      </c>
      <c r="AN162" s="373" t="e">
        <f t="shared" si="121"/>
        <v>#DIV/0!</v>
      </c>
      <c r="AO162" s="373" t="e">
        <f t="shared" si="121"/>
        <v>#DIV/0!</v>
      </c>
      <c r="AP162" s="373" t="e">
        <f t="shared" si="121"/>
        <v>#DIV/0!</v>
      </c>
      <c r="AQ162" s="373" t="e">
        <f t="shared" si="121"/>
        <v>#DIV/0!</v>
      </c>
      <c r="AR162" s="373" t="e">
        <f t="shared" si="121"/>
        <v>#DIV/0!</v>
      </c>
      <c r="AS162" s="373" t="e">
        <f t="shared" si="121"/>
        <v>#DIV/0!</v>
      </c>
      <c r="AT162" s="373" t="e">
        <f t="shared" si="121"/>
        <v>#DIV/0!</v>
      </c>
      <c r="AU162" s="373" t="e">
        <f t="shared" si="121"/>
        <v>#DIV/0!</v>
      </c>
      <c r="AV162" s="373" t="e">
        <f t="shared" si="121"/>
        <v>#DIV/0!</v>
      </c>
      <c r="AW162" s="373" t="e">
        <f t="shared" si="121"/>
        <v>#DIV/0!</v>
      </c>
      <c r="AX162" s="373" t="e">
        <f t="shared" si="121"/>
        <v>#DIV/0!</v>
      </c>
      <c r="AY162" s="373" t="e">
        <f t="shared" si="121"/>
        <v>#DIV/0!</v>
      </c>
      <c r="AZ162" s="373" t="e">
        <f t="shared" si="121"/>
        <v>#DIV/0!</v>
      </c>
      <c r="BA162" s="373" t="e">
        <f t="shared" si="121"/>
        <v>#DIV/0!</v>
      </c>
      <c r="BB162" s="373" t="e">
        <f t="shared" si="121"/>
        <v>#DIV/0!</v>
      </c>
      <c r="BC162" s="373" t="e">
        <f t="shared" si="121"/>
        <v>#DIV/0!</v>
      </c>
      <c r="BD162" s="373" t="e">
        <f t="shared" si="121"/>
        <v>#DIV/0!</v>
      </c>
      <c r="BE162" s="373" t="e">
        <f t="shared" si="121"/>
        <v>#DIV/0!</v>
      </c>
      <c r="BF162" s="373" t="e">
        <f t="shared" si="121"/>
        <v>#DIV/0!</v>
      </c>
      <c r="BG162" s="373" t="e">
        <f t="shared" si="121"/>
        <v>#DIV/0!</v>
      </c>
      <c r="BH162" s="373" t="e">
        <f t="shared" si="121"/>
        <v>#DIV/0!</v>
      </c>
      <c r="BI162" s="373" t="e">
        <f t="shared" si="121"/>
        <v>#DIV/0!</v>
      </c>
      <c r="BJ162" s="373" t="e">
        <f t="shared" si="121"/>
        <v>#DIV/0!</v>
      </c>
      <c r="BK162" s="373" t="e">
        <f t="shared" si="121"/>
        <v>#DIV/0!</v>
      </c>
      <c r="BL162" s="373" t="e">
        <f t="shared" si="121"/>
        <v>#DIV/0!</v>
      </c>
      <c r="BM162" s="373" t="e">
        <f t="shared" si="121"/>
        <v>#DIV/0!</v>
      </c>
      <c r="BN162" s="373" t="e">
        <f t="shared" si="121"/>
        <v>#DIV/0!</v>
      </c>
      <c r="BO162" s="373" t="e">
        <f t="shared" si="121"/>
        <v>#DIV/0!</v>
      </c>
      <c r="BP162" s="373" t="e">
        <f t="shared" si="121"/>
        <v>#DIV/0!</v>
      </c>
      <c r="BQ162" s="373" t="e">
        <f t="shared" ref="BQ162:CF162" si="122">VLOOKUP(BQ$160, Carbon_price,4,0)*BQ154/10</f>
        <v>#DIV/0!</v>
      </c>
      <c r="BR162" s="373" t="e">
        <f t="shared" si="122"/>
        <v>#DIV/0!</v>
      </c>
      <c r="BS162" s="373" t="e">
        <f t="shared" si="122"/>
        <v>#DIV/0!</v>
      </c>
      <c r="BT162" s="373" t="e">
        <f t="shared" si="122"/>
        <v>#DIV/0!</v>
      </c>
      <c r="BU162" s="373" t="e">
        <f t="shared" si="122"/>
        <v>#DIV/0!</v>
      </c>
      <c r="BV162" s="373" t="e">
        <f t="shared" si="122"/>
        <v>#DIV/0!</v>
      </c>
      <c r="BW162" s="373" t="e">
        <f t="shared" si="122"/>
        <v>#DIV/0!</v>
      </c>
      <c r="BX162" s="373" t="e">
        <f t="shared" si="122"/>
        <v>#DIV/0!</v>
      </c>
      <c r="BY162" s="373" t="e">
        <f t="shared" si="122"/>
        <v>#DIV/0!</v>
      </c>
      <c r="BZ162" s="373" t="e">
        <f t="shared" si="122"/>
        <v>#DIV/0!</v>
      </c>
      <c r="CA162" s="373" t="e">
        <f t="shared" si="122"/>
        <v>#DIV/0!</v>
      </c>
      <c r="CB162" s="373" t="e">
        <f t="shared" si="122"/>
        <v>#DIV/0!</v>
      </c>
      <c r="CC162" s="373" t="e">
        <f t="shared" si="122"/>
        <v>#DIV/0!</v>
      </c>
      <c r="CD162" s="373" t="e">
        <f t="shared" si="122"/>
        <v>#DIV/0!</v>
      </c>
      <c r="CE162" s="373" t="e">
        <f t="shared" si="122"/>
        <v>#DIV/0!</v>
      </c>
      <c r="CF162" s="373" t="e">
        <f t="shared" si="122"/>
        <v>#DIV/0!</v>
      </c>
    </row>
    <row r="163" spans="1:84">
      <c r="D163" s="373" t="s">
        <v>91</v>
      </c>
      <c r="E163" s="373" t="e">
        <f t="shared" ref="E163:AJ163" si="123">VLOOKUP(E$160, Carbon_price,4,0)*E155/10</f>
        <v>#DIV/0!</v>
      </c>
      <c r="F163" s="373" t="e">
        <f t="shared" si="123"/>
        <v>#DIV/0!</v>
      </c>
      <c r="G163" s="373" t="e">
        <f t="shared" si="123"/>
        <v>#DIV/0!</v>
      </c>
      <c r="H163" s="373" t="e">
        <f t="shared" si="123"/>
        <v>#DIV/0!</v>
      </c>
      <c r="I163" s="373" t="e">
        <f t="shared" si="123"/>
        <v>#DIV/0!</v>
      </c>
      <c r="J163" s="373" t="e">
        <f t="shared" si="123"/>
        <v>#DIV/0!</v>
      </c>
      <c r="K163" s="373" t="e">
        <f t="shared" si="123"/>
        <v>#DIV/0!</v>
      </c>
      <c r="L163" s="373" t="e">
        <f t="shared" si="123"/>
        <v>#DIV/0!</v>
      </c>
      <c r="M163" s="373" t="e">
        <f t="shared" si="123"/>
        <v>#DIV/0!</v>
      </c>
      <c r="N163" s="373" t="e">
        <f t="shared" si="123"/>
        <v>#DIV/0!</v>
      </c>
      <c r="O163" s="373" t="e">
        <f t="shared" si="123"/>
        <v>#DIV/0!</v>
      </c>
      <c r="P163" s="373" t="e">
        <f t="shared" si="123"/>
        <v>#DIV/0!</v>
      </c>
      <c r="Q163" s="373" t="e">
        <f t="shared" si="123"/>
        <v>#DIV/0!</v>
      </c>
      <c r="R163" s="373" t="e">
        <f t="shared" si="123"/>
        <v>#DIV/0!</v>
      </c>
      <c r="S163" s="373" t="e">
        <f t="shared" si="123"/>
        <v>#DIV/0!</v>
      </c>
      <c r="T163" s="373" t="e">
        <f t="shared" si="123"/>
        <v>#DIV/0!</v>
      </c>
      <c r="U163" s="373" t="e">
        <f t="shared" si="123"/>
        <v>#DIV/0!</v>
      </c>
      <c r="V163" s="373" t="e">
        <f t="shared" si="123"/>
        <v>#DIV/0!</v>
      </c>
      <c r="W163" s="373" t="e">
        <f t="shared" si="123"/>
        <v>#DIV/0!</v>
      </c>
      <c r="X163" s="373" t="e">
        <f t="shared" si="123"/>
        <v>#DIV/0!</v>
      </c>
      <c r="Y163" s="373" t="e">
        <f t="shared" si="123"/>
        <v>#DIV/0!</v>
      </c>
      <c r="Z163" s="373" t="e">
        <f t="shared" si="123"/>
        <v>#DIV/0!</v>
      </c>
      <c r="AA163" s="373" t="e">
        <f t="shared" si="123"/>
        <v>#DIV/0!</v>
      </c>
      <c r="AB163" s="373" t="e">
        <f t="shared" si="123"/>
        <v>#DIV/0!</v>
      </c>
      <c r="AC163" s="373" t="e">
        <f t="shared" si="123"/>
        <v>#DIV/0!</v>
      </c>
      <c r="AD163" s="373" t="e">
        <f t="shared" si="123"/>
        <v>#DIV/0!</v>
      </c>
      <c r="AE163" s="373" t="e">
        <f t="shared" si="123"/>
        <v>#DIV/0!</v>
      </c>
      <c r="AF163" s="373" t="e">
        <f t="shared" si="123"/>
        <v>#DIV/0!</v>
      </c>
      <c r="AG163" s="373" t="e">
        <f t="shared" si="123"/>
        <v>#DIV/0!</v>
      </c>
      <c r="AH163" s="373" t="e">
        <f t="shared" si="123"/>
        <v>#DIV/0!</v>
      </c>
      <c r="AI163" s="373" t="e">
        <f t="shared" si="123"/>
        <v>#DIV/0!</v>
      </c>
      <c r="AJ163" s="373" t="e">
        <f t="shared" si="123"/>
        <v>#DIV/0!</v>
      </c>
      <c r="AK163" s="373" t="e">
        <f t="shared" ref="AK163:BP163" si="124">VLOOKUP(AK$160, Carbon_price,4,0)*AK155/10</f>
        <v>#DIV/0!</v>
      </c>
      <c r="AL163" s="373" t="e">
        <f t="shared" si="124"/>
        <v>#DIV/0!</v>
      </c>
      <c r="AM163" s="373" t="e">
        <f t="shared" si="124"/>
        <v>#DIV/0!</v>
      </c>
      <c r="AN163" s="373" t="e">
        <f t="shared" si="124"/>
        <v>#DIV/0!</v>
      </c>
      <c r="AO163" s="373" t="e">
        <f t="shared" si="124"/>
        <v>#DIV/0!</v>
      </c>
      <c r="AP163" s="373" t="e">
        <f t="shared" si="124"/>
        <v>#DIV/0!</v>
      </c>
      <c r="AQ163" s="373" t="e">
        <f t="shared" si="124"/>
        <v>#DIV/0!</v>
      </c>
      <c r="AR163" s="373" t="e">
        <f t="shared" si="124"/>
        <v>#DIV/0!</v>
      </c>
      <c r="AS163" s="373" t="e">
        <f t="shared" si="124"/>
        <v>#DIV/0!</v>
      </c>
      <c r="AT163" s="373" t="e">
        <f t="shared" si="124"/>
        <v>#DIV/0!</v>
      </c>
      <c r="AU163" s="373" t="e">
        <f t="shared" si="124"/>
        <v>#DIV/0!</v>
      </c>
      <c r="AV163" s="373" t="e">
        <f t="shared" si="124"/>
        <v>#DIV/0!</v>
      </c>
      <c r="AW163" s="373" t="e">
        <f t="shared" si="124"/>
        <v>#DIV/0!</v>
      </c>
      <c r="AX163" s="373" t="e">
        <f t="shared" si="124"/>
        <v>#DIV/0!</v>
      </c>
      <c r="AY163" s="373" t="e">
        <f t="shared" si="124"/>
        <v>#DIV/0!</v>
      </c>
      <c r="AZ163" s="373" t="e">
        <f t="shared" si="124"/>
        <v>#DIV/0!</v>
      </c>
      <c r="BA163" s="373" t="e">
        <f t="shared" si="124"/>
        <v>#DIV/0!</v>
      </c>
      <c r="BB163" s="373" t="e">
        <f t="shared" si="124"/>
        <v>#DIV/0!</v>
      </c>
      <c r="BC163" s="373" t="e">
        <f t="shared" si="124"/>
        <v>#DIV/0!</v>
      </c>
      <c r="BD163" s="373" t="e">
        <f t="shared" si="124"/>
        <v>#DIV/0!</v>
      </c>
      <c r="BE163" s="373" t="e">
        <f t="shared" si="124"/>
        <v>#DIV/0!</v>
      </c>
      <c r="BF163" s="373" t="e">
        <f t="shared" si="124"/>
        <v>#DIV/0!</v>
      </c>
      <c r="BG163" s="373" t="e">
        <f t="shared" si="124"/>
        <v>#DIV/0!</v>
      </c>
      <c r="BH163" s="373" t="e">
        <f t="shared" si="124"/>
        <v>#DIV/0!</v>
      </c>
      <c r="BI163" s="373" t="e">
        <f t="shared" si="124"/>
        <v>#DIV/0!</v>
      </c>
      <c r="BJ163" s="373" t="e">
        <f t="shared" si="124"/>
        <v>#DIV/0!</v>
      </c>
      <c r="BK163" s="373" t="e">
        <f t="shared" si="124"/>
        <v>#DIV/0!</v>
      </c>
      <c r="BL163" s="373" t="e">
        <f t="shared" si="124"/>
        <v>#DIV/0!</v>
      </c>
      <c r="BM163" s="373" t="e">
        <f t="shared" si="124"/>
        <v>#DIV/0!</v>
      </c>
      <c r="BN163" s="373" t="e">
        <f t="shared" si="124"/>
        <v>#DIV/0!</v>
      </c>
      <c r="BO163" s="373" t="e">
        <f t="shared" si="124"/>
        <v>#DIV/0!</v>
      </c>
      <c r="BP163" s="373" t="e">
        <f t="shared" si="124"/>
        <v>#DIV/0!</v>
      </c>
      <c r="BQ163" s="373" t="e">
        <f t="shared" ref="BQ163:CF163" si="125">VLOOKUP(BQ$160, Carbon_price,4,0)*BQ155/10</f>
        <v>#DIV/0!</v>
      </c>
      <c r="BR163" s="373" t="e">
        <f t="shared" si="125"/>
        <v>#DIV/0!</v>
      </c>
      <c r="BS163" s="373" t="e">
        <f t="shared" si="125"/>
        <v>#DIV/0!</v>
      </c>
      <c r="BT163" s="373" t="e">
        <f t="shared" si="125"/>
        <v>#DIV/0!</v>
      </c>
      <c r="BU163" s="373" t="e">
        <f t="shared" si="125"/>
        <v>#DIV/0!</v>
      </c>
      <c r="BV163" s="373" t="e">
        <f t="shared" si="125"/>
        <v>#DIV/0!</v>
      </c>
      <c r="BW163" s="373" t="e">
        <f t="shared" si="125"/>
        <v>#DIV/0!</v>
      </c>
      <c r="BX163" s="373" t="e">
        <f t="shared" si="125"/>
        <v>#DIV/0!</v>
      </c>
      <c r="BY163" s="373" t="e">
        <f t="shared" si="125"/>
        <v>#DIV/0!</v>
      </c>
      <c r="BZ163" s="373" t="e">
        <f t="shared" si="125"/>
        <v>#DIV/0!</v>
      </c>
      <c r="CA163" s="373" t="e">
        <f t="shared" si="125"/>
        <v>#DIV/0!</v>
      </c>
      <c r="CB163" s="373" t="e">
        <f t="shared" si="125"/>
        <v>#DIV/0!</v>
      </c>
      <c r="CC163" s="373" t="e">
        <f t="shared" si="125"/>
        <v>#DIV/0!</v>
      </c>
      <c r="CD163" s="373" t="e">
        <f t="shared" si="125"/>
        <v>#DIV/0!</v>
      </c>
      <c r="CE163" s="373" t="e">
        <f t="shared" si="125"/>
        <v>#DIV/0!</v>
      </c>
      <c r="CF163" s="373" t="e">
        <f t="shared" si="125"/>
        <v>#DIV/0!</v>
      </c>
    </row>
    <row r="164" spans="1:84">
      <c r="D164" s="373" t="s">
        <v>93</v>
      </c>
      <c r="E164" s="373" t="e">
        <f t="shared" ref="E164:AJ164" si="126">VLOOKUP(E$160, Carbon_price,4,0)*E156/10</f>
        <v>#DIV/0!</v>
      </c>
      <c r="F164" s="373" t="e">
        <f t="shared" si="126"/>
        <v>#DIV/0!</v>
      </c>
      <c r="G164" s="373" t="e">
        <f t="shared" si="126"/>
        <v>#DIV/0!</v>
      </c>
      <c r="H164" s="373" t="e">
        <f t="shared" si="126"/>
        <v>#DIV/0!</v>
      </c>
      <c r="I164" s="373" t="e">
        <f t="shared" si="126"/>
        <v>#DIV/0!</v>
      </c>
      <c r="J164" s="373" t="e">
        <f t="shared" si="126"/>
        <v>#DIV/0!</v>
      </c>
      <c r="K164" s="373" t="e">
        <f t="shared" si="126"/>
        <v>#DIV/0!</v>
      </c>
      <c r="L164" s="373" t="e">
        <f t="shared" si="126"/>
        <v>#DIV/0!</v>
      </c>
      <c r="M164" s="373" t="e">
        <f t="shared" si="126"/>
        <v>#DIV/0!</v>
      </c>
      <c r="N164" s="373" t="e">
        <f t="shared" si="126"/>
        <v>#DIV/0!</v>
      </c>
      <c r="O164" s="373" t="e">
        <f t="shared" si="126"/>
        <v>#DIV/0!</v>
      </c>
      <c r="P164" s="373" t="e">
        <f t="shared" si="126"/>
        <v>#DIV/0!</v>
      </c>
      <c r="Q164" s="373" t="e">
        <f t="shared" si="126"/>
        <v>#DIV/0!</v>
      </c>
      <c r="R164" s="373" t="e">
        <f t="shared" si="126"/>
        <v>#DIV/0!</v>
      </c>
      <c r="S164" s="373" t="e">
        <f t="shared" si="126"/>
        <v>#DIV/0!</v>
      </c>
      <c r="T164" s="373" t="e">
        <f t="shared" si="126"/>
        <v>#DIV/0!</v>
      </c>
      <c r="U164" s="373" t="e">
        <f t="shared" si="126"/>
        <v>#DIV/0!</v>
      </c>
      <c r="V164" s="373" t="e">
        <f t="shared" si="126"/>
        <v>#DIV/0!</v>
      </c>
      <c r="W164" s="373" t="e">
        <f t="shared" si="126"/>
        <v>#DIV/0!</v>
      </c>
      <c r="X164" s="373" t="e">
        <f t="shared" si="126"/>
        <v>#DIV/0!</v>
      </c>
      <c r="Y164" s="373" t="e">
        <f t="shared" si="126"/>
        <v>#DIV/0!</v>
      </c>
      <c r="Z164" s="373" t="e">
        <f t="shared" si="126"/>
        <v>#DIV/0!</v>
      </c>
      <c r="AA164" s="373" t="e">
        <f t="shared" si="126"/>
        <v>#DIV/0!</v>
      </c>
      <c r="AB164" s="373" t="e">
        <f t="shared" si="126"/>
        <v>#DIV/0!</v>
      </c>
      <c r="AC164" s="373" t="e">
        <f t="shared" si="126"/>
        <v>#DIV/0!</v>
      </c>
      <c r="AD164" s="373" t="e">
        <f t="shared" si="126"/>
        <v>#DIV/0!</v>
      </c>
      <c r="AE164" s="373" t="e">
        <f t="shared" si="126"/>
        <v>#DIV/0!</v>
      </c>
      <c r="AF164" s="373" t="e">
        <f t="shared" si="126"/>
        <v>#DIV/0!</v>
      </c>
      <c r="AG164" s="373" t="e">
        <f t="shared" si="126"/>
        <v>#DIV/0!</v>
      </c>
      <c r="AH164" s="373" t="e">
        <f t="shared" si="126"/>
        <v>#DIV/0!</v>
      </c>
      <c r="AI164" s="373" t="e">
        <f t="shared" si="126"/>
        <v>#DIV/0!</v>
      </c>
      <c r="AJ164" s="373" t="e">
        <f t="shared" si="126"/>
        <v>#DIV/0!</v>
      </c>
      <c r="AK164" s="373" t="e">
        <f t="shared" ref="AK164:BP164" si="127">VLOOKUP(AK$160, Carbon_price,4,0)*AK156/10</f>
        <v>#DIV/0!</v>
      </c>
      <c r="AL164" s="373" t="e">
        <f t="shared" si="127"/>
        <v>#DIV/0!</v>
      </c>
      <c r="AM164" s="373" t="e">
        <f t="shared" si="127"/>
        <v>#DIV/0!</v>
      </c>
      <c r="AN164" s="373" t="e">
        <f t="shared" si="127"/>
        <v>#DIV/0!</v>
      </c>
      <c r="AO164" s="373" t="e">
        <f t="shared" si="127"/>
        <v>#DIV/0!</v>
      </c>
      <c r="AP164" s="373" t="e">
        <f t="shared" si="127"/>
        <v>#DIV/0!</v>
      </c>
      <c r="AQ164" s="373" t="e">
        <f t="shared" si="127"/>
        <v>#DIV/0!</v>
      </c>
      <c r="AR164" s="373" t="e">
        <f t="shared" si="127"/>
        <v>#DIV/0!</v>
      </c>
      <c r="AS164" s="373" t="e">
        <f t="shared" si="127"/>
        <v>#DIV/0!</v>
      </c>
      <c r="AT164" s="373" t="e">
        <f t="shared" si="127"/>
        <v>#DIV/0!</v>
      </c>
      <c r="AU164" s="373" t="e">
        <f t="shared" si="127"/>
        <v>#DIV/0!</v>
      </c>
      <c r="AV164" s="373" t="e">
        <f t="shared" si="127"/>
        <v>#DIV/0!</v>
      </c>
      <c r="AW164" s="373" t="e">
        <f t="shared" si="127"/>
        <v>#DIV/0!</v>
      </c>
      <c r="AX164" s="373" t="e">
        <f t="shared" si="127"/>
        <v>#DIV/0!</v>
      </c>
      <c r="AY164" s="373" t="e">
        <f t="shared" si="127"/>
        <v>#DIV/0!</v>
      </c>
      <c r="AZ164" s="373" t="e">
        <f t="shared" si="127"/>
        <v>#DIV/0!</v>
      </c>
      <c r="BA164" s="373" t="e">
        <f t="shared" si="127"/>
        <v>#DIV/0!</v>
      </c>
      <c r="BB164" s="373" t="e">
        <f t="shared" si="127"/>
        <v>#DIV/0!</v>
      </c>
      <c r="BC164" s="373" t="e">
        <f t="shared" si="127"/>
        <v>#DIV/0!</v>
      </c>
      <c r="BD164" s="373" t="e">
        <f t="shared" si="127"/>
        <v>#DIV/0!</v>
      </c>
      <c r="BE164" s="373" t="e">
        <f t="shared" si="127"/>
        <v>#DIV/0!</v>
      </c>
      <c r="BF164" s="373" t="e">
        <f t="shared" si="127"/>
        <v>#DIV/0!</v>
      </c>
      <c r="BG164" s="373" t="e">
        <f t="shared" si="127"/>
        <v>#DIV/0!</v>
      </c>
      <c r="BH164" s="373" t="e">
        <f t="shared" si="127"/>
        <v>#DIV/0!</v>
      </c>
      <c r="BI164" s="373" t="e">
        <f t="shared" si="127"/>
        <v>#DIV/0!</v>
      </c>
      <c r="BJ164" s="373" t="e">
        <f t="shared" si="127"/>
        <v>#DIV/0!</v>
      </c>
      <c r="BK164" s="373" t="e">
        <f t="shared" si="127"/>
        <v>#DIV/0!</v>
      </c>
      <c r="BL164" s="373" t="e">
        <f t="shared" si="127"/>
        <v>#DIV/0!</v>
      </c>
      <c r="BM164" s="373" t="e">
        <f t="shared" si="127"/>
        <v>#DIV/0!</v>
      </c>
      <c r="BN164" s="373" t="e">
        <f t="shared" si="127"/>
        <v>#DIV/0!</v>
      </c>
      <c r="BO164" s="373" t="e">
        <f t="shared" si="127"/>
        <v>#DIV/0!</v>
      </c>
      <c r="BP164" s="373" t="e">
        <f t="shared" si="127"/>
        <v>#DIV/0!</v>
      </c>
      <c r="BQ164" s="373" t="e">
        <f t="shared" ref="BQ164:CF164" si="128">VLOOKUP(BQ$160, Carbon_price,4,0)*BQ156/10</f>
        <v>#DIV/0!</v>
      </c>
      <c r="BR164" s="373" t="e">
        <f t="shared" si="128"/>
        <v>#DIV/0!</v>
      </c>
      <c r="BS164" s="373" t="e">
        <f t="shared" si="128"/>
        <v>#DIV/0!</v>
      </c>
      <c r="BT164" s="373" t="e">
        <f t="shared" si="128"/>
        <v>#DIV/0!</v>
      </c>
      <c r="BU164" s="373" t="e">
        <f t="shared" si="128"/>
        <v>#DIV/0!</v>
      </c>
      <c r="BV164" s="373" t="e">
        <f t="shared" si="128"/>
        <v>#DIV/0!</v>
      </c>
      <c r="BW164" s="373" t="e">
        <f t="shared" si="128"/>
        <v>#DIV/0!</v>
      </c>
      <c r="BX164" s="373" t="e">
        <f t="shared" si="128"/>
        <v>#DIV/0!</v>
      </c>
      <c r="BY164" s="373" t="e">
        <f t="shared" si="128"/>
        <v>#DIV/0!</v>
      </c>
      <c r="BZ164" s="373" t="e">
        <f t="shared" si="128"/>
        <v>#DIV/0!</v>
      </c>
      <c r="CA164" s="373" t="e">
        <f t="shared" si="128"/>
        <v>#DIV/0!</v>
      </c>
      <c r="CB164" s="373" t="e">
        <f t="shared" si="128"/>
        <v>#DIV/0!</v>
      </c>
      <c r="CC164" s="373" t="e">
        <f t="shared" si="128"/>
        <v>#DIV/0!</v>
      </c>
      <c r="CD164" s="373" t="e">
        <f t="shared" si="128"/>
        <v>#DIV/0!</v>
      </c>
      <c r="CE164" s="373" t="e">
        <f t="shared" si="128"/>
        <v>#DIV/0!</v>
      </c>
      <c r="CF164" s="373" t="e">
        <f t="shared" si="128"/>
        <v>#DIV/0!</v>
      </c>
    </row>
    <row r="166" spans="1:84">
      <c r="C166" s="360" t="s">
        <v>353</v>
      </c>
    </row>
    <row r="167" spans="1:84">
      <c r="D167" s="372"/>
      <c r="E167" s="372">
        <v>2010</v>
      </c>
      <c r="F167" s="372">
        <v>2011</v>
      </c>
      <c r="G167" s="372">
        <v>2012</v>
      </c>
      <c r="H167" s="372">
        <v>2013</v>
      </c>
      <c r="I167" s="372">
        <v>2014</v>
      </c>
      <c r="J167" s="372">
        <v>2015</v>
      </c>
      <c r="K167" s="372">
        <v>2016</v>
      </c>
      <c r="L167" s="372">
        <v>2017</v>
      </c>
      <c r="M167" s="372">
        <v>2018</v>
      </c>
      <c r="N167" s="372">
        <v>2019</v>
      </c>
      <c r="O167" s="372">
        <v>2020</v>
      </c>
      <c r="P167" s="372">
        <v>2021</v>
      </c>
      <c r="Q167" s="372">
        <v>2022</v>
      </c>
      <c r="R167" s="372">
        <v>2023</v>
      </c>
      <c r="S167" s="372">
        <v>2024</v>
      </c>
      <c r="T167" s="372">
        <v>2025</v>
      </c>
      <c r="U167" s="372">
        <v>2026</v>
      </c>
      <c r="V167" s="372">
        <v>2027</v>
      </c>
      <c r="W167" s="372">
        <v>2028</v>
      </c>
      <c r="X167" s="372">
        <v>2029</v>
      </c>
      <c r="Y167" s="372">
        <v>2030</v>
      </c>
      <c r="Z167" s="372">
        <v>2031</v>
      </c>
      <c r="AA167" s="372">
        <v>2032</v>
      </c>
      <c r="AB167" s="372">
        <v>2033</v>
      </c>
      <c r="AC167" s="372">
        <v>2034</v>
      </c>
      <c r="AD167" s="372">
        <v>2035</v>
      </c>
      <c r="AE167" s="372">
        <v>2036</v>
      </c>
      <c r="AF167" s="372">
        <v>2037</v>
      </c>
      <c r="AG167" s="372">
        <v>2038</v>
      </c>
      <c r="AH167" s="372">
        <v>2039</v>
      </c>
      <c r="AI167" s="372">
        <v>2040</v>
      </c>
      <c r="AJ167" s="372">
        <v>2041</v>
      </c>
      <c r="AK167" s="372">
        <v>2042</v>
      </c>
      <c r="AL167" s="372">
        <v>2043</v>
      </c>
      <c r="AM167" s="372">
        <v>2044</v>
      </c>
      <c r="AN167" s="372">
        <v>2045</v>
      </c>
      <c r="AO167" s="372">
        <v>2046</v>
      </c>
      <c r="AP167" s="372">
        <v>2047</v>
      </c>
      <c r="AQ167" s="372">
        <v>2048</v>
      </c>
      <c r="AR167" s="372">
        <v>2049</v>
      </c>
      <c r="AS167" s="372">
        <v>2050</v>
      </c>
      <c r="AT167" s="372">
        <v>2051</v>
      </c>
      <c r="AU167" s="372">
        <v>2052</v>
      </c>
      <c r="AV167" s="372">
        <v>2053</v>
      </c>
      <c r="AW167" s="372">
        <v>2054</v>
      </c>
      <c r="AX167" s="372">
        <v>2055</v>
      </c>
      <c r="AY167" s="372">
        <v>2056</v>
      </c>
      <c r="AZ167" s="372">
        <v>2057</v>
      </c>
      <c r="BA167" s="372">
        <v>2058</v>
      </c>
      <c r="BB167" s="372">
        <v>2059</v>
      </c>
      <c r="BC167" s="372">
        <v>2060</v>
      </c>
      <c r="BD167" s="372">
        <v>2061</v>
      </c>
      <c r="BE167" s="372">
        <v>2062</v>
      </c>
      <c r="BF167" s="372">
        <v>2063</v>
      </c>
      <c r="BG167" s="372">
        <v>2064</v>
      </c>
      <c r="BH167" s="372">
        <v>2065</v>
      </c>
      <c r="BI167" s="372">
        <v>2066</v>
      </c>
      <c r="BJ167" s="372">
        <v>2067</v>
      </c>
      <c r="BK167" s="372">
        <v>2068</v>
      </c>
      <c r="BL167" s="372">
        <v>2069</v>
      </c>
      <c r="BM167" s="372">
        <v>2070</v>
      </c>
      <c r="BN167" s="372">
        <v>2071</v>
      </c>
      <c r="BO167" s="372">
        <v>2072</v>
      </c>
      <c r="BP167" s="372">
        <v>2073</v>
      </c>
      <c r="BQ167" s="372">
        <v>2074</v>
      </c>
      <c r="BR167" s="372">
        <v>2075</v>
      </c>
      <c r="BS167" s="372">
        <v>2076</v>
      </c>
      <c r="BT167" s="372">
        <v>2077</v>
      </c>
      <c r="BU167" s="372">
        <v>2078</v>
      </c>
      <c r="BV167" s="372">
        <v>2079</v>
      </c>
      <c r="BW167" s="372">
        <v>2080</v>
      </c>
      <c r="BX167" s="372">
        <v>2081</v>
      </c>
      <c r="BY167" s="372">
        <v>2082</v>
      </c>
      <c r="BZ167" s="372">
        <v>2083</v>
      </c>
      <c r="CA167" s="372">
        <v>2084</v>
      </c>
      <c r="CB167" s="372">
        <v>2085</v>
      </c>
      <c r="CC167" s="372">
        <v>2086</v>
      </c>
      <c r="CD167" s="372">
        <v>2087</v>
      </c>
      <c r="CE167" s="372">
        <v>2088</v>
      </c>
      <c r="CF167" s="372">
        <v>2089</v>
      </c>
    </row>
    <row r="168" spans="1:84">
      <c r="D168" s="373" t="s">
        <v>87</v>
      </c>
      <c r="E168" s="373" t="e">
        <f>E161*$E14/100</f>
        <v>#DIV/0!</v>
      </c>
      <c r="F168" s="373" t="e">
        <f t="shared" ref="F168:AJ168" si="129">F161*$E14/100</f>
        <v>#DIV/0!</v>
      </c>
      <c r="G168" s="373" t="e">
        <f t="shared" si="129"/>
        <v>#DIV/0!</v>
      </c>
      <c r="H168" s="373" t="e">
        <f t="shared" si="129"/>
        <v>#DIV/0!</v>
      </c>
      <c r="I168" s="373" t="e">
        <f t="shared" si="129"/>
        <v>#DIV/0!</v>
      </c>
      <c r="J168" s="373" t="e">
        <f t="shared" si="129"/>
        <v>#DIV/0!</v>
      </c>
      <c r="K168" s="373" t="e">
        <f t="shared" si="129"/>
        <v>#DIV/0!</v>
      </c>
      <c r="L168" s="373" t="e">
        <f t="shared" si="129"/>
        <v>#DIV/0!</v>
      </c>
      <c r="M168" s="373" t="e">
        <f t="shared" si="129"/>
        <v>#DIV/0!</v>
      </c>
      <c r="N168" s="373" t="e">
        <f t="shared" si="129"/>
        <v>#DIV/0!</v>
      </c>
      <c r="O168" s="373" t="e">
        <f t="shared" si="129"/>
        <v>#DIV/0!</v>
      </c>
      <c r="P168" s="373" t="e">
        <f t="shared" si="129"/>
        <v>#DIV/0!</v>
      </c>
      <c r="Q168" s="373" t="e">
        <f t="shared" si="129"/>
        <v>#DIV/0!</v>
      </c>
      <c r="R168" s="373" t="e">
        <f t="shared" si="129"/>
        <v>#DIV/0!</v>
      </c>
      <c r="S168" s="373" t="e">
        <f t="shared" si="129"/>
        <v>#DIV/0!</v>
      </c>
      <c r="T168" s="373" t="e">
        <f t="shared" si="129"/>
        <v>#DIV/0!</v>
      </c>
      <c r="U168" s="373" t="e">
        <f t="shared" si="129"/>
        <v>#DIV/0!</v>
      </c>
      <c r="V168" s="373" t="e">
        <f t="shared" si="129"/>
        <v>#DIV/0!</v>
      </c>
      <c r="W168" s="373" t="e">
        <f t="shared" si="129"/>
        <v>#DIV/0!</v>
      </c>
      <c r="X168" s="373" t="e">
        <f t="shared" si="129"/>
        <v>#DIV/0!</v>
      </c>
      <c r="Y168" s="373" t="e">
        <f t="shared" si="129"/>
        <v>#DIV/0!</v>
      </c>
      <c r="Z168" s="373" t="e">
        <f t="shared" si="129"/>
        <v>#DIV/0!</v>
      </c>
      <c r="AA168" s="373" t="e">
        <f t="shared" si="129"/>
        <v>#DIV/0!</v>
      </c>
      <c r="AB168" s="373" t="e">
        <f t="shared" si="129"/>
        <v>#DIV/0!</v>
      </c>
      <c r="AC168" s="373" t="e">
        <f t="shared" si="129"/>
        <v>#DIV/0!</v>
      </c>
      <c r="AD168" s="373" t="e">
        <f t="shared" si="129"/>
        <v>#DIV/0!</v>
      </c>
      <c r="AE168" s="373" t="e">
        <f t="shared" si="129"/>
        <v>#DIV/0!</v>
      </c>
      <c r="AF168" s="373" t="e">
        <f t="shared" si="129"/>
        <v>#DIV/0!</v>
      </c>
      <c r="AG168" s="373" t="e">
        <f t="shared" si="129"/>
        <v>#DIV/0!</v>
      </c>
      <c r="AH168" s="373" t="e">
        <f t="shared" si="129"/>
        <v>#DIV/0!</v>
      </c>
      <c r="AI168" s="373" t="e">
        <f t="shared" si="129"/>
        <v>#DIV/0!</v>
      </c>
      <c r="AJ168" s="373" t="e">
        <f t="shared" si="129"/>
        <v>#DIV/0!</v>
      </c>
      <c r="AK168" s="373" t="e">
        <f t="shared" ref="AK168:BP168" si="130">AK161*$E14/100</f>
        <v>#DIV/0!</v>
      </c>
      <c r="AL168" s="373" t="e">
        <f t="shared" si="130"/>
        <v>#DIV/0!</v>
      </c>
      <c r="AM168" s="373" t="e">
        <f t="shared" si="130"/>
        <v>#DIV/0!</v>
      </c>
      <c r="AN168" s="373" t="e">
        <f t="shared" si="130"/>
        <v>#DIV/0!</v>
      </c>
      <c r="AO168" s="373" t="e">
        <f t="shared" si="130"/>
        <v>#DIV/0!</v>
      </c>
      <c r="AP168" s="373" t="e">
        <f t="shared" si="130"/>
        <v>#DIV/0!</v>
      </c>
      <c r="AQ168" s="373" t="e">
        <f t="shared" si="130"/>
        <v>#DIV/0!</v>
      </c>
      <c r="AR168" s="373" t="e">
        <f t="shared" si="130"/>
        <v>#DIV/0!</v>
      </c>
      <c r="AS168" s="373" t="e">
        <f t="shared" si="130"/>
        <v>#DIV/0!</v>
      </c>
      <c r="AT168" s="373" t="e">
        <f t="shared" si="130"/>
        <v>#DIV/0!</v>
      </c>
      <c r="AU168" s="373" t="e">
        <f t="shared" si="130"/>
        <v>#DIV/0!</v>
      </c>
      <c r="AV168" s="373" t="e">
        <f t="shared" si="130"/>
        <v>#DIV/0!</v>
      </c>
      <c r="AW168" s="373" t="e">
        <f t="shared" si="130"/>
        <v>#DIV/0!</v>
      </c>
      <c r="AX168" s="373" t="e">
        <f t="shared" si="130"/>
        <v>#DIV/0!</v>
      </c>
      <c r="AY168" s="373" t="e">
        <f t="shared" si="130"/>
        <v>#DIV/0!</v>
      </c>
      <c r="AZ168" s="373" t="e">
        <f t="shared" si="130"/>
        <v>#DIV/0!</v>
      </c>
      <c r="BA168" s="373" t="e">
        <f t="shared" si="130"/>
        <v>#DIV/0!</v>
      </c>
      <c r="BB168" s="373" t="e">
        <f t="shared" si="130"/>
        <v>#DIV/0!</v>
      </c>
      <c r="BC168" s="373" t="e">
        <f t="shared" si="130"/>
        <v>#DIV/0!</v>
      </c>
      <c r="BD168" s="373" t="e">
        <f t="shared" si="130"/>
        <v>#DIV/0!</v>
      </c>
      <c r="BE168" s="373" t="e">
        <f t="shared" si="130"/>
        <v>#DIV/0!</v>
      </c>
      <c r="BF168" s="373" t="e">
        <f t="shared" si="130"/>
        <v>#DIV/0!</v>
      </c>
      <c r="BG168" s="373" t="e">
        <f t="shared" si="130"/>
        <v>#DIV/0!</v>
      </c>
      <c r="BH168" s="373" t="e">
        <f t="shared" si="130"/>
        <v>#DIV/0!</v>
      </c>
      <c r="BI168" s="373" t="e">
        <f t="shared" si="130"/>
        <v>#DIV/0!</v>
      </c>
      <c r="BJ168" s="373" t="e">
        <f t="shared" si="130"/>
        <v>#DIV/0!</v>
      </c>
      <c r="BK168" s="373" t="e">
        <f t="shared" si="130"/>
        <v>#DIV/0!</v>
      </c>
      <c r="BL168" s="373" t="e">
        <f t="shared" si="130"/>
        <v>#DIV/0!</v>
      </c>
      <c r="BM168" s="373" t="e">
        <f t="shared" si="130"/>
        <v>#DIV/0!</v>
      </c>
      <c r="BN168" s="373" t="e">
        <f t="shared" si="130"/>
        <v>#DIV/0!</v>
      </c>
      <c r="BO168" s="373" t="e">
        <f t="shared" si="130"/>
        <v>#DIV/0!</v>
      </c>
      <c r="BP168" s="373" t="e">
        <f t="shared" si="130"/>
        <v>#DIV/0!</v>
      </c>
      <c r="BQ168" s="373" t="e">
        <f t="shared" ref="BQ168:CF168" si="131">BQ161*$E14/100</f>
        <v>#DIV/0!</v>
      </c>
      <c r="BR168" s="373" t="e">
        <f t="shared" si="131"/>
        <v>#DIV/0!</v>
      </c>
      <c r="BS168" s="373" t="e">
        <f t="shared" si="131"/>
        <v>#DIV/0!</v>
      </c>
      <c r="BT168" s="373" t="e">
        <f t="shared" si="131"/>
        <v>#DIV/0!</v>
      </c>
      <c r="BU168" s="373" t="e">
        <f t="shared" si="131"/>
        <v>#DIV/0!</v>
      </c>
      <c r="BV168" s="373" t="e">
        <f t="shared" si="131"/>
        <v>#DIV/0!</v>
      </c>
      <c r="BW168" s="373" t="e">
        <f t="shared" si="131"/>
        <v>#DIV/0!</v>
      </c>
      <c r="BX168" s="373" t="e">
        <f t="shared" si="131"/>
        <v>#DIV/0!</v>
      </c>
      <c r="BY168" s="373" t="e">
        <f t="shared" si="131"/>
        <v>#DIV/0!</v>
      </c>
      <c r="BZ168" s="373" t="e">
        <f t="shared" si="131"/>
        <v>#DIV/0!</v>
      </c>
      <c r="CA168" s="373" t="e">
        <f t="shared" si="131"/>
        <v>#DIV/0!</v>
      </c>
      <c r="CB168" s="373" t="e">
        <f t="shared" si="131"/>
        <v>#DIV/0!</v>
      </c>
      <c r="CC168" s="373" t="e">
        <f t="shared" si="131"/>
        <v>#DIV/0!</v>
      </c>
      <c r="CD168" s="373" t="e">
        <f t="shared" si="131"/>
        <v>#DIV/0!</v>
      </c>
      <c r="CE168" s="373" t="e">
        <f t="shared" si="131"/>
        <v>#DIV/0!</v>
      </c>
      <c r="CF168" s="373" t="e">
        <f t="shared" si="131"/>
        <v>#DIV/0!</v>
      </c>
    </row>
    <row r="169" spans="1:84">
      <c r="D169" s="373" t="s">
        <v>89</v>
      </c>
      <c r="E169" s="373" t="e">
        <f t="shared" ref="E169:AJ169" si="132">E162*$E15/100</f>
        <v>#DIV/0!</v>
      </c>
      <c r="F169" s="373" t="e">
        <f t="shared" si="132"/>
        <v>#DIV/0!</v>
      </c>
      <c r="G169" s="373" t="e">
        <f t="shared" si="132"/>
        <v>#DIV/0!</v>
      </c>
      <c r="H169" s="373" t="e">
        <f t="shared" si="132"/>
        <v>#DIV/0!</v>
      </c>
      <c r="I169" s="373" t="e">
        <f t="shared" si="132"/>
        <v>#DIV/0!</v>
      </c>
      <c r="J169" s="373" t="e">
        <f t="shared" si="132"/>
        <v>#DIV/0!</v>
      </c>
      <c r="K169" s="373" t="e">
        <f t="shared" si="132"/>
        <v>#DIV/0!</v>
      </c>
      <c r="L169" s="373" t="e">
        <f t="shared" si="132"/>
        <v>#DIV/0!</v>
      </c>
      <c r="M169" s="373" t="e">
        <f t="shared" si="132"/>
        <v>#DIV/0!</v>
      </c>
      <c r="N169" s="373" t="e">
        <f t="shared" si="132"/>
        <v>#DIV/0!</v>
      </c>
      <c r="O169" s="373" t="e">
        <f t="shared" si="132"/>
        <v>#DIV/0!</v>
      </c>
      <c r="P169" s="373" t="e">
        <f t="shared" si="132"/>
        <v>#DIV/0!</v>
      </c>
      <c r="Q169" s="373" t="e">
        <f t="shared" si="132"/>
        <v>#DIV/0!</v>
      </c>
      <c r="R169" s="373" t="e">
        <f t="shared" si="132"/>
        <v>#DIV/0!</v>
      </c>
      <c r="S169" s="373" t="e">
        <f t="shared" si="132"/>
        <v>#DIV/0!</v>
      </c>
      <c r="T169" s="373" t="e">
        <f t="shared" si="132"/>
        <v>#DIV/0!</v>
      </c>
      <c r="U169" s="373" t="e">
        <f t="shared" si="132"/>
        <v>#DIV/0!</v>
      </c>
      <c r="V169" s="373" t="e">
        <f t="shared" si="132"/>
        <v>#DIV/0!</v>
      </c>
      <c r="W169" s="373" t="e">
        <f t="shared" si="132"/>
        <v>#DIV/0!</v>
      </c>
      <c r="X169" s="373" t="e">
        <f t="shared" si="132"/>
        <v>#DIV/0!</v>
      </c>
      <c r="Y169" s="373" t="e">
        <f t="shared" si="132"/>
        <v>#DIV/0!</v>
      </c>
      <c r="Z169" s="373" t="e">
        <f t="shared" si="132"/>
        <v>#DIV/0!</v>
      </c>
      <c r="AA169" s="373" t="e">
        <f t="shared" si="132"/>
        <v>#DIV/0!</v>
      </c>
      <c r="AB169" s="373" t="e">
        <f t="shared" si="132"/>
        <v>#DIV/0!</v>
      </c>
      <c r="AC169" s="373" t="e">
        <f t="shared" si="132"/>
        <v>#DIV/0!</v>
      </c>
      <c r="AD169" s="373" t="e">
        <f t="shared" si="132"/>
        <v>#DIV/0!</v>
      </c>
      <c r="AE169" s="373" t="e">
        <f t="shared" si="132"/>
        <v>#DIV/0!</v>
      </c>
      <c r="AF169" s="373" t="e">
        <f t="shared" si="132"/>
        <v>#DIV/0!</v>
      </c>
      <c r="AG169" s="373" t="e">
        <f t="shared" si="132"/>
        <v>#DIV/0!</v>
      </c>
      <c r="AH169" s="373" t="e">
        <f t="shared" si="132"/>
        <v>#DIV/0!</v>
      </c>
      <c r="AI169" s="373" t="e">
        <f t="shared" si="132"/>
        <v>#DIV/0!</v>
      </c>
      <c r="AJ169" s="373" t="e">
        <f t="shared" si="132"/>
        <v>#DIV/0!</v>
      </c>
      <c r="AK169" s="373" t="e">
        <f t="shared" ref="AK169:BP169" si="133">AK162*$E15/100</f>
        <v>#DIV/0!</v>
      </c>
      <c r="AL169" s="373" t="e">
        <f t="shared" si="133"/>
        <v>#DIV/0!</v>
      </c>
      <c r="AM169" s="373" t="e">
        <f t="shared" si="133"/>
        <v>#DIV/0!</v>
      </c>
      <c r="AN169" s="373" t="e">
        <f t="shared" si="133"/>
        <v>#DIV/0!</v>
      </c>
      <c r="AO169" s="373" t="e">
        <f t="shared" si="133"/>
        <v>#DIV/0!</v>
      </c>
      <c r="AP169" s="373" t="e">
        <f t="shared" si="133"/>
        <v>#DIV/0!</v>
      </c>
      <c r="AQ169" s="373" t="e">
        <f t="shared" si="133"/>
        <v>#DIV/0!</v>
      </c>
      <c r="AR169" s="373" t="e">
        <f t="shared" si="133"/>
        <v>#DIV/0!</v>
      </c>
      <c r="AS169" s="373" t="e">
        <f t="shared" si="133"/>
        <v>#DIV/0!</v>
      </c>
      <c r="AT169" s="373" t="e">
        <f t="shared" si="133"/>
        <v>#DIV/0!</v>
      </c>
      <c r="AU169" s="373" t="e">
        <f t="shared" si="133"/>
        <v>#DIV/0!</v>
      </c>
      <c r="AV169" s="373" t="e">
        <f t="shared" si="133"/>
        <v>#DIV/0!</v>
      </c>
      <c r="AW169" s="373" t="e">
        <f t="shared" si="133"/>
        <v>#DIV/0!</v>
      </c>
      <c r="AX169" s="373" t="e">
        <f t="shared" si="133"/>
        <v>#DIV/0!</v>
      </c>
      <c r="AY169" s="373" t="e">
        <f t="shared" si="133"/>
        <v>#DIV/0!</v>
      </c>
      <c r="AZ169" s="373" t="e">
        <f t="shared" si="133"/>
        <v>#DIV/0!</v>
      </c>
      <c r="BA169" s="373" t="e">
        <f t="shared" si="133"/>
        <v>#DIV/0!</v>
      </c>
      <c r="BB169" s="373" t="e">
        <f t="shared" si="133"/>
        <v>#DIV/0!</v>
      </c>
      <c r="BC169" s="373" t="e">
        <f t="shared" si="133"/>
        <v>#DIV/0!</v>
      </c>
      <c r="BD169" s="373" t="e">
        <f t="shared" si="133"/>
        <v>#DIV/0!</v>
      </c>
      <c r="BE169" s="373" t="e">
        <f t="shared" si="133"/>
        <v>#DIV/0!</v>
      </c>
      <c r="BF169" s="373" t="e">
        <f t="shared" si="133"/>
        <v>#DIV/0!</v>
      </c>
      <c r="BG169" s="373" t="e">
        <f t="shared" si="133"/>
        <v>#DIV/0!</v>
      </c>
      <c r="BH169" s="373" t="e">
        <f t="shared" si="133"/>
        <v>#DIV/0!</v>
      </c>
      <c r="BI169" s="373" t="e">
        <f t="shared" si="133"/>
        <v>#DIV/0!</v>
      </c>
      <c r="BJ169" s="373" t="e">
        <f t="shared" si="133"/>
        <v>#DIV/0!</v>
      </c>
      <c r="BK169" s="373" t="e">
        <f t="shared" si="133"/>
        <v>#DIV/0!</v>
      </c>
      <c r="BL169" s="373" t="e">
        <f t="shared" si="133"/>
        <v>#DIV/0!</v>
      </c>
      <c r="BM169" s="373" t="e">
        <f t="shared" si="133"/>
        <v>#DIV/0!</v>
      </c>
      <c r="BN169" s="373" t="e">
        <f t="shared" si="133"/>
        <v>#DIV/0!</v>
      </c>
      <c r="BO169" s="373" t="e">
        <f t="shared" si="133"/>
        <v>#DIV/0!</v>
      </c>
      <c r="BP169" s="373" t="e">
        <f t="shared" si="133"/>
        <v>#DIV/0!</v>
      </c>
      <c r="BQ169" s="373" t="e">
        <f t="shared" ref="BQ169:CF169" si="134">BQ162*$E15/100</f>
        <v>#DIV/0!</v>
      </c>
      <c r="BR169" s="373" t="e">
        <f t="shared" si="134"/>
        <v>#DIV/0!</v>
      </c>
      <c r="BS169" s="373" t="e">
        <f t="shared" si="134"/>
        <v>#DIV/0!</v>
      </c>
      <c r="BT169" s="373" t="e">
        <f t="shared" si="134"/>
        <v>#DIV/0!</v>
      </c>
      <c r="BU169" s="373" t="e">
        <f t="shared" si="134"/>
        <v>#DIV/0!</v>
      </c>
      <c r="BV169" s="373" t="e">
        <f t="shared" si="134"/>
        <v>#DIV/0!</v>
      </c>
      <c r="BW169" s="373" t="e">
        <f t="shared" si="134"/>
        <v>#DIV/0!</v>
      </c>
      <c r="BX169" s="373" t="e">
        <f t="shared" si="134"/>
        <v>#DIV/0!</v>
      </c>
      <c r="BY169" s="373" t="e">
        <f t="shared" si="134"/>
        <v>#DIV/0!</v>
      </c>
      <c r="BZ169" s="373" t="e">
        <f t="shared" si="134"/>
        <v>#DIV/0!</v>
      </c>
      <c r="CA169" s="373" t="e">
        <f t="shared" si="134"/>
        <v>#DIV/0!</v>
      </c>
      <c r="CB169" s="373" t="e">
        <f t="shared" si="134"/>
        <v>#DIV/0!</v>
      </c>
      <c r="CC169" s="373" t="e">
        <f t="shared" si="134"/>
        <v>#DIV/0!</v>
      </c>
      <c r="CD169" s="373" t="e">
        <f t="shared" si="134"/>
        <v>#DIV/0!</v>
      </c>
      <c r="CE169" s="373" t="e">
        <f t="shared" si="134"/>
        <v>#DIV/0!</v>
      </c>
      <c r="CF169" s="373" t="e">
        <f t="shared" si="134"/>
        <v>#DIV/0!</v>
      </c>
    </row>
    <row r="170" spans="1:84">
      <c r="D170" s="373" t="s">
        <v>91</v>
      </c>
      <c r="E170" s="373" t="e">
        <f t="shared" ref="E170:AJ170" si="135">E163*$E16/100</f>
        <v>#DIV/0!</v>
      </c>
      <c r="F170" s="373" t="e">
        <f t="shared" si="135"/>
        <v>#DIV/0!</v>
      </c>
      <c r="G170" s="373" t="e">
        <f t="shared" si="135"/>
        <v>#DIV/0!</v>
      </c>
      <c r="H170" s="373" t="e">
        <f t="shared" si="135"/>
        <v>#DIV/0!</v>
      </c>
      <c r="I170" s="373" t="e">
        <f t="shared" si="135"/>
        <v>#DIV/0!</v>
      </c>
      <c r="J170" s="373" t="e">
        <f t="shared" si="135"/>
        <v>#DIV/0!</v>
      </c>
      <c r="K170" s="373" t="e">
        <f t="shared" si="135"/>
        <v>#DIV/0!</v>
      </c>
      <c r="L170" s="373" t="e">
        <f t="shared" si="135"/>
        <v>#DIV/0!</v>
      </c>
      <c r="M170" s="373" t="e">
        <f>M163*$E16/100</f>
        <v>#DIV/0!</v>
      </c>
      <c r="N170" s="373" t="e">
        <f t="shared" si="135"/>
        <v>#DIV/0!</v>
      </c>
      <c r="O170" s="373" t="e">
        <f t="shared" si="135"/>
        <v>#DIV/0!</v>
      </c>
      <c r="P170" s="373" t="e">
        <f t="shared" si="135"/>
        <v>#DIV/0!</v>
      </c>
      <c r="Q170" s="373" t="e">
        <f t="shared" si="135"/>
        <v>#DIV/0!</v>
      </c>
      <c r="R170" s="373" t="e">
        <f t="shared" si="135"/>
        <v>#DIV/0!</v>
      </c>
      <c r="S170" s="373" t="e">
        <f t="shared" si="135"/>
        <v>#DIV/0!</v>
      </c>
      <c r="T170" s="373" t="e">
        <f t="shared" si="135"/>
        <v>#DIV/0!</v>
      </c>
      <c r="U170" s="373" t="e">
        <f t="shared" si="135"/>
        <v>#DIV/0!</v>
      </c>
      <c r="V170" s="373" t="e">
        <f t="shared" si="135"/>
        <v>#DIV/0!</v>
      </c>
      <c r="W170" s="373" t="e">
        <f t="shared" si="135"/>
        <v>#DIV/0!</v>
      </c>
      <c r="X170" s="373" t="e">
        <f t="shared" si="135"/>
        <v>#DIV/0!</v>
      </c>
      <c r="Y170" s="373" t="e">
        <f t="shared" si="135"/>
        <v>#DIV/0!</v>
      </c>
      <c r="Z170" s="373" t="e">
        <f t="shared" si="135"/>
        <v>#DIV/0!</v>
      </c>
      <c r="AA170" s="373" t="e">
        <f t="shared" si="135"/>
        <v>#DIV/0!</v>
      </c>
      <c r="AB170" s="373" t="e">
        <f t="shared" si="135"/>
        <v>#DIV/0!</v>
      </c>
      <c r="AC170" s="373" t="e">
        <f t="shared" si="135"/>
        <v>#DIV/0!</v>
      </c>
      <c r="AD170" s="373" t="e">
        <f t="shared" si="135"/>
        <v>#DIV/0!</v>
      </c>
      <c r="AE170" s="373" t="e">
        <f t="shared" si="135"/>
        <v>#DIV/0!</v>
      </c>
      <c r="AF170" s="373" t="e">
        <f t="shared" si="135"/>
        <v>#DIV/0!</v>
      </c>
      <c r="AG170" s="373" t="e">
        <f t="shared" si="135"/>
        <v>#DIV/0!</v>
      </c>
      <c r="AH170" s="373" t="e">
        <f t="shared" si="135"/>
        <v>#DIV/0!</v>
      </c>
      <c r="AI170" s="373" t="e">
        <f t="shared" si="135"/>
        <v>#DIV/0!</v>
      </c>
      <c r="AJ170" s="373" t="e">
        <f t="shared" si="135"/>
        <v>#DIV/0!</v>
      </c>
      <c r="AK170" s="373" t="e">
        <f t="shared" ref="AK170:BP170" si="136">AK163*$E16/100</f>
        <v>#DIV/0!</v>
      </c>
      <c r="AL170" s="373" t="e">
        <f t="shared" si="136"/>
        <v>#DIV/0!</v>
      </c>
      <c r="AM170" s="373" t="e">
        <f t="shared" si="136"/>
        <v>#DIV/0!</v>
      </c>
      <c r="AN170" s="373" t="e">
        <f t="shared" si="136"/>
        <v>#DIV/0!</v>
      </c>
      <c r="AO170" s="373" t="e">
        <f t="shared" si="136"/>
        <v>#DIV/0!</v>
      </c>
      <c r="AP170" s="373" t="e">
        <f t="shared" si="136"/>
        <v>#DIV/0!</v>
      </c>
      <c r="AQ170" s="373" t="e">
        <f t="shared" si="136"/>
        <v>#DIV/0!</v>
      </c>
      <c r="AR170" s="373" t="e">
        <f t="shared" si="136"/>
        <v>#DIV/0!</v>
      </c>
      <c r="AS170" s="373" t="e">
        <f t="shared" si="136"/>
        <v>#DIV/0!</v>
      </c>
      <c r="AT170" s="373" t="e">
        <f t="shared" si="136"/>
        <v>#DIV/0!</v>
      </c>
      <c r="AU170" s="373" t="e">
        <f t="shared" si="136"/>
        <v>#DIV/0!</v>
      </c>
      <c r="AV170" s="373" t="e">
        <f t="shared" si="136"/>
        <v>#DIV/0!</v>
      </c>
      <c r="AW170" s="373" t="e">
        <f t="shared" si="136"/>
        <v>#DIV/0!</v>
      </c>
      <c r="AX170" s="373" t="e">
        <f t="shared" si="136"/>
        <v>#DIV/0!</v>
      </c>
      <c r="AY170" s="373" t="e">
        <f t="shared" si="136"/>
        <v>#DIV/0!</v>
      </c>
      <c r="AZ170" s="373" t="e">
        <f t="shared" si="136"/>
        <v>#DIV/0!</v>
      </c>
      <c r="BA170" s="373" t="e">
        <f t="shared" si="136"/>
        <v>#DIV/0!</v>
      </c>
      <c r="BB170" s="373" t="e">
        <f t="shared" si="136"/>
        <v>#DIV/0!</v>
      </c>
      <c r="BC170" s="373" t="e">
        <f t="shared" si="136"/>
        <v>#DIV/0!</v>
      </c>
      <c r="BD170" s="373" t="e">
        <f t="shared" si="136"/>
        <v>#DIV/0!</v>
      </c>
      <c r="BE170" s="373" t="e">
        <f t="shared" si="136"/>
        <v>#DIV/0!</v>
      </c>
      <c r="BF170" s="373" t="e">
        <f t="shared" si="136"/>
        <v>#DIV/0!</v>
      </c>
      <c r="BG170" s="373" t="e">
        <f t="shared" si="136"/>
        <v>#DIV/0!</v>
      </c>
      <c r="BH170" s="373" t="e">
        <f t="shared" si="136"/>
        <v>#DIV/0!</v>
      </c>
      <c r="BI170" s="373" t="e">
        <f t="shared" si="136"/>
        <v>#DIV/0!</v>
      </c>
      <c r="BJ170" s="373" t="e">
        <f t="shared" si="136"/>
        <v>#DIV/0!</v>
      </c>
      <c r="BK170" s="373" t="e">
        <f t="shared" si="136"/>
        <v>#DIV/0!</v>
      </c>
      <c r="BL170" s="373" t="e">
        <f t="shared" si="136"/>
        <v>#DIV/0!</v>
      </c>
      <c r="BM170" s="373" t="e">
        <f t="shared" si="136"/>
        <v>#DIV/0!</v>
      </c>
      <c r="BN170" s="373" t="e">
        <f t="shared" si="136"/>
        <v>#DIV/0!</v>
      </c>
      <c r="BO170" s="373" t="e">
        <f t="shared" si="136"/>
        <v>#DIV/0!</v>
      </c>
      <c r="BP170" s="373" t="e">
        <f t="shared" si="136"/>
        <v>#DIV/0!</v>
      </c>
      <c r="BQ170" s="373" t="e">
        <f t="shared" ref="BQ170:CF170" si="137">BQ163*$E16/100</f>
        <v>#DIV/0!</v>
      </c>
      <c r="BR170" s="373" t="e">
        <f t="shared" si="137"/>
        <v>#DIV/0!</v>
      </c>
      <c r="BS170" s="373" t="e">
        <f t="shared" si="137"/>
        <v>#DIV/0!</v>
      </c>
      <c r="BT170" s="373" t="e">
        <f t="shared" si="137"/>
        <v>#DIV/0!</v>
      </c>
      <c r="BU170" s="373" t="e">
        <f t="shared" si="137"/>
        <v>#DIV/0!</v>
      </c>
      <c r="BV170" s="373" t="e">
        <f t="shared" si="137"/>
        <v>#DIV/0!</v>
      </c>
      <c r="BW170" s="373" t="e">
        <f t="shared" si="137"/>
        <v>#DIV/0!</v>
      </c>
      <c r="BX170" s="373" t="e">
        <f t="shared" si="137"/>
        <v>#DIV/0!</v>
      </c>
      <c r="BY170" s="373" t="e">
        <f t="shared" si="137"/>
        <v>#DIV/0!</v>
      </c>
      <c r="BZ170" s="373" t="e">
        <f t="shared" si="137"/>
        <v>#DIV/0!</v>
      </c>
      <c r="CA170" s="373" t="e">
        <f t="shared" si="137"/>
        <v>#DIV/0!</v>
      </c>
      <c r="CB170" s="373" t="e">
        <f t="shared" si="137"/>
        <v>#DIV/0!</v>
      </c>
      <c r="CC170" s="373" t="e">
        <f t="shared" si="137"/>
        <v>#DIV/0!</v>
      </c>
      <c r="CD170" s="373" t="e">
        <f t="shared" si="137"/>
        <v>#DIV/0!</v>
      </c>
      <c r="CE170" s="373" t="e">
        <f t="shared" si="137"/>
        <v>#DIV/0!</v>
      </c>
      <c r="CF170" s="373" t="e">
        <f t="shared" si="137"/>
        <v>#DIV/0!</v>
      </c>
    </row>
    <row r="171" spans="1:84">
      <c r="D171" s="373" t="s">
        <v>93</v>
      </c>
      <c r="E171" s="373" t="e">
        <f t="shared" ref="E171:AJ171" si="138">E164*$E17/100</f>
        <v>#DIV/0!</v>
      </c>
      <c r="F171" s="373" t="e">
        <f t="shared" si="138"/>
        <v>#DIV/0!</v>
      </c>
      <c r="G171" s="373" t="e">
        <f t="shared" si="138"/>
        <v>#DIV/0!</v>
      </c>
      <c r="H171" s="373" t="e">
        <f t="shared" si="138"/>
        <v>#DIV/0!</v>
      </c>
      <c r="I171" s="373" t="e">
        <f t="shared" si="138"/>
        <v>#DIV/0!</v>
      </c>
      <c r="J171" s="373" t="e">
        <f t="shared" si="138"/>
        <v>#DIV/0!</v>
      </c>
      <c r="K171" s="373" t="e">
        <f t="shared" si="138"/>
        <v>#DIV/0!</v>
      </c>
      <c r="L171" s="373" t="e">
        <f t="shared" si="138"/>
        <v>#DIV/0!</v>
      </c>
      <c r="M171" s="373" t="e">
        <f t="shared" si="138"/>
        <v>#DIV/0!</v>
      </c>
      <c r="N171" s="373" t="e">
        <f t="shared" si="138"/>
        <v>#DIV/0!</v>
      </c>
      <c r="O171" s="373" t="e">
        <f t="shared" si="138"/>
        <v>#DIV/0!</v>
      </c>
      <c r="P171" s="373" t="e">
        <f t="shared" si="138"/>
        <v>#DIV/0!</v>
      </c>
      <c r="Q171" s="373" t="e">
        <f t="shared" si="138"/>
        <v>#DIV/0!</v>
      </c>
      <c r="R171" s="373" t="e">
        <f t="shared" si="138"/>
        <v>#DIV/0!</v>
      </c>
      <c r="S171" s="373" t="e">
        <f t="shared" si="138"/>
        <v>#DIV/0!</v>
      </c>
      <c r="T171" s="373" t="e">
        <f t="shared" si="138"/>
        <v>#DIV/0!</v>
      </c>
      <c r="U171" s="373" t="e">
        <f t="shared" si="138"/>
        <v>#DIV/0!</v>
      </c>
      <c r="V171" s="373" t="e">
        <f t="shared" si="138"/>
        <v>#DIV/0!</v>
      </c>
      <c r="W171" s="373" t="e">
        <f t="shared" si="138"/>
        <v>#DIV/0!</v>
      </c>
      <c r="X171" s="373" t="e">
        <f t="shared" si="138"/>
        <v>#DIV/0!</v>
      </c>
      <c r="Y171" s="373" t="e">
        <f t="shared" si="138"/>
        <v>#DIV/0!</v>
      </c>
      <c r="Z171" s="373" t="e">
        <f t="shared" si="138"/>
        <v>#DIV/0!</v>
      </c>
      <c r="AA171" s="373" t="e">
        <f t="shared" si="138"/>
        <v>#DIV/0!</v>
      </c>
      <c r="AB171" s="373" t="e">
        <f t="shared" si="138"/>
        <v>#DIV/0!</v>
      </c>
      <c r="AC171" s="373" t="e">
        <f t="shared" si="138"/>
        <v>#DIV/0!</v>
      </c>
      <c r="AD171" s="373" t="e">
        <f t="shared" si="138"/>
        <v>#DIV/0!</v>
      </c>
      <c r="AE171" s="373" t="e">
        <f t="shared" si="138"/>
        <v>#DIV/0!</v>
      </c>
      <c r="AF171" s="373" t="e">
        <f t="shared" si="138"/>
        <v>#DIV/0!</v>
      </c>
      <c r="AG171" s="373" t="e">
        <f t="shared" si="138"/>
        <v>#DIV/0!</v>
      </c>
      <c r="AH171" s="373" t="e">
        <f t="shared" si="138"/>
        <v>#DIV/0!</v>
      </c>
      <c r="AI171" s="373" t="e">
        <f t="shared" si="138"/>
        <v>#DIV/0!</v>
      </c>
      <c r="AJ171" s="373" t="e">
        <f t="shared" si="138"/>
        <v>#DIV/0!</v>
      </c>
      <c r="AK171" s="373" t="e">
        <f t="shared" ref="AK171:BP171" si="139">AK164*$E17/100</f>
        <v>#DIV/0!</v>
      </c>
      <c r="AL171" s="373" t="e">
        <f t="shared" si="139"/>
        <v>#DIV/0!</v>
      </c>
      <c r="AM171" s="373" t="e">
        <f t="shared" si="139"/>
        <v>#DIV/0!</v>
      </c>
      <c r="AN171" s="373" t="e">
        <f t="shared" si="139"/>
        <v>#DIV/0!</v>
      </c>
      <c r="AO171" s="373" t="e">
        <f t="shared" si="139"/>
        <v>#DIV/0!</v>
      </c>
      <c r="AP171" s="373" t="e">
        <f t="shared" si="139"/>
        <v>#DIV/0!</v>
      </c>
      <c r="AQ171" s="373" t="e">
        <f t="shared" si="139"/>
        <v>#DIV/0!</v>
      </c>
      <c r="AR171" s="373" t="e">
        <f t="shared" si="139"/>
        <v>#DIV/0!</v>
      </c>
      <c r="AS171" s="373" t="e">
        <f t="shared" si="139"/>
        <v>#DIV/0!</v>
      </c>
      <c r="AT171" s="373" t="e">
        <f t="shared" si="139"/>
        <v>#DIV/0!</v>
      </c>
      <c r="AU171" s="373" t="e">
        <f t="shared" si="139"/>
        <v>#DIV/0!</v>
      </c>
      <c r="AV171" s="373" t="e">
        <f t="shared" si="139"/>
        <v>#DIV/0!</v>
      </c>
      <c r="AW171" s="373" t="e">
        <f t="shared" si="139"/>
        <v>#DIV/0!</v>
      </c>
      <c r="AX171" s="373" t="e">
        <f t="shared" si="139"/>
        <v>#DIV/0!</v>
      </c>
      <c r="AY171" s="373" t="e">
        <f t="shared" si="139"/>
        <v>#DIV/0!</v>
      </c>
      <c r="AZ171" s="373" t="e">
        <f t="shared" si="139"/>
        <v>#DIV/0!</v>
      </c>
      <c r="BA171" s="373" t="e">
        <f t="shared" si="139"/>
        <v>#DIV/0!</v>
      </c>
      <c r="BB171" s="373" t="e">
        <f t="shared" si="139"/>
        <v>#DIV/0!</v>
      </c>
      <c r="BC171" s="373" t="e">
        <f t="shared" si="139"/>
        <v>#DIV/0!</v>
      </c>
      <c r="BD171" s="373" t="e">
        <f t="shared" si="139"/>
        <v>#DIV/0!</v>
      </c>
      <c r="BE171" s="373" t="e">
        <f t="shared" si="139"/>
        <v>#DIV/0!</v>
      </c>
      <c r="BF171" s="373" t="e">
        <f t="shared" si="139"/>
        <v>#DIV/0!</v>
      </c>
      <c r="BG171" s="373" t="e">
        <f t="shared" si="139"/>
        <v>#DIV/0!</v>
      </c>
      <c r="BH171" s="373" t="e">
        <f t="shared" si="139"/>
        <v>#DIV/0!</v>
      </c>
      <c r="BI171" s="373" t="e">
        <f t="shared" si="139"/>
        <v>#DIV/0!</v>
      </c>
      <c r="BJ171" s="373" t="e">
        <f t="shared" si="139"/>
        <v>#DIV/0!</v>
      </c>
      <c r="BK171" s="373" t="e">
        <f t="shared" si="139"/>
        <v>#DIV/0!</v>
      </c>
      <c r="BL171" s="373" t="e">
        <f t="shared" si="139"/>
        <v>#DIV/0!</v>
      </c>
      <c r="BM171" s="373" t="e">
        <f t="shared" si="139"/>
        <v>#DIV/0!</v>
      </c>
      <c r="BN171" s="373" t="e">
        <f t="shared" si="139"/>
        <v>#DIV/0!</v>
      </c>
      <c r="BO171" s="373" t="e">
        <f t="shared" si="139"/>
        <v>#DIV/0!</v>
      </c>
      <c r="BP171" s="373" t="e">
        <f t="shared" si="139"/>
        <v>#DIV/0!</v>
      </c>
      <c r="BQ171" s="373" t="e">
        <f t="shared" ref="BQ171:CF171" si="140">BQ164*$E17/100</f>
        <v>#DIV/0!</v>
      </c>
      <c r="BR171" s="373" t="e">
        <f t="shared" si="140"/>
        <v>#DIV/0!</v>
      </c>
      <c r="BS171" s="373" t="e">
        <f t="shared" si="140"/>
        <v>#DIV/0!</v>
      </c>
      <c r="BT171" s="373" t="e">
        <f t="shared" si="140"/>
        <v>#DIV/0!</v>
      </c>
      <c r="BU171" s="373" t="e">
        <f t="shared" si="140"/>
        <v>#DIV/0!</v>
      </c>
      <c r="BV171" s="373" t="e">
        <f t="shared" si="140"/>
        <v>#DIV/0!</v>
      </c>
      <c r="BW171" s="373" t="e">
        <f t="shared" si="140"/>
        <v>#DIV/0!</v>
      </c>
      <c r="BX171" s="373" t="e">
        <f t="shared" si="140"/>
        <v>#DIV/0!</v>
      </c>
      <c r="BY171" s="373" t="e">
        <f t="shared" si="140"/>
        <v>#DIV/0!</v>
      </c>
      <c r="BZ171" s="373" t="e">
        <f t="shared" si="140"/>
        <v>#DIV/0!</v>
      </c>
      <c r="CA171" s="373" t="e">
        <f t="shared" si="140"/>
        <v>#DIV/0!</v>
      </c>
      <c r="CB171" s="373" t="e">
        <f t="shared" si="140"/>
        <v>#DIV/0!</v>
      </c>
      <c r="CC171" s="373" t="e">
        <f t="shared" si="140"/>
        <v>#DIV/0!</v>
      </c>
      <c r="CD171" s="373" t="e">
        <f t="shared" si="140"/>
        <v>#DIV/0!</v>
      </c>
      <c r="CE171" s="373" t="e">
        <f t="shared" si="140"/>
        <v>#DIV/0!</v>
      </c>
      <c r="CF171" s="373" t="e">
        <f t="shared" si="140"/>
        <v>#DIV/0!</v>
      </c>
    </row>
    <row r="174" spans="1:84">
      <c r="B174" s="360" t="s">
        <v>354</v>
      </c>
    </row>
    <row r="175" spans="1:84" s="371" customFormat="1">
      <c r="A175" s="360"/>
      <c r="B175" s="360"/>
      <c r="C175" s="360"/>
      <c r="D175" s="373"/>
      <c r="E175" s="372">
        <v>2010</v>
      </c>
      <c r="F175" s="372">
        <v>2011</v>
      </c>
      <c r="G175" s="372">
        <v>2012</v>
      </c>
      <c r="H175" s="372">
        <v>2013</v>
      </c>
      <c r="I175" s="372">
        <v>2014</v>
      </c>
      <c r="J175" s="372">
        <v>2015</v>
      </c>
      <c r="K175" s="372">
        <v>2016</v>
      </c>
      <c r="L175" s="372">
        <v>2017</v>
      </c>
      <c r="M175" s="372">
        <v>2018</v>
      </c>
      <c r="N175" s="372">
        <v>2019</v>
      </c>
      <c r="O175" s="372">
        <v>2020</v>
      </c>
      <c r="P175" s="372">
        <v>2021</v>
      </c>
      <c r="Q175" s="372">
        <v>2022</v>
      </c>
      <c r="R175" s="372">
        <v>2023</v>
      </c>
      <c r="S175" s="372">
        <v>2024</v>
      </c>
      <c r="T175" s="372">
        <v>2025</v>
      </c>
      <c r="U175" s="372">
        <v>2026</v>
      </c>
      <c r="V175" s="372">
        <v>2027</v>
      </c>
      <c r="W175" s="372">
        <v>2028</v>
      </c>
      <c r="X175" s="372">
        <v>2029</v>
      </c>
      <c r="Y175" s="372">
        <v>2030</v>
      </c>
      <c r="Z175" s="372">
        <v>2031</v>
      </c>
      <c r="AA175" s="372">
        <v>2032</v>
      </c>
      <c r="AB175" s="372">
        <v>2033</v>
      </c>
      <c r="AC175" s="372">
        <v>2034</v>
      </c>
      <c r="AD175" s="372">
        <v>2035</v>
      </c>
      <c r="AE175" s="372">
        <v>2036</v>
      </c>
      <c r="AF175" s="372">
        <v>2037</v>
      </c>
      <c r="AG175" s="372">
        <v>2038</v>
      </c>
      <c r="AH175" s="372">
        <v>2039</v>
      </c>
      <c r="AI175" s="372">
        <v>2040</v>
      </c>
      <c r="AJ175" s="372">
        <v>2041</v>
      </c>
      <c r="AK175" s="372">
        <v>2042</v>
      </c>
      <c r="AL175" s="372">
        <v>2043</v>
      </c>
      <c r="AM175" s="372">
        <v>2044</v>
      </c>
      <c r="AN175" s="372">
        <v>2045</v>
      </c>
      <c r="AO175" s="372">
        <v>2046</v>
      </c>
      <c r="AP175" s="372">
        <v>2047</v>
      </c>
      <c r="AQ175" s="372">
        <v>2048</v>
      </c>
      <c r="AR175" s="372">
        <v>2049</v>
      </c>
      <c r="AS175" s="372">
        <v>2050</v>
      </c>
      <c r="AT175" s="372">
        <v>2051</v>
      </c>
      <c r="AU175" s="372">
        <v>2052</v>
      </c>
      <c r="AV175" s="372">
        <v>2053</v>
      </c>
      <c r="AW175" s="372">
        <v>2054</v>
      </c>
      <c r="AX175" s="372">
        <v>2055</v>
      </c>
      <c r="AY175" s="372">
        <v>2056</v>
      </c>
      <c r="AZ175" s="372">
        <v>2057</v>
      </c>
      <c r="BA175" s="372">
        <v>2058</v>
      </c>
      <c r="BB175" s="372">
        <v>2059</v>
      </c>
      <c r="BC175" s="372">
        <v>2060</v>
      </c>
      <c r="BD175" s="372">
        <v>2061</v>
      </c>
      <c r="BE175" s="372">
        <v>2062</v>
      </c>
      <c r="BF175" s="372">
        <v>2063</v>
      </c>
      <c r="BG175" s="372">
        <v>2064</v>
      </c>
      <c r="BH175" s="372">
        <v>2065</v>
      </c>
      <c r="BI175" s="372">
        <v>2066</v>
      </c>
      <c r="BJ175" s="372">
        <v>2067</v>
      </c>
      <c r="BK175" s="372">
        <v>2068</v>
      </c>
      <c r="BL175" s="372">
        <v>2069</v>
      </c>
      <c r="BM175" s="372">
        <v>2070</v>
      </c>
      <c r="BN175" s="372">
        <v>2071</v>
      </c>
      <c r="BO175" s="372">
        <v>2072</v>
      </c>
      <c r="BP175" s="372">
        <v>2073</v>
      </c>
      <c r="BQ175" s="372">
        <v>2074</v>
      </c>
      <c r="BR175" s="372">
        <v>2075</v>
      </c>
      <c r="BS175" s="372">
        <v>2076</v>
      </c>
      <c r="BT175" s="372">
        <v>2077</v>
      </c>
      <c r="BU175" s="372">
        <v>2078</v>
      </c>
      <c r="BV175" s="372">
        <v>2079</v>
      </c>
      <c r="BW175" s="372">
        <v>2080</v>
      </c>
      <c r="BX175" s="372">
        <v>2081</v>
      </c>
      <c r="BY175" s="372">
        <v>2082</v>
      </c>
      <c r="BZ175" s="372">
        <v>2083</v>
      </c>
      <c r="CA175" s="372">
        <v>2084</v>
      </c>
      <c r="CB175" s="372">
        <v>2085</v>
      </c>
      <c r="CC175" s="372">
        <v>2086</v>
      </c>
      <c r="CD175" s="372">
        <v>2087</v>
      </c>
      <c r="CE175" s="372">
        <v>2088</v>
      </c>
      <c r="CF175" s="372">
        <v>2089</v>
      </c>
    </row>
    <row r="176" spans="1:84">
      <c r="D176" s="881" t="s">
        <v>355</v>
      </c>
      <c r="E176" s="373">
        <f>'Table A5.4.2'!$AE$31</f>
        <v>10.3</v>
      </c>
      <c r="F176" s="373">
        <f>'Table A5.4.2'!$AE$31</f>
        <v>10.3</v>
      </c>
      <c r="G176" s="373">
        <f>'Table A5.4.2'!$AE$31</f>
        <v>10.3</v>
      </c>
      <c r="H176" s="373">
        <f>'Table A5.4.2'!$AE$31</f>
        <v>10.3</v>
      </c>
      <c r="I176" s="373">
        <f>'Table A5.4.2'!$AE$31</f>
        <v>10.3</v>
      </c>
      <c r="J176" s="373">
        <f>'Table A5.4.2'!$AE$31</f>
        <v>10.3</v>
      </c>
      <c r="K176" s="373">
        <f>'Table A5.4.2'!$AE$31</f>
        <v>10.3</v>
      </c>
      <c r="L176" s="373">
        <f>'Table A5.4.2'!$AE$31</f>
        <v>10.3</v>
      </c>
      <c r="M176" s="373">
        <f>'Table A5.4.2'!$AE$31</f>
        <v>10.3</v>
      </c>
      <c r="N176" s="373">
        <f>'Table A5.4.2'!$AE$31</f>
        <v>10.3</v>
      </c>
      <c r="O176" s="373">
        <f>'Table A5.4.2'!$AU31</f>
        <v>11.3</v>
      </c>
      <c r="P176" s="373">
        <f>'Table A5.4.2'!$AU31</f>
        <v>11.3</v>
      </c>
      <c r="Q176" s="373">
        <f>'Table A5.4.2'!$AU31</f>
        <v>11.3</v>
      </c>
      <c r="R176" s="373">
        <f>'Table A5.4.2'!$AU31</f>
        <v>11.3</v>
      </c>
      <c r="S176" s="373">
        <f>'Table A5.4.2'!$AU31</f>
        <v>11.3</v>
      </c>
      <c r="T176" s="373">
        <f>'Table A5.4.2'!$BK31</f>
        <v>12.8</v>
      </c>
      <c r="U176" s="373">
        <f>'Table A5.4.2'!$BK31</f>
        <v>12.8</v>
      </c>
      <c r="V176" s="373">
        <f>'Table A5.4.2'!$BK31</f>
        <v>12.8</v>
      </c>
      <c r="W176" s="373">
        <f>'Table A5.4.2'!$BK31</f>
        <v>12.8</v>
      </c>
      <c r="X176" s="373">
        <f>'Table A5.4.2'!$BK31</f>
        <v>12.8</v>
      </c>
      <c r="Y176" s="373">
        <f>'Table A5.4.2'!$CA31</f>
        <v>15.4</v>
      </c>
      <c r="Z176" s="373">
        <f>'Table A5.4.2'!$CA31</f>
        <v>15.4</v>
      </c>
      <c r="AA176" s="373">
        <f>'Table A5.4.2'!$CA31</f>
        <v>15.4</v>
      </c>
      <c r="AB176" s="373">
        <f>'Table A5.4.2'!$CA31</f>
        <v>15.4</v>
      </c>
      <c r="AC176" s="373">
        <f>'Table A5.4.2'!$CA31</f>
        <v>15.4</v>
      </c>
      <c r="AD176" s="373">
        <f>'Table A5.4.2'!$CQ31</f>
        <v>17.399999999999999</v>
      </c>
      <c r="AE176" s="373">
        <f>'Table A5.4.2'!$CQ31</f>
        <v>17.399999999999999</v>
      </c>
      <c r="AF176" s="373">
        <f>'Table A5.4.2'!$CQ31</f>
        <v>17.399999999999999</v>
      </c>
      <c r="AG176" s="373">
        <f>'Table A5.4.2'!$CQ31</f>
        <v>17.399999999999999</v>
      </c>
      <c r="AH176" s="373">
        <f>'Table A5.4.2'!$CQ31</f>
        <v>17.399999999999999</v>
      </c>
      <c r="AI176" s="373">
        <f>'Table A5.4.2'!$DG31</f>
        <v>20.5</v>
      </c>
      <c r="AJ176" s="373">
        <f>'Table A5.4.2'!$DG31</f>
        <v>20.5</v>
      </c>
      <c r="AK176" s="373">
        <f>'Table A5.4.2'!$DG31</f>
        <v>20.5</v>
      </c>
      <c r="AL176" s="373">
        <f>'Table A5.4.2'!$DG31</f>
        <v>20.5</v>
      </c>
      <c r="AM176" s="373">
        <f>'Table A5.4.2'!$DG31</f>
        <v>20.5</v>
      </c>
      <c r="AN176" s="373">
        <f>'Table A5.4.2'!$DW31</f>
        <v>22.4</v>
      </c>
      <c r="AO176" s="373">
        <f>'Table A5.4.2'!$DW31</f>
        <v>22.4</v>
      </c>
      <c r="AP176" s="373">
        <f>'Table A5.4.2'!$DW31</f>
        <v>22.4</v>
      </c>
      <c r="AQ176" s="373">
        <f>'Table A5.4.2'!$DW31</f>
        <v>22.4</v>
      </c>
      <c r="AR176" s="373">
        <f>'Table A5.4.2'!$DW31</f>
        <v>22.4</v>
      </c>
      <c r="AS176" s="373">
        <f>'Table A5.4.2'!$EM31</f>
        <v>25.6</v>
      </c>
      <c r="AT176" s="373">
        <f>'Table A5.4.2'!$EM31</f>
        <v>25.6</v>
      </c>
      <c r="AU176" s="373">
        <f>'Table A5.4.2'!$EM31</f>
        <v>25.6</v>
      </c>
      <c r="AV176" s="373">
        <f>'Table A5.4.2'!$EM31</f>
        <v>25.6</v>
      </c>
      <c r="AW176" s="373">
        <f>'Table A5.4.2'!$EM31</f>
        <v>25.6</v>
      </c>
      <c r="AX176" s="373">
        <f>'Table A5.4.2'!$EM31</f>
        <v>25.6</v>
      </c>
      <c r="AY176" s="373">
        <f>'Table A5.4.2'!$EM31</f>
        <v>25.6</v>
      </c>
      <c r="AZ176" s="373">
        <f>'Table A5.4.2'!$EM31</f>
        <v>25.6</v>
      </c>
      <c r="BA176" s="373">
        <f>'Table A5.4.2'!$EM31</f>
        <v>25.6</v>
      </c>
      <c r="BB176" s="373">
        <f>'Table A5.4.2'!$EM31</f>
        <v>25.6</v>
      </c>
      <c r="BC176" s="373">
        <f>'Table A5.4.2'!$EM31</f>
        <v>25.6</v>
      </c>
      <c r="BD176" s="373">
        <f>'Table A5.4.2'!$EM31</f>
        <v>25.6</v>
      </c>
      <c r="BE176" s="373">
        <f>'Table A5.4.2'!$EM31</f>
        <v>25.6</v>
      </c>
      <c r="BF176" s="373">
        <f>'Table A5.4.2'!$EM31</f>
        <v>25.6</v>
      </c>
      <c r="BG176" s="373">
        <f>'Table A5.4.2'!$EM31</f>
        <v>25.6</v>
      </c>
      <c r="BH176" s="373">
        <f>'Table A5.4.2'!$EM31</f>
        <v>25.6</v>
      </c>
      <c r="BI176" s="373">
        <f>'Table A5.4.2'!$EM31</f>
        <v>25.6</v>
      </c>
      <c r="BJ176" s="373">
        <f>'Table A5.4.2'!$EM31</f>
        <v>25.6</v>
      </c>
      <c r="BK176" s="373">
        <f>'Table A5.4.2'!$EM31</f>
        <v>25.6</v>
      </c>
      <c r="BL176" s="373">
        <f>'Table A5.4.2'!$EM31</f>
        <v>25.6</v>
      </c>
      <c r="BM176" s="373">
        <f>'Table A5.4.2'!$EM31</f>
        <v>25.6</v>
      </c>
      <c r="BN176" s="373">
        <f>'Table A5.4.2'!$EM31</f>
        <v>25.6</v>
      </c>
      <c r="BO176" s="373">
        <f>'Table A5.4.2'!$EM31</f>
        <v>25.6</v>
      </c>
      <c r="BP176" s="373">
        <f>'Table A5.4.2'!$EM31</f>
        <v>25.6</v>
      </c>
      <c r="BQ176" s="373">
        <f>'Table A5.4.2'!$EM31</f>
        <v>25.6</v>
      </c>
      <c r="BR176" s="373">
        <f>'Table A5.4.2'!$EM31</f>
        <v>25.6</v>
      </c>
      <c r="BS176" s="373">
        <f>'Table A5.4.2'!$EM31</f>
        <v>25.6</v>
      </c>
      <c r="BT176" s="373">
        <f>'Table A5.4.2'!$EM31</f>
        <v>25.6</v>
      </c>
      <c r="BU176" s="373">
        <f>'Table A5.4.2'!$EM31</f>
        <v>25.6</v>
      </c>
      <c r="BV176" s="373">
        <f>'Table A5.4.2'!$EM31</f>
        <v>25.6</v>
      </c>
      <c r="BW176" s="373">
        <f>'Table A5.4.2'!$EM31</f>
        <v>25.6</v>
      </c>
      <c r="BX176" s="373">
        <f>'Table A5.4.2'!$EM31</f>
        <v>25.6</v>
      </c>
      <c r="BY176" s="373">
        <f>'Table A5.4.2'!$EM31</f>
        <v>25.6</v>
      </c>
      <c r="BZ176" s="373">
        <f>'Table A5.4.2'!$EM31</f>
        <v>25.6</v>
      </c>
      <c r="CA176" s="373">
        <f>'Table A5.4.2'!$EM31</f>
        <v>25.6</v>
      </c>
      <c r="CB176" s="373">
        <f>'Table A5.4.2'!$EM31</f>
        <v>25.6</v>
      </c>
      <c r="CC176" s="373">
        <f>'Table A5.4.2'!$EM31</f>
        <v>25.6</v>
      </c>
      <c r="CD176" s="373">
        <f>'Table A5.4.2'!$EM31</f>
        <v>25.6</v>
      </c>
      <c r="CE176" s="373">
        <f>'Table A5.4.2'!$EM31</f>
        <v>25.6</v>
      </c>
      <c r="CF176" s="373">
        <f>'Table A5.4.2'!$EM31</f>
        <v>25.6</v>
      </c>
    </row>
    <row r="177" spans="3:84">
      <c r="D177" s="881" t="s">
        <v>356</v>
      </c>
      <c r="E177" s="373">
        <f>'Table A5.4.2'!$AE32</f>
        <v>0.1</v>
      </c>
      <c r="F177" s="373">
        <f>'Table A5.4.2'!$AE32</f>
        <v>0.1</v>
      </c>
      <c r="G177" s="373">
        <f>'Table A5.4.2'!$AE32</f>
        <v>0.1</v>
      </c>
      <c r="H177" s="373">
        <f>'Table A5.4.2'!$AE32</f>
        <v>0.1</v>
      </c>
      <c r="I177" s="373">
        <f>'Table A5.4.2'!$AE32</f>
        <v>0.1</v>
      </c>
      <c r="J177" s="373">
        <f>'Table A5.4.2'!$AE32</f>
        <v>0.1</v>
      </c>
      <c r="K177" s="373">
        <f>'Table A5.4.2'!$AE32</f>
        <v>0.1</v>
      </c>
      <c r="L177" s="373">
        <f>'Table A5.4.2'!$AE32</f>
        <v>0.1</v>
      </c>
      <c r="M177" s="373">
        <f>'Table A5.4.2'!$AE32</f>
        <v>0.1</v>
      </c>
      <c r="N177" s="373">
        <f>'Table A5.4.2'!$AE32</f>
        <v>0.1</v>
      </c>
      <c r="O177" s="373">
        <f>'Table A5.4.2'!$AU32</f>
        <v>0.1</v>
      </c>
      <c r="P177" s="373">
        <f>'Table A5.4.2'!$AU32</f>
        <v>0.1</v>
      </c>
      <c r="Q177" s="373">
        <f>'Table A5.4.2'!$AU32</f>
        <v>0.1</v>
      </c>
      <c r="R177" s="373">
        <f>'Table A5.4.2'!$AU32</f>
        <v>0.1</v>
      </c>
      <c r="S177" s="373">
        <f>'Table A5.4.2'!$AU32</f>
        <v>0.1</v>
      </c>
      <c r="T177" s="373">
        <f>'Table A5.4.2'!$BK32</f>
        <v>0.1</v>
      </c>
      <c r="U177" s="373">
        <f>'Table A5.4.2'!$BK32</f>
        <v>0.1</v>
      </c>
      <c r="V177" s="373">
        <f>'Table A5.4.2'!$BK32</f>
        <v>0.1</v>
      </c>
      <c r="W177" s="373">
        <f>'Table A5.4.2'!$BK32</f>
        <v>0.1</v>
      </c>
      <c r="X177" s="373">
        <f>'Table A5.4.2'!$BK32</f>
        <v>0.1</v>
      </c>
      <c r="Y177" s="373">
        <f>'Table A5.4.2'!$CA32</f>
        <v>0.1</v>
      </c>
      <c r="Z177" s="373">
        <f>'Table A5.4.2'!$CA32</f>
        <v>0.1</v>
      </c>
      <c r="AA177" s="373">
        <f>'Table A5.4.2'!$CA32</f>
        <v>0.1</v>
      </c>
      <c r="AB177" s="373">
        <f>'Table A5.4.2'!$CA32</f>
        <v>0.1</v>
      </c>
      <c r="AC177" s="373">
        <f>'Table A5.4.2'!$CA32</f>
        <v>0.1</v>
      </c>
      <c r="AD177" s="373">
        <f>'Table A5.4.2'!$CQ32</f>
        <v>0.1</v>
      </c>
      <c r="AE177" s="373">
        <f>'Table A5.4.2'!$CQ32</f>
        <v>0.1</v>
      </c>
      <c r="AF177" s="373">
        <f>'Table A5.4.2'!$CQ32</f>
        <v>0.1</v>
      </c>
      <c r="AG177" s="373">
        <f>'Table A5.4.2'!$CQ32</f>
        <v>0.1</v>
      </c>
      <c r="AH177" s="373">
        <f>'Table A5.4.2'!$CQ32</f>
        <v>0.1</v>
      </c>
      <c r="AI177" s="373">
        <f>'Table A5.4.2'!$DG32</f>
        <v>0.1</v>
      </c>
      <c r="AJ177" s="373">
        <f>'Table A5.4.2'!$DG32</f>
        <v>0.1</v>
      </c>
      <c r="AK177" s="373">
        <f>'Table A5.4.2'!$DG32</f>
        <v>0.1</v>
      </c>
      <c r="AL177" s="373">
        <f>'Table A5.4.2'!$DG32</f>
        <v>0.1</v>
      </c>
      <c r="AM177" s="373">
        <f>'Table A5.4.2'!$DG32</f>
        <v>0.1</v>
      </c>
      <c r="AN177" s="373">
        <f>'Table A5.4.2'!$DW32</f>
        <v>0.1</v>
      </c>
      <c r="AO177" s="373">
        <f>'Table A5.4.2'!$DW32</f>
        <v>0.1</v>
      </c>
      <c r="AP177" s="373">
        <f>'Table A5.4.2'!$DW32</f>
        <v>0.1</v>
      </c>
      <c r="AQ177" s="373">
        <f>'Table A5.4.2'!$DW32</f>
        <v>0.1</v>
      </c>
      <c r="AR177" s="373">
        <f>'Table A5.4.2'!$DW32</f>
        <v>0.1</v>
      </c>
      <c r="AS177" s="373">
        <f>'Table A5.4.2'!$EM32</f>
        <v>0.1</v>
      </c>
      <c r="AT177" s="373">
        <f>'Table A5.4.2'!$EM32</f>
        <v>0.1</v>
      </c>
      <c r="AU177" s="373">
        <f>'Table A5.4.2'!$EM32</f>
        <v>0.1</v>
      </c>
      <c r="AV177" s="373">
        <f>'Table A5.4.2'!$EM32</f>
        <v>0.1</v>
      </c>
      <c r="AW177" s="373">
        <f>'Table A5.4.2'!$EM32</f>
        <v>0.1</v>
      </c>
      <c r="AX177" s="373">
        <f>'Table A5.4.2'!$EM32</f>
        <v>0.1</v>
      </c>
      <c r="AY177" s="373">
        <f>'Table A5.4.2'!$EM32</f>
        <v>0.1</v>
      </c>
      <c r="AZ177" s="373">
        <f>'Table A5.4.2'!$EM32</f>
        <v>0.1</v>
      </c>
      <c r="BA177" s="373">
        <f>'Table A5.4.2'!$EM32</f>
        <v>0.1</v>
      </c>
      <c r="BB177" s="373">
        <f>'Table A5.4.2'!$EM32</f>
        <v>0.1</v>
      </c>
      <c r="BC177" s="373">
        <f>'Table A5.4.2'!$EM32</f>
        <v>0.1</v>
      </c>
      <c r="BD177" s="373">
        <f>'Table A5.4.2'!$EM32</f>
        <v>0.1</v>
      </c>
      <c r="BE177" s="373">
        <f>'Table A5.4.2'!$EM32</f>
        <v>0.1</v>
      </c>
      <c r="BF177" s="373">
        <f>'Table A5.4.2'!$EM32</f>
        <v>0.1</v>
      </c>
      <c r="BG177" s="373">
        <f>'Table A5.4.2'!$EM32</f>
        <v>0.1</v>
      </c>
      <c r="BH177" s="373">
        <f>'Table A5.4.2'!$EM32</f>
        <v>0.1</v>
      </c>
      <c r="BI177" s="373">
        <f>'Table A5.4.2'!$EM32</f>
        <v>0.1</v>
      </c>
      <c r="BJ177" s="373">
        <f>'Table A5.4.2'!$EM32</f>
        <v>0.1</v>
      </c>
      <c r="BK177" s="373">
        <f>'Table A5.4.2'!$EM32</f>
        <v>0.1</v>
      </c>
      <c r="BL177" s="373">
        <f>'Table A5.4.2'!$EM32</f>
        <v>0.1</v>
      </c>
      <c r="BM177" s="373">
        <f>'Table A5.4.2'!$EM32</f>
        <v>0.1</v>
      </c>
      <c r="BN177" s="373">
        <f>'Table A5.4.2'!$EM32</f>
        <v>0.1</v>
      </c>
      <c r="BO177" s="373">
        <f>'Table A5.4.2'!$EM32</f>
        <v>0.1</v>
      </c>
      <c r="BP177" s="373">
        <f>'Table A5.4.2'!$EM32</f>
        <v>0.1</v>
      </c>
      <c r="BQ177" s="373">
        <f>'Table A5.4.2'!$EM32</f>
        <v>0.1</v>
      </c>
      <c r="BR177" s="373">
        <f>'Table A5.4.2'!$EM32</f>
        <v>0.1</v>
      </c>
      <c r="BS177" s="373">
        <f>'Table A5.4.2'!$EM32</f>
        <v>0.1</v>
      </c>
      <c r="BT177" s="373">
        <f>'Table A5.4.2'!$EM32</f>
        <v>0.1</v>
      </c>
      <c r="BU177" s="373">
        <f>'Table A5.4.2'!$EM32</f>
        <v>0.1</v>
      </c>
      <c r="BV177" s="373">
        <f>'Table A5.4.2'!$EM32</f>
        <v>0.1</v>
      </c>
      <c r="BW177" s="373">
        <f>'Table A5.4.2'!$EM32</f>
        <v>0.1</v>
      </c>
      <c r="BX177" s="373">
        <f>'Table A5.4.2'!$EM32</f>
        <v>0.1</v>
      </c>
      <c r="BY177" s="373">
        <f>'Table A5.4.2'!$EM32</f>
        <v>0.1</v>
      </c>
      <c r="BZ177" s="373">
        <f>'Table A5.4.2'!$EM32</f>
        <v>0.1</v>
      </c>
      <c r="CA177" s="373">
        <f>'Table A5.4.2'!$EM32</f>
        <v>0.1</v>
      </c>
      <c r="CB177" s="373">
        <f>'Table A5.4.2'!$EM32</f>
        <v>0.1</v>
      </c>
      <c r="CC177" s="373">
        <f>'Table A5.4.2'!$EM32</f>
        <v>0.1</v>
      </c>
      <c r="CD177" s="373">
        <f>'Table A5.4.2'!$EM32</f>
        <v>0.1</v>
      </c>
      <c r="CE177" s="373">
        <f>'Table A5.4.2'!$EM32</f>
        <v>0.1</v>
      </c>
      <c r="CF177" s="373">
        <f>'Table A5.4.2'!$EM32</f>
        <v>0.1</v>
      </c>
    </row>
    <row r="178" spans="3:84">
      <c r="D178" s="881" t="s">
        <v>357</v>
      </c>
      <c r="E178" s="373">
        <f>'Table A5.4.2'!$AE33</f>
        <v>1.6</v>
      </c>
      <c r="F178" s="373">
        <f>'Table A5.4.2'!$AE33</f>
        <v>1.6</v>
      </c>
      <c r="G178" s="373">
        <f>'Table A5.4.2'!$AE33</f>
        <v>1.6</v>
      </c>
      <c r="H178" s="373">
        <f>'Table A5.4.2'!$AE33</f>
        <v>1.6</v>
      </c>
      <c r="I178" s="373">
        <f>'Table A5.4.2'!$AE33</f>
        <v>1.6</v>
      </c>
      <c r="J178" s="373">
        <f>'Table A5.4.2'!$AE33</f>
        <v>1.6</v>
      </c>
      <c r="K178" s="373">
        <f>'Table A5.4.2'!$AE33</f>
        <v>1.6</v>
      </c>
      <c r="L178" s="373">
        <f>'Table A5.4.2'!$AE33</f>
        <v>1.6</v>
      </c>
      <c r="M178" s="373">
        <f>'Table A5.4.2'!$AE33</f>
        <v>1.6</v>
      </c>
      <c r="N178" s="373">
        <f>'Table A5.4.2'!$AE33</f>
        <v>1.6</v>
      </c>
      <c r="O178" s="373">
        <f>'Table A5.4.2'!$AU33</f>
        <v>1.5</v>
      </c>
      <c r="P178" s="373">
        <f>'Table A5.4.2'!$AU33</f>
        <v>1.5</v>
      </c>
      <c r="Q178" s="373">
        <f>'Table A5.4.2'!$AU33</f>
        <v>1.5</v>
      </c>
      <c r="R178" s="373">
        <f>'Table A5.4.2'!$AU33</f>
        <v>1.5</v>
      </c>
      <c r="S178" s="373">
        <f>'Table A5.4.2'!$AU33</f>
        <v>1.5</v>
      </c>
      <c r="T178" s="373">
        <f>'Table A5.4.2'!$BK33</f>
        <v>1.8</v>
      </c>
      <c r="U178" s="373">
        <f>'Table A5.4.2'!$BK33</f>
        <v>1.8</v>
      </c>
      <c r="V178" s="373">
        <f>'Table A5.4.2'!$BK33</f>
        <v>1.8</v>
      </c>
      <c r="W178" s="373">
        <f>'Table A5.4.2'!$BK33</f>
        <v>1.8</v>
      </c>
      <c r="X178" s="373">
        <f>'Table A5.4.2'!$BK33</f>
        <v>1.8</v>
      </c>
      <c r="Y178" s="373">
        <f>'Table A5.4.2'!$CA33</f>
        <v>1.9</v>
      </c>
      <c r="Z178" s="373">
        <f>'Table A5.4.2'!$CA33</f>
        <v>1.9</v>
      </c>
      <c r="AA178" s="373">
        <f>'Table A5.4.2'!$CA33</f>
        <v>1.9</v>
      </c>
      <c r="AB178" s="373">
        <f>'Table A5.4.2'!$CA33</f>
        <v>1.9</v>
      </c>
      <c r="AC178" s="373">
        <f>'Table A5.4.2'!$CA33</f>
        <v>1.9</v>
      </c>
      <c r="AD178" s="373">
        <f>'Table A5.4.2'!$CQ33</f>
        <v>2</v>
      </c>
      <c r="AE178" s="373">
        <f>'Table A5.4.2'!$CQ33</f>
        <v>2</v>
      </c>
      <c r="AF178" s="373">
        <f>'Table A5.4.2'!$CQ33</f>
        <v>2</v>
      </c>
      <c r="AG178" s="373">
        <f>'Table A5.4.2'!$CQ33</f>
        <v>2</v>
      </c>
      <c r="AH178" s="373">
        <f>'Table A5.4.2'!$CQ33</f>
        <v>2</v>
      </c>
      <c r="AI178" s="373">
        <f>'Table A5.4.2'!$DG33</f>
        <v>2.2000000000000002</v>
      </c>
      <c r="AJ178" s="373">
        <f>'Table A5.4.2'!$DG33</f>
        <v>2.2000000000000002</v>
      </c>
      <c r="AK178" s="373">
        <f>'Table A5.4.2'!$DG33</f>
        <v>2.2000000000000002</v>
      </c>
      <c r="AL178" s="373">
        <f>'Table A5.4.2'!$DG33</f>
        <v>2.2000000000000002</v>
      </c>
      <c r="AM178" s="373">
        <f>'Table A5.4.2'!$DG33</f>
        <v>2.2000000000000002</v>
      </c>
      <c r="AN178" s="373">
        <f>'Table A5.4.2'!$DW33</f>
        <v>2.2999999999999998</v>
      </c>
      <c r="AO178" s="373">
        <f>'Table A5.4.2'!$DW33</f>
        <v>2.2999999999999998</v>
      </c>
      <c r="AP178" s="373">
        <f>'Table A5.4.2'!$DW33</f>
        <v>2.2999999999999998</v>
      </c>
      <c r="AQ178" s="373">
        <f>'Table A5.4.2'!$DW33</f>
        <v>2.2999999999999998</v>
      </c>
      <c r="AR178" s="373">
        <f>'Table A5.4.2'!$DW33</f>
        <v>2.2999999999999998</v>
      </c>
      <c r="AS178" s="373">
        <f>'Table A5.4.2'!$EM33</f>
        <v>2.5</v>
      </c>
      <c r="AT178" s="373">
        <f>'Table A5.4.2'!$EM33</f>
        <v>2.5</v>
      </c>
      <c r="AU178" s="373">
        <f>'Table A5.4.2'!$EM33</f>
        <v>2.5</v>
      </c>
      <c r="AV178" s="373">
        <f>'Table A5.4.2'!$EM33</f>
        <v>2.5</v>
      </c>
      <c r="AW178" s="373">
        <f>'Table A5.4.2'!$EM33</f>
        <v>2.5</v>
      </c>
      <c r="AX178" s="373">
        <f>'Table A5.4.2'!$EM33</f>
        <v>2.5</v>
      </c>
      <c r="AY178" s="373">
        <f>'Table A5.4.2'!$EM33</f>
        <v>2.5</v>
      </c>
      <c r="AZ178" s="373">
        <f>'Table A5.4.2'!$EM33</f>
        <v>2.5</v>
      </c>
      <c r="BA178" s="373">
        <f>'Table A5.4.2'!$EM33</f>
        <v>2.5</v>
      </c>
      <c r="BB178" s="373">
        <f>'Table A5.4.2'!$EM33</f>
        <v>2.5</v>
      </c>
      <c r="BC178" s="373">
        <f>'Table A5.4.2'!$EM33</f>
        <v>2.5</v>
      </c>
      <c r="BD178" s="373">
        <f>'Table A5.4.2'!$EM33</f>
        <v>2.5</v>
      </c>
      <c r="BE178" s="373">
        <f>'Table A5.4.2'!$EM33</f>
        <v>2.5</v>
      </c>
      <c r="BF178" s="373">
        <f>'Table A5.4.2'!$EM33</f>
        <v>2.5</v>
      </c>
      <c r="BG178" s="373">
        <f>'Table A5.4.2'!$EM33</f>
        <v>2.5</v>
      </c>
      <c r="BH178" s="373">
        <f>'Table A5.4.2'!$EM33</f>
        <v>2.5</v>
      </c>
      <c r="BI178" s="373">
        <f>'Table A5.4.2'!$EM33</f>
        <v>2.5</v>
      </c>
      <c r="BJ178" s="373">
        <f>'Table A5.4.2'!$EM33</f>
        <v>2.5</v>
      </c>
      <c r="BK178" s="373">
        <f>'Table A5.4.2'!$EM33</f>
        <v>2.5</v>
      </c>
      <c r="BL178" s="373">
        <f>'Table A5.4.2'!$EM33</f>
        <v>2.5</v>
      </c>
      <c r="BM178" s="373">
        <f>'Table A5.4.2'!$EM33</f>
        <v>2.5</v>
      </c>
      <c r="BN178" s="373">
        <f>'Table A5.4.2'!$EM33</f>
        <v>2.5</v>
      </c>
      <c r="BO178" s="373">
        <f>'Table A5.4.2'!$EM33</f>
        <v>2.5</v>
      </c>
      <c r="BP178" s="373">
        <f>'Table A5.4.2'!$EM33</f>
        <v>2.5</v>
      </c>
      <c r="BQ178" s="373">
        <f>'Table A5.4.2'!$EM33</f>
        <v>2.5</v>
      </c>
      <c r="BR178" s="373">
        <f>'Table A5.4.2'!$EM33</f>
        <v>2.5</v>
      </c>
      <c r="BS178" s="373">
        <f>'Table A5.4.2'!$EM33</f>
        <v>2.5</v>
      </c>
      <c r="BT178" s="373">
        <f>'Table A5.4.2'!$EM33</f>
        <v>2.5</v>
      </c>
      <c r="BU178" s="373">
        <f>'Table A5.4.2'!$EM33</f>
        <v>2.5</v>
      </c>
      <c r="BV178" s="373">
        <f>'Table A5.4.2'!$EM33</f>
        <v>2.5</v>
      </c>
      <c r="BW178" s="373">
        <f>'Table A5.4.2'!$EM33</f>
        <v>2.5</v>
      </c>
      <c r="BX178" s="373">
        <f>'Table A5.4.2'!$EM33</f>
        <v>2.5</v>
      </c>
      <c r="BY178" s="373">
        <f>'Table A5.4.2'!$EM33</f>
        <v>2.5</v>
      </c>
      <c r="BZ178" s="373">
        <f>'Table A5.4.2'!$EM33</f>
        <v>2.5</v>
      </c>
      <c r="CA178" s="373">
        <f>'Table A5.4.2'!$EM33</f>
        <v>2.5</v>
      </c>
      <c r="CB178" s="373">
        <f>'Table A5.4.2'!$EM33</f>
        <v>2.5</v>
      </c>
      <c r="CC178" s="373">
        <f>'Table A5.4.2'!$EM33</f>
        <v>2.5</v>
      </c>
      <c r="CD178" s="373">
        <f>'Table A5.4.2'!$EM33</f>
        <v>2.5</v>
      </c>
      <c r="CE178" s="373">
        <f>'Table A5.4.2'!$EM33</f>
        <v>2.5</v>
      </c>
      <c r="CF178" s="373">
        <f>'Table A5.4.2'!$EM33</f>
        <v>2.5</v>
      </c>
    </row>
    <row r="179" spans="3:84" ht="18.75" customHeight="1">
      <c r="D179" s="881" t="s">
        <v>358</v>
      </c>
      <c r="E179" s="373">
        <f>'Table A5.4.2'!$AE34</f>
        <v>0.7</v>
      </c>
      <c r="F179" s="373">
        <f>'Table A5.4.2'!$AE34</f>
        <v>0.7</v>
      </c>
      <c r="G179" s="373">
        <f>'Table A5.4.2'!$AE34</f>
        <v>0.7</v>
      </c>
      <c r="H179" s="373">
        <f>'Table A5.4.2'!$AE34</f>
        <v>0.7</v>
      </c>
      <c r="I179" s="373">
        <f>'Table A5.4.2'!$AE34</f>
        <v>0.7</v>
      </c>
      <c r="J179" s="373">
        <f>'Table A5.4.2'!$AE34</f>
        <v>0.7</v>
      </c>
      <c r="K179" s="373">
        <f>'Table A5.4.2'!$AE34</f>
        <v>0.7</v>
      </c>
      <c r="L179" s="373">
        <f>'Table A5.4.2'!$AE34</f>
        <v>0.7</v>
      </c>
      <c r="M179" s="373">
        <f>'Table A5.4.2'!$AE34</f>
        <v>0.7</v>
      </c>
      <c r="N179" s="373">
        <f>'Table A5.4.2'!$AE34</f>
        <v>0.7</v>
      </c>
      <c r="O179" s="373">
        <f>'Table A5.4.2'!$AU34</f>
        <v>0.5</v>
      </c>
      <c r="P179" s="373">
        <f>'Table A5.4.2'!$AU34</f>
        <v>0.5</v>
      </c>
      <c r="Q179" s="373">
        <f>'Table A5.4.2'!$AU34</f>
        <v>0.5</v>
      </c>
      <c r="R179" s="373">
        <f>'Table A5.4.2'!$AU34</f>
        <v>0.5</v>
      </c>
      <c r="S179" s="373">
        <f>'Table A5.4.2'!$AU34</f>
        <v>0.5</v>
      </c>
      <c r="T179" s="373">
        <f>'Table A5.4.2'!$BK34</f>
        <v>0.5</v>
      </c>
      <c r="U179" s="373">
        <f>'Table A5.4.2'!$BK34</f>
        <v>0.5</v>
      </c>
      <c r="V179" s="373">
        <f>'Table A5.4.2'!$BK34</f>
        <v>0.5</v>
      </c>
      <c r="W179" s="373">
        <f>'Table A5.4.2'!$BK34</f>
        <v>0.5</v>
      </c>
      <c r="X179" s="373">
        <f>'Table A5.4.2'!$BK34</f>
        <v>0.5</v>
      </c>
      <c r="Y179" s="373">
        <f>'Table A5.4.2'!$CA34</f>
        <v>0.4</v>
      </c>
      <c r="Z179" s="373">
        <f>'Table A5.4.2'!$CA34</f>
        <v>0.4</v>
      </c>
      <c r="AA179" s="373">
        <f>'Table A5.4.2'!$CA34</f>
        <v>0.4</v>
      </c>
      <c r="AB179" s="373">
        <f>'Table A5.4.2'!$CA34</f>
        <v>0.4</v>
      </c>
      <c r="AC179" s="373">
        <f>'Table A5.4.2'!$CA34</f>
        <v>0.4</v>
      </c>
      <c r="AD179" s="373">
        <f>'Table A5.4.2'!$CQ34</f>
        <v>0.4</v>
      </c>
      <c r="AE179" s="373">
        <f>'Table A5.4.2'!$CQ34</f>
        <v>0.4</v>
      </c>
      <c r="AF179" s="373">
        <f>'Table A5.4.2'!$CQ34</f>
        <v>0.4</v>
      </c>
      <c r="AG179" s="373">
        <f>'Table A5.4.2'!$CQ34</f>
        <v>0.4</v>
      </c>
      <c r="AH179" s="373">
        <f>'Table A5.4.2'!$CQ34</f>
        <v>0.4</v>
      </c>
      <c r="AI179" s="373">
        <f>'Table A5.4.2'!$DG34</f>
        <v>0.4</v>
      </c>
      <c r="AJ179" s="373">
        <f>'Table A5.4.2'!$DG34</f>
        <v>0.4</v>
      </c>
      <c r="AK179" s="373">
        <f>'Table A5.4.2'!$DG34</f>
        <v>0.4</v>
      </c>
      <c r="AL179" s="373">
        <f>'Table A5.4.2'!$DG34</f>
        <v>0.4</v>
      </c>
      <c r="AM179" s="373">
        <f>'Table A5.4.2'!$DG34</f>
        <v>0.4</v>
      </c>
      <c r="AN179" s="373">
        <f>'Table A5.4.2'!$DW34</f>
        <v>0.5</v>
      </c>
      <c r="AO179" s="373">
        <f>'Table A5.4.2'!$DW34</f>
        <v>0.5</v>
      </c>
      <c r="AP179" s="373">
        <f>'Table A5.4.2'!$DW34</f>
        <v>0.5</v>
      </c>
      <c r="AQ179" s="373">
        <f>'Table A5.4.2'!$DW34</f>
        <v>0.5</v>
      </c>
      <c r="AR179" s="373">
        <f>'Table A5.4.2'!$DW34</f>
        <v>0.5</v>
      </c>
      <c r="AS179" s="373">
        <f>'Table A5.4.2'!$EM34</f>
        <v>0.5</v>
      </c>
      <c r="AT179" s="373">
        <f>'Table A5.4.2'!$EM34</f>
        <v>0.5</v>
      </c>
      <c r="AU179" s="373">
        <f>'Table A5.4.2'!$EM34</f>
        <v>0.5</v>
      </c>
      <c r="AV179" s="373">
        <f>'Table A5.4.2'!$EM34</f>
        <v>0.5</v>
      </c>
      <c r="AW179" s="373">
        <f>'Table A5.4.2'!$EM34</f>
        <v>0.5</v>
      </c>
      <c r="AX179" s="373">
        <f>'Table A5.4.2'!$EM34</f>
        <v>0.5</v>
      </c>
      <c r="AY179" s="373">
        <f>'Table A5.4.2'!$EM34</f>
        <v>0.5</v>
      </c>
      <c r="AZ179" s="373">
        <f>'Table A5.4.2'!$EM34</f>
        <v>0.5</v>
      </c>
      <c r="BA179" s="373">
        <f>'Table A5.4.2'!$EM34</f>
        <v>0.5</v>
      </c>
      <c r="BB179" s="373">
        <f>'Table A5.4.2'!$EM34</f>
        <v>0.5</v>
      </c>
      <c r="BC179" s="373">
        <f>'Table A5.4.2'!$EM34</f>
        <v>0.5</v>
      </c>
      <c r="BD179" s="373">
        <f>'Table A5.4.2'!$EM34</f>
        <v>0.5</v>
      </c>
      <c r="BE179" s="373">
        <f>'Table A5.4.2'!$EM34</f>
        <v>0.5</v>
      </c>
      <c r="BF179" s="373">
        <f>'Table A5.4.2'!$EM34</f>
        <v>0.5</v>
      </c>
      <c r="BG179" s="373">
        <f>'Table A5.4.2'!$EM34</f>
        <v>0.5</v>
      </c>
      <c r="BH179" s="373">
        <f>'Table A5.4.2'!$EM34</f>
        <v>0.5</v>
      </c>
      <c r="BI179" s="373">
        <f>'Table A5.4.2'!$EM34</f>
        <v>0.5</v>
      </c>
      <c r="BJ179" s="373">
        <f>'Table A5.4.2'!$EM34</f>
        <v>0.5</v>
      </c>
      <c r="BK179" s="373">
        <f>'Table A5.4.2'!$EM34</f>
        <v>0.5</v>
      </c>
      <c r="BL179" s="373">
        <f>'Table A5.4.2'!$EM34</f>
        <v>0.5</v>
      </c>
      <c r="BM179" s="373">
        <f>'Table A5.4.2'!$EM34</f>
        <v>0.5</v>
      </c>
      <c r="BN179" s="373">
        <f>'Table A5.4.2'!$EM34</f>
        <v>0.5</v>
      </c>
      <c r="BO179" s="373">
        <f>'Table A5.4.2'!$EM34</f>
        <v>0.5</v>
      </c>
      <c r="BP179" s="373">
        <f>'Table A5.4.2'!$EM34</f>
        <v>0.5</v>
      </c>
      <c r="BQ179" s="373">
        <f>'Table A5.4.2'!$EM34</f>
        <v>0.5</v>
      </c>
      <c r="BR179" s="373">
        <f>'Table A5.4.2'!$EM34</f>
        <v>0.5</v>
      </c>
      <c r="BS179" s="373">
        <f>'Table A5.4.2'!$EM34</f>
        <v>0.5</v>
      </c>
      <c r="BT179" s="373">
        <f>'Table A5.4.2'!$EM34</f>
        <v>0.5</v>
      </c>
      <c r="BU179" s="373">
        <f>'Table A5.4.2'!$EM34</f>
        <v>0.5</v>
      </c>
      <c r="BV179" s="373">
        <f>'Table A5.4.2'!$EM34</f>
        <v>0.5</v>
      </c>
      <c r="BW179" s="373">
        <f>'Table A5.4.2'!$EM34</f>
        <v>0.5</v>
      </c>
      <c r="BX179" s="373">
        <f>'Table A5.4.2'!$EM34</f>
        <v>0.5</v>
      </c>
      <c r="BY179" s="373">
        <f>'Table A5.4.2'!$EM34</f>
        <v>0.5</v>
      </c>
      <c r="BZ179" s="373">
        <f>'Table A5.4.2'!$EM34</f>
        <v>0.5</v>
      </c>
      <c r="CA179" s="373">
        <f>'Table A5.4.2'!$EM34</f>
        <v>0.5</v>
      </c>
      <c r="CB179" s="373">
        <f>'Table A5.4.2'!$EM34</f>
        <v>0.5</v>
      </c>
      <c r="CC179" s="373">
        <f>'Table A5.4.2'!$EM34</f>
        <v>0.5</v>
      </c>
      <c r="CD179" s="373">
        <f>'Table A5.4.2'!$EM34</f>
        <v>0.5</v>
      </c>
      <c r="CE179" s="373">
        <f>'Table A5.4.2'!$EM34</f>
        <v>0.5</v>
      </c>
      <c r="CF179" s="373">
        <f>'Table A5.4.2'!$EM34</f>
        <v>0.5</v>
      </c>
    </row>
    <row r="180" spans="3:84" ht="20.25" customHeight="1">
      <c r="D180" s="881" t="s">
        <v>359</v>
      </c>
      <c r="E180" s="373">
        <f>'Table A5.4.2'!$AE35</f>
        <v>0.1</v>
      </c>
      <c r="F180" s="373">
        <f>'Table A5.4.2'!$AE35</f>
        <v>0.1</v>
      </c>
      <c r="G180" s="373">
        <f>'Table A5.4.2'!$AE35</f>
        <v>0.1</v>
      </c>
      <c r="H180" s="373">
        <f>'Table A5.4.2'!$AE35</f>
        <v>0.1</v>
      </c>
      <c r="I180" s="373">
        <f>'Table A5.4.2'!$AE35</f>
        <v>0.1</v>
      </c>
      <c r="J180" s="373">
        <f>'Table A5.4.2'!$AE35</f>
        <v>0.1</v>
      </c>
      <c r="K180" s="373">
        <f>'Table A5.4.2'!$AE35</f>
        <v>0.1</v>
      </c>
      <c r="L180" s="373">
        <f>'Table A5.4.2'!$AE35</f>
        <v>0.1</v>
      </c>
      <c r="M180" s="373">
        <f>'Table A5.4.2'!$AE35</f>
        <v>0.1</v>
      </c>
      <c r="N180" s="373">
        <f>'Table A5.4.2'!$AE35</f>
        <v>0.1</v>
      </c>
      <c r="O180" s="373">
        <f>'Table A5.4.2'!$AU35</f>
        <v>0.1</v>
      </c>
      <c r="P180" s="373">
        <f>'Table A5.4.2'!$AU35</f>
        <v>0.1</v>
      </c>
      <c r="Q180" s="373">
        <f>'Table A5.4.2'!$AU35</f>
        <v>0.1</v>
      </c>
      <c r="R180" s="373">
        <f>'Table A5.4.2'!$AU35</f>
        <v>0.1</v>
      </c>
      <c r="S180" s="373">
        <f>'Table A5.4.2'!$AU35</f>
        <v>0.1</v>
      </c>
      <c r="T180" s="373">
        <f>'Table A5.4.2'!$BK35</f>
        <v>0.1</v>
      </c>
      <c r="U180" s="373">
        <f>'Table A5.4.2'!$BK35</f>
        <v>0.1</v>
      </c>
      <c r="V180" s="373">
        <f>'Table A5.4.2'!$BK35</f>
        <v>0.1</v>
      </c>
      <c r="W180" s="373">
        <f>'Table A5.4.2'!$BK35</f>
        <v>0.1</v>
      </c>
      <c r="X180" s="373">
        <f>'Table A5.4.2'!$BK35</f>
        <v>0.1</v>
      </c>
      <c r="Y180" s="373">
        <f>'Table A5.4.2'!$CA35</f>
        <v>0.1</v>
      </c>
      <c r="Z180" s="373">
        <f>'Table A5.4.2'!$CA35</f>
        <v>0.1</v>
      </c>
      <c r="AA180" s="373">
        <f>'Table A5.4.2'!$CA35</f>
        <v>0.1</v>
      </c>
      <c r="AB180" s="373">
        <f>'Table A5.4.2'!$CA35</f>
        <v>0.1</v>
      </c>
      <c r="AC180" s="373">
        <f>'Table A5.4.2'!$CA35</f>
        <v>0.1</v>
      </c>
      <c r="AD180" s="373">
        <f>'Table A5.4.2'!$CQ35</f>
        <v>0.1</v>
      </c>
      <c r="AE180" s="373">
        <f>'Table A5.4.2'!$CQ35</f>
        <v>0.1</v>
      </c>
      <c r="AF180" s="373">
        <f>'Table A5.4.2'!$CQ35</f>
        <v>0.1</v>
      </c>
      <c r="AG180" s="373">
        <f>'Table A5.4.2'!$CQ35</f>
        <v>0.1</v>
      </c>
      <c r="AH180" s="373">
        <f>'Table A5.4.2'!$CQ35</f>
        <v>0.1</v>
      </c>
      <c r="AI180" s="373">
        <f>'Table A5.4.2'!$DG35</f>
        <v>0.2</v>
      </c>
      <c r="AJ180" s="373">
        <f>'Table A5.4.2'!$DG35</f>
        <v>0.2</v>
      </c>
      <c r="AK180" s="373">
        <f>'Table A5.4.2'!$DG35</f>
        <v>0.2</v>
      </c>
      <c r="AL180" s="373">
        <f>'Table A5.4.2'!$DG35</f>
        <v>0.2</v>
      </c>
      <c r="AM180" s="373">
        <f>'Table A5.4.2'!$DG35</f>
        <v>0.2</v>
      </c>
      <c r="AN180" s="373">
        <f>'Table A5.4.2'!$DW35</f>
        <v>0.2</v>
      </c>
      <c r="AO180" s="373">
        <f>'Table A5.4.2'!$DW35</f>
        <v>0.2</v>
      </c>
      <c r="AP180" s="373">
        <f>'Table A5.4.2'!$DW35</f>
        <v>0.2</v>
      </c>
      <c r="AQ180" s="373">
        <f>'Table A5.4.2'!$DW35</f>
        <v>0.2</v>
      </c>
      <c r="AR180" s="373">
        <f>'Table A5.4.2'!$DW35</f>
        <v>0.2</v>
      </c>
      <c r="AS180" s="373">
        <f>'Table A5.4.2'!$EM35</f>
        <v>0.2</v>
      </c>
      <c r="AT180" s="373">
        <f>'Table A5.4.2'!$EM35</f>
        <v>0.2</v>
      </c>
      <c r="AU180" s="373">
        <f>'Table A5.4.2'!$EM35</f>
        <v>0.2</v>
      </c>
      <c r="AV180" s="373">
        <f>'Table A5.4.2'!$EM35</f>
        <v>0.2</v>
      </c>
      <c r="AW180" s="373">
        <f>'Table A5.4.2'!$EM35</f>
        <v>0.2</v>
      </c>
      <c r="AX180" s="373">
        <f>'Table A5.4.2'!$EM35</f>
        <v>0.2</v>
      </c>
      <c r="AY180" s="373">
        <f>'Table A5.4.2'!$EM35</f>
        <v>0.2</v>
      </c>
      <c r="AZ180" s="373">
        <f>'Table A5.4.2'!$EM35</f>
        <v>0.2</v>
      </c>
      <c r="BA180" s="373">
        <f>'Table A5.4.2'!$EM35</f>
        <v>0.2</v>
      </c>
      <c r="BB180" s="373">
        <f>'Table A5.4.2'!$EM35</f>
        <v>0.2</v>
      </c>
      <c r="BC180" s="373">
        <f>'Table A5.4.2'!$EM35</f>
        <v>0.2</v>
      </c>
      <c r="BD180" s="373">
        <f>'Table A5.4.2'!$EM35</f>
        <v>0.2</v>
      </c>
      <c r="BE180" s="373">
        <f>'Table A5.4.2'!$EM35</f>
        <v>0.2</v>
      </c>
      <c r="BF180" s="373">
        <f>'Table A5.4.2'!$EM35</f>
        <v>0.2</v>
      </c>
      <c r="BG180" s="373">
        <f>'Table A5.4.2'!$EM35</f>
        <v>0.2</v>
      </c>
      <c r="BH180" s="373">
        <f>'Table A5.4.2'!$EM35</f>
        <v>0.2</v>
      </c>
      <c r="BI180" s="373">
        <f>'Table A5.4.2'!$EM35</f>
        <v>0.2</v>
      </c>
      <c r="BJ180" s="373">
        <f>'Table A5.4.2'!$EM35</f>
        <v>0.2</v>
      </c>
      <c r="BK180" s="373">
        <f>'Table A5.4.2'!$EM35</f>
        <v>0.2</v>
      </c>
      <c r="BL180" s="373">
        <f>'Table A5.4.2'!$EM35</f>
        <v>0.2</v>
      </c>
      <c r="BM180" s="373">
        <f>'Table A5.4.2'!$EM35</f>
        <v>0.2</v>
      </c>
      <c r="BN180" s="373">
        <f>'Table A5.4.2'!$EM35</f>
        <v>0.2</v>
      </c>
      <c r="BO180" s="373">
        <f>'Table A5.4.2'!$EM35</f>
        <v>0.2</v>
      </c>
      <c r="BP180" s="373">
        <f>'Table A5.4.2'!$EM35</f>
        <v>0.2</v>
      </c>
      <c r="BQ180" s="373">
        <f>'Table A5.4.2'!$EM35</f>
        <v>0.2</v>
      </c>
      <c r="BR180" s="373">
        <f>'Table A5.4.2'!$EM35</f>
        <v>0.2</v>
      </c>
      <c r="BS180" s="373">
        <f>'Table A5.4.2'!$EM35</f>
        <v>0.2</v>
      </c>
      <c r="BT180" s="373">
        <f>'Table A5.4.2'!$EM35</f>
        <v>0.2</v>
      </c>
      <c r="BU180" s="373">
        <f>'Table A5.4.2'!$EM35</f>
        <v>0.2</v>
      </c>
      <c r="BV180" s="373">
        <f>'Table A5.4.2'!$EM35</f>
        <v>0.2</v>
      </c>
      <c r="BW180" s="373">
        <f>'Table A5.4.2'!$EM35</f>
        <v>0.2</v>
      </c>
      <c r="BX180" s="373">
        <f>'Table A5.4.2'!$EM35</f>
        <v>0.2</v>
      </c>
      <c r="BY180" s="373">
        <f>'Table A5.4.2'!$EM35</f>
        <v>0.2</v>
      </c>
      <c r="BZ180" s="373">
        <f>'Table A5.4.2'!$EM35</f>
        <v>0.2</v>
      </c>
      <c r="CA180" s="373">
        <f>'Table A5.4.2'!$EM35</f>
        <v>0.2</v>
      </c>
      <c r="CB180" s="373">
        <f>'Table A5.4.2'!$EM35</f>
        <v>0.2</v>
      </c>
      <c r="CC180" s="373">
        <f>'Table A5.4.2'!$EM35</f>
        <v>0.2</v>
      </c>
      <c r="CD180" s="373">
        <f>'Table A5.4.2'!$EM35</f>
        <v>0.2</v>
      </c>
      <c r="CE180" s="373">
        <f>'Table A5.4.2'!$EM35</f>
        <v>0.2</v>
      </c>
      <c r="CF180" s="373">
        <f>'Table A5.4.2'!$EM35</f>
        <v>0.2</v>
      </c>
    </row>
    <row r="181" spans="3:84">
      <c r="D181" s="881" t="s">
        <v>360</v>
      </c>
      <c r="E181" s="373">
        <f>'Table A5.4.2'!$AE36</f>
        <v>2.9</v>
      </c>
      <c r="F181" s="373">
        <f>'Table A5.4.2'!$AE36</f>
        <v>2.9</v>
      </c>
      <c r="G181" s="373">
        <f>'Table A5.4.2'!$AE36</f>
        <v>2.9</v>
      </c>
      <c r="H181" s="373">
        <f>'Table A5.4.2'!$AE36</f>
        <v>2.9</v>
      </c>
      <c r="I181" s="373">
        <f>'Table A5.4.2'!$AE36</f>
        <v>2.9</v>
      </c>
      <c r="J181" s="373">
        <f>'Table A5.4.2'!$AE36</f>
        <v>2.9</v>
      </c>
      <c r="K181" s="373">
        <f>'Table A5.4.2'!$AE36</f>
        <v>2.9</v>
      </c>
      <c r="L181" s="373">
        <f>'Table A5.4.2'!$AE36</f>
        <v>2.9</v>
      </c>
      <c r="M181" s="373">
        <f>'Table A5.4.2'!$AE36</f>
        <v>2.9</v>
      </c>
      <c r="N181" s="373">
        <f>'Table A5.4.2'!$AE36</f>
        <v>2.9</v>
      </c>
      <c r="O181" s="373">
        <f>'Table A5.4.2'!$AU36</f>
        <v>2.8</v>
      </c>
      <c r="P181" s="373">
        <f>'Table A5.4.2'!$AU36</f>
        <v>2.8</v>
      </c>
      <c r="Q181" s="373">
        <f>'Table A5.4.2'!$AU36</f>
        <v>2.8</v>
      </c>
      <c r="R181" s="373">
        <f>'Table A5.4.2'!$AU36</f>
        <v>2.8</v>
      </c>
      <c r="S181" s="373">
        <f>'Table A5.4.2'!$AU36</f>
        <v>2.8</v>
      </c>
      <c r="T181" s="373">
        <f>'Table A5.4.2'!$BK36</f>
        <v>2.6</v>
      </c>
      <c r="U181" s="373">
        <f>'Table A5.4.2'!$BK36</f>
        <v>2.6</v>
      </c>
      <c r="V181" s="373">
        <f>'Table A5.4.2'!$BK36</f>
        <v>2.6</v>
      </c>
      <c r="W181" s="373">
        <f>'Table A5.4.2'!$BK36</f>
        <v>2.6</v>
      </c>
      <c r="X181" s="373">
        <f>'Table A5.4.2'!$BK36</f>
        <v>2.6</v>
      </c>
      <c r="Y181" s="373">
        <f>'Table A5.4.2'!$CA36</f>
        <v>2.4</v>
      </c>
      <c r="Z181" s="373">
        <f>'Table A5.4.2'!$CA36</f>
        <v>2.4</v>
      </c>
      <c r="AA181" s="373">
        <f>'Table A5.4.2'!$CA36</f>
        <v>2.4</v>
      </c>
      <c r="AB181" s="373">
        <f>'Table A5.4.2'!$CA36</f>
        <v>2.4</v>
      </c>
      <c r="AC181" s="373">
        <f>'Table A5.4.2'!$CA36</f>
        <v>2.4</v>
      </c>
      <c r="AD181" s="373">
        <f>'Table A5.4.2'!$CQ36</f>
        <v>2.2000000000000002</v>
      </c>
      <c r="AE181" s="373">
        <f>'Table A5.4.2'!$CQ36</f>
        <v>2.2000000000000002</v>
      </c>
      <c r="AF181" s="373">
        <f>'Table A5.4.2'!$CQ36</f>
        <v>2.2000000000000002</v>
      </c>
      <c r="AG181" s="373">
        <f>'Table A5.4.2'!$CQ36</f>
        <v>2.2000000000000002</v>
      </c>
      <c r="AH181" s="373">
        <f>'Table A5.4.2'!$CQ36</f>
        <v>2.2000000000000002</v>
      </c>
      <c r="AI181" s="373">
        <f>'Table A5.4.2'!$DG36</f>
        <v>2.1</v>
      </c>
      <c r="AJ181" s="373">
        <f>'Table A5.4.2'!$DG36</f>
        <v>2.1</v>
      </c>
      <c r="AK181" s="373">
        <f>'Table A5.4.2'!$DG36</f>
        <v>2.1</v>
      </c>
      <c r="AL181" s="373">
        <f>'Table A5.4.2'!$DG36</f>
        <v>2.1</v>
      </c>
      <c r="AM181" s="373">
        <f>'Table A5.4.2'!$DG36</f>
        <v>2.1</v>
      </c>
      <c r="AN181" s="373">
        <f>'Table A5.4.2'!$DW36</f>
        <v>2</v>
      </c>
      <c r="AO181" s="373">
        <f>'Table A5.4.2'!$DW36</f>
        <v>2</v>
      </c>
      <c r="AP181" s="373">
        <f>'Table A5.4.2'!$DW36</f>
        <v>2</v>
      </c>
      <c r="AQ181" s="373">
        <f>'Table A5.4.2'!$DW36</f>
        <v>2</v>
      </c>
      <c r="AR181" s="373">
        <f>'Table A5.4.2'!$DW36</f>
        <v>2</v>
      </c>
      <c r="AS181" s="373">
        <f>'Table A5.4.2'!$DW36</f>
        <v>2</v>
      </c>
      <c r="AT181" s="373">
        <f>'Table A5.4.2'!$DW36</f>
        <v>2</v>
      </c>
      <c r="AU181" s="373">
        <f>'Table A5.4.2'!$DW36</f>
        <v>2</v>
      </c>
      <c r="AV181" s="373">
        <f>'Table A5.4.2'!$DW36</f>
        <v>2</v>
      </c>
      <c r="AW181" s="373">
        <f>'Table A5.4.2'!$DW36</f>
        <v>2</v>
      </c>
      <c r="AX181" s="373">
        <f>'Table A5.4.2'!$DW36</f>
        <v>2</v>
      </c>
      <c r="AY181" s="373">
        <f>'Table A5.4.2'!$DW36</f>
        <v>2</v>
      </c>
      <c r="AZ181" s="373">
        <f>'Table A5.4.2'!$DW36</f>
        <v>2</v>
      </c>
      <c r="BA181" s="373">
        <f>'Table A5.4.2'!$DW36</f>
        <v>2</v>
      </c>
      <c r="BB181" s="373">
        <f>'Table A5.4.2'!$DW36</f>
        <v>2</v>
      </c>
      <c r="BC181" s="373">
        <f>'Table A5.4.2'!$DW36</f>
        <v>2</v>
      </c>
      <c r="BD181" s="373">
        <f>'Table A5.4.2'!$DW36</f>
        <v>2</v>
      </c>
      <c r="BE181" s="373">
        <f>'Table A5.4.2'!$DW36</f>
        <v>2</v>
      </c>
      <c r="BF181" s="373">
        <f>'Table A5.4.2'!$DW36</f>
        <v>2</v>
      </c>
      <c r="BG181" s="373">
        <f>'Table A5.4.2'!$DW36</f>
        <v>2</v>
      </c>
      <c r="BH181" s="373">
        <f>'Table A5.4.2'!$DW36</f>
        <v>2</v>
      </c>
      <c r="BI181" s="373">
        <f>'Table A5.4.2'!$DW36</f>
        <v>2</v>
      </c>
      <c r="BJ181" s="373">
        <f>'Table A5.4.2'!$DW36</f>
        <v>2</v>
      </c>
      <c r="BK181" s="373">
        <f>'Table A5.4.2'!$DW36</f>
        <v>2</v>
      </c>
      <c r="BL181" s="373">
        <f>'Table A5.4.2'!$DW36</f>
        <v>2</v>
      </c>
      <c r="BM181" s="373">
        <f>'Table A5.4.2'!$DW36</f>
        <v>2</v>
      </c>
      <c r="BN181" s="373">
        <f>'Table A5.4.2'!$DW36</f>
        <v>2</v>
      </c>
      <c r="BO181" s="373">
        <f>'Table A5.4.2'!$DW36</f>
        <v>2</v>
      </c>
      <c r="BP181" s="373">
        <f>'Table A5.4.2'!$DW36</f>
        <v>2</v>
      </c>
      <c r="BQ181" s="373">
        <f>'Table A5.4.2'!$DW36</f>
        <v>2</v>
      </c>
      <c r="BR181" s="373">
        <f>'Table A5.4.2'!$DW36</f>
        <v>2</v>
      </c>
      <c r="BS181" s="373">
        <f>'Table A5.4.2'!$DW36</f>
        <v>2</v>
      </c>
      <c r="BT181" s="373">
        <f>'Table A5.4.2'!$DW36</f>
        <v>2</v>
      </c>
      <c r="BU181" s="373">
        <f>'Table A5.4.2'!$DW36</f>
        <v>2</v>
      </c>
      <c r="BV181" s="373">
        <f>'Table A5.4.2'!$DW36</f>
        <v>2</v>
      </c>
      <c r="BW181" s="373">
        <f>'Table A5.4.2'!$DW36</f>
        <v>2</v>
      </c>
      <c r="BX181" s="373">
        <f>'Table A5.4.2'!$DW36</f>
        <v>2</v>
      </c>
      <c r="BY181" s="373">
        <f>'Table A5.4.2'!$DW36</f>
        <v>2</v>
      </c>
      <c r="BZ181" s="373">
        <f>'Table A5.4.2'!$DW36</f>
        <v>2</v>
      </c>
      <c r="CA181" s="373">
        <f>'Table A5.4.2'!$DW36</f>
        <v>2</v>
      </c>
      <c r="CB181" s="373">
        <f>'Table A5.4.2'!$DW36</f>
        <v>2</v>
      </c>
      <c r="CC181" s="373">
        <f>'Table A5.4.2'!$DW36</f>
        <v>2</v>
      </c>
      <c r="CD181" s="373">
        <f>'Table A5.4.2'!$DW36</f>
        <v>2</v>
      </c>
      <c r="CE181" s="373">
        <f>'Table A5.4.2'!$DW36</f>
        <v>2</v>
      </c>
      <c r="CF181" s="373">
        <f>'Table A5.4.2'!$DW36</f>
        <v>2</v>
      </c>
    </row>
    <row r="182" spans="3:84">
      <c r="D182" s="881" t="s">
        <v>361</v>
      </c>
      <c r="E182" s="373">
        <f>'Table A5.4.2'!$AE37</f>
        <v>-4.5</v>
      </c>
      <c r="F182" s="373">
        <f>'Table A5.4.2'!$AE37</f>
        <v>-4.5</v>
      </c>
      <c r="G182" s="373">
        <f>'Table A5.4.2'!$AE37</f>
        <v>-4.5</v>
      </c>
      <c r="H182" s="373">
        <f>'Table A5.4.2'!$AE37</f>
        <v>-4.5</v>
      </c>
      <c r="I182" s="373">
        <f>'Table A5.4.2'!$AE37</f>
        <v>-4.5</v>
      </c>
      <c r="J182" s="373">
        <f>'Table A5.4.2'!$AE37</f>
        <v>-4.5</v>
      </c>
      <c r="K182" s="373">
        <f>'Table A5.4.2'!$AE37</f>
        <v>-4.5</v>
      </c>
      <c r="L182" s="373">
        <f>'Table A5.4.2'!$AE37</f>
        <v>-4.5</v>
      </c>
      <c r="M182" s="373">
        <f>'Table A5.4.2'!$AE37</f>
        <v>-4.5</v>
      </c>
      <c r="N182" s="373">
        <f>'Table A5.4.2'!$AE37</f>
        <v>-4.5</v>
      </c>
      <c r="O182" s="373">
        <f>'Table A5.4.2'!$AU37</f>
        <v>-3.9</v>
      </c>
      <c r="P182" s="373">
        <f>'Table A5.4.2'!$AU37</f>
        <v>-3.9</v>
      </c>
      <c r="Q182" s="373">
        <f>'Table A5.4.2'!$AU37</f>
        <v>-3.9</v>
      </c>
      <c r="R182" s="373">
        <f>'Table A5.4.2'!$AU37</f>
        <v>-3.9</v>
      </c>
      <c r="S182" s="373">
        <f>'Table A5.4.2'!$AU37</f>
        <v>-3.9</v>
      </c>
      <c r="T182" s="373">
        <f>'Table A5.4.2'!$BK37</f>
        <v>-3.3</v>
      </c>
      <c r="U182" s="373">
        <f>'Table A5.4.2'!$BK37</f>
        <v>-3.3</v>
      </c>
      <c r="V182" s="373">
        <f>'Table A5.4.2'!$BK37</f>
        <v>-3.3</v>
      </c>
      <c r="W182" s="373">
        <f>'Table A5.4.2'!$BK37</f>
        <v>-3.3</v>
      </c>
      <c r="X182" s="373">
        <f>'Table A5.4.2'!$BK37</f>
        <v>-3.3</v>
      </c>
      <c r="Y182" s="373">
        <f>'Table A5.4.2'!$CA37</f>
        <v>-2.4</v>
      </c>
      <c r="Z182" s="373">
        <f>'Table A5.4.2'!$CA37</f>
        <v>-2.4</v>
      </c>
      <c r="AA182" s="373">
        <f>'Table A5.4.2'!$CA37</f>
        <v>-2.4</v>
      </c>
      <c r="AB182" s="373">
        <f>'Table A5.4.2'!$CA37</f>
        <v>-2.4</v>
      </c>
      <c r="AC182" s="373">
        <f>'Table A5.4.2'!$CA37</f>
        <v>-2.4</v>
      </c>
      <c r="AD182" s="373">
        <f>'Table A5.4.2'!$CQ37</f>
        <v>-1.7</v>
      </c>
      <c r="AE182" s="373">
        <f>'Table A5.4.2'!$CQ37</f>
        <v>-1.7</v>
      </c>
      <c r="AF182" s="373">
        <f>'Table A5.4.2'!$CQ37</f>
        <v>-1.7</v>
      </c>
      <c r="AG182" s="373">
        <f>'Table A5.4.2'!$CQ37</f>
        <v>-1.7</v>
      </c>
      <c r="AH182" s="373">
        <f>'Table A5.4.2'!$CQ37</f>
        <v>-1.7</v>
      </c>
      <c r="AI182" s="373">
        <f>'Table A5.4.2'!$DG37</f>
        <v>-1.4</v>
      </c>
      <c r="AJ182" s="373">
        <f>'Table A5.4.2'!$DG37</f>
        <v>-1.4</v>
      </c>
      <c r="AK182" s="373">
        <f>'Table A5.4.2'!$DG37</f>
        <v>-1.4</v>
      </c>
      <c r="AL182" s="373">
        <f>'Table A5.4.2'!$DG37</f>
        <v>-1.4</v>
      </c>
      <c r="AM182" s="373">
        <f>'Table A5.4.2'!$DG37</f>
        <v>-1.4</v>
      </c>
      <c r="AN182" s="373">
        <f>'Table A5.4.2'!$DW37</f>
        <v>-1.2</v>
      </c>
      <c r="AO182" s="373">
        <f>'Table A5.4.2'!$DW37</f>
        <v>-1.2</v>
      </c>
      <c r="AP182" s="373">
        <f>'Table A5.4.2'!$DW37</f>
        <v>-1.2</v>
      </c>
      <c r="AQ182" s="373">
        <f>'Table A5.4.2'!$DW37</f>
        <v>-1.2</v>
      </c>
      <c r="AR182" s="373">
        <f>'Table A5.4.2'!$DW37</f>
        <v>-1.2</v>
      </c>
      <c r="AS182" s="373">
        <f>'Table A5.4.2'!$EM37</f>
        <v>-1.1000000000000001</v>
      </c>
      <c r="AT182" s="373">
        <f>'Table A5.4.2'!$EM37</f>
        <v>-1.1000000000000001</v>
      </c>
      <c r="AU182" s="373">
        <f>'Table A5.4.2'!$EM37</f>
        <v>-1.1000000000000001</v>
      </c>
      <c r="AV182" s="373">
        <f>'Table A5.4.2'!$EM37</f>
        <v>-1.1000000000000001</v>
      </c>
      <c r="AW182" s="373">
        <f>'Table A5.4.2'!$EM37</f>
        <v>-1.1000000000000001</v>
      </c>
      <c r="AX182" s="373">
        <f>'Table A5.4.2'!$EM37</f>
        <v>-1.1000000000000001</v>
      </c>
      <c r="AY182" s="373">
        <f>'Table A5.4.2'!$EM37</f>
        <v>-1.1000000000000001</v>
      </c>
      <c r="AZ182" s="373">
        <f>'Table A5.4.2'!$EM37</f>
        <v>-1.1000000000000001</v>
      </c>
      <c r="BA182" s="373">
        <f>'Table A5.4.2'!$EM37</f>
        <v>-1.1000000000000001</v>
      </c>
      <c r="BB182" s="373">
        <f>'Table A5.4.2'!$EM37</f>
        <v>-1.1000000000000001</v>
      </c>
      <c r="BC182" s="373">
        <f>'Table A5.4.2'!$EM37</f>
        <v>-1.1000000000000001</v>
      </c>
      <c r="BD182" s="373">
        <f>'Table A5.4.2'!$EM37</f>
        <v>-1.1000000000000001</v>
      </c>
      <c r="BE182" s="373">
        <f>'Table A5.4.2'!$EM37</f>
        <v>-1.1000000000000001</v>
      </c>
      <c r="BF182" s="373">
        <f>'Table A5.4.2'!$EM37</f>
        <v>-1.1000000000000001</v>
      </c>
      <c r="BG182" s="373">
        <f>'Table A5.4.2'!$EM37</f>
        <v>-1.1000000000000001</v>
      </c>
      <c r="BH182" s="373">
        <f>'Table A5.4.2'!$EM37</f>
        <v>-1.1000000000000001</v>
      </c>
      <c r="BI182" s="373">
        <f>'Table A5.4.2'!$EM37</f>
        <v>-1.1000000000000001</v>
      </c>
      <c r="BJ182" s="373">
        <f>'Table A5.4.2'!$EM37</f>
        <v>-1.1000000000000001</v>
      </c>
      <c r="BK182" s="373">
        <f>'Table A5.4.2'!$EM37</f>
        <v>-1.1000000000000001</v>
      </c>
      <c r="BL182" s="373">
        <f>'Table A5.4.2'!$EM37</f>
        <v>-1.1000000000000001</v>
      </c>
      <c r="BM182" s="373">
        <f>'Table A5.4.2'!$EM37</f>
        <v>-1.1000000000000001</v>
      </c>
      <c r="BN182" s="373">
        <f>'Table A5.4.2'!$EM37</f>
        <v>-1.1000000000000001</v>
      </c>
      <c r="BO182" s="373">
        <f>'Table A5.4.2'!$EM37</f>
        <v>-1.1000000000000001</v>
      </c>
      <c r="BP182" s="373">
        <f>'Table A5.4.2'!$EM37</f>
        <v>-1.1000000000000001</v>
      </c>
      <c r="BQ182" s="373">
        <f>'Table A5.4.2'!$EM37</f>
        <v>-1.1000000000000001</v>
      </c>
      <c r="BR182" s="373">
        <f>'Table A5.4.2'!$EM37</f>
        <v>-1.1000000000000001</v>
      </c>
      <c r="BS182" s="373">
        <f>'Table A5.4.2'!$EM37</f>
        <v>-1.1000000000000001</v>
      </c>
      <c r="BT182" s="373">
        <f>'Table A5.4.2'!$EM37</f>
        <v>-1.1000000000000001</v>
      </c>
      <c r="BU182" s="373">
        <f>'Table A5.4.2'!$EM37</f>
        <v>-1.1000000000000001</v>
      </c>
      <c r="BV182" s="373">
        <f>'Table A5.4.2'!$EM37</f>
        <v>-1.1000000000000001</v>
      </c>
      <c r="BW182" s="373">
        <f>'Table A5.4.2'!$EM37</f>
        <v>-1.1000000000000001</v>
      </c>
      <c r="BX182" s="373">
        <f>'Table A5.4.2'!$EM37</f>
        <v>-1.1000000000000001</v>
      </c>
      <c r="BY182" s="373">
        <f>'Table A5.4.2'!$EM37</f>
        <v>-1.1000000000000001</v>
      </c>
      <c r="BZ182" s="373">
        <f>'Table A5.4.2'!$EM37</f>
        <v>-1.1000000000000001</v>
      </c>
      <c r="CA182" s="373">
        <f>'Table A5.4.2'!$EM37</f>
        <v>-1.1000000000000001</v>
      </c>
      <c r="CB182" s="373">
        <f>'Table A5.4.2'!$EM37</f>
        <v>-1.1000000000000001</v>
      </c>
      <c r="CC182" s="373">
        <f>'Table A5.4.2'!$EM37</f>
        <v>-1.1000000000000001</v>
      </c>
      <c r="CD182" s="373">
        <f>'Table A5.4.2'!$EM37</f>
        <v>-1.1000000000000001</v>
      </c>
      <c r="CE182" s="373">
        <f>'Table A5.4.2'!$EM37</f>
        <v>-1.1000000000000001</v>
      </c>
      <c r="CF182" s="373">
        <f>'Table A5.4.2'!$EM37</f>
        <v>-1.1000000000000001</v>
      </c>
    </row>
    <row r="183" spans="3:84">
      <c r="D183" s="881" t="s">
        <v>77</v>
      </c>
      <c r="E183" s="373">
        <f t="shared" ref="E183:I183" si="141">SUM(E176:E182)</f>
        <v>11.2</v>
      </c>
      <c r="F183" s="373">
        <f t="shared" si="141"/>
        <v>11.2</v>
      </c>
      <c r="G183" s="373">
        <f t="shared" si="141"/>
        <v>11.2</v>
      </c>
      <c r="H183" s="373">
        <f t="shared" si="141"/>
        <v>11.2</v>
      </c>
      <c r="I183" s="373">
        <f t="shared" si="141"/>
        <v>11.2</v>
      </c>
      <c r="J183" s="373">
        <f t="shared" ref="J183:BQ183" si="142">SUM(J176:J182)</f>
        <v>11.2</v>
      </c>
      <c r="K183" s="373">
        <f t="shared" si="142"/>
        <v>11.2</v>
      </c>
      <c r="L183" s="373">
        <f t="shared" si="142"/>
        <v>11.2</v>
      </c>
      <c r="M183" s="373">
        <f t="shared" si="142"/>
        <v>11.2</v>
      </c>
      <c r="N183" s="373">
        <f t="shared" si="142"/>
        <v>11.2</v>
      </c>
      <c r="O183" s="373">
        <f t="shared" si="142"/>
        <v>12.4</v>
      </c>
      <c r="P183" s="373">
        <f t="shared" si="142"/>
        <v>12.4</v>
      </c>
      <c r="Q183" s="373">
        <f t="shared" si="142"/>
        <v>12.4</v>
      </c>
      <c r="R183" s="373">
        <f t="shared" si="142"/>
        <v>12.4</v>
      </c>
      <c r="S183" s="373">
        <f t="shared" si="142"/>
        <v>12.4</v>
      </c>
      <c r="T183" s="373">
        <f t="shared" si="142"/>
        <v>14.600000000000001</v>
      </c>
      <c r="U183" s="373">
        <f t="shared" si="142"/>
        <v>14.600000000000001</v>
      </c>
      <c r="V183" s="373">
        <f t="shared" si="142"/>
        <v>14.600000000000001</v>
      </c>
      <c r="W183" s="373">
        <f t="shared" si="142"/>
        <v>14.600000000000001</v>
      </c>
      <c r="X183" s="373">
        <f t="shared" si="142"/>
        <v>14.600000000000001</v>
      </c>
      <c r="Y183" s="373">
        <f t="shared" si="142"/>
        <v>17.899999999999999</v>
      </c>
      <c r="Z183" s="373">
        <f t="shared" si="142"/>
        <v>17.899999999999999</v>
      </c>
      <c r="AA183" s="373">
        <f t="shared" si="142"/>
        <v>17.899999999999999</v>
      </c>
      <c r="AB183" s="373">
        <f t="shared" si="142"/>
        <v>17.899999999999999</v>
      </c>
      <c r="AC183" s="373">
        <f t="shared" si="142"/>
        <v>17.899999999999999</v>
      </c>
      <c r="AD183" s="373">
        <f t="shared" si="142"/>
        <v>20.5</v>
      </c>
      <c r="AE183" s="373">
        <f t="shared" si="142"/>
        <v>20.5</v>
      </c>
      <c r="AF183" s="373">
        <f t="shared" si="142"/>
        <v>20.5</v>
      </c>
      <c r="AG183" s="373">
        <f t="shared" si="142"/>
        <v>20.5</v>
      </c>
      <c r="AH183" s="373">
        <f t="shared" si="142"/>
        <v>20.5</v>
      </c>
      <c r="AI183" s="373">
        <f t="shared" si="142"/>
        <v>24.1</v>
      </c>
      <c r="AJ183" s="373">
        <f t="shared" si="142"/>
        <v>24.1</v>
      </c>
      <c r="AK183" s="373">
        <f t="shared" si="142"/>
        <v>24.1</v>
      </c>
      <c r="AL183" s="373">
        <f t="shared" si="142"/>
        <v>24.1</v>
      </c>
      <c r="AM183" s="373">
        <f t="shared" si="142"/>
        <v>24.1</v>
      </c>
      <c r="AN183" s="373">
        <f t="shared" si="142"/>
        <v>26.3</v>
      </c>
      <c r="AO183" s="373">
        <f t="shared" si="142"/>
        <v>26.3</v>
      </c>
      <c r="AP183" s="373">
        <f t="shared" si="142"/>
        <v>26.3</v>
      </c>
      <c r="AQ183" s="373">
        <f t="shared" si="142"/>
        <v>26.3</v>
      </c>
      <c r="AR183" s="373">
        <f t="shared" si="142"/>
        <v>26.3</v>
      </c>
      <c r="AS183" s="373">
        <f t="shared" si="142"/>
        <v>29.8</v>
      </c>
      <c r="AT183" s="373">
        <f t="shared" si="142"/>
        <v>29.8</v>
      </c>
      <c r="AU183" s="373">
        <f t="shared" si="142"/>
        <v>29.8</v>
      </c>
      <c r="AV183" s="373">
        <f t="shared" si="142"/>
        <v>29.8</v>
      </c>
      <c r="AW183" s="373">
        <f t="shared" si="142"/>
        <v>29.8</v>
      </c>
      <c r="AX183" s="373">
        <f t="shared" si="142"/>
        <v>29.8</v>
      </c>
      <c r="AY183" s="373">
        <f t="shared" si="142"/>
        <v>29.8</v>
      </c>
      <c r="AZ183" s="373">
        <f t="shared" si="142"/>
        <v>29.8</v>
      </c>
      <c r="BA183" s="373">
        <f t="shared" si="142"/>
        <v>29.8</v>
      </c>
      <c r="BB183" s="373">
        <f t="shared" si="142"/>
        <v>29.8</v>
      </c>
      <c r="BC183" s="373">
        <f t="shared" si="142"/>
        <v>29.8</v>
      </c>
      <c r="BD183" s="373">
        <f t="shared" si="142"/>
        <v>29.8</v>
      </c>
      <c r="BE183" s="373">
        <f t="shared" si="142"/>
        <v>29.8</v>
      </c>
      <c r="BF183" s="373">
        <f t="shared" si="142"/>
        <v>29.8</v>
      </c>
      <c r="BG183" s="373">
        <f t="shared" si="142"/>
        <v>29.8</v>
      </c>
      <c r="BH183" s="373">
        <f t="shared" si="142"/>
        <v>29.8</v>
      </c>
      <c r="BI183" s="373">
        <f t="shared" si="142"/>
        <v>29.8</v>
      </c>
      <c r="BJ183" s="373">
        <f t="shared" si="142"/>
        <v>29.8</v>
      </c>
      <c r="BK183" s="373">
        <f t="shared" si="142"/>
        <v>29.8</v>
      </c>
      <c r="BL183" s="373">
        <f t="shared" si="142"/>
        <v>29.8</v>
      </c>
      <c r="BM183" s="373">
        <f t="shared" si="142"/>
        <v>29.8</v>
      </c>
      <c r="BN183" s="373">
        <f t="shared" si="142"/>
        <v>29.8</v>
      </c>
      <c r="BO183" s="373">
        <f t="shared" si="142"/>
        <v>29.8</v>
      </c>
      <c r="BP183" s="373">
        <f t="shared" si="142"/>
        <v>29.8</v>
      </c>
      <c r="BQ183" s="373">
        <f t="shared" si="142"/>
        <v>29.8</v>
      </c>
      <c r="BR183" s="373">
        <f t="shared" ref="BR183:CF183" si="143">SUM(BR176:BR182)</f>
        <v>29.8</v>
      </c>
      <c r="BS183" s="373">
        <f t="shared" si="143"/>
        <v>29.8</v>
      </c>
      <c r="BT183" s="373">
        <f t="shared" si="143"/>
        <v>29.8</v>
      </c>
      <c r="BU183" s="373">
        <f t="shared" si="143"/>
        <v>29.8</v>
      </c>
      <c r="BV183" s="373">
        <f t="shared" si="143"/>
        <v>29.8</v>
      </c>
      <c r="BW183" s="373">
        <f t="shared" si="143"/>
        <v>29.8</v>
      </c>
      <c r="BX183" s="373">
        <f t="shared" si="143"/>
        <v>29.8</v>
      </c>
      <c r="BY183" s="373">
        <f t="shared" si="143"/>
        <v>29.8</v>
      </c>
      <c r="BZ183" s="373">
        <f t="shared" si="143"/>
        <v>29.8</v>
      </c>
      <c r="CA183" s="373">
        <f t="shared" si="143"/>
        <v>29.8</v>
      </c>
      <c r="CB183" s="373">
        <f t="shared" si="143"/>
        <v>29.8</v>
      </c>
      <c r="CC183" s="373">
        <f t="shared" si="143"/>
        <v>29.8</v>
      </c>
      <c r="CD183" s="373">
        <f t="shared" si="143"/>
        <v>29.8</v>
      </c>
      <c r="CE183" s="373">
        <f t="shared" si="143"/>
        <v>29.8</v>
      </c>
      <c r="CF183" s="373">
        <f t="shared" si="143"/>
        <v>29.8</v>
      </c>
    </row>
    <row r="184" spans="3:84">
      <c r="D184" s="882"/>
    </row>
    <row r="185" spans="3:84">
      <c r="D185" s="884" t="s">
        <v>362</v>
      </c>
    </row>
    <row r="186" spans="3:84">
      <c r="D186" s="881" t="s">
        <v>89</v>
      </c>
      <c r="E186" s="373">
        <f>LOOKUP(E175,'Latest MECs - all vehicle types'!$A$3:$A$11,'Latest MECs - all vehicle types'!$G$15:$G$23)</f>
        <v>4.2</v>
      </c>
      <c r="F186" s="373">
        <f>LOOKUP(F175,'Latest MECs - all vehicle types'!$A$3:$A$11,'Latest MECs - all vehicle types'!$G$15:$G$23)</f>
        <v>4.2</v>
      </c>
      <c r="G186" s="373">
        <f>LOOKUP(G175,'Latest MECs - all vehicle types'!$A$3:$A$11,'Latest MECs - all vehicle types'!$G$15:$G$23)</f>
        <v>4.2</v>
      </c>
      <c r="H186" s="373">
        <f>LOOKUP(H175,'Latest MECs - all vehicle types'!$A$3:$A$11,'Latest MECs - all vehicle types'!$G$15:$G$23)</f>
        <v>4.2</v>
      </c>
      <c r="I186" s="373">
        <f>LOOKUP(I175,'Latest MECs - all vehicle types'!$A$3:$A$11,'Latest MECs - all vehicle types'!$G$15:$G$23)</f>
        <v>4.2</v>
      </c>
      <c r="J186" s="373">
        <f>LOOKUP(J175,'Latest MECs - all vehicle types'!$A$3:$A$11,'Latest MECs - all vehicle types'!$G$15:$G$23)</f>
        <v>4.2</v>
      </c>
      <c r="K186" s="373">
        <f>LOOKUP(K175,'Latest MECs - all vehicle types'!$A$3:$A$11,'Latest MECs - all vehicle types'!$G$15:$G$23)</f>
        <v>4.2</v>
      </c>
      <c r="L186" s="373">
        <f>LOOKUP(L175,'Latest MECs - all vehicle types'!$A$3:$A$11,'Latest MECs - all vehicle types'!$G$15:$G$23)</f>
        <v>4.2</v>
      </c>
      <c r="M186" s="373">
        <f>LOOKUP(M175,'Latest MECs - all vehicle types'!$A$3:$A$11,'Latest MECs - all vehicle types'!$G$15:$G$23)</f>
        <v>4.2</v>
      </c>
      <c r="N186" s="373">
        <f>LOOKUP(N175,'Latest MECs - all vehicle types'!$A$3:$A$11,'Latest MECs - all vehicle types'!$G$15:$G$23)</f>
        <v>4.2</v>
      </c>
      <c r="O186" s="373">
        <f>LOOKUP(O175,'Latest MECs - all vehicle types'!$A$3:$A$11,'Latest MECs - all vehicle types'!$G$15:$G$23)</f>
        <v>4.2</v>
      </c>
      <c r="P186" s="373">
        <f>LOOKUP(P175,'Latest MECs - all vehicle types'!$A$3:$A$11,'Latest MECs - all vehicle types'!$G$15:$G$23)</f>
        <v>4.2</v>
      </c>
      <c r="Q186" s="373">
        <f>LOOKUP(Q175,'Latest MECs - all vehicle types'!$A$3:$A$11,'Latest MECs - all vehicle types'!$G$15:$G$23)</f>
        <v>4.2</v>
      </c>
      <c r="R186" s="373">
        <f>LOOKUP(R175,'Latest MECs - all vehicle types'!$A$3:$A$11,'Latest MECs - all vehicle types'!$G$15:$G$23)</f>
        <v>4.2</v>
      </c>
      <c r="S186" s="373">
        <f>LOOKUP(S175,'Latest MECs - all vehicle types'!$A$3:$A$11,'Latest MECs - all vehicle types'!$G$15:$G$23)</f>
        <v>4.2</v>
      </c>
      <c r="T186" s="373">
        <f>LOOKUP(T175,'Latest MECs - all vehicle types'!$A$3:$A$11,'Latest MECs - all vehicle types'!$G$15:$G$23)</f>
        <v>4.0999999999999996</v>
      </c>
      <c r="U186" s="373">
        <f>LOOKUP(U175,'Latest MECs - all vehicle types'!$A$3:$A$11,'Latest MECs - all vehicle types'!$G$15:$G$23)</f>
        <v>4.0999999999999996</v>
      </c>
      <c r="V186" s="373">
        <f>LOOKUP(V175,'Latest MECs - all vehicle types'!$A$3:$A$11,'Latest MECs - all vehicle types'!$G$15:$G$23)</f>
        <v>4.0999999999999996</v>
      </c>
      <c r="W186" s="373">
        <f>LOOKUP(W175,'Latest MECs - all vehicle types'!$A$3:$A$11,'Latest MECs - all vehicle types'!$G$15:$G$23)</f>
        <v>4.0999999999999996</v>
      </c>
      <c r="X186" s="373">
        <f>LOOKUP(X175,'Latest MECs - all vehicle types'!$A$3:$A$11,'Latest MECs - all vehicle types'!$G$15:$G$23)</f>
        <v>4.0999999999999996</v>
      </c>
      <c r="Y186" s="373">
        <f>LOOKUP(Y175,'Latest MECs - all vehicle types'!$A$3:$A$11,'Latest MECs - all vehicle types'!$G$15:$G$23)</f>
        <v>4.0999999999999996</v>
      </c>
      <c r="Z186" s="373">
        <f>LOOKUP(Z175,'Latest MECs - all vehicle types'!$A$3:$A$11,'Latest MECs - all vehicle types'!$G$15:$G$23)</f>
        <v>4.0999999999999996</v>
      </c>
      <c r="AA186" s="373">
        <f>LOOKUP(AA175,'Latest MECs - all vehicle types'!$A$3:$A$11,'Latest MECs - all vehicle types'!$G$15:$G$23)</f>
        <v>4.0999999999999996</v>
      </c>
      <c r="AB186" s="373">
        <f>LOOKUP(AB175,'Latest MECs - all vehicle types'!$A$3:$A$11,'Latest MECs - all vehicle types'!$G$15:$G$23)</f>
        <v>4.0999999999999996</v>
      </c>
      <c r="AC186" s="373">
        <f>LOOKUP(AC175,'Latest MECs - all vehicle types'!$A$3:$A$11,'Latest MECs - all vehicle types'!$G$15:$G$23)</f>
        <v>4.0999999999999996</v>
      </c>
      <c r="AD186" s="373">
        <f>LOOKUP(AD175,'Latest MECs - all vehicle types'!$A$3:$A$11,'Latest MECs - all vehicle types'!$G$15:$G$23)</f>
        <v>4.0999999999999996</v>
      </c>
      <c r="AE186" s="373">
        <f>LOOKUP(AE175,'Latest MECs - all vehicle types'!$A$3:$A$11,'Latest MECs - all vehicle types'!$G$15:$G$23)</f>
        <v>4.0999999999999996</v>
      </c>
      <c r="AF186" s="373">
        <f>LOOKUP(AF175,'Latest MECs - all vehicle types'!$A$3:$A$11,'Latest MECs - all vehicle types'!$G$15:$G$23)</f>
        <v>4.0999999999999996</v>
      </c>
      <c r="AG186" s="373">
        <f>LOOKUP(AG175,'Latest MECs - all vehicle types'!$A$3:$A$11,'Latest MECs - all vehicle types'!$G$15:$G$23)</f>
        <v>4.0999999999999996</v>
      </c>
      <c r="AH186" s="373">
        <f>LOOKUP(AH175,'Latest MECs - all vehicle types'!$A$3:$A$11,'Latest MECs - all vehicle types'!$G$15:$G$23)</f>
        <v>4.0999999999999996</v>
      </c>
      <c r="AI186" s="373">
        <f>LOOKUP(AI175,'Latest MECs - all vehicle types'!$A$3:$A$11,'Latest MECs - all vehicle types'!$G$15:$G$23)</f>
        <v>4.0999999999999996</v>
      </c>
      <c r="AJ186" s="373">
        <f>LOOKUP(AJ175,'Latest MECs - all vehicle types'!$A$3:$A$11,'Latest MECs - all vehicle types'!$G$15:$G$23)</f>
        <v>4.0999999999999996</v>
      </c>
      <c r="AK186" s="373">
        <f>LOOKUP(AK175,'Latest MECs - all vehicle types'!$A$3:$A$11,'Latest MECs - all vehicle types'!$G$15:$G$23)</f>
        <v>4.0999999999999996</v>
      </c>
      <c r="AL186" s="373">
        <f>LOOKUP(AL175,'Latest MECs - all vehicle types'!$A$3:$A$11,'Latest MECs - all vehicle types'!$G$15:$G$23)</f>
        <v>4.0999999999999996</v>
      </c>
      <c r="AM186" s="373">
        <f>LOOKUP(AM175,'Latest MECs - all vehicle types'!$A$3:$A$11,'Latest MECs - all vehicle types'!$G$15:$G$23)</f>
        <v>4.0999999999999996</v>
      </c>
      <c r="AN186" s="373">
        <f>LOOKUP(AN175,'Latest MECs - all vehicle types'!$A$3:$A$11,'Latest MECs - all vehicle types'!$G$15:$G$23)</f>
        <v>4.2</v>
      </c>
      <c r="AO186" s="373">
        <f>LOOKUP(AO175,'Latest MECs - all vehicle types'!$A$3:$A$11,'Latest MECs - all vehicle types'!$G$15:$G$23)</f>
        <v>4.2</v>
      </c>
      <c r="AP186" s="373">
        <f>LOOKUP(AP175,'Latest MECs - all vehicle types'!$A$3:$A$11,'Latest MECs - all vehicle types'!$G$15:$G$23)</f>
        <v>4.2</v>
      </c>
      <c r="AQ186" s="373">
        <f>LOOKUP(AQ175,'Latest MECs - all vehicle types'!$A$3:$A$11,'Latest MECs - all vehicle types'!$G$15:$G$23)</f>
        <v>4.2</v>
      </c>
      <c r="AR186" s="373">
        <f>LOOKUP(AR175,'Latest MECs - all vehicle types'!$A$3:$A$11,'Latest MECs - all vehicle types'!$G$15:$G$23)</f>
        <v>4.2</v>
      </c>
      <c r="AS186" s="373">
        <f>LOOKUP(AS175,'Latest MECs - all vehicle types'!$A$3:$A$11,'Latest MECs - all vehicle types'!$G$15:$G$23)</f>
        <v>4.3</v>
      </c>
      <c r="AT186" s="373">
        <f>LOOKUP(AT175,'Latest MECs - all vehicle types'!$A$3:$A$11,'Latest MECs - all vehicle types'!$G$15:$G$23)</f>
        <v>4.3</v>
      </c>
      <c r="AU186" s="373">
        <f>LOOKUP(AU175,'Latest MECs - all vehicle types'!$A$3:$A$11,'Latest MECs - all vehicle types'!$G$15:$G$23)</f>
        <v>4.3</v>
      </c>
      <c r="AV186" s="373">
        <f>LOOKUP(AV175,'Latest MECs - all vehicle types'!$A$3:$A$11,'Latest MECs - all vehicle types'!$G$15:$G$23)</f>
        <v>4.3</v>
      </c>
      <c r="AW186" s="373">
        <f>LOOKUP(AW175,'Latest MECs - all vehicle types'!$A$3:$A$11,'Latest MECs - all vehicle types'!$G$15:$G$23)</f>
        <v>4.3</v>
      </c>
      <c r="AX186" s="373">
        <f>LOOKUP(AX175,'Latest MECs - all vehicle types'!$A$3:$A$11,'Latest MECs - all vehicle types'!$G$15:$G$23)</f>
        <v>4.3</v>
      </c>
      <c r="AY186" s="373">
        <f>LOOKUP(AY175,'Latest MECs - all vehicle types'!$A$3:$A$11,'Latest MECs - all vehicle types'!$G$15:$G$23)</f>
        <v>4.3</v>
      </c>
      <c r="AZ186" s="373">
        <f>LOOKUP(AZ175,'Latest MECs - all vehicle types'!$A$3:$A$11,'Latest MECs - all vehicle types'!$G$15:$G$23)</f>
        <v>4.3</v>
      </c>
      <c r="BA186" s="373">
        <f>LOOKUP(BA175,'Latest MECs - all vehicle types'!$A$3:$A$11,'Latest MECs - all vehicle types'!$G$15:$G$23)</f>
        <v>4.3</v>
      </c>
      <c r="BB186" s="373">
        <f>LOOKUP(BB175,'Latest MECs - all vehicle types'!$A$3:$A$11,'Latest MECs - all vehicle types'!$G$15:$G$23)</f>
        <v>4.3</v>
      </c>
      <c r="BC186" s="373">
        <f>LOOKUP(BC175,'Latest MECs - all vehicle types'!$A$3:$A$11,'Latest MECs - all vehicle types'!$G$15:$G$23)</f>
        <v>4.3</v>
      </c>
      <c r="BD186" s="373">
        <f>LOOKUP(BD175,'Latest MECs - all vehicle types'!$A$3:$A$11,'Latest MECs - all vehicle types'!$G$15:$G$23)</f>
        <v>4.3</v>
      </c>
      <c r="BE186" s="373">
        <f>LOOKUP(BE175,'Latest MECs - all vehicle types'!$A$3:$A$11,'Latest MECs - all vehicle types'!$G$15:$G$23)</f>
        <v>4.3</v>
      </c>
      <c r="BF186" s="373">
        <f>LOOKUP(BF175,'Latest MECs - all vehicle types'!$A$3:$A$11,'Latest MECs - all vehicle types'!$G$15:$G$23)</f>
        <v>4.3</v>
      </c>
      <c r="BG186" s="373">
        <f>LOOKUP(BG175,'Latest MECs - all vehicle types'!$A$3:$A$11,'Latest MECs - all vehicle types'!$G$15:$G$23)</f>
        <v>4.3</v>
      </c>
      <c r="BH186" s="373">
        <f>LOOKUP(BH175,'Latest MECs - all vehicle types'!$A$3:$A$11,'Latest MECs - all vehicle types'!$G$15:$G$23)</f>
        <v>4.3</v>
      </c>
      <c r="BI186" s="373">
        <f>LOOKUP(BI175,'Latest MECs - all vehicle types'!$A$3:$A$11,'Latest MECs - all vehicle types'!$G$15:$G$23)</f>
        <v>4.3</v>
      </c>
      <c r="BJ186" s="373">
        <f>LOOKUP(BJ175,'Latest MECs - all vehicle types'!$A$3:$A$11,'Latest MECs - all vehicle types'!$G$15:$G$23)</f>
        <v>4.3</v>
      </c>
      <c r="BK186" s="373">
        <f>LOOKUP(BK175,'Latest MECs - all vehicle types'!$A$3:$A$11,'Latest MECs - all vehicle types'!$G$15:$G$23)</f>
        <v>4.3</v>
      </c>
      <c r="BL186" s="373">
        <f>LOOKUP(BL175,'Latest MECs - all vehicle types'!$A$3:$A$11,'Latest MECs - all vehicle types'!$G$15:$G$23)</f>
        <v>4.3</v>
      </c>
      <c r="BM186" s="373">
        <f>LOOKUP(BM175,'Latest MECs - all vehicle types'!$A$3:$A$11,'Latest MECs - all vehicle types'!$G$15:$G$23)</f>
        <v>4.3</v>
      </c>
      <c r="BN186" s="373">
        <f>LOOKUP(BN175,'Latest MECs - all vehicle types'!$A$3:$A$11,'Latest MECs - all vehicle types'!$G$15:$G$23)</f>
        <v>4.3</v>
      </c>
      <c r="BO186" s="373">
        <f>LOOKUP(BO175,'Latest MECs - all vehicle types'!$A$3:$A$11,'Latest MECs - all vehicle types'!$G$15:$G$23)</f>
        <v>4.3</v>
      </c>
      <c r="BP186" s="373">
        <f>LOOKUP(BP175,'Latest MECs - all vehicle types'!$A$3:$A$11,'Latest MECs - all vehicle types'!$G$15:$G$23)</f>
        <v>4.3</v>
      </c>
      <c r="BQ186" s="373">
        <f>LOOKUP(BQ175,'Latest MECs - all vehicle types'!$A$3:$A$11,'Latest MECs - all vehicle types'!$G$15:$G$23)</f>
        <v>4.3</v>
      </c>
      <c r="BR186" s="373">
        <f>LOOKUP(BR175,'Latest MECs - all vehicle types'!$A$3:$A$11,'Latest MECs - all vehicle types'!$G$15:$G$23)</f>
        <v>4.3</v>
      </c>
      <c r="BS186" s="373">
        <f>LOOKUP(BS175,'Latest MECs - all vehicle types'!$A$3:$A$11,'Latest MECs - all vehicle types'!$G$15:$G$23)</f>
        <v>4.3</v>
      </c>
      <c r="BT186" s="373">
        <f>LOOKUP(BT175,'Latest MECs - all vehicle types'!$A$3:$A$11,'Latest MECs - all vehicle types'!$G$15:$G$23)</f>
        <v>4.3</v>
      </c>
      <c r="BU186" s="373">
        <f>LOOKUP(BU175,'Latest MECs - all vehicle types'!$A$3:$A$11,'Latest MECs - all vehicle types'!$G$15:$G$23)</f>
        <v>4.3</v>
      </c>
      <c r="BV186" s="373">
        <f>LOOKUP(BV175,'Latest MECs - all vehicle types'!$A$3:$A$11,'Latest MECs - all vehicle types'!$G$15:$G$23)</f>
        <v>4.3</v>
      </c>
      <c r="BW186" s="373">
        <f>LOOKUP(BW175,'Latest MECs - all vehicle types'!$A$3:$A$11,'Latest MECs - all vehicle types'!$G$15:$G$23)</f>
        <v>4.3</v>
      </c>
      <c r="BX186" s="373">
        <f>LOOKUP(BX175,'Latest MECs - all vehicle types'!$A$3:$A$11,'Latest MECs - all vehicle types'!$G$15:$G$23)</f>
        <v>4.3</v>
      </c>
      <c r="BY186" s="373">
        <f>LOOKUP(BY175,'Latest MECs - all vehicle types'!$A$3:$A$11,'Latest MECs - all vehicle types'!$G$15:$G$23)</f>
        <v>4.3</v>
      </c>
      <c r="BZ186" s="373">
        <f>LOOKUP(BZ175,'Latest MECs - all vehicle types'!$A$3:$A$11,'Latest MECs - all vehicle types'!$G$15:$G$23)</f>
        <v>4.3</v>
      </c>
      <c r="CA186" s="373">
        <f>LOOKUP(CA175,'Latest MECs - all vehicle types'!$A$3:$A$11,'Latest MECs - all vehicle types'!$G$15:$G$23)</f>
        <v>4.3</v>
      </c>
      <c r="CB186" s="373">
        <f>LOOKUP(CB175,'Latest MECs - all vehicle types'!$A$3:$A$11,'Latest MECs - all vehicle types'!$G$15:$G$23)</f>
        <v>4.3</v>
      </c>
      <c r="CC186" s="373">
        <f>LOOKUP(CC175,'Latest MECs - all vehicle types'!$A$3:$A$11,'Latest MECs - all vehicle types'!$G$15:$G$23)</f>
        <v>4.3</v>
      </c>
      <c r="CD186" s="373">
        <f>LOOKUP(CD175,'Latest MECs - all vehicle types'!$A$3:$A$11,'Latest MECs - all vehicle types'!$G$15:$G$23)</f>
        <v>4.3</v>
      </c>
      <c r="CE186" s="373">
        <f>LOOKUP(CE175,'Latest MECs - all vehicle types'!$A$3:$A$11,'Latest MECs - all vehicle types'!$G$15:$G$23)</f>
        <v>4.3</v>
      </c>
      <c r="CF186" s="373">
        <f>LOOKUP(CF175,'Latest MECs - all vehicle types'!$A$3:$A$11,'Latest MECs - all vehicle types'!$G$15:$G$23)</f>
        <v>4.3</v>
      </c>
    </row>
    <row r="187" spans="3:84">
      <c r="D187" s="881" t="s">
        <v>91</v>
      </c>
      <c r="E187" s="373">
        <f>LOOKUP(E175,'Latest MECs - all vehicle types'!$A$3:$A$11,'Latest MECs - all vehicle types'!$G$27:$G$35)*'HGV classes'!$B$2+LOOKUP(E175,'Latest MECs - all vehicle types'!$A$3:$A$11,'Latest MECs - all vehicle types'!$G$39:$G$47)*'HGV classes'!$B$3</f>
        <v>12.809328358208955</v>
      </c>
      <c r="F187" s="373">
        <f>LOOKUP(F175,'Latest MECs - all vehicle types'!$A$3:$A$11,'Latest MECs - all vehicle types'!$G$27:$G$35)*'HGV classes'!$B$2+LOOKUP(F175,'Latest MECs - all vehicle types'!$A$3:$A$11,'Latest MECs - all vehicle types'!$G$39:$G$47)*'HGV classes'!$B$3</f>
        <v>12.809328358208955</v>
      </c>
      <c r="G187" s="373">
        <f>LOOKUP(G175,'Latest MECs - all vehicle types'!$A$3:$A$11,'Latest MECs - all vehicle types'!$G$27:$G$35)*'HGV classes'!$B$2+LOOKUP(G175,'Latest MECs - all vehicle types'!$A$3:$A$11,'Latest MECs - all vehicle types'!$G$39:$G$47)*'HGV classes'!$B$3</f>
        <v>12.809328358208955</v>
      </c>
      <c r="H187" s="373">
        <f>LOOKUP(H175,'Latest MECs - all vehicle types'!$A$3:$A$11,'Latest MECs - all vehicle types'!$G$27:$G$35)*'HGV classes'!$B$2+LOOKUP(H175,'Latest MECs - all vehicle types'!$A$3:$A$11,'Latest MECs - all vehicle types'!$G$39:$G$47)*'HGV classes'!$B$3</f>
        <v>12.809328358208955</v>
      </c>
      <c r="I187" s="373">
        <f>LOOKUP(I175,'Latest MECs - all vehicle types'!$A$3:$A$11,'Latest MECs - all vehicle types'!$G$27:$G$35)*'HGV classes'!$B$2+LOOKUP(I175,'Latest MECs - all vehicle types'!$A$3:$A$11,'Latest MECs - all vehicle types'!$G$39:$G$47)*'HGV classes'!$B$3</f>
        <v>12.809328358208955</v>
      </c>
      <c r="J187" s="373">
        <f>LOOKUP(J175,'Latest MECs - all vehicle types'!$A$3:$A$11,'Latest MECs - all vehicle types'!$G$27:$G$35)*'HGV classes'!$B$2+LOOKUP(J175,'Latest MECs - all vehicle types'!$A$3:$A$11,'Latest MECs - all vehicle types'!$G$39:$G$47)*'HGV classes'!$B$3</f>
        <v>12.809328358208955</v>
      </c>
      <c r="K187" s="373">
        <f>LOOKUP(K175,'Latest MECs - all vehicle types'!$A$3:$A$11,'Latest MECs - all vehicle types'!$G$27:$G$35)*'HGV classes'!$B$2+LOOKUP(K175,'Latest MECs - all vehicle types'!$A$3:$A$11,'Latest MECs - all vehicle types'!$G$39:$G$47)*'HGV classes'!$B$3</f>
        <v>12.809328358208955</v>
      </c>
      <c r="L187" s="373">
        <f>LOOKUP(L175,'Latest MECs - all vehicle types'!$A$3:$A$11,'Latest MECs - all vehicle types'!$G$27:$G$35)*'HGV classes'!$B$2+LOOKUP(L175,'Latest MECs - all vehicle types'!$A$3:$A$11,'Latest MECs - all vehicle types'!$G$39:$G$47)*'HGV classes'!$B$3</f>
        <v>12.809328358208955</v>
      </c>
      <c r="M187" s="373">
        <f>LOOKUP(M175,'Latest MECs - all vehicle types'!$A$3:$A$11,'Latest MECs - all vehicle types'!$G$27:$G$35)*'HGV classes'!$B$2+LOOKUP(M175,'Latest MECs - all vehicle types'!$A$3:$A$11,'Latest MECs - all vehicle types'!$G$39:$G$47)*'HGV classes'!$B$3</f>
        <v>12.809328358208955</v>
      </c>
      <c r="N187" s="373">
        <f>LOOKUP(N175,'Latest MECs - all vehicle types'!$A$3:$A$11,'Latest MECs - all vehicle types'!$G$27:$G$35)*'HGV classes'!$B$2+LOOKUP(N175,'Latest MECs - all vehicle types'!$A$3:$A$11,'Latest MECs - all vehicle types'!$G$39:$G$47)*'HGV classes'!$B$3</f>
        <v>12.809328358208955</v>
      </c>
      <c r="O187" s="373">
        <f>LOOKUP(O175,'Latest MECs - all vehicle types'!$A$3:$A$11,'Latest MECs - all vehicle types'!$G$27:$G$35)*'HGV classes'!$B$2+LOOKUP(O175,'Latest MECs - all vehicle types'!$A$3:$A$11,'Latest MECs - all vehicle types'!$G$39:$G$47)*'HGV classes'!$B$3</f>
        <v>12.049253731343283</v>
      </c>
      <c r="P187" s="373">
        <f>LOOKUP(P175,'Latest MECs - all vehicle types'!$A$3:$A$11,'Latest MECs - all vehicle types'!$G$27:$G$35)*'HGV classes'!$B$2+LOOKUP(P175,'Latest MECs - all vehicle types'!$A$3:$A$11,'Latest MECs - all vehicle types'!$G$39:$G$47)*'HGV classes'!$B$3</f>
        <v>12.049253731343283</v>
      </c>
      <c r="Q187" s="373">
        <f>LOOKUP(Q175,'Latest MECs - all vehicle types'!$A$3:$A$11,'Latest MECs - all vehicle types'!$G$27:$G$35)*'HGV classes'!$B$2+LOOKUP(Q175,'Latest MECs - all vehicle types'!$A$3:$A$11,'Latest MECs - all vehicle types'!$G$39:$G$47)*'HGV classes'!$B$3</f>
        <v>12.049253731343283</v>
      </c>
      <c r="R187" s="373">
        <f>LOOKUP(R175,'Latest MECs - all vehicle types'!$A$3:$A$11,'Latest MECs - all vehicle types'!$G$27:$G$35)*'HGV classes'!$B$2+LOOKUP(R175,'Latest MECs - all vehicle types'!$A$3:$A$11,'Latest MECs - all vehicle types'!$G$39:$G$47)*'HGV classes'!$B$3</f>
        <v>12.049253731343283</v>
      </c>
      <c r="S187" s="373">
        <f>LOOKUP(S175,'Latest MECs - all vehicle types'!$A$3:$A$11,'Latest MECs - all vehicle types'!$G$27:$G$35)*'HGV classes'!$B$2+LOOKUP(S175,'Latest MECs - all vehicle types'!$A$3:$A$11,'Latest MECs - all vehicle types'!$G$39:$G$47)*'HGV classes'!$B$3</f>
        <v>12.049253731343283</v>
      </c>
      <c r="T187" s="373">
        <f>LOOKUP(T175,'Latest MECs - all vehicle types'!$A$3:$A$11,'Latest MECs - all vehicle types'!$G$27:$G$35)*'HGV classes'!$B$2+LOOKUP(T175,'Latest MECs - all vehicle types'!$A$3:$A$11,'Latest MECs - all vehicle types'!$G$39:$G$47)*'HGV classes'!$B$3</f>
        <v>12.555223880597016</v>
      </c>
      <c r="U187" s="373">
        <f>LOOKUP(U175,'Latest MECs - all vehicle types'!$A$3:$A$11,'Latest MECs - all vehicle types'!$G$27:$G$35)*'HGV classes'!$B$2+LOOKUP(U175,'Latest MECs - all vehicle types'!$A$3:$A$11,'Latest MECs - all vehicle types'!$G$39:$G$47)*'HGV classes'!$B$3</f>
        <v>12.555223880597016</v>
      </c>
      <c r="V187" s="373">
        <f>LOOKUP(V175,'Latest MECs - all vehicle types'!$A$3:$A$11,'Latest MECs - all vehicle types'!$G$27:$G$35)*'HGV classes'!$B$2+LOOKUP(V175,'Latest MECs - all vehicle types'!$A$3:$A$11,'Latest MECs - all vehicle types'!$G$39:$G$47)*'HGV classes'!$B$3</f>
        <v>12.555223880597016</v>
      </c>
      <c r="W187" s="373">
        <f>LOOKUP(W175,'Latest MECs - all vehicle types'!$A$3:$A$11,'Latest MECs - all vehicle types'!$G$27:$G$35)*'HGV classes'!$B$2+LOOKUP(W175,'Latest MECs - all vehicle types'!$A$3:$A$11,'Latest MECs - all vehicle types'!$G$39:$G$47)*'HGV classes'!$B$3</f>
        <v>12.555223880597016</v>
      </c>
      <c r="X187" s="373">
        <f>LOOKUP(X175,'Latest MECs - all vehicle types'!$A$3:$A$11,'Latest MECs - all vehicle types'!$G$27:$G$35)*'HGV classes'!$B$2+LOOKUP(X175,'Latest MECs - all vehicle types'!$A$3:$A$11,'Latest MECs - all vehicle types'!$G$39:$G$47)*'HGV classes'!$B$3</f>
        <v>12.555223880597016</v>
      </c>
      <c r="Y187" s="373">
        <f>LOOKUP(Y175,'Latest MECs - all vehicle types'!$A$3:$A$11,'Latest MECs - all vehicle types'!$G$27:$G$35)*'HGV classes'!$B$2+LOOKUP(Y175,'Latest MECs - all vehicle types'!$A$3:$A$11,'Latest MECs - all vehicle types'!$G$39:$G$47)*'HGV classes'!$B$3</f>
        <v>13.360074626865671</v>
      </c>
      <c r="Z187" s="373">
        <f>LOOKUP(Z175,'Latest MECs - all vehicle types'!$A$3:$A$11,'Latest MECs - all vehicle types'!$G$27:$G$35)*'HGV classes'!$B$2+LOOKUP(Z175,'Latest MECs - all vehicle types'!$A$3:$A$11,'Latest MECs - all vehicle types'!$G$39:$G$47)*'HGV classes'!$B$3</f>
        <v>13.360074626865671</v>
      </c>
      <c r="AA187" s="373">
        <f>LOOKUP(AA175,'Latest MECs - all vehicle types'!$A$3:$A$11,'Latest MECs - all vehicle types'!$G$27:$G$35)*'HGV classes'!$B$2+LOOKUP(AA175,'Latest MECs - all vehicle types'!$A$3:$A$11,'Latest MECs - all vehicle types'!$G$39:$G$47)*'HGV classes'!$B$3</f>
        <v>13.360074626865671</v>
      </c>
      <c r="AB187" s="373">
        <f>LOOKUP(AB175,'Latest MECs - all vehicle types'!$A$3:$A$11,'Latest MECs - all vehicle types'!$G$27:$G$35)*'HGV classes'!$B$2+LOOKUP(AB175,'Latest MECs - all vehicle types'!$A$3:$A$11,'Latest MECs - all vehicle types'!$G$39:$G$47)*'HGV classes'!$B$3</f>
        <v>13.360074626865671</v>
      </c>
      <c r="AC187" s="373">
        <f>LOOKUP(AC175,'Latest MECs - all vehicle types'!$A$3:$A$11,'Latest MECs - all vehicle types'!$G$27:$G$35)*'HGV classes'!$B$2+LOOKUP(AC175,'Latest MECs - all vehicle types'!$A$3:$A$11,'Latest MECs - all vehicle types'!$G$39:$G$47)*'HGV classes'!$B$3</f>
        <v>13.360074626865671</v>
      </c>
      <c r="AD187" s="373">
        <f>LOOKUP(AD175,'Latest MECs - all vehicle types'!$A$3:$A$11,'Latest MECs - all vehicle types'!$G$27:$G$35)*'HGV classes'!$B$2+LOOKUP(AD175,'Latest MECs - all vehicle types'!$A$3:$A$11,'Latest MECs - all vehicle types'!$G$39:$G$47)*'HGV classes'!$B$3</f>
        <v>14.111194029850747</v>
      </c>
      <c r="AE187" s="373">
        <f>LOOKUP(AE175,'Latest MECs - all vehicle types'!$A$3:$A$11,'Latest MECs - all vehicle types'!$G$27:$G$35)*'HGV classes'!$B$2+LOOKUP(AE175,'Latest MECs - all vehicle types'!$A$3:$A$11,'Latest MECs - all vehicle types'!$G$39:$G$47)*'HGV classes'!$B$3</f>
        <v>14.111194029850747</v>
      </c>
      <c r="AF187" s="373">
        <f>LOOKUP(AF175,'Latest MECs - all vehicle types'!$A$3:$A$11,'Latest MECs - all vehicle types'!$G$27:$G$35)*'HGV classes'!$B$2+LOOKUP(AF175,'Latest MECs - all vehicle types'!$A$3:$A$11,'Latest MECs - all vehicle types'!$G$39:$G$47)*'HGV classes'!$B$3</f>
        <v>14.111194029850747</v>
      </c>
      <c r="AG187" s="373">
        <f>LOOKUP(AG175,'Latest MECs - all vehicle types'!$A$3:$A$11,'Latest MECs - all vehicle types'!$G$27:$G$35)*'HGV classes'!$B$2+LOOKUP(AG175,'Latest MECs - all vehicle types'!$A$3:$A$11,'Latest MECs - all vehicle types'!$G$39:$G$47)*'HGV classes'!$B$3</f>
        <v>14.111194029850747</v>
      </c>
      <c r="AH187" s="373">
        <f>LOOKUP(AH175,'Latest MECs - all vehicle types'!$A$3:$A$11,'Latest MECs - all vehicle types'!$G$27:$G$35)*'HGV classes'!$B$2+LOOKUP(AH175,'Latest MECs - all vehicle types'!$A$3:$A$11,'Latest MECs - all vehicle types'!$G$39:$G$47)*'HGV classes'!$B$3</f>
        <v>14.111194029850747</v>
      </c>
      <c r="AI187" s="373">
        <f>LOOKUP(AI175,'Latest MECs - all vehicle types'!$A$3:$A$11,'Latest MECs - all vehicle types'!$G$27:$G$35)*'HGV classes'!$B$2+LOOKUP(AI175,'Latest MECs - all vehicle types'!$A$3:$A$11,'Latest MECs - all vehicle types'!$G$39:$G$47)*'HGV classes'!$B$3</f>
        <v>14.862313432835821</v>
      </c>
      <c r="AJ187" s="373">
        <f>LOOKUP(AJ175,'Latest MECs - all vehicle types'!$A$3:$A$11,'Latest MECs - all vehicle types'!$G$27:$G$35)*'HGV classes'!$B$2+LOOKUP(AJ175,'Latest MECs - all vehicle types'!$A$3:$A$11,'Latest MECs - all vehicle types'!$G$39:$G$47)*'HGV classes'!$B$3</f>
        <v>14.862313432835821</v>
      </c>
      <c r="AK187" s="373">
        <f>LOOKUP(AK175,'Latest MECs - all vehicle types'!$A$3:$A$11,'Latest MECs - all vehicle types'!$G$27:$G$35)*'HGV classes'!$B$2+LOOKUP(AK175,'Latest MECs - all vehicle types'!$A$3:$A$11,'Latest MECs - all vehicle types'!$G$39:$G$47)*'HGV classes'!$B$3</f>
        <v>14.862313432835821</v>
      </c>
      <c r="AL187" s="373">
        <f>LOOKUP(AL175,'Latest MECs - all vehicle types'!$A$3:$A$11,'Latest MECs - all vehicle types'!$G$27:$G$35)*'HGV classes'!$B$2+LOOKUP(AL175,'Latest MECs - all vehicle types'!$A$3:$A$11,'Latest MECs - all vehicle types'!$G$39:$G$47)*'HGV classes'!$B$3</f>
        <v>14.862313432835821</v>
      </c>
      <c r="AM187" s="373">
        <f>LOOKUP(AM175,'Latest MECs - all vehicle types'!$A$3:$A$11,'Latest MECs - all vehicle types'!$G$27:$G$35)*'HGV classes'!$B$2+LOOKUP(AM175,'Latest MECs - all vehicle types'!$A$3:$A$11,'Latest MECs - all vehicle types'!$G$39:$G$47)*'HGV classes'!$B$3</f>
        <v>14.862313432835821</v>
      </c>
      <c r="AN187" s="373">
        <f>LOOKUP(AN175,'Latest MECs - all vehicle types'!$A$3:$A$11,'Latest MECs - all vehicle types'!$G$27:$G$35)*'HGV classes'!$B$2+LOOKUP(AN175,'Latest MECs - all vehicle types'!$A$3:$A$11,'Latest MECs - all vehicle types'!$G$39:$G$47)*'HGV classes'!$B$3</f>
        <v>15.8205223880597</v>
      </c>
      <c r="AO187" s="373">
        <f>LOOKUP(AO175,'Latest MECs - all vehicle types'!$A$3:$A$11,'Latest MECs - all vehicle types'!$G$27:$G$35)*'HGV classes'!$B$2+LOOKUP(AO175,'Latest MECs - all vehicle types'!$A$3:$A$11,'Latest MECs - all vehicle types'!$G$39:$G$47)*'HGV classes'!$B$3</f>
        <v>15.8205223880597</v>
      </c>
      <c r="AP187" s="373">
        <f>LOOKUP(AP175,'Latest MECs - all vehicle types'!$A$3:$A$11,'Latest MECs - all vehicle types'!$G$27:$G$35)*'HGV classes'!$B$2+LOOKUP(AP175,'Latest MECs - all vehicle types'!$A$3:$A$11,'Latest MECs - all vehicle types'!$G$39:$G$47)*'HGV classes'!$B$3</f>
        <v>15.8205223880597</v>
      </c>
      <c r="AQ187" s="373">
        <f>LOOKUP(AQ175,'Latest MECs - all vehicle types'!$A$3:$A$11,'Latest MECs - all vehicle types'!$G$27:$G$35)*'HGV classes'!$B$2+LOOKUP(AQ175,'Latest MECs - all vehicle types'!$A$3:$A$11,'Latest MECs - all vehicle types'!$G$39:$G$47)*'HGV classes'!$B$3</f>
        <v>15.8205223880597</v>
      </c>
      <c r="AR187" s="373">
        <f>LOOKUP(AR175,'Latest MECs - all vehicle types'!$A$3:$A$11,'Latest MECs - all vehicle types'!$G$27:$G$35)*'HGV classes'!$B$2+LOOKUP(AR175,'Latest MECs - all vehicle types'!$A$3:$A$11,'Latest MECs - all vehicle types'!$G$39:$G$47)*'HGV classes'!$B$3</f>
        <v>15.8205223880597</v>
      </c>
      <c r="AS187" s="373">
        <f>LOOKUP(AS175,'Latest MECs - all vehicle types'!$A$3:$A$11,'Latest MECs - all vehicle types'!$G$27:$G$35)*'HGV classes'!$B$2+LOOKUP(AS175,'Latest MECs - all vehicle types'!$A$3:$A$11,'Latest MECs - all vehicle types'!$G$39:$G$47)*'HGV classes'!$B$3</f>
        <v>16.977985074626865</v>
      </c>
      <c r="AT187" s="373">
        <f>LOOKUP(AT175,'Latest MECs - all vehicle types'!$A$3:$A$11,'Latest MECs - all vehicle types'!$G$27:$G$35)*'HGV classes'!$B$2+LOOKUP(AT175,'Latest MECs - all vehicle types'!$A$3:$A$11,'Latest MECs - all vehicle types'!$G$39:$G$47)*'HGV classes'!$B$3</f>
        <v>16.977985074626865</v>
      </c>
      <c r="AU187" s="373">
        <f>LOOKUP(AU175,'Latest MECs - all vehicle types'!$A$3:$A$11,'Latest MECs - all vehicle types'!$G$27:$G$35)*'HGV classes'!$B$2+LOOKUP(AU175,'Latest MECs - all vehicle types'!$A$3:$A$11,'Latest MECs - all vehicle types'!$G$39:$G$47)*'HGV classes'!$B$3</f>
        <v>16.977985074626865</v>
      </c>
      <c r="AV187" s="373">
        <f>LOOKUP(AV175,'Latest MECs - all vehicle types'!$A$3:$A$11,'Latest MECs - all vehicle types'!$G$27:$G$35)*'HGV classes'!$B$2+LOOKUP(AV175,'Latest MECs - all vehicle types'!$A$3:$A$11,'Latest MECs - all vehicle types'!$G$39:$G$47)*'HGV classes'!$B$3</f>
        <v>16.977985074626865</v>
      </c>
      <c r="AW187" s="373">
        <f>LOOKUP(AW175,'Latest MECs - all vehicle types'!$A$3:$A$11,'Latest MECs - all vehicle types'!$G$27:$G$35)*'HGV classes'!$B$2+LOOKUP(AW175,'Latest MECs - all vehicle types'!$A$3:$A$11,'Latest MECs - all vehicle types'!$G$39:$G$47)*'HGV classes'!$B$3</f>
        <v>16.977985074626865</v>
      </c>
      <c r="AX187" s="373">
        <f>LOOKUP(AX175,'Latest MECs - all vehicle types'!$A$3:$A$11,'Latest MECs - all vehicle types'!$G$27:$G$35)*'HGV classes'!$B$2+LOOKUP(AX175,'Latest MECs - all vehicle types'!$A$3:$A$11,'Latest MECs - all vehicle types'!$G$39:$G$47)*'HGV classes'!$B$3</f>
        <v>16.977985074626865</v>
      </c>
      <c r="AY187" s="373">
        <f>LOOKUP(AY175,'Latest MECs - all vehicle types'!$A$3:$A$11,'Latest MECs - all vehicle types'!$G$27:$G$35)*'HGV classes'!$B$2+LOOKUP(AY175,'Latest MECs - all vehicle types'!$A$3:$A$11,'Latest MECs - all vehicle types'!$G$39:$G$47)*'HGV classes'!$B$3</f>
        <v>16.977985074626865</v>
      </c>
      <c r="AZ187" s="373">
        <f>LOOKUP(AZ175,'Latest MECs - all vehicle types'!$A$3:$A$11,'Latest MECs - all vehicle types'!$G$27:$G$35)*'HGV classes'!$B$2+LOOKUP(AZ175,'Latest MECs - all vehicle types'!$A$3:$A$11,'Latest MECs - all vehicle types'!$G$39:$G$47)*'HGV classes'!$B$3</f>
        <v>16.977985074626865</v>
      </c>
      <c r="BA187" s="373">
        <f>LOOKUP(BA175,'Latest MECs - all vehicle types'!$A$3:$A$11,'Latest MECs - all vehicle types'!$G$27:$G$35)*'HGV classes'!$B$2+LOOKUP(BA175,'Latest MECs - all vehicle types'!$A$3:$A$11,'Latest MECs - all vehicle types'!$G$39:$G$47)*'HGV classes'!$B$3</f>
        <v>16.977985074626865</v>
      </c>
      <c r="BB187" s="373">
        <f>LOOKUP(BB175,'Latest MECs - all vehicle types'!$A$3:$A$11,'Latest MECs - all vehicle types'!$G$27:$G$35)*'HGV classes'!$B$2+LOOKUP(BB175,'Latest MECs - all vehicle types'!$A$3:$A$11,'Latest MECs - all vehicle types'!$G$39:$G$47)*'HGV classes'!$B$3</f>
        <v>16.977985074626865</v>
      </c>
      <c r="BC187" s="373">
        <f>LOOKUP(BC175,'Latest MECs - all vehicle types'!$A$3:$A$11,'Latest MECs - all vehicle types'!$G$27:$G$35)*'HGV classes'!$B$2+LOOKUP(BC175,'Latest MECs - all vehicle types'!$A$3:$A$11,'Latest MECs - all vehicle types'!$G$39:$G$47)*'HGV classes'!$B$3</f>
        <v>16.977985074626865</v>
      </c>
      <c r="BD187" s="373">
        <f>LOOKUP(BD175,'Latest MECs - all vehicle types'!$A$3:$A$11,'Latest MECs - all vehicle types'!$G$27:$G$35)*'HGV classes'!$B$2+LOOKUP(BD175,'Latest MECs - all vehicle types'!$A$3:$A$11,'Latest MECs - all vehicle types'!$G$39:$G$47)*'HGV classes'!$B$3</f>
        <v>16.977985074626865</v>
      </c>
      <c r="BE187" s="373">
        <f>LOOKUP(BE175,'Latest MECs - all vehicle types'!$A$3:$A$11,'Latest MECs - all vehicle types'!$G$27:$G$35)*'HGV classes'!$B$2+LOOKUP(BE175,'Latest MECs - all vehicle types'!$A$3:$A$11,'Latest MECs - all vehicle types'!$G$39:$G$47)*'HGV classes'!$B$3</f>
        <v>16.977985074626865</v>
      </c>
      <c r="BF187" s="373">
        <f>LOOKUP(BF175,'Latest MECs - all vehicle types'!$A$3:$A$11,'Latest MECs - all vehicle types'!$G$27:$G$35)*'HGV classes'!$B$2+LOOKUP(BF175,'Latest MECs - all vehicle types'!$A$3:$A$11,'Latest MECs - all vehicle types'!$G$39:$G$47)*'HGV classes'!$B$3</f>
        <v>16.977985074626865</v>
      </c>
      <c r="BG187" s="373">
        <f>LOOKUP(BG175,'Latest MECs - all vehicle types'!$A$3:$A$11,'Latest MECs - all vehicle types'!$G$27:$G$35)*'HGV classes'!$B$2+LOOKUP(BG175,'Latest MECs - all vehicle types'!$A$3:$A$11,'Latest MECs - all vehicle types'!$G$39:$G$47)*'HGV classes'!$B$3</f>
        <v>16.977985074626865</v>
      </c>
      <c r="BH187" s="373">
        <f>LOOKUP(BH175,'Latest MECs - all vehicle types'!$A$3:$A$11,'Latest MECs - all vehicle types'!$G$27:$G$35)*'HGV classes'!$B$2+LOOKUP(BH175,'Latest MECs - all vehicle types'!$A$3:$A$11,'Latest MECs - all vehicle types'!$G$39:$G$47)*'HGV classes'!$B$3</f>
        <v>16.977985074626865</v>
      </c>
      <c r="BI187" s="373">
        <f>LOOKUP(BI175,'Latest MECs - all vehicle types'!$A$3:$A$11,'Latest MECs - all vehicle types'!$G$27:$G$35)*'HGV classes'!$B$2+LOOKUP(BI175,'Latest MECs - all vehicle types'!$A$3:$A$11,'Latest MECs - all vehicle types'!$G$39:$G$47)*'HGV classes'!$B$3</f>
        <v>16.977985074626865</v>
      </c>
      <c r="BJ187" s="373">
        <f>LOOKUP(BJ175,'Latest MECs - all vehicle types'!$A$3:$A$11,'Latest MECs - all vehicle types'!$G$27:$G$35)*'HGV classes'!$B$2+LOOKUP(BJ175,'Latest MECs - all vehicle types'!$A$3:$A$11,'Latest MECs - all vehicle types'!$G$39:$G$47)*'HGV classes'!$B$3</f>
        <v>16.977985074626865</v>
      </c>
      <c r="BK187" s="373">
        <f>LOOKUP(BK175,'Latest MECs - all vehicle types'!$A$3:$A$11,'Latest MECs - all vehicle types'!$G$27:$G$35)*'HGV classes'!$B$2+LOOKUP(BK175,'Latest MECs - all vehicle types'!$A$3:$A$11,'Latest MECs - all vehicle types'!$G$39:$G$47)*'HGV classes'!$B$3</f>
        <v>16.977985074626865</v>
      </c>
      <c r="BL187" s="373">
        <f>LOOKUP(BL175,'Latest MECs - all vehicle types'!$A$3:$A$11,'Latest MECs - all vehicle types'!$G$27:$G$35)*'HGV classes'!$B$2+LOOKUP(BL175,'Latest MECs - all vehicle types'!$A$3:$A$11,'Latest MECs - all vehicle types'!$G$39:$G$47)*'HGV classes'!$B$3</f>
        <v>16.977985074626865</v>
      </c>
      <c r="BM187" s="373">
        <f>LOOKUP(BM175,'Latest MECs - all vehicle types'!$A$3:$A$11,'Latest MECs - all vehicle types'!$G$27:$G$35)*'HGV classes'!$B$2+LOOKUP(BM175,'Latest MECs - all vehicle types'!$A$3:$A$11,'Latest MECs - all vehicle types'!$G$39:$G$47)*'HGV classes'!$B$3</f>
        <v>16.977985074626865</v>
      </c>
      <c r="BN187" s="373">
        <f>LOOKUP(BN175,'Latest MECs - all vehicle types'!$A$3:$A$11,'Latest MECs - all vehicle types'!$G$27:$G$35)*'HGV classes'!$B$2+LOOKUP(BN175,'Latest MECs - all vehicle types'!$A$3:$A$11,'Latest MECs - all vehicle types'!$G$39:$G$47)*'HGV classes'!$B$3</f>
        <v>16.977985074626865</v>
      </c>
      <c r="BO187" s="373">
        <f>LOOKUP(BO175,'Latest MECs - all vehicle types'!$A$3:$A$11,'Latest MECs - all vehicle types'!$G$27:$G$35)*'HGV classes'!$B$2+LOOKUP(BO175,'Latest MECs - all vehicle types'!$A$3:$A$11,'Latest MECs - all vehicle types'!$G$39:$G$47)*'HGV classes'!$B$3</f>
        <v>16.977985074626865</v>
      </c>
      <c r="BP187" s="373">
        <f>LOOKUP(BP175,'Latest MECs - all vehicle types'!$A$3:$A$11,'Latest MECs - all vehicle types'!$G$27:$G$35)*'HGV classes'!$B$2+LOOKUP(BP175,'Latest MECs - all vehicle types'!$A$3:$A$11,'Latest MECs - all vehicle types'!$G$39:$G$47)*'HGV classes'!$B$3</f>
        <v>16.977985074626865</v>
      </c>
      <c r="BQ187" s="373">
        <f>LOOKUP(BQ175,'Latest MECs - all vehicle types'!$A$3:$A$11,'Latest MECs - all vehicle types'!$G$27:$G$35)*'HGV classes'!$B$2+LOOKUP(BQ175,'Latest MECs - all vehicle types'!$A$3:$A$11,'Latest MECs - all vehicle types'!$G$39:$G$47)*'HGV classes'!$B$3</f>
        <v>16.977985074626865</v>
      </c>
      <c r="BR187" s="373">
        <f>LOOKUP(BR175,'Latest MECs - all vehicle types'!$A$3:$A$11,'Latest MECs - all vehicle types'!$G$27:$G$35)*'HGV classes'!$B$2+LOOKUP(BR175,'Latest MECs - all vehicle types'!$A$3:$A$11,'Latest MECs - all vehicle types'!$G$39:$G$47)*'HGV classes'!$B$3</f>
        <v>16.977985074626865</v>
      </c>
      <c r="BS187" s="373">
        <f>LOOKUP(BS175,'Latest MECs - all vehicle types'!$A$3:$A$11,'Latest MECs - all vehicle types'!$G$27:$G$35)*'HGV classes'!$B$2+LOOKUP(BS175,'Latest MECs - all vehicle types'!$A$3:$A$11,'Latest MECs - all vehicle types'!$G$39:$G$47)*'HGV classes'!$B$3</f>
        <v>16.977985074626865</v>
      </c>
      <c r="BT187" s="373">
        <f>LOOKUP(BT175,'Latest MECs - all vehicle types'!$A$3:$A$11,'Latest MECs - all vehicle types'!$G$27:$G$35)*'HGV classes'!$B$2+LOOKUP(BT175,'Latest MECs - all vehicle types'!$A$3:$A$11,'Latest MECs - all vehicle types'!$G$39:$G$47)*'HGV classes'!$B$3</f>
        <v>16.977985074626865</v>
      </c>
      <c r="BU187" s="373">
        <f>LOOKUP(BU175,'Latest MECs - all vehicle types'!$A$3:$A$11,'Latest MECs - all vehicle types'!$G$27:$G$35)*'HGV classes'!$B$2+LOOKUP(BU175,'Latest MECs - all vehicle types'!$A$3:$A$11,'Latest MECs - all vehicle types'!$G$39:$G$47)*'HGV classes'!$B$3</f>
        <v>16.977985074626865</v>
      </c>
      <c r="BV187" s="373">
        <f>LOOKUP(BV175,'Latest MECs - all vehicle types'!$A$3:$A$11,'Latest MECs - all vehicle types'!$G$27:$G$35)*'HGV classes'!$B$2+LOOKUP(BV175,'Latest MECs - all vehicle types'!$A$3:$A$11,'Latest MECs - all vehicle types'!$G$39:$G$47)*'HGV classes'!$B$3</f>
        <v>16.977985074626865</v>
      </c>
      <c r="BW187" s="373">
        <f>LOOKUP(BW175,'Latest MECs - all vehicle types'!$A$3:$A$11,'Latest MECs - all vehicle types'!$G$27:$G$35)*'HGV classes'!$B$2+LOOKUP(BW175,'Latest MECs - all vehicle types'!$A$3:$A$11,'Latest MECs - all vehicle types'!$G$39:$G$47)*'HGV classes'!$B$3</f>
        <v>16.977985074626865</v>
      </c>
      <c r="BX187" s="373">
        <f>LOOKUP(BX175,'Latest MECs - all vehicle types'!$A$3:$A$11,'Latest MECs - all vehicle types'!$G$27:$G$35)*'HGV classes'!$B$2+LOOKUP(BX175,'Latest MECs - all vehicle types'!$A$3:$A$11,'Latest MECs - all vehicle types'!$G$39:$G$47)*'HGV classes'!$B$3</f>
        <v>16.977985074626865</v>
      </c>
      <c r="BY187" s="373">
        <f>LOOKUP(BY175,'Latest MECs - all vehicle types'!$A$3:$A$11,'Latest MECs - all vehicle types'!$G$27:$G$35)*'HGV classes'!$B$2+LOOKUP(BY175,'Latest MECs - all vehicle types'!$A$3:$A$11,'Latest MECs - all vehicle types'!$G$39:$G$47)*'HGV classes'!$B$3</f>
        <v>16.977985074626865</v>
      </c>
      <c r="BZ187" s="373">
        <f>LOOKUP(BZ175,'Latest MECs - all vehicle types'!$A$3:$A$11,'Latest MECs - all vehicle types'!$G$27:$G$35)*'HGV classes'!$B$2+LOOKUP(BZ175,'Latest MECs - all vehicle types'!$A$3:$A$11,'Latest MECs - all vehicle types'!$G$39:$G$47)*'HGV classes'!$B$3</f>
        <v>16.977985074626865</v>
      </c>
      <c r="CA187" s="373">
        <f>LOOKUP(CA175,'Latest MECs - all vehicle types'!$A$3:$A$11,'Latest MECs - all vehicle types'!$G$27:$G$35)*'HGV classes'!$B$2+LOOKUP(CA175,'Latest MECs - all vehicle types'!$A$3:$A$11,'Latest MECs - all vehicle types'!$G$39:$G$47)*'HGV classes'!$B$3</f>
        <v>16.977985074626865</v>
      </c>
      <c r="CB187" s="373">
        <f>LOOKUP(CB175,'Latest MECs - all vehicle types'!$A$3:$A$11,'Latest MECs - all vehicle types'!$G$27:$G$35)*'HGV classes'!$B$2+LOOKUP(CB175,'Latest MECs - all vehicle types'!$A$3:$A$11,'Latest MECs - all vehicle types'!$G$39:$G$47)*'HGV classes'!$B$3</f>
        <v>16.977985074626865</v>
      </c>
      <c r="CC187" s="373">
        <f>LOOKUP(CC175,'Latest MECs - all vehicle types'!$A$3:$A$11,'Latest MECs - all vehicle types'!$G$27:$G$35)*'HGV classes'!$B$2+LOOKUP(CC175,'Latest MECs - all vehicle types'!$A$3:$A$11,'Latest MECs - all vehicle types'!$G$39:$G$47)*'HGV classes'!$B$3</f>
        <v>16.977985074626865</v>
      </c>
      <c r="CD187" s="373">
        <f>LOOKUP(CD175,'Latest MECs - all vehicle types'!$A$3:$A$11,'Latest MECs - all vehicle types'!$G$27:$G$35)*'HGV classes'!$B$2+LOOKUP(CD175,'Latest MECs - all vehicle types'!$A$3:$A$11,'Latest MECs - all vehicle types'!$G$39:$G$47)*'HGV classes'!$B$3</f>
        <v>16.977985074626865</v>
      </c>
      <c r="CE187" s="373">
        <f>LOOKUP(CE175,'Latest MECs - all vehicle types'!$A$3:$A$11,'Latest MECs - all vehicle types'!$G$27:$G$35)*'HGV classes'!$B$2+LOOKUP(CE175,'Latest MECs - all vehicle types'!$A$3:$A$11,'Latest MECs - all vehicle types'!$G$39:$G$47)*'HGV classes'!$B$3</f>
        <v>16.977985074626865</v>
      </c>
      <c r="CF187" s="373">
        <f>LOOKUP(CF175,'Latest MECs - all vehicle types'!$A$3:$A$11,'Latest MECs - all vehicle types'!$G$27:$G$35)*'HGV classes'!$B$2+LOOKUP(CF175,'Latest MECs - all vehicle types'!$A$3:$A$11,'Latest MECs - all vehicle types'!$G$39:$G$47)*'HGV classes'!$B$3</f>
        <v>16.977985074626865</v>
      </c>
    </row>
    <row r="188" spans="3:84">
      <c r="D188" s="881" t="s">
        <v>93</v>
      </c>
      <c r="E188" s="373">
        <f>LOOKUP(E175,'Latest MECs - all vehicle types'!$A$3:$A$11,'Latest MECs - all vehicle types'!$G$51:$G$59)</f>
        <v>13.8</v>
      </c>
      <c r="F188" s="373">
        <f>LOOKUP(F175,'Latest MECs - all vehicle types'!$A$3:$A$11,'Latest MECs - all vehicle types'!$G$51:$G$59)</f>
        <v>13.8</v>
      </c>
      <c r="G188" s="373">
        <f>LOOKUP(G175,'Latest MECs - all vehicle types'!$A$3:$A$11,'Latest MECs - all vehicle types'!$G$51:$G$59)</f>
        <v>13.8</v>
      </c>
      <c r="H188" s="373">
        <f>LOOKUP(H175,'Latest MECs - all vehicle types'!$A$3:$A$11,'Latest MECs - all vehicle types'!$G$51:$G$59)</f>
        <v>13.8</v>
      </c>
      <c r="I188" s="373">
        <f>LOOKUP(I175,'Latest MECs - all vehicle types'!$A$3:$A$11,'Latest MECs - all vehicle types'!$G$51:$G$59)</f>
        <v>13.8</v>
      </c>
      <c r="J188" s="373">
        <f>LOOKUP(J175,'Latest MECs - all vehicle types'!$A$3:$A$11,'Latest MECs - all vehicle types'!$G$51:$G$59)</f>
        <v>13.8</v>
      </c>
      <c r="K188" s="373">
        <f>LOOKUP(K175,'Latest MECs - all vehicle types'!$A$3:$A$11,'Latest MECs - all vehicle types'!$G$51:$G$59)</f>
        <v>13.8</v>
      </c>
      <c r="L188" s="373">
        <f>LOOKUP(L175,'Latest MECs - all vehicle types'!$A$3:$A$11,'Latest MECs - all vehicle types'!$G$51:$G$59)</f>
        <v>13.8</v>
      </c>
      <c r="M188" s="373">
        <f>LOOKUP(M175,'Latest MECs - all vehicle types'!$A$3:$A$11,'Latest MECs - all vehicle types'!$G$51:$G$59)</f>
        <v>13.8</v>
      </c>
      <c r="N188" s="373">
        <f>LOOKUP(N175,'Latest MECs - all vehicle types'!$A$3:$A$11,'Latest MECs - all vehicle types'!$G$51:$G$59)</f>
        <v>13.8</v>
      </c>
      <c r="O188" s="373">
        <f>LOOKUP(O175,'Latest MECs - all vehicle types'!$A$3:$A$11,'Latest MECs - all vehicle types'!$G$51:$G$59)</f>
        <v>13.6</v>
      </c>
      <c r="P188" s="373">
        <f>LOOKUP(P175,'Latest MECs - all vehicle types'!$A$3:$A$11,'Latest MECs - all vehicle types'!$G$51:$G$59)</f>
        <v>13.6</v>
      </c>
      <c r="Q188" s="373">
        <f>LOOKUP(Q175,'Latest MECs - all vehicle types'!$A$3:$A$11,'Latest MECs - all vehicle types'!$G$51:$G$59)</f>
        <v>13.6</v>
      </c>
      <c r="R188" s="373">
        <f>LOOKUP(R175,'Latest MECs - all vehicle types'!$A$3:$A$11,'Latest MECs - all vehicle types'!$G$51:$G$59)</f>
        <v>13.6</v>
      </c>
      <c r="S188" s="373">
        <f>LOOKUP(S175,'Latest MECs - all vehicle types'!$A$3:$A$11,'Latest MECs - all vehicle types'!$G$51:$G$59)</f>
        <v>13.6</v>
      </c>
      <c r="T188" s="373">
        <f>LOOKUP(T175,'Latest MECs - all vehicle types'!$A$3:$A$11,'Latest MECs - all vehicle types'!$G$51:$G$59)</f>
        <v>13.2</v>
      </c>
      <c r="U188" s="373">
        <f>LOOKUP(U175,'Latest MECs - all vehicle types'!$A$3:$A$11,'Latest MECs - all vehicle types'!$G$51:$G$59)</f>
        <v>13.2</v>
      </c>
      <c r="V188" s="373">
        <f>LOOKUP(V175,'Latest MECs - all vehicle types'!$A$3:$A$11,'Latest MECs - all vehicle types'!$G$51:$G$59)</f>
        <v>13.2</v>
      </c>
      <c r="W188" s="373">
        <f>LOOKUP(W175,'Latest MECs - all vehicle types'!$A$3:$A$11,'Latest MECs - all vehicle types'!$G$51:$G$59)</f>
        <v>13.2</v>
      </c>
      <c r="X188" s="373">
        <f>LOOKUP(X175,'Latest MECs - all vehicle types'!$A$3:$A$11,'Latest MECs - all vehicle types'!$G$51:$G$59)</f>
        <v>13.2</v>
      </c>
      <c r="Y188" s="373">
        <f>LOOKUP(Y175,'Latest MECs - all vehicle types'!$A$3:$A$11,'Latest MECs - all vehicle types'!$G$51:$G$59)</f>
        <v>12.1</v>
      </c>
      <c r="Z188" s="373">
        <f>LOOKUP(Z175,'Latest MECs - all vehicle types'!$A$3:$A$11,'Latest MECs - all vehicle types'!$G$51:$G$59)</f>
        <v>12.1</v>
      </c>
      <c r="AA188" s="373">
        <f>LOOKUP(AA175,'Latest MECs - all vehicle types'!$A$3:$A$11,'Latest MECs - all vehicle types'!$G$51:$G$59)</f>
        <v>12.1</v>
      </c>
      <c r="AB188" s="373">
        <f>LOOKUP(AB175,'Latest MECs - all vehicle types'!$A$3:$A$11,'Latest MECs - all vehicle types'!$G$51:$G$59)</f>
        <v>12.1</v>
      </c>
      <c r="AC188" s="373">
        <f>LOOKUP(AC175,'Latest MECs - all vehicle types'!$A$3:$A$11,'Latest MECs - all vehicle types'!$G$51:$G$59)</f>
        <v>12.1</v>
      </c>
      <c r="AD188" s="373">
        <f>LOOKUP(AD175,'Latest MECs - all vehicle types'!$A$3:$A$11,'Latest MECs - all vehicle types'!$G$51:$G$59)</f>
        <v>11.9</v>
      </c>
      <c r="AE188" s="373">
        <f>LOOKUP(AE175,'Latest MECs - all vehicle types'!$A$3:$A$11,'Latest MECs - all vehicle types'!$G$51:$G$59)</f>
        <v>11.9</v>
      </c>
      <c r="AF188" s="373">
        <f>LOOKUP(AF175,'Latest MECs - all vehicle types'!$A$3:$A$11,'Latest MECs - all vehicle types'!$G$51:$G$59)</f>
        <v>11.9</v>
      </c>
      <c r="AG188" s="373">
        <f>LOOKUP(AG175,'Latest MECs - all vehicle types'!$A$3:$A$11,'Latest MECs - all vehicle types'!$G$51:$G$59)</f>
        <v>11.9</v>
      </c>
      <c r="AH188" s="373">
        <f>LOOKUP(AH175,'Latest MECs - all vehicle types'!$A$3:$A$11,'Latest MECs - all vehicle types'!$G$51:$G$59)</f>
        <v>11.9</v>
      </c>
      <c r="AI188" s="373">
        <f>LOOKUP(AI175,'Latest MECs - all vehicle types'!$A$3:$A$11,'Latest MECs - all vehicle types'!$G$51:$G$59)</f>
        <v>12</v>
      </c>
      <c r="AJ188" s="373">
        <f>LOOKUP(AJ175,'Latest MECs - all vehicle types'!$A$3:$A$11,'Latest MECs - all vehicle types'!$G$51:$G$59)</f>
        <v>12</v>
      </c>
      <c r="AK188" s="373">
        <f>LOOKUP(AK175,'Latest MECs - all vehicle types'!$A$3:$A$11,'Latest MECs - all vehicle types'!$G$51:$G$59)</f>
        <v>12</v>
      </c>
      <c r="AL188" s="373">
        <f>LOOKUP(AL175,'Latest MECs - all vehicle types'!$A$3:$A$11,'Latest MECs - all vehicle types'!$G$51:$G$59)</f>
        <v>12</v>
      </c>
      <c r="AM188" s="373">
        <f>LOOKUP(AM175,'Latest MECs - all vehicle types'!$A$3:$A$11,'Latest MECs - all vehicle types'!$G$51:$G$59)</f>
        <v>12</v>
      </c>
      <c r="AN188" s="373">
        <f>LOOKUP(AN175,'Latest MECs - all vehicle types'!$A$3:$A$11,'Latest MECs - all vehicle types'!$G$51:$G$59)</f>
        <v>12.7</v>
      </c>
      <c r="AO188" s="373">
        <f>LOOKUP(AO175,'Latest MECs - all vehicle types'!$A$3:$A$11,'Latest MECs - all vehicle types'!$G$51:$G$59)</f>
        <v>12.7</v>
      </c>
      <c r="AP188" s="373">
        <f>LOOKUP(AP175,'Latest MECs - all vehicle types'!$A$3:$A$11,'Latest MECs - all vehicle types'!$G$51:$G$59)</f>
        <v>12.7</v>
      </c>
      <c r="AQ188" s="373">
        <f>LOOKUP(AQ175,'Latest MECs - all vehicle types'!$A$3:$A$11,'Latest MECs - all vehicle types'!$G$51:$G$59)</f>
        <v>12.7</v>
      </c>
      <c r="AR188" s="373">
        <f>LOOKUP(AR175,'Latest MECs - all vehicle types'!$A$3:$A$11,'Latest MECs - all vehicle types'!$G$51:$G$59)</f>
        <v>12.7</v>
      </c>
      <c r="AS188" s="373">
        <f>LOOKUP(AS175,'Latest MECs - all vehicle types'!$A$3:$A$11,'Latest MECs - all vehicle types'!$G$51:$G$59)</f>
        <v>13.5</v>
      </c>
      <c r="AT188" s="373">
        <f>LOOKUP(AT175,'Latest MECs - all vehicle types'!$A$3:$A$11,'Latest MECs - all vehicle types'!$G$51:$G$59)</f>
        <v>13.5</v>
      </c>
      <c r="AU188" s="373">
        <f>LOOKUP(AU175,'Latest MECs - all vehicle types'!$A$3:$A$11,'Latest MECs - all vehicle types'!$G$51:$G$59)</f>
        <v>13.5</v>
      </c>
      <c r="AV188" s="373">
        <f>LOOKUP(AV175,'Latest MECs - all vehicle types'!$A$3:$A$11,'Latest MECs - all vehicle types'!$G$51:$G$59)</f>
        <v>13.5</v>
      </c>
      <c r="AW188" s="373">
        <f>LOOKUP(AW175,'Latest MECs - all vehicle types'!$A$3:$A$11,'Latest MECs - all vehicle types'!$G$51:$G$59)</f>
        <v>13.5</v>
      </c>
      <c r="AX188" s="373">
        <f>LOOKUP(AX175,'Latest MECs - all vehicle types'!$A$3:$A$11,'Latest MECs - all vehicle types'!$G$51:$G$59)</f>
        <v>13.5</v>
      </c>
      <c r="AY188" s="373">
        <f>LOOKUP(AY175,'Latest MECs - all vehicle types'!$A$3:$A$11,'Latest MECs - all vehicle types'!$G$51:$G$59)</f>
        <v>13.5</v>
      </c>
      <c r="AZ188" s="373">
        <f>LOOKUP(AZ175,'Latest MECs - all vehicle types'!$A$3:$A$11,'Latest MECs - all vehicle types'!$G$51:$G$59)</f>
        <v>13.5</v>
      </c>
      <c r="BA188" s="373">
        <f>LOOKUP(BA175,'Latest MECs - all vehicle types'!$A$3:$A$11,'Latest MECs - all vehicle types'!$G$51:$G$59)</f>
        <v>13.5</v>
      </c>
      <c r="BB188" s="373">
        <f>LOOKUP(BB175,'Latest MECs - all vehicle types'!$A$3:$A$11,'Latest MECs - all vehicle types'!$G$51:$G$59)</f>
        <v>13.5</v>
      </c>
      <c r="BC188" s="373">
        <f>LOOKUP(BC175,'Latest MECs - all vehicle types'!$A$3:$A$11,'Latest MECs - all vehicle types'!$G$51:$G$59)</f>
        <v>13.5</v>
      </c>
      <c r="BD188" s="373">
        <f>LOOKUP(BD175,'Latest MECs - all vehicle types'!$A$3:$A$11,'Latest MECs - all vehicle types'!$G$51:$G$59)</f>
        <v>13.5</v>
      </c>
      <c r="BE188" s="373">
        <f>LOOKUP(BE175,'Latest MECs - all vehicle types'!$A$3:$A$11,'Latest MECs - all vehicle types'!$G$51:$G$59)</f>
        <v>13.5</v>
      </c>
      <c r="BF188" s="373">
        <f>LOOKUP(BF175,'Latest MECs - all vehicle types'!$A$3:$A$11,'Latest MECs - all vehicle types'!$G$51:$G$59)</f>
        <v>13.5</v>
      </c>
      <c r="BG188" s="373">
        <f>LOOKUP(BG175,'Latest MECs - all vehicle types'!$A$3:$A$11,'Latest MECs - all vehicle types'!$G$51:$G$59)</f>
        <v>13.5</v>
      </c>
      <c r="BH188" s="373">
        <f>LOOKUP(BH175,'Latest MECs - all vehicle types'!$A$3:$A$11,'Latest MECs - all vehicle types'!$G$51:$G$59)</f>
        <v>13.5</v>
      </c>
      <c r="BI188" s="373">
        <f>LOOKUP(BI175,'Latest MECs - all vehicle types'!$A$3:$A$11,'Latest MECs - all vehicle types'!$G$51:$G$59)</f>
        <v>13.5</v>
      </c>
      <c r="BJ188" s="373">
        <f>LOOKUP(BJ175,'Latest MECs - all vehicle types'!$A$3:$A$11,'Latest MECs - all vehicle types'!$G$51:$G$59)</f>
        <v>13.5</v>
      </c>
      <c r="BK188" s="373">
        <f>LOOKUP(BK175,'Latest MECs - all vehicle types'!$A$3:$A$11,'Latest MECs - all vehicle types'!$G$51:$G$59)</f>
        <v>13.5</v>
      </c>
      <c r="BL188" s="373">
        <f>LOOKUP(BL175,'Latest MECs - all vehicle types'!$A$3:$A$11,'Latest MECs - all vehicle types'!$G$51:$G$59)</f>
        <v>13.5</v>
      </c>
      <c r="BM188" s="373">
        <f>LOOKUP(BM175,'Latest MECs - all vehicle types'!$A$3:$A$11,'Latest MECs - all vehicle types'!$G$51:$G$59)</f>
        <v>13.5</v>
      </c>
      <c r="BN188" s="373">
        <f>LOOKUP(BN175,'Latest MECs - all vehicle types'!$A$3:$A$11,'Latest MECs - all vehicle types'!$G$51:$G$59)</f>
        <v>13.5</v>
      </c>
      <c r="BO188" s="373">
        <f>LOOKUP(BO175,'Latest MECs - all vehicle types'!$A$3:$A$11,'Latest MECs - all vehicle types'!$G$51:$G$59)</f>
        <v>13.5</v>
      </c>
      <c r="BP188" s="373">
        <f>LOOKUP(BP175,'Latest MECs - all vehicle types'!$A$3:$A$11,'Latest MECs - all vehicle types'!$G$51:$G$59)</f>
        <v>13.5</v>
      </c>
      <c r="BQ188" s="373">
        <f>LOOKUP(BQ175,'Latest MECs - all vehicle types'!$A$3:$A$11,'Latest MECs - all vehicle types'!$G$51:$G$59)</f>
        <v>13.5</v>
      </c>
      <c r="BR188" s="373">
        <f>LOOKUP(BR175,'Latest MECs - all vehicle types'!$A$3:$A$11,'Latest MECs - all vehicle types'!$G$51:$G$59)</f>
        <v>13.5</v>
      </c>
      <c r="BS188" s="373">
        <f>LOOKUP(BS175,'Latest MECs - all vehicle types'!$A$3:$A$11,'Latest MECs - all vehicle types'!$G$51:$G$59)</f>
        <v>13.5</v>
      </c>
      <c r="BT188" s="373">
        <f>LOOKUP(BT175,'Latest MECs - all vehicle types'!$A$3:$A$11,'Latest MECs - all vehicle types'!$G$51:$G$59)</f>
        <v>13.5</v>
      </c>
      <c r="BU188" s="373">
        <f>LOOKUP(BU175,'Latest MECs - all vehicle types'!$A$3:$A$11,'Latest MECs - all vehicle types'!$G$51:$G$59)</f>
        <v>13.5</v>
      </c>
      <c r="BV188" s="373">
        <f>LOOKUP(BV175,'Latest MECs - all vehicle types'!$A$3:$A$11,'Latest MECs - all vehicle types'!$G$51:$G$59)</f>
        <v>13.5</v>
      </c>
      <c r="BW188" s="373">
        <f>LOOKUP(BW175,'Latest MECs - all vehicle types'!$A$3:$A$11,'Latest MECs - all vehicle types'!$G$51:$G$59)</f>
        <v>13.5</v>
      </c>
      <c r="BX188" s="373">
        <f>LOOKUP(BX175,'Latest MECs - all vehicle types'!$A$3:$A$11,'Latest MECs - all vehicle types'!$G$51:$G$59)</f>
        <v>13.5</v>
      </c>
      <c r="BY188" s="373">
        <f>LOOKUP(BY175,'Latest MECs - all vehicle types'!$A$3:$A$11,'Latest MECs - all vehicle types'!$G$51:$G$59)</f>
        <v>13.5</v>
      </c>
      <c r="BZ188" s="373">
        <f>LOOKUP(BZ175,'Latest MECs - all vehicle types'!$A$3:$A$11,'Latest MECs - all vehicle types'!$G$51:$G$59)</f>
        <v>13.5</v>
      </c>
      <c r="CA188" s="373">
        <f>LOOKUP(CA175,'Latest MECs - all vehicle types'!$A$3:$A$11,'Latest MECs - all vehicle types'!$G$51:$G$59)</f>
        <v>13.5</v>
      </c>
      <c r="CB188" s="373">
        <f>LOOKUP(CB175,'Latest MECs - all vehicle types'!$A$3:$A$11,'Latest MECs - all vehicle types'!$G$51:$G$59)</f>
        <v>13.5</v>
      </c>
      <c r="CC188" s="373">
        <f>LOOKUP(CC175,'Latest MECs - all vehicle types'!$A$3:$A$11,'Latest MECs - all vehicle types'!$G$51:$G$59)</f>
        <v>13.5</v>
      </c>
      <c r="CD188" s="373">
        <f>LOOKUP(CD175,'Latest MECs - all vehicle types'!$A$3:$A$11,'Latest MECs - all vehicle types'!$G$51:$G$59)</f>
        <v>13.5</v>
      </c>
      <c r="CE188" s="373">
        <f>LOOKUP(CE175,'Latest MECs - all vehicle types'!$A$3:$A$11,'Latest MECs - all vehicle types'!$G$51:$G$59)</f>
        <v>13.5</v>
      </c>
      <c r="CF188" s="373">
        <f>LOOKUP(CF175,'Latest MECs - all vehicle types'!$A$3:$A$11,'Latest MECs - all vehicle types'!$G$51:$G$59)</f>
        <v>13.5</v>
      </c>
    </row>
    <row r="190" spans="3:84">
      <c r="J190" s="888"/>
    </row>
    <row r="191" spans="3:84">
      <c r="C191" s="360" t="s">
        <v>363</v>
      </c>
    </row>
    <row r="192" spans="3:84">
      <c r="D192" s="372"/>
      <c r="E192" s="372">
        <v>2010</v>
      </c>
      <c r="F192" s="372">
        <v>2011</v>
      </c>
      <c r="G192" s="372">
        <v>2012</v>
      </c>
      <c r="H192" s="372">
        <v>2013</v>
      </c>
      <c r="I192" s="372">
        <v>2014</v>
      </c>
      <c r="J192" s="372">
        <v>2015</v>
      </c>
      <c r="K192" s="372">
        <v>2016</v>
      </c>
      <c r="L192" s="372">
        <v>2017</v>
      </c>
      <c r="M192" s="372">
        <v>2018</v>
      </c>
      <c r="N192" s="372">
        <v>2019</v>
      </c>
      <c r="O192" s="372">
        <v>2020</v>
      </c>
      <c r="P192" s="372">
        <v>2021</v>
      </c>
      <c r="Q192" s="372">
        <v>2022</v>
      </c>
      <c r="R192" s="372">
        <v>2023</v>
      </c>
      <c r="S192" s="372">
        <v>2024</v>
      </c>
      <c r="T192" s="372">
        <v>2025</v>
      </c>
      <c r="U192" s="372">
        <v>2026</v>
      </c>
      <c r="V192" s="372">
        <v>2027</v>
      </c>
      <c r="W192" s="372">
        <v>2028</v>
      </c>
      <c r="X192" s="372">
        <v>2029</v>
      </c>
      <c r="Y192" s="372">
        <v>2030</v>
      </c>
      <c r="Z192" s="372">
        <v>2031</v>
      </c>
      <c r="AA192" s="372">
        <v>2032</v>
      </c>
      <c r="AB192" s="372">
        <v>2033</v>
      </c>
      <c r="AC192" s="372">
        <v>2034</v>
      </c>
      <c r="AD192" s="372">
        <v>2035</v>
      </c>
      <c r="AE192" s="372">
        <v>2036</v>
      </c>
      <c r="AF192" s="372">
        <v>2037</v>
      </c>
      <c r="AG192" s="372">
        <v>2038</v>
      </c>
      <c r="AH192" s="372">
        <v>2039</v>
      </c>
      <c r="AI192" s="372">
        <v>2040</v>
      </c>
      <c r="AJ192" s="372">
        <v>2041</v>
      </c>
      <c r="AK192" s="372">
        <v>2042</v>
      </c>
      <c r="AL192" s="372">
        <v>2043</v>
      </c>
      <c r="AM192" s="372">
        <v>2044</v>
      </c>
      <c r="AN192" s="372">
        <v>2045</v>
      </c>
      <c r="AO192" s="372">
        <v>2046</v>
      </c>
      <c r="AP192" s="372">
        <v>2047</v>
      </c>
      <c r="AQ192" s="372">
        <v>2048</v>
      </c>
      <c r="AR192" s="372">
        <v>2049</v>
      </c>
      <c r="AS192" s="372">
        <v>2050</v>
      </c>
      <c r="AT192" s="372">
        <v>2051</v>
      </c>
      <c r="AU192" s="372">
        <v>2052</v>
      </c>
      <c r="AV192" s="372">
        <v>2053</v>
      </c>
      <c r="AW192" s="372">
        <v>2054</v>
      </c>
      <c r="AX192" s="372">
        <v>2055</v>
      </c>
      <c r="AY192" s="372">
        <v>2056</v>
      </c>
      <c r="AZ192" s="372">
        <v>2057</v>
      </c>
      <c r="BA192" s="372">
        <v>2058</v>
      </c>
      <c r="BB192" s="372">
        <v>2059</v>
      </c>
      <c r="BC192" s="372">
        <v>2060</v>
      </c>
      <c r="BD192" s="372">
        <v>2061</v>
      </c>
      <c r="BE192" s="372">
        <v>2062</v>
      </c>
      <c r="BF192" s="372">
        <v>2063</v>
      </c>
      <c r="BG192" s="372">
        <v>2064</v>
      </c>
      <c r="BH192" s="372">
        <v>2065</v>
      </c>
      <c r="BI192" s="372">
        <v>2066</v>
      </c>
      <c r="BJ192" s="372">
        <v>2067</v>
      </c>
      <c r="BK192" s="372">
        <v>2068</v>
      </c>
      <c r="BL192" s="372">
        <v>2069</v>
      </c>
      <c r="BM192" s="372">
        <v>2070</v>
      </c>
      <c r="BN192" s="372">
        <v>2071</v>
      </c>
      <c r="BO192" s="372">
        <v>2072</v>
      </c>
      <c r="BP192" s="372">
        <v>2073</v>
      </c>
      <c r="BQ192" s="372">
        <v>2074</v>
      </c>
      <c r="BR192" s="372">
        <v>2075</v>
      </c>
      <c r="BS192" s="372">
        <v>2076</v>
      </c>
      <c r="BT192" s="372">
        <v>2077</v>
      </c>
      <c r="BU192" s="372">
        <v>2078</v>
      </c>
      <c r="BV192" s="372">
        <v>2079</v>
      </c>
      <c r="BW192" s="372">
        <v>2080</v>
      </c>
      <c r="BX192" s="372">
        <v>2081</v>
      </c>
      <c r="BY192" s="372">
        <v>2082</v>
      </c>
      <c r="BZ192" s="372">
        <v>2083</v>
      </c>
      <c r="CA192" s="372">
        <v>2084</v>
      </c>
      <c r="CB192" s="372">
        <v>2085</v>
      </c>
      <c r="CC192" s="372">
        <v>2086</v>
      </c>
      <c r="CD192" s="372">
        <v>2087</v>
      </c>
      <c r="CE192" s="372">
        <v>2088</v>
      </c>
      <c r="CF192" s="372">
        <v>2089</v>
      </c>
    </row>
    <row r="193" spans="2:84">
      <c r="D193" s="373" t="s">
        <v>87</v>
      </c>
      <c r="E193" s="373">
        <f t="shared" ref="E193:AJ193" si="144">$E14*$E$11*E$183/100</f>
        <v>0</v>
      </c>
      <c r="F193" s="373">
        <f t="shared" si="144"/>
        <v>0</v>
      </c>
      <c r="G193" s="373">
        <f t="shared" si="144"/>
        <v>0</v>
      </c>
      <c r="H193" s="373">
        <f t="shared" si="144"/>
        <v>0</v>
      </c>
      <c r="I193" s="373">
        <f t="shared" si="144"/>
        <v>0</v>
      </c>
      <c r="J193" s="373">
        <f t="shared" si="144"/>
        <v>0</v>
      </c>
      <c r="K193" s="373">
        <f t="shared" si="144"/>
        <v>0</v>
      </c>
      <c r="L193" s="373">
        <f t="shared" si="144"/>
        <v>0</v>
      </c>
      <c r="M193" s="373">
        <f t="shared" si="144"/>
        <v>0</v>
      </c>
      <c r="N193" s="373">
        <f t="shared" si="144"/>
        <v>0</v>
      </c>
      <c r="O193" s="373">
        <f t="shared" si="144"/>
        <v>0</v>
      </c>
      <c r="P193" s="373">
        <f t="shared" si="144"/>
        <v>0</v>
      </c>
      <c r="Q193" s="373">
        <f t="shared" si="144"/>
        <v>0</v>
      </c>
      <c r="R193" s="373">
        <f t="shared" si="144"/>
        <v>0</v>
      </c>
      <c r="S193" s="373">
        <f t="shared" si="144"/>
        <v>0</v>
      </c>
      <c r="T193" s="373">
        <f t="shared" si="144"/>
        <v>0</v>
      </c>
      <c r="U193" s="373">
        <f t="shared" si="144"/>
        <v>0</v>
      </c>
      <c r="V193" s="373">
        <f t="shared" si="144"/>
        <v>0</v>
      </c>
      <c r="W193" s="373">
        <f t="shared" si="144"/>
        <v>0</v>
      </c>
      <c r="X193" s="373">
        <f t="shared" si="144"/>
        <v>0</v>
      </c>
      <c r="Y193" s="373">
        <f t="shared" si="144"/>
        <v>0</v>
      </c>
      <c r="Z193" s="373">
        <f t="shared" si="144"/>
        <v>0</v>
      </c>
      <c r="AA193" s="373">
        <f t="shared" si="144"/>
        <v>0</v>
      </c>
      <c r="AB193" s="373">
        <f t="shared" si="144"/>
        <v>0</v>
      </c>
      <c r="AC193" s="373">
        <f t="shared" si="144"/>
        <v>0</v>
      </c>
      <c r="AD193" s="373">
        <f t="shared" si="144"/>
        <v>0</v>
      </c>
      <c r="AE193" s="373">
        <f t="shared" si="144"/>
        <v>0</v>
      </c>
      <c r="AF193" s="373">
        <f t="shared" si="144"/>
        <v>0</v>
      </c>
      <c r="AG193" s="373">
        <f t="shared" si="144"/>
        <v>0</v>
      </c>
      <c r="AH193" s="373">
        <f t="shared" si="144"/>
        <v>0</v>
      </c>
      <c r="AI193" s="373">
        <f t="shared" si="144"/>
        <v>0</v>
      </c>
      <c r="AJ193" s="373">
        <f t="shared" si="144"/>
        <v>0</v>
      </c>
      <c r="AK193" s="373">
        <f t="shared" ref="AK193:BP193" si="145">$E14*$E$11*AK$183/100</f>
        <v>0</v>
      </c>
      <c r="AL193" s="373">
        <f t="shared" si="145"/>
        <v>0</v>
      </c>
      <c r="AM193" s="373">
        <f t="shared" si="145"/>
        <v>0</v>
      </c>
      <c r="AN193" s="373">
        <f t="shared" si="145"/>
        <v>0</v>
      </c>
      <c r="AO193" s="373">
        <f t="shared" si="145"/>
        <v>0</v>
      </c>
      <c r="AP193" s="373">
        <f t="shared" si="145"/>
        <v>0</v>
      </c>
      <c r="AQ193" s="373">
        <f t="shared" si="145"/>
        <v>0</v>
      </c>
      <c r="AR193" s="373">
        <f t="shared" si="145"/>
        <v>0</v>
      </c>
      <c r="AS193" s="373">
        <f t="shared" si="145"/>
        <v>0</v>
      </c>
      <c r="AT193" s="373">
        <f t="shared" si="145"/>
        <v>0</v>
      </c>
      <c r="AU193" s="373">
        <f t="shared" si="145"/>
        <v>0</v>
      </c>
      <c r="AV193" s="373">
        <f t="shared" si="145"/>
        <v>0</v>
      </c>
      <c r="AW193" s="373">
        <f t="shared" si="145"/>
        <v>0</v>
      </c>
      <c r="AX193" s="373">
        <f t="shared" si="145"/>
        <v>0</v>
      </c>
      <c r="AY193" s="373">
        <f t="shared" si="145"/>
        <v>0</v>
      </c>
      <c r="AZ193" s="373">
        <f t="shared" si="145"/>
        <v>0</v>
      </c>
      <c r="BA193" s="373">
        <f t="shared" si="145"/>
        <v>0</v>
      </c>
      <c r="BB193" s="373">
        <f t="shared" si="145"/>
        <v>0</v>
      </c>
      <c r="BC193" s="373">
        <f t="shared" si="145"/>
        <v>0</v>
      </c>
      <c r="BD193" s="373">
        <f t="shared" si="145"/>
        <v>0</v>
      </c>
      <c r="BE193" s="373">
        <f t="shared" si="145"/>
        <v>0</v>
      </c>
      <c r="BF193" s="373">
        <f t="shared" si="145"/>
        <v>0</v>
      </c>
      <c r="BG193" s="373">
        <f t="shared" si="145"/>
        <v>0</v>
      </c>
      <c r="BH193" s="373">
        <f t="shared" si="145"/>
        <v>0</v>
      </c>
      <c r="BI193" s="373">
        <f t="shared" si="145"/>
        <v>0</v>
      </c>
      <c r="BJ193" s="373">
        <f t="shared" si="145"/>
        <v>0</v>
      </c>
      <c r="BK193" s="373">
        <f t="shared" si="145"/>
        <v>0</v>
      </c>
      <c r="BL193" s="373">
        <f t="shared" si="145"/>
        <v>0</v>
      </c>
      <c r="BM193" s="373">
        <f t="shared" si="145"/>
        <v>0</v>
      </c>
      <c r="BN193" s="373">
        <f t="shared" si="145"/>
        <v>0</v>
      </c>
      <c r="BO193" s="373">
        <f t="shared" si="145"/>
        <v>0</v>
      </c>
      <c r="BP193" s="373">
        <f t="shared" si="145"/>
        <v>0</v>
      </c>
      <c r="BQ193" s="373">
        <f t="shared" ref="BQ193:CF193" si="146">$E14*$E$11*BQ$183/100</f>
        <v>0</v>
      </c>
      <c r="BR193" s="373">
        <f t="shared" si="146"/>
        <v>0</v>
      </c>
      <c r="BS193" s="373">
        <f t="shared" si="146"/>
        <v>0</v>
      </c>
      <c r="BT193" s="373">
        <f t="shared" si="146"/>
        <v>0</v>
      </c>
      <c r="BU193" s="373">
        <f t="shared" si="146"/>
        <v>0</v>
      </c>
      <c r="BV193" s="373">
        <f t="shared" si="146"/>
        <v>0</v>
      </c>
      <c r="BW193" s="373">
        <f t="shared" si="146"/>
        <v>0</v>
      </c>
      <c r="BX193" s="373">
        <f t="shared" si="146"/>
        <v>0</v>
      </c>
      <c r="BY193" s="373">
        <f t="shared" si="146"/>
        <v>0</v>
      </c>
      <c r="BZ193" s="373">
        <f t="shared" si="146"/>
        <v>0</v>
      </c>
      <c r="CA193" s="373">
        <f t="shared" si="146"/>
        <v>0</v>
      </c>
      <c r="CB193" s="373">
        <f t="shared" si="146"/>
        <v>0</v>
      </c>
      <c r="CC193" s="373">
        <f t="shared" si="146"/>
        <v>0</v>
      </c>
      <c r="CD193" s="373">
        <f t="shared" si="146"/>
        <v>0</v>
      </c>
      <c r="CE193" s="373">
        <f t="shared" si="146"/>
        <v>0</v>
      </c>
      <c r="CF193" s="373">
        <f t="shared" si="146"/>
        <v>0</v>
      </c>
    </row>
    <row r="194" spans="2:84">
      <c r="D194" s="373" t="s">
        <v>89</v>
      </c>
      <c r="E194" s="373">
        <f t="shared" ref="E194:AJ194" si="147">$E15*$E$11*E$183/100</f>
        <v>0</v>
      </c>
      <c r="F194" s="373">
        <f t="shared" si="147"/>
        <v>0</v>
      </c>
      <c r="G194" s="373">
        <f t="shared" si="147"/>
        <v>0</v>
      </c>
      <c r="H194" s="373">
        <f t="shared" si="147"/>
        <v>0</v>
      </c>
      <c r="I194" s="373">
        <f t="shared" si="147"/>
        <v>0</v>
      </c>
      <c r="J194" s="373">
        <f t="shared" si="147"/>
        <v>0</v>
      </c>
      <c r="K194" s="373">
        <f t="shared" si="147"/>
        <v>0</v>
      </c>
      <c r="L194" s="373">
        <f t="shared" si="147"/>
        <v>0</v>
      </c>
      <c r="M194" s="373">
        <f t="shared" si="147"/>
        <v>0</v>
      </c>
      <c r="N194" s="373">
        <f t="shared" si="147"/>
        <v>0</v>
      </c>
      <c r="O194" s="373">
        <f t="shared" si="147"/>
        <v>0</v>
      </c>
      <c r="P194" s="373">
        <f t="shared" si="147"/>
        <v>0</v>
      </c>
      <c r="Q194" s="373">
        <f t="shared" si="147"/>
        <v>0</v>
      </c>
      <c r="R194" s="373">
        <f t="shared" si="147"/>
        <v>0</v>
      </c>
      <c r="S194" s="373">
        <f t="shared" si="147"/>
        <v>0</v>
      </c>
      <c r="T194" s="373">
        <f t="shared" si="147"/>
        <v>0</v>
      </c>
      <c r="U194" s="373">
        <f t="shared" si="147"/>
        <v>0</v>
      </c>
      <c r="V194" s="373">
        <f t="shared" si="147"/>
        <v>0</v>
      </c>
      <c r="W194" s="373">
        <f t="shared" si="147"/>
        <v>0</v>
      </c>
      <c r="X194" s="373">
        <f t="shared" si="147"/>
        <v>0</v>
      </c>
      <c r="Y194" s="373">
        <f t="shared" si="147"/>
        <v>0</v>
      </c>
      <c r="Z194" s="373">
        <f t="shared" si="147"/>
        <v>0</v>
      </c>
      <c r="AA194" s="373">
        <f t="shared" si="147"/>
        <v>0</v>
      </c>
      <c r="AB194" s="373">
        <f t="shared" si="147"/>
        <v>0</v>
      </c>
      <c r="AC194" s="373">
        <f t="shared" si="147"/>
        <v>0</v>
      </c>
      <c r="AD194" s="373">
        <f t="shared" si="147"/>
        <v>0</v>
      </c>
      <c r="AE194" s="373">
        <f t="shared" si="147"/>
        <v>0</v>
      </c>
      <c r="AF194" s="373">
        <f t="shared" si="147"/>
        <v>0</v>
      </c>
      <c r="AG194" s="373">
        <f t="shared" si="147"/>
        <v>0</v>
      </c>
      <c r="AH194" s="373">
        <f t="shared" si="147"/>
        <v>0</v>
      </c>
      <c r="AI194" s="373">
        <f t="shared" si="147"/>
        <v>0</v>
      </c>
      <c r="AJ194" s="373">
        <f t="shared" si="147"/>
        <v>0</v>
      </c>
      <c r="AK194" s="373">
        <f t="shared" ref="AK194:BP194" si="148">$E15*$E$11*AK$183/100</f>
        <v>0</v>
      </c>
      <c r="AL194" s="373">
        <f t="shared" si="148"/>
        <v>0</v>
      </c>
      <c r="AM194" s="373">
        <f t="shared" si="148"/>
        <v>0</v>
      </c>
      <c r="AN194" s="373">
        <f t="shared" si="148"/>
        <v>0</v>
      </c>
      <c r="AO194" s="373">
        <f t="shared" si="148"/>
        <v>0</v>
      </c>
      <c r="AP194" s="373">
        <f t="shared" si="148"/>
        <v>0</v>
      </c>
      <c r="AQ194" s="373">
        <f t="shared" si="148"/>
        <v>0</v>
      </c>
      <c r="AR194" s="373">
        <f t="shared" si="148"/>
        <v>0</v>
      </c>
      <c r="AS194" s="373">
        <f t="shared" si="148"/>
        <v>0</v>
      </c>
      <c r="AT194" s="373">
        <f t="shared" si="148"/>
        <v>0</v>
      </c>
      <c r="AU194" s="373">
        <f t="shared" si="148"/>
        <v>0</v>
      </c>
      <c r="AV194" s="373">
        <f t="shared" si="148"/>
        <v>0</v>
      </c>
      <c r="AW194" s="373">
        <f t="shared" si="148"/>
        <v>0</v>
      </c>
      <c r="AX194" s="373">
        <f t="shared" si="148"/>
        <v>0</v>
      </c>
      <c r="AY194" s="373">
        <f t="shared" si="148"/>
        <v>0</v>
      </c>
      <c r="AZ194" s="373">
        <f t="shared" si="148"/>
        <v>0</v>
      </c>
      <c r="BA194" s="373">
        <f t="shared" si="148"/>
        <v>0</v>
      </c>
      <c r="BB194" s="373">
        <f t="shared" si="148"/>
        <v>0</v>
      </c>
      <c r="BC194" s="373">
        <f t="shared" si="148"/>
        <v>0</v>
      </c>
      <c r="BD194" s="373">
        <f t="shared" si="148"/>
        <v>0</v>
      </c>
      <c r="BE194" s="373">
        <f t="shared" si="148"/>
        <v>0</v>
      </c>
      <c r="BF194" s="373">
        <f t="shared" si="148"/>
        <v>0</v>
      </c>
      <c r="BG194" s="373">
        <f t="shared" si="148"/>
        <v>0</v>
      </c>
      <c r="BH194" s="373">
        <f t="shared" si="148"/>
        <v>0</v>
      </c>
      <c r="BI194" s="373">
        <f t="shared" si="148"/>
        <v>0</v>
      </c>
      <c r="BJ194" s="373">
        <f t="shared" si="148"/>
        <v>0</v>
      </c>
      <c r="BK194" s="373">
        <f t="shared" si="148"/>
        <v>0</v>
      </c>
      <c r="BL194" s="373">
        <f t="shared" si="148"/>
        <v>0</v>
      </c>
      <c r="BM194" s="373">
        <f t="shared" si="148"/>
        <v>0</v>
      </c>
      <c r="BN194" s="373">
        <f t="shared" si="148"/>
        <v>0</v>
      </c>
      <c r="BO194" s="373">
        <f t="shared" si="148"/>
        <v>0</v>
      </c>
      <c r="BP194" s="373">
        <f t="shared" si="148"/>
        <v>0</v>
      </c>
      <c r="BQ194" s="373">
        <f t="shared" ref="BQ194:CF194" si="149">$E15*$E$11*BQ$183/100</f>
        <v>0</v>
      </c>
      <c r="BR194" s="373">
        <f t="shared" si="149"/>
        <v>0</v>
      </c>
      <c r="BS194" s="373">
        <f t="shared" si="149"/>
        <v>0</v>
      </c>
      <c r="BT194" s="373">
        <f t="shared" si="149"/>
        <v>0</v>
      </c>
      <c r="BU194" s="373">
        <f t="shared" si="149"/>
        <v>0</v>
      </c>
      <c r="BV194" s="373">
        <f t="shared" si="149"/>
        <v>0</v>
      </c>
      <c r="BW194" s="373">
        <f t="shared" si="149"/>
        <v>0</v>
      </c>
      <c r="BX194" s="373">
        <f t="shared" si="149"/>
        <v>0</v>
      </c>
      <c r="BY194" s="373">
        <f t="shared" si="149"/>
        <v>0</v>
      </c>
      <c r="BZ194" s="373">
        <f t="shared" si="149"/>
        <v>0</v>
      </c>
      <c r="CA194" s="373">
        <f t="shared" si="149"/>
        <v>0</v>
      </c>
      <c r="CB194" s="373">
        <f t="shared" si="149"/>
        <v>0</v>
      </c>
      <c r="CC194" s="373">
        <f t="shared" si="149"/>
        <v>0</v>
      </c>
      <c r="CD194" s="373">
        <f t="shared" si="149"/>
        <v>0</v>
      </c>
      <c r="CE194" s="373">
        <f t="shared" si="149"/>
        <v>0</v>
      </c>
      <c r="CF194" s="373">
        <f t="shared" si="149"/>
        <v>0</v>
      </c>
    </row>
    <row r="195" spans="2:84">
      <c r="D195" s="373" t="s">
        <v>91</v>
      </c>
      <c r="E195" s="373">
        <f t="shared" ref="E195:AJ195" si="150">$E16*$E$11*E$183/100</f>
        <v>0</v>
      </c>
      <c r="F195" s="373">
        <f t="shared" si="150"/>
        <v>0</v>
      </c>
      <c r="G195" s="373">
        <f t="shared" si="150"/>
        <v>0</v>
      </c>
      <c r="H195" s="373">
        <f t="shared" si="150"/>
        <v>0</v>
      </c>
      <c r="I195" s="373">
        <f t="shared" si="150"/>
        <v>0</v>
      </c>
      <c r="J195" s="373">
        <f t="shared" si="150"/>
        <v>0</v>
      </c>
      <c r="K195" s="373">
        <f t="shared" si="150"/>
        <v>0</v>
      </c>
      <c r="L195" s="373">
        <f t="shared" si="150"/>
        <v>0</v>
      </c>
      <c r="M195" s="373">
        <f t="shared" si="150"/>
        <v>0</v>
      </c>
      <c r="N195" s="373">
        <f t="shared" si="150"/>
        <v>0</v>
      </c>
      <c r="O195" s="373">
        <f t="shared" si="150"/>
        <v>0</v>
      </c>
      <c r="P195" s="373">
        <f t="shared" si="150"/>
        <v>0</v>
      </c>
      <c r="Q195" s="373">
        <f t="shared" si="150"/>
        <v>0</v>
      </c>
      <c r="R195" s="373">
        <f t="shared" si="150"/>
        <v>0</v>
      </c>
      <c r="S195" s="373">
        <f t="shared" si="150"/>
        <v>0</v>
      </c>
      <c r="T195" s="373">
        <f t="shared" si="150"/>
        <v>0</v>
      </c>
      <c r="U195" s="373">
        <f t="shared" si="150"/>
        <v>0</v>
      </c>
      <c r="V195" s="373">
        <f t="shared" si="150"/>
        <v>0</v>
      </c>
      <c r="W195" s="373">
        <f t="shared" si="150"/>
        <v>0</v>
      </c>
      <c r="X195" s="373">
        <f t="shared" si="150"/>
        <v>0</v>
      </c>
      <c r="Y195" s="373">
        <f t="shared" si="150"/>
        <v>0</v>
      </c>
      <c r="Z195" s="373">
        <f t="shared" si="150"/>
        <v>0</v>
      </c>
      <c r="AA195" s="373">
        <f t="shared" si="150"/>
        <v>0</v>
      </c>
      <c r="AB195" s="373">
        <f t="shared" si="150"/>
        <v>0</v>
      </c>
      <c r="AC195" s="373">
        <f t="shared" si="150"/>
        <v>0</v>
      </c>
      <c r="AD195" s="373">
        <f t="shared" si="150"/>
        <v>0</v>
      </c>
      <c r="AE195" s="373">
        <f t="shared" si="150"/>
        <v>0</v>
      </c>
      <c r="AF195" s="373">
        <f t="shared" si="150"/>
        <v>0</v>
      </c>
      <c r="AG195" s="373">
        <f t="shared" si="150"/>
        <v>0</v>
      </c>
      <c r="AH195" s="373">
        <f t="shared" si="150"/>
        <v>0</v>
      </c>
      <c r="AI195" s="373">
        <f t="shared" si="150"/>
        <v>0</v>
      </c>
      <c r="AJ195" s="373">
        <f t="shared" si="150"/>
        <v>0</v>
      </c>
      <c r="AK195" s="373">
        <f t="shared" ref="AK195:BP195" si="151">$E16*$E$11*AK$183/100</f>
        <v>0</v>
      </c>
      <c r="AL195" s="373">
        <f t="shared" si="151"/>
        <v>0</v>
      </c>
      <c r="AM195" s="373">
        <f t="shared" si="151"/>
        <v>0</v>
      </c>
      <c r="AN195" s="373">
        <f t="shared" si="151"/>
        <v>0</v>
      </c>
      <c r="AO195" s="373">
        <f t="shared" si="151"/>
        <v>0</v>
      </c>
      <c r="AP195" s="373">
        <f t="shared" si="151"/>
        <v>0</v>
      </c>
      <c r="AQ195" s="373">
        <f t="shared" si="151"/>
        <v>0</v>
      </c>
      <c r="AR195" s="373">
        <f t="shared" si="151"/>
        <v>0</v>
      </c>
      <c r="AS195" s="373">
        <f t="shared" si="151"/>
        <v>0</v>
      </c>
      <c r="AT195" s="373">
        <f t="shared" si="151"/>
        <v>0</v>
      </c>
      <c r="AU195" s="373">
        <f t="shared" si="151"/>
        <v>0</v>
      </c>
      <c r="AV195" s="373">
        <f t="shared" si="151"/>
        <v>0</v>
      </c>
      <c r="AW195" s="373">
        <f t="shared" si="151"/>
        <v>0</v>
      </c>
      <c r="AX195" s="373">
        <f t="shared" si="151"/>
        <v>0</v>
      </c>
      <c r="AY195" s="373">
        <f t="shared" si="151"/>
        <v>0</v>
      </c>
      <c r="AZ195" s="373">
        <f t="shared" si="151"/>
        <v>0</v>
      </c>
      <c r="BA195" s="373">
        <f t="shared" si="151"/>
        <v>0</v>
      </c>
      <c r="BB195" s="373">
        <f t="shared" si="151"/>
        <v>0</v>
      </c>
      <c r="BC195" s="373">
        <f t="shared" si="151"/>
        <v>0</v>
      </c>
      <c r="BD195" s="373">
        <f t="shared" si="151"/>
        <v>0</v>
      </c>
      <c r="BE195" s="373">
        <f t="shared" si="151"/>
        <v>0</v>
      </c>
      <c r="BF195" s="373">
        <f t="shared" si="151"/>
        <v>0</v>
      </c>
      <c r="BG195" s="373">
        <f t="shared" si="151"/>
        <v>0</v>
      </c>
      <c r="BH195" s="373">
        <f t="shared" si="151"/>
        <v>0</v>
      </c>
      <c r="BI195" s="373">
        <f t="shared" si="151"/>
        <v>0</v>
      </c>
      <c r="BJ195" s="373">
        <f t="shared" si="151"/>
        <v>0</v>
      </c>
      <c r="BK195" s="373">
        <f t="shared" si="151"/>
        <v>0</v>
      </c>
      <c r="BL195" s="373">
        <f t="shared" si="151"/>
        <v>0</v>
      </c>
      <c r="BM195" s="373">
        <f t="shared" si="151"/>
        <v>0</v>
      </c>
      <c r="BN195" s="373">
        <f t="shared" si="151"/>
        <v>0</v>
      </c>
      <c r="BO195" s="373">
        <f t="shared" si="151"/>
        <v>0</v>
      </c>
      <c r="BP195" s="373">
        <f t="shared" si="151"/>
        <v>0</v>
      </c>
      <c r="BQ195" s="373">
        <f t="shared" ref="BQ195:CF195" si="152">$E16*$E$11*BQ$183/100</f>
        <v>0</v>
      </c>
      <c r="BR195" s="373">
        <f t="shared" si="152"/>
        <v>0</v>
      </c>
      <c r="BS195" s="373">
        <f t="shared" si="152"/>
        <v>0</v>
      </c>
      <c r="BT195" s="373">
        <f t="shared" si="152"/>
        <v>0</v>
      </c>
      <c r="BU195" s="373">
        <f t="shared" si="152"/>
        <v>0</v>
      </c>
      <c r="BV195" s="373">
        <f t="shared" si="152"/>
        <v>0</v>
      </c>
      <c r="BW195" s="373">
        <f t="shared" si="152"/>
        <v>0</v>
      </c>
      <c r="BX195" s="373">
        <f t="shared" si="152"/>
        <v>0</v>
      </c>
      <c r="BY195" s="373">
        <f t="shared" si="152"/>
        <v>0</v>
      </c>
      <c r="BZ195" s="373">
        <f t="shared" si="152"/>
        <v>0</v>
      </c>
      <c r="CA195" s="373">
        <f t="shared" si="152"/>
        <v>0</v>
      </c>
      <c r="CB195" s="373">
        <f t="shared" si="152"/>
        <v>0</v>
      </c>
      <c r="CC195" s="373">
        <f t="shared" si="152"/>
        <v>0</v>
      </c>
      <c r="CD195" s="373">
        <f t="shared" si="152"/>
        <v>0</v>
      </c>
      <c r="CE195" s="373">
        <f t="shared" si="152"/>
        <v>0</v>
      </c>
      <c r="CF195" s="373">
        <f t="shared" si="152"/>
        <v>0</v>
      </c>
    </row>
    <row r="196" spans="2:84">
      <c r="D196" s="373" t="s">
        <v>93</v>
      </c>
      <c r="E196" s="373">
        <f t="shared" ref="E196:AJ196" si="153">$E17*$E$11*E$183/100</f>
        <v>0</v>
      </c>
      <c r="F196" s="373">
        <f t="shared" si="153"/>
        <v>0</v>
      </c>
      <c r="G196" s="373">
        <f t="shared" si="153"/>
        <v>0</v>
      </c>
      <c r="H196" s="373">
        <f t="shared" si="153"/>
        <v>0</v>
      </c>
      <c r="I196" s="373">
        <f t="shared" si="153"/>
        <v>0</v>
      </c>
      <c r="J196" s="373">
        <f t="shared" si="153"/>
        <v>0</v>
      </c>
      <c r="K196" s="373">
        <f t="shared" si="153"/>
        <v>0</v>
      </c>
      <c r="L196" s="373">
        <f t="shared" si="153"/>
        <v>0</v>
      </c>
      <c r="M196" s="373">
        <f t="shared" si="153"/>
        <v>0</v>
      </c>
      <c r="N196" s="373">
        <f t="shared" si="153"/>
        <v>0</v>
      </c>
      <c r="O196" s="373">
        <f t="shared" si="153"/>
        <v>0</v>
      </c>
      <c r="P196" s="373">
        <f t="shared" si="153"/>
        <v>0</v>
      </c>
      <c r="Q196" s="373">
        <f t="shared" si="153"/>
        <v>0</v>
      </c>
      <c r="R196" s="373">
        <f t="shared" si="153"/>
        <v>0</v>
      </c>
      <c r="S196" s="373">
        <f t="shared" si="153"/>
        <v>0</v>
      </c>
      <c r="T196" s="373">
        <f t="shared" si="153"/>
        <v>0</v>
      </c>
      <c r="U196" s="373">
        <f t="shared" si="153"/>
        <v>0</v>
      </c>
      <c r="V196" s="373">
        <f t="shared" si="153"/>
        <v>0</v>
      </c>
      <c r="W196" s="373">
        <f t="shared" si="153"/>
        <v>0</v>
      </c>
      <c r="X196" s="373">
        <f t="shared" si="153"/>
        <v>0</v>
      </c>
      <c r="Y196" s="373">
        <f t="shared" si="153"/>
        <v>0</v>
      </c>
      <c r="Z196" s="373">
        <f t="shared" si="153"/>
        <v>0</v>
      </c>
      <c r="AA196" s="373">
        <f t="shared" si="153"/>
        <v>0</v>
      </c>
      <c r="AB196" s="373">
        <f t="shared" si="153"/>
        <v>0</v>
      </c>
      <c r="AC196" s="373">
        <f t="shared" si="153"/>
        <v>0</v>
      </c>
      <c r="AD196" s="373">
        <f t="shared" si="153"/>
        <v>0</v>
      </c>
      <c r="AE196" s="373">
        <f t="shared" si="153"/>
        <v>0</v>
      </c>
      <c r="AF196" s="373">
        <f t="shared" si="153"/>
        <v>0</v>
      </c>
      <c r="AG196" s="373">
        <f t="shared" si="153"/>
        <v>0</v>
      </c>
      <c r="AH196" s="373">
        <f t="shared" si="153"/>
        <v>0</v>
      </c>
      <c r="AI196" s="373">
        <f t="shared" si="153"/>
        <v>0</v>
      </c>
      <c r="AJ196" s="373">
        <f t="shared" si="153"/>
        <v>0</v>
      </c>
      <c r="AK196" s="373">
        <f t="shared" ref="AK196:BP196" si="154">$E17*$E$11*AK$183/100</f>
        <v>0</v>
      </c>
      <c r="AL196" s="373">
        <f t="shared" si="154"/>
        <v>0</v>
      </c>
      <c r="AM196" s="373">
        <f t="shared" si="154"/>
        <v>0</v>
      </c>
      <c r="AN196" s="373">
        <f t="shared" si="154"/>
        <v>0</v>
      </c>
      <c r="AO196" s="373">
        <f t="shared" si="154"/>
        <v>0</v>
      </c>
      <c r="AP196" s="373">
        <f t="shared" si="154"/>
        <v>0</v>
      </c>
      <c r="AQ196" s="373">
        <f t="shared" si="154"/>
        <v>0</v>
      </c>
      <c r="AR196" s="373">
        <f t="shared" si="154"/>
        <v>0</v>
      </c>
      <c r="AS196" s="373">
        <f t="shared" si="154"/>
        <v>0</v>
      </c>
      <c r="AT196" s="373">
        <f t="shared" si="154"/>
        <v>0</v>
      </c>
      <c r="AU196" s="373">
        <f t="shared" si="154"/>
        <v>0</v>
      </c>
      <c r="AV196" s="373">
        <f t="shared" si="154"/>
        <v>0</v>
      </c>
      <c r="AW196" s="373">
        <f t="shared" si="154"/>
        <v>0</v>
      </c>
      <c r="AX196" s="373">
        <f t="shared" si="154"/>
        <v>0</v>
      </c>
      <c r="AY196" s="373">
        <f t="shared" si="154"/>
        <v>0</v>
      </c>
      <c r="AZ196" s="373">
        <f t="shared" si="154"/>
        <v>0</v>
      </c>
      <c r="BA196" s="373">
        <f t="shared" si="154"/>
        <v>0</v>
      </c>
      <c r="BB196" s="373">
        <f t="shared" si="154"/>
        <v>0</v>
      </c>
      <c r="BC196" s="373">
        <f t="shared" si="154"/>
        <v>0</v>
      </c>
      <c r="BD196" s="373">
        <f t="shared" si="154"/>
        <v>0</v>
      </c>
      <c r="BE196" s="373">
        <f t="shared" si="154"/>
        <v>0</v>
      </c>
      <c r="BF196" s="373">
        <f t="shared" si="154"/>
        <v>0</v>
      </c>
      <c r="BG196" s="373">
        <f t="shared" si="154"/>
        <v>0</v>
      </c>
      <c r="BH196" s="373">
        <f t="shared" si="154"/>
        <v>0</v>
      </c>
      <c r="BI196" s="373">
        <f t="shared" si="154"/>
        <v>0</v>
      </c>
      <c r="BJ196" s="373">
        <f t="shared" si="154"/>
        <v>0</v>
      </c>
      <c r="BK196" s="373">
        <f t="shared" si="154"/>
        <v>0</v>
      </c>
      <c r="BL196" s="373">
        <f t="shared" si="154"/>
        <v>0</v>
      </c>
      <c r="BM196" s="373">
        <f t="shared" si="154"/>
        <v>0</v>
      </c>
      <c r="BN196" s="373">
        <f t="shared" si="154"/>
        <v>0</v>
      </c>
      <c r="BO196" s="373">
        <f t="shared" si="154"/>
        <v>0</v>
      </c>
      <c r="BP196" s="373">
        <f t="shared" si="154"/>
        <v>0</v>
      </c>
      <c r="BQ196" s="373">
        <f t="shared" ref="BQ196:CF196" si="155">$E17*$E$11*BQ$183/100</f>
        <v>0</v>
      </c>
      <c r="BR196" s="373">
        <f t="shared" si="155"/>
        <v>0</v>
      </c>
      <c r="BS196" s="373">
        <f t="shared" si="155"/>
        <v>0</v>
      </c>
      <c r="BT196" s="373">
        <f t="shared" si="155"/>
        <v>0</v>
      </c>
      <c r="BU196" s="373">
        <f t="shared" si="155"/>
        <v>0</v>
      </c>
      <c r="BV196" s="373">
        <f t="shared" si="155"/>
        <v>0</v>
      </c>
      <c r="BW196" s="373">
        <f t="shared" si="155"/>
        <v>0</v>
      </c>
      <c r="BX196" s="373">
        <f t="shared" si="155"/>
        <v>0</v>
      </c>
      <c r="BY196" s="373">
        <f t="shared" si="155"/>
        <v>0</v>
      </c>
      <c r="BZ196" s="373">
        <f t="shared" si="155"/>
        <v>0</v>
      </c>
      <c r="CA196" s="373">
        <f t="shared" si="155"/>
        <v>0</v>
      </c>
      <c r="CB196" s="373">
        <f t="shared" si="155"/>
        <v>0</v>
      </c>
      <c r="CC196" s="373">
        <f t="shared" si="155"/>
        <v>0</v>
      </c>
      <c r="CD196" s="373">
        <f t="shared" si="155"/>
        <v>0</v>
      </c>
      <c r="CE196" s="373">
        <f t="shared" si="155"/>
        <v>0</v>
      </c>
      <c r="CF196" s="373">
        <f t="shared" si="155"/>
        <v>0</v>
      </c>
    </row>
    <row r="198" spans="2:84">
      <c r="B198" s="360" t="s">
        <v>364</v>
      </c>
    </row>
    <row r="199" spans="2:84">
      <c r="C199" s="360" t="s">
        <v>365</v>
      </c>
    </row>
    <row r="200" spans="2:84">
      <c r="D200" s="372"/>
      <c r="E200" s="372">
        <v>2010</v>
      </c>
      <c r="F200" s="372">
        <v>2011</v>
      </c>
      <c r="G200" s="372">
        <v>2012</v>
      </c>
      <c r="H200" s="372">
        <v>2013</v>
      </c>
      <c r="I200" s="372">
        <v>2014</v>
      </c>
      <c r="J200" s="372">
        <v>2015</v>
      </c>
      <c r="K200" s="372">
        <v>2016</v>
      </c>
      <c r="L200" s="372">
        <v>2017</v>
      </c>
      <c r="M200" s="372">
        <v>2018</v>
      </c>
      <c r="N200" s="372">
        <v>2019</v>
      </c>
      <c r="O200" s="372">
        <v>2020</v>
      </c>
      <c r="P200" s="372">
        <v>2021</v>
      </c>
      <c r="Q200" s="372">
        <v>2022</v>
      </c>
      <c r="R200" s="372">
        <v>2023</v>
      </c>
      <c r="S200" s="372">
        <v>2024</v>
      </c>
      <c r="T200" s="372">
        <v>2025</v>
      </c>
      <c r="U200" s="372">
        <v>2026</v>
      </c>
      <c r="V200" s="372">
        <v>2027</v>
      </c>
      <c r="W200" s="372">
        <v>2028</v>
      </c>
      <c r="X200" s="372">
        <v>2029</v>
      </c>
      <c r="Y200" s="372">
        <v>2030</v>
      </c>
      <c r="Z200" s="372">
        <v>2031</v>
      </c>
      <c r="AA200" s="372">
        <v>2032</v>
      </c>
      <c r="AB200" s="372">
        <v>2033</v>
      </c>
      <c r="AC200" s="372">
        <v>2034</v>
      </c>
      <c r="AD200" s="372">
        <v>2035</v>
      </c>
      <c r="AE200" s="372">
        <v>2036</v>
      </c>
      <c r="AF200" s="372">
        <v>2037</v>
      </c>
      <c r="AG200" s="372">
        <v>2038</v>
      </c>
      <c r="AH200" s="372">
        <v>2039</v>
      </c>
      <c r="AI200" s="372">
        <v>2040</v>
      </c>
      <c r="AJ200" s="372">
        <v>2041</v>
      </c>
      <c r="AK200" s="372">
        <v>2042</v>
      </c>
      <c r="AL200" s="372">
        <v>2043</v>
      </c>
      <c r="AM200" s="372">
        <v>2044</v>
      </c>
      <c r="AN200" s="372">
        <v>2045</v>
      </c>
      <c r="AO200" s="372">
        <v>2046</v>
      </c>
      <c r="AP200" s="372">
        <v>2047</v>
      </c>
      <c r="AQ200" s="372">
        <v>2048</v>
      </c>
      <c r="AR200" s="372">
        <v>2049</v>
      </c>
      <c r="AS200" s="372">
        <v>2050</v>
      </c>
      <c r="AT200" s="372">
        <v>2051</v>
      </c>
      <c r="AU200" s="372">
        <v>2052</v>
      </c>
      <c r="AV200" s="372">
        <v>2053</v>
      </c>
      <c r="AW200" s="372">
        <v>2054</v>
      </c>
      <c r="AX200" s="372">
        <v>2055</v>
      </c>
      <c r="AY200" s="372">
        <v>2056</v>
      </c>
      <c r="AZ200" s="372">
        <v>2057</v>
      </c>
      <c r="BA200" s="372">
        <v>2058</v>
      </c>
      <c r="BB200" s="372">
        <v>2059</v>
      </c>
      <c r="BC200" s="372">
        <v>2060</v>
      </c>
      <c r="BD200" s="372">
        <v>2061</v>
      </c>
      <c r="BE200" s="372">
        <v>2062</v>
      </c>
      <c r="BF200" s="372">
        <v>2063</v>
      </c>
      <c r="BG200" s="372">
        <v>2064</v>
      </c>
      <c r="BH200" s="372">
        <v>2065</v>
      </c>
      <c r="BI200" s="372">
        <v>2066</v>
      </c>
      <c r="BJ200" s="372">
        <v>2067</v>
      </c>
      <c r="BK200" s="372">
        <v>2068</v>
      </c>
      <c r="BL200" s="372">
        <v>2069</v>
      </c>
      <c r="BM200" s="372">
        <v>2070</v>
      </c>
      <c r="BN200" s="372">
        <v>2071</v>
      </c>
      <c r="BO200" s="372">
        <v>2072</v>
      </c>
      <c r="BP200" s="372">
        <v>2073</v>
      </c>
      <c r="BQ200" s="372">
        <v>2074</v>
      </c>
      <c r="BR200" s="372">
        <v>2075</v>
      </c>
      <c r="BS200" s="372">
        <v>2076</v>
      </c>
      <c r="BT200" s="372">
        <v>2077</v>
      </c>
      <c r="BU200" s="372">
        <v>2078</v>
      </c>
      <c r="BV200" s="372">
        <v>2079</v>
      </c>
      <c r="BW200" s="372">
        <v>2080</v>
      </c>
      <c r="BX200" s="372">
        <v>2081</v>
      </c>
      <c r="BY200" s="372">
        <v>2082</v>
      </c>
      <c r="BZ200" s="372">
        <v>2083</v>
      </c>
      <c r="CA200" s="372">
        <v>2084</v>
      </c>
      <c r="CB200" s="372">
        <v>2085</v>
      </c>
      <c r="CC200" s="372">
        <v>2086</v>
      </c>
      <c r="CD200" s="372">
        <v>2087</v>
      </c>
      <c r="CE200" s="372">
        <v>2088</v>
      </c>
      <c r="CF200" s="372">
        <v>2089</v>
      </c>
    </row>
    <row r="201" spans="2:84">
      <c r="D201" s="373" t="s">
        <v>87</v>
      </c>
      <c r="E201" s="373" t="e">
        <f>(E73+E96+E168+(E193*1.3))</f>
        <v>#DIV/0!</v>
      </c>
      <c r="F201" s="373" t="e">
        <f t="shared" ref="F201:BQ202" si="156">(F73+F96+F168+(F193*1.3))</f>
        <v>#DIV/0!</v>
      </c>
      <c r="G201" s="373" t="e">
        <f t="shared" si="156"/>
        <v>#DIV/0!</v>
      </c>
      <c r="H201" s="373" t="e">
        <f t="shared" si="156"/>
        <v>#DIV/0!</v>
      </c>
      <c r="I201" s="373" t="e">
        <f t="shared" si="156"/>
        <v>#DIV/0!</v>
      </c>
      <c r="J201" s="373" t="e">
        <f t="shared" si="156"/>
        <v>#DIV/0!</v>
      </c>
      <c r="K201" s="373" t="e">
        <f t="shared" si="156"/>
        <v>#DIV/0!</v>
      </c>
      <c r="L201" s="373" t="e">
        <f t="shared" si="156"/>
        <v>#DIV/0!</v>
      </c>
      <c r="M201" s="373" t="e">
        <f t="shared" si="156"/>
        <v>#DIV/0!</v>
      </c>
      <c r="N201" s="373" t="e">
        <f>(N73+N96+N168+(N193*1.3))</f>
        <v>#DIV/0!</v>
      </c>
      <c r="O201" s="373" t="e">
        <f t="shared" si="156"/>
        <v>#DIV/0!</v>
      </c>
      <c r="P201" s="373" t="e">
        <f t="shared" si="156"/>
        <v>#DIV/0!</v>
      </c>
      <c r="Q201" s="373" t="e">
        <f t="shared" si="156"/>
        <v>#DIV/0!</v>
      </c>
      <c r="R201" s="373" t="e">
        <f t="shared" si="156"/>
        <v>#DIV/0!</v>
      </c>
      <c r="S201" s="373" t="e">
        <f t="shared" si="156"/>
        <v>#DIV/0!</v>
      </c>
      <c r="T201" s="373" t="e">
        <f t="shared" si="156"/>
        <v>#DIV/0!</v>
      </c>
      <c r="U201" s="373" t="e">
        <f t="shared" si="156"/>
        <v>#DIV/0!</v>
      </c>
      <c r="V201" s="373" t="e">
        <f t="shared" si="156"/>
        <v>#DIV/0!</v>
      </c>
      <c r="W201" s="373" t="e">
        <f t="shared" si="156"/>
        <v>#DIV/0!</v>
      </c>
      <c r="X201" s="373" t="e">
        <f t="shared" si="156"/>
        <v>#DIV/0!</v>
      </c>
      <c r="Y201" s="373" t="e">
        <f t="shared" si="156"/>
        <v>#DIV/0!</v>
      </c>
      <c r="Z201" s="373" t="e">
        <f t="shared" si="156"/>
        <v>#DIV/0!</v>
      </c>
      <c r="AA201" s="373" t="e">
        <f t="shared" si="156"/>
        <v>#DIV/0!</v>
      </c>
      <c r="AB201" s="373" t="e">
        <f t="shared" si="156"/>
        <v>#DIV/0!</v>
      </c>
      <c r="AC201" s="373" t="e">
        <f t="shared" si="156"/>
        <v>#DIV/0!</v>
      </c>
      <c r="AD201" s="373" t="e">
        <f t="shared" si="156"/>
        <v>#DIV/0!</v>
      </c>
      <c r="AE201" s="373" t="e">
        <f t="shared" si="156"/>
        <v>#DIV/0!</v>
      </c>
      <c r="AF201" s="373" t="e">
        <f t="shared" si="156"/>
        <v>#DIV/0!</v>
      </c>
      <c r="AG201" s="373" t="e">
        <f t="shared" si="156"/>
        <v>#DIV/0!</v>
      </c>
      <c r="AH201" s="373" t="e">
        <f t="shared" si="156"/>
        <v>#DIV/0!</v>
      </c>
      <c r="AI201" s="373" t="e">
        <f t="shared" si="156"/>
        <v>#DIV/0!</v>
      </c>
      <c r="AJ201" s="373" t="e">
        <f t="shared" si="156"/>
        <v>#DIV/0!</v>
      </c>
      <c r="AK201" s="373" t="e">
        <f t="shared" si="156"/>
        <v>#DIV/0!</v>
      </c>
      <c r="AL201" s="373" t="e">
        <f t="shared" si="156"/>
        <v>#DIV/0!</v>
      </c>
      <c r="AM201" s="373" t="e">
        <f t="shared" si="156"/>
        <v>#DIV/0!</v>
      </c>
      <c r="AN201" s="373" t="e">
        <f t="shared" si="156"/>
        <v>#DIV/0!</v>
      </c>
      <c r="AO201" s="373" t="e">
        <f t="shared" si="156"/>
        <v>#DIV/0!</v>
      </c>
      <c r="AP201" s="373" t="e">
        <f t="shared" si="156"/>
        <v>#DIV/0!</v>
      </c>
      <c r="AQ201" s="373" t="e">
        <f t="shared" si="156"/>
        <v>#DIV/0!</v>
      </c>
      <c r="AR201" s="373" t="e">
        <f t="shared" si="156"/>
        <v>#DIV/0!</v>
      </c>
      <c r="AS201" s="373" t="e">
        <f t="shared" si="156"/>
        <v>#DIV/0!</v>
      </c>
      <c r="AT201" s="373" t="e">
        <f t="shared" si="156"/>
        <v>#DIV/0!</v>
      </c>
      <c r="AU201" s="373" t="e">
        <f t="shared" si="156"/>
        <v>#DIV/0!</v>
      </c>
      <c r="AV201" s="373" t="e">
        <f t="shared" si="156"/>
        <v>#DIV/0!</v>
      </c>
      <c r="AW201" s="373" t="e">
        <f t="shared" si="156"/>
        <v>#DIV/0!</v>
      </c>
      <c r="AX201" s="373" t="e">
        <f t="shared" si="156"/>
        <v>#DIV/0!</v>
      </c>
      <c r="AY201" s="373" t="e">
        <f t="shared" si="156"/>
        <v>#DIV/0!</v>
      </c>
      <c r="AZ201" s="373" t="e">
        <f t="shared" si="156"/>
        <v>#DIV/0!</v>
      </c>
      <c r="BA201" s="373" t="e">
        <f t="shared" si="156"/>
        <v>#DIV/0!</v>
      </c>
      <c r="BB201" s="373" t="e">
        <f t="shared" si="156"/>
        <v>#DIV/0!</v>
      </c>
      <c r="BC201" s="373" t="e">
        <f t="shared" si="156"/>
        <v>#DIV/0!</v>
      </c>
      <c r="BD201" s="373" t="e">
        <f t="shared" si="156"/>
        <v>#DIV/0!</v>
      </c>
      <c r="BE201" s="373" t="e">
        <f t="shared" si="156"/>
        <v>#DIV/0!</v>
      </c>
      <c r="BF201" s="373" t="e">
        <f t="shared" si="156"/>
        <v>#DIV/0!</v>
      </c>
      <c r="BG201" s="373" t="e">
        <f t="shared" si="156"/>
        <v>#DIV/0!</v>
      </c>
      <c r="BH201" s="373" t="e">
        <f t="shared" si="156"/>
        <v>#DIV/0!</v>
      </c>
      <c r="BI201" s="373" t="e">
        <f t="shared" si="156"/>
        <v>#DIV/0!</v>
      </c>
      <c r="BJ201" s="373" t="e">
        <f t="shared" si="156"/>
        <v>#DIV/0!</v>
      </c>
      <c r="BK201" s="373" t="e">
        <f t="shared" si="156"/>
        <v>#DIV/0!</v>
      </c>
      <c r="BL201" s="373" t="e">
        <f t="shared" si="156"/>
        <v>#DIV/0!</v>
      </c>
      <c r="BM201" s="373" t="e">
        <f t="shared" si="156"/>
        <v>#DIV/0!</v>
      </c>
      <c r="BN201" s="373" t="e">
        <f t="shared" si="156"/>
        <v>#DIV/0!</v>
      </c>
      <c r="BO201" s="373" t="e">
        <f t="shared" si="156"/>
        <v>#DIV/0!</v>
      </c>
      <c r="BP201" s="373" t="e">
        <f t="shared" si="156"/>
        <v>#DIV/0!</v>
      </c>
      <c r="BQ201" s="373" t="e">
        <f t="shared" si="156"/>
        <v>#DIV/0!</v>
      </c>
      <c r="BR201" s="373" t="e">
        <f t="shared" ref="BR201:CF204" si="157">(BR73+BR96+BR168+(BR193*1.3))</f>
        <v>#DIV/0!</v>
      </c>
      <c r="BS201" s="373" t="e">
        <f t="shared" si="157"/>
        <v>#DIV/0!</v>
      </c>
      <c r="BT201" s="373" t="e">
        <f t="shared" si="157"/>
        <v>#DIV/0!</v>
      </c>
      <c r="BU201" s="373" t="e">
        <f t="shared" si="157"/>
        <v>#DIV/0!</v>
      </c>
      <c r="BV201" s="373" t="e">
        <f t="shared" si="157"/>
        <v>#DIV/0!</v>
      </c>
      <c r="BW201" s="373" t="e">
        <f t="shared" si="157"/>
        <v>#DIV/0!</v>
      </c>
      <c r="BX201" s="373" t="e">
        <f t="shared" si="157"/>
        <v>#DIV/0!</v>
      </c>
      <c r="BY201" s="373" t="e">
        <f t="shared" si="157"/>
        <v>#DIV/0!</v>
      </c>
      <c r="BZ201" s="373" t="e">
        <f t="shared" si="157"/>
        <v>#DIV/0!</v>
      </c>
      <c r="CA201" s="373" t="e">
        <f t="shared" si="157"/>
        <v>#DIV/0!</v>
      </c>
      <c r="CB201" s="373" t="e">
        <f t="shared" si="157"/>
        <v>#DIV/0!</v>
      </c>
      <c r="CC201" s="373" t="e">
        <f t="shared" si="157"/>
        <v>#DIV/0!</v>
      </c>
      <c r="CD201" s="373" t="e">
        <f t="shared" si="157"/>
        <v>#DIV/0!</v>
      </c>
      <c r="CE201" s="373" t="e">
        <f t="shared" si="157"/>
        <v>#DIV/0!</v>
      </c>
      <c r="CF201" s="373" t="e">
        <f t="shared" si="157"/>
        <v>#DIV/0!</v>
      </c>
    </row>
    <row r="202" spans="2:84">
      <c r="D202" s="373" t="s">
        <v>89</v>
      </c>
      <c r="E202" s="373" t="e">
        <f>(E74+E97+E169+(E194*1.3))</f>
        <v>#DIV/0!</v>
      </c>
      <c r="F202" s="373" t="e">
        <f t="shared" ref="F202:M202" si="158">(F74+F97+F169+(F194*1.3))</f>
        <v>#DIV/0!</v>
      </c>
      <c r="G202" s="373" t="e">
        <f t="shared" si="158"/>
        <v>#DIV/0!</v>
      </c>
      <c r="H202" s="373" t="e">
        <f t="shared" si="158"/>
        <v>#DIV/0!</v>
      </c>
      <c r="I202" s="373" t="e">
        <f t="shared" si="158"/>
        <v>#DIV/0!</v>
      </c>
      <c r="J202" s="373" t="e">
        <f t="shared" si="158"/>
        <v>#DIV/0!</v>
      </c>
      <c r="K202" s="373" t="e">
        <f t="shared" si="158"/>
        <v>#DIV/0!</v>
      </c>
      <c r="L202" s="373" t="e">
        <f t="shared" si="158"/>
        <v>#DIV/0!</v>
      </c>
      <c r="M202" s="373" t="e">
        <f t="shared" si="158"/>
        <v>#DIV/0!</v>
      </c>
      <c r="N202" s="373" t="e">
        <f>(N74+N97+N169+(N194*1.3))</f>
        <v>#DIV/0!</v>
      </c>
      <c r="O202" s="373" t="e">
        <f t="shared" ref="O202:T202" si="159">(O74+O97+O169+(O194*1.3))</f>
        <v>#DIV/0!</v>
      </c>
      <c r="P202" s="373" t="e">
        <f t="shared" si="159"/>
        <v>#DIV/0!</v>
      </c>
      <c r="Q202" s="373" t="e">
        <f t="shared" si="159"/>
        <v>#DIV/0!</v>
      </c>
      <c r="R202" s="373" t="e">
        <f t="shared" si="159"/>
        <v>#DIV/0!</v>
      </c>
      <c r="S202" s="373" t="e">
        <f t="shared" si="159"/>
        <v>#DIV/0!</v>
      </c>
      <c r="T202" s="373" t="e">
        <f t="shared" si="159"/>
        <v>#DIV/0!</v>
      </c>
      <c r="U202" s="373" t="e">
        <f t="shared" si="156"/>
        <v>#DIV/0!</v>
      </c>
      <c r="V202" s="373" t="e">
        <f t="shared" si="156"/>
        <v>#DIV/0!</v>
      </c>
      <c r="W202" s="373" t="e">
        <f t="shared" si="156"/>
        <v>#DIV/0!</v>
      </c>
      <c r="X202" s="373" t="e">
        <f t="shared" si="156"/>
        <v>#DIV/0!</v>
      </c>
      <c r="Y202" s="373" t="e">
        <f t="shared" si="156"/>
        <v>#DIV/0!</v>
      </c>
      <c r="Z202" s="373" t="e">
        <f t="shared" si="156"/>
        <v>#DIV/0!</v>
      </c>
      <c r="AA202" s="373" t="e">
        <f t="shared" si="156"/>
        <v>#DIV/0!</v>
      </c>
      <c r="AB202" s="373" t="e">
        <f t="shared" si="156"/>
        <v>#DIV/0!</v>
      </c>
      <c r="AC202" s="373" t="e">
        <f t="shared" si="156"/>
        <v>#DIV/0!</v>
      </c>
      <c r="AD202" s="373" t="e">
        <f t="shared" si="156"/>
        <v>#DIV/0!</v>
      </c>
      <c r="AE202" s="373" t="e">
        <f t="shared" si="156"/>
        <v>#DIV/0!</v>
      </c>
      <c r="AF202" s="373" t="e">
        <f t="shared" si="156"/>
        <v>#DIV/0!</v>
      </c>
      <c r="AG202" s="373" t="e">
        <f t="shared" si="156"/>
        <v>#DIV/0!</v>
      </c>
      <c r="AH202" s="373" t="e">
        <f t="shared" si="156"/>
        <v>#DIV/0!</v>
      </c>
      <c r="AI202" s="373" t="e">
        <f t="shared" si="156"/>
        <v>#DIV/0!</v>
      </c>
      <c r="AJ202" s="373" t="e">
        <f t="shared" si="156"/>
        <v>#DIV/0!</v>
      </c>
      <c r="AK202" s="373" t="e">
        <f t="shared" si="156"/>
        <v>#DIV/0!</v>
      </c>
      <c r="AL202" s="373" t="e">
        <f t="shared" si="156"/>
        <v>#DIV/0!</v>
      </c>
      <c r="AM202" s="373" t="e">
        <f t="shared" si="156"/>
        <v>#DIV/0!</v>
      </c>
      <c r="AN202" s="373" t="e">
        <f t="shared" si="156"/>
        <v>#DIV/0!</v>
      </c>
      <c r="AO202" s="373" t="e">
        <f t="shared" si="156"/>
        <v>#DIV/0!</v>
      </c>
      <c r="AP202" s="373" t="e">
        <f t="shared" si="156"/>
        <v>#DIV/0!</v>
      </c>
      <c r="AQ202" s="373" t="e">
        <f t="shared" si="156"/>
        <v>#DIV/0!</v>
      </c>
      <c r="AR202" s="373" t="e">
        <f t="shared" si="156"/>
        <v>#DIV/0!</v>
      </c>
      <c r="AS202" s="373" t="e">
        <f t="shared" si="156"/>
        <v>#DIV/0!</v>
      </c>
      <c r="AT202" s="373" t="e">
        <f t="shared" si="156"/>
        <v>#DIV/0!</v>
      </c>
      <c r="AU202" s="373" t="e">
        <f t="shared" si="156"/>
        <v>#DIV/0!</v>
      </c>
      <c r="AV202" s="373" t="e">
        <f t="shared" si="156"/>
        <v>#DIV/0!</v>
      </c>
      <c r="AW202" s="373" t="e">
        <f t="shared" si="156"/>
        <v>#DIV/0!</v>
      </c>
      <c r="AX202" s="373" t="e">
        <f t="shared" si="156"/>
        <v>#DIV/0!</v>
      </c>
      <c r="AY202" s="373" t="e">
        <f t="shared" si="156"/>
        <v>#DIV/0!</v>
      </c>
      <c r="AZ202" s="373" t="e">
        <f t="shared" si="156"/>
        <v>#DIV/0!</v>
      </c>
      <c r="BA202" s="373" t="e">
        <f t="shared" si="156"/>
        <v>#DIV/0!</v>
      </c>
      <c r="BB202" s="373" t="e">
        <f t="shared" si="156"/>
        <v>#DIV/0!</v>
      </c>
      <c r="BC202" s="373" t="e">
        <f t="shared" si="156"/>
        <v>#DIV/0!</v>
      </c>
      <c r="BD202" s="373" t="e">
        <f t="shared" si="156"/>
        <v>#DIV/0!</v>
      </c>
      <c r="BE202" s="373" t="e">
        <f t="shared" si="156"/>
        <v>#DIV/0!</v>
      </c>
      <c r="BF202" s="373" t="e">
        <f t="shared" si="156"/>
        <v>#DIV/0!</v>
      </c>
      <c r="BG202" s="373" t="e">
        <f t="shared" si="156"/>
        <v>#DIV/0!</v>
      </c>
      <c r="BH202" s="373" t="e">
        <f t="shared" si="156"/>
        <v>#DIV/0!</v>
      </c>
      <c r="BI202" s="373" t="e">
        <f t="shared" si="156"/>
        <v>#DIV/0!</v>
      </c>
      <c r="BJ202" s="373" t="e">
        <f t="shared" si="156"/>
        <v>#DIV/0!</v>
      </c>
      <c r="BK202" s="373" t="e">
        <f t="shared" si="156"/>
        <v>#DIV/0!</v>
      </c>
      <c r="BL202" s="373" t="e">
        <f t="shared" si="156"/>
        <v>#DIV/0!</v>
      </c>
      <c r="BM202" s="373" t="e">
        <f t="shared" si="156"/>
        <v>#DIV/0!</v>
      </c>
      <c r="BN202" s="373" t="e">
        <f t="shared" si="156"/>
        <v>#DIV/0!</v>
      </c>
      <c r="BO202" s="373" t="e">
        <f t="shared" si="156"/>
        <v>#DIV/0!</v>
      </c>
      <c r="BP202" s="373" t="e">
        <f t="shared" si="156"/>
        <v>#DIV/0!</v>
      </c>
      <c r="BQ202" s="373" t="e">
        <f t="shared" si="156"/>
        <v>#DIV/0!</v>
      </c>
      <c r="BR202" s="373" t="e">
        <f t="shared" si="157"/>
        <v>#DIV/0!</v>
      </c>
      <c r="BS202" s="373" t="e">
        <f t="shared" si="157"/>
        <v>#DIV/0!</v>
      </c>
      <c r="BT202" s="373" t="e">
        <f t="shared" si="157"/>
        <v>#DIV/0!</v>
      </c>
      <c r="BU202" s="373" t="e">
        <f t="shared" si="157"/>
        <v>#DIV/0!</v>
      </c>
      <c r="BV202" s="373" t="e">
        <f t="shared" si="157"/>
        <v>#DIV/0!</v>
      </c>
      <c r="BW202" s="373" t="e">
        <f t="shared" si="157"/>
        <v>#DIV/0!</v>
      </c>
      <c r="BX202" s="373" t="e">
        <f t="shared" si="157"/>
        <v>#DIV/0!</v>
      </c>
      <c r="BY202" s="373" t="e">
        <f t="shared" si="157"/>
        <v>#DIV/0!</v>
      </c>
      <c r="BZ202" s="373" t="e">
        <f t="shared" si="157"/>
        <v>#DIV/0!</v>
      </c>
      <c r="CA202" s="373" t="e">
        <f t="shared" si="157"/>
        <v>#DIV/0!</v>
      </c>
      <c r="CB202" s="373" t="e">
        <f t="shared" si="157"/>
        <v>#DIV/0!</v>
      </c>
      <c r="CC202" s="373" t="e">
        <f t="shared" si="157"/>
        <v>#DIV/0!</v>
      </c>
      <c r="CD202" s="373" t="e">
        <f t="shared" si="157"/>
        <v>#DIV/0!</v>
      </c>
      <c r="CE202" s="373" t="e">
        <f t="shared" si="157"/>
        <v>#DIV/0!</v>
      </c>
      <c r="CF202" s="373" t="e">
        <f t="shared" si="157"/>
        <v>#DIV/0!</v>
      </c>
    </row>
    <row r="203" spans="2:84">
      <c r="D203" s="373" t="s">
        <v>91</v>
      </c>
      <c r="E203" s="373" t="e">
        <f>(E75+E98+E170+(E195*1.3))</f>
        <v>#DIV/0!</v>
      </c>
      <c r="F203" s="373" t="e">
        <f t="shared" ref="F203:BQ204" si="160">(F75+F98+F170+(F195*1.3))</f>
        <v>#DIV/0!</v>
      </c>
      <c r="G203" s="373" t="e">
        <f t="shared" si="160"/>
        <v>#DIV/0!</v>
      </c>
      <c r="H203" s="373" t="e">
        <f t="shared" si="160"/>
        <v>#DIV/0!</v>
      </c>
      <c r="I203" s="373" t="e">
        <f t="shared" si="160"/>
        <v>#DIV/0!</v>
      </c>
      <c r="J203" s="373" t="e">
        <f t="shared" si="160"/>
        <v>#DIV/0!</v>
      </c>
      <c r="K203" s="373" t="e">
        <f t="shared" si="160"/>
        <v>#DIV/0!</v>
      </c>
      <c r="L203" s="373" t="e">
        <f t="shared" si="160"/>
        <v>#DIV/0!</v>
      </c>
      <c r="M203" s="373" t="e">
        <f t="shared" si="160"/>
        <v>#DIV/0!</v>
      </c>
      <c r="N203" s="373" t="e">
        <f t="shared" si="160"/>
        <v>#DIV/0!</v>
      </c>
      <c r="O203" s="373" t="e">
        <f t="shared" si="160"/>
        <v>#DIV/0!</v>
      </c>
      <c r="P203" s="373" t="e">
        <f t="shared" si="160"/>
        <v>#DIV/0!</v>
      </c>
      <c r="Q203" s="373" t="e">
        <f t="shared" si="160"/>
        <v>#DIV/0!</v>
      </c>
      <c r="R203" s="373" t="e">
        <f t="shared" si="160"/>
        <v>#DIV/0!</v>
      </c>
      <c r="S203" s="373" t="e">
        <f t="shared" si="160"/>
        <v>#DIV/0!</v>
      </c>
      <c r="T203" s="373" t="e">
        <f t="shared" si="160"/>
        <v>#DIV/0!</v>
      </c>
      <c r="U203" s="373" t="e">
        <f t="shared" si="160"/>
        <v>#DIV/0!</v>
      </c>
      <c r="V203" s="373" t="e">
        <f t="shared" si="160"/>
        <v>#DIV/0!</v>
      </c>
      <c r="W203" s="373" t="e">
        <f t="shared" si="160"/>
        <v>#DIV/0!</v>
      </c>
      <c r="X203" s="373" t="e">
        <f t="shared" si="160"/>
        <v>#DIV/0!</v>
      </c>
      <c r="Y203" s="373" t="e">
        <f t="shared" si="160"/>
        <v>#DIV/0!</v>
      </c>
      <c r="Z203" s="373" t="e">
        <f t="shared" si="160"/>
        <v>#DIV/0!</v>
      </c>
      <c r="AA203" s="373" t="e">
        <f t="shared" si="160"/>
        <v>#DIV/0!</v>
      </c>
      <c r="AB203" s="373" t="e">
        <f t="shared" si="160"/>
        <v>#DIV/0!</v>
      </c>
      <c r="AC203" s="373" t="e">
        <f t="shared" si="160"/>
        <v>#DIV/0!</v>
      </c>
      <c r="AD203" s="373" t="e">
        <f t="shared" si="160"/>
        <v>#DIV/0!</v>
      </c>
      <c r="AE203" s="373" t="e">
        <f t="shared" si="160"/>
        <v>#DIV/0!</v>
      </c>
      <c r="AF203" s="373" t="e">
        <f t="shared" si="160"/>
        <v>#DIV/0!</v>
      </c>
      <c r="AG203" s="373" t="e">
        <f t="shared" si="160"/>
        <v>#DIV/0!</v>
      </c>
      <c r="AH203" s="373" t="e">
        <f t="shared" si="160"/>
        <v>#DIV/0!</v>
      </c>
      <c r="AI203" s="373" t="e">
        <f t="shared" si="160"/>
        <v>#DIV/0!</v>
      </c>
      <c r="AJ203" s="373" t="e">
        <f t="shared" si="160"/>
        <v>#DIV/0!</v>
      </c>
      <c r="AK203" s="373" t="e">
        <f t="shared" si="160"/>
        <v>#DIV/0!</v>
      </c>
      <c r="AL203" s="373" t="e">
        <f t="shared" si="160"/>
        <v>#DIV/0!</v>
      </c>
      <c r="AM203" s="373" t="e">
        <f t="shared" si="160"/>
        <v>#DIV/0!</v>
      </c>
      <c r="AN203" s="373" t="e">
        <f t="shared" si="160"/>
        <v>#DIV/0!</v>
      </c>
      <c r="AO203" s="373" t="e">
        <f t="shared" si="160"/>
        <v>#DIV/0!</v>
      </c>
      <c r="AP203" s="373" t="e">
        <f t="shared" si="160"/>
        <v>#DIV/0!</v>
      </c>
      <c r="AQ203" s="373" t="e">
        <f t="shared" si="160"/>
        <v>#DIV/0!</v>
      </c>
      <c r="AR203" s="373" t="e">
        <f t="shared" si="160"/>
        <v>#DIV/0!</v>
      </c>
      <c r="AS203" s="373" t="e">
        <f t="shared" si="160"/>
        <v>#DIV/0!</v>
      </c>
      <c r="AT203" s="373" t="e">
        <f t="shared" si="160"/>
        <v>#DIV/0!</v>
      </c>
      <c r="AU203" s="373" t="e">
        <f t="shared" si="160"/>
        <v>#DIV/0!</v>
      </c>
      <c r="AV203" s="373" t="e">
        <f t="shared" si="160"/>
        <v>#DIV/0!</v>
      </c>
      <c r="AW203" s="373" t="e">
        <f t="shared" si="160"/>
        <v>#DIV/0!</v>
      </c>
      <c r="AX203" s="373" t="e">
        <f t="shared" si="160"/>
        <v>#DIV/0!</v>
      </c>
      <c r="AY203" s="373" t="e">
        <f t="shared" si="160"/>
        <v>#DIV/0!</v>
      </c>
      <c r="AZ203" s="373" t="e">
        <f t="shared" si="160"/>
        <v>#DIV/0!</v>
      </c>
      <c r="BA203" s="373" t="e">
        <f t="shared" si="160"/>
        <v>#DIV/0!</v>
      </c>
      <c r="BB203" s="373" t="e">
        <f t="shared" si="160"/>
        <v>#DIV/0!</v>
      </c>
      <c r="BC203" s="373" t="e">
        <f t="shared" si="160"/>
        <v>#DIV/0!</v>
      </c>
      <c r="BD203" s="373" t="e">
        <f t="shared" si="160"/>
        <v>#DIV/0!</v>
      </c>
      <c r="BE203" s="373" t="e">
        <f t="shared" si="160"/>
        <v>#DIV/0!</v>
      </c>
      <c r="BF203" s="373" t="e">
        <f t="shared" si="160"/>
        <v>#DIV/0!</v>
      </c>
      <c r="BG203" s="373" t="e">
        <f t="shared" si="160"/>
        <v>#DIV/0!</v>
      </c>
      <c r="BH203" s="373" t="e">
        <f t="shared" si="160"/>
        <v>#DIV/0!</v>
      </c>
      <c r="BI203" s="373" t="e">
        <f t="shared" si="160"/>
        <v>#DIV/0!</v>
      </c>
      <c r="BJ203" s="373" t="e">
        <f t="shared" si="160"/>
        <v>#DIV/0!</v>
      </c>
      <c r="BK203" s="373" t="e">
        <f t="shared" si="160"/>
        <v>#DIV/0!</v>
      </c>
      <c r="BL203" s="373" t="e">
        <f t="shared" si="160"/>
        <v>#DIV/0!</v>
      </c>
      <c r="BM203" s="373" t="e">
        <f t="shared" si="160"/>
        <v>#DIV/0!</v>
      </c>
      <c r="BN203" s="373" t="e">
        <f t="shared" si="160"/>
        <v>#DIV/0!</v>
      </c>
      <c r="BO203" s="373" t="e">
        <f t="shared" si="160"/>
        <v>#DIV/0!</v>
      </c>
      <c r="BP203" s="373" t="e">
        <f t="shared" si="160"/>
        <v>#DIV/0!</v>
      </c>
      <c r="BQ203" s="373" t="e">
        <f t="shared" si="160"/>
        <v>#DIV/0!</v>
      </c>
      <c r="BR203" s="373" t="e">
        <f t="shared" si="157"/>
        <v>#DIV/0!</v>
      </c>
      <c r="BS203" s="373" t="e">
        <f t="shared" si="157"/>
        <v>#DIV/0!</v>
      </c>
      <c r="BT203" s="373" t="e">
        <f t="shared" si="157"/>
        <v>#DIV/0!</v>
      </c>
      <c r="BU203" s="373" t="e">
        <f t="shared" si="157"/>
        <v>#DIV/0!</v>
      </c>
      <c r="BV203" s="373" t="e">
        <f t="shared" si="157"/>
        <v>#DIV/0!</v>
      </c>
      <c r="BW203" s="373" t="e">
        <f t="shared" si="157"/>
        <v>#DIV/0!</v>
      </c>
      <c r="BX203" s="373" t="e">
        <f t="shared" si="157"/>
        <v>#DIV/0!</v>
      </c>
      <c r="BY203" s="373" t="e">
        <f t="shared" si="157"/>
        <v>#DIV/0!</v>
      </c>
      <c r="BZ203" s="373" t="e">
        <f t="shared" si="157"/>
        <v>#DIV/0!</v>
      </c>
      <c r="CA203" s="373" t="e">
        <f t="shared" si="157"/>
        <v>#DIV/0!</v>
      </c>
      <c r="CB203" s="373" t="e">
        <f t="shared" si="157"/>
        <v>#DIV/0!</v>
      </c>
      <c r="CC203" s="373" t="e">
        <f t="shared" si="157"/>
        <v>#DIV/0!</v>
      </c>
      <c r="CD203" s="373" t="e">
        <f t="shared" si="157"/>
        <v>#DIV/0!</v>
      </c>
      <c r="CE203" s="373" t="e">
        <f t="shared" si="157"/>
        <v>#DIV/0!</v>
      </c>
      <c r="CF203" s="373" t="e">
        <f t="shared" si="157"/>
        <v>#DIV/0!</v>
      </c>
    </row>
    <row r="204" spans="2:84">
      <c r="D204" s="373" t="s">
        <v>93</v>
      </c>
      <c r="E204" s="373" t="e">
        <f>(E76+E99+E171+(E196*1.3))</f>
        <v>#DIV/0!</v>
      </c>
      <c r="F204" s="373" t="e">
        <f t="shared" si="160"/>
        <v>#DIV/0!</v>
      </c>
      <c r="G204" s="373" t="e">
        <f t="shared" si="160"/>
        <v>#DIV/0!</v>
      </c>
      <c r="H204" s="373" t="e">
        <f t="shared" si="160"/>
        <v>#DIV/0!</v>
      </c>
      <c r="I204" s="373" t="e">
        <f t="shared" si="160"/>
        <v>#DIV/0!</v>
      </c>
      <c r="J204" s="373" t="e">
        <f t="shared" si="160"/>
        <v>#DIV/0!</v>
      </c>
      <c r="K204" s="373" t="e">
        <f t="shared" si="160"/>
        <v>#DIV/0!</v>
      </c>
      <c r="L204" s="373" t="e">
        <f t="shared" si="160"/>
        <v>#DIV/0!</v>
      </c>
      <c r="M204" s="373" t="e">
        <f t="shared" si="160"/>
        <v>#DIV/0!</v>
      </c>
      <c r="N204" s="373" t="e">
        <f t="shared" si="160"/>
        <v>#DIV/0!</v>
      </c>
      <c r="O204" s="373" t="e">
        <f t="shared" si="160"/>
        <v>#DIV/0!</v>
      </c>
      <c r="P204" s="373" t="e">
        <f t="shared" si="160"/>
        <v>#DIV/0!</v>
      </c>
      <c r="Q204" s="373" t="e">
        <f t="shared" si="160"/>
        <v>#DIV/0!</v>
      </c>
      <c r="R204" s="373" t="e">
        <f t="shared" si="160"/>
        <v>#DIV/0!</v>
      </c>
      <c r="S204" s="373" t="e">
        <f t="shared" si="160"/>
        <v>#DIV/0!</v>
      </c>
      <c r="T204" s="373" t="e">
        <f t="shared" si="160"/>
        <v>#DIV/0!</v>
      </c>
      <c r="U204" s="373" t="e">
        <f t="shared" si="160"/>
        <v>#DIV/0!</v>
      </c>
      <c r="V204" s="373" t="e">
        <f t="shared" si="160"/>
        <v>#DIV/0!</v>
      </c>
      <c r="W204" s="373" t="e">
        <f t="shared" si="160"/>
        <v>#DIV/0!</v>
      </c>
      <c r="X204" s="373" t="e">
        <f t="shared" si="160"/>
        <v>#DIV/0!</v>
      </c>
      <c r="Y204" s="373" t="e">
        <f t="shared" si="160"/>
        <v>#DIV/0!</v>
      </c>
      <c r="Z204" s="373" t="e">
        <f t="shared" si="160"/>
        <v>#DIV/0!</v>
      </c>
      <c r="AA204" s="373" t="e">
        <f t="shared" si="160"/>
        <v>#DIV/0!</v>
      </c>
      <c r="AB204" s="373" t="e">
        <f t="shared" si="160"/>
        <v>#DIV/0!</v>
      </c>
      <c r="AC204" s="373" t="e">
        <f t="shared" si="160"/>
        <v>#DIV/0!</v>
      </c>
      <c r="AD204" s="373" t="e">
        <f t="shared" si="160"/>
        <v>#DIV/0!</v>
      </c>
      <c r="AE204" s="373" t="e">
        <f t="shared" si="160"/>
        <v>#DIV/0!</v>
      </c>
      <c r="AF204" s="373" t="e">
        <f t="shared" si="160"/>
        <v>#DIV/0!</v>
      </c>
      <c r="AG204" s="373" t="e">
        <f t="shared" si="160"/>
        <v>#DIV/0!</v>
      </c>
      <c r="AH204" s="373" t="e">
        <f t="shared" si="160"/>
        <v>#DIV/0!</v>
      </c>
      <c r="AI204" s="373" t="e">
        <f t="shared" si="160"/>
        <v>#DIV/0!</v>
      </c>
      <c r="AJ204" s="373" t="e">
        <f t="shared" si="160"/>
        <v>#DIV/0!</v>
      </c>
      <c r="AK204" s="373" t="e">
        <f t="shared" si="160"/>
        <v>#DIV/0!</v>
      </c>
      <c r="AL204" s="373" t="e">
        <f t="shared" si="160"/>
        <v>#DIV/0!</v>
      </c>
      <c r="AM204" s="373" t="e">
        <f t="shared" si="160"/>
        <v>#DIV/0!</v>
      </c>
      <c r="AN204" s="373" t="e">
        <f t="shared" si="160"/>
        <v>#DIV/0!</v>
      </c>
      <c r="AO204" s="373" t="e">
        <f t="shared" si="160"/>
        <v>#DIV/0!</v>
      </c>
      <c r="AP204" s="373" t="e">
        <f t="shared" si="160"/>
        <v>#DIV/0!</v>
      </c>
      <c r="AQ204" s="373" t="e">
        <f t="shared" si="160"/>
        <v>#DIV/0!</v>
      </c>
      <c r="AR204" s="373" t="e">
        <f t="shared" si="160"/>
        <v>#DIV/0!</v>
      </c>
      <c r="AS204" s="373" t="e">
        <f t="shared" si="160"/>
        <v>#DIV/0!</v>
      </c>
      <c r="AT204" s="373" t="e">
        <f t="shared" si="160"/>
        <v>#DIV/0!</v>
      </c>
      <c r="AU204" s="373" t="e">
        <f t="shared" si="160"/>
        <v>#DIV/0!</v>
      </c>
      <c r="AV204" s="373" t="e">
        <f t="shared" si="160"/>
        <v>#DIV/0!</v>
      </c>
      <c r="AW204" s="373" t="e">
        <f t="shared" si="160"/>
        <v>#DIV/0!</v>
      </c>
      <c r="AX204" s="373" t="e">
        <f t="shared" si="160"/>
        <v>#DIV/0!</v>
      </c>
      <c r="AY204" s="373" t="e">
        <f t="shared" si="160"/>
        <v>#DIV/0!</v>
      </c>
      <c r="AZ204" s="373" t="e">
        <f t="shared" si="160"/>
        <v>#DIV/0!</v>
      </c>
      <c r="BA204" s="373" t="e">
        <f t="shared" si="160"/>
        <v>#DIV/0!</v>
      </c>
      <c r="BB204" s="373" t="e">
        <f t="shared" si="160"/>
        <v>#DIV/0!</v>
      </c>
      <c r="BC204" s="373" t="e">
        <f t="shared" si="160"/>
        <v>#DIV/0!</v>
      </c>
      <c r="BD204" s="373" t="e">
        <f t="shared" si="160"/>
        <v>#DIV/0!</v>
      </c>
      <c r="BE204" s="373" t="e">
        <f t="shared" si="160"/>
        <v>#DIV/0!</v>
      </c>
      <c r="BF204" s="373" t="e">
        <f t="shared" si="160"/>
        <v>#DIV/0!</v>
      </c>
      <c r="BG204" s="373" t="e">
        <f t="shared" si="160"/>
        <v>#DIV/0!</v>
      </c>
      <c r="BH204" s="373" t="e">
        <f t="shared" si="160"/>
        <v>#DIV/0!</v>
      </c>
      <c r="BI204" s="373" t="e">
        <f t="shared" si="160"/>
        <v>#DIV/0!</v>
      </c>
      <c r="BJ204" s="373" t="e">
        <f t="shared" si="160"/>
        <v>#DIV/0!</v>
      </c>
      <c r="BK204" s="373" t="e">
        <f t="shared" si="160"/>
        <v>#DIV/0!</v>
      </c>
      <c r="BL204" s="373" t="e">
        <f t="shared" si="160"/>
        <v>#DIV/0!</v>
      </c>
      <c r="BM204" s="373" t="e">
        <f t="shared" si="160"/>
        <v>#DIV/0!</v>
      </c>
      <c r="BN204" s="373" t="e">
        <f t="shared" si="160"/>
        <v>#DIV/0!</v>
      </c>
      <c r="BO204" s="373" t="e">
        <f t="shared" si="160"/>
        <v>#DIV/0!</v>
      </c>
      <c r="BP204" s="373" t="e">
        <f t="shared" si="160"/>
        <v>#DIV/0!</v>
      </c>
      <c r="BQ204" s="373" t="e">
        <f t="shared" si="160"/>
        <v>#DIV/0!</v>
      </c>
      <c r="BR204" s="373" t="e">
        <f t="shared" si="157"/>
        <v>#DIV/0!</v>
      </c>
      <c r="BS204" s="373" t="e">
        <f t="shared" si="157"/>
        <v>#DIV/0!</v>
      </c>
      <c r="BT204" s="373" t="e">
        <f t="shared" si="157"/>
        <v>#DIV/0!</v>
      </c>
      <c r="BU204" s="373" t="e">
        <f t="shared" si="157"/>
        <v>#DIV/0!</v>
      </c>
      <c r="BV204" s="373" t="e">
        <f t="shared" si="157"/>
        <v>#DIV/0!</v>
      </c>
      <c r="BW204" s="373" t="e">
        <f t="shared" si="157"/>
        <v>#DIV/0!</v>
      </c>
      <c r="BX204" s="373" t="e">
        <f t="shared" si="157"/>
        <v>#DIV/0!</v>
      </c>
      <c r="BY204" s="373" t="e">
        <f t="shared" si="157"/>
        <v>#DIV/0!</v>
      </c>
      <c r="BZ204" s="373" t="e">
        <f t="shared" si="157"/>
        <v>#DIV/0!</v>
      </c>
      <c r="CA204" s="373" t="e">
        <f t="shared" si="157"/>
        <v>#DIV/0!</v>
      </c>
      <c r="CB204" s="373" t="e">
        <f t="shared" si="157"/>
        <v>#DIV/0!</v>
      </c>
      <c r="CC204" s="373" t="e">
        <f t="shared" si="157"/>
        <v>#DIV/0!</v>
      </c>
      <c r="CD204" s="373" t="e">
        <f t="shared" si="157"/>
        <v>#DIV/0!</v>
      </c>
      <c r="CE204" s="373" t="e">
        <f t="shared" si="157"/>
        <v>#DIV/0!</v>
      </c>
      <c r="CF204" s="373" t="e">
        <f t="shared" si="157"/>
        <v>#DIV/0!</v>
      </c>
    </row>
    <row r="206" spans="2:84">
      <c r="B206" s="378" t="s">
        <v>366</v>
      </c>
    </row>
  </sheetData>
  <dataValidations disablePrompts="1" count="1">
    <dataValidation showInputMessage="1" showErrorMessage="1" sqref="E13 D13:D21" xr:uid="{00000000-0002-0000-0A00-000000000000}"/>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sheetPr>
  <dimension ref="A2:CE38"/>
  <sheetViews>
    <sheetView workbookViewId="0">
      <selection activeCell="A19" sqref="A19:XFD19"/>
    </sheetView>
  </sheetViews>
  <sheetFormatPr defaultColWidth="9.1796875" defaultRowHeight="14.5"/>
  <cols>
    <col min="1" max="1" width="3.7265625" style="361" customWidth="1"/>
    <col min="2" max="2" width="8.54296875" style="361" customWidth="1"/>
    <col min="3" max="3" width="40.1796875" style="361" customWidth="1"/>
    <col min="4" max="4" width="9.1796875" style="361"/>
    <col min="5" max="5" width="12.7265625" style="361" bestFit="1" customWidth="1"/>
    <col min="6" max="16384" width="9.1796875" style="361"/>
  </cols>
  <sheetData>
    <row r="2" spans="1:83" ht="15.5">
      <c r="A2" s="360" t="s">
        <v>236</v>
      </c>
      <c r="C2" s="360"/>
    </row>
    <row r="3" spans="1:83" ht="15.5">
      <c r="A3" s="360"/>
      <c r="B3" s="360" t="s">
        <v>111</v>
      </c>
      <c r="C3" s="362"/>
    </row>
    <row r="4" spans="1:83" ht="15.5">
      <c r="C4" s="380" t="s">
        <v>87</v>
      </c>
      <c r="D4" s="971">
        <f>Proforma!D63</f>
        <v>0</v>
      </c>
    </row>
    <row r="5" spans="1:83" ht="15.5">
      <c r="C5" s="364" t="s">
        <v>89</v>
      </c>
      <c r="D5" s="971">
        <f>Proforma!D64</f>
        <v>0</v>
      </c>
    </row>
    <row r="6" spans="1:83" ht="15.5">
      <c r="C6" s="364" t="s">
        <v>91</v>
      </c>
      <c r="D6" s="971">
        <f>Proforma!D65</f>
        <v>0</v>
      </c>
    </row>
    <row r="7" spans="1:83" ht="15.5">
      <c r="C7" s="364" t="s">
        <v>93</v>
      </c>
      <c r="D7" s="971">
        <f>Proforma!D66</f>
        <v>0</v>
      </c>
    </row>
    <row r="9" spans="1:83" ht="15.5">
      <c r="C9" s="365"/>
    </row>
    <row r="10" spans="1:83" ht="15.5">
      <c r="C10" s="364" t="s">
        <v>367</v>
      </c>
      <c r="D10" s="965">
        <f>'Proforma Scrutiny'!D66</f>
        <v>0</v>
      </c>
    </row>
    <row r="11" spans="1:83" ht="15.5">
      <c r="C11" s="364" t="s">
        <v>368</v>
      </c>
      <c r="D11" s="965">
        <f>'Proforma Scrutiny'!D68</f>
        <v>0</v>
      </c>
    </row>
    <row r="12" spans="1:83" ht="15.5">
      <c r="C12" s="365"/>
    </row>
    <row r="14" spans="1:83" ht="15.5">
      <c r="A14" s="360" t="s">
        <v>302</v>
      </c>
      <c r="C14" s="930"/>
    </row>
    <row r="15" spans="1:83" s="370" customFormat="1" ht="15.5">
      <c r="A15" s="360"/>
      <c r="B15" s="360" t="s">
        <v>369</v>
      </c>
    </row>
    <row r="16" spans="1:83" s="370" customFormat="1" ht="15.5">
      <c r="A16" s="360"/>
      <c r="B16" s="360"/>
      <c r="C16" s="372"/>
      <c r="D16" s="372">
        <v>2010</v>
      </c>
      <c r="E16" s="372">
        <v>2011</v>
      </c>
      <c r="F16" s="372">
        <v>2012</v>
      </c>
      <c r="G16" s="372">
        <v>2013</v>
      </c>
      <c r="H16" s="372">
        <v>2014</v>
      </c>
      <c r="I16" s="372">
        <v>2015</v>
      </c>
      <c r="J16" s="372">
        <v>2016</v>
      </c>
      <c r="K16" s="372">
        <v>2017</v>
      </c>
      <c r="L16" s="372">
        <v>2018</v>
      </c>
      <c r="M16" s="372">
        <v>2019</v>
      </c>
      <c r="N16" s="372">
        <v>2020</v>
      </c>
      <c r="O16" s="372">
        <v>2021</v>
      </c>
      <c r="P16" s="372">
        <v>2022</v>
      </c>
      <c r="Q16" s="372">
        <v>2023</v>
      </c>
      <c r="R16" s="372">
        <v>2024</v>
      </c>
      <c r="S16" s="372">
        <v>2025</v>
      </c>
      <c r="T16" s="372">
        <v>2026</v>
      </c>
      <c r="U16" s="372">
        <v>2027</v>
      </c>
      <c r="V16" s="372">
        <v>2028</v>
      </c>
      <c r="W16" s="372">
        <v>2029</v>
      </c>
      <c r="X16" s="372">
        <v>2030</v>
      </c>
      <c r="Y16" s="372">
        <v>2031</v>
      </c>
      <c r="Z16" s="372">
        <v>2032</v>
      </c>
      <c r="AA16" s="372">
        <v>2033</v>
      </c>
      <c r="AB16" s="372">
        <v>2034</v>
      </c>
      <c r="AC16" s="372">
        <v>2035</v>
      </c>
      <c r="AD16" s="372">
        <v>2036</v>
      </c>
      <c r="AE16" s="372">
        <v>2037</v>
      </c>
      <c r="AF16" s="372">
        <v>2038</v>
      </c>
      <c r="AG16" s="372">
        <v>2039</v>
      </c>
      <c r="AH16" s="372">
        <v>2040</v>
      </c>
      <c r="AI16" s="372">
        <v>2041</v>
      </c>
      <c r="AJ16" s="372">
        <v>2042</v>
      </c>
      <c r="AK16" s="372">
        <v>2043</v>
      </c>
      <c r="AL16" s="372">
        <v>2044</v>
      </c>
      <c r="AM16" s="372">
        <v>2045</v>
      </c>
      <c r="AN16" s="372">
        <v>2046</v>
      </c>
      <c r="AO16" s="372">
        <v>2047</v>
      </c>
      <c r="AP16" s="372">
        <v>2048</v>
      </c>
      <c r="AQ16" s="372">
        <v>2049</v>
      </c>
      <c r="AR16" s="372">
        <v>2050</v>
      </c>
      <c r="AS16" s="372">
        <v>2051</v>
      </c>
      <c r="AT16" s="372">
        <v>2052</v>
      </c>
      <c r="AU16" s="372">
        <v>2053</v>
      </c>
      <c r="AV16" s="372">
        <v>2054</v>
      </c>
      <c r="AW16" s="372">
        <v>2055</v>
      </c>
      <c r="AX16" s="372">
        <v>2056</v>
      </c>
      <c r="AY16" s="372">
        <v>2057</v>
      </c>
      <c r="AZ16" s="372">
        <v>2058</v>
      </c>
      <c r="BA16" s="372">
        <v>2059</v>
      </c>
      <c r="BB16" s="372">
        <v>2060</v>
      </c>
      <c r="BC16" s="372">
        <v>2061</v>
      </c>
      <c r="BD16" s="372">
        <v>2062</v>
      </c>
      <c r="BE16" s="372">
        <v>2063</v>
      </c>
      <c r="BF16" s="372">
        <v>2064</v>
      </c>
      <c r="BG16" s="372">
        <v>2065</v>
      </c>
      <c r="BH16" s="372">
        <v>2066</v>
      </c>
      <c r="BI16" s="372">
        <v>2067</v>
      </c>
      <c r="BJ16" s="372">
        <v>2068</v>
      </c>
      <c r="BK16" s="372">
        <v>2069</v>
      </c>
      <c r="BL16" s="372">
        <v>2070</v>
      </c>
      <c r="BM16" s="372">
        <v>2071</v>
      </c>
      <c r="BN16" s="372">
        <v>2072</v>
      </c>
      <c r="BO16" s="372">
        <v>2073</v>
      </c>
      <c r="BP16" s="372">
        <v>2074</v>
      </c>
      <c r="BQ16" s="372">
        <v>2075</v>
      </c>
      <c r="BR16" s="372">
        <v>2076</v>
      </c>
      <c r="BS16" s="372">
        <v>2077</v>
      </c>
      <c r="BT16" s="372">
        <v>2078</v>
      </c>
      <c r="BU16" s="372">
        <v>2079</v>
      </c>
      <c r="BV16" s="372">
        <v>2080</v>
      </c>
      <c r="BW16" s="372">
        <v>2081</v>
      </c>
      <c r="BX16" s="372">
        <v>2082</v>
      </c>
      <c r="BY16" s="372">
        <v>2083</v>
      </c>
      <c r="BZ16" s="372">
        <v>2084</v>
      </c>
      <c r="CA16" s="372">
        <v>2085</v>
      </c>
      <c r="CB16" s="372">
        <v>2086</v>
      </c>
      <c r="CC16" s="372">
        <v>2087</v>
      </c>
      <c r="CD16" s="372">
        <v>2088</v>
      </c>
      <c r="CE16" s="372">
        <v>2089</v>
      </c>
    </row>
    <row r="17" spans="1:83" s="370" customFormat="1" ht="15.5">
      <c r="A17" s="360"/>
      <c r="B17" s="360"/>
      <c r="C17" s="373" t="s">
        <v>87</v>
      </c>
      <c r="D17" s="373" t="e">
        <f>Diversion!E201</f>
        <v>#DIV/0!</v>
      </c>
      <c r="E17" s="373" t="e">
        <f>Diversion!F201</f>
        <v>#DIV/0!</v>
      </c>
      <c r="F17" s="373" t="e">
        <f>Diversion!G201</f>
        <v>#DIV/0!</v>
      </c>
      <c r="G17" s="373" t="e">
        <f>Diversion!H201</f>
        <v>#DIV/0!</v>
      </c>
      <c r="H17" s="373" t="e">
        <f>Diversion!I201</f>
        <v>#DIV/0!</v>
      </c>
      <c r="I17" s="373" t="e">
        <f>Diversion!J201</f>
        <v>#DIV/0!</v>
      </c>
      <c r="J17" s="373" t="e">
        <f>Diversion!K201</f>
        <v>#DIV/0!</v>
      </c>
      <c r="K17" s="373" t="e">
        <f>Diversion!L201</f>
        <v>#DIV/0!</v>
      </c>
      <c r="L17" s="373" t="e">
        <f>Diversion!M201</f>
        <v>#DIV/0!</v>
      </c>
      <c r="M17" s="373" t="e">
        <f>Diversion!N201</f>
        <v>#DIV/0!</v>
      </c>
      <c r="N17" s="373" t="e">
        <f>Diversion!O201</f>
        <v>#DIV/0!</v>
      </c>
      <c r="O17" s="373" t="e">
        <f>Diversion!P201</f>
        <v>#DIV/0!</v>
      </c>
      <c r="P17" s="373" t="e">
        <f>Diversion!Q201</f>
        <v>#DIV/0!</v>
      </c>
      <c r="Q17" s="373" t="e">
        <f>Diversion!R201</f>
        <v>#DIV/0!</v>
      </c>
      <c r="R17" s="373" t="e">
        <f>Diversion!S201</f>
        <v>#DIV/0!</v>
      </c>
      <c r="S17" s="373" t="e">
        <f>Diversion!T201</f>
        <v>#DIV/0!</v>
      </c>
      <c r="T17" s="373" t="e">
        <f>Diversion!U201</f>
        <v>#DIV/0!</v>
      </c>
      <c r="U17" s="373" t="e">
        <f>Diversion!V201</f>
        <v>#DIV/0!</v>
      </c>
      <c r="V17" s="373" t="e">
        <f>Diversion!W201</f>
        <v>#DIV/0!</v>
      </c>
      <c r="W17" s="373" t="e">
        <f>Diversion!X201</f>
        <v>#DIV/0!</v>
      </c>
      <c r="X17" s="373" t="e">
        <f>Diversion!Y201</f>
        <v>#DIV/0!</v>
      </c>
      <c r="Y17" s="373" t="e">
        <f>Diversion!Z201</f>
        <v>#DIV/0!</v>
      </c>
      <c r="Z17" s="373" t="e">
        <f>Diversion!AA201</f>
        <v>#DIV/0!</v>
      </c>
      <c r="AA17" s="373" t="e">
        <f>Diversion!AB201</f>
        <v>#DIV/0!</v>
      </c>
      <c r="AB17" s="373" t="e">
        <f>Diversion!AC201</f>
        <v>#DIV/0!</v>
      </c>
      <c r="AC17" s="373" t="e">
        <f>Diversion!AD201</f>
        <v>#DIV/0!</v>
      </c>
      <c r="AD17" s="373" t="e">
        <f>Diversion!AE201</f>
        <v>#DIV/0!</v>
      </c>
      <c r="AE17" s="373" t="e">
        <f>Diversion!AF201</f>
        <v>#DIV/0!</v>
      </c>
      <c r="AF17" s="373" t="e">
        <f>Diversion!AG201</f>
        <v>#DIV/0!</v>
      </c>
      <c r="AG17" s="373" t="e">
        <f>Diversion!AH201</f>
        <v>#DIV/0!</v>
      </c>
      <c r="AH17" s="373" t="e">
        <f>Diversion!AI201</f>
        <v>#DIV/0!</v>
      </c>
      <c r="AI17" s="373" t="e">
        <f>Diversion!AJ201</f>
        <v>#DIV/0!</v>
      </c>
      <c r="AJ17" s="373" t="e">
        <f>Diversion!AK201</f>
        <v>#DIV/0!</v>
      </c>
      <c r="AK17" s="373" t="e">
        <f>Diversion!AL201</f>
        <v>#DIV/0!</v>
      </c>
      <c r="AL17" s="373" t="e">
        <f>Diversion!AM201</f>
        <v>#DIV/0!</v>
      </c>
      <c r="AM17" s="373" t="e">
        <f>Diversion!AN201</f>
        <v>#DIV/0!</v>
      </c>
      <c r="AN17" s="373" t="e">
        <f>Diversion!AO201</f>
        <v>#DIV/0!</v>
      </c>
      <c r="AO17" s="373" t="e">
        <f>Diversion!AP201</f>
        <v>#DIV/0!</v>
      </c>
      <c r="AP17" s="373" t="e">
        <f>Diversion!AQ201</f>
        <v>#DIV/0!</v>
      </c>
      <c r="AQ17" s="373" t="e">
        <f>Diversion!AR201</f>
        <v>#DIV/0!</v>
      </c>
      <c r="AR17" s="373" t="e">
        <f>Diversion!AS201</f>
        <v>#DIV/0!</v>
      </c>
      <c r="AS17" s="373" t="e">
        <f>Diversion!AT201</f>
        <v>#DIV/0!</v>
      </c>
      <c r="AT17" s="373" t="e">
        <f>Diversion!AU201</f>
        <v>#DIV/0!</v>
      </c>
      <c r="AU17" s="373" t="e">
        <f>Diversion!AV201</f>
        <v>#DIV/0!</v>
      </c>
      <c r="AV17" s="373" t="e">
        <f>Diversion!AW201</f>
        <v>#DIV/0!</v>
      </c>
      <c r="AW17" s="373" t="e">
        <f>Diversion!AX201</f>
        <v>#DIV/0!</v>
      </c>
      <c r="AX17" s="373" t="e">
        <f>Diversion!AY201</f>
        <v>#DIV/0!</v>
      </c>
      <c r="AY17" s="373" t="e">
        <f>Diversion!AZ201</f>
        <v>#DIV/0!</v>
      </c>
      <c r="AZ17" s="373" t="e">
        <f>Diversion!BA201</f>
        <v>#DIV/0!</v>
      </c>
      <c r="BA17" s="373" t="e">
        <f>Diversion!BB201</f>
        <v>#DIV/0!</v>
      </c>
      <c r="BB17" s="373" t="e">
        <f>Diversion!BC201</f>
        <v>#DIV/0!</v>
      </c>
      <c r="BC17" s="373" t="e">
        <f>Diversion!BD201</f>
        <v>#DIV/0!</v>
      </c>
      <c r="BD17" s="373" t="e">
        <f>Diversion!BE201</f>
        <v>#DIV/0!</v>
      </c>
      <c r="BE17" s="373" t="e">
        <f>Diversion!BF201</f>
        <v>#DIV/0!</v>
      </c>
      <c r="BF17" s="373" t="e">
        <f>Diversion!BG201</f>
        <v>#DIV/0!</v>
      </c>
      <c r="BG17" s="373" t="e">
        <f>Diversion!BH201</f>
        <v>#DIV/0!</v>
      </c>
      <c r="BH17" s="373" t="e">
        <f>Diversion!BI201</f>
        <v>#DIV/0!</v>
      </c>
      <c r="BI17" s="373" t="e">
        <f>Diversion!BJ201</f>
        <v>#DIV/0!</v>
      </c>
      <c r="BJ17" s="373" t="e">
        <f>Diversion!BK201</f>
        <v>#DIV/0!</v>
      </c>
      <c r="BK17" s="373" t="e">
        <f>Diversion!BL201</f>
        <v>#DIV/0!</v>
      </c>
      <c r="BL17" s="373" t="e">
        <f>Diversion!BM201</f>
        <v>#DIV/0!</v>
      </c>
      <c r="BM17" s="373" t="e">
        <f>Diversion!BN201</f>
        <v>#DIV/0!</v>
      </c>
      <c r="BN17" s="373" t="e">
        <f>Diversion!BO201</f>
        <v>#DIV/0!</v>
      </c>
      <c r="BO17" s="373" t="e">
        <f>Diversion!BP201</f>
        <v>#DIV/0!</v>
      </c>
      <c r="BP17" s="373" t="e">
        <f>Diversion!BQ201</f>
        <v>#DIV/0!</v>
      </c>
      <c r="BQ17" s="373" t="e">
        <f>Diversion!BR201</f>
        <v>#DIV/0!</v>
      </c>
      <c r="BR17" s="373" t="e">
        <f>Diversion!BS201</f>
        <v>#DIV/0!</v>
      </c>
      <c r="BS17" s="373" t="e">
        <f>Diversion!BT201</f>
        <v>#DIV/0!</v>
      </c>
      <c r="BT17" s="373" t="e">
        <f>Diversion!BU201</f>
        <v>#DIV/0!</v>
      </c>
      <c r="BU17" s="373" t="e">
        <f>Diversion!BV201</f>
        <v>#DIV/0!</v>
      </c>
      <c r="BV17" s="373" t="e">
        <f>Diversion!BW201</f>
        <v>#DIV/0!</v>
      </c>
      <c r="BW17" s="373" t="e">
        <f>Diversion!BX201</f>
        <v>#DIV/0!</v>
      </c>
      <c r="BX17" s="373" t="e">
        <f>Diversion!BY201</f>
        <v>#DIV/0!</v>
      </c>
      <c r="BY17" s="373" t="e">
        <f>Diversion!BZ201</f>
        <v>#DIV/0!</v>
      </c>
      <c r="BZ17" s="373" t="e">
        <f>Diversion!CA201</f>
        <v>#DIV/0!</v>
      </c>
      <c r="CA17" s="373" t="e">
        <f>Diversion!CB201</f>
        <v>#DIV/0!</v>
      </c>
      <c r="CB17" s="373" t="e">
        <f>Diversion!CC201</f>
        <v>#DIV/0!</v>
      </c>
      <c r="CC17" s="373" t="e">
        <f>Diversion!CD201</f>
        <v>#DIV/0!</v>
      </c>
      <c r="CD17" s="373" t="e">
        <f>Diversion!CE201</f>
        <v>#DIV/0!</v>
      </c>
      <c r="CE17" s="373" t="e">
        <f>Diversion!CF201</f>
        <v>#DIV/0!</v>
      </c>
    </row>
    <row r="18" spans="1:83" s="370" customFormat="1" ht="15.5">
      <c r="A18" s="360"/>
      <c r="B18" s="360"/>
      <c r="C18" s="373" t="s">
        <v>89</v>
      </c>
      <c r="D18" s="373" t="e">
        <f>Diversion!E202</f>
        <v>#DIV/0!</v>
      </c>
      <c r="E18" s="373" t="e">
        <f>Diversion!F202</f>
        <v>#DIV/0!</v>
      </c>
      <c r="F18" s="373" t="e">
        <f>Diversion!G202</f>
        <v>#DIV/0!</v>
      </c>
      <c r="G18" s="373" t="e">
        <f>Diversion!H202</f>
        <v>#DIV/0!</v>
      </c>
      <c r="H18" s="373" t="e">
        <f>Diversion!I202</f>
        <v>#DIV/0!</v>
      </c>
      <c r="I18" s="373" t="e">
        <f>Diversion!J202</f>
        <v>#DIV/0!</v>
      </c>
      <c r="J18" s="373" t="e">
        <f>Diversion!K202</f>
        <v>#DIV/0!</v>
      </c>
      <c r="K18" s="373" t="e">
        <f>Diversion!L202</f>
        <v>#DIV/0!</v>
      </c>
      <c r="L18" s="373" t="e">
        <f>Diversion!M202</f>
        <v>#DIV/0!</v>
      </c>
      <c r="M18" s="373" t="e">
        <f>Diversion!N202</f>
        <v>#DIV/0!</v>
      </c>
      <c r="N18" s="373" t="e">
        <f>Diversion!O202</f>
        <v>#DIV/0!</v>
      </c>
      <c r="O18" s="373" t="e">
        <f>Diversion!P202</f>
        <v>#DIV/0!</v>
      </c>
      <c r="P18" s="373" t="e">
        <f>Diversion!Q202</f>
        <v>#DIV/0!</v>
      </c>
      <c r="Q18" s="373" t="e">
        <f>Diversion!R202</f>
        <v>#DIV/0!</v>
      </c>
      <c r="R18" s="373" t="e">
        <f>Diversion!S202</f>
        <v>#DIV/0!</v>
      </c>
      <c r="S18" s="373" t="e">
        <f>Diversion!T202</f>
        <v>#DIV/0!</v>
      </c>
      <c r="T18" s="373" t="e">
        <f>Diversion!U202</f>
        <v>#DIV/0!</v>
      </c>
      <c r="U18" s="373" t="e">
        <f>Diversion!V202</f>
        <v>#DIV/0!</v>
      </c>
      <c r="V18" s="373" t="e">
        <f>Diversion!W202</f>
        <v>#DIV/0!</v>
      </c>
      <c r="W18" s="373" t="e">
        <f>Diversion!X202</f>
        <v>#DIV/0!</v>
      </c>
      <c r="X18" s="373" t="e">
        <f>Diversion!Y202</f>
        <v>#DIV/0!</v>
      </c>
      <c r="Y18" s="373" t="e">
        <f>Diversion!Z202</f>
        <v>#DIV/0!</v>
      </c>
      <c r="Z18" s="373" t="e">
        <f>Diversion!AA202</f>
        <v>#DIV/0!</v>
      </c>
      <c r="AA18" s="373" t="e">
        <f>Diversion!AB202</f>
        <v>#DIV/0!</v>
      </c>
      <c r="AB18" s="373" t="e">
        <f>Diversion!AC202</f>
        <v>#DIV/0!</v>
      </c>
      <c r="AC18" s="373" t="e">
        <f>Diversion!AD202</f>
        <v>#DIV/0!</v>
      </c>
      <c r="AD18" s="373" t="e">
        <f>Diversion!AE202</f>
        <v>#DIV/0!</v>
      </c>
      <c r="AE18" s="373" t="e">
        <f>Diversion!AF202</f>
        <v>#DIV/0!</v>
      </c>
      <c r="AF18" s="373" t="e">
        <f>Diversion!AG202</f>
        <v>#DIV/0!</v>
      </c>
      <c r="AG18" s="373" t="e">
        <f>Diversion!AH202</f>
        <v>#DIV/0!</v>
      </c>
      <c r="AH18" s="373" t="e">
        <f>Diversion!AI202</f>
        <v>#DIV/0!</v>
      </c>
      <c r="AI18" s="373" t="e">
        <f>Diversion!AJ202</f>
        <v>#DIV/0!</v>
      </c>
      <c r="AJ18" s="373" t="e">
        <f>Diversion!AK202</f>
        <v>#DIV/0!</v>
      </c>
      <c r="AK18" s="373" t="e">
        <f>Diversion!AL202</f>
        <v>#DIV/0!</v>
      </c>
      <c r="AL18" s="373" t="e">
        <f>Diversion!AM202</f>
        <v>#DIV/0!</v>
      </c>
      <c r="AM18" s="373" t="e">
        <f>Diversion!AN202</f>
        <v>#DIV/0!</v>
      </c>
      <c r="AN18" s="373" t="e">
        <f>Diversion!AO202</f>
        <v>#DIV/0!</v>
      </c>
      <c r="AO18" s="373" t="e">
        <f>Diversion!AP202</f>
        <v>#DIV/0!</v>
      </c>
      <c r="AP18" s="373" t="e">
        <f>Diversion!AQ202</f>
        <v>#DIV/0!</v>
      </c>
      <c r="AQ18" s="373" t="e">
        <f>Diversion!AR202</f>
        <v>#DIV/0!</v>
      </c>
      <c r="AR18" s="373" t="e">
        <f>Diversion!AS202</f>
        <v>#DIV/0!</v>
      </c>
      <c r="AS18" s="373" t="e">
        <f>Diversion!AT202</f>
        <v>#DIV/0!</v>
      </c>
      <c r="AT18" s="373" t="e">
        <f>Diversion!AU202</f>
        <v>#DIV/0!</v>
      </c>
      <c r="AU18" s="373" t="e">
        <f>Diversion!AV202</f>
        <v>#DIV/0!</v>
      </c>
      <c r="AV18" s="373" t="e">
        <f>Diversion!AW202</f>
        <v>#DIV/0!</v>
      </c>
      <c r="AW18" s="373" t="e">
        <f>Diversion!AX202</f>
        <v>#DIV/0!</v>
      </c>
      <c r="AX18" s="373" t="e">
        <f>Diversion!AY202</f>
        <v>#DIV/0!</v>
      </c>
      <c r="AY18" s="373" t="e">
        <f>Diversion!AZ202</f>
        <v>#DIV/0!</v>
      </c>
      <c r="AZ18" s="373" t="e">
        <f>Diversion!BA202</f>
        <v>#DIV/0!</v>
      </c>
      <c r="BA18" s="373" t="e">
        <f>Diversion!BB202</f>
        <v>#DIV/0!</v>
      </c>
      <c r="BB18" s="373" t="e">
        <f>Diversion!BC202</f>
        <v>#DIV/0!</v>
      </c>
      <c r="BC18" s="373" t="e">
        <f>Diversion!BD202</f>
        <v>#DIV/0!</v>
      </c>
      <c r="BD18" s="373" t="e">
        <f>Diversion!BE202</f>
        <v>#DIV/0!</v>
      </c>
      <c r="BE18" s="373" t="e">
        <f>Diversion!BF202</f>
        <v>#DIV/0!</v>
      </c>
      <c r="BF18" s="373" t="e">
        <f>Diversion!BG202</f>
        <v>#DIV/0!</v>
      </c>
      <c r="BG18" s="373" t="e">
        <f>Diversion!BH202</f>
        <v>#DIV/0!</v>
      </c>
      <c r="BH18" s="373" t="e">
        <f>Diversion!BI202</f>
        <v>#DIV/0!</v>
      </c>
      <c r="BI18" s="373" t="e">
        <f>Diversion!BJ202</f>
        <v>#DIV/0!</v>
      </c>
      <c r="BJ18" s="373" t="e">
        <f>Diversion!BK202</f>
        <v>#DIV/0!</v>
      </c>
      <c r="BK18" s="373" t="e">
        <f>Diversion!BL202</f>
        <v>#DIV/0!</v>
      </c>
      <c r="BL18" s="373" t="e">
        <f>Diversion!BM202</f>
        <v>#DIV/0!</v>
      </c>
      <c r="BM18" s="373" t="e">
        <f>Diversion!BN202</f>
        <v>#DIV/0!</v>
      </c>
      <c r="BN18" s="373" t="e">
        <f>Diversion!BO202</f>
        <v>#DIV/0!</v>
      </c>
      <c r="BO18" s="373" t="e">
        <f>Diversion!BP202</f>
        <v>#DIV/0!</v>
      </c>
      <c r="BP18" s="373" t="e">
        <f>Diversion!BQ202</f>
        <v>#DIV/0!</v>
      </c>
      <c r="BQ18" s="373" t="e">
        <f>Diversion!BR202</f>
        <v>#DIV/0!</v>
      </c>
      <c r="BR18" s="373" t="e">
        <f>Diversion!BS202</f>
        <v>#DIV/0!</v>
      </c>
      <c r="BS18" s="373" t="e">
        <f>Diversion!BT202</f>
        <v>#DIV/0!</v>
      </c>
      <c r="BT18" s="373" t="e">
        <f>Diversion!BU202</f>
        <v>#DIV/0!</v>
      </c>
      <c r="BU18" s="373" t="e">
        <f>Diversion!BV202</f>
        <v>#DIV/0!</v>
      </c>
      <c r="BV18" s="373" t="e">
        <f>Diversion!BW202</f>
        <v>#DIV/0!</v>
      </c>
      <c r="BW18" s="373" t="e">
        <f>Diversion!BX202</f>
        <v>#DIV/0!</v>
      </c>
      <c r="BX18" s="373" t="e">
        <f>Diversion!BY202</f>
        <v>#DIV/0!</v>
      </c>
      <c r="BY18" s="373" t="e">
        <f>Diversion!BZ202</f>
        <v>#DIV/0!</v>
      </c>
      <c r="BZ18" s="373" t="e">
        <f>Diversion!CA202</f>
        <v>#DIV/0!</v>
      </c>
      <c r="CA18" s="373" t="e">
        <f>Diversion!CB202</f>
        <v>#DIV/0!</v>
      </c>
      <c r="CB18" s="373" t="e">
        <f>Diversion!CC202</f>
        <v>#DIV/0!</v>
      </c>
      <c r="CC18" s="373" t="e">
        <f>Diversion!CD202</f>
        <v>#DIV/0!</v>
      </c>
      <c r="CD18" s="373" t="e">
        <f>Diversion!CE202</f>
        <v>#DIV/0!</v>
      </c>
      <c r="CE18" s="373" t="e">
        <f>Diversion!CF202</f>
        <v>#DIV/0!</v>
      </c>
    </row>
    <row r="19" spans="1:83" s="370" customFormat="1" ht="15.5">
      <c r="A19" s="360"/>
      <c r="B19" s="360"/>
      <c r="C19" s="373" t="s">
        <v>91</v>
      </c>
      <c r="D19" s="373" t="e">
        <f>Diversion!E203</f>
        <v>#DIV/0!</v>
      </c>
      <c r="E19" s="373" t="e">
        <f>Diversion!F203</f>
        <v>#DIV/0!</v>
      </c>
      <c r="F19" s="373" t="e">
        <f>Diversion!G203</f>
        <v>#DIV/0!</v>
      </c>
      <c r="G19" s="373" t="e">
        <f>Diversion!H203</f>
        <v>#DIV/0!</v>
      </c>
      <c r="H19" s="373" t="e">
        <f>Diversion!I203</f>
        <v>#DIV/0!</v>
      </c>
      <c r="I19" s="373" t="e">
        <f>Diversion!J203</f>
        <v>#DIV/0!</v>
      </c>
      <c r="J19" s="373" t="e">
        <f>Diversion!K203</f>
        <v>#DIV/0!</v>
      </c>
      <c r="K19" s="373" t="e">
        <f>Diversion!L203</f>
        <v>#DIV/0!</v>
      </c>
      <c r="L19" s="373" t="e">
        <f>Diversion!M203</f>
        <v>#DIV/0!</v>
      </c>
      <c r="M19" s="373" t="e">
        <f>Diversion!N203</f>
        <v>#DIV/0!</v>
      </c>
      <c r="N19" s="373" t="e">
        <f>Diversion!O203</f>
        <v>#DIV/0!</v>
      </c>
      <c r="O19" s="373" t="e">
        <f>Diversion!P203</f>
        <v>#DIV/0!</v>
      </c>
      <c r="P19" s="373" t="e">
        <f>Diversion!Q203</f>
        <v>#DIV/0!</v>
      </c>
      <c r="Q19" s="373" t="e">
        <f>Diversion!R203</f>
        <v>#DIV/0!</v>
      </c>
      <c r="R19" s="373" t="e">
        <f>Diversion!S203</f>
        <v>#DIV/0!</v>
      </c>
      <c r="S19" s="373" t="e">
        <f>Diversion!T203</f>
        <v>#DIV/0!</v>
      </c>
      <c r="T19" s="373" t="e">
        <f>Diversion!U203</f>
        <v>#DIV/0!</v>
      </c>
      <c r="U19" s="373" t="e">
        <f>Diversion!V203</f>
        <v>#DIV/0!</v>
      </c>
      <c r="V19" s="373" t="e">
        <f>Diversion!W203</f>
        <v>#DIV/0!</v>
      </c>
      <c r="W19" s="373" t="e">
        <f>Diversion!X203</f>
        <v>#DIV/0!</v>
      </c>
      <c r="X19" s="373" t="e">
        <f>Diversion!Y203</f>
        <v>#DIV/0!</v>
      </c>
      <c r="Y19" s="373" t="e">
        <f>Diversion!Z203</f>
        <v>#DIV/0!</v>
      </c>
      <c r="Z19" s="373" t="e">
        <f>Diversion!AA203</f>
        <v>#DIV/0!</v>
      </c>
      <c r="AA19" s="373" t="e">
        <f>Diversion!AB203</f>
        <v>#DIV/0!</v>
      </c>
      <c r="AB19" s="373" t="e">
        <f>Diversion!AC203</f>
        <v>#DIV/0!</v>
      </c>
      <c r="AC19" s="373" t="e">
        <f>Diversion!AD203</f>
        <v>#DIV/0!</v>
      </c>
      <c r="AD19" s="373" t="e">
        <f>Diversion!AE203</f>
        <v>#DIV/0!</v>
      </c>
      <c r="AE19" s="373" t="e">
        <f>Diversion!AF203</f>
        <v>#DIV/0!</v>
      </c>
      <c r="AF19" s="373" t="e">
        <f>Diversion!AG203</f>
        <v>#DIV/0!</v>
      </c>
      <c r="AG19" s="373" t="e">
        <f>Diversion!AH203</f>
        <v>#DIV/0!</v>
      </c>
      <c r="AH19" s="373" t="e">
        <f>Diversion!AI203</f>
        <v>#DIV/0!</v>
      </c>
      <c r="AI19" s="373" t="e">
        <f>Diversion!AJ203</f>
        <v>#DIV/0!</v>
      </c>
      <c r="AJ19" s="373" t="e">
        <f>Diversion!AK203</f>
        <v>#DIV/0!</v>
      </c>
      <c r="AK19" s="373" t="e">
        <f>Diversion!AL203</f>
        <v>#DIV/0!</v>
      </c>
      <c r="AL19" s="373" t="e">
        <f>Diversion!AM203</f>
        <v>#DIV/0!</v>
      </c>
      <c r="AM19" s="373" t="e">
        <f>Diversion!AN203</f>
        <v>#DIV/0!</v>
      </c>
      <c r="AN19" s="373" t="e">
        <f>Diversion!AO203</f>
        <v>#DIV/0!</v>
      </c>
      <c r="AO19" s="373" t="e">
        <f>Diversion!AP203</f>
        <v>#DIV/0!</v>
      </c>
      <c r="AP19" s="373" t="e">
        <f>Diversion!AQ203</f>
        <v>#DIV/0!</v>
      </c>
      <c r="AQ19" s="373" t="e">
        <f>Diversion!AR203</f>
        <v>#DIV/0!</v>
      </c>
      <c r="AR19" s="373" t="e">
        <f>Diversion!AS203</f>
        <v>#DIV/0!</v>
      </c>
      <c r="AS19" s="373" t="e">
        <f>Diversion!AT203</f>
        <v>#DIV/0!</v>
      </c>
      <c r="AT19" s="373" t="e">
        <f>Diversion!AU203</f>
        <v>#DIV/0!</v>
      </c>
      <c r="AU19" s="373" t="e">
        <f>Diversion!AV203</f>
        <v>#DIV/0!</v>
      </c>
      <c r="AV19" s="373" t="e">
        <f>Diversion!AW203</f>
        <v>#DIV/0!</v>
      </c>
      <c r="AW19" s="373" t="e">
        <f>Diversion!AX203</f>
        <v>#DIV/0!</v>
      </c>
      <c r="AX19" s="373" t="e">
        <f>Diversion!AY203</f>
        <v>#DIV/0!</v>
      </c>
      <c r="AY19" s="373" t="e">
        <f>Diversion!AZ203</f>
        <v>#DIV/0!</v>
      </c>
      <c r="AZ19" s="373" t="e">
        <f>Diversion!BA203</f>
        <v>#DIV/0!</v>
      </c>
      <c r="BA19" s="373" t="e">
        <f>Diversion!BB203</f>
        <v>#DIV/0!</v>
      </c>
      <c r="BB19" s="373" t="e">
        <f>Diversion!BC203</f>
        <v>#DIV/0!</v>
      </c>
      <c r="BC19" s="373" t="e">
        <f>Diversion!BD203</f>
        <v>#DIV/0!</v>
      </c>
      <c r="BD19" s="373" t="e">
        <f>Diversion!BE203</f>
        <v>#DIV/0!</v>
      </c>
      <c r="BE19" s="373" t="e">
        <f>Diversion!BF203</f>
        <v>#DIV/0!</v>
      </c>
      <c r="BF19" s="373" t="e">
        <f>Diversion!BG203</f>
        <v>#DIV/0!</v>
      </c>
      <c r="BG19" s="373" t="e">
        <f>Diversion!BH203</f>
        <v>#DIV/0!</v>
      </c>
      <c r="BH19" s="373" t="e">
        <f>Diversion!BI203</f>
        <v>#DIV/0!</v>
      </c>
      <c r="BI19" s="373" t="e">
        <f>Diversion!BJ203</f>
        <v>#DIV/0!</v>
      </c>
      <c r="BJ19" s="373" t="e">
        <f>Diversion!BK203</f>
        <v>#DIV/0!</v>
      </c>
      <c r="BK19" s="373" t="e">
        <f>Diversion!BL203</f>
        <v>#DIV/0!</v>
      </c>
      <c r="BL19" s="373" t="e">
        <f>Diversion!BM203</f>
        <v>#DIV/0!</v>
      </c>
      <c r="BM19" s="373" t="e">
        <f>Diversion!BN203</f>
        <v>#DIV/0!</v>
      </c>
      <c r="BN19" s="373" t="e">
        <f>Diversion!BO203</f>
        <v>#DIV/0!</v>
      </c>
      <c r="BO19" s="373" t="e">
        <f>Diversion!BP203</f>
        <v>#DIV/0!</v>
      </c>
      <c r="BP19" s="373" t="e">
        <f>Diversion!BQ203</f>
        <v>#DIV/0!</v>
      </c>
      <c r="BQ19" s="373" t="e">
        <f>Diversion!BR203</f>
        <v>#DIV/0!</v>
      </c>
      <c r="BR19" s="373" t="e">
        <f>Diversion!BS203</f>
        <v>#DIV/0!</v>
      </c>
      <c r="BS19" s="373" t="e">
        <f>Diversion!BT203</f>
        <v>#DIV/0!</v>
      </c>
      <c r="BT19" s="373" t="e">
        <f>Diversion!BU203</f>
        <v>#DIV/0!</v>
      </c>
      <c r="BU19" s="373" t="e">
        <f>Diversion!BV203</f>
        <v>#DIV/0!</v>
      </c>
      <c r="BV19" s="373" t="e">
        <f>Diversion!BW203</f>
        <v>#DIV/0!</v>
      </c>
      <c r="BW19" s="373" t="e">
        <f>Diversion!BX203</f>
        <v>#DIV/0!</v>
      </c>
      <c r="BX19" s="373" t="e">
        <f>Diversion!BY203</f>
        <v>#DIV/0!</v>
      </c>
      <c r="BY19" s="373" t="e">
        <f>Diversion!BZ203</f>
        <v>#DIV/0!</v>
      </c>
      <c r="BZ19" s="373" t="e">
        <f>Diversion!CA203</f>
        <v>#DIV/0!</v>
      </c>
      <c r="CA19" s="373" t="e">
        <f>Diversion!CB203</f>
        <v>#DIV/0!</v>
      </c>
      <c r="CB19" s="373" t="e">
        <f>Diversion!CC203</f>
        <v>#DIV/0!</v>
      </c>
      <c r="CC19" s="373" t="e">
        <f>Diversion!CD203</f>
        <v>#DIV/0!</v>
      </c>
      <c r="CD19" s="373" t="e">
        <f>Diversion!CE203</f>
        <v>#DIV/0!</v>
      </c>
      <c r="CE19" s="373" t="e">
        <f>Diversion!CF203</f>
        <v>#DIV/0!</v>
      </c>
    </row>
    <row r="20" spans="1:83" s="370" customFormat="1" ht="15.5">
      <c r="A20" s="360"/>
      <c r="B20" s="360"/>
      <c r="C20" s="373" t="s">
        <v>93</v>
      </c>
      <c r="D20" s="373" t="e">
        <f>Diversion!E204</f>
        <v>#DIV/0!</v>
      </c>
      <c r="E20" s="373" t="e">
        <f>Diversion!F204</f>
        <v>#DIV/0!</v>
      </c>
      <c r="F20" s="373" t="e">
        <f>Diversion!G204</f>
        <v>#DIV/0!</v>
      </c>
      <c r="G20" s="373" t="e">
        <f>Diversion!H204</f>
        <v>#DIV/0!</v>
      </c>
      <c r="H20" s="373" t="e">
        <f>Diversion!I204</f>
        <v>#DIV/0!</v>
      </c>
      <c r="I20" s="373" t="e">
        <f>Diversion!J204</f>
        <v>#DIV/0!</v>
      </c>
      <c r="J20" s="373" t="e">
        <f>Diversion!K204</f>
        <v>#DIV/0!</v>
      </c>
      <c r="K20" s="373" t="e">
        <f>Diversion!L204</f>
        <v>#DIV/0!</v>
      </c>
      <c r="L20" s="373" t="e">
        <f>Diversion!M204</f>
        <v>#DIV/0!</v>
      </c>
      <c r="M20" s="373" t="e">
        <f>Diversion!N204</f>
        <v>#DIV/0!</v>
      </c>
      <c r="N20" s="373" t="e">
        <f>Diversion!O204</f>
        <v>#DIV/0!</v>
      </c>
      <c r="O20" s="373" t="e">
        <f>Diversion!P204</f>
        <v>#DIV/0!</v>
      </c>
      <c r="P20" s="373" t="e">
        <f>Diversion!Q204</f>
        <v>#DIV/0!</v>
      </c>
      <c r="Q20" s="373" t="e">
        <f>Diversion!R204</f>
        <v>#DIV/0!</v>
      </c>
      <c r="R20" s="373" t="e">
        <f>Diversion!S204</f>
        <v>#DIV/0!</v>
      </c>
      <c r="S20" s="373" t="e">
        <f>Diversion!T204</f>
        <v>#DIV/0!</v>
      </c>
      <c r="T20" s="373" t="e">
        <f>Diversion!U204</f>
        <v>#DIV/0!</v>
      </c>
      <c r="U20" s="373" t="e">
        <f>Diversion!V204</f>
        <v>#DIV/0!</v>
      </c>
      <c r="V20" s="373" t="e">
        <f>Diversion!W204</f>
        <v>#DIV/0!</v>
      </c>
      <c r="W20" s="373" t="e">
        <f>Diversion!X204</f>
        <v>#DIV/0!</v>
      </c>
      <c r="X20" s="373" t="e">
        <f>Diversion!Y204</f>
        <v>#DIV/0!</v>
      </c>
      <c r="Y20" s="373" t="e">
        <f>Diversion!Z204</f>
        <v>#DIV/0!</v>
      </c>
      <c r="Z20" s="373" t="e">
        <f>Diversion!AA204</f>
        <v>#DIV/0!</v>
      </c>
      <c r="AA20" s="373" t="e">
        <f>Diversion!AB204</f>
        <v>#DIV/0!</v>
      </c>
      <c r="AB20" s="373" t="e">
        <f>Diversion!AC204</f>
        <v>#DIV/0!</v>
      </c>
      <c r="AC20" s="373" t="e">
        <f>Diversion!AD204</f>
        <v>#DIV/0!</v>
      </c>
      <c r="AD20" s="373" t="e">
        <f>Diversion!AE204</f>
        <v>#DIV/0!</v>
      </c>
      <c r="AE20" s="373" t="e">
        <f>Diversion!AF204</f>
        <v>#DIV/0!</v>
      </c>
      <c r="AF20" s="373" t="e">
        <f>Diversion!AG204</f>
        <v>#DIV/0!</v>
      </c>
      <c r="AG20" s="373" t="e">
        <f>Diversion!AH204</f>
        <v>#DIV/0!</v>
      </c>
      <c r="AH20" s="373" t="e">
        <f>Diversion!AI204</f>
        <v>#DIV/0!</v>
      </c>
      <c r="AI20" s="373" t="e">
        <f>Diversion!AJ204</f>
        <v>#DIV/0!</v>
      </c>
      <c r="AJ20" s="373" t="e">
        <f>Diversion!AK204</f>
        <v>#DIV/0!</v>
      </c>
      <c r="AK20" s="373" t="e">
        <f>Diversion!AL204</f>
        <v>#DIV/0!</v>
      </c>
      <c r="AL20" s="373" t="e">
        <f>Diversion!AM204</f>
        <v>#DIV/0!</v>
      </c>
      <c r="AM20" s="373" t="e">
        <f>Diversion!AN204</f>
        <v>#DIV/0!</v>
      </c>
      <c r="AN20" s="373" t="e">
        <f>Diversion!AO204</f>
        <v>#DIV/0!</v>
      </c>
      <c r="AO20" s="373" t="e">
        <f>Diversion!AP204</f>
        <v>#DIV/0!</v>
      </c>
      <c r="AP20" s="373" t="e">
        <f>Diversion!AQ204</f>
        <v>#DIV/0!</v>
      </c>
      <c r="AQ20" s="373" t="e">
        <f>Diversion!AR204</f>
        <v>#DIV/0!</v>
      </c>
      <c r="AR20" s="373" t="e">
        <f>Diversion!AS204</f>
        <v>#DIV/0!</v>
      </c>
      <c r="AS20" s="373" t="e">
        <f>Diversion!AT204</f>
        <v>#DIV/0!</v>
      </c>
      <c r="AT20" s="373" t="e">
        <f>Diversion!AU204</f>
        <v>#DIV/0!</v>
      </c>
      <c r="AU20" s="373" t="e">
        <f>Diversion!AV204</f>
        <v>#DIV/0!</v>
      </c>
      <c r="AV20" s="373" t="e">
        <f>Diversion!AW204</f>
        <v>#DIV/0!</v>
      </c>
      <c r="AW20" s="373" t="e">
        <f>Diversion!AX204</f>
        <v>#DIV/0!</v>
      </c>
      <c r="AX20" s="373" t="e">
        <f>Diversion!AY204</f>
        <v>#DIV/0!</v>
      </c>
      <c r="AY20" s="373" t="e">
        <f>Diversion!AZ204</f>
        <v>#DIV/0!</v>
      </c>
      <c r="AZ20" s="373" t="e">
        <f>Diversion!BA204</f>
        <v>#DIV/0!</v>
      </c>
      <c r="BA20" s="373" t="e">
        <f>Diversion!BB204</f>
        <v>#DIV/0!</v>
      </c>
      <c r="BB20" s="373" t="e">
        <f>Diversion!BC204</f>
        <v>#DIV/0!</v>
      </c>
      <c r="BC20" s="373" t="e">
        <f>Diversion!BD204</f>
        <v>#DIV/0!</v>
      </c>
      <c r="BD20" s="373" t="e">
        <f>Diversion!BE204</f>
        <v>#DIV/0!</v>
      </c>
      <c r="BE20" s="373" t="e">
        <f>Diversion!BF204</f>
        <v>#DIV/0!</v>
      </c>
      <c r="BF20" s="373" t="e">
        <f>Diversion!BG204</f>
        <v>#DIV/0!</v>
      </c>
      <c r="BG20" s="373" t="e">
        <f>Diversion!BH204</f>
        <v>#DIV/0!</v>
      </c>
      <c r="BH20" s="373" t="e">
        <f>Diversion!BI204</f>
        <v>#DIV/0!</v>
      </c>
      <c r="BI20" s="373" t="e">
        <f>Diversion!BJ204</f>
        <v>#DIV/0!</v>
      </c>
      <c r="BJ20" s="373" t="e">
        <f>Diversion!BK204</f>
        <v>#DIV/0!</v>
      </c>
      <c r="BK20" s="373" t="e">
        <f>Diversion!BL204</f>
        <v>#DIV/0!</v>
      </c>
      <c r="BL20" s="373" t="e">
        <f>Diversion!BM204</f>
        <v>#DIV/0!</v>
      </c>
      <c r="BM20" s="373" t="e">
        <f>Diversion!BN204</f>
        <v>#DIV/0!</v>
      </c>
      <c r="BN20" s="373" t="e">
        <f>Diversion!BO204</f>
        <v>#DIV/0!</v>
      </c>
      <c r="BO20" s="373" t="e">
        <f>Diversion!BP204</f>
        <v>#DIV/0!</v>
      </c>
      <c r="BP20" s="373" t="e">
        <f>Diversion!BQ204</f>
        <v>#DIV/0!</v>
      </c>
      <c r="BQ20" s="373" t="e">
        <f>Diversion!BR204</f>
        <v>#DIV/0!</v>
      </c>
      <c r="BR20" s="373" t="e">
        <f>Diversion!BS204</f>
        <v>#DIV/0!</v>
      </c>
      <c r="BS20" s="373" t="e">
        <f>Diversion!BT204</f>
        <v>#DIV/0!</v>
      </c>
      <c r="BT20" s="373" t="e">
        <f>Diversion!BU204</f>
        <v>#DIV/0!</v>
      </c>
      <c r="BU20" s="373" t="e">
        <f>Diversion!BV204</f>
        <v>#DIV/0!</v>
      </c>
      <c r="BV20" s="373" t="e">
        <f>Diversion!BW204</f>
        <v>#DIV/0!</v>
      </c>
      <c r="BW20" s="373" t="e">
        <f>Diversion!BX204</f>
        <v>#DIV/0!</v>
      </c>
      <c r="BX20" s="373" t="e">
        <f>Diversion!BY204</f>
        <v>#DIV/0!</v>
      </c>
      <c r="BY20" s="373" t="e">
        <f>Diversion!BZ204</f>
        <v>#DIV/0!</v>
      </c>
      <c r="BZ20" s="373" t="e">
        <f>Diversion!CA204</f>
        <v>#DIV/0!</v>
      </c>
      <c r="CA20" s="373" t="e">
        <f>Diversion!CB204</f>
        <v>#DIV/0!</v>
      </c>
      <c r="CB20" s="373" t="e">
        <f>Diversion!CC204</f>
        <v>#DIV/0!</v>
      </c>
      <c r="CC20" s="373" t="e">
        <f>Diversion!CD204</f>
        <v>#DIV/0!</v>
      </c>
      <c r="CD20" s="373" t="e">
        <f>Diversion!CE204</f>
        <v>#DIV/0!</v>
      </c>
      <c r="CE20" s="373" t="e">
        <f>Diversion!CF204</f>
        <v>#DIV/0!</v>
      </c>
    </row>
    <row r="21" spans="1:83" s="370" customFormat="1" ht="15.5">
      <c r="A21" s="360"/>
      <c r="B21" s="360"/>
    </row>
    <row r="22" spans="1:83" s="370" customFormat="1" ht="15.5">
      <c r="A22" s="360"/>
      <c r="B22" s="360" t="s">
        <v>370</v>
      </c>
    </row>
    <row r="23" spans="1:83" s="370" customFormat="1" ht="15.5">
      <c r="A23" s="360"/>
      <c r="B23" s="360"/>
      <c r="C23" s="372"/>
      <c r="D23" s="372">
        <v>2010</v>
      </c>
      <c r="E23" s="372">
        <v>2011</v>
      </c>
      <c r="F23" s="372">
        <v>2012</v>
      </c>
      <c r="G23" s="372">
        <v>2013</v>
      </c>
      <c r="H23" s="372">
        <v>2014</v>
      </c>
      <c r="I23" s="372">
        <v>2015</v>
      </c>
      <c r="J23" s="372">
        <v>2016</v>
      </c>
      <c r="K23" s="372">
        <v>2017</v>
      </c>
      <c r="L23" s="372">
        <v>2018</v>
      </c>
      <c r="M23" s="372">
        <v>2019</v>
      </c>
      <c r="N23" s="372">
        <v>2020</v>
      </c>
      <c r="O23" s="372">
        <v>2021</v>
      </c>
      <c r="P23" s="372">
        <v>2022</v>
      </c>
      <c r="Q23" s="372">
        <v>2023</v>
      </c>
      <c r="R23" s="372">
        <v>2024</v>
      </c>
      <c r="S23" s="372">
        <v>2025</v>
      </c>
      <c r="T23" s="372">
        <v>2026</v>
      </c>
      <c r="U23" s="372">
        <v>2027</v>
      </c>
      <c r="V23" s="372">
        <v>2028</v>
      </c>
      <c r="W23" s="372">
        <v>2029</v>
      </c>
      <c r="X23" s="372">
        <v>2030</v>
      </c>
      <c r="Y23" s="372">
        <v>2031</v>
      </c>
      <c r="Z23" s="372">
        <v>2032</v>
      </c>
      <c r="AA23" s="372">
        <v>2033</v>
      </c>
      <c r="AB23" s="372">
        <v>2034</v>
      </c>
      <c r="AC23" s="372">
        <v>2035</v>
      </c>
      <c r="AD23" s="372">
        <v>2036</v>
      </c>
      <c r="AE23" s="372">
        <v>2037</v>
      </c>
      <c r="AF23" s="372">
        <v>2038</v>
      </c>
      <c r="AG23" s="372">
        <v>2039</v>
      </c>
      <c r="AH23" s="372">
        <v>2040</v>
      </c>
      <c r="AI23" s="372">
        <v>2041</v>
      </c>
      <c r="AJ23" s="372">
        <v>2042</v>
      </c>
      <c r="AK23" s="372">
        <v>2043</v>
      </c>
      <c r="AL23" s="372">
        <v>2044</v>
      </c>
      <c r="AM23" s="372">
        <v>2045</v>
      </c>
      <c r="AN23" s="372">
        <v>2046</v>
      </c>
      <c r="AO23" s="372">
        <v>2047</v>
      </c>
      <c r="AP23" s="372">
        <v>2048</v>
      </c>
      <c r="AQ23" s="372">
        <v>2049</v>
      </c>
      <c r="AR23" s="372">
        <v>2050</v>
      </c>
      <c r="AS23" s="372">
        <v>2051</v>
      </c>
      <c r="AT23" s="372">
        <v>2052</v>
      </c>
      <c r="AU23" s="372">
        <v>2053</v>
      </c>
      <c r="AV23" s="372">
        <v>2054</v>
      </c>
      <c r="AW23" s="372">
        <v>2055</v>
      </c>
      <c r="AX23" s="372">
        <v>2056</v>
      </c>
      <c r="AY23" s="372">
        <v>2057</v>
      </c>
      <c r="AZ23" s="372">
        <v>2058</v>
      </c>
      <c r="BA23" s="372">
        <v>2059</v>
      </c>
      <c r="BB23" s="372">
        <v>2060</v>
      </c>
      <c r="BC23" s="372">
        <v>2061</v>
      </c>
      <c r="BD23" s="372">
        <v>2062</v>
      </c>
      <c r="BE23" s="372">
        <v>2063</v>
      </c>
      <c r="BF23" s="372">
        <v>2064</v>
      </c>
      <c r="BG23" s="372">
        <v>2065</v>
      </c>
      <c r="BH23" s="372">
        <v>2066</v>
      </c>
      <c r="BI23" s="372">
        <v>2067</v>
      </c>
      <c r="BJ23" s="372">
        <v>2068</v>
      </c>
      <c r="BK23" s="372">
        <v>2069</v>
      </c>
      <c r="BL23" s="372">
        <v>2070</v>
      </c>
      <c r="BM23" s="372">
        <v>2071</v>
      </c>
      <c r="BN23" s="372">
        <v>2072</v>
      </c>
      <c r="BO23" s="372">
        <v>2073</v>
      </c>
      <c r="BP23" s="372">
        <v>2074</v>
      </c>
      <c r="BQ23" s="372">
        <v>2075</v>
      </c>
      <c r="BR23" s="372">
        <v>2076</v>
      </c>
      <c r="BS23" s="372">
        <v>2077</v>
      </c>
      <c r="BT23" s="372">
        <v>2078</v>
      </c>
      <c r="BU23" s="372">
        <v>2079</v>
      </c>
      <c r="BV23" s="372">
        <v>2080</v>
      </c>
      <c r="BW23" s="372">
        <v>2081</v>
      </c>
      <c r="BX23" s="372">
        <v>2082</v>
      </c>
      <c r="BY23" s="372">
        <v>2083</v>
      </c>
      <c r="BZ23" s="372">
        <v>2084</v>
      </c>
      <c r="CA23" s="372">
        <v>2085</v>
      </c>
      <c r="CB23" s="372">
        <v>2086</v>
      </c>
      <c r="CC23" s="372">
        <v>2087</v>
      </c>
      <c r="CD23" s="372">
        <v>2088</v>
      </c>
      <c r="CE23" s="372">
        <v>2089</v>
      </c>
    </row>
    <row r="24" spans="1:83" s="370" customFormat="1" ht="15.5">
      <c r="A24" s="360"/>
      <c r="B24" s="360"/>
      <c r="C24" s="373" t="s">
        <v>87</v>
      </c>
      <c r="D24" s="373" t="e">
        <f>IF(D$23&lt;$D$10,0,D17)</f>
        <v>#DIV/0!</v>
      </c>
      <c r="E24" s="373" t="e">
        <f t="shared" ref="E24:BP25" si="0">IF(E$23&lt;$D$10,0,E17)</f>
        <v>#DIV/0!</v>
      </c>
      <c r="F24" s="373" t="e">
        <f t="shared" si="0"/>
        <v>#DIV/0!</v>
      </c>
      <c r="G24" s="373" t="e">
        <f t="shared" si="0"/>
        <v>#DIV/0!</v>
      </c>
      <c r="H24" s="373" t="e">
        <f t="shared" si="0"/>
        <v>#DIV/0!</v>
      </c>
      <c r="I24" s="373" t="e">
        <f t="shared" si="0"/>
        <v>#DIV/0!</v>
      </c>
      <c r="J24" s="373" t="e">
        <f t="shared" si="0"/>
        <v>#DIV/0!</v>
      </c>
      <c r="K24" s="373" t="e">
        <f t="shared" si="0"/>
        <v>#DIV/0!</v>
      </c>
      <c r="L24" s="373" t="e">
        <f t="shared" si="0"/>
        <v>#DIV/0!</v>
      </c>
      <c r="M24" s="373" t="e">
        <f t="shared" si="0"/>
        <v>#DIV/0!</v>
      </c>
      <c r="N24" s="373" t="e">
        <f t="shared" si="0"/>
        <v>#DIV/0!</v>
      </c>
      <c r="O24" s="373" t="e">
        <f t="shared" si="0"/>
        <v>#DIV/0!</v>
      </c>
      <c r="P24" s="373" t="e">
        <f t="shared" si="0"/>
        <v>#DIV/0!</v>
      </c>
      <c r="Q24" s="373" t="e">
        <f t="shared" si="0"/>
        <v>#DIV/0!</v>
      </c>
      <c r="R24" s="373" t="e">
        <f t="shared" si="0"/>
        <v>#DIV/0!</v>
      </c>
      <c r="S24" s="373" t="e">
        <f t="shared" si="0"/>
        <v>#DIV/0!</v>
      </c>
      <c r="T24" s="373" t="e">
        <f t="shared" si="0"/>
        <v>#DIV/0!</v>
      </c>
      <c r="U24" s="373" t="e">
        <f t="shared" si="0"/>
        <v>#DIV/0!</v>
      </c>
      <c r="V24" s="373" t="e">
        <f t="shared" si="0"/>
        <v>#DIV/0!</v>
      </c>
      <c r="W24" s="373" t="e">
        <f t="shared" si="0"/>
        <v>#DIV/0!</v>
      </c>
      <c r="X24" s="373" t="e">
        <f t="shared" si="0"/>
        <v>#DIV/0!</v>
      </c>
      <c r="Y24" s="373" t="e">
        <f t="shared" si="0"/>
        <v>#DIV/0!</v>
      </c>
      <c r="Z24" s="373" t="e">
        <f t="shared" si="0"/>
        <v>#DIV/0!</v>
      </c>
      <c r="AA24" s="373" t="e">
        <f t="shared" si="0"/>
        <v>#DIV/0!</v>
      </c>
      <c r="AB24" s="373" t="e">
        <f t="shared" si="0"/>
        <v>#DIV/0!</v>
      </c>
      <c r="AC24" s="373" t="e">
        <f t="shared" si="0"/>
        <v>#DIV/0!</v>
      </c>
      <c r="AD24" s="373" t="e">
        <f t="shared" si="0"/>
        <v>#DIV/0!</v>
      </c>
      <c r="AE24" s="373" t="e">
        <f t="shared" si="0"/>
        <v>#DIV/0!</v>
      </c>
      <c r="AF24" s="373" t="e">
        <f t="shared" si="0"/>
        <v>#DIV/0!</v>
      </c>
      <c r="AG24" s="373" t="e">
        <f t="shared" si="0"/>
        <v>#DIV/0!</v>
      </c>
      <c r="AH24" s="373" t="e">
        <f t="shared" si="0"/>
        <v>#DIV/0!</v>
      </c>
      <c r="AI24" s="373" t="e">
        <f t="shared" si="0"/>
        <v>#DIV/0!</v>
      </c>
      <c r="AJ24" s="373" t="e">
        <f t="shared" si="0"/>
        <v>#DIV/0!</v>
      </c>
      <c r="AK24" s="373" t="e">
        <f t="shared" si="0"/>
        <v>#DIV/0!</v>
      </c>
      <c r="AL24" s="373" t="e">
        <f t="shared" si="0"/>
        <v>#DIV/0!</v>
      </c>
      <c r="AM24" s="373" t="e">
        <f t="shared" si="0"/>
        <v>#DIV/0!</v>
      </c>
      <c r="AN24" s="373" t="e">
        <f t="shared" si="0"/>
        <v>#DIV/0!</v>
      </c>
      <c r="AO24" s="373" t="e">
        <f t="shared" si="0"/>
        <v>#DIV/0!</v>
      </c>
      <c r="AP24" s="373" t="e">
        <f t="shared" si="0"/>
        <v>#DIV/0!</v>
      </c>
      <c r="AQ24" s="373" t="e">
        <f t="shared" si="0"/>
        <v>#DIV/0!</v>
      </c>
      <c r="AR24" s="373" t="e">
        <f t="shared" si="0"/>
        <v>#DIV/0!</v>
      </c>
      <c r="AS24" s="373" t="e">
        <f t="shared" si="0"/>
        <v>#DIV/0!</v>
      </c>
      <c r="AT24" s="373" t="e">
        <f t="shared" si="0"/>
        <v>#DIV/0!</v>
      </c>
      <c r="AU24" s="373" t="e">
        <f t="shared" si="0"/>
        <v>#DIV/0!</v>
      </c>
      <c r="AV24" s="373" t="e">
        <f t="shared" si="0"/>
        <v>#DIV/0!</v>
      </c>
      <c r="AW24" s="373" t="e">
        <f t="shared" si="0"/>
        <v>#DIV/0!</v>
      </c>
      <c r="AX24" s="373" t="e">
        <f t="shared" si="0"/>
        <v>#DIV/0!</v>
      </c>
      <c r="AY24" s="373" t="e">
        <f t="shared" si="0"/>
        <v>#DIV/0!</v>
      </c>
      <c r="AZ24" s="373" t="e">
        <f t="shared" si="0"/>
        <v>#DIV/0!</v>
      </c>
      <c r="BA24" s="373" t="e">
        <f t="shared" si="0"/>
        <v>#DIV/0!</v>
      </c>
      <c r="BB24" s="373" t="e">
        <f t="shared" si="0"/>
        <v>#DIV/0!</v>
      </c>
      <c r="BC24" s="373" t="e">
        <f t="shared" si="0"/>
        <v>#DIV/0!</v>
      </c>
      <c r="BD24" s="373" t="e">
        <f t="shared" si="0"/>
        <v>#DIV/0!</v>
      </c>
      <c r="BE24" s="373" t="e">
        <f t="shared" si="0"/>
        <v>#DIV/0!</v>
      </c>
      <c r="BF24" s="373" t="e">
        <f t="shared" si="0"/>
        <v>#DIV/0!</v>
      </c>
      <c r="BG24" s="373" t="e">
        <f t="shared" si="0"/>
        <v>#DIV/0!</v>
      </c>
      <c r="BH24" s="373" t="e">
        <f t="shared" si="0"/>
        <v>#DIV/0!</v>
      </c>
      <c r="BI24" s="373" t="e">
        <f t="shared" si="0"/>
        <v>#DIV/0!</v>
      </c>
      <c r="BJ24" s="373" t="e">
        <f t="shared" si="0"/>
        <v>#DIV/0!</v>
      </c>
      <c r="BK24" s="373" t="e">
        <f t="shared" si="0"/>
        <v>#DIV/0!</v>
      </c>
      <c r="BL24" s="373" t="e">
        <f t="shared" si="0"/>
        <v>#DIV/0!</v>
      </c>
      <c r="BM24" s="373" t="e">
        <f t="shared" si="0"/>
        <v>#DIV/0!</v>
      </c>
      <c r="BN24" s="373" t="e">
        <f t="shared" si="0"/>
        <v>#DIV/0!</v>
      </c>
      <c r="BO24" s="373" t="e">
        <f t="shared" si="0"/>
        <v>#DIV/0!</v>
      </c>
      <c r="BP24" s="373" t="e">
        <f t="shared" si="0"/>
        <v>#DIV/0!</v>
      </c>
      <c r="BQ24" s="373" t="e">
        <f t="shared" ref="BQ24:CE27" si="1">IF(BQ$23&lt;$D$10,0,BQ17)</f>
        <v>#DIV/0!</v>
      </c>
      <c r="BR24" s="373" t="e">
        <f t="shared" si="1"/>
        <v>#DIV/0!</v>
      </c>
      <c r="BS24" s="373" t="e">
        <f t="shared" si="1"/>
        <v>#DIV/0!</v>
      </c>
      <c r="BT24" s="373" t="e">
        <f t="shared" si="1"/>
        <v>#DIV/0!</v>
      </c>
      <c r="BU24" s="373" t="e">
        <f t="shared" si="1"/>
        <v>#DIV/0!</v>
      </c>
      <c r="BV24" s="373" t="e">
        <f t="shared" si="1"/>
        <v>#DIV/0!</v>
      </c>
      <c r="BW24" s="373" t="e">
        <f t="shared" si="1"/>
        <v>#DIV/0!</v>
      </c>
      <c r="BX24" s="373" t="e">
        <f t="shared" si="1"/>
        <v>#DIV/0!</v>
      </c>
      <c r="BY24" s="373" t="e">
        <f t="shared" si="1"/>
        <v>#DIV/0!</v>
      </c>
      <c r="BZ24" s="373" t="e">
        <f t="shared" si="1"/>
        <v>#DIV/0!</v>
      </c>
      <c r="CA24" s="373" t="e">
        <f t="shared" si="1"/>
        <v>#DIV/0!</v>
      </c>
      <c r="CB24" s="373" t="e">
        <f t="shared" si="1"/>
        <v>#DIV/0!</v>
      </c>
      <c r="CC24" s="373" t="e">
        <f t="shared" si="1"/>
        <v>#DIV/0!</v>
      </c>
      <c r="CD24" s="373" t="e">
        <f t="shared" si="1"/>
        <v>#DIV/0!</v>
      </c>
      <c r="CE24" s="373" t="e">
        <f t="shared" si="1"/>
        <v>#DIV/0!</v>
      </c>
    </row>
    <row r="25" spans="1:83" s="370" customFormat="1" ht="15.5">
      <c r="A25" s="360"/>
      <c r="B25" s="360"/>
      <c r="C25" s="373" t="s">
        <v>89</v>
      </c>
      <c r="D25" s="373" t="e">
        <f>IF(D$23&lt;$D$10,0,D18)</f>
        <v>#DIV/0!</v>
      </c>
      <c r="E25" s="373" t="e">
        <f t="shared" ref="E25:S25" si="2">IF(E$23&lt;$D$10,0,E18)</f>
        <v>#DIV/0!</v>
      </c>
      <c r="F25" s="373" t="e">
        <f t="shared" si="2"/>
        <v>#DIV/0!</v>
      </c>
      <c r="G25" s="373" t="e">
        <f t="shared" si="2"/>
        <v>#DIV/0!</v>
      </c>
      <c r="H25" s="373" t="e">
        <f t="shared" si="2"/>
        <v>#DIV/0!</v>
      </c>
      <c r="I25" s="373" t="e">
        <f t="shared" si="2"/>
        <v>#DIV/0!</v>
      </c>
      <c r="J25" s="373" t="e">
        <f t="shared" si="2"/>
        <v>#DIV/0!</v>
      </c>
      <c r="K25" s="373" t="e">
        <f t="shared" si="2"/>
        <v>#DIV/0!</v>
      </c>
      <c r="L25" s="373" t="e">
        <f t="shared" si="2"/>
        <v>#DIV/0!</v>
      </c>
      <c r="M25" s="373" t="e">
        <f t="shared" si="2"/>
        <v>#DIV/0!</v>
      </c>
      <c r="N25" s="373" t="e">
        <f t="shared" si="2"/>
        <v>#DIV/0!</v>
      </c>
      <c r="O25" s="373" t="e">
        <f t="shared" si="2"/>
        <v>#DIV/0!</v>
      </c>
      <c r="P25" s="373" t="e">
        <f t="shared" si="2"/>
        <v>#DIV/0!</v>
      </c>
      <c r="Q25" s="373" t="e">
        <f t="shared" si="2"/>
        <v>#DIV/0!</v>
      </c>
      <c r="R25" s="373" t="e">
        <f t="shared" si="2"/>
        <v>#DIV/0!</v>
      </c>
      <c r="S25" s="373" t="e">
        <f t="shared" si="2"/>
        <v>#DIV/0!</v>
      </c>
      <c r="T25" s="373" t="e">
        <f t="shared" si="0"/>
        <v>#DIV/0!</v>
      </c>
      <c r="U25" s="373" t="e">
        <f t="shared" si="0"/>
        <v>#DIV/0!</v>
      </c>
      <c r="V25" s="373" t="e">
        <f t="shared" si="0"/>
        <v>#DIV/0!</v>
      </c>
      <c r="W25" s="373" t="e">
        <f t="shared" si="0"/>
        <v>#DIV/0!</v>
      </c>
      <c r="X25" s="373" t="e">
        <f t="shared" si="0"/>
        <v>#DIV/0!</v>
      </c>
      <c r="Y25" s="373" t="e">
        <f t="shared" si="0"/>
        <v>#DIV/0!</v>
      </c>
      <c r="Z25" s="373" t="e">
        <f t="shared" si="0"/>
        <v>#DIV/0!</v>
      </c>
      <c r="AA25" s="373" t="e">
        <f t="shared" si="0"/>
        <v>#DIV/0!</v>
      </c>
      <c r="AB25" s="373" t="e">
        <f t="shared" si="0"/>
        <v>#DIV/0!</v>
      </c>
      <c r="AC25" s="373" t="e">
        <f t="shared" si="0"/>
        <v>#DIV/0!</v>
      </c>
      <c r="AD25" s="373" t="e">
        <f t="shared" si="0"/>
        <v>#DIV/0!</v>
      </c>
      <c r="AE25" s="373" t="e">
        <f t="shared" si="0"/>
        <v>#DIV/0!</v>
      </c>
      <c r="AF25" s="373" t="e">
        <f t="shared" si="0"/>
        <v>#DIV/0!</v>
      </c>
      <c r="AG25" s="373" t="e">
        <f t="shared" si="0"/>
        <v>#DIV/0!</v>
      </c>
      <c r="AH25" s="373" t="e">
        <f t="shared" si="0"/>
        <v>#DIV/0!</v>
      </c>
      <c r="AI25" s="373" t="e">
        <f t="shared" si="0"/>
        <v>#DIV/0!</v>
      </c>
      <c r="AJ25" s="373" t="e">
        <f t="shared" si="0"/>
        <v>#DIV/0!</v>
      </c>
      <c r="AK25" s="373" t="e">
        <f t="shared" si="0"/>
        <v>#DIV/0!</v>
      </c>
      <c r="AL25" s="373" t="e">
        <f t="shared" si="0"/>
        <v>#DIV/0!</v>
      </c>
      <c r="AM25" s="373" t="e">
        <f t="shared" si="0"/>
        <v>#DIV/0!</v>
      </c>
      <c r="AN25" s="373" t="e">
        <f t="shared" si="0"/>
        <v>#DIV/0!</v>
      </c>
      <c r="AO25" s="373" t="e">
        <f t="shared" si="0"/>
        <v>#DIV/0!</v>
      </c>
      <c r="AP25" s="373" t="e">
        <f t="shared" si="0"/>
        <v>#DIV/0!</v>
      </c>
      <c r="AQ25" s="373" t="e">
        <f t="shared" si="0"/>
        <v>#DIV/0!</v>
      </c>
      <c r="AR25" s="373" t="e">
        <f t="shared" si="0"/>
        <v>#DIV/0!</v>
      </c>
      <c r="AS25" s="373" t="e">
        <f t="shared" si="0"/>
        <v>#DIV/0!</v>
      </c>
      <c r="AT25" s="373" t="e">
        <f t="shared" si="0"/>
        <v>#DIV/0!</v>
      </c>
      <c r="AU25" s="373" t="e">
        <f t="shared" si="0"/>
        <v>#DIV/0!</v>
      </c>
      <c r="AV25" s="373" t="e">
        <f t="shared" si="0"/>
        <v>#DIV/0!</v>
      </c>
      <c r="AW25" s="373" t="e">
        <f t="shared" si="0"/>
        <v>#DIV/0!</v>
      </c>
      <c r="AX25" s="373" t="e">
        <f t="shared" si="0"/>
        <v>#DIV/0!</v>
      </c>
      <c r="AY25" s="373" t="e">
        <f t="shared" si="0"/>
        <v>#DIV/0!</v>
      </c>
      <c r="AZ25" s="373" t="e">
        <f t="shared" si="0"/>
        <v>#DIV/0!</v>
      </c>
      <c r="BA25" s="373" t="e">
        <f t="shared" si="0"/>
        <v>#DIV/0!</v>
      </c>
      <c r="BB25" s="373" t="e">
        <f t="shared" si="0"/>
        <v>#DIV/0!</v>
      </c>
      <c r="BC25" s="373" t="e">
        <f t="shared" si="0"/>
        <v>#DIV/0!</v>
      </c>
      <c r="BD25" s="373" t="e">
        <f t="shared" si="0"/>
        <v>#DIV/0!</v>
      </c>
      <c r="BE25" s="373" t="e">
        <f t="shared" si="0"/>
        <v>#DIV/0!</v>
      </c>
      <c r="BF25" s="373" t="e">
        <f t="shared" si="0"/>
        <v>#DIV/0!</v>
      </c>
      <c r="BG25" s="373" t="e">
        <f t="shared" si="0"/>
        <v>#DIV/0!</v>
      </c>
      <c r="BH25" s="373" t="e">
        <f t="shared" si="0"/>
        <v>#DIV/0!</v>
      </c>
      <c r="BI25" s="373" t="e">
        <f t="shared" si="0"/>
        <v>#DIV/0!</v>
      </c>
      <c r="BJ25" s="373" t="e">
        <f t="shared" si="0"/>
        <v>#DIV/0!</v>
      </c>
      <c r="BK25" s="373" t="e">
        <f t="shared" si="0"/>
        <v>#DIV/0!</v>
      </c>
      <c r="BL25" s="373" t="e">
        <f t="shared" si="0"/>
        <v>#DIV/0!</v>
      </c>
      <c r="BM25" s="373" t="e">
        <f t="shared" si="0"/>
        <v>#DIV/0!</v>
      </c>
      <c r="BN25" s="373" t="e">
        <f t="shared" si="0"/>
        <v>#DIV/0!</v>
      </c>
      <c r="BO25" s="373" t="e">
        <f t="shared" si="0"/>
        <v>#DIV/0!</v>
      </c>
      <c r="BP25" s="373" t="e">
        <f t="shared" si="0"/>
        <v>#DIV/0!</v>
      </c>
      <c r="BQ25" s="373" t="e">
        <f t="shared" si="1"/>
        <v>#DIV/0!</v>
      </c>
      <c r="BR25" s="373" t="e">
        <f t="shared" si="1"/>
        <v>#DIV/0!</v>
      </c>
      <c r="BS25" s="373" t="e">
        <f t="shared" si="1"/>
        <v>#DIV/0!</v>
      </c>
      <c r="BT25" s="373" t="e">
        <f t="shared" si="1"/>
        <v>#DIV/0!</v>
      </c>
      <c r="BU25" s="373" t="e">
        <f t="shared" si="1"/>
        <v>#DIV/0!</v>
      </c>
      <c r="BV25" s="373" t="e">
        <f t="shared" si="1"/>
        <v>#DIV/0!</v>
      </c>
      <c r="BW25" s="373" t="e">
        <f t="shared" si="1"/>
        <v>#DIV/0!</v>
      </c>
      <c r="BX25" s="373" t="e">
        <f t="shared" si="1"/>
        <v>#DIV/0!</v>
      </c>
      <c r="BY25" s="373" t="e">
        <f t="shared" si="1"/>
        <v>#DIV/0!</v>
      </c>
      <c r="BZ25" s="373" t="e">
        <f t="shared" si="1"/>
        <v>#DIV/0!</v>
      </c>
      <c r="CA25" s="373" t="e">
        <f t="shared" si="1"/>
        <v>#DIV/0!</v>
      </c>
      <c r="CB25" s="373" t="e">
        <f t="shared" si="1"/>
        <v>#DIV/0!</v>
      </c>
      <c r="CC25" s="373" t="e">
        <f t="shared" si="1"/>
        <v>#DIV/0!</v>
      </c>
      <c r="CD25" s="373" t="e">
        <f t="shared" si="1"/>
        <v>#DIV/0!</v>
      </c>
      <c r="CE25" s="373" t="e">
        <f t="shared" si="1"/>
        <v>#DIV/0!</v>
      </c>
    </row>
    <row r="26" spans="1:83" s="370" customFormat="1" ht="15.5">
      <c r="A26" s="360"/>
      <c r="B26" s="360"/>
      <c r="C26" s="373" t="s">
        <v>91</v>
      </c>
      <c r="D26" s="373" t="e">
        <f>IF(D$23&lt;$D$10,0,D19)</f>
        <v>#DIV/0!</v>
      </c>
      <c r="E26" s="373" t="e">
        <f t="shared" ref="E26:BP27" si="3">IF(E$23&lt;$D$10,0,E19)</f>
        <v>#DIV/0!</v>
      </c>
      <c r="F26" s="373" t="e">
        <f t="shared" si="3"/>
        <v>#DIV/0!</v>
      </c>
      <c r="G26" s="373" t="e">
        <f t="shared" si="3"/>
        <v>#DIV/0!</v>
      </c>
      <c r="H26" s="373" t="e">
        <f t="shared" si="3"/>
        <v>#DIV/0!</v>
      </c>
      <c r="I26" s="373" t="e">
        <f t="shared" si="3"/>
        <v>#DIV/0!</v>
      </c>
      <c r="J26" s="373" t="e">
        <f t="shared" si="3"/>
        <v>#DIV/0!</v>
      </c>
      <c r="K26" s="373" t="e">
        <f t="shared" si="3"/>
        <v>#DIV/0!</v>
      </c>
      <c r="L26" s="373" t="e">
        <f t="shared" si="3"/>
        <v>#DIV/0!</v>
      </c>
      <c r="M26" s="373" t="e">
        <f t="shared" si="3"/>
        <v>#DIV/0!</v>
      </c>
      <c r="N26" s="373" t="e">
        <f t="shared" si="3"/>
        <v>#DIV/0!</v>
      </c>
      <c r="O26" s="373" t="e">
        <f t="shared" si="3"/>
        <v>#DIV/0!</v>
      </c>
      <c r="P26" s="373" t="e">
        <f t="shared" si="3"/>
        <v>#DIV/0!</v>
      </c>
      <c r="Q26" s="373" t="e">
        <f t="shared" si="3"/>
        <v>#DIV/0!</v>
      </c>
      <c r="R26" s="373" t="e">
        <f t="shared" si="3"/>
        <v>#DIV/0!</v>
      </c>
      <c r="S26" s="373" t="e">
        <f t="shared" si="3"/>
        <v>#DIV/0!</v>
      </c>
      <c r="T26" s="373" t="e">
        <f t="shared" si="3"/>
        <v>#DIV/0!</v>
      </c>
      <c r="U26" s="373" t="e">
        <f t="shared" si="3"/>
        <v>#DIV/0!</v>
      </c>
      <c r="V26" s="373" t="e">
        <f t="shared" si="3"/>
        <v>#DIV/0!</v>
      </c>
      <c r="W26" s="373" t="e">
        <f t="shared" si="3"/>
        <v>#DIV/0!</v>
      </c>
      <c r="X26" s="373" t="e">
        <f t="shared" si="3"/>
        <v>#DIV/0!</v>
      </c>
      <c r="Y26" s="373" t="e">
        <f t="shared" si="3"/>
        <v>#DIV/0!</v>
      </c>
      <c r="Z26" s="373" t="e">
        <f t="shared" si="3"/>
        <v>#DIV/0!</v>
      </c>
      <c r="AA26" s="373" t="e">
        <f t="shared" si="3"/>
        <v>#DIV/0!</v>
      </c>
      <c r="AB26" s="373" t="e">
        <f t="shared" si="3"/>
        <v>#DIV/0!</v>
      </c>
      <c r="AC26" s="373" t="e">
        <f t="shared" si="3"/>
        <v>#DIV/0!</v>
      </c>
      <c r="AD26" s="373" t="e">
        <f t="shared" si="3"/>
        <v>#DIV/0!</v>
      </c>
      <c r="AE26" s="373" t="e">
        <f t="shared" si="3"/>
        <v>#DIV/0!</v>
      </c>
      <c r="AF26" s="373" t="e">
        <f t="shared" si="3"/>
        <v>#DIV/0!</v>
      </c>
      <c r="AG26" s="373" t="e">
        <f t="shared" si="3"/>
        <v>#DIV/0!</v>
      </c>
      <c r="AH26" s="373" t="e">
        <f t="shared" si="3"/>
        <v>#DIV/0!</v>
      </c>
      <c r="AI26" s="373" t="e">
        <f t="shared" si="3"/>
        <v>#DIV/0!</v>
      </c>
      <c r="AJ26" s="373" t="e">
        <f t="shared" si="3"/>
        <v>#DIV/0!</v>
      </c>
      <c r="AK26" s="373" t="e">
        <f t="shared" si="3"/>
        <v>#DIV/0!</v>
      </c>
      <c r="AL26" s="373" t="e">
        <f t="shared" si="3"/>
        <v>#DIV/0!</v>
      </c>
      <c r="AM26" s="373" t="e">
        <f t="shared" si="3"/>
        <v>#DIV/0!</v>
      </c>
      <c r="AN26" s="373" t="e">
        <f t="shared" si="3"/>
        <v>#DIV/0!</v>
      </c>
      <c r="AO26" s="373" t="e">
        <f t="shared" si="3"/>
        <v>#DIV/0!</v>
      </c>
      <c r="AP26" s="373" t="e">
        <f t="shared" si="3"/>
        <v>#DIV/0!</v>
      </c>
      <c r="AQ26" s="373" t="e">
        <f t="shared" si="3"/>
        <v>#DIV/0!</v>
      </c>
      <c r="AR26" s="373" t="e">
        <f t="shared" si="3"/>
        <v>#DIV/0!</v>
      </c>
      <c r="AS26" s="373" t="e">
        <f t="shared" si="3"/>
        <v>#DIV/0!</v>
      </c>
      <c r="AT26" s="373" t="e">
        <f t="shared" si="3"/>
        <v>#DIV/0!</v>
      </c>
      <c r="AU26" s="373" t="e">
        <f t="shared" si="3"/>
        <v>#DIV/0!</v>
      </c>
      <c r="AV26" s="373" t="e">
        <f t="shared" si="3"/>
        <v>#DIV/0!</v>
      </c>
      <c r="AW26" s="373" t="e">
        <f t="shared" si="3"/>
        <v>#DIV/0!</v>
      </c>
      <c r="AX26" s="373" t="e">
        <f t="shared" si="3"/>
        <v>#DIV/0!</v>
      </c>
      <c r="AY26" s="373" t="e">
        <f t="shared" si="3"/>
        <v>#DIV/0!</v>
      </c>
      <c r="AZ26" s="373" t="e">
        <f t="shared" si="3"/>
        <v>#DIV/0!</v>
      </c>
      <c r="BA26" s="373" t="e">
        <f t="shared" si="3"/>
        <v>#DIV/0!</v>
      </c>
      <c r="BB26" s="373" t="e">
        <f t="shared" si="3"/>
        <v>#DIV/0!</v>
      </c>
      <c r="BC26" s="373" t="e">
        <f t="shared" si="3"/>
        <v>#DIV/0!</v>
      </c>
      <c r="BD26" s="373" t="e">
        <f t="shared" si="3"/>
        <v>#DIV/0!</v>
      </c>
      <c r="BE26" s="373" t="e">
        <f t="shared" si="3"/>
        <v>#DIV/0!</v>
      </c>
      <c r="BF26" s="373" t="e">
        <f t="shared" si="3"/>
        <v>#DIV/0!</v>
      </c>
      <c r="BG26" s="373" t="e">
        <f t="shared" si="3"/>
        <v>#DIV/0!</v>
      </c>
      <c r="BH26" s="373" t="e">
        <f t="shared" si="3"/>
        <v>#DIV/0!</v>
      </c>
      <c r="BI26" s="373" t="e">
        <f t="shared" si="3"/>
        <v>#DIV/0!</v>
      </c>
      <c r="BJ26" s="373" t="e">
        <f t="shared" si="3"/>
        <v>#DIV/0!</v>
      </c>
      <c r="BK26" s="373" t="e">
        <f t="shared" si="3"/>
        <v>#DIV/0!</v>
      </c>
      <c r="BL26" s="373" t="e">
        <f t="shared" si="3"/>
        <v>#DIV/0!</v>
      </c>
      <c r="BM26" s="373" t="e">
        <f t="shared" si="3"/>
        <v>#DIV/0!</v>
      </c>
      <c r="BN26" s="373" t="e">
        <f t="shared" si="3"/>
        <v>#DIV/0!</v>
      </c>
      <c r="BO26" s="373" t="e">
        <f t="shared" si="3"/>
        <v>#DIV/0!</v>
      </c>
      <c r="BP26" s="373" t="e">
        <f t="shared" si="3"/>
        <v>#DIV/0!</v>
      </c>
      <c r="BQ26" s="373" t="e">
        <f t="shared" si="1"/>
        <v>#DIV/0!</v>
      </c>
      <c r="BR26" s="373" t="e">
        <f t="shared" si="1"/>
        <v>#DIV/0!</v>
      </c>
      <c r="BS26" s="373" t="e">
        <f t="shared" si="1"/>
        <v>#DIV/0!</v>
      </c>
      <c r="BT26" s="373" t="e">
        <f t="shared" si="1"/>
        <v>#DIV/0!</v>
      </c>
      <c r="BU26" s="373" t="e">
        <f t="shared" si="1"/>
        <v>#DIV/0!</v>
      </c>
      <c r="BV26" s="373" t="e">
        <f t="shared" si="1"/>
        <v>#DIV/0!</v>
      </c>
      <c r="BW26" s="373" t="e">
        <f t="shared" si="1"/>
        <v>#DIV/0!</v>
      </c>
      <c r="BX26" s="373" t="e">
        <f t="shared" si="1"/>
        <v>#DIV/0!</v>
      </c>
      <c r="BY26" s="373" t="e">
        <f t="shared" si="1"/>
        <v>#DIV/0!</v>
      </c>
      <c r="BZ26" s="373" t="e">
        <f t="shared" si="1"/>
        <v>#DIV/0!</v>
      </c>
      <c r="CA26" s="373" t="e">
        <f t="shared" si="1"/>
        <v>#DIV/0!</v>
      </c>
      <c r="CB26" s="373" t="e">
        <f t="shared" si="1"/>
        <v>#DIV/0!</v>
      </c>
      <c r="CC26" s="373" t="e">
        <f t="shared" si="1"/>
        <v>#DIV/0!</v>
      </c>
      <c r="CD26" s="373" t="e">
        <f t="shared" si="1"/>
        <v>#DIV/0!</v>
      </c>
      <c r="CE26" s="373" t="e">
        <f t="shared" si="1"/>
        <v>#DIV/0!</v>
      </c>
    </row>
    <row r="27" spans="1:83" s="370" customFormat="1" ht="15.5">
      <c r="A27" s="360"/>
      <c r="B27" s="360"/>
      <c r="C27" s="373" t="s">
        <v>93</v>
      </c>
      <c r="D27" s="373" t="e">
        <f>IF(D$23&lt;$D$10,0,D20)</f>
        <v>#DIV/0!</v>
      </c>
      <c r="E27" s="373" t="e">
        <f t="shared" si="3"/>
        <v>#DIV/0!</v>
      </c>
      <c r="F27" s="373" t="e">
        <f t="shared" si="3"/>
        <v>#DIV/0!</v>
      </c>
      <c r="G27" s="373" t="e">
        <f t="shared" si="3"/>
        <v>#DIV/0!</v>
      </c>
      <c r="H27" s="373" t="e">
        <f t="shared" si="3"/>
        <v>#DIV/0!</v>
      </c>
      <c r="I27" s="373" t="e">
        <f t="shared" si="3"/>
        <v>#DIV/0!</v>
      </c>
      <c r="J27" s="373" t="e">
        <f t="shared" si="3"/>
        <v>#DIV/0!</v>
      </c>
      <c r="K27" s="373" t="e">
        <f t="shared" si="3"/>
        <v>#DIV/0!</v>
      </c>
      <c r="L27" s="373" t="e">
        <f t="shared" si="3"/>
        <v>#DIV/0!</v>
      </c>
      <c r="M27" s="373" t="e">
        <f t="shared" si="3"/>
        <v>#DIV/0!</v>
      </c>
      <c r="N27" s="373" t="e">
        <f t="shared" si="3"/>
        <v>#DIV/0!</v>
      </c>
      <c r="O27" s="373" t="e">
        <f t="shared" si="3"/>
        <v>#DIV/0!</v>
      </c>
      <c r="P27" s="373" t="e">
        <f t="shared" si="3"/>
        <v>#DIV/0!</v>
      </c>
      <c r="Q27" s="373" t="e">
        <f t="shared" si="3"/>
        <v>#DIV/0!</v>
      </c>
      <c r="R27" s="373" t="e">
        <f t="shared" si="3"/>
        <v>#DIV/0!</v>
      </c>
      <c r="S27" s="373" t="e">
        <f t="shared" si="3"/>
        <v>#DIV/0!</v>
      </c>
      <c r="T27" s="373" t="e">
        <f t="shared" si="3"/>
        <v>#DIV/0!</v>
      </c>
      <c r="U27" s="373" t="e">
        <f t="shared" si="3"/>
        <v>#DIV/0!</v>
      </c>
      <c r="V27" s="373" t="e">
        <f t="shared" si="3"/>
        <v>#DIV/0!</v>
      </c>
      <c r="W27" s="373" t="e">
        <f t="shared" si="3"/>
        <v>#DIV/0!</v>
      </c>
      <c r="X27" s="373" t="e">
        <f t="shared" si="3"/>
        <v>#DIV/0!</v>
      </c>
      <c r="Y27" s="373" t="e">
        <f t="shared" si="3"/>
        <v>#DIV/0!</v>
      </c>
      <c r="Z27" s="373" t="e">
        <f t="shared" si="3"/>
        <v>#DIV/0!</v>
      </c>
      <c r="AA27" s="373" t="e">
        <f t="shared" si="3"/>
        <v>#DIV/0!</v>
      </c>
      <c r="AB27" s="373" t="e">
        <f t="shared" si="3"/>
        <v>#DIV/0!</v>
      </c>
      <c r="AC27" s="373" t="e">
        <f t="shared" si="3"/>
        <v>#DIV/0!</v>
      </c>
      <c r="AD27" s="373" t="e">
        <f t="shared" si="3"/>
        <v>#DIV/0!</v>
      </c>
      <c r="AE27" s="373" t="e">
        <f t="shared" si="3"/>
        <v>#DIV/0!</v>
      </c>
      <c r="AF27" s="373" t="e">
        <f t="shared" si="3"/>
        <v>#DIV/0!</v>
      </c>
      <c r="AG27" s="373" t="e">
        <f t="shared" si="3"/>
        <v>#DIV/0!</v>
      </c>
      <c r="AH27" s="373" t="e">
        <f t="shared" si="3"/>
        <v>#DIV/0!</v>
      </c>
      <c r="AI27" s="373" t="e">
        <f t="shared" si="3"/>
        <v>#DIV/0!</v>
      </c>
      <c r="AJ27" s="373" t="e">
        <f t="shared" si="3"/>
        <v>#DIV/0!</v>
      </c>
      <c r="AK27" s="373" t="e">
        <f t="shared" si="3"/>
        <v>#DIV/0!</v>
      </c>
      <c r="AL27" s="373" t="e">
        <f t="shared" si="3"/>
        <v>#DIV/0!</v>
      </c>
      <c r="AM27" s="373" t="e">
        <f t="shared" si="3"/>
        <v>#DIV/0!</v>
      </c>
      <c r="AN27" s="373" t="e">
        <f t="shared" si="3"/>
        <v>#DIV/0!</v>
      </c>
      <c r="AO27" s="373" t="e">
        <f t="shared" si="3"/>
        <v>#DIV/0!</v>
      </c>
      <c r="AP27" s="373" t="e">
        <f t="shared" si="3"/>
        <v>#DIV/0!</v>
      </c>
      <c r="AQ27" s="373" t="e">
        <f t="shared" si="3"/>
        <v>#DIV/0!</v>
      </c>
      <c r="AR27" s="373" t="e">
        <f t="shared" si="3"/>
        <v>#DIV/0!</v>
      </c>
      <c r="AS27" s="373" t="e">
        <f t="shared" si="3"/>
        <v>#DIV/0!</v>
      </c>
      <c r="AT27" s="373" t="e">
        <f t="shared" si="3"/>
        <v>#DIV/0!</v>
      </c>
      <c r="AU27" s="373" t="e">
        <f t="shared" si="3"/>
        <v>#DIV/0!</v>
      </c>
      <c r="AV27" s="373" t="e">
        <f t="shared" si="3"/>
        <v>#DIV/0!</v>
      </c>
      <c r="AW27" s="373" t="e">
        <f t="shared" si="3"/>
        <v>#DIV/0!</v>
      </c>
      <c r="AX27" s="373" t="e">
        <f t="shared" si="3"/>
        <v>#DIV/0!</v>
      </c>
      <c r="AY27" s="373" t="e">
        <f t="shared" si="3"/>
        <v>#DIV/0!</v>
      </c>
      <c r="AZ27" s="373" t="e">
        <f t="shared" si="3"/>
        <v>#DIV/0!</v>
      </c>
      <c r="BA27" s="373" t="e">
        <f t="shared" si="3"/>
        <v>#DIV/0!</v>
      </c>
      <c r="BB27" s="373" t="e">
        <f t="shared" si="3"/>
        <v>#DIV/0!</v>
      </c>
      <c r="BC27" s="373" t="e">
        <f t="shared" si="3"/>
        <v>#DIV/0!</v>
      </c>
      <c r="BD27" s="373" t="e">
        <f t="shared" si="3"/>
        <v>#DIV/0!</v>
      </c>
      <c r="BE27" s="373" t="e">
        <f t="shared" si="3"/>
        <v>#DIV/0!</v>
      </c>
      <c r="BF27" s="373" t="e">
        <f t="shared" si="3"/>
        <v>#DIV/0!</v>
      </c>
      <c r="BG27" s="373" t="e">
        <f t="shared" si="3"/>
        <v>#DIV/0!</v>
      </c>
      <c r="BH27" s="373" t="e">
        <f t="shared" si="3"/>
        <v>#DIV/0!</v>
      </c>
      <c r="BI27" s="373" t="e">
        <f t="shared" si="3"/>
        <v>#DIV/0!</v>
      </c>
      <c r="BJ27" s="373" t="e">
        <f t="shared" si="3"/>
        <v>#DIV/0!</v>
      </c>
      <c r="BK27" s="373" t="e">
        <f t="shared" si="3"/>
        <v>#DIV/0!</v>
      </c>
      <c r="BL27" s="373" t="e">
        <f t="shared" si="3"/>
        <v>#DIV/0!</v>
      </c>
      <c r="BM27" s="373" t="e">
        <f t="shared" si="3"/>
        <v>#DIV/0!</v>
      </c>
      <c r="BN27" s="373" t="e">
        <f t="shared" si="3"/>
        <v>#DIV/0!</v>
      </c>
      <c r="BO27" s="373" t="e">
        <f t="shared" si="3"/>
        <v>#DIV/0!</v>
      </c>
      <c r="BP27" s="373" t="e">
        <f t="shared" si="3"/>
        <v>#DIV/0!</v>
      </c>
      <c r="BQ27" s="373" t="e">
        <f t="shared" si="1"/>
        <v>#DIV/0!</v>
      </c>
      <c r="BR27" s="373" t="e">
        <f t="shared" si="1"/>
        <v>#DIV/0!</v>
      </c>
      <c r="BS27" s="373" t="e">
        <f t="shared" si="1"/>
        <v>#DIV/0!</v>
      </c>
      <c r="BT27" s="373" t="e">
        <f t="shared" si="1"/>
        <v>#DIV/0!</v>
      </c>
      <c r="BU27" s="373" t="e">
        <f t="shared" si="1"/>
        <v>#DIV/0!</v>
      </c>
      <c r="BV27" s="373" t="e">
        <f t="shared" si="1"/>
        <v>#DIV/0!</v>
      </c>
      <c r="BW27" s="373" t="e">
        <f t="shared" si="1"/>
        <v>#DIV/0!</v>
      </c>
      <c r="BX27" s="373" t="e">
        <f t="shared" si="1"/>
        <v>#DIV/0!</v>
      </c>
      <c r="BY27" s="373" t="e">
        <f t="shared" si="1"/>
        <v>#DIV/0!</v>
      </c>
      <c r="BZ27" s="373" t="e">
        <f t="shared" si="1"/>
        <v>#DIV/0!</v>
      </c>
      <c r="CA27" s="373" t="e">
        <f t="shared" si="1"/>
        <v>#DIV/0!</v>
      </c>
      <c r="CB27" s="373" t="e">
        <f t="shared" si="1"/>
        <v>#DIV/0!</v>
      </c>
      <c r="CC27" s="373" t="e">
        <f t="shared" si="1"/>
        <v>#DIV/0!</v>
      </c>
      <c r="CD27" s="373" t="e">
        <f t="shared" si="1"/>
        <v>#DIV/0!</v>
      </c>
      <c r="CE27" s="373" t="e">
        <f t="shared" si="1"/>
        <v>#DIV/0!</v>
      </c>
    </row>
    <row r="28" spans="1:83" ht="15.5">
      <c r="C28" s="365"/>
      <c r="F28" s="366"/>
    </row>
    <row r="29" spans="1:83" s="370" customFormat="1" ht="15.5">
      <c r="A29" s="360"/>
      <c r="B29" s="360" t="s">
        <v>371</v>
      </c>
    </row>
    <row r="30" spans="1:83" s="370" customFormat="1" ht="15.5">
      <c r="A30" s="360"/>
      <c r="B30" s="360"/>
      <c r="C30" s="372"/>
      <c r="D30" s="372">
        <v>2010</v>
      </c>
      <c r="E30" s="372">
        <v>2011</v>
      </c>
      <c r="F30" s="372">
        <v>2012</v>
      </c>
      <c r="G30" s="372">
        <v>2013</v>
      </c>
      <c r="H30" s="372">
        <v>2014</v>
      </c>
      <c r="I30" s="372">
        <v>2015</v>
      </c>
      <c r="J30" s="372">
        <v>2016</v>
      </c>
      <c r="K30" s="372">
        <v>2017</v>
      </c>
      <c r="L30" s="372">
        <v>2018</v>
      </c>
      <c r="M30" s="372">
        <v>2019</v>
      </c>
      <c r="N30" s="372">
        <v>2020</v>
      </c>
      <c r="O30" s="372">
        <v>2021</v>
      </c>
      <c r="P30" s="372">
        <v>2022</v>
      </c>
      <c r="Q30" s="372">
        <v>2023</v>
      </c>
      <c r="R30" s="372">
        <v>2024</v>
      </c>
      <c r="S30" s="372">
        <v>2025</v>
      </c>
      <c r="T30" s="372">
        <v>2026</v>
      </c>
      <c r="U30" s="372">
        <v>2027</v>
      </c>
      <c r="V30" s="372">
        <v>2028</v>
      </c>
      <c r="W30" s="372">
        <v>2029</v>
      </c>
      <c r="X30" s="372">
        <v>2030</v>
      </c>
      <c r="Y30" s="372">
        <v>2031</v>
      </c>
      <c r="Z30" s="372">
        <v>2032</v>
      </c>
      <c r="AA30" s="372">
        <v>2033</v>
      </c>
      <c r="AB30" s="372">
        <v>2034</v>
      </c>
      <c r="AC30" s="372">
        <v>2035</v>
      </c>
      <c r="AD30" s="372">
        <v>2036</v>
      </c>
      <c r="AE30" s="372">
        <v>2037</v>
      </c>
      <c r="AF30" s="372">
        <v>2038</v>
      </c>
      <c r="AG30" s="372">
        <v>2039</v>
      </c>
      <c r="AH30" s="372">
        <v>2040</v>
      </c>
      <c r="AI30" s="372">
        <v>2041</v>
      </c>
      <c r="AJ30" s="372">
        <v>2042</v>
      </c>
      <c r="AK30" s="372">
        <v>2043</v>
      </c>
      <c r="AL30" s="372">
        <v>2044</v>
      </c>
      <c r="AM30" s="372">
        <v>2045</v>
      </c>
      <c r="AN30" s="372">
        <v>2046</v>
      </c>
      <c r="AO30" s="372">
        <v>2047</v>
      </c>
      <c r="AP30" s="372">
        <v>2048</v>
      </c>
      <c r="AQ30" s="372">
        <v>2049</v>
      </c>
      <c r="AR30" s="372">
        <v>2050</v>
      </c>
      <c r="AS30" s="372">
        <v>2051</v>
      </c>
      <c r="AT30" s="372">
        <v>2052</v>
      </c>
      <c r="AU30" s="372">
        <v>2053</v>
      </c>
      <c r="AV30" s="372">
        <v>2054</v>
      </c>
      <c r="AW30" s="372">
        <v>2055</v>
      </c>
      <c r="AX30" s="372">
        <v>2056</v>
      </c>
      <c r="AY30" s="372">
        <v>2057</v>
      </c>
      <c r="AZ30" s="372">
        <v>2058</v>
      </c>
      <c r="BA30" s="372">
        <v>2059</v>
      </c>
      <c r="BB30" s="372">
        <v>2060</v>
      </c>
      <c r="BC30" s="372">
        <v>2061</v>
      </c>
      <c r="BD30" s="372">
        <v>2062</v>
      </c>
      <c r="BE30" s="372">
        <v>2063</v>
      </c>
      <c r="BF30" s="372">
        <v>2064</v>
      </c>
      <c r="BG30" s="372">
        <v>2065</v>
      </c>
      <c r="BH30" s="372">
        <v>2066</v>
      </c>
      <c r="BI30" s="372">
        <v>2067</v>
      </c>
      <c r="BJ30" s="372">
        <v>2068</v>
      </c>
      <c r="BK30" s="372">
        <v>2069</v>
      </c>
      <c r="BL30" s="372">
        <v>2070</v>
      </c>
      <c r="BM30" s="372">
        <v>2071</v>
      </c>
      <c r="BN30" s="372">
        <v>2072</v>
      </c>
      <c r="BO30" s="372">
        <v>2073</v>
      </c>
      <c r="BP30" s="372">
        <v>2074</v>
      </c>
      <c r="BQ30" s="372">
        <v>2075</v>
      </c>
      <c r="BR30" s="372">
        <v>2076</v>
      </c>
      <c r="BS30" s="372">
        <v>2077</v>
      </c>
      <c r="BT30" s="372">
        <v>2078</v>
      </c>
      <c r="BU30" s="372">
        <v>2079</v>
      </c>
      <c r="BV30" s="372">
        <v>2080</v>
      </c>
      <c r="BW30" s="372">
        <v>2081</v>
      </c>
      <c r="BX30" s="372">
        <v>2082</v>
      </c>
      <c r="BY30" s="372">
        <v>2083</v>
      </c>
      <c r="BZ30" s="372">
        <v>2084</v>
      </c>
      <c r="CA30" s="372">
        <v>2085</v>
      </c>
      <c r="CB30" s="372">
        <v>2086</v>
      </c>
      <c r="CC30" s="372">
        <v>2087</v>
      </c>
      <c r="CD30" s="372">
        <v>2088</v>
      </c>
      <c r="CE30" s="372">
        <v>2089</v>
      </c>
    </row>
    <row r="31" spans="1:83" s="370" customFormat="1" ht="15.5">
      <c r="A31" s="360"/>
      <c r="B31" s="360"/>
      <c r="C31" s="373" t="s">
        <v>87</v>
      </c>
      <c r="D31" s="373" t="str">
        <f>IF($D4="yes",D24*$D$11,IF($D4="no",0,""))</f>
        <v/>
      </c>
      <c r="E31" s="373" t="str">
        <f t="shared" ref="E31:BP32" si="4">IF($D4="yes",E24*$D$11,IF($D4="no",0,""))</f>
        <v/>
      </c>
      <c r="F31" s="373" t="str">
        <f t="shared" si="4"/>
        <v/>
      </c>
      <c r="G31" s="373" t="str">
        <f t="shared" si="4"/>
        <v/>
      </c>
      <c r="H31" s="373" t="str">
        <f t="shared" si="4"/>
        <v/>
      </c>
      <c r="I31" s="373" t="str">
        <f t="shared" si="4"/>
        <v/>
      </c>
      <c r="J31" s="373" t="str">
        <f t="shared" si="4"/>
        <v/>
      </c>
      <c r="K31" s="373" t="str">
        <f t="shared" si="4"/>
        <v/>
      </c>
      <c r="L31" s="373" t="str">
        <f t="shared" si="4"/>
        <v/>
      </c>
      <c r="M31" s="373" t="str">
        <f t="shared" si="4"/>
        <v/>
      </c>
      <c r="N31" s="373" t="str">
        <f t="shared" si="4"/>
        <v/>
      </c>
      <c r="O31" s="373" t="str">
        <f t="shared" si="4"/>
        <v/>
      </c>
      <c r="P31" s="373" t="str">
        <f t="shared" si="4"/>
        <v/>
      </c>
      <c r="Q31" s="373" t="str">
        <f t="shared" si="4"/>
        <v/>
      </c>
      <c r="R31" s="373" t="str">
        <f t="shared" si="4"/>
        <v/>
      </c>
      <c r="S31" s="373" t="str">
        <f t="shared" si="4"/>
        <v/>
      </c>
      <c r="T31" s="373" t="str">
        <f t="shared" si="4"/>
        <v/>
      </c>
      <c r="U31" s="373" t="str">
        <f t="shared" si="4"/>
        <v/>
      </c>
      <c r="V31" s="373" t="str">
        <f t="shared" si="4"/>
        <v/>
      </c>
      <c r="W31" s="373" t="str">
        <f t="shared" si="4"/>
        <v/>
      </c>
      <c r="X31" s="373" t="str">
        <f t="shared" si="4"/>
        <v/>
      </c>
      <c r="Y31" s="373" t="str">
        <f t="shared" si="4"/>
        <v/>
      </c>
      <c r="Z31" s="373" t="str">
        <f t="shared" si="4"/>
        <v/>
      </c>
      <c r="AA31" s="373" t="str">
        <f t="shared" si="4"/>
        <v/>
      </c>
      <c r="AB31" s="373" t="str">
        <f t="shared" si="4"/>
        <v/>
      </c>
      <c r="AC31" s="373" t="str">
        <f t="shared" si="4"/>
        <v/>
      </c>
      <c r="AD31" s="373" t="str">
        <f t="shared" si="4"/>
        <v/>
      </c>
      <c r="AE31" s="373" t="str">
        <f t="shared" si="4"/>
        <v/>
      </c>
      <c r="AF31" s="373" t="str">
        <f t="shared" si="4"/>
        <v/>
      </c>
      <c r="AG31" s="373" t="str">
        <f t="shared" si="4"/>
        <v/>
      </c>
      <c r="AH31" s="373" t="str">
        <f t="shared" si="4"/>
        <v/>
      </c>
      <c r="AI31" s="373" t="str">
        <f t="shared" si="4"/>
        <v/>
      </c>
      <c r="AJ31" s="373" t="str">
        <f t="shared" si="4"/>
        <v/>
      </c>
      <c r="AK31" s="373" t="str">
        <f t="shared" si="4"/>
        <v/>
      </c>
      <c r="AL31" s="373" t="str">
        <f t="shared" si="4"/>
        <v/>
      </c>
      <c r="AM31" s="373" t="str">
        <f t="shared" si="4"/>
        <v/>
      </c>
      <c r="AN31" s="373" t="str">
        <f t="shared" si="4"/>
        <v/>
      </c>
      <c r="AO31" s="373" t="str">
        <f t="shared" si="4"/>
        <v/>
      </c>
      <c r="AP31" s="373" t="str">
        <f t="shared" si="4"/>
        <v/>
      </c>
      <c r="AQ31" s="373" t="str">
        <f t="shared" si="4"/>
        <v/>
      </c>
      <c r="AR31" s="373" t="str">
        <f t="shared" si="4"/>
        <v/>
      </c>
      <c r="AS31" s="373" t="str">
        <f t="shared" si="4"/>
        <v/>
      </c>
      <c r="AT31" s="373" t="str">
        <f t="shared" si="4"/>
        <v/>
      </c>
      <c r="AU31" s="373" t="str">
        <f t="shared" si="4"/>
        <v/>
      </c>
      <c r="AV31" s="373" t="str">
        <f t="shared" si="4"/>
        <v/>
      </c>
      <c r="AW31" s="373" t="str">
        <f t="shared" si="4"/>
        <v/>
      </c>
      <c r="AX31" s="373" t="str">
        <f t="shared" si="4"/>
        <v/>
      </c>
      <c r="AY31" s="373" t="str">
        <f t="shared" si="4"/>
        <v/>
      </c>
      <c r="AZ31" s="373" t="str">
        <f t="shared" si="4"/>
        <v/>
      </c>
      <c r="BA31" s="373" t="str">
        <f t="shared" si="4"/>
        <v/>
      </c>
      <c r="BB31" s="373" t="str">
        <f t="shared" si="4"/>
        <v/>
      </c>
      <c r="BC31" s="373" t="str">
        <f t="shared" si="4"/>
        <v/>
      </c>
      <c r="BD31" s="373" t="str">
        <f t="shared" si="4"/>
        <v/>
      </c>
      <c r="BE31" s="373" t="str">
        <f t="shared" si="4"/>
        <v/>
      </c>
      <c r="BF31" s="373" t="str">
        <f t="shared" si="4"/>
        <v/>
      </c>
      <c r="BG31" s="373" t="str">
        <f t="shared" si="4"/>
        <v/>
      </c>
      <c r="BH31" s="373" t="str">
        <f t="shared" si="4"/>
        <v/>
      </c>
      <c r="BI31" s="373" t="str">
        <f t="shared" si="4"/>
        <v/>
      </c>
      <c r="BJ31" s="373" t="str">
        <f t="shared" si="4"/>
        <v/>
      </c>
      <c r="BK31" s="373" t="str">
        <f t="shared" si="4"/>
        <v/>
      </c>
      <c r="BL31" s="373" t="str">
        <f t="shared" si="4"/>
        <v/>
      </c>
      <c r="BM31" s="373" t="str">
        <f t="shared" si="4"/>
        <v/>
      </c>
      <c r="BN31" s="373" t="str">
        <f t="shared" si="4"/>
        <v/>
      </c>
      <c r="BO31" s="373" t="str">
        <f t="shared" si="4"/>
        <v/>
      </c>
      <c r="BP31" s="373" t="str">
        <f t="shared" si="4"/>
        <v/>
      </c>
      <c r="BQ31" s="373" t="str">
        <f t="shared" ref="BQ31:CE34" si="5">IF($D4="yes",BQ24*$D$11,IF($D4="no",0,""))</f>
        <v/>
      </c>
      <c r="BR31" s="373" t="str">
        <f t="shared" si="5"/>
        <v/>
      </c>
      <c r="BS31" s="373" t="str">
        <f t="shared" si="5"/>
        <v/>
      </c>
      <c r="BT31" s="373" t="str">
        <f t="shared" si="5"/>
        <v/>
      </c>
      <c r="BU31" s="373" t="str">
        <f t="shared" si="5"/>
        <v/>
      </c>
      <c r="BV31" s="373" t="str">
        <f t="shared" si="5"/>
        <v/>
      </c>
      <c r="BW31" s="373" t="str">
        <f t="shared" si="5"/>
        <v/>
      </c>
      <c r="BX31" s="373" t="str">
        <f t="shared" si="5"/>
        <v/>
      </c>
      <c r="BY31" s="373" t="str">
        <f t="shared" si="5"/>
        <v/>
      </c>
      <c r="BZ31" s="373" t="str">
        <f t="shared" si="5"/>
        <v/>
      </c>
      <c r="CA31" s="373" t="str">
        <f t="shared" si="5"/>
        <v/>
      </c>
      <c r="CB31" s="373" t="str">
        <f t="shared" si="5"/>
        <v/>
      </c>
      <c r="CC31" s="373" t="str">
        <f t="shared" si="5"/>
        <v/>
      </c>
      <c r="CD31" s="373" t="str">
        <f t="shared" si="5"/>
        <v/>
      </c>
      <c r="CE31" s="373" t="str">
        <f t="shared" si="5"/>
        <v/>
      </c>
    </row>
    <row r="32" spans="1:83" s="370" customFormat="1" ht="15.5">
      <c r="A32" s="360"/>
      <c r="B32" s="360"/>
      <c r="C32" s="373" t="s">
        <v>89</v>
      </c>
      <c r="D32" s="373" t="str">
        <f>IF($D5="yes",D25*$D$11,IF($D5="no",0,""))</f>
        <v/>
      </c>
      <c r="E32" s="373" t="str">
        <f t="shared" ref="E32:S32" si="6">IF($D5="yes",E25*$D$11,IF($D5="no",0,""))</f>
        <v/>
      </c>
      <c r="F32" s="373" t="str">
        <f t="shared" si="6"/>
        <v/>
      </c>
      <c r="G32" s="373" t="str">
        <f t="shared" si="6"/>
        <v/>
      </c>
      <c r="H32" s="373" t="str">
        <f t="shared" si="6"/>
        <v/>
      </c>
      <c r="I32" s="373" t="str">
        <f t="shared" si="6"/>
        <v/>
      </c>
      <c r="J32" s="373" t="str">
        <f t="shared" si="6"/>
        <v/>
      </c>
      <c r="K32" s="373" t="str">
        <f t="shared" si="6"/>
        <v/>
      </c>
      <c r="L32" s="373" t="str">
        <f t="shared" si="6"/>
        <v/>
      </c>
      <c r="M32" s="373" t="str">
        <f t="shared" si="6"/>
        <v/>
      </c>
      <c r="N32" s="373" t="str">
        <f t="shared" si="6"/>
        <v/>
      </c>
      <c r="O32" s="373" t="str">
        <f t="shared" si="6"/>
        <v/>
      </c>
      <c r="P32" s="373" t="str">
        <f t="shared" si="6"/>
        <v/>
      </c>
      <c r="Q32" s="373" t="str">
        <f t="shared" si="6"/>
        <v/>
      </c>
      <c r="R32" s="373" t="str">
        <f t="shared" si="6"/>
        <v/>
      </c>
      <c r="S32" s="373" t="str">
        <f t="shared" si="6"/>
        <v/>
      </c>
      <c r="T32" s="373" t="str">
        <f t="shared" si="4"/>
        <v/>
      </c>
      <c r="U32" s="373" t="str">
        <f t="shared" si="4"/>
        <v/>
      </c>
      <c r="V32" s="373" t="str">
        <f t="shared" si="4"/>
        <v/>
      </c>
      <c r="W32" s="373" t="str">
        <f t="shared" si="4"/>
        <v/>
      </c>
      <c r="X32" s="373" t="str">
        <f t="shared" si="4"/>
        <v/>
      </c>
      <c r="Y32" s="373" t="str">
        <f t="shared" si="4"/>
        <v/>
      </c>
      <c r="Z32" s="373" t="str">
        <f t="shared" si="4"/>
        <v/>
      </c>
      <c r="AA32" s="373" t="str">
        <f t="shared" si="4"/>
        <v/>
      </c>
      <c r="AB32" s="373" t="str">
        <f t="shared" si="4"/>
        <v/>
      </c>
      <c r="AC32" s="373" t="str">
        <f t="shared" si="4"/>
        <v/>
      </c>
      <c r="AD32" s="373" t="str">
        <f t="shared" si="4"/>
        <v/>
      </c>
      <c r="AE32" s="373" t="str">
        <f t="shared" si="4"/>
        <v/>
      </c>
      <c r="AF32" s="373" t="str">
        <f t="shared" si="4"/>
        <v/>
      </c>
      <c r="AG32" s="373" t="str">
        <f t="shared" si="4"/>
        <v/>
      </c>
      <c r="AH32" s="373" t="str">
        <f t="shared" si="4"/>
        <v/>
      </c>
      <c r="AI32" s="373" t="str">
        <f t="shared" si="4"/>
        <v/>
      </c>
      <c r="AJ32" s="373" t="str">
        <f t="shared" si="4"/>
        <v/>
      </c>
      <c r="AK32" s="373" t="str">
        <f t="shared" si="4"/>
        <v/>
      </c>
      <c r="AL32" s="373" t="str">
        <f t="shared" si="4"/>
        <v/>
      </c>
      <c r="AM32" s="373" t="str">
        <f t="shared" si="4"/>
        <v/>
      </c>
      <c r="AN32" s="373" t="str">
        <f t="shared" si="4"/>
        <v/>
      </c>
      <c r="AO32" s="373" t="str">
        <f t="shared" si="4"/>
        <v/>
      </c>
      <c r="AP32" s="373" t="str">
        <f t="shared" si="4"/>
        <v/>
      </c>
      <c r="AQ32" s="373" t="str">
        <f t="shared" si="4"/>
        <v/>
      </c>
      <c r="AR32" s="373" t="str">
        <f t="shared" si="4"/>
        <v/>
      </c>
      <c r="AS32" s="373" t="str">
        <f t="shared" si="4"/>
        <v/>
      </c>
      <c r="AT32" s="373" t="str">
        <f t="shared" si="4"/>
        <v/>
      </c>
      <c r="AU32" s="373" t="str">
        <f t="shared" si="4"/>
        <v/>
      </c>
      <c r="AV32" s="373" t="str">
        <f t="shared" si="4"/>
        <v/>
      </c>
      <c r="AW32" s="373" t="str">
        <f t="shared" si="4"/>
        <v/>
      </c>
      <c r="AX32" s="373" t="str">
        <f t="shared" si="4"/>
        <v/>
      </c>
      <c r="AY32" s="373" t="str">
        <f t="shared" si="4"/>
        <v/>
      </c>
      <c r="AZ32" s="373" t="str">
        <f t="shared" si="4"/>
        <v/>
      </c>
      <c r="BA32" s="373" t="str">
        <f t="shared" si="4"/>
        <v/>
      </c>
      <c r="BB32" s="373" t="str">
        <f t="shared" si="4"/>
        <v/>
      </c>
      <c r="BC32" s="373" t="str">
        <f t="shared" si="4"/>
        <v/>
      </c>
      <c r="BD32" s="373" t="str">
        <f t="shared" si="4"/>
        <v/>
      </c>
      <c r="BE32" s="373" t="str">
        <f t="shared" si="4"/>
        <v/>
      </c>
      <c r="BF32" s="373" t="str">
        <f t="shared" si="4"/>
        <v/>
      </c>
      <c r="BG32" s="373" t="str">
        <f t="shared" si="4"/>
        <v/>
      </c>
      <c r="BH32" s="373" t="str">
        <f t="shared" si="4"/>
        <v/>
      </c>
      <c r="BI32" s="373" t="str">
        <f t="shared" si="4"/>
        <v/>
      </c>
      <c r="BJ32" s="373" t="str">
        <f t="shared" si="4"/>
        <v/>
      </c>
      <c r="BK32" s="373" t="str">
        <f t="shared" si="4"/>
        <v/>
      </c>
      <c r="BL32" s="373" t="str">
        <f t="shared" si="4"/>
        <v/>
      </c>
      <c r="BM32" s="373" t="str">
        <f t="shared" si="4"/>
        <v/>
      </c>
      <c r="BN32" s="373" t="str">
        <f t="shared" si="4"/>
        <v/>
      </c>
      <c r="BO32" s="373" t="str">
        <f t="shared" si="4"/>
        <v/>
      </c>
      <c r="BP32" s="373" t="str">
        <f t="shared" si="4"/>
        <v/>
      </c>
      <c r="BQ32" s="373" t="str">
        <f t="shared" si="5"/>
        <v/>
      </c>
      <c r="BR32" s="373" t="str">
        <f t="shared" si="5"/>
        <v/>
      </c>
      <c r="BS32" s="373" t="str">
        <f t="shared" si="5"/>
        <v/>
      </c>
      <c r="BT32" s="373" t="str">
        <f t="shared" si="5"/>
        <v/>
      </c>
      <c r="BU32" s="373" t="str">
        <f t="shared" si="5"/>
        <v/>
      </c>
      <c r="BV32" s="373" t="str">
        <f t="shared" si="5"/>
        <v/>
      </c>
      <c r="BW32" s="373" t="str">
        <f t="shared" si="5"/>
        <v/>
      </c>
      <c r="BX32" s="373" t="str">
        <f t="shared" si="5"/>
        <v/>
      </c>
      <c r="BY32" s="373" t="str">
        <f t="shared" si="5"/>
        <v/>
      </c>
      <c r="BZ32" s="373" t="str">
        <f t="shared" si="5"/>
        <v/>
      </c>
      <c r="CA32" s="373" t="str">
        <f t="shared" si="5"/>
        <v/>
      </c>
      <c r="CB32" s="373" t="str">
        <f t="shared" si="5"/>
        <v/>
      </c>
      <c r="CC32" s="373" t="str">
        <f t="shared" si="5"/>
        <v/>
      </c>
      <c r="CD32" s="373" t="str">
        <f t="shared" si="5"/>
        <v/>
      </c>
      <c r="CE32" s="373" t="str">
        <f t="shared" si="5"/>
        <v/>
      </c>
    </row>
    <row r="33" spans="1:83" s="370" customFormat="1" ht="15.5">
      <c r="A33" s="360"/>
      <c r="B33" s="360"/>
      <c r="C33" s="373" t="s">
        <v>91</v>
      </c>
      <c r="D33" s="373" t="str">
        <f>IF($D6="yes",D26*$D$11,IF($D6="no",0,""))</f>
        <v/>
      </c>
      <c r="E33" s="373" t="str">
        <f t="shared" ref="E33:BP34" si="7">IF($D6="yes",E26*$D$11,IF($D6="no",0,""))</f>
        <v/>
      </c>
      <c r="F33" s="373" t="str">
        <f t="shared" si="7"/>
        <v/>
      </c>
      <c r="G33" s="373" t="str">
        <f t="shared" si="7"/>
        <v/>
      </c>
      <c r="H33" s="373" t="str">
        <f t="shared" si="7"/>
        <v/>
      </c>
      <c r="I33" s="373" t="str">
        <f t="shared" si="7"/>
        <v/>
      </c>
      <c r="J33" s="373" t="str">
        <f t="shared" si="7"/>
        <v/>
      </c>
      <c r="K33" s="373" t="str">
        <f t="shared" si="7"/>
        <v/>
      </c>
      <c r="L33" s="373" t="str">
        <f t="shared" si="7"/>
        <v/>
      </c>
      <c r="M33" s="373" t="str">
        <f t="shared" si="7"/>
        <v/>
      </c>
      <c r="N33" s="373" t="str">
        <f t="shared" si="7"/>
        <v/>
      </c>
      <c r="O33" s="373" t="str">
        <f t="shared" si="7"/>
        <v/>
      </c>
      <c r="P33" s="373" t="str">
        <f t="shared" si="7"/>
        <v/>
      </c>
      <c r="Q33" s="373" t="str">
        <f t="shared" si="7"/>
        <v/>
      </c>
      <c r="R33" s="373" t="str">
        <f t="shared" si="7"/>
        <v/>
      </c>
      <c r="S33" s="373" t="str">
        <f t="shared" si="7"/>
        <v/>
      </c>
      <c r="T33" s="373" t="str">
        <f t="shared" si="7"/>
        <v/>
      </c>
      <c r="U33" s="373" t="str">
        <f t="shared" si="7"/>
        <v/>
      </c>
      <c r="V33" s="373" t="str">
        <f t="shared" si="7"/>
        <v/>
      </c>
      <c r="W33" s="373" t="str">
        <f t="shared" si="7"/>
        <v/>
      </c>
      <c r="X33" s="373" t="str">
        <f t="shared" si="7"/>
        <v/>
      </c>
      <c r="Y33" s="373" t="str">
        <f t="shared" si="7"/>
        <v/>
      </c>
      <c r="Z33" s="373" t="str">
        <f t="shared" si="7"/>
        <v/>
      </c>
      <c r="AA33" s="373" t="str">
        <f t="shared" si="7"/>
        <v/>
      </c>
      <c r="AB33" s="373" t="str">
        <f t="shared" si="7"/>
        <v/>
      </c>
      <c r="AC33" s="373" t="str">
        <f t="shared" si="7"/>
        <v/>
      </c>
      <c r="AD33" s="373" t="str">
        <f t="shared" si="7"/>
        <v/>
      </c>
      <c r="AE33" s="373" t="str">
        <f t="shared" si="7"/>
        <v/>
      </c>
      <c r="AF33" s="373" t="str">
        <f t="shared" si="7"/>
        <v/>
      </c>
      <c r="AG33" s="373" t="str">
        <f t="shared" si="7"/>
        <v/>
      </c>
      <c r="AH33" s="373" t="str">
        <f t="shared" si="7"/>
        <v/>
      </c>
      <c r="AI33" s="373" t="str">
        <f t="shared" si="7"/>
        <v/>
      </c>
      <c r="AJ33" s="373" t="str">
        <f t="shared" si="7"/>
        <v/>
      </c>
      <c r="AK33" s="373" t="str">
        <f t="shared" si="7"/>
        <v/>
      </c>
      <c r="AL33" s="373" t="str">
        <f t="shared" si="7"/>
        <v/>
      </c>
      <c r="AM33" s="373" t="str">
        <f t="shared" si="7"/>
        <v/>
      </c>
      <c r="AN33" s="373" t="str">
        <f t="shared" si="7"/>
        <v/>
      </c>
      <c r="AO33" s="373" t="str">
        <f t="shared" si="7"/>
        <v/>
      </c>
      <c r="AP33" s="373" t="str">
        <f t="shared" si="7"/>
        <v/>
      </c>
      <c r="AQ33" s="373" t="str">
        <f t="shared" si="7"/>
        <v/>
      </c>
      <c r="AR33" s="373" t="str">
        <f t="shared" si="7"/>
        <v/>
      </c>
      <c r="AS33" s="373" t="str">
        <f t="shared" si="7"/>
        <v/>
      </c>
      <c r="AT33" s="373" t="str">
        <f t="shared" si="7"/>
        <v/>
      </c>
      <c r="AU33" s="373" t="str">
        <f t="shared" si="7"/>
        <v/>
      </c>
      <c r="AV33" s="373" t="str">
        <f t="shared" si="7"/>
        <v/>
      </c>
      <c r="AW33" s="373" t="str">
        <f t="shared" si="7"/>
        <v/>
      </c>
      <c r="AX33" s="373" t="str">
        <f t="shared" si="7"/>
        <v/>
      </c>
      <c r="AY33" s="373" t="str">
        <f t="shared" si="7"/>
        <v/>
      </c>
      <c r="AZ33" s="373" t="str">
        <f t="shared" si="7"/>
        <v/>
      </c>
      <c r="BA33" s="373" t="str">
        <f t="shared" si="7"/>
        <v/>
      </c>
      <c r="BB33" s="373" t="str">
        <f t="shared" si="7"/>
        <v/>
      </c>
      <c r="BC33" s="373" t="str">
        <f t="shared" si="7"/>
        <v/>
      </c>
      <c r="BD33" s="373" t="str">
        <f t="shared" si="7"/>
        <v/>
      </c>
      <c r="BE33" s="373" t="str">
        <f t="shared" si="7"/>
        <v/>
      </c>
      <c r="BF33" s="373" t="str">
        <f t="shared" si="7"/>
        <v/>
      </c>
      <c r="BG33" s="373" t="str">
        <f t="shared" si="7"/>
        <v/>
      </c>
      <c r="BH33" s="373" t="str">
        <f t="shared" si="7"/>
        <v/>
      </c>
      <c r="BI33" s="373" t="str">
        <f t="shared" si="7"/>
        <v/>
      </c>
      <c r="BJ33" s="373" t="str">
        <f t="shared" si="7"/>
        <v/>
      </c>
      <c r="BK33" s="373" t="str">
        <f t="shared" si="7"/>
        <v/>
      </c>
      <c r="BL33" s="373" t="str">
        <f t="shared" si="7"/>
        <v/>
      </c>
      <c r="BM33" s="373" t="str">
        <f t="shared" si="7"/>
        <v/>
      </c>
      <c r="BN33" s="373" t="str">
        <f t="shared" si="7"/>
        <v/>
      </c>
      <c r="BO33" s="373" t="str">
        <f t="shared" si="7"/>
        <v/>
      </c>
      <c r="BP33" s="373" t="str">
        <f t="shared" si="7"/>
        <v/>
      </c>
      <c r="BQ33" s="373" t="str">
        <f t="shared" si="5"/>
        <v/>
      </c>
      <c r="BR33" s="373" t="str">
        <f t="shared" si="5"/>
        <v/>
      </c>
      <c r="BS33" s="373" t="str">
        <f t="shared" si="5"/>
        <v/>
      </c>
      <c r="BT33" s="373" t="str">
        <f t="shared" si="5"/>
        <v/>
      </c>
      <c r="BU33" s="373" t="str">
        <f t="shared" si="5"/>
        <v/>
      </c>
      <c r="BV33" s="373" t="str">
        <f t="shared" si="5"/>
        <v/>
      </c>
      <c r="BW33" s="373" t="str">
        <f t="shared" si="5"/>
        <v/>
      </c>
      <c r="BX33" s="373" t="str">
        <f t="shared" si="5"/>
        <v/>
      </c>
      <c r="BY33" s="373" t="str">
        <f t="shared" si="5"/>
        <v/>
      </c>
      <c r="BZ33" s="373" t="str">
        <f t="shared" si="5"/>
        <v/>
      </c>
      <c r="CA33" s="373" t="str">
        <f t="shared" si="5"/>
        <v/>
      </c>
      <c r="CB33" s="373" t="str">
        <f t="shared" si="5"/>
        <v/>
      </c>
      <c r="CC33" s="373" t="str">
        <f t="shared" si="5"/>
        <v/>
      </c>
      <c r="CD33" s="373" t="str">
        <f t="shared" si="5"/>
        <v/>
      </c>
      <c r="CE33" s="373" t="str">
        <f t="shared" si="5"/>
        <v/>
      </c>
    </row>
    <row r="34" spans="1:83" s="370" customFormat="1" ht="15.5">
      <c r="A34" s="360"/>
      <c r="B34" s="360"/>
      <c r="C34" s="373" t="s">
        <v>93</v>
      </c>
      <c r="D34" s="373" t="str">
        <f>IF($D7="yes",D27*$D$11,IF($D7="no",0,""))</f>
        <v/>
      </c>
      <c r="E34" s="373" t="str">
        <f t="shared" si="7"/>
        <v/>
      </c>
      <c r="F34" s="373" t="str">
        <f t="shared" si="7"/>
        <v/>
      </c>
      <c r="G34" s="373" t="str">
        <f t="shared" si="7"/>
        <v/>
      </c>
      <c r="H34" s="373" t="str">
        <f t="shared" si="7"/>
        <v/>
      </c>
      <c r="I34" s="373" t="str">
        <f t="shared" si="7"/>
        <v/>
      </c>
      <c r="J34" s="373" t="str">
        <f t="shared" si="7"/>
        <v/>
      </c>
      <c r="K34" s="373" t="str">
        <f t="shared" si="7"/>
        <v/>
      </c>
      <c r="L34" s="373" t="str">
        <f t="shared" si="7"/>
        <v/>
      </c>
      <c r="M34" s="373" t="str">
        <f t="shared" si="7"/>
        <v/>
      </c>
      <c r="N34" s="373" t="str">
        <f t="shared" si="7"/>
        <v/>
      </c>
      <c r="O34" s="373" t="str">
        <f t="shared" si="7"/>
        <v/>
      </c>
      <c r="P34" s="373" t="str">
        <f t="shared" si="7"/>
        <v/>
      </c>
      <c r="Q34" s="373" t="str">
        <f t="shared" si="7"/>
        <v/>
      </c>
      <c r="R34" s="373" t="str">
        <f t="shared" si="7"/>
        <v/>
      </c>
      <c r="S34" s="373" t="str">
        <f t="shared" si="7"/>
        <v/>
      </c>
      <c r="T34" s="373" t="str">
        <f t="shared" si="7"/>
        <v/>
      </c>
      <c r="U34" s="373" t="str">
        <f t="shared" si="7"/>
        <v/>
      </c>
      <c r="V34" s="373" t="str">
        <f t="shared" si="7"/>
        <v/>
      </c>
      <c r="W34" s="373" t="str">
        <f t="shared" si="7"/>
        <v/>
      </c>
      <c r="X34" s="373" t="str">
        <f t="shared" si="7"/>
        <v/>
      </c>
      <c r="Y34" s="373" t="str">
        <f t="shared" si="7"/>
        <v/>
      </c>
      <c r="Z34" s="373" t="str">
        <f t="shared" si="7"/>
        <v/>
      </c>
      <c r="AA34" s="373" t="str">
        <f t="shared" si="7"/>
        <v/>
      </c>
      <c r="AB34" s="373" t="str">
        <f t="shared" si="7"/>
        <v/>
      </c>
      <c r="AC34" s="373" t="str">
        <f t="shared" si="7"/>
        <v/>
      </c>
      <c r="AD34" s="373" t="str">
        <f t="shared" si="7"/>
        <v/>
      </c>
      <c r="AE34" s="373" t="str">
        <f t="shared" si="7"/>
        <v/>
      </c>
      <c r="AF34" s="373" t="str">
        <f t="shared" si="7"/>
        <v/>
      </c>
      <c r="AG34" s="373" t="str">
        <f t="shared" si="7"/>
        <v/>
      </c>
      <c r="AH34" s="373" t="str">
        <f t="shared" si="7"/>
        <v/>
      </c>
      <c r="AI34" s="373" t="str">
        <f t="shared" si="7"/>
        <v/>
      </c>
      <c r="AJ34" s="373" t="str">
        <f t="shared" si="7"/>
        <v/>
      </c>
      <c r="AK34" s="373" t="str">
        <f t="shared" si="7"/>
        <v/>
      </c>
      <c r="AL34" s="373" t="str">
        <f t="shared" si="7"/>
        <v/>
      </c>
      <c r="AM34" s="373" t="str">
        <f t="shared" si="7"/>
        <v/>
      </c>
      <c r="AN34" s="373" t="str">
        <f t="shared" si="7"/>
        <v/>
      </c>
      <c r="AO34" s="373" t="str">
        <f t="shared" si="7"/>
        <v/>
      </c>
      <c r="AP34" s="373" t="str">
        <f t="shared" si="7"/>
        <v/>
      </c>
      <c r="AQ34" s="373" t="str">
        <f t="shared" si="7"/>
        <v/>
      </c>
      <c r="AR34" s="373" t="str">
        <f t="shared" si="7"/>
        <v/>
      </c>
      <c r="AS34" s="373" t="str">
        <f t="shared" si="7"/>
        <v/>
      </c>
      <c r="AT34" s="373" t="str">
        <f t="shared" si="7"/>
        <v/>
      </c>
      <c r="AU34" s="373" t="str">
        <f t="shared" si="7"/>
        <v/>
      </c>
      <c r="AV34" s="373" t="str">
        <f t="shared" si="7"/>
        <v/>
      </c>
      <c r="AW34" s="373" t="str">
        <f t="shared" si="7"/>
        <v/>
      </c>
      <c r="AX34" s="373" t="str">
        <f t="shared" si="7"/>
        <v/>
      </c>
      <c r="AY34" s="373" t="str">
        <f t="shared" si="7"/>
        <v/>
      </c>
      <c r="AZ34" s="373" t="str">
        <f t="shared" si="7"/>
        <v/>
      </c>
      <c r="BA34" s="373" t="str">
        <f t="shared" si="7"/>
        <v/>
      </c>
      <c r="BB34" s="373" t="str">
        <f t="shared" si="7"/>
        <v/>
      </c>
      <c r="BC34" s="373" t="str">
        <f t="shared" si="7"/>
        <v/>
      </c>
      <c r="BD34" s="373" t="str">
        <f t="shared" si="7"/>
        <v/>
      </c>
      <c r="BE34" s="373" t="str">
        <f t="shared" si="7"/>
        <v/>
      </c>
      <c r="BF34" s="373" t="str">
        <f t="shared" si="7"/>
        <v/>
      </c>
      <c r="BG34" s="373" t="str">
        <f t="shared" si="7"/>
        <v/>
      </c>
      <c r="BH34" s="373" t="str">
        <f t="shared" si="7"/>
        <v/>
      </c>
      <c r="BI34" s="373" t="str">
        <f t="shared" si="7"/>
        <v/>
      </c>
      <c r="BJ34" s="373" t="str">
        <f t="shared" si="7"/>
        <v/>
      </c>
      <c r="BK34" s="373" t="str">
        <f t="shared" si="7"/>
        <v/>
      </c>
      <c r="BL34" s="373" t="str">
        <f t="shared" si="7"/>
        <v/>
      </c>
      <c r="BM34" s="373" t="str">
        <f t="shared" si="7"/>
        <v/>
      </c>
      <c r="BN34" s="373" t="str">
        <f t="shared" si="7"/>
        <v/>
      </c>
      <c r="BO34" s="373" t="str">
        <f t="shared" si="7"/>
        <v/>
      </c>
      <c r="BP34" s="373" t="str">
        <f t="shared" si="7"/>
        <v/>
      </c>
      <c r="BQ34" s="373" t="str">
        <f t="shared" si="5"/>
        <v/>
      </c>
      <c r="BR34" s="373" t="str">
        <f t="shared" si="5"/>
        <v/>
      </c>
      <c r="BS34" s="373" t="str">
        <f t="shared" si="5"/>
        <v/>
      </c>
      <c r="BT34" s="373" t="str">
        <f t="shared" si="5"/>
        <v/>
      </c>
      <c r="BU34" s="373" t="str">
        <f t="shared" si="5"/>
        <v/>
      </c>
      <c r="BV34" s="373" t="str">
        <f t="shared" si="5"/>
        <v/>
      </c>
      <c r="BW34" s="373" t="str">
        <f t="shared" si="5"/>
        <v/>
      </c>
      <c r="BX34" s="373" t="str">
        <f t="shared" si="5"/>
        <v/>
      </c>
      <c r="BY34" s="373" t="str">
        <f t="shared" si="5"/>
        <v/>
      </c>
      <c r="BZ34" s="373" t="str">
        <f t="shared" si="5"/>
        <v/>
      </c>
      <c r="CA34" s="373" t="str">
        <f t="shared" si="5"/>
        <v/>
      </c>
      <c r="CB34" s="373" t="str">
        <f t="shared" si="5"/>
        <v/>
      </c>
      <c r="CC34" s="373" t="str">
        <f t="shared" si="5"/>
        <v/>
      </c>
      <c r="CD34" s="373" t="str">
        <f t="shared" si="5"/>
        <v/>
      </c>
      <c r="CE34" s="373" t="str">
        <f t="shared" si="5"/>
        <v/>
      </c>
    </row>
    <row r="35" spans="1:83" ht="15.5">
      <c r="C35" s="365"/>
      <c r="F35" s="366"/>
    </row>
    <row r="36" spans="1:83">
      <c r="C36" s="367"/>
      <c r="D36" s="367"/>
      <c r="E36" s="367"/>
    </row>
    <row r="37" spans="1:83">
      <c r="C37" s="367"/>
      <c r="D37" s="367"/>
      <c r="E37" s="367"/>
      <c r="F37" s="369"/>
    </row>
    <row r="38" spans="1:83">
      <c r="C38" s="367"/>
      <c r="D38" s="367"/>
      <c r="E38" s="367"/>
      <c r="F38" s="369"/>
    </row>
  </sheetData>
  <dataValidations count="1">
    <dataValidation type="list" allowBlank="1" showInputMessage="1" showErrorMessage="1" sqref="D4:D7" xr:uid="{00000000-0002-0000-0B00-000000000000}">
      <formula1>Yes_no</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sheetPr>
  <dimension ref="A1:CE27"/>
  <sheetViews>
    <sheetView workbookViewId="0">
      <selection activeCell="A19" sqref="A19:XFD19"/>
    </sheetView>
  </sheetViews>
  <sheetFormatPr defaultColWidth="9.1796875" defaultRowHeight="14.5"/>
  <cols>
    <col min="1" max="1" width="3.7265625" style="361" customWidth="1"/>
    <col min="2" max="2" width="8.54296875" style="361" customWidth="1"/>
    <col min="3" max="3" width="47.1796875" style="361" customWidth="1"/>
    <col min="4" max="4" width="9.1796875" style="361"/>
    <col min="5" max="5" width="12.7265625" style="361" bestFit="1" customWidth="1"/>
    <col min="6" max="16384" width="9.1796875" style="361"/>
  </cols>
  <sheetData>
    <row r="1" spans="1:83" ht="15.5">
      <c r="D1" s="365"/>
    </row>
    <row r="2" spans="1:83" ht="15.5">
      <c r="A2" s="360" t="s">
        <v>236</v>
      </c>
      <c r="C2" s="360"/>
    </row>
    <row r="3" spans="1:83" ht="15.5">
      <c r="A3" s="360"/>
      <c r="B3" s="360" t="s">
        <v>111</v>
      </c>
      <c r="C3" s="362"/>
    </row>
    <row r="4" spans="1:83" ht="15.5">
      <c r="C4" s="380" t="s">
        <v>87</v>
      </c>
      <c r="D4" s="679" t="s">
        <v>372</v>
      </c>
    </row>
    <row r="5" spans="1:83" ht="15.5">
      <c r="C5" s="364" t="s">
        <v>89</v>
      </c>
      <c r="D5" s="679" t="s">
        <v>372</v>
      </c>
    </row>
    <row r="6" spans="1:83" ht="15.5">
      <c r="C6" s="364" t="s">
        <v>91</v>
      </c>
      <c r="D6" s="679" t="s">
        <v>372</v>
      </c>
    </row>
    <row r="7" spans="1:83" ht="15.5">
      <c r="C7" s="364" t="s">
        <v>93</v>
      </c>
      <c r="D7" s="679" t="s">
        <v>372</v>
      </c>
    </row>
    <row r="8" spans="1:83" ht="15.5">
      <c r="C8" s="365"/>
    </row>
    <row r="9" spans="1:83" ht="15.5">
      <c r="C9" s="364" t="s">
        <v>368</v>
      </c>
      <c r="D9" s="965">
        <f>('Proforma Scrutiny'!D73*'Proforma Scrutiny'!D72)/24</f>
        <v>0</v>
      </c>
    </row>
    <row r="10" spans="1:83" ht="15.5">
      <c r="C10" s="365"/>
    </row>
    <row r="12" spans="1:83" ht="15.5">
      <c r="A12" s="360" t="s">
        <v>302</v>
      </c>
    </row>
    <row r="13" spans="1:83" s="370" customFormat="1" ht="15.5">
      <c r="A13" s="360"/>
      <c r="B13" s="360" t="s">
        <v>369</v>
      </c>
    </row>
    <row r="14" spans="1:83" s="370" customFormat="1" ht="15.5">
      <c r="A14" s="360"/>
      <c r="B14" s="360"/>
      <c r="C14" s="372"/>
      <c r="D14" s="372">
        <v>2010</v>
      </c>
      <c r="E14" s="372">
        <v>2011</v>
      </c>
      <c r="F14" s="372">
        <v>2012</v>
      </c>
      <c r="G14" s="372">
        <v>2013</v>
      </c>
      <c r="H14" s="372">
        <v>2014</v>
      </c>
      <c r="I14" s="372">
        <v>2015</v>
      </c>
      <c r="J14" s="372">
        <v>2016</v>
      </c>
      <c r="K14" s="372">
        <v>2017</v>
      </c>
      <c r="L14" s="372">
        <v>2018</v>
      </c>
      <c r="M14" s="372">
        <v>2019</v>
      </c>
      <c r="N14" s="372">
        <v>2020</v>
      </c>
      <c r="O14" s="372">
        <v>2021</v>
      </c>
      <c r="P14" s="372">
        <v>2022</v>
      </c>
      <c r="Q14" s="372">
        <v>2023</v>
      </c>
      <c r="R14" s="372">
        <v>2024</v>
      </c>
      <c r="S14" s="372">
        <v>2025</v>
      </c>
      <c r="T14" s="372">
        <v>2026</v>
      </c>
      <c r="U14" s="372">
        <v>2027</v>
      </c>
      <c r="V14" s="372">
        <v>2028</v>
      </c>
      <c r="W14" s="372">
        <v>2029</v>
      </c>
      <c r="X14" s="372">
        <v>2030</v>
      </c>
      <c r="Y14" s="372">
        <v>2031</v>
      </c>
      <c r="Z14" s="372">
        <v>2032</v>
      </c>
      <c r="AA14" s="372">
        <v>2033</v>
      </c>
      <c r="AB14" s="372">
        <v>2034</v>
      </c>
      <c r="AC14" s="372">
        <v>2035</v>
      </c>
      <c r="AD14" s="372">
        <v>2036</v>
      </c>
      <c r="AE14" s="372">
        <v>2037</v>
      </c>
      <c r="AF14" s="372">
        <v>2038</v>
      </c>
      <c r="AG14" s="372">
        <v>2039</v>
      </c>
      <c r="AH14" s="372">
        <v>2040</v>
      </c>
      <c r="AI14" s="372">
        <v>2041</v>
      </c>
      <c r="AJ14" s="372">
        <v>2042</v>
      </c>
      <c r="AK14" s="372">
        <v>2043</v>
      </c>
      <c r="AL14" s="372">
        <v>2044</v>
      </c>
      <c r="AM14" s="372">
        <v>2045</v>
      </c>
      <c r="AN14" s="372">
        <v>2046</v>
      </c>
      <c r="AO14" s="372">
        <v>2047</v>
      </c>
      <c r="AP14" s="372">
        <v>2048</v>
      </c>
      <c r="AQ14" s="372">
        <v>2049</v>
      </c>
      <c r="AR14" s="372">
        <v>2050</v>
      </c>
      <c r="AS14" s="372">
        <v>2051</v>
      </c>
      <c r="AT14" s="372">
        <v>2052</v>
      </c>
      <c r="AU14" s="372">
        <v>2053</v>
      </c>
      <c r="AV14" s="372">
        <v>2054</v>
      </c>
      <c r="AW14" s="372">
        <v>2055</v>
      </c>
      <c r="AX14" s="372">
        <v>2056</v>
      </c>
      <c r="AY14" s="372">
        <v>2057</v>
      </c>
      <c r="AZ14" s="372">
        <v>2058</v>
      </c>
      <c r="BA14" s="372">
        <v>2059</v>
      </c>
      <c r="BB14" s="372">
        <v>2060</v>
      </c>
      <c r="BC14" s="372">
        <v>2061</v>
      </c>
      <c r="BD14" s="372">
        <v>2062</v>
      </c>
      <c r="BE14" s="372">
        <v>2063</v>
      </c>
      <c r="BF14" s="372">
        <v>2064</v>
      </c>
      <c r="BG14" s="372">
        <v>2065</v>
      </c>
      <c r="BH14" s="372">
        <v>2066</v>
      </c>
      <c r="BI14" s="372">
        <v>2067</v>
      </c>
      <c r="BJ14" s="372">
        <v>2068</v>
      </c>
      <c r="BK14" s="372">
        <v>2069</v>
      </c>
      <c r="BL14" s="372">
        <v>2070</v>
      </c>
      <c r="BM14" s="372">
        <v>2071</v>
      </c>
      <c r="BN14" s="372">
        <v>2072</v>
      </c>
      <c r="BO14" s="372">
        <v>2073</v>
      </c>
      <c r="BP14" s="372">
        <v>2074</v>
      </c>
      <c r="BQ14" s="372">
        <v>2075</v>
      </c>
      <c r="BR14" s="372">
        <v>2076</v>
      </c>
      <c r="BS14" s="372">
        <v>2077</v>
      </c>
      <c r="BT14" s="372">
        <v>2078</v>
      </c>
      <c r="BU14" s="372">
        <v>2079</v>
      </c>
      <c r="BV14" s="372">
        <v>2080</v>
      </c>
      <c r="BW14" s="372">
        <v>2081</v>
      </c>
      <c r="BX14" s="372">
        <v>2082</v>
      </c>
      <c r="BY14" s="372">
        <v>2083</v>
      </c>
      <c r="BZ14" s="372">
        <v>2084</v>
      </c>
      <c r="CA14" s="372">
        <v>2085</v>
      </c>
      <c r="CB14" s="372">
        <v>2086</v>
      </c>
      <c r="CC14" s="372">
        <v>2087</v>
      </c>
      <c r="CD14" s="372">
        <v>2088</v>
      </c>
      <c r="CE14" s="372">
        <v>2089</v>
      </c>
    </row>
    <row r="15" spans="1:83" s="370" customFormat="1" ht="15.5">
      <c r="A15" s="360"/>
      <c r="B15" s="360"/>
      <c r="C15" s="373" t="s">
        <v>87</v>
      </c>
      <c r="D15" s="373" t="e">
        <f>Diversion!E201</f>
        <v>#DIV/0!</v>
      </c>
      <c r="E15" s="373" t="e">
        <f>Diversion!F201</f>
        <v>#DIV/0!</v>
      </c>
      <c r="F15" s="373" t="e">
        <f>Diversion!G201</f>
        <v>#DIV/0!</v>
      </c>
      <c r="G15" s="373" t="e">
        <f>Diversion!H201</f>
        <v>#DIV/0!</v>
      </c>
      <c r="H15" s="373" t="e">
        <f>Diversion!I201</f>
        <v>#DIV/0!</v>
      </c>
      <c r="I15" s="373" t="e">
        <f>Diversion!J201</f>
        <v>#DIV/0!</v>
      </c>
      <c r="J15" s="373" t="e">
        <f>Diversion!K201</f>
        <v>#DIV/0!</v>
      </c>
      <c r="K15" s="373" t="e">
        <f>Diversion!L201</f>
        <v>#DIV/0!</v>
      </c>
      <c r="L15" s="373" t="e">
        <f>Diversion!M201</f>
        <v>#DIV/0!</v>
      </c>
      <c r="M15" s="373" t="e">
        <f>Diversion!N201</f>
        <v>#DIV/0!</v>
      </c>
      <c r="N15" s="373" t="e">
        <f>Diversion!O201</f>
        <v>#DIV/0!</v>
      </c>
      <c r="O15" s="373" t="e">
        <f>Diversion!P201</f>
        <v>#DIV/0!</v>
      </c>
      <c r="P15" s="373" t="e">
        <f>Diversion!Q201</f>
        <v>#DIV/0!</v>
      </c>
      <c r="Q15" s="373" t="e">
        <f>Diversion!R201</f>
        <v>#DIV/0!</v>
      </c>
      <c r="R15" s="373" t="e">
        <f>Diversion!S201</f>
        <v>#DIV/0!</v>
      </c>
      <c r="S15" s="373" t="e">
        <f>Diversion!T201</f>
        <v>#DIV/0!</v>
      </c>
      <c r="T15" s="373" t="e">
        <f>Diversion!U201</f>
        <v>#DIV/0!</v>
      </c>
      <c r="U15" s="373" t="e">
        <f>Diversion!V201</f>
        <v>#DIV/0!</v>
      </c>
      <c r="V15" s="373" t="e">
        <f>Diversion!W201</f>
        <v>#DIV/0!</v>
      </c>
      <c r="W15" s="373" t="e">
        <f>Diversion!X201</f>
        <v>#DIV/0!</v>
      </c>
      <c r="X15" s="373" t="e">
        <f>Diversion!Y201</f>
        <v>#DIV/0!</v>
      </c>
      <c r="Y15" s="373" t="e">
        <f>Diversion!Z201</f>
        <v>#DIV/0!</v>
      </c>
      <c r="Z15" s="373" t="e">
        <f>Diversion!AA201</f>
        <v>#DIV/0!</v>
      </c>
      <c r="AA15" s="373" t="e">
        <f>Diversion!AB201</f>
        <v>#DIV/0!</v>
      </c>
      <c r="AB15" s="373" t="e">
        <f>Diversion!AC201</f>
        <v>#DIV/0!</v>
      </c>
      <c r="AC15" s="373" t="e">
        <f>Diversion!AD201</f>
        <v>#DIV/0!</v>
      </c>
      <c r="AD15" s="373" t="e">
        <f>Diversion!AE201</f>
        <v>#DIV/0!</v>
      </c>
      <c r="AE15" s="373" t="e">
        <f>Diversion!AF201</f>
        <v>#DIV/0!</v>
      </c>
      <c r="AF15" s="373" t="e">
        <f>Diversion!AG201</f>
        <v>#DIV/0!</v>
      </c>
      <c r="AG15" s="373" t="e">
        <f>Diversion!AH201</f>
        <v>#DIV/0!</v>
      </c>
      <c r="AH15" s="373" t="e">
        <f>Diversion!AI201</f>
        <v>#DIV/0!</v>
      </c>
      <c r="AI15" s="373" t="e">
        <f>Diversion!AJ201</f>
        <v>#DIV/0!</v>
      </c>
      <c r="AJ15" s="373" t="e">
        <f>Diversion!AK201</f>
        <v>#DIV/0!</v>
      </c>
      <c r="AK15" s="373" t="e">
        <f>Diversion!AL201</f>
        <v>#DIV/0!</v>
      </c>
      <c r="AL15" s="373" t="e">
        <f>Diversion!AM201</f>
        <v>#DIV/0!</v>
      </c>
      <c r="AM15" s="373" t="e">
        <f>Diversion!AN201</f>
        <v>#DIV/0!</v>
      </c>
      <c r="AN15" s="373" t="e">
        <f>Diversion!AO201</f>
        <v>#DIV/0!</v>
      </c>
      <c r="AO15" s="373" t="e">
        <f>Diversion!AP201</f>
        <v>#DIV/0!</v>
      </c>
      <c r="AP15" s="373" t="e">
        <f>Diversion!AQ201</f>
        <v>#DIV/0!</v>
      </c>
      <c r="AQ15" s="373" t="e">
        <f>Diversion!AR201</f>
        <v>#DIV/0!</v>
      </c>
      <c r="AR15" s="373" t="e">
        <f>Diversion!AS201</f>
        <v>#DIV/0!</v>
      </c>
      <c r="AS15" s="373" t="e">
        <f>Diversion!AT201</f>
        <v>#DIV/0!</v>
      </c>
      <c r="AT15" s="373" t="e">
        <f>Diversion!AU201</f>
        <v>#DIV/0!</v>
      </c>
      <c r="AU15" s="373" t="e">
        <f>Diversion!AV201</f>
        <v>#DIV/0!</v>
      </c>
      <c r="AV15" s="373" t="e">
        <f>Diversion!AW201</f>
        <v>#DIV/0!</v>
      </c>
      <c r="AW15" s="373" t="e">
        <f>Diversion!AX201</f>
        <v>#DIV/0!</v>
      </c>
      <c r="AX15" s="373" t="e">
        <f>Diversion!AY201</f>
        <v>#DIV/0!</v>
      </c>
      <c r="AY15" s="373" t="e">
        <f>Diversion!AZ201</f>
        <v>#DIV/0!</v>
      </c>
      <c r="AZ15" s="373" t="e">
        <f>Diversion!BA201</f>
        <v>#DIV/0!</v>
      </c>
      <c r="BA15" s="373" t="e">
        <f>Diversion!BB201</f>
        <v>#DIV/0!</v>
      </c>
      <c r="BB15" s="373" t="e">
        <f>Diversion!BC201</f>
        <v>#DIV/0!</v>
      </c>
      <c r="BC15" s="373" t="e">
        <f>Diversion!BD201</f>
        <v>#DIV/0!</v>
      </c>
      <c r="BD15" s="373" t="e">
        <f>Diversion!BE201</f>
        <v>#DIV/0!</v>
      </c>
      <c r="BE15" s="373" t="e">
        <f>Diversion!BF201</f>
        <v>#DIV/0!</v>
      </c>
      <c r="BF15" s="373" t="e">
        <f>Diversion!BG201</f>
        <v>#DIV/0!</v>
      </c>
      <c r="BG15" s="373" t="e">
        <f>Diversion!BH201</f>
        <v>#DIV/0!</v>
      </c>
      <c r="BH15" s="373" t="e">
        <f>Diversion!BI201</f>
        <v>#DIV/0!</v>
      </c>
      <c r="BI15" s="373" t="e">
        <f>Diversion!BJ201</f>
        <v>#DIV/0!</v>
      </c>
      <c r="BJ15" s="373" t="e">
        <f>Diversion!BK201</f>
        <v>#DIV/0!</v>
      </c>
      <c r="BK15" s="373" t="e">
        <f>Diversion!BL201</f>
        <v>#DIV/0!</v>
      </c>
      <c r="BL15" s="373" t="e">
        <f>Diversion!BM201</f>
        <v>#DIV/0!</v>
      </c>
      <c r="BM15" s="373" t="e">
        <f>Diversion!BN201</f>
        <v>#DIV/0!</v>
      </c>
      <c r="BN15" s="373" t="e">
        <f>Diversion!BO201</f>
        <v>#DIV/0!</v>
      </c>
      <c r="BO15" s="373" t="e">
        <f>Diversion!BP201</f>
        <v>#DIV/0!</v>
      </c>
      <c r="BP15" s="373" t="e">
        <f>Diversion!BQ201</f>
        <v>#DIV/0!</v>
      </c>
      <c r="BQ15" s="373" t="e">
        <f>Diversion!BR201</f>
        <v>#DIV/0!</v>
      </c>
      <c r="BR15" s="373" t="e">
        <f>Diversion!BS201</f>
        <v>#DIV/0!</v>
      </c>
      <c r="BS15" s="373" t="e">
        <f>Diversion!BT201</f>
        <v>#DIV/0!</v>
      </c>
      <c r="BT15" s="373" t="e">
        <f>Diversion!BU201</f>
        <v>#DIV/0!</v>
      </c>
      <c r="BU15" s="373" t="e">
        <f>Diversion!BV201</f>
        <v>#DIV/0!</v>
      </c>
      <c r="BV15" s="373" t="e">
        <f>Diversion!BW201</f>
        <v>#DIV/0!</v>
      </c>
      <c r="BW15" s="373" t="e">
        <f>Diversion!BX201</f>
        <v>#DIV/0!</v>
      </c>
      <c r="BX15" s="373" t="e">
        <f>Diversion!BY201</f>
        <v>#DIV/0!</v>
      </c>
      <c r="BY15" s="373" t="e">
        <f>Diversion!BZ201</f>
        <v>#DIV/0!</v>
      </c>
      <c r="BZ15" s="373" t="e">
        <f>Diversion!CA201</f>
        <v>#DIV/0!</v>
      </c>
      <c r="CA15" s="373" t="e">
        <f>Diversion!CB201</f>
        <v>#DIV/0!</v>
      </c>
      <c r="CB15" s="373" t="e">
        <f>Diversion!CC201</f>
        <v>#DIV/0!</v>
      </c>
      <c r="CC15" s="373" t="e">
        <f>Diversion!CD201</f>
        <v>#DIV/0!</v>
      </c>
      <c r="CD15" s="373" t="e">
        <f>Diversion!CE201</f>
        <v>#DIV/0!</v>
      </c>
      <c r="CE15" s="373" t="e">
        <f>Diversion!CF201</f>
        <v>#DIV/0!</v>
      </c>
    </row>
    <row r="16" spans="1:83" s="370" customFormat="1" ht="15.5">
      <c r="A16" s="360"/>
      <c r="B16" s="360"/>
      <c r="C16" s="373" t="s">
        <v>89</v>
      </c>
      <c r="D16" s="373" t="e">
        <f>Diversion!E202</f>
        <v>#DIV/0!</v>
      </c>
      <c r="E16" s="373" t="e">
        <f>Diversion!F202</f>
        <v>#DIV/0!</v>
      </c>
      <c r="F16" s="373" t="e">
        <f>Diversion!G202</f>
        <v>#DIV/0!</v>
      </c>
      <c r="G16" s="373" t="e">
        <f>Diversion!H202</f>
        <v>#DIV/0!</v>
      </c>
      <c r="H16" s="373" t="e">
        <f>Diversion!I202</f>
        <v>#DIV/0!</v>
      </c>
      <c r="I16" s="373" t="e">
        <f>Diversion!J202</f>
        <v>#DIV/0!</v>
      </c>
      <c r="J16" s="373" t="e">
        <f>Diversion!K202</f>
        <v>#DIV/0!</v>
      </c>
      <c r="K16" s="373" t="e">
        <f>Diversion!L202</f>
        <v>#DIV/0!</v>
      </c>
      <c r="L16" s="373" t="e">
        <f>Diversion!M202</f>
        <v>#DIV/0!</v>
      </c>
      <c r="M16" s="373" t="e">
        <f>Diversion!N202</f>
        <v>#DIV/0!</v>
      </c>
      <c r="N16" s="373" t="e">
        <f>Diversion!O202</f>
        <v>#DIV/0!</v>
      </c>
      <c r="O16" s="373" t="e">
        <f>Diversion!P202</f>
        <v>#DIV/0!</v>
      </c>
      <c r="P16" s="373" t="e">
        <f>Diversion!Q202</f>
        <v>#DIV/0!</v>
      </c>
      <c r="Q16" s="373" t="e">
        <f>Diversion!R202</f>
        <v>#DIV/0!</v>
      </c>
      <c r="R16" s="373" t="e">
        <f>Diversion!S202</f>
        <v>#DIV/0!</v>
      </c>
      <c r="S16" s="373" t="e">
        <f>Diversion!T202</f>
        <v>#DIV/0!</v>
      </c>
      <c r="T16" s="373" t="e">
        <f>Diversion!U202</f>
        <v>#DIV/0!</v>
      </c>
      <c r="U16" s="373" t="e">
        <f>Diversion!V202</f>
        <v>#DIV/0!</v>
      </c>
      <c r="V16" s="373" t="e">
        <f>Diversion!W202</f>
        <v>#DIV/0!</v>
      </c>
      <c r="W16" s="373" t="e">
        <f>Diversion!X202</f>
        <v>#DIV/0!</v>
      </c>
      <c r="X16" s="373" t="e">
        <f>Diversion!Y202</f>
        <v>#DIV/0!</v>
      </c>
      <c r="Y16" s="373" t="e">
        <f>Diversion!Z202</f>
        <v>#DIV/0!</v>
      </c>
      <c r="Z16" s="373" t="e">
        <f>Diversion!AA202</f>
        <v>#DIV/0!</v>
      </c>
      <c r="AA16" s="373" t="e">
        <f>Diversion!AB202</f>
        <v>#DIV/0!</v>
      </c>
      <c r="AB16" s="373" t="e">
        <f>Diversion!AC202</f>
        <v>#DIV/0!</v>
      </c>
      <c r="AC16" s="373" t="e">
        <f>Diversion!AD202</f>
        <v>#DIV/0!</v>
      </c>
      <c r="AD16" s="373" t="e">
        <f>Diversion!AE202</f>
        <v>#DIV/0!</v>
      </c>
      <c r="AE16" s="373" t="e">
        <f>Diversion!AF202</f>
        <v>#DIV/0!</v>
      </c>
      <c r="AF16" s="373" t="e">
        <f>Diversion!AG202</f>
        <v>#DIV/0!</v>
      </c>
      <c r="AG16" s="373" t="e">
        <f>Diversion!AH202</f>
        <v>#DIV/0!</v>
      </c>
      <c r="AH16" s="373" t="e">
        <f>Diversion!AI202</f>
        <v>#DIV/0!</v>
      </c>
      <c r="AI16" s="373" t="e">
        <f>Diversion!AJ202</f>
        <v>#DIV/0!</v>
      </c>
      <c r="AJ16" s="373" t="e">
        <f>Diversion!AK202</f>
        <v>#DIV/0!</v>
      </c>
      <c r="AK16" s="373" t="e">
        <f>Diversion!AL202</f>
        <v>#DIV/0!</v>
      </c>
      <c r="AL16" s="373" t="e">
        <f>Diversion!AM202</f>
        <v>#DIV/0!</v>
      </c>
      <c r="AM16" s="373" t="e">
        <f>Diversion!AN202</f>
        <v>#DIV/0!</v>
      </c>
      <c r="AN16" s="373" t="e">
        <f>Diversion!AO202</f>
        <v>#DIV/0!</v>
      </c>
      <c r="AO16" s="373" t="e">
        <f>Diversion!AP202</f>
        <v>#DIV/0!</v>
      </c>
      <c r="AP16" s="373" t="e">
        <f>Diversion!AQ202</f>
        <v>#DIV/0!</v>
      </c>
      <c r="AQ16" s="373" t="e">
        <f>Diversion!AR202</f>
        <v>#DIV/0!</v>
      </c>
      <c r="AR16" s="373" t="e">
        <f>Diversion!AS202</f>
        <v>#DIV/0!</v>
      </c>
      <c r="AS16" s="373" t="e">
        <f>Diversion!AT202</f>
        <v>#DIV/0!</v>
      </c>
      <c r="AT16" s="373" t="e">
        <f>Diversion!AU202</f>
        <v>#DIV/0!</v>
      </c>
      <c r="AU16" s="373" t="e">
        <f>Diversion!AV202</f>
        <v>#DIV/0!</v>
      </c>
      <c r="AV16" s="373" t="e">
        <f>Diversion!AW202</f>
        <v>#DIV/0!</v>
      </c>
      <c r="AW16" s="373" t="e">
        <f>Diversion!AX202</f>
        <v>#DIV/0!</v>
      </c>
      <c r="AX16" s="373" t="e">
        <f>Diversion!AY202</f>
        <v>#DIV/0!</v>
      </c>
      <c r="AY16" s="373" t="e">
        <f>Diversion!AZ202</f>
        <v>#DIV/0!</v>
      </c>
      <c r="AZ16" s="373" t="e">
        <f>Diversion!BA202</f>
        <v>#DIV/0!</v>
      </c>
      <c r="BA16" s="373" t="e">
        <f>Diversion!BB202</f>
        <v>#DIV/0!</v>
      </c>
      <c r="BB16" s="373" t="e">
        <f>Diversion!BC202</f>
        <v>#DIV/0!</v>
      </c>
      <c r="BC16" s="373" t="e">
        <f>Diversion!BD202</f>
        <v>#DIV/0!</v>
      </c>
      <c r="BD16" s="373" t="e">
        <f>Diversion!BE202</f>
        <v>#DIV/0!</v>
      </c>
      <c r="BE16" s="373" t="e">
        <f>Diversion!BF202</f>
        <v>#DIV/0!</v>
      </c>
      <c r="BF16" s="373" t="e">
        <f>Diversion!BG202</f>
        <v>#DIV/0!</v>
      </c>
      <c r="BG16" s="373" t="e">
        <f>Diversion!BH202</f>
        <v>#DIV/0!</v>
      </c>
      <c r="BH16" s="373" t="e">
        <f>Diversion!BI202</f>
        <v>#DIV/0!</v>
      </c>
      <c r="BI16" s="373" t="e">
        <f>Diversion!BJ202</f>
        <v>#DIV/0!</v>
      </c>
      <c r="BJ16" s="373" t="e">
        <f>Diversion!BK202</f>
        <v>#DIV/0!</v>
      </c>
      <c r="BK16" s="373" t="e">
        <f>Diversion!BL202</f>
        <v>#DIV/0!</v>
      </c>
      <c r="BL16" s="373" t="e">
        <f>Diversion!BM202</f>
        <v>#DIV/0!</v>
      </c>
      <c r="BM16" s="373" t="e">
        <f>Diversion!BN202</f>
        <v>#DIV/0!</v>
      </c>
      <c r="BN16" s="373" t="e">
        <f>Diversion!BO202</f>
        <v>#DIV/0!</v>
      </c>
      <c r="BO16" s="373" t="e">
        <f>Diversion!BP202</f>
        <v>#DIV/0!</v>
      </c>
      <c r="BP16" s="373" t="e">
        <f>Diversion!BQ202</f>
        <v>#DIV/0!</v>
      </c>
      <c r="BQ16" s="373" t="e">
        <f>Diversion!BR202</f>
        <v>#DIV/0!</v>
      </c>
      <c r="BR16" s="373" t="e">
        <f>Diversion!BS202</f>
        <v>#DIV/0!</v>
      </c>
      <c r="BS16" s="373" t="e">
        <f>Diversion!BT202</f>
        <v>#DIV/0!</v>
      </c>
      <c r="BT16" s="373" t="e">
        <f>Diversion!BU202</f>
        <v>#DIV/0!</v>
      </c>
      <c r="BU16" s="373" t="e">
        <f>Diversion!BV202</f>
        <v>#DIV/0!</v>
      </c>
      <c r="BV16" s="373" t="e">
        <f>Diversion!BW202</f>
        <v>#DIV/0!</v>
      </c>
      <c r="BW16" s="373" t="e">
        <f>Diversion!BX202</f>
        <v>#DIV/0!</v>
      </c>
      <c r="BX16" s="373" t="e">
        <f>Diversion!BY202</f>
        <v>#DIV/0!</v>
      </c>
      <c r="BY16" s="373" t="e">
        <f>Diversion!BZ202</f>
        <v>#DIV/0!</v>
      </c>
      <c r="BZ16" s="373" t="e">
        <f>Diversion!CA202</f>
        <v>#DIV/0!</v>
      </c>
      <c r="CA16" s="373" t="e">
        <f>Diversion!CB202</f>
        <v>#DIV/0!</v>
      </c>
      <c r="CB16" s="373" t="e">
        <f>Diversion!CC202</f>
        <v>#DIV/0!</v>
      </c>
      <c r="CC16" s="373" t="e">
        <f>Diversion!CD202</f>
        <v>#DIV/0!</v>
      </c>
      <c r="CD16" s="373" t="e">
        <f>Diversion!CE202</f>
        <v>#DIV/0!</v>
      </c>
      <c r="CE16" s="373" t="e">
        <f>Diversion!CF202</f>
        <v>#DIV/0!</v>
      </c>
    </row>
    <row r="17" spans="1:83" s="370" customFormat="1" ht="15.5">
      <c r="A17" s="360"/>
      <c r="B17" s="360"/>
      <c r="C17" s="373" t="s">
        <v>91</v>
      </c>
      <c r="D17" s="373" t="e">
        <f>Diversion!E203</f>
        <v>#DIV/0!</v>
      </c>
      <c r="E17" s="373" t="e">
        <f>Diversion!F203</f>
        <v>#DIV/0!</v>
      </c>
      <c r="F17" s="373" t="e">
        <f>Diversion!G203</f>
        <v>#DIV/0!</v>
      </c>
      <c r="G17" s="373" t="e">
        <f>Diversion!H203</f>
        <v>#DIV/0!</v>
      </c>
      <c r="H17" s="373" t="e">
        <f>Diversion!I203</f>
        <v>#DIV/0!</v>
      </c>
      <c r="I17" s="373" t="e">
        <f>Diversion!J203</f>
        <v>#DIV/0!</v>
      </c>
      <c r="J17" s="373" t="e">
        <f>Diversion!K203</f>
        <v>#DIV/0!</v>
      </c>
      <c r="K17" s="373" t="e">
        <f>Diversion!L203</f>
        <v>#DIV/0!</v>
      </c>
      <c r="L17" s="373" t="e">
        <f>Diversion!M203</f>
        <v>#DIV/0!</v>
      </c>
      <c r="M17" s="373" t="e">
        <f>Diversion!N203</f>
        <v>#DIV/0!</v>
      </c>
      <c r="N17" s="373" t="e">
        <f>Diversion!O203</f>
        <v>#DIV/0!</v>
      </c>
      <c r="O17" s="373" t="e">
        <f>Diversion!P203</f>
        <v>#DIV/0!</v>
      </c>
      <c r="P17" s="373" t="e">
        <f>Diversion!Q203</f>
        <v>#DIV/0!</v>
      </c>
      <c r="Q17" s="373" t="e">
        <f>Diversion!R203</f>
        <v>#DIV/0!</v>
      </c>
      <c r="R17" s="373" t="e">
        <f>Diversion!S203</f>
        <v>#DIV/0!</v>
      </c>
      <c r="S17" s="373" t="e">
        <f>Diversion!T203</f>
        <v>#DIV/0!</v>
      </c>
      <c r="T17" s="373" t="e">
        <f>Diversion!U203</f>
        <v>#DIV/0!</v>
      </c>
      <c r="U17" s="373" t="e">
        <f>Diversion!V203</f>
        <v>#DIV/0!</v>
      </c>
      <c r="V17" s="373" t="e">
        <f>Diversion!W203</f>
        <v>#DIV/0!</v>
      </c>
      <c r="W17" s="373" t="e">
        <f>Diversion!X203</f>
        <v>#DIV/0!</v>
      </c>
      <c r="X17" s="373" t="e">
        <f>Diversion!Y203</f>
        <v>#DIV/0!</v>
      </c>
      <c r="Y17" s="373" t="e">
        <f>Diversion!Z203</f>
        <v>#DIV/0!</v>
      </c>
      <c r="Z17" s="373" t="e">
        <f>Diversion!AA203</f>
        <v>#DIV/0!</v>
      </c>
      <c r="AA17" s="373" t="e">
        <f>Diversion!AB203</f>
        <v>#DIV/0!</v>
      </c>
      <c r="AB17" s="373" t="e">
        <f>Diversion!AC203</f>
        <v>#DIV/0!</v>
      </c>
      <c r="AC17" s="373" t="e">
        <f>Diversion!AD203</f>
        <v>#DIV/0!</v>
      </c>
      <c r="AD17" s="373" t="e">
        <f>Diversion!AE203</f>
        <v>#DIV/0!</v>
      </c>
      <c r="AE17" s="373" t="e">
        <f>Diversion!AF203</f>
        <v>#DIV/0!</v>
      </c>
      <c r="AF17" s="373" t="e">
        <f>Diversion!AG203</f>
        <v>#DIV/0!</v>
      </c>
      <c r="AG17" s="373" t="e">
        <f>Diversion!AH203</f>
        <v>#DIV/0!</v>
      </c>
      <c r="AH17" s="373" t="e">
        <f>Diversion!AI203</f>
        <v>#DIV/0!</v>
      </c>
      <c r="AI17" s="373" t="e">
        <f>Diversion!AJ203</f>
        <v>#DIV/0!</v>
      </c>
      <c r="AJ17" s="373" t="e">
        <f>Diversion!AK203</f>
        <v>#DIV/0!</v>
      </c>
      <c r="AK17" s="373" t="e">
        <f>Diversion!AL203</f>
        <v>#DIV/0!</v>
      </c>
      <c r="AL17" s="373" t="e">
        <f>Diversion!AM203</f>
        <v>#DIV/0!</v>
      </c>
      <c r="AM17" s="373" t="e">
        <f>Diversion!AN203</f>
        <v>#DIV/0!</v>
      </c>
      <c r="AN17" s="373" t="e">
        <f>Diversion!AO203</f>
        <v>#DIV/0!</v>
      </c>
      <c r="AO17" s="373" t="e">
        <f>Diversion!AP203</f>
        <v>#DIV/0!</v>
      </c>
      <c r="AP17" s="373" t="e">
        <f>Diversion!AQ203</f>
        <v>#DIV/0!</v>
      </c>
      <c r="AQ17" s="373" t="e">
        <f>Diversion!AR203</f>
        <v>#DIV/0!</v>
      </c>
      <c r="AR17" s="373" t="e">
        <f>Diversion!AS203</f>
        <v>#DIV/0!</v>
      </c>
      <c r="AS17" s="373" t="e">
        <f>Diversion!AT203</f>
        <v>#DIV/0!</v>
      </c>
      <c r="AT17" s="373" t="e">
        <f>Diversion!AU203</f>
        <v>#DIV/0!</v>
      </c>
      <c r="AU17" s="373" t="e">
        <f>Diversion!AV203</f>
        <v>#DIV/0!</v>
      </c>
      <c r="AV17" s="373" t="e">
        <f>Diversion!AW203</f>
        <v>#DIV/0!</v>
      </c>
      <c r="AW17" s="373" t="e">
        <f>Diversion!AX203</f>
        <v>#DIV/0!</v>
      </c>
      <c r="AX17" s="373" t="e">
        <f>Diversion!AY203</f>
        <v>#DIV/0!</v>
      </c>
      <c r="AY17" s="373" t="e">
        <f>Diversion!AZ203</f>
        <v>#DIV/0!</v>
      </c>
      <c r="AZ17" s="373" t="e">
        <f>Diversion!BA203</f>
        <v>#DIV/0!</v>
      </c>
      <c r="BA17" s="373" t="e">
        <f>Diversion!BB203</f>
        <v>#DIV/0!</v>
      </c>
      <c r="BB17" s="373" t="e">
        <f>Diversion!BC203</f>
        <v>#DIV/0!</v>
      </c>
      <c r="BC17" s="373" t="e">
        <f>Diversion!BD203</f>
        <v>#DIV/0!</v>
      </c>
      <c r="BD17" s="373" t="e">
        <f>Diversion!BE203</f>
        <v>#DIV/0!</v>
      </c>
      <c r="BE17" s="373" t="e">
        <f>Diversion!BF203</f>
        <v>#DIV/0!</v>
      </c>
      <c r="BF17" s="373" t="e">
        <f>Diversion!BG203</f>
        <v>#DIV/0!</v>
      </c>
      <c r="BG17" s="373" t="e">
        <f>Diversion!BH203</f>
        <v>#DIV/0!</v>
      </c>
      <c r="BH17" s="373" t="e">
        <f>Diversion!BI203</f>
        <v>#DIV/0!</v>
      </c>
      <c r="BI17" s="373" t="e">
        <f>Diversion!BJ203</f>
        <v>#DIV/0!</v>
      </c>
      <c r="BJ17" s="373" t="e">
        <f>Diversion!BK203</f>
        <v>#DIV/0!</v>
      </c>
      <c r="BK17" s="373" t="e">
        <f>Diversion!BL203</f>
        <v>#DIV/0!</v>
      </c>
      <c r="BL17" s="373" t="e">
        <f>Diversion!BM203</f>
        <v>#DIV/0!</v>
      </c>
      <c r="BM17" s="373" t="e">
        <f>Diversion!BN203</f>
        <v>#DIV/0!</v>
      </c>
      <c r="BN17" s="373" t="e">
        <f>Diversion!BO203</f>
        <v>#DIV/0!</v>
      </c>
      <c r="BO17" s="373" t="e">
        <f>Diversion!BP203</f>
        <v>#DIV/0!</v>
      </c>
      <c r="BP17" s="373" t="e">
        <f>Diversion!BQ203</f>
        <v>#DIV/0!</v>
      </c>
      <c r="BQ17" s="373" t="e">
        <f>Diversion!BR203</f>
        <v>#DIV/0!</v>
      </c>
      <c r="BR17" s="373" t="e">
        <f>Diversion!BS203</f>
        <v>#DIV/0!</v>
      </c>
      <c r="BS17" s="373" t="e">
        <f>Diversion!BT203</f>
        <v>#DIV/0!</v>
      </c>
      <c r="BT17" s="373" t="e">
        <f>Diversion!BU203</f>
        <v>#DIV/0!</v>
      </c>
      <c r="BU17" s="373" t="e">
        <f>Diversion!BV203</f>
        <v>#DIV/0!</v>
      </c>
      <c r="BV17" s="373" t="e">
        <f>Diversion!BW203</f>
        <v>#DIV/0!</v>
      </c>
      <c r="BW17" s="373" t="e">
        <f>Diversion!BX203</f>
        <v>#DIV/0!</v>
      </c>
      <c r="BX17" s="373" t="e">
        <f>Diversion!BY203</f>
        <v>#DIV/0!</v>
      </c>
      <c r="BY17" s="373" t="e">
        <f>Diversion!BZ203</f>
        <v>#DIV/0!</v>
      </c>
      <c r="BZ17" s="373" t="e">
        <f>Diversion!CA203</f>
        <v>#DIV/0!</v>
      </c>
      <c r="CA17" s="373" t="e">
        <f>Diversion!CB203</f>
        <v>#DIV/0!</v>
      </c>
      <c r="CB17" s="373" t="e">
        <f>Diversion!CC203</f>
        <v>#DIV/0!</v>
      </c>
      <c r="CC17" s="373" t="e">
        <f>Diversion!CD203</f>
        <v>#DIV/0!</v>
      </c>
      <c r="CD17" s="373" t="e">
        <f>Diversion!CE203</f>
        <v>#DIV/0!</v>
      </c>
      <c r="CE17" s="373" t="e">
        <f>Diversion!CF203</f>
        <v>#DIV/0!</v>
      </c>
    </row>
    <row r="18" spans="1:83" s="370" customFormat="1" ht="15.5">
      <c r="A18" s="360"/>
      <c r="B18" s="360"/>
      <c r="C18" s="373" t="s">
        <v>93</v>
      </c>
      <c r="D18" s="373" t="e">
        <f>Diversion!E204</f>
        <v>#DIV/0!</v>
      </c>
      <c r="E18" s="373" t="e">
        <f>Diversion!F204</f>
        <v>#DIV/0!</v>
      </c>
      <c r="F18" s="373" t="e">
        <f>Diversion!G204</f>
        <v>#DIV/0!</v>
      </c>
      <c r="G18" s="373" t="e">
        <f>Diversion!H204</f>
        <v>#DIV/0!</v>
      </c>
      <c r="H18" s="373" t="e">
        <f>Diversion!I204</f>
        <v>#DIV/0!</v>
      </c>
      <c r="I18" s="373" t="e">
        <f>Diversion!J204</f>
        <v>#DIV/0!</v>
      </c>
      <c r="J18" s="373" t="e">
        <f>Diversion!K204</f>
        <v>#DIV/0!</v>
      </c>
      <c r="K18" s="373" t="e">
        <f>Diversion!L204</f>
        <v>#DIV/0!</v>
      </c>
      <c r="L18" s="373" t="e">
        <f>Diversion!M204</f>
        <v>#DIV/0!</v>
      </c>
      <c r="M18" s="373" t="e">
        <f>Diversion!N204</f>
        <v>#DIV/0!</v>
      </c>
      <c r="N18" s="373" t="e">
        <f>Diversion!O204</f>
        <v>#DIV/0!</v>
      </c>
      <c r="O18" s="373" t="e">
        <f>Diversion!P204</f>
        <v>#DIV/0!</v>
      </c>
      <c r="P18" s="373" t="e">
        <f>Diversion!Q204</f>
        <v>#DIV/0!</v>
      </c>
      <c r="Q18" s="373" t="e">
        <f>Diversion!R204</f>
        <v>#DIV/0!</v>
      </c>
      <c r="R18" s="373" t="e">
        <f>Diversion!S204</f>
        <v>#DIV/0!</v>
      </c>
      <c r="S18" s="373" t="e">
        <f>Diversion!T204</f>
        <v>#DIV/0!</v>
      </c>
      <c r="T18" s="373" t="e">
        <f>Diversion!U204</f>
        <v>#DIV/0!</v>
      </c>
      <c r="U18" s="373" t="e">
        <f>Diversion!V204</f>
        <v>#DIV/0!</v>
      </c>
      <c r="V18" s="373" t="e">
        <f>Diversion!W204</f>
        <v>#DIV/0!</v>
      </c>
      <c r="W18" s="373" t="e">
        <f>Diversion!X204</f>
        <v>#DIV/0!</v>
      </c>
      <c r="X18" s="373" t="e">
        <f>Diversion!Y204</f>
        <v>#DIV/0!</v>
      </c>
      <c r="Y18" s="373" t="e">
        <f>Diversion!Z204</f>
        <v>#DIV/0!</v>
      </c>
      <c r="Z18" s="373" t="e">
        <f>Diversion!AA204</f>
        <v>#DIV/0!</v>
      </c>
      <c r="AA18" s="373" t="e">
        <f>Diversion!AB204</f>
        <v>#DIV/0!</v>
      </c>
      <c r="AB18" s="373" t="e">
        <f>Diversion!AC204</f>
        <v>#DIV/0!</v>
      </c>
      <c r="AC18" s="373" t="e">
        <f>Diversion!AD204</f>
        <v>#DIV/0!</v>
      </c>
      <c r="AD18" s="373" t="e">
        <f>Diversion!AE204</f>
        <v>#DIV/0!</v>
      </c>
      <c r="AE18" s="373" t="e">
        <f>Diversion!AF204</f>
        <v>#DIV/0!</v>
      </c>
      <c r="AF18" s="373" t="e">
        <f>Diversion!AG204</f>
        <v>#DIV/0!</v>
      </c>
      <c r="AG18" s="373" t="e">
        <f>Diversion!AH204</f>
        <v>#DIV/0!</v>
      </c>
      <c r="AH18" s="373" t="e">
        <f>Diversion!AI204</f>
        <v>#DIV/0!</v>
      </c>
      <c r="AI18" s="373" t="e">
        <f>Diversion!AJ204</f>
        <v>#DIV/0!</v>
      </c>
      <c r="AJ18" s="373" t="e">
        <f>Diversion!AK204</f>
        <v>#DIV/0!</v>
      </c>
      <c r="AK18" s="373" t="e">
        <f>Diversion!AL204</f>
        <v>#DIV/0!</v>
      </c>
      <c r="AL18" s="373" t="e">
        <f>Diversion!AM204</f>
        <v>#DIV/0!</v>
      </c>
      <c r="AM18" s="373" t="e">
        <f>Diversion!AN204</f>
        <v>#DIV/0!</v>
      </c>
      <c r="AN18" s="373" t="e">
        <f>Diversion!AO204</f>
        <v>#DIV/0!</v>
      </c>
      <c r="AO18" s="373" t="e">
        <f>Diversion!AP204</f>
        <v>#DIV/0!</v>
      </c>
      <c r="AP18" s="373" t="e">
        <f>Diversion!AQ204</f>
        <v>#DIV/0!</v>
      </c>
      <c r="AQ18" s="373" t="e">
        <f>Diversion!AR204</f>
        <v>#DIV/0!</v>
      </c>
      <c r="AR18" s="373" t="e">
        <f>Diversion!AS204</f>
        <v>#DIV/0!</v>
      </c>
      <c r="AS18" s="373" t="e">
        <f>Diversion!AT204</f>
        <v>#DIV/0!</v>
      </c>
      <c r="AT18" s="373" t="e">
        <f>Diversion!AU204</f>
        <v>#DIV/0!</v>
      </c>
      <c r="AU18" s="373" t="e">
        <f>Diversion!AV204</f>
        <v>#DIV/0!</v>
      </c>
      <c r="AV18" s="373" t="e">
        <f>Diversion!AW204</f>
        <v>#DIV/0!</v>
      </c>
      <c r="AW18" s="373" t="e">
        <f>Diversion!AX204</f>
        <v>#DIV/0!</v>
      </c>
      <c r="AX18" s="373" t="e">
        <f>Diversion!AY204</f>
        <v>#DIV/0!</v>
      </c>
      <c r="AY18" s="373" t="e">
        <f>Diversion!AZ204</f>
        <v>#DIV/0!</v>
      </c>
      <c r="AZ18" s="373" t="e">
        <f>Diversion!BA204</f>
        <v>#DIV/0!</v>
      </c>
      <c r="BA18" s="373" t="e">
        <f>Diversion!BB204</f>
        <v>#DIV/0!</v>
      </c>
      <c r="BB18" s="373" t="e">
        <f>Diversion!BC204</f>
        <v>#DIV/0!</v>
      </c>
      <c r="BC18" s="373" t="e">
        <f>Diversion!BD204</f>
        <v>#DIV/0!</v>
      </c>
      <c r="BD18" s="373" t="e">
        <f>Diversion!BE204</f>
        <v>#DIV/0!</v>
      </c>
      <c r="BE18" s="373" t="e">
        <f>Diversion!BF204</f>
        <v>#DIV/0!</v>
      </c>
      <c r="BF18" s="373" t="e">
        <f>Diversion!BG204</f>
        <v>#DIV/0!</v>
      </c>
      <c r="BG18" s="373" t="e">
        <f>Diversion!BH204</f>
        <v>#DIV/0!</v>
      </c>
      <c r="BH18" s="373" t="e">
        <f>Diversion!BI204</f>
        <v>#DIV/0!</v>
      </c>
      <c r="BI18" s="373" t="e">
        <f>Diversion!BJ204</f>
        <v>#DIV/0!</v>
      </c>
      <c r="BJ18" s="373" t="e">
        <f>Diversion!BK204</f>
        <v>#DIV/0!</v>
      </c>
      <c r="BK18" s="373" t="e">
        <f>Diversion!BL204</f>
        <v>#DIV/0!</v>
      </c>
      <c r="BL18" s="373" t="e">
        <f>Diversion!BM204</f>
        <v>#DIV/0!</v>
      </c>
      <c r="BM18" s="373" t="e">
        <f>Diversion!BN204</f>
        <v>#DIV/0!</v>
      </c>
      <c r="BN18" s="373" t="e">
        <f>Diversion!BO204</f>
        <v>#DIV/0!</v>
      </c>
      <c r="BO18" s="373" t="e">
        <f>Diversion!BP204</f>
        <v>#DIV/0!</v>
      </c>
      <c r="BP18" s="373" t="e">
        <f>Diversion!BQ204</f>
        <v>#DIV/0!</v>
      </c>
      <c r="BQ18" s="373" t="e">
        <f>Diversion!BR204</f>
        <v>#DIV/0!</v>
      </c>
      <c r="BR18" s="373" t="e">
        <f>Diversion!BS204</f>
        <v>#DIV/0!</v>
      </c>
      <c r="BS18" s="373" t="e">
        <f>Diversion!BT204</f>
        <v>#DIV/0!</v>
      </c>
      <c r="BT18" s="373" t="e">
        <f>Diversion!BU204</f>
        <v>#DIV/0!</v>
      </c>
      <c r="BU18" s="373" t="e">
        <f>Diversion!BV204</f>
        <v>#DIV/0!</v>
      </c>
      <c r="BV18" s="373" t="e">
        <f>Diversion!BW204</f>
        <v>#DIV/0!</v>
      </c>
      <c r="BW18" s="373" t="e">
        <f>Diversion!BX204</f>
        <v>#DIV/0!</v>
      </c>
      <c r="BX18" s="373" t="e">
        <f>Diversion!BY204</f>
        <v>#DIV/0!</v>
      </c>
      <c r="BY18" s="373" t="e">
        <f>Diversion!BZ204</f>
        <v>#DIV/0!</v>
      </c>
      <c r="BZ18" s="373" t="e">
        <f>Diversion!CA204</f>
        <v>#DIV/0!</v>
      </c>
      <c r="CA18" s="373" t="e">
        <f>Diversion!CB204</f>
        <v>#DIV/0!</v>
      </c>
      <c r="CB18" s="373" t="e">
        <f>Diversion!CC204</f>
        <v>#DIV/0!</v>
      </c>
      <c r="CC18" s="373" t="e">
        <f>Diversion!CD204</f>
        <v>#DIV/0!</v>
      </c>
      <c r="CD18" s="373" t="e">
        <f>Diversion!CE204</f>
        <v>#DIV/0!</v>
      </c>
      <c r="CE18" s="373" t="e">
        <f>Diversion!CF204</f>
        <v>#DIV/0!</v>
      </c>
    </row>
    <row r="19" spans="1:83" ht="15.5">
      <c r="C19" s="365"/>
      <c r="F19" s="366"/>
    </row>
    <row r="20" spans="1:83" s="370" customFormat="1" ht="15.5">
      <c r="A20" s="360"/>
      <c r="B20" s="360" t="s">
        <v>371</v>
      </c>
    </row>
    <row r="21" spans="1:83" s="370" customFormat="1" ht="15.5">
      <c r="A21" s="360"/>
      <c r="B21" s="360"/>
      <c r="C21" s="372"/>
      <c r="D21" s="372">
        <v>2010</v>
      </c>
      <c r="E21" s="372">
        <v>2011</v>
      </c>
      <c r="F21" s="372">
        <v>2012</v>
      </c>
      <c r="G21" s="372">
        <v>2013</v>
      </c>
      <c r="H21" s="372">
        <v>2014</v>
      </c>
      <c r="I21" s="372">
        <v>2015</v>
      </c>
      <c r="J21" s="372">
        <v>2016</v>
      </c>
      <c r="K21" s="372">
        <v>2017</v>
      </c>
      <c r="L21" s="372">
        <v>2018</v>
      </c>
      <c r="M21" s="372">
        <v>2019</v>
      </c>
      <c r="N21" s="372">
        <v>2020</v>
      </c>
      <c r="O21" s="372">
        <v>2021</v>
      </c>
      <c r="P21" s="372">
        <v>2022</v>
      </c>
      <c r="Q21" s="372">
        <v>2023</v>
      </c>
      <c r="R21" s="372">
        <v>2024</v>
      </c>
      <c r="S21" s="372">
        <v>2025</v>
      </c>
      <c r="T21" s="372">
        <v>2026</v>
      </c>
      <c r="U21" s="372">
        <v>2027</v>
      </c>
      <c r="V21" s="372">
        <v>2028</v>
      </c>
      <c r="W21" s="372">
        <v>2029</v>
      </c>
      <c r="X21" s="372">
        <v>2030</v>
      </c>
      <c r="Y21" s="372">
        <v>2031</v>
      </c>
      <c r="Z21" s="372">
        <v>2032</v>
      </c>
      <c r="AA21" s="372">
        <v>2033</v>
      </c>
      <c r="AB21" s="372">
        <v>2034</v>
      </c>
      <c r="AC21" s="372">
        <v>2035</v>
      </c>
      <c r="AD21" s="372">
        <v>2036</v>
      </c>
      <c r="AE21" s="372">
        <v>2037</v>
      </c>
      <c r="AF21" s="372">
        <v>2038</v>
      </c>
      <c r="AG21" s="372">
        <v>2039</v>
      </c>
      <c r="AH21" s="372">
        <v>2040</v>
      </c>
      <c r="AI21" s="372">
        <v>2041</v>
      </c>
      <c r="AJ21" s="372">
        <v>2042</v>
      </c>
      <c r="AK21" s="372">
        <v>2043</v>
      </c>
      <c r="AL21" s="372">
        <v>2044</v>
      </c>
      <c r="AM21" s="372">
        <v>2045</v>
      </c>
      <c r="AN21" s="372">
        <v>2046</v>
      </c>
      <c r="AO21" s="372">
        <v>2047</v>
      </c>
      <c r="AP21" s="372">
        <v>2048</v>
      </c>
      <c r="AQ21" s="372">
        <v>2049</v>
      </c>
      <c r="AR21" s="372">
        <v>2050</v>
      </c>
      <c r="AS21" s="372">
        <v>2051</v>
      </c>
      <c r="AT21" s="372">
        <v>2052</v>
      </c>
      <c r="AU21" s="372">
        <v>2053</v>
      </c>
      <c r="AV21" s="372">
        <v>2054</v>
      </c>
      <c r="AW21" s="372">
        <v>2055</v>
      </c>
      <c r="AX21" s="372">
        <v>2056</v>
      </c>
      <c r="AY21" s="372">
        <v>2057</v>
      </c>
      <c r="AZ21" s="372">
        <v>2058</v>
      </c>
      <c r="BA21" s="372">
        <v>2059</v>
      </c>
      <c r="BB21" s="372">
        <v>2060</v>
      </c>
      <c r="BC21" s="372">
        <v>2061</v>
      </c>
      <c r="BD21" s="372">
        <v>2062</v>
      </c>
      <c r="BE21" s="372">
        <v>2063</v>
      </c>
      <c r="BF21" s="372">
        <v>2064</v>
      </c>
      <c r="BG21" s="372">
        <v>2065</v>
      </c>
      <c r="BH21" s="372">
        <v>2066</v>
      </c>
      <c r="BI21" s="372">
        <v>2067</v>
      </c>
      <c r="BJ21" s="372">
        <v>2068</v>
      </c>
      <c r="BK21" s="372">
        <v>2069</v>
      </c>
      <c r="BL21" s="372">
        <v>2070</v>
      </c>
      <c r="BM21" s="372">
        <v>2071</v>
      </c>
      <c r="BN21" s="372">
        <v>2072</v>
      </c>
      <c r="BO21" s="372">
        <v>2073</v>
      </c>
      <c r="BP21" s="372">
        <v>2074</v>
      </c>
      <c r="BQ21" s="372">
        <v>2075</v>
      </c>
      <c r="BR21" s="372">
        <v>2076</v>
      </c>
      <c r="BS21" s="372">
        <v>2077</v>
      </c>
      <c r="BT21" s="372">
        <v>2078</v>
      </c>
      <c r="BU21" s="372">
        <v>2079</v>
      </c>
      <c r="BV21" s="372">
        <v>2080</v>
      </c>
      <c r="BW21" s="372">
        <v>2081</v>
      </c>
      <c r="BX21" s="372">
        <v>2082</v>
      </c>
      <c r="BY21" s="372">
        <v>2083</v>
      </c>
      <c r="BZ21" s="372">
        <v>2084</v>
      </c>
      <c r="CA21" s="372">
        <v>2085</v>
      </c>
      <c r="CB21" s="372">
        <v>2086</v>
      </c>
      <c r="CC21" s="372">
        <v>2087</v>
      </c>
      <c r="CD21" s="372">
        <v>2088</v>
      </c>
      <c r="CE21" s="372">
        <v>2089</v>
      </c>
    </row>
    <row r="22" spans="1:83" s="370" customFormat="1" ht="15.5">
      <c r="A22" s="360"/>
      <c r="B22" s="360"/>
      <c r="C22" s="373" t="s">
        <v>87</v>
      </c>
      <c r="D22" s="373" t="e">
        <f t="shared" ref="D22:AI22" si="0">IF($D4="yes",D15*$D$9,IF($D4="no",0,""))</f>
        <v>#DIV/0!</v>
      </c>
      <c r="E22" s="373" t="e">
        <f t="shared" si="0"/>
        <v>#DIV/0!</v>
      </c>
      <c r="F22" s="373" t="e">
        <f t="shared" si="0"/>
        <v>#DIV/0!</v>
      </c>
      <c r="G22" s="373" t="e">
        <f t="shared" si="0"/>
        <v>#DIV/0!</v>
      </c>
      <c r="H22" s="373" t="e">
        <f t="shared" si="0"/>
        <v>#DIV/0!</v>
      </c>
      <c r="I22" s="373" t="e">
        <f t="shared" si="0"/>
        <v>#DIV/0!</v>
      </c>
      <c r="J22" s="373" t="e">
        <f t="shared" si="0"/>
        <v>#DIV/0!</v>
      </c>
      <c r="K22" s="373" t="e">
        <f t="shared" si="0"/>
        <v>#DIV/0!</v>
      </c>
      <c r="L22" s="373" t="e">
        <f t="shared" si="0"/>
        <v>#DIV/0!</v>
      </c>
      <c r="M22" s="373" t="e">
        <f t="shared" si="0"/>
        <v>#DIV/0!</v>
      </c>
      <c r="N22" s="373" t="e">
        <f t="shared" si="0"/>
        <v>#DIV/0!</v>
      </c>
      <c r="O22" s="373" t="e">
        <f t="shared" si="0"/>
        <v>#DIV/0!</v>
      </c>
      <c r="P22" s="373" t="e">
        <f t="shared" si="0"/>
        <v>#DIV/0!</v>
      </c>
      <c r="Q22" s="373" t="e">
        <f t="shared" si="0"/>
        <v>#DIV/0!</v>
      </c>
      <c r="R22" s="373" t="e">
        <f t="shared" si="0"/>
        <v>#DIV/0!</v>
      </c>
      <c r="S22" s="373" t="e">
        <f t="shared" si="0"/>
        <v>#DIV/0!</v>
      </c>
      <c r="T22" s="373" t="e">
        <f t="shared" si="0"/>
        <v>#DIV/0!</v>
      </c>
      <c r="U22" s="373" t="e">
        <f t="shared" si="0"/>
        <v>#DIV/0!</v>
      </c>
      <c r="V22" s="373" t="e">
        <f t="shared" si="0"/>
        <v>#DIV/0!</v>
      </c>
      <c r="W22" s="373" t="e">
        <f t="shared" si="0"/>
        <v>#DIV/0!</v>
      </c>
      <c r="X22" s="373" t="e">
        <f t="shared" si="0"/>
        <v>#DIV/0!</v>
      </c>
      <c r="Y22" s="373" t="e">
        <f t="shared" si="0"/>
        <v>#DIV/0!</v>
      </c>
      <c r="Z22" s="373" t="e">
        <f t="shared" si="0"/>
        <v>#DIV/0!</v>
      </c>
      <c r="AA22" s="373" t="e">
        <f t="shared" si="0"/>
        <v>#DIV/0!</v>
      </c>
      <c r="AB22" s="373" t="e">
        <f t="shared" si="0"/>
        <v>#DIV/0!</v>
      </c>
      <c r="AC22" s="373" t="e">
        <f t="shared" si="0"/>
        <v>#DIV/0!</v>
      </c>
      <c r="AD22" s="373" t="e">
        <f t="shared" si="0"/>
        <v>#DIV/0!</v>
      </c>
      <c r="AE22" s="373" t="e">
        <f t="shared" si="0"/>
        <v>#DIV/0!</v>
      </c>
      <c r="AF22" s="373" t="e">
        <f t="shared" si="0"/>
        <v>#DIV/0!</v>
      </c>
      <c r="AG22" s="373" t="e">
        <f t="shared" si="0"/>
        <v>#DIV/0!</v>
      </c>
      <c r="AH22" s="373" t="e">
        <f t="shared" si="0"/>
        <v>#DIV/0!</v>
      </c>
      <c r="AI22" s="373" t="e">
        <f t="shared" si="0"/>
        <v>#DIV/0!</v>
      </c>
      <c r="AJ22" s="373" t="e">
        <f t="shared" ref="AJ22:BO22" si="1">IF($D4="yes",AJ15*$D$9,IF($D4="no",0,""))</f>
        <v>#DIV/0!</v>
      </c>
      <c r="AK22" s="373" t="e">
        <f t="shared" si="1"/>
        <v>#DIV/0!</v>
      </c>
      <c r="AL22" s="373" t="e">
        <f t="shared" si="1"/>
        <v>#DIV/0!</v>
      </c>
      <c r="AM22" s="373" t="e">
        <f t="shared" si="1"/>
        <v>#DIV/0!</v>
      </c>
      <c r="AN22" s="373" t="e">
        <f t="shared" si="1"/>
        <v>#DIV/0!</v>
      </c>
      <c r="AO22" s="373" t="e">
        <f t="shared" si="1"/>
        <v>#DIV/0!</v>
      </c>
      <c r="AP22" s="373" t="e">
        <f t="shared" si="1"/>
        <v>#DIV/0!</v>
      </c>
      <c r="AQ22" s="373" t="e">
        <f t="shared" si="1"/>
        <v>#DIV/0!</v>
      </c>
      <c r="AR22" s="373" t="e">
        <f t="shared" si="1"/>
        <v>#DIV/0!</v>
      </c>
      <c r="AS22" s="373" t="e">
        <f t="shared" si="1"/>
        <v>#DIV/0!</v>
      </c>
      <c r="AT22" s="373" t="e">
        <f t="shared" si="1"/>
        <v>#DIV/0!</v>
      </c>
      <c r="AU22" s="373" t="e">
        <f t="shared" si="1"/>
        <v>#DIV/0!</v>
      </c>
      <c r="AV22" s="373" t="e">
        <f t="shared" si="1"/>
        <v>#DIV/0!</v>
      </c>
      <c r="AW22" s="373" t="e">
        <f t="shared" si="1"/>
        <v>#DIV/0!</v>
      </c>
      <c r="AX22" s="373" t="e">
        <f t="shared" si="1"/>
        <v>#DIV/0!</v>
      </c>
      <c r="AY22" s="373" t="e">
        <f t="shared" si="1"/>
        <v>#DIV/0!</v>
      </c>
      <c r="AZ22" s="373" t="e">
        <f t="shared" si="1"/>
        <v>#DIV/0!</v>
      </c>
      <c r="BA22" s="373" t="e">
        <f t="shared" si="1"/>
        <v>#DIV/0!</v>
      </c>
      <c r="BB22" s="373" t="e">
        <f t="shared" si="1"/>
        <v>#DIV/0!</v>
      </c>
      <c r="BC22" s="373" t="e">
        <f t="shared" si="1"/>
        <v>#DIV/0!</v>
      </c>
      <c r="BD22" s="373" t="e">
        <f t="shared" si="1"/>
        <v>#DIV/0!</v>
      </c>
      <c r="BE22" s="373" t="e">
        <f t="shared" si="1"/>
        <v>#DIV/0!</v>
      </c>
      <c r="BF22" s="373" t="e">
        <f t="shared" si="1"/>
        <v>#DIV/0!</v>
      </c>
      <c r="BG22" s="373" t="e">
        <f t="shared" si="1"/>
        <v>#DIV/0!</v>
      </c>
      <c r="BH22" s="373" t="e">
        <f t="shared" si="1"/>
        <v>#DIV/0!</v>
      </c>
      <c r="BI22" s="373" t="e">
        <f t="shared" si="1"/>
        <v>#DIV/0!</v>
      </c>
      <c r="BJ22" s="373" t="e">
        <f t="shared" si="1"/>
        <v>#DIV/0!</v>
      </c>
      <c r="BK22" s="373" t="e">
        <f t="shared" si="1"/>
        <v>#DIV/0!</v>
      </c>
      <c r="BL22" s="373" t="e">
        <f t="shared" si="1"/>
        <v>#DIV/0!</v>
      </c>
      <c r="BM22" s="373" t="e">
        <f t="shared" si="1"/>
        <v>#DIV/0!</v>
      </c>
      <c r="BN22" s="373" t="e">
        <f t="shared" si="1"/>
        <v>#DIV/0!</v>
      </c>
      <c r="BO22" s="373" t="e">
        <f t="shared" si="1"/>
        <v>#DIV/0!</v>
      </c>
      <c r="BP22" s="373" t="e">
        <f t="shared" ref="BP22:CE22" si="2">IF($D4="yes",BP15*$D$9,IF($D4="no",0,""))</f>
        <v>#DIV/0!</v>
      </c>
      <c r="BQ22" s="373" t="e">
        <f t="shared" si="2"/>
        <v>#DIV/0!</v>
      </c>
      <c r="BR22" s="373" t="e">
        <f t="shared" si="2"/>
        <v>#DIV/0!</v>
      </c>
      <c r="BS22" s="373" t="e">
        <f t="shared" si="2"/>
        <v>#DIV/0!</v>
      </c>
      <c r="BT22" s="373" t="e">
        <f t="shared" si="2"/>
        <v>#DIV/0!</v>
      </c>
      <c r="BU22" s="373" t="e">
        <f t="shared" si="2"/>
        <v>#DIV/0!</v>
      </c>
      <c r="BV22" s="373" t="e">
        <f t="shared" si="2"/>
        <v>#DIV/0!</v>
      </c>
      <c r="BW22" s="373" t="e">
        <f t="shared" si="2"/>
        <v>#DIV/0!</v>
      </c>
      <c r="BX22" s="373" t="e">
        <f t="shared" si="2"/>
        <v>#DIV/0!</v>
      </c>
      <c r="BY22" s="373" t="e">
        <f t="shared" si="2"/>
        <v>#DIV/0!</v>
      </c>
      <c r="BZ22" s="373" t="e">
        <f t="shared" si="2"/>
        <v>#DIV/0!</v>
      </c>
      <c r="CA22" s="373" t="e">
        <f t="shared" si="2"/>
        <v>#DIV/0!</v>
      </c>
      <c r="CB22" s="373" t="e">
        <f t="shared" si="2"/>
        <v>#DIV/0!</v>
      </c>
      <c r="CC22" s="373" t="e">
        <f t="shared" si="2"/>
        <v>#DIV/0!</v>
      </c>
      <c r="CD22" s="373" t="e">
        <f t="shared" si="2"/>
        <v>#DIV/0!</v>
      </c>
      <c r="CE22" s="373" t="e">
        <f t="shared" si="2"/>
        <v>#DIV/0!</v>
      </c>
    </row>
    <row r="23" spans="1:83" s="370" customFormat="1" ht="15.5">
      <c r="A23" s="360"/>
      <c r="B23" s="360"/>
      <c r="C23" s="373" t="s">
        <v>89</v>
      </c>
      <c r="D23" s="373" t="e">
        <f t="shared" ref="D23:AI23" si="3">IF($D5="yes",D16*$D$9,IF($D5="no",0,""))</f>
        <v>#DIV/0!</v>
      </c>
      <c r="E23" s="373" t="e">
        <f t="shared" si="3"/>
        <v>#DIV/0!</v>
      </c>
      <c r="F23" s="373" t="e">
        <f t="shared" si="3"/>
        <v>#DIV/0!</v>
      </c>
      <c r="G23" s="373" t="e">
        <f t="shared" si="3"/>
        <v>#DIV/0!</v>
      </c>
      <c r="H23" s="373" t="e">
        <f t="shared" si="3"/>
        <v>#DIV/0!</v>
      </c>
      <c r="I23" s="373" t="e">
        <f t="shared" si="3"/>
        <v>#DIV/0!</v>
      </c>
      <c r="J23" s="373" t="e">
        <f t="shared" si="3"/>
        <v>#DIV/0!</v>
      </c>
      <c r="K23" s="373" t="e">
        <f t="shared" si="3"/>
        <v>#DIV/0!</v>
      </c>
      <c r="L23" s="373" t="e">
        <f t="shared" si="3"/>
        <v>#DIV/0!</v>
      </c>
      <c r="M23" s="373" t="e">
        <f t="shared" si="3"/>
        <v>#DIV/0!</v>
      </c>
      <c r="N23" s="373" t="e">
        <f t="shared" si="3"/>
        <v>#DIV/0!</v>
      </c>
      <c r="O23" s="373" t="e">
        <f t="shared" si="3"/>
        <v>#DIV/0!</v>
      </c>
      <c r="P23" s="373" t="e">
        <f t="shared" si="3"/>
        <v>#DIV/0!</v>
      </c>
      <c r="Q23" s="373" t="e">
        <f t="shared" si="3"/>
        <v>#DIV/0!</v>
      </c>
      <c r="R23" s="373" t="e">
        <f t="shared" si="3"/>
        <v>#DIV/0!</v>
      </c>
      <c r="S23" s="373" t="e">
        <f t="shared" si="3"/>
        <v>#DIV/0!</v>
      </c>
      <c r="T23" s="373" t="e">
        <f t="shared" si="3"/>
        <v>#DIV/0!</v>
      </c>
      <c r="U23" s="373" t="e">
        <f t="shared" si="3"/>
        <v>#DIV/0!</v>
      </c>
      <c r="V23" s="373" t="e">
        <f t="shared" si="3"/>
        <v>#DIV/0!</v>
      </c>
      <c r="W23" s="373" t="e">
        <f t="shared" si="3"/>
        <v>#DIV/0!</v>
      </c>
      <c r="X23" s="373" t="e">
        <f t="shared" si="3"/>
        <v>#DIV/0!</v>
      </c>
      <c r="Y23" s="373" t="e">
        <f t="shared" si="3"/>
        <v>#DIV/0!</v>
      </c>
      <c r="Z23" s="373" t="e">
        <f t="shared" si="3"/>
        <v>#DIV/0!</v>
      </c>
      <c r="AA23" s="373" t="e">
        <f t="shared" si="3"/>
        <v>#DIV/0!</v>
      </c>
      <c r="AB23" s="373" t="e">
        <f t="shared" si="3"/>
        <v>#DIV/0!</v>
      </c>
      <c r="AC23" s="373" t="e">
        <f t="shared" si="3"/>
        <v>#DIV/0!</v>
      </c>
      <c r="AD23" s="373" t="e">
        <f t="shared" si="3"/>
        <v>#DIV/0!</v>
      </c>
      <c r="AE23" s="373" t="e">
        <f t="shared" si="3"/>
        <v>#DIV/0!</v>
      </c>
      <c r="AF23" s="373" t="e">
        <f t="shared" si="3"/>
        <v>#DIV/0!</v>
      </c>
      <c r="AG23" s="373" t="e">
        <f t="shared" si="3"/>
        <v>#DIV/0!</v>
      </c>
      <c r="AH23" s="373" t="e">
        <f t="shared" si="3"/>
        <v>#DIV/0!</v>
      </c>
      <c r="AI23" s="373" t="e">
        <f t="shared" si="3"/>
        <v>#DIV/0!</v>
      </c>
      <c r="AJ23" s="373" t="e">
        <f t="shared" ref="AJ23:BO23" si="4">IF($D5="yes",AJ16*$D$9,IF($D5="no",0,""))</f>
        <v>#DIV/0!</v>
      </c>
      <c r="AK23" s="373" t="e">
        <f t="shared" si="4"/>
        <v>#DIV/0!</v>
      </c>
      <c r="AL23" s="373" t="e">
        <f t="shared" si="4"/>
        <v>#DIV/0!</v>
      </c>
      <c r="AM23" s="373" t="e">
        <f t="shared" si="4"/>
        <v>#DIV/0!</v>
      </c>
      <c r="AN23" s="373" t="e">
        <f t="shared" si="4"/>
        <v>#DIV/0!</v>
      </c>
      <c r="AO23" s="373" t="e">
        <f t="shared" si="4"/>
        <v>#DIV/0!</v>
      </c>
      <c r="AP23" s="373" t="e">
        <f t="shared" si="4"/>
        <v>#DIV/0!</v>
      </c>
      <c r="AQ23" s="373" t="e">
        <f t="shared" si="4"/>
        <v>#DIV/0!</v>
      </c>
      <c r="AR23" s="373" t="e">
        <f t="shared" si="4"/>
        <v>#DIV/0!</v>
      </c>
      <c r="AS23" s="373" t="e">
        <f t="shared" si="4"/>
        <v>#DIV/0!</v>
      </c>
      <c r="AT23" s="373" t="e">
        <f t="shared" si="4"/>
        <v>#DIV/0!</v>
      </c>
      <c r="AU23" s="373" t="e">
        <f t="shared" si="4"/>
        <v>#DIV/0!</v>
      </c>
      <c r="AV23" s="373" t="e">
        <f t="shared" si="4"/>
        <v>#DIV/0!</v>
      </c>
      <c r="AW23" s="373" t="e">
        <f t="shared" si="4"/>
        <v>#DIV/0!</v>
      </c>
      <c r="AX23" s="373" t="e">
        <f t="shared" si="4"/>
        <v>#DIV/0!</v>
      </c>
      <c r="AY23" s="373" t="e">
        <f t="shared" si="4"/>
        <v>#DIV/0!</v>
      </c>
      <c r="AZ23" s="373" t="e">
        <f t="shared" si="4"/>
        <v>#DIV/0!</v>
      </c>
      <c r="BA23" s="373" t="e">
        <f t="shared" si="4"/>
        <v>#DIV/0!</v>
      </c>
      <c r="BB23" s="373" t="e">
        <f t="shared" si="4"/>
        <v>#DIV/0!</v>
      </c>
      <c r="BC23" s="373" t="e">
        <f t="shared" si="4"/>
        <v>#DIV/0!</v>
      </c>
      <c r="BD23" s="373" t="e">
        <f t="shared" si="4"/>
        <v>#DIV/0!</v>
      </c>
      <c r="BE23" s="373" t="e">
        <f t="shared" si="4"/>
        <v>#DIV/0!</v>
      </c>
      <c r="BF23" s="373" t="e">
        <f t="shared" si="4"/>
        <v>#DIV/0!</v>
      </c>
      <c r="BG23" s="373" t="e">
        <f t="shared" si="4"/>
        <v>#DIV/0!</v>
      </c>
      <c r="BH23" s="373" t="e">
        <f t="shared" si="4"/>
        <v>#DIV/0!</v>
      </c>
      <c r="BI23" s="373" t="e">
        <f t="shared" si="4"/>
        <v>#DIV/0!</v>
      </c>
      <c r="BJ23" s="373" t="e">
        <f t="shared" si="4"/>
        <v>#DIV/0!</v>
      </c>
      <c r="BK23" s="373" t="e">
        <f t="shared" si="4"/>
        <v>#DIV/0!</v>
      </c>
      <c r="BL23" s="373" t="e">
        <f t="shared" si="4"/>
        <v>#DIV/0!</v>
      </c>
      <c r="BM23" s="373" t="e">
        <f t="shared" si="4"/>
        <v>#DIV/0!</v>
      </c>
      <c r="BN23" s="373" t="e">
        <f t="shared" si="4"/>
        <v>#DIV/0!</v>
      </c>
      <c r="BO23" s="373" t="e">
        <f t="shared" si="4"/>
        <v>#DIV/0!</v>
      </c>
      <c r="BP23" s="373" t="e">
        <f t="shared" ref="BP23:CE23" si="5">IF($D5="yes",BP16*$D$9,IF($D5="no",0,""))</f>
        <v>#DIV/0!</v>
      </c>
      <c r="BQ23" s="373" t="e">
        <f t="shared" si="5"/>
        <v>#DIV/0!</v>
      </c>
      <c r="BR23" s="373" t="e">
        <f t="shared" si="5"/>
        <v>#DIV/0!</v>
      </c>
      <c r="BS23" s="373" t="e">
        <f t="shared" si="5"/>
        <v>#DIV/0!</v>
      </c>
      <c r="BT23" s="373" t="e">
        <f t="shared" si="5"/>
        <v>#DIV/0!</v>
      </c>
      <c r="BU23" s="373" t="e">
        <f t="shared" si="5"/>
        <v>#DIV/0!</v>
      </c>
      <c r="BV23" s="373" t="e">
        <f t="shared" si="5"/>
        <v>#DIV/0!</v>
      </c>
      <c r="BW23" s="373" t="e">
        <f t="shared" si="5"/>
        <v>#DIV/0!</v>
      </c>
      <c r="BX23" s="373" t="e">
        <f t="shared" si="5"/>
        <v>#DIV/0!</v>
      </c>
      <c r="BY23" s="373" t="e">
        <f t="shared" si="5"/>
        <v>#DIV/0!</v>
      </c>
      <c r="BZ23" s="373" t="e">
        <f t="shared" si="5"/>
        <v>#DIV/0!</v>
      </c>
      <c r="CA23" s="373" t="e">
        <f t="shared" si="5"/>
        <v>#DIV/0!</v>
      </c>
      <c r="CB23" s="373" t="e">
        <f t="shared" si="5"/>
        <v>#DIV/0!</v>
      </c>
      <c r="CC23" s="373" t="e">
        <f t="shared" si="5"/>
        <v>#DIV/0!</v>
      </c>
      <c r="CD23" s="373" t="e">
        <f t="shared" si="5"/>
        <v>#DIV/0!</v>
      </c>
      <c r="CE23" s="373" t="e">
        <f t="shared" si="5"/>
        <v>#DIV/0!</v>
      </c>
    </row>
    <row r="24" spans="1:83" s="370" customFormat="1" ht="15.5">
      <c r="A24" s="360"/>
      <c r="B24" s="360"/>
      <c r="C24" s="373" t="s">
        <v>91</v>
      </c>
      <c r="D24" s="373" t="e">
        <f t="shared" ref="D24:AI24" si="6">IF($D6="yes",D17*$D$9,IF($D6="no",0,""))</f>
        <v>#DIV/0!</v>
      </c>
      <c r="E24" s="373" t="e">
        <f t="shared" si="6"/>
        <v>#DIV/0!</v>
      </c>
      <c r="F24" s="373" t="e">
        <f t="shared" si="6"/>
        <v>#DIV/0!</v>
      </c>
      <c r="G24" s="373" t="e">
        <f t="shared" si="6"/>
        <v>#DIV/0!</v>
      </c>
      <c r="H24" s="373" t="e">
        <f t="shared" si="6"/>
        <v>#DIV/0!</v>
      </c>
      <c r="I24" s="373" t="e">
        <f t="shared" si="6"/>
        <v>#DIV/0!</v>
      </c>
      <c r="J24" s="373" t="e">
        <f t="shared" si="6"/>
        <v>#DIV/0!</v>
      </c>
      <c r="K24" s="373" t="e">
        <f t="shared" si="6"/>
        <v>#DIV/0!</v>
      </c>
      <c r="L24" s="373" t="e">
        <f t="shared" si="6"/>
        <v>#DIV/0!</v>
      </c>
      <c r="M24" s="373" t="e">
        <f t="shared" si="6"/>
        <v>#DIV/0!</v>
      </c>
      <c r="N24" s="373" t="e">
        <f t="shared" si="6"/>
        <v>#DIV/0!</v>
      </c>
      <c r="O24" s="373" t="e">
        <f t="shared" si="6"/>
        <v>#DIV/0!</v>
      </c>
      <c r="P24" s="373" t="e">
        <f t="shared" si="6"/>
        <v>#DIV/0!</v>
      </c>
      <c r="Q24" s="373" t="e">
        <f t="shared" si="6"/>
        <v>#DIV/0!</v>
      </c>
      <c r="R24" s="373" t="e">
        <f t="shared" si="6"/>
        <v>#DIV/0!</v>
      </c>
      <c r="S24" s="373" t="e">
        <f t="shared" si="6"/>
        <v>#DIV/0!</v>
      </c>
      <c r="T24" s="373" t="e">
        <f t="shared" si="6"/>
        <v>#DIV/0!</v>
      </c>
      <c r="U24" s="373" t="e">
        <f t="shared" si="6"/>
        <v>#DIV/0!</v>
      </c>
      <c r="V24" s="373" t="e">
        <f t="shared" si="6"/>
        <v>#DIV/0!</v>
      </c>
      <c r="W24" s="373" t="e">
        <f t="shared" si="6"/>
        <v>#DIV/0!</v>
      </c>
      <c r="X24" s="373" t="e">
        <f t="shared" si="6"/>
        <v>#DIV/0!</v>
      </c>
      <c r="Y24" s="373" t="e">
        <f t="shared" si="6"/>
        <v>#DIV/0!</v>
      </c>
      <c r="Z24" s="373" t="e">
        <f t="shared" si="6"/>
        <v>#DIV/0!</v>
      </c>
      <c r="AA24" s="373" t="e">
        <f t="shared" si="6"/>
        <v>#DIV/0!</v>
      </c>
      <c r="AB24" s="373" t="e">
        <f t="shared" si="6"/>
        <v>#DIV/0!</v>
      </c>
      <c r="AC24" s="373" t="e">
        <f t="shared" si="6"/>
        <v>#DIV/0!</v>
      </c>
      <c r="AD24" s="373" t="e">
        <f t="shared" si="6"/>
        <v>#DIV/0!</v>
      </c>
      <c r="AE24" s="373" t="e">
        <f t="shared" si="6"/>
        <v>#DIV/0!</v>
      </c>
      <c r="AF24" s="373" t="e">
        <f t="shared" si="6"/>
        <v>#DIV/0!</v>
      </c>
      <c r="AG24" s="373" t="e">
        <f t="shared" si="6"/>
        <v>#DIV/0!</v>
      </c>
      <c r="AH24" s="373" t="e">
        <f t="shared" si="6"/>
        <v>#DIV/0!</v>
      </c>
      <c r="AI24" s="373" t="e">
        <f t="shared" si="6"/>
        <v>#DIV/0!</v>
      </c>
      <c r="AJ24" s="373" t="e">
        <f t="shared" ref="AJ24:BO24" si="7">IF($D6="yes",AJ17*$D$9,IF($D6="no",0,""))</f>
        <v>#DIV/0!</v>
      </c>
      <c r="AK24" s="373" t="e">
        <f t="shared" si="7"/>
        <v>#DIV/0!</v>
      </c>
      <c r="AL24" s="373" t="e">
        <f t="shared" si="7"/>
        <v>#DIV/0!</v>
      </c>
      <c r="AM24" s="373" t="e">
        <f t="shared" si="7"/>
        <v>#DIV/0!</v>
      </c>
      <c r="AN24" s="373" t="e">
        <f t="shared" si="7"/>
        <v>#DIV/0!</v>
      </c>
      <c r="AO24" s="373" t="e">
        <f t="shared" si="7"/>
        <v>#DIV/0!</v>
      </c>
      <c r="AP24" s="373" t="e">
        <f t="shared" si="7"/>
        <v>#DIV/0!</v>
      </c>
      <c r="AQ24" s="373" t="e">
        <f t="shared" si="7"/>
        <v>#DIV/0!</v>
      </c>
      <c r="AR24" s="373" t="e">
        <f t="shared" si="7"/>
        <v>#DIV/0!</v>
      </c>
      <c r="AS24" s="373" t="e">
        <f t="shared" si="7"/>
        <v>#DIV/0!</v>
      </c>
      <c r="AT24" s="373" t="e">
        <f t="shared" si="7"/>
        <v>#DIV/0!</v>
      </c>
      <c r="AU24" s="373" t="e">
        <f t="shared" si="7"/>
        <v>#DIV/0!</v>
      </c>
      <c r="AV24" s="373" t="e">
        <f t="shared" si="7"/>
        <v>#DIV/0!</v>
      </c>
      <c r="AW24" s="373" t="e">
        <f t="shared" si="7"/>
        <v>#DIV/0!</v>
      </c>
      <c r="AX24" s="373" t="e">
        <f t="shared" si="7"/>
        <v>#DIV/0!</v>
      </c>
      <c r="AY24" s="373" t="e">
        <f t="shared" si="7"/>
        <v>#DIV/0!</v>
      </c>
      <c r="AZ24" s="373" t="e">
        <f t="shared" si="7"/>
        <v>#DIV/0!</v>
      </c>
      <c r="BA24" s="373" t="e">
        <f t="shared" si="7"/>
        <v>#DIV/0!</v>
      </c>
      <c r="BB24" s="373" t="e">
        <f t="shared" si="7"/>
        <v>#DIV/0!</v>
      </c>
      <c r="BC24" s="373" t="e">
        <f t="shared" si="7"/>
        <v>#DIV/0!</v>
      </c>
      <c r="BD24" s="373" t="e">
        <f t="shared" si="7"/>
        <v>#DIV/0!</v>
      </c>
      <c r="BE24" s="373" t="e">
        <f t="shared" si="7"/>
        <v>#DIV/0!</v>
      </c>
      <c r="BF24" s="373" t="e">
        <f t="shared" si="7"/>
        <v>#DIV/0!</v>
      </c>
      <c r="BG24" s="373" t="e">
        <f t="shared" si="7"/>
        <v>#DIV/0!</v>
      </c>
      <c r="BH24" s="373" t="e">
        <f t="shared" si="7"/>
        <v>#DIV/0!</v>
      </c>
      <c r="BI24" s="373" t="e">
        <f t="shared" si="7"/>
        <v>#DIV/0!</v>
      </c>
      <c r="BJ24" s="373" t="e">
        <f t="shared" si="7"/>
        <v>#DIV/0!</v>
      </c>
      <c r="BK24" s="373" t="e">
        <f t="shared" si="7"/>
        <v>#DIV/0!</v>
      </c>
      <c r="BL24" s="373" t="e">
        <f t="shared" si="7"/>
        <v>#DIV/0!</v>
      </c>
      <c r="BM24" s="373" t="e">
        <f t="shared" si="7"/>
        <v>#DIV/0!</v>
      </c>
      <c r="BN24" s="373" t="e">
        <f t="shared" si="7"/>
        <v>#DIV/0!</v>
      </c>
      <c r="BO24" s="373" t="e">
        <f t="shared" si="7"/>
        <v>#DIV/0!</v>
      </c>
      <c r="BP24" s="373" t="e">
        <f t="shared" ref="BP24:CE24" si="8">IF($D6="yes",BP17*$D$9,IF($D6="no",0,""))</f>
        <v>#DIV/0!</v>
      </c>
      <c r="BQ24" s="373" t="e">
        <f t="shared" si="8"/>
        <v>#DIV/0!</v>
      </c>
      <c r="BR24" s="373" t="e">
        <f t="shared" si="8"/>
        <v>#DIV/0!</v>
      </c>
      <c r="BS24" s="373" t="e">
        <f t="shared" si="8"/>
        <v>#DIV/0!</v>
      </c>
      <c r="BT24" s="373" t="e">
        <f t="shared" si="8"/>
        <v>#DIV/0!</v>
      </c>
      <c r="BU24" s="373" t="e">
        <f t="shared" si="8"/>
        <v>#DIV/0!</v>
      </c>
      <c r="BV24" s="373" t="e">
        <f t="shared" si="8"/>
        <v>#DIV/0!</v>
      </c>
      <c r="BW24" s="373" t="e">
        <f t="shared" si="8"/>
        <v>#DIV/0!</v>
      </c>
      <c r="BX24" s="373" t="e">
        <f t="shared" si="8"/>
        <v>#DIV/0!</v>
      </c>
      <c r="BY24" s="373" t="e">
        <f t="shared" si="8"/>
        <v>#DIV/0!</v>
      </c>
      <c r="BZ24" s="373" t="e">
        <f t="shared" si="8"/>
        <v>#DIV/0!</v>
      </c>
      <c r="CA24" s="373" t="e">
        <f t="shared" si="8"/>
        <v>#DIV/0!</v>
      </c>
      <c r="CB24" s="373" t="e">
        <f t="shared" si="8"/>
        <v>#DIV/0!</v>
      </c>
      <c r="CC24" s="373" t="e">
        <f t="shared" si="8"/>
        <v>#DIV/0!</v>
      </c>
      <c r="CD24" s="373" t="e">
        <f t="shared" si="8"/>
        <v>#DIV/0!</v>
      </c>
      <c r="CE24" s="373" t="e">
        <f t="shared" si="8"/>
        <v>#DIV/0!</v>
      </c>
    </row>
    <row r="25" spans="1:83" s="370" customFormat="1" ht="15.5">
      <c r="A25" s="360"/>
      <c r="B25" s="360"/>
      <c r="C25" s="373" t="s">
        <v>93</v>
      </c>
      <c r="D25" s="373" t="e">
        <f t="shared" ref="D25:AI25" si="9">IF($D7="yes",D18*$D$9,IF($D7="no",0,""))</f>
        <v>#DIV/0!</v>
      </c>
      <c r="E25" s="373" t="e">
        <f t="shared" si="9"/>
        <v>#DIV/0!</v>
      </c>
      <c r="F25" s="373" t="e">
        <f t="shared" si="9"/>
        <v>#DIV/0!</v>
      </c>
      <c r="G25" s="373" t="e">
        <f t="shared" si="9"/>
        <v>#DIV/0!</v>
      </c>
      <c r="H25" s="373" t="e">
        <f t="shared" si="9"/>
        <v>#DIV/0!</v>
      </c>
      <c r="I25" s="373" t="e">
        <f t="shared" si="9"/>
        <v>#DIV/0!</v>
      </c>
      <c r="J25" s="373" t="e">
        <f t="shared" si="9"/>
        <v>#DIV/0!</v>
      </c>
      <c r="K25" s="373" t="e">
        <f t="shared" si="9"/>
        <v>#DIV/0!</v>
      </c>
      <c r="L25" s="373" t="e">
        <f t="shared" si="9"/>
        <v>#DIV/0!</v>
      </c>
      <c r="M25" s="373" t="e">
        <f t="shared" si="9"/>
        <v>#DIV/0!</v>
      </c>
      <c r="N25" s="373" t="e">
        <f t="shared" si="9"/>
        <v>#DIV/0!</v>
      </c>
      <c r="O25" s="373" t="e">
        <f t="shared" si="9"/>
        <v>#DIV/0!</v>
      </c>
      <c r="P25" s="373" t="e">
        <f t="shared" si="9"/>
        <v>#DIV/0!</v>
      </c>
      <c r="Q25" s="373" t="e">
        <f t="shared" si="9"/>
        <v>#DIV/0!</v>
      </c>
      <c r="R25" s="373" t="e">
        <f t="shared" si="9"/>
        <v>#DIV/0!</v>
      </c>
      <c r="S25" s="373" t="e">
        <f t="shared" si="9"/>
        <v>#DIV/0!</v>
      </c>
      <c r="T25" s="373" t="e">
        <f t="shared" si="9"/>
        <v>#DIV/0!</v>
      </c>
      <c r="U25" s="373" t="e">
        <f t="shared" si="9"/>
        <v>#DIV/0!</v>
      </c>
      <c r="V25" s="373" t="e">
        <f t="shared" si="9"/>
        <v>#DIV/0!</v>
      </c>
      <c r="W25" s="373" t="e">
        <f t="shared" si="9"/>
        <v>#DIV/0!</v>
      </c>
      <c r="X25" s="373" t="e">
        <f t="shared" si="9"/>
        <v>#DIV/0!</v>
      </c>
      <c r="Y25" s="373" t="e">
        <f t="shared" si="9"/>
        <v>#DIV/0!</v>
      </c>
      <c r="Z25" s="373" t="e">
        <f t="shared" si="9"/>
        <v>#DIV/0!</v>
      </c>
      <c r="AA25" s="373" t="e">
        <f t="shared" si="9"/>
        <v>#DIV/0!</v>
      </c>
      <c r="AB25" s="373" t="e">
        <f t="shared" si="9"/>
        <v>#DIV/0!</v>
      </c>
      <c r="AC25" s="373" t="e">
        <f t="shared" si="9"/>
        <v>#DIV/0!</v>
      </c>
      <c r="AD25" s="373" t="e">
        <f t="shared" si="9"/>
        <v>#DIV/0!</v>
      </c>
      <c r="AE25" s="373" t="e">
        <f t="shared" si="9"/>
        <v>#DIV/0!</v>
      </c>
      <c r="AF25" s="373" t="e">
        <f t="shared" si="9"/>
        <v>#DIV/0!</v>
      </c>
      <c r="AG25" s="373" t="e">
        <f t="shared" si="9"/>
        <v>#DIV/0!</v>
      </c>
      <c r="AH25" s="373" t="e">
        <f t="shared" si="9"/>
        <v>#DIV/0!</v>
      </c>
      <c r="AI25" s="373" t="e">
        <f t="shared" si="9"/>
        <v>#DIV/0!</v>
      </c>
      <c r="AJ25" s="373" t="e">
        <f t="shared" ref="AJ25:BO25" si="10">IF($D7="yes",AJ18*$D$9,IF($D7="no",0,""))</f>
        <v>#DIV/0!</v>
      </c>
      <c r="AK25" s="373" t="e">
        <f t="shared" si="10"/>
        <v>#DIV/0!</v>
      </c>
      <c r="AL25" s="373" t="e">
        <f t="shared" si="10"/>
        <v>#DIV/0!</v>
      </c>
      <c r="AM25" s="373" t="e">
        <f t="shared" si="10"/>
        <v>#DIV/0!</v>
      </c>
      <c r="AN25" s="373" t="e">
        <f t="shared" si="10"/>
        <v>#DIV/0!</v>
      </c>
      <c r="AO25" s="373" t="e">
        <f t="shared" si="10"/>
        <v>#DIV/0!</v>
      </c>
      <c r="AP25" s="373" t="e">
        <f t="shared" si="10"/>
        <v>#DIV/0!</v>
      </c>
      <c r="AQ25" s="373" t="e">
        <f t="shared" si="10"/>
        <v>#DIV/0!</v>
      </c>
      <c r="AR25" s="373" t="e">
        <f t="shared" si="10"/>
        <v>#DIV/0!</v>
      </c>
      <c r="AS25" s="373" t="e">
        <f t="shared" si="10"/>
        <v>#DIV/0!</v>
      </c>
      <c r="AT25" s="373" t="e">
        <f t="shared" si="10"/>
        <v>#DIV/0!</v>
      </c>
      <c r="AU25" s="373" t="e">
        <f t="shared" si="10"/>
        <v>#DIV/0!</v>
      </c>
      <c r="AV25" s="373" t="e">
        <f t="shared" si="10"/>
        <v>#DIV/0!</v>
      </c>
      <c r="AW25" s="373" t="e">
        <f t="shared" si="10"/>
        <v>#DIV/0!</v>
      </c>
      <c r="AX25" s="373" t="e">
        <f t="shared" si="10"/>
        <v>#DIV/0!</v>
      </c>
      <c r="AY25" s="373" t="e">
        <f t="shared" si="10"/>
        <v>#DIV/0!</v>
      </c>
      <c r="AZ25" s="373" t="e">
        <f t="shared" si="10"/>
        <v>#DIV/0!</v>
      </c>
      <c r="BA25" s="373" t="e">
        <f t="shared" si="10"/>
        <v>#DIV/0!</v>
      </c>
      <c r="BB25" s="373" t="e">
        <f t="shared" si="10"/>
        <v>#DIV/0!</v>
      </c>
      <c r="BC25" s="373" t="e">
        <f t="shared" si="10"/>
        <v>#DIV/0!</v>
      </c>
      <c r="BD25" s="373" t="e">
        <f t="shared" si="10"/>
        <v>#DIV/0!</v>
      </c>
      <c r="BE25" s="373" t="e">
        <f t="shared" si="10"/>
        <v>#DIV/0!</v>
      </c>
      <c r="BF25" s="373" t="e">
        <f t="shared" si="10"/>
        <v>#DIV/0!</v>
      </c>
      <c r="BG25" s="373" t="e">
        <f t="shared" si="10"/>
        <v>#DIV/0!</v>
      </c>
      <c r="BH25" s="373" t="e">
        <f t="shared" si="10"/>
        <v>#DIV/0!</v>
      </c>
      <c r="BI25" s="373" t="e">
        <f t="shared" si="10"/>
        <v>#DIV/0!</v>
      </c>
      <c r="BJ25" s="373" t="e">
        <f t="shared" si="10"/>
        <v>#DIV/0!</v>
      </c>
      <c r="BK25" s="373" t="e">
        <f t="shared" si="10"/>
        <v>#DIV/0!</v>
      </c>
      <c r="BL25" s="373" t="e">
        <f t="shared" si="10"/>
        <v>#DIV/0!</v>
      </c>
      <c r="BM25" s="373" t="e">
        <f t="shared" si="10"/>
        <v>#DIV/0!</v>
      </c>
      <c r="BN25" s="373" t="e">
        <f t="shared" si="10"/>
        <v>#DIV/0!</v>
      </c>
      <c r="BO25" s="373" t="e">
        <f t="shared" si="10"/>
        <v>#DIV/0!</v>
      </c>
      <c r="BP25" s="373" t="e">
        <f t="shared" ref="BP25:CE25" si="11">IF($D7="yes",BP18*$D$9,IF($D7="no",0,""))</f>
        <v>#DIV/0!</v>
      </c>
      <c r="BQ25" s="373" t="e">
        <f t="shared" si="11"/>
        <v>#DIV/0!</v>
      </c>
      <c r="BR25" s="373" t="e">
        <f t="shared" si="11"/>
        <v>#DIV/0!</v>
      </c>
      <c r="BS25" s="373" t="e">
        <f t="shared" si="11"/>
        <v>#DIV/0!</v>
      </c>
      <c r="BT25" s="373" t="e">
        <f t="shared" si="11"/>
        <v>#DIV/0!</v>
      </c>
      <c r="BU25" s="373" t="e">
        <f t="shared" si="11"/>
        <v>#DIV/0!</v>
      </c>
      <c r="BV25" s="373" t="e">
        <f t="shared" si="11"/>
        <v>#DIV/0!</v>
      </c>
      <c r="BW25" s="373" t="e">
        <f t="shared" si="11"/>
        <v>#DIV/0!</v>
      </c>
      <c r="BX25" s="373" t="e">
        <f t="shared" si="11"/>
        <v>#DIV/0!</v>
      </c>
      <c r="BY25" s="373" t="e">
        <f t="shared" si="11"/>
        <v>#DIV/0!</v>
      </c>
      <c r="BZ25" s="373" t="e">
        <f t="shared" si="11"/>
        <v>#DIV/0!</v>
      </c>
      <c r="CA25" s="373" t="e">
        <f t="shared" si="11"/>
        <v>#DIV/0!</v>
      </c>
      <c r="CB25" s="373" t="e">
        <f t="shared" si="11"/>
        <v>#DIV/0!</v>
      </c>
      <c r="CC25" s="373" t="e">
        <f t="shared" si="11"/>
        <v>#DIV/0!</v>
      </c>
      <c r="CD25" s="373" t="e">
        <f t="shared" si="11"/>
        <v>#DIV/0!</v>
      </c>
      <c r="CE25" s="373" t="e">
        <f t="shared" si="11"/>
        <v>#DIV/0!</v>
      </c>
    </row>
    <row r="26" spans="1:83" ht="15.5">
      <c r="C26" s="365"/>
      <c r="F26" s="366"/>
    </row>
    <row r="27" spans="1:83">
      <c r="C27" s="367"/>
      <c r="D27" s="367"/>
      <c r="E27" s="367"/>
    </row>
  </sheetData>
  <dataValidations count="1">
    <dataValidation type="list" allowBlank="1" showInputMessage="1" showErrorMessage="1" sqref="D4:D7" xr:uid="{00000000-0002-0000-0C00-000000000000}">
      <formula1>Yes_no</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sheetPr>
  <dimension ref="A2:CE88"/>
  <sheetViews>
    <sheetView zoomScale="90" zoomScaleNormal="90" workbookViewId="0">
      <selection activeCell="E6" sqref="E6"/>
    </sheetView>
  </sheetViews>
  <sheetFormatPr defaultColWidth="9.1796875" defaultRowHeight="14"/>
  <cols>
    <col min="1" max="1" width="9.1796875" style="371"/>
    <col min="2" max="2" width="19.26953125" style="370" customWidth="1"/>
    <col min="3" max="3" width="17.453125" style="370" customWidth="1"/>
    <col min="4" max="16384" width="9.1796875" style="370"/>
  </cols>
  <sheetData>
    <row r="2" spans="1:83">
      <c r="A2" s="371" t="s">
        <v>373</v>
      </c>
    </row>
    <row r="3" spans="1:83">
      <c r="B3" s="370" t="s">
        <v>367</v>
      </c>
      <c r="C3" s="966">
        <f>Proforma!D8</f>
        <v>0</v>
      </c>
    </row>
    <row r="4" spans="1:83">
      <c r="B4" s="370" t="s">
        <v>374</v>
      </c>
      <c r="C4" s="966">
        <v>2010</v>
      </c>
    </row>
    <row r="5" spans="1:83">
      <c r="B5" s="370" t="s">
        <v>375</v>
      </c>
      <c r="C5" s="370">
        <v>30</v>
      </c>
    </row>
    <row r="6" spans="1:83">
      <c r="B6" s="370" t="s">
        <v>376</v>
      </c>
      <c r="C6" s="370">
        <v>2010</v>
      </c>
    </row>
    <row r="7" spans="1:83">
      <c r="B7" s="370" t="s">
        <v>377</v>
      </c>
      <c r="C7" s="574">
        <v>3.5000000000000003E-2</v>
      </c>
    </row>
    <row r="8" spans="1:83">
      <c r="B8" s="370" t="s">
        <v>378</v>
      </c>
      <c r="C8" s="575">
        <v>0.03</v>
      </c>
    </row>
    <row r="11" spans="1:83">
      <c r="A11" s="371" t="s">
        <v>379</v>
      </c>
    </row>
    <row r="12" spans="1:83" s="371" customFormat="1" ht="15.5">
      <c r="A12" s="360"/>
      <c r="B12" s="372"/>
      <c r="C12" s="372">
        <v>2010</v>
      </c>
      <c r="D12" s="372">
        <v>2011</v>
      </c>
      <c r="E12" s="372">
        <v>2012</v>
      </c>
      <c r="F12" s="372">
        <v>2013</v>
      </c>
      <c r="G12" s="372">
        <v>2014</v>
      </c>
      <c r="H12" s="372">
        <v>2015</v>
      </c>
      <c r="I12" s="372">
        <v>2016</v>
      </c>
      <c r="J12" s="372">
        <v>2017</v>
      </c>
      <c r="K12" s="372">
        <v>2018</v>
      </c>
      <c r="L12" s="372">
        <v>2019</v>
      </c>
      <c r="M12" s="372">
        <v>2020</v>
      </c>
      <c r="N12" s="372">
        <v>2021</v>
      </c>
      <c r="O12" s="372">
        <v>2022</v>
      </c>
      <c r="P12" s="372">
        <v>2023</v>
      </c>
      <c r="Q12" s="372">
        <v>2024</v>
      </c>
      <c r="R12" s="372">
        <v>2025</v>
      </c>
      <c r="S12" s="372">
        <v>2026</v>
      </c>
      <c r="T12" s="372">
        <v>2027</v>
      </c>
      <c r="U12" s="372">
        <v>2028</v>
      </c>
      <c r="V12" s="372">
        <v>2029</v>
      </c>
      <c r="W12" s="372">
        <v>2030</v>
      </c>
      <c r="X12" s="372">
        <v>2031</v>
      </c>
      <c r="Y12" s="372">
        <v>2032</v>
      </c>
      <c r="Z12" s="372">
        <v>2033</v>
      </c>
      <c r="AA12" s="372">
        <v>2034</v>
      </c>
      <c r="AB12" s="372">
        <v>2035</v>
      </c>
      <c r="AC12" s="372">
        <v>2036</v>
      </c>
      <c r="AD12" s="372">
        <v>2037</v>
      </c>
      <c r="AE12" s="372">
        <v>2038</v>
      </c>
      <c r="AF12" s="372">
        <v>2039</v>
      </c>
      <c r="AG12" s="372">
        <v>2040</v>
      </c>
      <c r="AH12" s="372">
        <v>2041</v>
      </c>
      <c r="AI12" s="372">
        <v>2042</v>
      </c>
      <c r="AJ12" s="372">
        <v>2043</v>
      </c>
      <c r="AK12" s="372">
        <v>2044</v>
      </c>
      <c r="AL12" s="372">
        <v>2045</v>
      </c>
      <c r="AM12" s="372">
        <v>2046</v>
      </c>
      <c r="AN12" s="372">
        <v>2047</v>
      </c>
      <c r="AO12" s="372">
        <v>2048</v>
      </c>
      <c r="AP12" s="372">
        <v>2049</v>
      </c>
      <c r="AQ12" s="372">
        <v>2050</v>
      </c>
      <c r="AR12" s="372">
        <v>2051</v>
      </c>
      <c r="AS12" s="372">
        <v>2052</v>
      </c>
      <c r="AT12" s="372">
        <v>2053</v>
      </c>
      <c r="AU12" s="372">
        <v>2054</v>
      </c>
      <c r="AV12" s="372">
        <v>2055</v>
      </c>
      <c r="AW12" s="372">
        <v>2056</v>
      </c>
      <c r="AX12" s="372">
        <v>2057</v>
      </c>
      <c r="AY12" s="372">
        <v>2058</v>
      </c>
      <c r="AZ12" s="372">
        <v>2059</v>
      </c>
      <c r="BA12" s="372">
        <v>2060</v>
      </c>
      <c r="BB12" s="372">
        <v>2061</v>
      </c>
      <c r="BC12" s="372">
        <v>2062</v>
      </c>
      <c r="BD12" s="372">
        <v>2063</v>
      </c>
      <c r="BE12" s="372">
        <v>2064</v>
      </c>
      <c r="BF12" s="372">
        <v>2065</v>
      </c>
      <c r="BG12" s="372">
        <v>2066</v>
      </c>
      <c r="BH12" s="372">
        <v>2067</v>
      </c>
      <c r="BI12" s="372">
        <v>2068</v>
      </c>
      <c r="BJ12" s="372">
        <v>2069</v>
      </c>
      <c r="BK12" s="372">
        <v>2070</v>
      </c>
      <c r="BL12" s="372">
        <v>2071</v>
      </c>
      <c r="BM12" s="372">
        <v>2072</v>
      </c>
      <c r="BN12" s="372">
        <v>2073</v>
      </c>
      <c r="BO12" s="372">
        <v>2074</v>
      </c>
      <c r="BP12" s="372">
        <v>2075</v>
      </c>
      <c r="BQ12" s="372">
        <v>2076</v>
      </c>
      <c r="BR12" s="372">
        <v>2077</v>
      </c>
      <c r="BS12" s="372">
        <v>2078</v>
      </c>
      <c r="BT12" s="372">
        <v>2079</v>
      </c>
      <c r="BU12" s="372">
        <v>2080</v>
      </c>
      <c r="BV12" s="372">
        <v>2081</v>
      </c>
      <c r="BW12" s="372">
        <v>2082</v>
      </c>
      <c r="BX12" s="372">
        <v>2083</v>
      </c>
      <c r="BY12" s="372">
        <v>2084</v>
      </c>
      <c r="BZ12" s="372">
        <v>2085</v>
      </c>
      <c r="CA12" s="372">
        <v>2086</v>
      </c>
      <c r="CB12" s="372">
        <v>2087</v>
      </c>
      <c r="CC12" s="372">
        <v>2088</v>
      </c>
      <c r="CD12" s="372">
        <v>2089</v>
      </c>
      <c r="CE12" s="371">
        <v>2090</v>
      </c>
    </row>
    <row r="13" spans="1:83">
      <c r="B13" s="584" t="s">
        <v>380</v>
      </c>
      <c r="C13" s="373" t="b">
        <f>ISNUMBER(MATCH(C12,'National Traffic Model'!$B$7:$L$7,0))</f>
        <v>1</v>
      </c>
      <c r="D13" s="373" t="b">
        <f>ISNUMBER(MATCH(D12,'National Traffic Model'!$B$7:$L$7,0))</f>
        <v>0</v>
      </c>
      <c r="E13" s="373" t="b">
        <f>ISNUMBER(MATCH(E12,'National Traffic Model'!$B$7:$L$7,0))</f>
        <v>0</v>
      </c>
      <c r="F13" s="373" t="b">
        <f>ISNUMBER(MATCH(F12,'National Traffic Model'!$B$7:$L$7,0))</f>
        <v>0</v>
      </c>
      <c r="G13" s="373" t="b">
        <f>ISNUMBER(MATCH(G12,'National Traffic Model'!$B$7:$L$7,0))</f>
        <v>0</v>
      </c>
      <c r="H13" s="373" t="b">
        <f>ISNUMBER(MATCH(H12,'National Traffic Model'!$B$7:$L$7,0))</f>
        <v>1</v>
      </c>
      <c r="I13" s="373" t="b">
        <f>ISNUMBER(MATCH(I12,'National Traffic Model'!$B$7:$L$7,0))</f>
        <v>0</v>
      </c>
      <c r="J13" s="373" t="b">
        <f>ISNUMBER(MATCH(J12,'National Traffic Model'!$B$7:$L$7,0))</f>
        <v>0</v>
      </c>
      <c r="K13" s="373" t="b">
        <f>ISNUMBER(MATCH(K12,'National Traffic Model'!$B$7:$L$7,0))</f>
        <v>0</v>
      </c>
      <c r="L13" s="373" t="b">
        <f>ISNUMBER(MATCH(L12,'National Traffic Model'!$B$7:$L$7,0))</f>
        <v>0</v>
      </c>
      <c r="M13" s="373" t="b">
        <f>ISNUMBER(MATCH(M12,'National Traffic Model'!$B$7:$L$7,0))</f>
        <v>1</v>
      </c>
      <c r="N13" s="373" t="b">
        <f>ISNUMBER(MATCH(N12,'National Traffic Model'!$B$7:$L$7,0))</f>
        <v>0</v>
      </c>
      <c r="O13" s="373" t="b">
        <f>ISNUMBER(MATCH(O12,'National Traffic Model'!$B$7:$L$7,0))</f>
        <v>0</v>
      </c>
      <c r="P13" s="373" t="b">
        <f>ISNUMBER(MATCH(P12,'National Traffic Model'!$B$7:$L$7,0))</f>
        <v>0</v>
      </c>
      <c r="Q13" s="373" t="b">
        <f>ISNUMBER(MATCH(Q12,'National Traffic Model'!$B$7:$L$7,0))</f>
        <v>0</v>
      </c>
      <c r="R13" s="373" t="b">
        <f>ISNUMBER(MATCH(R12,'National Traffic Model'!$B$7:$L$7,0))</f>
        <v>1</v>
      </c>
      <c r="S13" s="373" t="b">
        <f>ISNUMBER(MATCH(S12,'National Traffic Model'!$B$7:$L$7,0))</f>
        <v>0</v>
      </c>
      <c r="T13" s="373" t="b">
        <f>ISNUMBER(MATCH(T12,'National Traffic Model'!$B$7:$L$7,0))</f>
        <v>0</v>
      </c>
      <c r="U13" s="373" t="b">
        <f>ISNUMBER(MATCH(U12,'National Traffic Model'!$B$7:$L$7,0))</f>
        <v>0</v>
      </c>
      <c r="V13" s="373" t="b">
        <f>ISNUMBER(MATCH(V12,'National Traffic Model'!$B$7:$L$7,0))</f>
        <v>0</v>
      </c>
      <c r="W13" s="373" t="b">
        <f>ISNUMBER(MATCH(W12,'National Traffic Model'!$B$7:$L$7,0))</f>
        <v>1</v>
      </c>
      <c r="X13" s="373" t="b">
        <f>ISNUMBER(MATCH(X12,'National Traffic Model'!$B$7:$L$7,0))</f>
        <v>0</v>
      </c>
      <c r="Y13" s="373" t="b">
        <f>ISNUMBER(MATCH(Y12,'National Traffic Model'!$B$7:$L$7,0))</f>
        <v>0</v>
      </c>
      <c r="Z13" s="373" t="b">
        <f>ISNUMBER(MATCH(Z12,'National Traffic Model'!$B$7:$L$7,0))</f>
        <v>0</v>
      </c>
      <c r="AA13" s="373" t="b">
        <f>ISNUMBER(MATCH(AA12,'National Traffic Model'!$B$7:$L$7,0))</f>
        <v>0</v>
      </c>
      <c r="AB13" s="373" t="b">
        <f>ISNUMBER(MATCH(AB12,'National Traffic Model'!$B$7:$L$7,0))</f>
        <v>1</v>
      </c>
      <c r="AC13" s="373" t="b">
        <f>ISNUMBER(MATCH(AC12,'National Traffic Model'!$B$7:$L$7,0))</f>
        <v>0</v>
      </c>
      <c r="AD13" s="373" t="b">
        <f>ISNUMBER(MATCH(AD12,'National Traffic Model'!$B$7:$L$7,0))</f>
        <v>0</v>
      </c>
      <c r="AE13" s="373" t="b">
        <f>ISNUMBER(MATCH(AE12,'National Traffic Model'!$B$7:$L$7,0))</f>
        <v>0</v>
      </c>
      <c r="AF13" s="373" t="b">
        <f>ISNUMBER(MATCH(AF12,'National Traffic Model'!$B$7:$L$7,0))</f>
        <v>0</v>
      </c>
      <c r="AG13" s="373" t="b">
        <f>ISNUMBER(MATCH(AG12,'National Traffic Model'!$B$7:$L$7,0))</f>
        <v>1</v>
      </c>
      <c r="AH13" s="373" t="b">
        <f>ISNUMBER(MATCH(AH12,'National Traffic Model'!$B$7:$L$7,0))</f>
        <v>0</v>
      </c>
      <c r="AI13" s="373" t="b">
        <f>ISNUMBER(MATCH(AI12,'National Traffic Model'!$B$7:$L$7,0))</f>
        <v>0</v>
      </c>
      <c r="AJ13" s="373" t="b">
        <f>ISNUMBER(MATCH(AJ12,'National Traffic Model'!$B$7:$L$7,0))</f>
        <v>0</v>
      </c>
      <c r="AK13" s="373" t="b">
        <f>ISNUMBER(MATCH(AK12,'National Traffic Model'!$B$7:$L$7,0))</f>
        <v>0</v>
      </c>
      <c r="AL13" s="373" t="b">
        <f>ISNUMBER(MATCH(AL12,'National Traffic Model'!$B$7:$L$7,0))</f>
        <v>1</v>
      </c>
      <c r="AM13" s="373" t="b">
        <f>ISNUMBER(MATCH(AM12,'National Traffic Model'!$B$7:$L$7,0))</f>
        <v>0</v>
      </c>
      <c r="AN13" s="373" t="b">
        <f>ISNUMBER(MATCH(AN12,'National Traffic Model'!$B$7:$L$7,0))</f>
        <v>0</v>
      </c>
      <c r="AO13" s="373" t="b">
        <f>ISNUMBER(MATCH(AO12,'National Traffic Model'!$B$7:$L$7,0))</f>
        <v>0</v>
      </c>
      <c r="AP13" s="373" t="b">
        <f>ISNUMBER(MATCH(AP12,'National Traffic Model'!$B$7:$L$7,0))</f>
        <v>0</v>
      </c>
      <c r="AQ13" s="373" t="b">
        <f>ISNUMBER(MATCH(AQ12,'National Traffic Model'!$B$7:$L$7,0))</f>
        <v>1</v>
      </c>
      <c r="AR13" s="373" t="b">
        <f>ISNUMBER(MATCH(AR12,'National Traffic Model'!$B$7:$L$7,0))</f>
        <v>0</v>
      </c>
      <c r="AS13" s="373" t="b">
        <f>ISNUMBER(MATCH(AS12,'National Traffic Model'!$B$7:$L$7,0))</f>
        <v>0</v>
      </c>
      <c r="AT13" s="373" t="b">
        <f>ISNUMBER(MATCH(AT12,'National Traffic Model'!$B$7:$L$7,0))</f>
        <v>0</v>
      </c>
      <c r="AU13" s="373" t="b">
        <f>ISNUMBER(MATCH(AU12,'National Traffic Model'!$B$7:$L$7,0))</f>
        <v>0</v>
      </c>
      <c r="AV13" s="373" t="b">
        <f>ISNUMBER(MATCH(AV12,'National Traffic Model'!$B$7:$L$7,0))</f>
        <v>0</v>
      </c>
      <c r="AW13" s="373" t="b">
        <f>ISNUMBER(MATCH(AW12,'National Traffic Model'!$B$7:$L$7,0))</f>
        <v>0</v>
      </c>
      <c r="AX13" s="373" t="b">
        <f>ISNUMBER(MATCH(AX12,'National Traffic Model'!$B$7:$L$7,0))</f>
        <v>0</v>
      </c>
      <c r="AY13" s="373" t="b">
        <f>ISNUMBER(MATCH(AY12,'National Traffic Model'!$B$7:$L$7,0))</f>
        <v>0</v>
      </c>
      <c r="AZ13" s="373" t="b">
        <f>ISNUMBER(MATCH(AZ12,'National Traffic Model'!$B$7:$L$7,0))</f>
        <v>0</v>
      </c>
      <c r="BA13" s="373" t="b">
        <f>ISNUMBER(MATCH(BA12,'National Traffic Model'!$B$7:$L$7,0))</f>
        <v>0</v>
      </c>
      <c r="BB13" s="373" t="b">
        <f>ISNUMBER(MATCH(BB12,'National Traffic Model'!$B$7:$L$7,0))</f>
        <v>0</v>
      </c>
      <c r="BC13" s="373" t="b">
        <f>ISNUMBER(MATCH(BC12,'National Traffic Model'!$B$7:$L$7,0))</f>
        <v>0</v>
      </c>
      <c r="BD13" s="373" t="b">
        <f>ISNUMBER(MATCH(BD12,'National Traffic Model'!$B$7:$L$7,0))</f>
        <v>0</v>
      </c>
      <c r="BE13" s="373" t="b">
        <f>ISNUMBER(MATCH(BE12,'National Traffic Model'!$B$7:$L$7,0))</f>
        <v>0</v>
      </c>
      <c r="BF13" s="373" t="b">
        <f>ISNUMBER(MATCH(BF12,'National Traffic Model'!$B$7:$L$7,0))</f>
        <v>0</v>
      </c>
      <c r="BG13" s="373" t="b">
        <f>ISNUMBER(MATCH(BG12,'National Traffic Model'!$B$7:$L$7,0))</f>
        <v>0</v>
      </c>
      <c r="BH13" s="373" t="b">
        <f>ISNUMBER(MATCH(BH12,'National Traffic Model'!$B$7:$L$7,0))</f>
        <v>0</v>
      </c>
      <c r="BI13" s="373" t="b">
        <f>ISNUMBER(MATCH(BI12,'National Traffic Model'!$B$7:$L$7,0))</f>
        <v>0</v>
      </c>
      <c r="BJ13" s="373" t="b">
        <f>ISNUMBER(MATCH(BJ12,'National Traffic Model'!$B$7:$L$7,0))</f>
        <v>0</v>
      </c>
      <c r="BK13" s="373" t="b">
        <f>ISNUMBER(MATCH(BK12,'National Traffic Model'!$B$7:$L$7,0))</f>
        <v>0</v>
      </c>
      <c r="BL13" s="373" t="b">
        <f>ISNUMBER(MATCH(BL12,'National Traffic Model'!$B$7:$L$7,0))</f>
        <v>0</v>
      </c>
      <c r="BM13" s="373" t="b">
        <f>ISNUMBER(MATCH(BM12,'National Traffic Model'!$B$7:$L$7,0))</f>
        <v>0</v>
      </c>
      <c r="BN13" s="373" t="b">
        <f>ISNUMBER(MATCH(BN12,'National Traffic Model'!$B$7:$L$7,0))</f>
        <v>0</v>
      </c>
      <c r="BO13" s="373" t="b">
        <f>ISNUMBER(MATCH(BO12,'National Traffic Model'!$B$7:$L$7,0))</f>
        <v>0</v>
      </c>
      <c r="BP13" s="373" t="b">
        <f>ISNUMBER(MATCH(BP12,'National Traffic Model'!$B$7:$L$7,0))</f>
        <v>0</v>
      </c>
      <c r="BQ13" s="373" t="b">
        <f>ISNUMBER(MATCH(BQ12,'National Traffic Model'!$B$7:$L$7,0))</f>
        <v>0</v>
      </c>
      <c r="BR13" s="373" t="b">
        <f>ISNUMBER(MATCH(BR12,'National Traffic Model'!$B$7:$L$7,0))</f>
        <v>0</v>
      </c>
      <c r="BS13" s="373" t="b">
        <f>ISNUMBER(MATCH(BS12,'National Traffic Model'!$B$7:$L$7,0))</f>
        <v>0</v>
      </c>
      <c r="BT13" s="373" t="b">
        <f>ISNUMBER(MATCH(BT12,'National Traffic Model'!$B$7:$L$7,0))</f>
        <v>0</v>
      </c>
      <c r="BU13" s="373" t="b">
        <f>ISNUMBER(MATCH(BU12,'National Traffic Model'!$B$7:$L$7,0))</f>
        <v>0</v>
      </c>
      <c r="BV13" s="373" t="b">
        <f>ISNUMBER(MATCH(BV12,'National Traffic Model'!$B$7:$L$7,0))</f>
        <v>0</v>
      </c>
      <c r="BW13" s="373" t="b">
        <f>ISNUMBER(MATCH(BW12,'National Traffic Model'!$B$7:$L$7,0))</f>
        <v>0</v>
      </c>
      <c r="BX13" s="373" t="b">
        <f>ISNUMBER(MATCH(BX12,'National Traffic Model'!$B$7:$L$7,0))</f>
        <v>0</v>
      </c>
      <c r="BY13" s="373" t="b">
        <f>ISNUMBER(MATCH(BY12,'National Traffic Model'!$B$7:$L$7,0))</f>
        <v>0</v>
      </c>
      <c r="BZ13" s="373" t="b">
        <f>ISNUMBER(MATCH(BZ12,'National Traffic Model'!$B$7:$L$7,0))</f>
        <v>0</v>
      </c>
      <c r="CA13" s="373" t="b">
        <f>ISNUMBER(MATCH(CA12,'National Traffic Model'!$B$7:$L$7,0))</f>
        <v>0</v>
      </c>
      <c r="CB13" s="373" t="b">
        <f>ISNUMBER(MATCH(CB12,'National Traffic Model'!$B$7:$L$7,0))</f>
        <v>0</v>
      </c>
      <c r="CC13" s="373" t="b">
        <f>ISNUMBER(MATCH(CC12,'National Traffic Model'!$B$7:$L$7,0))</f>
        <v>0</v>
      </c>
      <c r="CD13" s="373" t="b">
        <f>ISNUMBER(MATCH(CD12,'National Traffic Model'!$B$7:$L$7,0))</f>
        <v>0</v>
      </c>
    </row>
    <row r="14" spans="1:83">
      <c r="B14" s="372" t="s">
        <v>381</v>
      </c>
      <c r="C14" s="373" t="b">
        <f>C12&gt;MAX('National Traffic Model'!$D$7:$L$7)</f>
        <v>0</v>
      </c>
      <c r="D14" s="373" t="b">
        <f>D12&gt;MAX('National Traffic Model'!$D$7:$L$7)</f>
        <v>0</v>
      </c>
      <c r="E14" s="373" t="b">
        <f>E12&gt;MAX('National Traffic Model'!$D$7:$L$7)</f>
        <v>0</v>
      </c>
      <c r="F14" s="373" t="b">
        <f>F12&gt;MAX('National Traffic Model'!$D$7:$L$7)</f>
        <v>0</v>
      </c>
      <c r="G14" s="373" t="b">
        <f>G12&gt;MAX('National Traffic Model'!$D$7:$L$7)</f>
        <v>0</v>
      </c>
      <c r="H14" s="373" t="b">
        <f>H12&gt;MAX('National Traffic Model'!$D$7:$L$7)</f>
        <v>0</v>
      </c>
      <c r="I14" s="373" t="b">
        <f>I12&gt;MAX('National Traffic Model'!$D$7:$L$7)</f>
        <v>0</v>
      </c>
      <c r="J14" s="373" t="b">
        <f>J12&gt;MAX('National Traffic Model'!$D$7:$L$7)</f>
        <v>0</v>
      </c>
      <c r="K14" s="373" t="b">
        <f>K12&gt;MAX('National Traffic Model'!$D$7:$L$7)</f>
        <v>0</v>
      </c>
      <c r="L14" s="373" t="b">
        <f>L12&gt;MAX('National Traffic Model'!$D$7:$L$7)</f>
        <v>0</v>
      </c>
      <c r="M14" s="373" t="b">
        <f>M12&gt;MAX('National Traffic Model'!$D$7:$L$7)</f>
        <v>0</v>
      </c>
      <c r="N14" s="373" t="b">
        <f>N12&gt;MAX('National Traffic Model'!$D$7:$L$7)</f>
        <v>0</v>
      </c>
      <c r="O14" s="373" t="b">
        <f>O12&gt;MAX('National Traffic Model'!$D$7:$L$7)</f>
        <v>0</v>
      </c>
      <c r="P14" s="373" t="b">
        <f>P12&gt;MAX('National Traffic Model'!$D$7:$L$7)</f>
        <v>0</v>
      </c>
      <c r="Q14" s="373" t="b">
        <f>Q12&gt;MAX('National Traffic Model'!$D$7:$L$7)</f>
        <v>0</v>
      </c>
      <c r="R14" s="373" t="b">
        <f>R12&gt;MAX('National Traffic Model'!$D$7:$L$7)</f>
        <v>0</v>
      </c>
      <c r="S14" s="373" t="b">
        <f>S12&gt;MAX('National Traffic Model'!$D$7:$L$7)</f>
        <v>0</v>
      </c>
      <c r="T14" s="373" t="b">
        <f>T12&gt;MAX('National Traffic Model'!$D$7:$L$7)</f>
        <v>0</v>
      </c>
      <c r="U14" s="373" t="b">
        <f>U12&gt;MAX('National Traffic Model'!$D$7:$L$7)</f>
        <v>0</v>
      </c>
      <c r="V14" s="373" t="b">
        <f>V12&gt;MAX('National Traffic Model'!$D$7:$L$7)</f>
        <v>0</v>
      </c>
      <c r="W14" s="373" t="b">
        <f>W12&gt;MAX('National Traffic Model'!$D$7:$L$7)</f>
        <v>0</v>
      </c>
      <c r="X14" s="373" t="b">
        <f>X12&gt;MAX('National Traffic Model'!$D$7:$L$7)</f>
        <v>0</v>
      </c>
      <c r="Y14" s="373" t="b">
        <f>Y12&gt;MAX('National Traffic Model'!$D$7:$L$7)</f>
        <v>0</v>
      </c>
      <c r="Z14" s="373" t="b">
        <f>Z12&gt;MAX('National Traffic Model'!$D$7:$L$7)</f>
        <v>0</v>
      </c>
      <c r="AA14" s="373" t="b">
        <f>AA12&gt;MAX('National Traffic Model'!$D$7:$L$7)</f>
        <v>0</v>
      </c>
      <c r="AB14" s="373" t="b">
        <f>AB12&gt;MAX('National Traffic Model'!$D$7:$L$7)</f>
        <v>0</v>
      </c>
      <c r="AC14" s="373" t="b">
        <f>AC12&gt;MAX('National Traffic Model'!$D$7:$L$7)</f>
        <v>0</v>
      </c>
      <c r="AD14" s="373" t="b">
        <f>AD12&gt;MAX('National Traffic Model'!$D$7:$L$7)</f>
        <v>0</v>
      </c>
      <c r="AE14" s="373" t="b">
        <f>AE12&gt;MAX('National Traffic Model'!$D$7:$L$7)</f>
        <v>0</v>
      </c>
      <c r="AF14" s="373" t="b">
        <f>AF12&gt;MAX('National Traffic Model'!$D$7:$L$7)</f>
        <v>0</v>
      </c>
      <c r="AG14" s="373" t="b">
        <f>AG12&gt;MAX('National Traffic Model'!$D$7:$L$7)</f>
        <v>0</v>
      </c>
      <c r="AH14" s="373" t="b">
        <f>AH12&gt;MAX('National Traffic Model'!$D$7:$L$7)</f>
        <v>0</v>
      </c>
      <c r="AI14" s="373" t="b">
        <f>AI12&gt;MAX('National Traffic Model'!$D$7:$L$7)</f>
        <v>0</v>
      </c>
      <c r="AJ14" s="373" t="b">
        <f>AJ12&gt;MAX('National Traffic Model'!$D$7:$L$7)</f>
        <v>0</v>
      </c>
      <c r="AK14" s="373" t="b">
        <f>AK12&gt;MAX('National Traffic Model'!$D$7:$L$7)</f>
        <v>0</v>
      </c>
      <c r="AL14" s="373" t="b">
        <f>AL12&gt;MAX('National Traffic Model'!$D$7:$L$7)</f>
        <v>0</v>
      </c>
      <c r="AM14" s="373" t="b">
        <f>AM12&gt;MAX('National Traffic Model'!$D$7:$L$7)</f>
        <v>0</v>
      </c>
      <c r="AN14" s="373" t="b">
        <f>AN12&gt;MAX('National Traffic Model'!$D$7:$L$7)</f>
        <v>0</v>
      </c>
      <c r="AO14" s="373" t="b">
        <f>AO12&gt;MAX('National Traffic Model'!$D$7:$L$7)</f>
        <v>0</v>
      </c>
      <c r="AP14" s="373" t="b">
        <f>AP12&gt;MAX('National Traffic Model'!$D$7:$L$7)</f>
        <v>0</v>
      </c>
      <c r="AQ14" s="373" t="b">
        <f>AQ12&gt;MAX('National Traffic Model'!$D$7:$L$7)</f>
        <v>0</v>
      </c>
      <c r="AR14" s="373" t="b">
        <f>AR12&gt;MAX('National Traffic Model'!$D$7:$L$7)</f>
        <v>1</v>
      </c>
      <c r="AS14" s="373" t="b">
        <f>AS12&gt;MAX('National Traffic Model'!$D$7:$L$7)</f>
        <v>1</v>
      </c>
      <c r="AT14" s="373" t="b">
        <f>AT12&gt;MAX('National Traffic Model'!$D$7:$L$7)</f>
        <v>1</v>
      </c>
      <c r="AU14" s="373" t="b">
        <f>AU12&gt;MAX('National Traffic Model'!$D$7:$L$7)</f>
        <v>1</v>
      </c>
      <c r="AV14" s="373" t="b">
        <f>AV12&gt;MAX('National Traffic Model'!$D$7:$L$7)</f>
        <v>1</v>
      </c>
      <c r="AW14" s="373" t="b">
        <f>AW12&gt;MAX('National Traffic Model'!$D$7:$L$7)</f>
        <v>1</v>
      </c>
      <c r="AX14" s="373" t="b">
        <f>AX12&gt;MAX('National Traffic Model'!$D$7:$L$7)</f>
        <v>1</v>
      </c>
      <c r="AY14" s="373" t="b">
        <f>AY12&gt;MAX('National Traffic Model'!$D$7:$L$7)</f>
        <v>1</v>
      </c>
      <c r="AZ14" s="373" t="b">
        <f>AZ12&gt;MAX('National Traffic Model'!$D$7:$L$7)</f>
        <v>1</v>
      </c>
      <c r="BA14" s="373" t="b">
        <f>BA12&gt;MAX('National Traffic Model'!$D$7:$L$7)</f>
        <v>1</v>
      </c>
      <c r="BB14" s="373" t="b">
        <f>BB12&gt;MAX('National Traffic Model'!$D$7:$L$7)</f>
        <v>1</v>
      </c>
      <c r="BC14" s="373" t="b">
        <f>BC12&gt;MAX('National Traffic Model'!$D$7:$L$7)</f>
        <v>1</v>
      </c>
      <c r="BD14" s="373" t="b">
        <f>BD12&gt;MAX('National Traffic Model'!$D$7:$L$7)</f>
        <v>1</v>
      </c>
      <c r="BE14" s="373" t="b">
        <f>BE12&gt;MAX('National Traffic Model'!$D$7:$L$7)</f>
        <v>1</v>
      </c>
      <c r="BF14" s="373" t="b">
        <f>BF12&gt;MAX('National Traffic Model'!$D$7:$L$7)</f>
        <v>1</v>
      </c>
      <c r="BG14" s="373" t="b">
        <f>BG12&gt;MAX('National Traffic Model'!$D$7:$L$7)</f>
        <v>1</v>
      </c>
      <c r="BH14" s="373" t="b">
        <f>BH12&gt;MAX('National Traffic Model'!$D$7:$L$7)</f>
        <v>1</v>
      </c>
      <c r="BI14" s="373" t="b">
        <f>BI12&gt;MAX('National Traffic Model'!$D$7:$L$7)</f>
        <v>1</v>
      </c>
      <c r="BJ14" s="373" t="b">
        <f>BJ12&gt;MAX('National Traffic Model'!$D$7:$L$7)</f>
        <v>1</v>
      </c>
      <c r="BK14" s="373" t="b">
        <f>BK12&gt;MAX('National Traffic Model'!$D$7:$L$7)</f>
        <v>1</v>
      </c>
      <c r="BL14" s="373" t="b">
        <f>BL12&gt;MAX('National Traffic Model'!$D$7:$L$7)</f>
        <v>1</v>
      </c>
      <c r="BM14" s="373" t="b">
        <f>BM12&gt;MAX('National Traffic Model'!$D$7:$L$7)</f>
        <v>1</v>
      </c>
      <c r="BN14" s="373" t="b">
        <f>BN12&gt;MAX('National Traffic Model'!$D$7:$L$7)</f>
        <v>1</v>
      </c>
      <c r="BO14" s="373" t="b">
        <f>BO12&gt;MAX('National Traffic Model'!$D$7:$L$7)</f>
        <v>1</v>
      </c>
      <c r="BP14" s="373" t="b">
        <f>BP12&gt;MAX('National Traffic Model'!$D$7:$L$7)</f>
        <v>1</v>
      </c>
      <c r="BQ14" s="373" t="b">
        <f>BQ12&gt;MAX('National Traffic Model'!$D$7:$L$7)</f>
        <v>1</v>
      </c>
      <c r="BR14" s="373" t="b">
        <f>BR12&gt;MAX('National Traffic Model'!$D$7:$L$7)</f>
        <v>1</v>
      </c>
      <c r="BS14" s="373" t="b">
        <f>BS12&gt;MAX('National Traffic Model'!$D$7:$L$7)</f>
        <v>1</v>
      </c>
      <c r="BT14" s="373" t="b">
        <f>BT12&gt;MAX('National Traffic Model'!$D$7:$L$7)</f>
        <v>1</v>
      </c>
      <c r="BU14" s="373" t="b">
        <f>BU12&gt;MAX('National Traffic Model'!$D$7:$L$7)</f>
        <v>1</v>
      </c>
      <c r="BV14" s="373" t="b">
        <f>BV12&gt;MAX('National Traffic Model'!$D$7:$L$7)</f>
        <v>1</v>
      </c>
      <c r="BW14" s="373" t="b">
        <f>BW12&gt;MAX('National Traffic Model'!$D$7:$L$7)</f>
        <v>1</v>
      </c>
      <c r="BX14" s="373" t="b">
        <f>BX12&gt;MAX('National Traffic Model'!$D$7:$L$7)</f>
        <v>1</v>
      </c>
      <c r="BY14" s="373" t="b">
        <f>BY12&gt;MAX('National Traffic Model'!$D$7:$L$7)</f>
        <v>1</v>
      </c>
      <c r="BZ14" s="373" t="b">
        <f>BZ12&gt;MAX('National Traffic Model'!$D$7:$L$7)</f>
        <v>1</v>
      </c>
      <c r="CA14" s="373" t="b">
        <f>CA12&gt;MAX('National Traffic Model'!$D$7:$L$7)</f>
        <v>1</v>
      </c>
      <c r="CB14" s="373" t="b">
        <f>CB12&gt;MAX('National Traffic Model'!$D$7:$L$7)</f>
        <v>1</v>
      </c>
      <c r="CC14" s="373" t="b">
        <f>CC12&gt;MAX('National Traffic Model'!$D$7:$L$7)</f>
        <v>1</v>
      </c>
      <c r="CD14" s="373" t="b">
        <f>CD12&gt;MAX('National Traffic Model'!$D$7:$L$7)</f>
        <v>1</v>
      </c>
    </row>
    <row r="15" spans="1:83">
      <c r="B15" s="372" t="s">
        <v>382</v>
      </c>
      <c r="C15" s="373">
        <f>IF(C13,C12,B15)</f>
        <v>2010</v>
      </c>
      <c r="D15" s="373">
        <f t="shared" ref="D15:BO15" si="0">IF(D13,D12,C15)</f>
        <v>2010</v>
      </c>
      <c r="E15" s="373">
        <f t="shared" si="0"/>
        <v>2010</v>
      </c>
      <c r="F15" s="373">
        <f t="shared" si="0"/>
        <v>2010</v>
      </c>
      <c r="G15" s="373">
        <f t="shared" si="0"/>
        <v>2010</v>
      </c>
      <c r="H15" s="373">
        <f t="shared" si="0"/>
        <v>2015</v>
      </c>
      <c r="I15" s="373">
        <f t="shared" si="0"/>
        <v>2015</v>
      </c>
      <c r="J15" s="373">
        <f t="shared" si="0"/>
        <v>2015</v>
      </c>
      <c r="K15" s="373">
        <f t="shared" si="0"/>
        <v>2015</v>
      </c>
      <c r="L15" s="373">
        <f t="shared" si="0"/>
        <v>2015</v>
      </c>
      <c r="M15" s="373">
        <f t="shared" si="0"/>
        <v>2020</v>
      </c>
      <c r="N15" s="373">
        <f t="shared" si="0"/>
        <v>2020</v>
      </c>
      <c r="O15" s="373">
        <f t="shared" si="0"/>
        <v>2020</v>
      </c>
      <c r="P15" s="373">
        <f t="shared" si="0"/>
        <v>2020</v>
      </c>
      <c r="Q15" s="373">
        <f t="shared" si="0"/>
        <v>2020</v>
      </c>
      <c r="R15" s="373">
        <f t="shared" si="0"/>
        <v>2025</v>
      </c>
      <c r="S15" s="373">
        <f t="shared" si="0"/>
        <v>2025</v>
      </c>
      <c r="T15" s="373">
        <f t="shared" si="0"/>
        <v>2025</v>
      </c>
      <c r="U15" s="373">
        <f t="shared" si="0"/>
        <v>2025</v>
      </c>
      <c r="V15" s="373">
        <f t="shared" si="0"/>
        <v>2025</v>
      </c>
      <c r="W15" s="373">
        <f t="shared" si="0"/>
        <v>2030</v>
      </c>
      <c r="X15" s="373">
        <f t="shared" si="0"/>
        <v>2030</v>
      </c>
      <c r="Y15" s="373">
        <f t="shared" si="0"/>
        <v>2030</v>
      </c>
      <c r="Z15" s="373">
        <f t="shared" si="0"/>
        <v>2030</v>
      </c>
      <c r="AA15" s="373">
        <f t="shared" si="0"/>
        <v>2030</v>
      </c>
      <c r="AB15" s="373">
        <f t="shared" si="0"/>
        <v>2035</v>
      </c>
      <c r="AC15" s="373">
        <f t="shared" si="0"/>
        <v>2035</v>
      </c>
      <c r="AD15" s="373">
        <f t="shared" si="0"/>
        <v>2035</v>
      </c>
      <c r="AE15" s="373">
        <f t="shared" si="0"/>
        <v>2035</v>
      </c>
      <c r="AF15" s="373">
        <f t="shared" si="0"/>
        <v>2035</v>
      </c>
      <c r="AG15" s="373">
        <f t="shared" si="0"/>
        <v>2040</v>
      </c>
      <c r="AH15" s="373">
        <f t="shared" si="0"/>
        <v>2040</v>
      </c>
      <c r="AI15" s="373">
        <f t="shared" si="0"/>
        <v>2040</v>
      </c>
      <c r="AJ15" s="373">
        <f t="shared" si="0"/>
        <v>2040</v>
      </c>
      <c r="AK15" s="373">
        <f t="shared" si="0"/>
        <v>2040</v>
      </c>
      <c r="AL15" s="373">
        <f t="shared" si="0"/>
        <v>2045</v>
      </c>
      <c r="AM15" s="373">
        <f t="shared" si="0"/>
        <v>2045</v>
      </c>
      <c r="AN15" s="373">
        <f t="shared" si="0"/>
        <v>2045</v>
      </c>
      <c r="AO15" s="373">
        <f t="shared" si="0"/>
        <v>2045</v>
      </c>
      <c r="AP15" s="373">
        <f t="shared" si="0"/>
        <v>2045</v>
      </c>
      <c r="AQ15" s="373">
        <f t="shared" si="0"/>
        <v>2050</v>
      </c>
      <c r="AR15" s="373">
        <f t="shared" si="0"/>
        <v>2050</v>
      </c>
      <c r="AS15" s="373">
        <f t="shared" si="0"/>
        <v>2050</v>
      </c>
      <c r="AT15" s="373">
        <f t="shared" si="0"/>
        <v>2050</v>
      </c>
      <c r="AU15" s="373">
        <f t="shared" si="0"/>
        <v>2050</v>
      </c>
      <c r="AV15" s="373">
        <f t="shared" si="0"/>
        <v>2050</v>
      </c>
      <c r="AW15" s="373">
        <f t="shared" si="0"/>
        <v>2050</v>
      </c>
      <c r="AX15" s="373">
        <f t="shared" si="0"/>
        <v>2050</v>
      </c>
      <c r="AY15" s="373">
        <f t="shared" si="0"/>
        <v>2050</v>
      </c>
      <c r="AZ15" s="373">
        <f t="shared" si="0"/>
        <v>2050</v>
      </c>
      <c r="BA15" s="373">
        <f t="shared" si="0"/>
        <v>2050</v>
      </c>
      <c r="BB15" s="373">
        <f t="shared" si="0"/>
        <v>2050</v>
      </c>
      <c r="BC15" s="373">
        <f t="shared" si="0"/>
        <v>2050</v>
      </c>
      <c r="BD15" s="373">
        <f t="shared" si="0"/>
        <v>2050</v>
      </c>
      <c r="BE15" s="373">
        <f t="shared" si="0"/>
        <v>2050</v>
      </c>
      <c r="BF15" s="373">
        <f t="shared" si="0"/>
        <v>2050</v>
      </c>
      <c r="BG15" s="373">
        <f t="shared" si="0"/>
        <v>2050</v>
      </c>
      <c r="BH15" s="373">
        <f t="shared" si="0"/>
        <v>2050</v>
      </c>
      <c r="BI15" s="373">
        <f t="shared" si="0"/>
        <v>2050</v>
      </c>
      <c r="BJ15" s="373">
        <f t="shared" si="0"/>
        <v>2050</v>
      </c>
      <c r="BK15" s="373">
        <f t="shared" si="0"/>
        <v>2050</v>
      </c>
      <c r="BL15" s="373">
        <f t="shared" si="0"/>
        <v>2050</v>
      </c>
      <c r="BM15" s="373">
        <f t="shared" si="0"/>
        <v>2050</v>
      </c>
      <c r="BN15" s="373">
        <f t="shared" si="0"/>
        <v>2050</v>
      </c>
      <c r="BO15" s="373">
        <f t="shared" si="0"/>
        <v>2050</v>
      </c>
      <c r="BP15" s="373">
        <f t="shared" ref="BP15:CD15" si="1">IF(BP13,BP12,BO15)</f>
        <v>2050</v>
      </c>
      <c r="BQ15" s="373">
        <f t="shared" si="1"/>
        <v>2050</v>
      </c>
      <c r="BR15" s="373">
        <f t="shared" si="1"/>
        <v>2050</v>
      </c>
      <c r="BS15" s="373">
        <f t="shared" si="1"/>
        <v>2050</v>
      </c>
      <c r="BT15" s="373">
        <f t="shared" si="1"/>
        <v>2050</v>
      </c>
      <c r="BU15" s="373">
        <f t="shared" si="1"/>
        <v>2050</v>
      </c>
      <c r="BV15" s="373">
        <f t="shared" si="1"/>
        <v>2050</v>
      </c>
      <c r="BW15" s="373">
        <f t="shared" si="1"/>
        <v>2050</v>
      </c>
      <c r="BX15" s="373">
        <f t="shared" si="1"/>
        <v>2050</v>
      </c>
      <c r="BY15" s="373">
        <f t="shared" si="1"/>
        <v>2050</v>
      </c>
      <c r="BZ15" s="373">
        <f t="shared" si="1"/>
        <v>2050</v>
      </c>
      <c r="CA15" s="373">
        <f t="shared" si="1"/>
        <v>2050</v>
      </c>
      <c r="CB15" s="373">
        <f t="shared" si="1"/>
        <v>2050</v>
      </c>
      <c r="CC15" s="373">
        <f t="shared" si="1"/>
        <v>2050</v>
      </c>
      <c r="CD15" s="373">
        <f t="shared" si="1"/>
        <v>2050</v>
      </c>
    </row>
    <row r="16" spans="1:83">
      <c r="B16" s="372" t="s">
        <v>383</v>
      </c>
      <c r="C16" s="373">
        <f>IF(C13,C12,D16)</f>
        <v>2010</v>
      </c>
      <c r="D16" s="373">
        <f t="shared" ref="D16:BO16" si="2">IF(D13,D12,E16)</f>
        <v>2015</v>
      </c>
      <c r="E16" s="373">
        <f t="shared" si="2"/>
        <v>2015</v>
      </c>
      <c r="F16" s="373">
        <f t="shared" si="2"/>
        <v>2015</v>
      </c>
      <c r="G16" s="373">
        <f t="shared" si="2"/>
        <v>2015</v>
      </c>
      <c r="H16" s="373">
        <f t="shared" si="2"/>
        <v>2015</v>
      </c>
      <c r="I16" s="373">
        <f t="shared" si="2"/>
        <v>2020</v>
      </c>
      <c r="J16" s="373">
        <f t="shared" si="2"/>
        <v>2020</v>
      </c>
      <c r="K16" s="373">
        <f t="shared" si="2"/>
        <v>2020</v>
      </c>
      <c r="L16" s="373">
        <f t="shared" si="2"/>
        <v>2020</v>
      </c>
      <c r="M16" s="373">
        <f t="shared" si="2"/>
        <v>2020</v>
      </c>
      <c r="N16" s="373">
        <f t="shared" si="2"/>
        <v>2025</v>
      </c>
      <c r="O16" s="373">
        <f t="shared" si="2"/>
        <v>2025</v>
      </c>
      <c r="P16" s="373">
        <f t="shared" si="2"/>
        <v>2025</v>
      </c>
      <c r="Q16" s="373">
        <f t="shared" si="2"/>
        <v>2025</v>
      </c>
      <c r="R16" s="373">
        <f t="shared" si="2"/>
        <v>2025</v>
      </c>
      <c r="S16" s="373">
        <f t="shared" si="2"/>
        <v>2030</v>
      </c>
      <c r="T16" s="373">
        <f t="shared" si="2"/>
        <v>2030</v>
      </c>
      <c r="U16" s="373">
        <f t="shared" si="2"/>
        <v>2030</v>
      </c>
      <c r="V16" s="373">
        <f t="shared" si="2"/>
        <v>2030</v>
      </c>
      <c r="W16" s="373">
        <f t="shared" si="2"/>
        <v>2030</v>
      </c>
      <c r="X16" s="373">
        <f t="shared" si="2"/>
        <v>2035</v>
      </c>
      <c r="Y16" s="373">
        <f t="shared" si="2"/>
        <v>2035</v>
      </c>
      <c r="Z16" s="373">
        <f t="shared" si="2"/>
        <v>2035</v>
      </c>
      <c r="AA16" s="373">
        <f t="shared" si="2"/>
        <v>2035</v>
      </c>
      <c r="AB16" s="373">
        <f t="shared" si="2"/>
        <v>2035</v>
      </c>
      <c r="AC16" s="373">
        <f t="shared" si="2"/>
        <v>2040</v>
      </c>
      <c r="AD16" s="373">
        <f t="shared" si="2"/>
        <v>2040</v>
      </c>
      <c r="AE16" s="373">
        <f t="shared" si="2"/>
        <v>2040</v>
      </c>
      <c r="AF16" s="373">
        <f t="shared" si="2"/>
        <v>2040</v>
      </c>
      <c r="AG16" s="373">
        <f t="shared" si="2"/>
        <v>2040</v>
      </c>
      <c r="AH16" s="373">
        <f t="shared" si="2"/>
        <v>2045</v>
      </c>
      <c r="AI16" s="373">
        <f t="shared" si="2"/>
        <v>2045</v>
      </c>
      <c r="AJ16" s="373">
        <f t="shared" si="2"/>
        <v>2045</v>
      </c>
      <c r="AK16" s="373">
        <f t="shared" si="2"/>
        <v>2045</v>
      </c>
      <c r="AL16" s="373">
        <f t="shared" si="2"/>
        <v>2045</v>
      </c>
      <c r="AM16" s="373">
        <f t="shared" si="2"/>
        <v>2050</v>
      </c>
      <c r="AN16" s="373">
        <f t="shared" si="2"/>
        <v>2050</v>
      </c>
      <c r="AO16" s="373">
        <f t="shared" si="2"/>
        <v>2050</v>
      </c>
      <c r="AP16" s="373">
        <f t="shared" si="2"/>
        <v>2050</v>
      </c>
      <c r="AQ16" s="373">
        <f t="shared" si="2"/>
        <v>2050</v>
      </c>
      <c r="AR16" s="373">
        <f t="shared" si="2"/>
        <v>0</v>
      </c>
      <c r="AS16" s="373">
        <f t="shared" si="2"/>
        <v>0</v>
      </c>
      <c r="AT16" s="373">
        <f t="shared" si="2"/>
        <v>0</v>
      </c>
      <c r="AU16" s="373">
        <f t="shared" si="2"/>
        <v>0</v>
      </c>
      <c r="AV16" s="373">
        <f t="shared" si="2"/>
        <v>0</v>
      </c>
      <c r="AW16" s="373">
        <f t="shared" si="2"/>
        <v>0</v>
      </c>
      <c r="AX16" s="373">
        <f t="shared" si="2"/>
        <v>0</v>
      </c>
      <c r="AY16" s="373">
        <f t="shared" si="2"/>
        <v>0</v>
      </c>
      <c r="AZ16" s="373">
        <f t="shared" si="2"/>
        <v>0</v>
      </c>
      <c r="BA16" s="373">
        <f t="shared" si="2"/>
        <v>0</v>
      </c>
      <c r="BB16" s="373">
        <f t="shared" si="2"/>
        <v>0</v>
      </c>
      <c r="BC16" s="373">
        <f t="shared" si="2"/>
        <v>0</v>
      </c>
      <c r="BD16" s="373">
        <f t="shared" si="2"/>
        <v>0</v>
      </c>
      <c r="BE16" s="373">
        <f t="shared" si="2"/>
        <v>0</v>
      </c>
      <c r="BF16" s="373">
        <f t="shared" si="2"/>
        <v>0</v>
      </c>
      <c r="BG16" s="373">
        <f t="shared" si="2"/>
        <v>0</v>
      </c>
      <c r="BH16" s="373">
        <f t="shared" si="2"/>
        <v>0</v>
      </c>
      <c r="BI16" s="373">
        <f t="shared" si="2"/>
        <v>0</v>
      </c>
      <c r="BJ16" s="373">
        <f t="shared" si="2"/>
        <v>0</v>
      </c>
      <c r="BK16" s="373">
        <f t="shared" si="2"/>
        <v>0</v>
      </c>
      <c r="BL16" s="373">
        <f t="shared" si="2"/>
        <v>0</v>
      </c>
      <c r="BM16" s="373">
        <f t="shared" si="2"/>
        <v>0</v>
      </c>
      <c r="BN16" s="373">
        <f t="shared" si="2"/>
        <v>0</v>
      </c>
      <c r="BO16" s="373">
        <f t="shared" si="2"/>
        <v>0</v>
      </c>
      <c r="BP16" s="373">
        <f t="shared" ref="BP16:CD16" si="3">IF(BP13,BP12,BQ16)</f>
        <v>0</v>
      </c>
      <c r="BQ16" s="373">
        <f t="shared" si="3"/>
        <v>0</v>
      </c>
      <c r="BR16" s="373">
        <f t="shared" si="3"/>
        <v>0</v>
      </c>
      <c r="BS16" s="373">
        <f t="shared" si="3"/>
        <v>0</v>
      </c>
      <c r="BT16" s="373">
        <f t="shared" si="3"/>
        <v>0</v>
      </c>
      <c r="BU16" s="373">
        <f t="shared" si="3"/>
        <v>0</v>
      </c>
      <c r="BV16" s="373">
        <f t="shared" si="3"/>
        <v>0</v>
      </c>
      <c r="BW16" s="373">
        <f t="shared" si="3"/>
        <v>0</v>
      </c>
      <c r="BX16" s="373">
        <f t="shared" si="3"/>
        <v>0</v>
      </c>
      <c r="BY16" s="373">
        <f t="shared" si="3"/>
        <v>0</v>
      </c>
      <c r="BZ16" s="373">
        <f t="shared" si="3"/>
        <v>0</v>
      </c>
      <c r="CA16" s="373">
        <f t="shared" si="3"/>
        <v>0</v>
      </c>
      <c r="CB16" s="373">
        <f t="shared" si="3"/>
        <v>0</v>
      </c>
      <c r="CC16" s="373">
        <f t="shared" si="3"/>
        <v>0</v>
      </c>
      <c r="CD16" s="373">
        <f t="shared" si="3"/>
        <v>0</v>
      </c>
    </row>
    <row r="17" spans="1:82">
      <c r="B17" s="372" t="s">
        <v>384</v>
      </c>
      <c r="C17" s="373">
        <f>IF(C13,MATCH(C12,'National Traffic Model'!$D$7:$L$7,0),B17)</f>
        <v>1</v>
      </c>
      <c r="D17" s="373">
        <f>IF(D13,MATCH(D12,'National Traffic Model'!$D$7:$L$7,0),C17)</f>
        <v>1</v>
      </c>
      <c r="E17" s="373">
        <f>IF(E13,MATCH(E12,'National Traffic Model'!$D$7:$L$7,0),D17)</f>
        <v>1</v>
      </c>
      <c r="F17" s="373">
        <f>IF(F13,MATCH(F12,'National Traffic Model'!$D$7:$L$7,0),E17)</f>
        <v>1</v>
      </c>
      <c r="G17" s="373">
        <f>IF(G13,MATCH(G12,'National Traffic Model'!$D$7:$L$7,0),F17)</f>
        <v>1</v>
      </c>
      <c r="H17" s="373">
        <f>IF(H13,MATCH(H12,'National Traffic Model'!$D$7:$L$7,0),G17)</f>
        <v>2</v>
      </c>
      <c r="I17" s="373">
        <f>IF(I13,MATCH(I12,'National Traffic Model'!$D$7:$L$7,0),H17)</f>
        <v>2</v>
      </c>
      <c r="J17" s="373">
        <f>IF(J13,MATCH(J12,'National Traffic Model'!$D$7:$L$7,0),I17)</f>
        <v>2</v>
      </c>
      <c r="K17" s="373">
        <f>IF(K13,MATCH(K12,'National Traffic Model'!$D$7:$L$7,0),J17)</f>
        <v>2</v>
      </c>
      <c r="L17" s="373">
        <f>IF(L13,MATCH(L12,'National Traffic Model'!$D$7:$L$7,0),K17)</f>
        <v>2</v>
      </c>
      <c r="M17" s="373">
        <f>IF(M13,MATCH(M12,'National Traffic Model'!$D$7:$L$7,0),L17)</f>
        <v>3</v>
      </c>
      <c r="N17" s="373">
        <f>IF(N13,MATCH(N12,'National Traffic Model'!$D$7:$L$7,0),M17)</f>
        <v>3</v>
      </c>
      <c r="O17" s="373">
        <f>IF(O13,MATCH(O12,'National Traffic Model'!$D$7:$L$7,0),N17)</f>
        <v>3</v>
      </c>
      <c r="P17" s="373">
        <f>IF(P13,MATCH(P12,'National Traffic Model'!$D$7:$L$7,0),O17)</f>
        <v>3</v>
      </c>
      <c r="Q17" s="373">
        <f>IF(Q13,MATCH(Q12,'National Traffic Model'!$D$7:$L$7,0),P17)</f>
        <v>3</v>
      </c>
      <c r="R17" s="373">
        <f>IF(R13,MATCH(R12,'National Traffic Model'!$D$7:$L$7,0),Q17)</f>
        <v>4</v>
      </c>
      <c r="S17" s="373">
        <f>IF(S13,MATCH(S12,'National Traffic Model'!$D$7:$L$7,0),R17)</f>
        <v>4</v>
      </c>
      <c r="T17" s="373">
        <f>IF(T13,MATCH(T12,'National Traffic Model'!$D$7:$L$7,0),S17)</f>
        <v>4</v>
      </c>
      <c r="U17" s="373">
        <f>IF(U13,MATCH(U12,'National Traffic Model'!$D$7:$L$7,0),T17)</f>
        <v>4</v>
      </c>
      <c r="V17" s="373">
        <f>IF(V13,MATCH(V12,'National Traffic Model'!$D$7:$L$7,0),U17)</f>
        <v>4</v>
      </c>
      <c r="W17" s="373">
        <f>IF(W13,MATCH(W12,'National Traffic Model'!$D$7:$L$7,0),V17)</f>
        <v>5</v>
      </c>
      <c r="X17" s="373">
        <f>IF(X13,MATCH(X12,'National Traffic Model'!$D$7:$L$7,0),W17)</f>
        <v>5</v>
      </c>
      <c r="Y17" s="373">
        <f>IF(Y13,MATCH(Y12,'National Traffic Model'!$D$7:$L$7,0),X17)</f>
        <v>5</v>
      </c>
      <c r="Z17" s="373">
        <f>IF(Z13,MATCH(Z12,'National Traffic Model'!$D$7:$L$7,0),Y17)</f>
        <v>5</v>
      </c>
      <c r="AA17" s="373">
        <f>IF(AA13,MATCH(AA12,'National Traffic Model'!$D$7:$L$7,0),Z17)</f>
        <v>5</v>
      </c>
      <c r="AB17" s="373">
        <f>IF(AB13,MATCH(AB12,'National Traffic Model'!$D$7:$L$7,0),AA17)</f>
        <v>6</v>
      </c>
      <c r="AC17" s="373">
        <f>IF(AC13,MATCH(AC12,'National Traffic Model'!$D$7:$L$7,0),AB17)</f>
        <v>6</v>
      </c>
      <c r="AD17" s="373">
        <f>IF(AD13,MATCH(AD12,'National Traffic Model'!$D$7:$L$7,0),AC17)</f>
        <v>6</v>
      </c>
      <c r="AE17" s="373">
        <f>IF(AE13,MATCH(AE12,'National Traffic Model'!$D$7:$L$7,0),AD17)</f>
        <v>6</v>
      </c>
      <c r="AF17" s="373">
        <f>IF(AF13,MATCH(AF12,'National Traffic Model'!$D$7:$L$7,0),AE17)</f>
        <v>6</v>
      </c>
      <c r="AG17" s="373">
        <f>IF(AG13,MATCH(AG12,'National Traffic Model'!$D$7:$L$7,0),AF17)</f>
        <v>7</v>
      </c>
      <c r="AH17" s="373">
        <f>IF(AH13,MATCH(AH12,'National Traffic Model'!$D$7:$L$7,0),AG17)</f>
        <v>7</v>
      </c>
      <c r="AI17" s="373">
        <f>IF(AI13,MATCH(AI12,'National Traffic Model'!$D$7:$L$7,0),AH17)</f>
        <v>7</v>
      </c>
      <c r="AJ17" s="373">
        <f>IF(AJ13,MATCH(AJ12,'National Traffic Model'!$D$7:$L$7,0),AI17)</f>
        <v>7</v>
      </c>
      <c r="AK17" s="373">
        <f>IF(AK13,MATCH(AK12,'National Traffic Model'!$D$7:$L$7,0),AJ17)</f>
        <v>7</v>
      </c>
      <c r="AL17" s="373">
        <f>IF(AL13,MATCH(AL12,'National Traffic Model'!$D$7:$L$7,0),AK17)</f>
        <v>8</v>
      </c>
      <c r="AM17" s="373">
        <f>IF(AM13,MATCH(AM12,'National Traffic Model'!$D$7:$L$7,0),AL17)</f>
        <v>8</v>
      </c>
      <c r="AN17" s="373">
        <f>IF(AN13,MATCH(AN12,'National Traffic Model'!$D$7:$L$7,0),AM17)</f>
        <v>8</v>
      </c>
      <c r="AO17" s="373">
        <f>IF(AO13,MATCH(AO12,'National Traffic Model'!$D$7:$L$7,0),AN17)</f>
        <v>8</v>
      </c>
      <c r="AP17" s="373">
        <f>IF(AP13,MATCH(AP12,'National Traffic Model'!$D$7:$L$7,0),AO17)</f>
        <v>8</v>
      </c>
      <c r="AQ17" s="373">
        <f>IF(AQ13,MATCH(AQ12,'National Traffic Model'!$D$7:$L$7,0),AP17)</f>
        <v>9</v>
      </c>
      <c r="AR17" s="373">
        <f>IF(AR13,MATCH(AR12,'National Traffic Model'!$D$7:$L$7,0),AQ17)</f>
        <v>9</v>
      </c>
      <c r="AS17" s="373">
        <f>IF(AS13,MATCH(AS12,'National Traffic Model'!$D$7:$L$7,0),AR17)</f>
        <v>9</v>
      </c>
      <c r="AT17" s="373">
        <f>IF(AT13,MATCH(AT12,'National Traffic Model'!$D$7:$L$7,0),AS17)</f>
        <v>9</v>
      </c>
      <c r="AU17" s="373">
        <f>IF(AU13,MATCH(AU12,'National Traffic Model'!$D$7:$L$7,0),AT17)</f>
        <v>9</v>
      </c>
      <c r="AV17" s="373">
        <f>IF(AV13,MATCH(AV12,'National Traffic Model'!$D$7:$L$7,0),AU17)</f>
        <v>9</v>
      </c>
      <c r="AW17" s="373">
        <f>IF(AW13,MATCH(AW12,'National Traffic Model'!$D$7:$L$7,0),AV17)</f>
        <v>9</v>
      </c>
      <c r="AX17" s="373">
        <f>IF(AX13,MATCH(AX12,'National Traffic Model'!$D$7:$L$7,0),AW17)</f>
        <v>9</v>
      </c>
      <c r="AY17" s="373">
        <f>IF(AY13,MATCH(AY12,'National Traffic Model'!$D$7:$L$7,0),AX17)</f>
        <v>9</v>
      </c>
      <c r="AZ17" s="373">
        <f>IF(AZ13,MATCH(AZ12,'National Traffic Model'!$D$7:$L$7,0),AY17)</f>
        <v>9</v>
      </c>
      <c r="BA17" s="373">
        <f>IF(BA13,MATCH(BA12,'National Traffic Model'!$D$7:$L$7,0),AZ17)</f>
        <v>9</v>
      </c>
      <c r="BB17" s="373">
        <f>IF(BB13,MATCH(BB12,'National Traffic Model'!$D$7:$L$7,0),BA17)</f>
        <v>9</v>
      </c>
      <c r="BC17" s="373">
        <f>IF(BC13,MATCH(BC12,'National Traffic Model'!$D$7:$L$7,0),BB17)</f>
        <v>9</v>
      </c>
      <c r="BD17" s="373">
        <f>IF(BD13,MATCH(BD12,'National Traffic Model'!$D$7:$L$7,0),BC17)</f>
        <v>9</v>
      </c>
      <c r="BE17" s="373">
        <f>IF(BE13,MATCH(BE12,'National Traffic Model'!$D$7:$L$7,0),BD17)</f>
        <v>9</v>
      </c>
      <c r="BF17" s="373">
        <f>IF(BF13,MATCH(BF12,'National Traffic Model'!$D$7:$L$7,0),BE17)</f>
        <v>9</v>
      </c>
      <c r="BG17" s="373">
        <f>IF(BG13,MATCH(BG12,'National Traffic Model'!$D$7:$L$7,0),BF17)</f>
        <v>9</v>
      </c>
      <c r="BH17" s="373">
        <f>IF(BH13,MATCH(BH12,'National Traffic Model'!$D$7:$L$7,0),BG17)</f>
        <v>9</v>
      </c>
      <c r="BI17" s="373">
        <f>IF(BI13,MATCH(BI12,'National Traffic Model'!$D$7:$L$7,0),BH17)</f>
        <v>9</v>
      </c>
      <c r="BJ17" s="373">
        <f>IF(BJ13,MATCH(BJ12,'National Traffic Model'!$D$7:$L$7,0),BI17)</f>
        <v>9</v>
      </c>
      <c r="BK17" s="373">
        <f>IF(BK13,MATCH(BK12,'National Traffic Model'!$D$7:$L$7,0),BJ17)</f>
        <v>9</v>
      </c>
      <c r="BL17" s="373">
        <f>IF(BL13,MATCH(BL12,'National Traffic Model'!$D$7:$L$7,0),BK17)</f>
        <v>9</v>
      </c>
      <c r="BM17" s="373">
        <f>IF(BM13,MATCH(BM12,'National Traffic Model'!$D$7:$L$7,0),BL17)</f>
        <v>9</v>
      </c>
      <c r="BN17" s="373">
        <f>IF(BN13,MATCH(BN12,'National Traffic Model'!$D$7:$L$7,0),BM17)</f>
        <v>9</v>
      </c>
      <c r="BO17" s="373">
        <f>IF(BO13,MATCH(BO12,'National Traffic Model'!$D$7:$L$7,0),BN17)</f>
        <v>9</v>
      </c>
      <c r="BP17" s="373">
        <f>IF(BP13,MATCH(BP12,'National Traffic Model'!$D$7:$L$7,0),BO17)</f>
        <v>9</v>
      </c>
      <c r="BQ17" s="373">
        <f>IF(BQ13,MATCH(BQ12,'National Traffic Model'!$D$7:$L$7,0),BP17)</f>
        <v>9</v>
      </c>
      <c r="BR17" s="373">
        <f>IF(BR13,MATCH(BR12,'National Traffic Model'!$D$7:$L$7,0),BQ17)</f>
        <v>9</v>
      </c>
      <c r="BS17" s="373">
        <f>IF(BS13,MATCH(BS12,'National Traffic Model'!$D$7:$L$7,0),BR17)</f>
        <v>9</v>
      </c>
      <c r="BT17" s="373">
        <f>IF(BT13,MATCH(BT12,'National Traffic Model'!$D$7:$L$7,0),BS17)</f>
        <v>9</v>
      </c>
      <c r="BU17" s="373">
        <f>IF(BU13,MATCH(BU12,'National Traffic Model'!$D$7:$L$7,0),BT17)</f>
        <v>9</v>
      </c>
      <c r="BV17" s="373">
        <f>IF(BV13,MATCH(BV12,'National Traffic Model'!$D$7:$L$7,0),BU17)</f>
        <v>9</v>
      </c>
      <c r="BW17" s="373">
        <f>IF(BW13,MATCH(BW12,'National Traffic Model'!$D$7:$L$7,0),BV17)</f>
        <v>9</v>
      </c>
      <c r="BX17" s="373">
        <f>IF(BX13,MATCH(BX12,'National Traffic Model'!$D$7:$L$7,0),BW17)</f>
        <v>9</v>
      </c>
      <c r="BY17" s="373">
        <f>IF(BY13,MATCH(BY12,'National Traffic Model'!$D$7:$L$7,0),BX17)</f>
        <v>9</v>
      </c>
      <c r="BZ17" s="373">
        <f>IF(BZ13,MATCH(BZ12,'National Traffic Model'!$D$7:$L$7,0),BY17)</f>
        <v>9</v>
      </c>
      <c r="CA17" s="373">
        <f>IF(CA13,MATCH(CA12,'National Traffic Model'!$D$7:$L$7,0),BZ17)</f>
        <v>9</v>
      </c>
      <c r="CB17" s="373">
        <f>IF(CB13,MATCH(CB12,'National Traffic Model'!$D$7:$L$7,0),CA17)</f>
        <v>9</v>
      </c>
      <c r="CC17" s="373">
        <f>IF(CC13,MATCH(CC12,'National Traffic Model'!$D$7:$L$7,0),CB17)</f>
        <v>9</v>
      </c>
      <c r="CD17" s="373">
        <f>IF(CD13,MATCH(CD12,'National Traffic Model'!$D$7:$L$7,0),CC17)</f>
        <v>9</v>
      </c>
    </row>
    <row r="18" spans="1:82">
      <c r="B18" s="372" t="s">
        <v>385</v>
      </c>
      <c r="C18" s="373">
        <f>IF(C13,MATCH(C12,'National Traffic Model'!$D$7:$L$7),D18)</f>
        <v>1</v>
      </c>
      <c r="D18" s="373">
        <f>IF(D13,MATCH(D12,'National Traffic Model'!$D$7:$L$7),E18)</f>
        <v>2</v>
      </c>
      <c r="E18" s="373">
        <f>IF(E13,MATCH(E12,'National Traffic Model'!$D$7:$L$7),F18)</f>
        <v>2</v>
      </c>
      <c r="F18" s="373">
        <f>IF(F13,MATCH(F12,'National Traffic Model'!$D$7:$L$7),G18)</f>
        <v>2</v>
      </c>
      <c r="G18" s="373">
        <f>IF(G13,MATCH(G12,'National Traffic Model'!$D$7:$L$7),H18)</f>
        <v>2</v>
      </c>
      <c r="H18" s="373">
        <f>IF(H13,MATCH(H12,'National Traffic Model'!$D$7:$L$7),I18)</f>
        <v>2</v>
      </c>
      <c r="I18" s="373">
        <f>IF(I13,MATCH(I12,'National Traffic Model'!$D$7:$L$7),J18)</f>
        <v>3</v>
      </c>
      <c r="J18" s="373">
        <f>IF(J13,MATCH(J12,'National Traffic Model'!$D$7:$L$7),K18)</f>
        <v>3</v>
      </c>
      <c r="K18" s="373">
        <f>IF(K13,MATCH(K12,'National Traffic Model'!$D$7:$L$7),L18)</f>
        <v>3</v>
      </c>
      <c r="L18" s="373">
        <f>IF(L13,MATCH(L12,'National Traffic Model'!$D$7:$L$7),M18)</f>
        <v>3</v>
      </c>
      <c r="M18" s="373">
        <f>IF(M13,MATCH(M12,'National Traffic Model'!$D$7:$L$7),N18)</f>
        <v>3</v>
      </c>
      <c r="N18" s="373">
        <f>IF(N13,MATCH(N12,'National Traffic Model'!$D$7:$L$7),O18)</f>
        <v>4</v>
      </c>
      <c r="O18" s="373">
        <f>IF(O13,MATCH(O12,'National Traffic Model'!$D$7:$L$7),P18)</f>
        <v>4</v>
      </c>
      <c r="P18" s="373">
        <f>IF(P13,MATCH(P12,'National Traffic Model'!$D$7:$L$7),Q18)</f>
        <v>4</v>
      </c>
      <c r="Q18" s="373">
        <f>IF(Q13,MATCH(Q12,'National Traffic Model'!$D$7:$L$7),R18)</f>
        <v>4</v>
      </c>
      <c r="R18" s="373">
        <f>IF(R13,MATCH(R12,'National Traffic Model'!$D$7:$L$7),S18)</f>
        <v>4</v>
      </c>
      <c r="S18" s="373">
        <f>IF(S13,MATCH(S12,'National Traffic Model'!$D$7:$L$7),T18)</f>
        <v>5</v>
      </c>
      <c r="T18" s="373">
        <f>IF(T13,MATCH(T12,'National Traffic Model'!$D$7:$L$7),U18)</f>
        <v>5</v>
      </c>
      <c r="U18" s="373">
        <f>IF(U13,MATCH(U12,'National Traffic Model'!$D$7:$L$7),V18)</f>
        <v>5</v>
      </c>
      <c r="V18" s="373">
        <f>IF(V13,MATCH(V12,'National Traffic Model'!$D$7:$L$7),W18)</f>
        <v>5</v>
      </c>
      <c r="W18" s="373">
        <f>IF(W13,MATCH(W12,'National Traffic Model'!$D$7:$L$7),X18)</f>
        <v>5</v>
      </c>
      <c r="X18" s="373">
        <f>IF(X13,MATCH(X12,'National Traffic Model'!$D$7:$L$7),Y18)</f>
        <v>6</v>
      </c>
      <c r="Y18" s="373">
        <f>IF(Y13,MATCH(Y12,'National Traffic Model'!$D$7:$L$7),Z18)</f>
        <v>6</v>
      </c>
      <c r="Z18" s="373">
        <f>IF(Z13,MATCH(Z12,'National Traffic Model'!$D$7:$L$7),AA18)</f>
        <v>6</v>
      </c>
      <c r="AA18" s="373">
        <f>IF(AA13,MATCH(AA12,'National Traffic Model'!$D$7:$L$7),AB18)</f>
        <v>6</v>
      </c>
      <c r="AB18" s="373">
        <f>IF(AB13,MATCH(AB12,'National Traffic Model'!$D$7:$L$7),AC18)</f>
        <v>6</v>
      </c>
      <c r="AC18" s="373">
        <f>IF(AC13,MATCH(AC12,'National Traffic Model'!$D$7:$L$7),AD18)</f>
        <v>7</v>
      </c>
      <c r="AD18" s="373">
        <f>IF(AD13,MATCH(AD12,'National Traffic Model'!$D$7:$L$7),AE18)</f>
        <v>7</v>
      </c>
      <c r="AE18" s="373">
        <f>IF(AE13,MATCH(AE12,'National Traffic Model'!$D$7:$L$7),AF18)</f>
        <v>7</v>
      </c>
      <c r="AF18" s="373">
        <f>IF(AF13,MATCH(AF12,'National Traffic Model'!$D$7:$L$7),AG18)</f>
        <v>7</v>
      </c>
      <c r="AG18" s="373">
        <f>IF(AG13,MATCH(AG12,'National Traffic Model'!$D$7:$L$7),AH18)</f>
        <v>7</v>
      </c>
      <c r="AH18" s="373">
        <f>IF(AH13,MATCH(AH12,'National Traffic Model'!$D$7:$L$7),AI18)</f>
        <v>8</v>
      </c>
      <c r="AI18" s="373">
        <f>IF(AI13,MATCH(AI12,'National Traffic Model'!$D$7:$L$7),AJ18)</f>
        <v>8</v>
      </c>
      <c r="AJ18" s="373">
        <f>IF(AJ13,MATCH(AJ12,'National Traffic Model'!$D$7:$L$7),AK18)</f>
        <v>8</v>
      </c>
      <c r="AK18" s="373">
        <f>IF(AK13,MATCH(AK12,'National Traffic Model'!$D$7:$L$7),AL18)</f>
        <v>8</v>
      </c>
      <c r="AL18" s="373">
        <f>IF(AL13,MATCH(AL12,'National Traffic Model'!$D$7:$L$7),AM18)</f>
        <v>8</v>
      </c>
      <c r="AM18" s="373">
        <f>IF(AM13,MATCH(AM12,'National Traffic Model'!$D$7:$L$7),AN18)</f>
        <v>9</v>
      </c>
      <c r="AN18" s="373">
        <f>IF(AN13,MATCH(AN12,'National Traffic Model'!$D$7:$L$7),AO18)</f>
        <v>9</v>
      </c>
      <c r="AO18" s="373">
        <f>IF(AO13,MATCH(AO12,'National Traffic Model'!$D$7:$L$7),AP18)</f>
        <v>9</v>
      </c>
      <c r="AP18" s="373">
        <f>IF(AP13,MATCH(AP12,'National Traffic Model'!$D$7:$L$7),AQ18)</f>
        <v>9</v>
      </c>
      <c r="AQ18" s="373">
        <f>IF(AQ13,MATCH(AQ12,'National Traffic Model'!$D$7:$L$7),AR18)</f>
        <v>9</v>
      </c>
      <c r="AR18" s="373">
        <f>IF(AR13,MATCH(AR12,'National Traffic Model'!$D$7:$L$7),AS18)</f>
        <v>0</v>
      </c>
      <c r="AS18" s="373">
        <f>IF(AS13,MATCH(AS12,'National Traffic Model'!$D$7:$L$7),AT18)</f>
        <v>0</v>
      </c>
      <c r="AT18" s="373">
        <f>IF(AT13,MATCH(AT12,'National Traffic Model'!$D$7:$L$7),AU18)</f>
        <v>0</v>
      </c>
      <c r="AU18" s="373">
        <f>IF(AU13,MATCH(AU12,'National Traffic Model'!$D$7:$L$7),AV18)</f>
        <v>0</v>
      </c>
      <c r="AV18" s="373">
        <f>IF(AV13,MATCH(AV12,'National Traffic Model'!$D$7:$L$7),AW18)</f>
        <v>0</v>
      </c>
      <c r="AW18" s="373">
        <f>IF(AW13,MATCH(AW12,'National Traffic Model'!$D$7:$L$7),AX18)</f>
        <v>0</v>
      </c>
      <c r="AX18" s="373">
        <f>IF(AX13,MATCH(AX12,'National Traffic Model'!$D$7:$L$7),AY18)</f>
        <v>0</v>
      </c>
      <c r="AY18" s="373">
        <f>IF(AY13,MATCH(AY12,'National Traffic Model'!$D$7:$L$7),AZ18)</f>
        <v>0</v>
      </c>
      <c r="AZ18" s="373">
        <f>IF(AZ13,MATCH(AZ12,'National Traffic Model'!$D$7:$L$7),BA18)</f>
        <v>0</v>
      </c>
      <c r="BA18" s="373">
        <f>IF(BA13,MATCH(BA12,'National Traffic Model'!$D$7:$L$7),BB18)</f>
        <v>0</v>
      </c>
      <c r="BB18" s="373">
        <f>IF(BB13,MATCH(BB12,'National Traffic Model'!$D$7:$L$7),BC18)</f>
        <v>0</v>
      </c>
      <c r="BC18" s="373">
        <f>IF(BC13,MATCH(BC12,'National Traffic Model'!$D$7:$L$7),BD18)</f>
        <v>0</v>
      </c>
      <c r="BD18" s="373">
        <f>IF(BD13,MATCH(BD12,'National Traffic Model'!$D$7:$L$7),BE18)</f>
        <v>0</v>
      </c>
      <c r="BE18" s="373">
        <f>IF(BE13,MATCH(BE12,'National Traffic Model'!$D$7:$L$7),BF18)</f>
        <v>0</v>
      </c>
      <c r="BF18" s="373">
        <f>IF(BF13,MATCH(BF12,'National Traffic Model'!$D$7:$L$7),BG18)</f>
        <v>0</v>
      </c>
      <c r="BG18" s="373">
        <f>IF(BG13,MATCH(BG12,'National Traffic Model'!$D$7:$L$7),BH18)</f>
        <v>0</v>
      </c>
      <c r="BH18" s="373">
        <f>IF(BH13,MATCH(BH12,'National Traffic Model'!$D$7:$L$7),BI18)</f>
        <v>0</v>
      </c>
      <c r="BI18" s="373">
        <f>IF(BI13,MATCH(BI12,'National Traffic Model'!$D$7:$L$7),BJ18)</f>
        <v>0</v>
      </c>
      <c r="BJ18" s="373">
        <f>IF(BJ13,MATCH(BJ12,'National Traffic Model'!$D$7:$L$7),BK18)</f>
        <v>0</v>
      </c>
      <c r="BK18" s="373">
        <f>IF(BK13,MATCH(BK12,'National Traffic Model'!$D$7:$L$7),BL18)</f>
        <v>0</v>
      </c>
      <c r="BL18" s="373">
        <f>IF(BL13,MATCH(BL12,'National Traffic Model'!$D$7:$L$7),BM18)</f>
        <v>0</v>
      </c>
      <c r="BM18" s="373">
        <f>IF(BM13,MATCH(BM12,'National Traffic Model'!$D$7:$L$7),BN18)</f>
        <v>0</v>
      </c>
      <c r="BN18" s="373">
        <f>IF(BN13,MATCH(BN12,'National Traffic Model'!$D$7:$L$7),BO18)</f>
        <v>0</v>
      </c>
      <c r="BO18" s="373">
        <f>IF(BO13,MATCH(BO12,'National Traffic Model'!$D$7:$L$7),BP18)</f>
        <v>0</v>
      </c>
      <c r="BP18" s="373">
        <f>IF(BP13,MATCH(BP12,'National Traffic Model'!$D$7:$L$7),BQ18)</f>
        <v>0</v>
      </c>
      <c r="BQ18" s="373">
        <f>IF(BQ13,MATCH(BQ12,'National Traffic Model'!$D$7:$L$7),BR18)</f>
        <v>0</v>
      </c>
      <c r="BR18" s="373">
        <f>IF(BR13,MATCH(BR12,'National Traffic Model'!$D$7:$L$7),BS18)</f>
        <v>0</v>
      </c>
      <c r="BS18" s="373">
        <f>IF(BS13,MATCH(BS12,'National Traffic Model'!$D$7:$L$7),BT18)</f>
        <v>0</v>
      </c>
      <c r="BT18" s="373">
        <f>IF(BT13,MATCH(BT12,'National Traffic Model'!$D$7:$L$7),BU18)</f>
        <v>0</v>
      </c>
      <c r="BU18" s="373">
        <f>IF(BU13,MATCH(BU12,'National Traffic Model'!$D$7:$L$7),BV18)</f>
        <v>0</v>
      </c>
      <c r="BV18" s="373">
        <f>IF(BV13,MATCH(BV12,'National Traffic Model'!$D$7:$L$7),BW18)</f>
        <v>0</v>
      </c>
      <c r="BW18" s="373">
        <f>IF(BW13,MATCH(BW12,'National Traffic Model'!$D$7:$L$7),BX18)</f>
        <v>0</v>
      </c>
      <c r="BX18" s="373">
        <f>IF(BX13,MATCH(BX12,'National Traffic Model'!$D$7:$L$7),BY18)</f>
        <v>0</v>
      </c>
      <c r="BY18" s="373">
        <f>IF(BY13,MATCH(BY12,'National Traffic Model'!$D$7:$L$7),BZ18)</f>
        <v>0</v>
      </c>
      <c r="BZ18" s="373">
        <f>IF(BZ13,MATCH(BZ12,'National Traffic Model'!$D$7:$L$7),CA18)</f>
        <v>0</v>
      </c>
      <c r="CA18" s="373">
        <f>IF(CA13,MATCH(CA12,'National Traffic Model'!$D$7:$L$7),CB18)</f>
        <v>0</v>
      </c>
      <c r="CB18" s="373">
        <f>IF(CB13,MATCH(CB12,'National Traffic Model'!$D$7:$L$7),CC18)</f>
        <v>0</v>
      </c>
      <c r="CC18" s="373">
        <f>IF(CC13,MATCH(CC12,'National Traffic Model'!$D$7:$L$7),CD18)</f>
        <v>0</v>
      </c>
      <c r="CD18" s="373">
        <f>IF(CD13,MATCH(CD12,'National Traffic Model'!$D$7:$L$7),CE18)</f>
        <v>0</v>
      </c>
    </row>
    <row r="19" spans="1:82">
      <c r="B19" s="372" t="s">
        <v>386</v>
      </c>
      <c r="C19" s="1052">
        <v>0</v>
      </c>
      <c r="D19" s="1052">
        <v>0</v>
      </c>
      <c r="E19" s="1052">
        <v>0</v>
      </c>
      <c r="F19" s="1052">
        <v>0</v>
      </c>
      <c r="G19" s="1052">
        <v>0</v>
      </c>
      <c r="H19" s="373">
        <f>IF(H$14,INDEX(NTM_car,H$17),IF(H$13,INDEX(NTM_car,H$18),INDEX(NTM_car,H$17)+(((H$12-H$15)/(H$16-H$15))*((INDEX(NTM_car,H$18) -INDEX(NTM_car,H$17))))))</f>
        <v>1</v>
      </c>
      <c r="I19" s="373">
        <f t="shared" ref="I19:AH19" si="4">IF(I$14,INDEX(NTM_car,I$17),IF(I$13,INDEX(NTM_car,I$18),INDEX(NTM_car,I$17)+(((I$12-I$15)/(I$16-I$15))*((INDEX(NTM_car,I$18) -INDEX(NTM_car,I$17))))))</f>
        <v>1.0140971250525077</v>
      </c>
      <c r="J19" s="373">
        <f t="shared" si="4"/>
        <v>1.0281942501050154</v>
      </c>
      <c r="K19" s="373">
        <f t="shared" si="4"/>
        <v>1.0422913751575231</v>
      </c>
      <c r="L19" s="373">
        <f t="shared" si="4"/>
        <v>1.0563885002100308</v>
      </c>
      <c r="M19" s="373">
        <f t="shared" si="4"/>
        <v>1.0704856252625385</v>
      </c>
      <c r="N19" s="373">
        <f t="shared" si="4"/>
        <v>1.0810293969833762</v>
      </c>
      <c r="O19" s="373">
        <f t="shared" si="4"/>
        <v>1.0915731687042141</v>
      </c>
      <c r="P19" s="373">
        <f t="shared" si="4"/>
        <v>1.1021169404250517</v>
      </c>
      <c r="Q19" s="373">
        <f t="shared" si="4"/>
        <v>1.1126607121458896</v>
      </c>
      <c r="R19" s="373">
        <f t="shared" si="4"/>
        <v>1.1232044838667272</v>
      </c>
      <c r="S19" s="373">
        <f t="shared" si="4"/>
        <v>1.132733553091805</v>
      </c>
      <c r="T19" s="373">
        <f t="shared" si="4"/>
        <v>1.142262622316883</v>
      </c>
      <c r="U19" s="373">
        <f t="shared" si="4"/>
        <v>1.1517916915419608</v>
      </c>
      <c r="V19" s="373">
        <f t="shared" si="4"/>
        <v>1.1613207607670388</v>
      </c>
      <c r="W19" s="373">
        <f t="shared" si="4"/>
        <v>1.1708498299921166</v>
      </c>
      <c r="X19" s="373">
        <f t="shared" si="4"/>
        <v>1.1810031488459005</v>
      </c>
      <c r="Y19" s="373">
        <f t="shared" si="4"/>
        <v>1.1911564676996842</v>
      </c>
      <c r="Z19" s="373">
        <f t="shared" si="4"/>
        <v>1.2013097865534681</v>
      </c>
      <c r="AA19" s="373">
        <f t="shared" si="4"/>
        <v>1.2114631054072518</v>
      </c>
      <c r="AB19" s="373">
        <f t="shared" si="4"/>
        <v>1.2216164242610357</v>
      </c>
      <c r="AC19" s="373">
        <f t="shared" si="4"/>
        <v>1.2305350726406854</v>
      </c>
      <c r="AD19" s="373">
        <f t="shared" si="4"/>
        <v>1.2394537210203354</v>
      </c>
      <c r="AE19" s="373">
        <f t="shared" si="4"/>
        <v>1.2483723693999851</v>
      </c>
      <c r="AF19" s="373">
        <f t="shared" si="4"/>
        <v>1.257291017779635</v>
      </c>
      <c r="AG19" s="373">
        <f t="shared" si="4"/>
        <v>1.2662096661592848</v>
      </c>
      <c r="AH19" s="373">
        <f t="shared" si="4"/>
        <v>1.2741958226974155</v>
      </c>
      <c r="AI19" s="373">
        <f t="shared" ref="AI19:BN19" si="5">IF(AI$14,INDEX(NTM_car,AI$17),IF(AI$13,INDEX(NTM_car,AI$18),INDEX(NTM_car,AI$17)+(((AI$12-AI$15)/(AI$16-AI$15))*((INDEX(NTM_car,AI$18) -INDEX(NTM_car,AI$17))))))</f>
        <v>1.2821819792355464</v>
      </c>
      <c r="AJ19" s="373">
        <f t="shared" si="5"/>
        <v>1.2901681357736772</v>
      </c>
      <c r="AK19" s="373">
        <f t="shared" si="5"/>
        <v>1.2981542923118081</v>
      </c>
      <c r="AL19" s="373">
        <f t="shared" si="5"/>
        <v>1.3061404488499389</v>
      </c>
      <c r="AM19" s="373">
        <f t="shared" si="5"/>
        <v>1.3133732487889946</v>
      </c>
      <c r="AN19" s="373">
        <f t="shared" si="5"/>
        <v>1.3206060487280507</v>
      </c>
      <c r="AO19" s="373">
        <f t="shared" si="5"/>
        <v>1.3278388486671064</v>
      </c>
      <c r="AP19" s="373">
        <f t="shared" si="5"/>
        <v>1.3350716486061625</v>
      </c>
      <c r="AQ19" s="373">
        <f t="shared" si="5"/>
        <v>1.3423044485452182</v>
      </c>
      <c r="AR19" s="373">
        <f t="shared" si="5"/>
        <v>1.3423044485452182</v>
      </c>
      <c r="AS19" s="373">
        <f t="shared" si="5"/>
        <v>1.3423044485452182</v>
      </c>
      <c r="AT19" s="373">
        <f t="shared" si="5"/>
        <v>1.3423044485452182</v>
      </c>
      <c r="AU19" s="373">
        <f t="shared" si="5"/>
        <v>1.3423044485452182</v>
      </c>
      <c r="AV19" s="373">
        <f t="shared" si="5"/>
        <v>1.3423044485452182</v>
      </c>
      <c r="AW19" s="373">
        <f t="shared" si="5"/>
        <v>1.3423044485452182</v>
      </c>
      <c r="AX19" s="373">
        <f t="shared" si="5"/>
        <v>1.3423044485452182</v>
      </c>
      <c r="AY19" s="373">
        <f t="shared" si="5"/>
        <v>1.3423044485452182</v>
      </c>
      <c r="AZ19" s="373">
        <f t="shared" si="5"/>
        <v>1.3423044485452182</v>
      </c>
      <c r="BA19" s="373">
        <f t="shared" si="5"/>
        <v>1.3423044485452182</v>
      </c>
      <c r="BB19" s="373">
        <f t="shared" si="5"/>
        <v>1.3423044485452182</v>
      </c>
      <c r="BC19" s="373">
        <f t="shared" si="5"/>
        <v>1.3423044485452182</v>
      </c>
      <c r="BD19" s="373">
        <f t="shared" si="5"/>
        <v>1.3423044485452182</v>
      </c>
      <c r="BE19" s="373">
        <f t="shared" si="5"/>
        <v>1.3423044485452182</v>
      </c>
      <c r="BF19" s="373">
        <f t="shared" si="5"/>
        <v>1.3423044485452182</v>
      </c>
      <c r="BG19" s="373">
        <f t="shared" si="5"/>
        <v>1.3423044485452182</v>
      </c>
      <c r="BH19" s="373">
        <f t="shared" si="5"/>
        <v>1.3423044485452182</v>
      </c>
      <c r="BI19" s="373">
        <f t="shared" si="5"/>
        <v>1.3423044485452182</v>
      </c>
      <c r="BJ19" s="373">
        <f t="shared" si="5"/>
        <v>1.3423044485452182</v>
      </c>
      <c r="BK19" s="373">
        <f t="shared" si="5"/>
        <v>1.3423044485452182</v>
      </c>
      <c r="BL19" s="373">
        <f t="shared" si="5"/>
        <v>1.3423044485452182</v>
      </c>
      <c r="BM19" s="373">
        <f t="shared" si="5"/>
        <v>1.3423044485452182</v>
      </c>
      <c r="BN19" s="373">
        <f t="shared" si="5"/>
        <v>1.3423044485452182</v>
      </c>
      <c r="BO19" s="373">
        <f t="shared" ref="BO19:CD19" si="6">IF(BO$14,INDEX(NTM_car,BO$17),IF(BO$13,INDEX(NTM_car,BO$18),INDEX(NTM_car,BO$17)+(((BO$12-BO$15)/(BO$16-BO$15))*((INDEX(NTM_car,BO$18) -INDEX(NTM_car,BO$17))))))</f>
        <v>1.3423044485452182</v>
      </c>
      <c r="BP19" s="373">
        <f t="shared" si="6"/>
        <v>1.3423044485452182</v>
      </c>
      <c r="BQ19" s="373">
        <f t="shared" si="6"/>
        <v>1.3423044485452182</v>
      </c>
      <c r="BR19" s="373">
        <f t="shared" si="6"/>
        <v>1.3423044485452182</v>
      </c>
      <c r="BS19" s="373">
        <f t="shared" si="6"/>
        <v>1.3423044485452182</v>
      </c>
      <c r="BT19" s="373">
        <f t="shared" si="6"/>
        <v>1.3423044485452182</v>
      </c>
      <c r="BU19" s="373">
        <f t="shared" si="6"/>
        <v>1.3423044485452182</v>
      </c>
      <c r="BV19" s="373">
        <f t="shared" si="6"/>
        <v>1.3423044485452182</v>
      </c>
      <c r="BW19" s="373">
        <f t="shared" si="6"/>
        <v>1.3423044485452182</v>
      </c>
      <c r="BX19" s="373">
        <f t="shared" si="6"/>
        <v>1.3423044485452182</v>
      </c>
      <c r="BY19" s="373">
        <f t="shared" si="6"/>
        <v>1.3423044485452182</v>
      </c>
      <c r="BZ19" s="373">
        <f t="shared" si="6"/>
        <v>1.3423044485452182</v>
      </c>
      <c r="CA19" s="373">
        <f t="shared" si="6"/>
        <v>1.3423044485452182</v>
      </c>
      <c r="CB19" s="373">
        <f t="shared" si="6"/>
        <v>1.3423044485452182</v>
      </c>
      <c r="CC19" s="373">
        <f t="shared" si="6"/>
        <v>1.3423044485452182</v>
      </c>
      <c r="CD19" s="373">
        <f t="shared" si="6"/>
        <v>1.3423044485452182</v>
      </c>
    </row>
    <row r="20" spans="1:82">
      <c r="B20" s="372" t="s">
        <v>387</v>
      </c>
      <c r="C20" s="1052">
        <v>0</v>
      </c>
      <c r="D20" s="1052">
        <v>0</v>
      </c>
      <c r="E20" s="1052">
        <v>0</v>
      </c>
      <c r="F20" s="1052">
        <v>0</v>
      </c>
      <c r="G20" s="1052">
        <v>0</v>
      </c>
      <c r="H20" s="373">
        <f>IF(H$14,INDEX(NTM_LGV,H$17),IF(H$13,INDEX(NTM_LGV,H$18),INDEX(NTM_LGV,H$17)+(((H$12-H$15)/(H$16-H$15))*((INDEX(NTM_LGV,H$18) -INDEX(NTM_LGV,H$17))))))</f>
        <v>1</v>
      </c>
      <c r="I20" s="373">
        <f t="shared" ref="I20:AH20" si="7">IF(I$14,INDEX(NTM_LGV,I$17),IF(I$13,INDEX(NTM_LGV,I$18),INDEX(NTM_LGV,I$17)+(((I$12-I$15)/(I$16-I$15))*((INDEX(NTM_LGV,I$18) -INDEX(NTM_LGV,I$17))))))</f>
        <v>1.02026202808349</v>
      </c>
      <c r="J20" s="373">
        <f t="shared" si="7"/>
        <v>1.0405240561669797</v>
      </c>
      <c r="K20" s="373">
        <f t="shared" si="7"/>
        <v>1.0607860842504697</v>
      </c>
      <c r="L20" s="373">
        <f t="shared" si="7"/>
        <v>1.0810481123339595</v>
      </c>
      <c r="M20" s="373">
        <f t="shared" si="7"/>
        <v>1.1013101404174495</v>
      </c>
      <c r="N20" s="373">
        <f t="shared" si="7"/>
        <v>1.1129616950298442</v>
      </c>
      <c r="O20" s="373">
        <f t="shared" si="7"/>
        <v>1.124613249642239</v>
      </c>
      <c r="P20" s="373">
        <f t="shared" si="7"/>
        <v>1.1362648042546337</v>
      </c>
      <c r="Q20" s="373">
        <f t="shared" si="7"/>
        <v>1.1479163588670285</v>
      </c>
      <c r="R20" s="373">
        <f t="shared" si="7"/>
        <v>1.1595679134794232</v>
      </c>
      <c r="S20" s="373">
        <f t="shared" si="7"/>
        <v>1.1722260759678669</v>
      </c>
      <c r="T20" s="373">
        <f t="shared" si="7"/>
        <v>1.1848842384563103</v>
      </c>
      <c r="U20" s="373">
        <f t="shared" si="7"/>
        <v>1.1975424009447539</v>
      </c>
      <c r="V20" s="373">
        <f t="shared" si="7"/>
        <v>1.2102005634331974</v>
      </c>
      <c r="W20" s="373">
        <f t="shared" si="7"/>
        <v>1.222858725921641</v>
      </c>
      <c r="X20" s="373">
        <f t="shared" si="7"/>
        <v>1.2399492093559386</v>
      </c>
      <c r="Y20" s="373">
        <f t="shared" si="7"/>
        <v>1.2570396927902363</v>
      </c>
      <c r="Z20" s="373">
        <f t="shared" si="7"/>
        <v>1.2741301762245338</v>
      </c>
      <c r="AA20" s="373">
        <f t="shared" si="7"/>
        <v>1.2912206596588316</v>
      </c>
      <c r="AB20" s="373">
        <f t="shared" si="7"/>
        <v>1.3083111430931291</v>
      </c>
      <c r="AC20" s="373">
        <f t="shared" si="7"/>
        <v>1.3252927188613675</v>
      </c>
      <c r="AD20" s="373">
        <f t="shared" si="7"/>
        <v>1.3422742946296056</v>
      </c>
      <c r="AE20" s="373">
        <f t="shared" si="7"/>
        <v>1.3592558703978439</v>
      </c>
      <c r="AF20" s="373">
        <f t="shared" si="7"/>
        <v>1.376237446166082</v>
      </c>
      <c r="AG20" s="373">
        <f t="shared" si="7"/>
        <v>1.3932190219343203</v>
      </c>
      <c r="AH20" s="373">
        <f t="shared" si="7"/>
        <v>1.4074345499663965</v>
      </c>
      <c r="AI20" s="373">
        <f t="shared" ref="AI20:BN20" si="8">IF(AI$14,INDEX(NTM_LGV,AI$17),IF(AI$13,INDEX(NTM_LGV,AI$18),INDEX(NTM_LGV,AI$17)+(((AI$12-AI$15)/(AI$16-AI$15))*((INDEX(NTM_LGV,AI$18) -INDEX(NTM_LGV,AI$17))))))</f>
        <v>1.4216500779984726</v>
      </c>
      <c r="AJ20" s="373">
        <f t="shared" si="8"/>
        <v>1.4358656060305486</v>
      </c>
      <c r="AK20" s="373">
        <f t="shared" si="8"/>
        <v>1.4500811340626247</v>
      </c>
      <c r="AL20" s="373">
        <f t="shared" si="8"/>
        <v>1.4642966620947009</v>
      </c>
      <c r="AM20" s="373">
        <f t="shared" si="8"/>
        <v>1.4755465973384947</v>
      </c>
      <c r="AN20" s="373">
        <f t="shared" si="8"/>
        <v>1.4867965325822883</v>
      </c>
      <c r="AO20" s="373">
        <f t="shared" si="8"/>
        <v>1.4980464678260821</v>
      </c>
      <c r="AP20" s="373">
        <f t="shared" si="8"/>
        <v>1.5092964030698757</v>
      </c>
      <c r="AQ20" s="373">
        <f t="shared" si="8"/>
        <v>1.5205463383136695</v>
      </c>
      <c r="AR20" s="373">
        <f t="shared" si="8"/>
        <v>1.5205463383136695</v>
      </c>
      <c r="AS20" s="373">
        <f t="shared" si="8"/>
        <v>1.5205463383136695</v>
      </c>
      <c r="AT20" s="373">
        <f t="shared" si="8"/>
        <v>1.5205463383136695</v>
      </c>
      <c r="AU20" s="373">
        <f t="shared" si="8"/>
        <v>1.5205463383136695</v>
      </c>
      <c r="AV20" s="373">
        <f t="shared" si="8"/>
        <v>1.5205463383136695</v>
      </c>
      <c r="AW20" s="373">
        <f t="shared" si="8"/>
        <v>1.5205463383136695</v>
      </c>
      <c r="AX20" s="373">
        <f t="shared" si="8"/>
        <v>1.5205463383136695</v>
      </c>
      <c r="AY20" s="373">
        <f t="shared" si="8"/>
        <v>1.5205463383136695</v>
      </c>
      <c r="AZ20" s="373">
        <f t="shared" si="8"/>
        <v>1.5205463383136695</v>
      </c>
      <c r="BA20" s="373">
        <f t="shared" si="8"/>
        <v>1.5205463383136695</v>
      </c>
      <c r="BB20" s="373">
        <f t="shared" si="8"/>
        <v>1.5205463383136695</v>
      </c>
      <c r="BC20" s="373">
        <f t="shared" si="8"/>
        <v>1.5205463383136695</v>
      </c>
      <c r="BD20" s="373">
        <f t="shared" si="8"/>
        <v>1.5205463383136695</v>
      </c>
      <c r="BE20" s="373">
        <f t="shared" si="8"/>
        <v>1.5205463383136695</v>
      </c>
      <c r="BF20" s="373">
        <f t="shared" si="8"/>
        <v>1.5205463383136695</v>
      </c>
      <c r="BG20" s="373">
        <f t="shared" si="8"/>
        <v>1.5205463383136695</v>
      </c>
      <c r="BH20" s="373">
        <f t="shared" si="8"/>
        <v>1.5205463383136695</v>
      </c>
      <c r="BI20" s="373">
        <f t="shared" si="8"/>
        <v>1.5205463383136695</v>
      </c>
      <c r="BJ20" s="373">
        <f t="shared" si="8"/>
        <v>1.5205463383136695</v>
      </c>
      <c r="BK20" s="373">
        <f t="shared" si="8"/>
        <v>1.5205463383136695</v>
      </c>
      <c r="BL20" s="373">
        <f t="shared" si="8"/>
        <v>1.5205463383136695</v>
      </c>
      <c r="BM20" s="373">
        <f t="shared" si="8"/>
        <v>1.5205463383136695</v>
      </c>
      <c r="BN20" s="373">
        <f t="shared" si="8"/>
        <v>1.5205463383136695</v>
      </c>
      <c r="BO20" s="373">
        <f t="shared" ref="BO20:CD20" si="9">IF(BO$14,INDEX(NTM_LGV,BO$17),IF(BO$13,INDEX(NTM_LGV,BO$18),INDEX(NTM_LGV,BO$17)+(((BO$12-BO$15)/(BO$16-BO$15))*((INDEX(NTM_LGV,BO$18) -INDEX(NTM_LGV,BO$17))))))</f>
        <v>1.5205463383136695</v>
      </c>
      <c r="BP20" s="373">
        <f t="shared" si="9"/>
        <v>1.5205463383136695</v>
      </c>
      <c r="BQ20" s="373">
        <f t="shared" si="9"/>
        <v>1.5205463383136695</v>
      </c>
      <c r="BR20" s="373">
        <f t="shared" si="9"/>
        <v>1.5205463383136695</v>
      </c>
      <c r="BS20" s="373">
        <f t="shared" si="9"/>
        <v>1.5205463383136695</v>
      </c>
      <c r="BT20" s="373">
        <f t="shared" si="9"/>
        <v>1.5205463383136695</v>
      </c>
      <c r="BU20" s="373">
        <f t="shared" si="9"/>
        <v>1.5205463383136695</v>
      </c>
      <c r="BV20" s="373">
        <f t="shared" si="9"/>
        <v>1.5205463383136695</v>
      </c>
      <c r="BW20" s="373">
        <f t="shared" si="9"/>
        <v>1.5205463383136695</v>
      </c>
      <c r="BX20" s="373">
        <f t="shared" si="9"/>
        <v>1.5205463383136695</v>
      </c>
      <c r="BY20" s="373">
        <f t="shared" si="9"/>
        <v>1.5205463383136695</v>
      </c>
      <c r="BZ20" s="373">
        <f t="shared" si="9"/>
        <v>1.5205463383136695</v>
      </c>
      <c r="CA20" s="373">
        <f t="shared" si="9"/>
        <v>1.5205463383136695</v>
      </c>
      <c r="CB20" s="373">
        <f t="shared" si="9"/>
        <v>1.5205463383136695</v>
      </c>
      <c r="CC20" s="373">
        <f t="shared" si="9"/>
        <v>1.5205463383136695</v>
      </c>
      <c r="CD20" s="373">
        <f t="shared" si="9"/>
        <v>1.5205463383136695</v>
      </c>
    </row>
    <row r="21" spans="1:82">
      <c r="B21" s="372" t="s">
        <v>388</v>
      </c>
      <c r="C21" s="1052">
        <v>0</v>
      </c>
      <c r="D21" s="1052">
        <v>0</v>
      </c>
      <c r="E21" s="1052">
        <v>0</v>
      </c>
      <c r="F21" s="1052">
        <v>0</v>
      </c>
      <c r="G21" s="1052">
        <v>0</v>
      </c>
      <c r="H21" s="373">
        <f t="shared" ref="H21:AH21" si="10">IF(H$14,INDEX(NTM_HGV,H$17),IF(H$13,INDEX(NTM_HGV,H$18),INDEX(NTM_HGV,H$17)+(((H$12-H$15)/(H$16-H$15))*((INDEX(NTM_HGV,H$18) -INDEX(NTM_HGV,H$17))))))</f>
        <v>1</v>
      </c>
      <c r="I21" s="373">
        <f t="shared" si="10"/>
        <v>0.99976915081774431</v>
      </c>
      <c r="J21" s="373">
        <f t="shared" si="10"/>
        <v>0.99953830163548874</v>
      </c>
      <c r="K21" s="373">
        <f t="shared" si="10"/>
        <v>0.99930745245323305</v>
      </c>
      <c r="L21" s="373">
        <f t="shared" si="10"/>
        <v>0.99907660327097747</v>
      </c>
      <c r="M21" s="373">
        <f t="shared" si="10"/>
        <v>0.99884575408872178</v>
      </c>
      <c r="N21" s="373">
        <f t="shared" si="10"/>
        <v>0.99941298987811866</v>
      </c>
      <c r="O21" s="373">
        <f t="shared" si="10"/>
        <v>0.99998022566751554</v>
      </c>
      <c r="P21" s="373">
        <f t="shared" si="10"/>
        <v>1.0005474614569125</v>
      </c>
      <c r="Q21" s="373">
        <f t="shared" si="10"/>
        <v>1.0011146972463094</v>
      </c>
      <c r="R21" s="373">
        <f t="shared" si="10"/>
        <v>1.0016819330357063</v>
      </c>
      <c r="S21" s="373">
        <f t="shared" si="10"/>
        <v>1.0036239330191554</v>
      </c>
      <c r="T21" s="373">
        <f t="shared" si="10"/>
        <v>1.0055659330026046</v>
      </c>
      <c r="U21" s="373">
        <f t="shared" si="10"/>
        <v>1.0075079329860535</v>
      </c>
      <c r="V21" s="373">
        <f t="shared" si="10"/>
        <v>1.0094499329695026</v>
      </c>
      <c r="W21" s="373">
        <f t="shared" si="10"/>
        <v>1.0113919329529517</v>
      </c>
      <c r="X21" s="373">
        <f t="shared" si="10"/>
        <v>1.0150423346491002</v>
      </c>
      <c r="Y21" s="373">
        <f t="shared" si="10"/>
        <v>1.0186927363452487</v>
      </c>
      <c r="Z21" s="373">
        <f t="shared" si="10"/>
        <v>1.0223431380413974</v>
      </c>
      <c r="AA21" s="373">
        <f t="shared" si="10"/>
        <v>1.0259935397375459</v>
      </c>
      <c r="AB21" s="373">
        <f t="shared" si="10"/>
        <v>1.0296439414336944</v>
      </c>
      <c r="AC21" s="373">
        <f t="shared" si="10"/>
        <v>1.0337027861944825</v>
      </c>
      <c r="AD21" s="373">
        <f t="shared" si="10"/>
        <v>1.0377616309552706</v>
      </c>
      <c r="AE21" s="373">
        <f t="shared" si="10"/>
        <v>1.041820475716059</v>
      </c>
      <c r="AF21" s="373">
        <f t="shared" si="10"/>
        <v>1.0458793204768471</v>
      </c>
      <c r="AG21" s="373">
        <f t="shared" si="10"/>
        <v>1.0499381652376352</v>
      </c>
      <c r="AH21" s="373">
        <f t="shared" si="10"/>
        <v>1.0538676520153605</v>
      </c>
      <c r="AI21" s="373">
        <f t="shared" ref="AI21:BN21" si="11">IF(AI$14,INDEX(NTM_HGV,AI$17),IF(AI$13,INDEX(NTM_HGV,AI$18),INDEX(NTM_HGV,AI$17)+(((AI$12-AI$15)/(AI$16-AI$15))*((INDEX(NTM_HGV,AI$18) -INDEX(NTM_HGV,AI$17))))))</f>
        <v>1.0577971387930858</v>
      </c>
      <c r="AJ21" s="373">
        <f t="shared" si="11"/>
        <v>1.0617266255708113</v>
      </c>
      <c r="AK21" s="373">
        <f t="shared" si="11"/>
        <v>1.0656561123485366</v>
      </c>
      <c r="AL21" s="373">
        <f t="shared" si="11"/>
        <v>1.0695855991262619</v>
      </c>
      <c r="AM21" s="373">
        <f t="shared" si="11"/>
        <v>1.073339266372316</v>
      </c>
      <c r="AN21" s="373">
        <f t="shared" si="11"/>
        <v>1.0770929336183701</v>
      </c>
      <c r="AO21" s="373">
        <f t="shared" si="11"/>
        <v>1.0808466008644244</v>
      </c>
      <c r="AP21" s="373">
        <f t="shared" si="11"/>
        <v>1.0846002681104785</v>
      </c>
      <c r="AQ21" s="373">
        <f t="shared" si="11"/>
        <v>1.0883539353565326</v>
      </c>
      <c r="AR21" s="373">
        <f t="shared" si="11"/>
        <v>1.0883539353565326</v>
      </c>
      <c r="AS21" s="373">
        <f t="shared" si="11"/>
        <v>1.0883539353565326</v>
      </c>
      <c r="AT21" s="373">
        <f t="shared" si="11"/>
        <v>1.0883539353565326</v>
      </c>
      <c r="AU21" s="373">
        <f t="shared" si="11"/>
        <v>1.0883539353565326</v>
      </c>
      <c r="AV21" s="373">
        <f t="shared" si="11"/>
        <v>1.0883539353565326</v>
      </c>
      <c r="AW21" s="373">
        <f t="shared" si="11"/>
        <v>1.0883539353565326</v>
      </c>
      <c r="AX21" s="373">
        <f t="shared" si="11"/>
        <v>1.0883539353565326</v>
      </c>
      <c r="AY21" s="373">
        <f t="shared" si="11"/>
        <v>1.0883539353565326</v>
      </c>
      <c r="AZ21" s="373">
        <f t="shared" si="11"/>
        <v>1.0883539353565326</v>
      </c>
      <c r="BA21" s="373">
        <f t="shared" si="11"/>
        <v>1.0883539353565326</v>
      </c>
      <c r="BB21" s="373">
        <f t="shared" si="11"/>
        <v>1.0883539353565326</v>
      </c>
      <c r="BC21" s="373">
        <f t="shared" si="11"/>
        <v>1.0883539353565326</v>
      </c>
      <c r="BD21" s="373">
        <f t="shared" si="11"/>
        <v>1.0883539353565326</v>
      </c>
      <c r="BE21" s="373">
        <f t="shared" si="11"/>
        <v>1.0883539353565326</v>
      </c>
      <c r="BF21" s="373">
        <f t="shared" si="11"/>
        <v>1.0883539353565326</v>
      </c>
      <c r="BG21" s="373">
        <f t="shared" si="11"/>
        <v>1.0883539353565326</v>
      </c>
      <c r="BH21" s="373">
        <f t="shared" si="11"/>
        <v>1.0883539353565326</v>
      </c>
      <c r="BI21" s="373">
        <f t="shared" si="11"/>
        <v>1.0883539353565326</v>
      </c>
      <c r="BJ21" s="373">
        <f t="shared" si="11"/>
        <v>1.0883539353565326</v>
      </c>
      <c r="BK21" s="373">
        <f t="shared" si="11"/>
        <v>1.0883539353565326</v>
      </c>
      <c r="BL21" s="373">
        <f t="shared" si="11"/>
        <v>1.0883539353565326</v>
      </c>
      <c r="BM21" s="373">
        <f t="shared" si="11"/>
        <v>1.0883539353565326</v>
      </c>
      <c r="BN21" s="373">
        <f t="shared" si="11"/>
        <v>1.0883539353565326</v>
      </c>
      <c r="BO21" s="373">
        <f t="shared" ref="BO21:CD21" si="12">IF(BO$14,INDEX(NTM_HGV,BO$17),IF(BO$13,INDEX(NTM_HGV,BO$18),INDEX(NTM_HGV,BO$17)+(((BO$12-BO$15)/(BO$16-BO$15))*((INDEX(NTM_HGV,BO$18) -INDEX(NTM_HGV,BO$17))))))</f>
        <v>1.0883539353565326</v>
      </c>
      <c r="BP21" s="373">
        <f t="shared" si="12"/>
        <v>1.0883539353565326</v>
      </c>
      <c r="BQ21" s="373">
        <f t="shared" si="12"/>
        <v>1.0883539353565326</v>
      </c>
      <c r="BR21" s="373">
        <f t="shared" si="12"/>
        <v>1.0883539353565326</v>
      </c>
      <c r="BS21" s="373">
        <f t="shared" si="12"/>
        <v>1.0883539353565326</v>
      </c>
      <c r="BT21" s="373">
        <f t="shared" si="12"/>
        <v>1.0883539353565326</v>
      </c>
      <c r="BU21" s="373">
        <f t="shared" si="12"/>
        <v>1.0883539353565326</v>
      </c>
      <c r="BV21" s="373">
        <f t="shared" si="12"/>
        <v>1.0883539353565326</v>
      </c>
      <c r="BW21" s="373">
        <f t="shared" si="12"/>
        <v>1.0883539353565326</v>
      </c>
      <c r="BX21" s="373">
        <f t="shared" si="12"/>
        <v>1.0883539353565326</v>
      </c>
      <c r="BY21" s="373">
        <f t="shared" si="12"/>
        <v>1.0883539353565326</v>
      </c>
      <c r="BZ21" s="373">
        <f t="shared" si="12"/>
        <v>1.0883539353565326</v>
      </c>
      <c r="CA21" s="373">
        <f t="shared" si="12"/>
        <v>1.0883539353565326</v>
      </c>
      <c r="CB21" s="373">
        <f t="shared" si="12"/>
        <v>1.0883539353565326</v>
      </c>
      <c r="CC21" s="373">
        <f t="shared" si="12"/>
        <v>1.0883539353565326</v>
      </c>
      <c r="CD21" s="373">
        <f t="shared" si="12"/>
        <v>1.0883539353565326</v>
      </c>
    </row>
    <row r="22" spans="1:82">
      <c r="B22" s="372" t="s">
        <v>389</v>
      </c>
      <c r="C22" s="1052">
        <v>0</v>
      </c>
      <c r="D22" s="1052">
        <v>0</v>
      </c>
      <c r="E22" s="1052">
        <v>0</v>
      </c>
      <c r="F22" s="1052">
        <v>0</v>
      </c>
      <c r="G22" s="1052">
        <v>0</v>
      </c>
      <c r="H22" s="373">
        <f t="shared" ref="H22:AH22" si="13">IF(H$14,INDEX(NTM_PSV,H$17),IF(H$13,INDEX(NTM_PSV,H$18),INDEX(NTM_PSV,H$17)+(((H$12-H$15)/(H$16-H$15))*((INDEX(NTM_PSV,H$18) -INDEX(NTM_PSV,H$17))))))</f>
        <v>1</v>
      </c>
      <c r="I22" s="373">
        <f t="shared" si="13"/>
        <v>0.98229207577937871</v>
      </c>
      <c r="J22" s="373">
        <f t="shared" si="13"/>
        <v>0.96458415155875743</v>
      </c>
      <c r="K22" s="373">
        <f t="shared" si="13"/>
        <v>0.94687622733813603</v>
      </c>
      <c r="L22" s="373">
        <f t="shared" si="13"/>
        <v>0.92916830311751475</v>
      </c>
      <c r="M22" s="373">
        <f t="shared" si="13"/>
        <v>0.91146037889689346</v>
      </c>
      <c r="N22" s="373">
        <f t="shared" si="13"/>
        <v>0.91146037889689346</v>
      </c>
      <c r="O22" s="373">
        <f t="shared" si="13"/>
        <v>0.91146037889689346</v>
      </c>
      <c r="P22" s="373">
        <f t="shared" si="13"/>
        <v>0.91146037889689346</v>
      </c>
      <c r="Q22" s="373">
        <f t="shared" si="13"/>
        <v>0.91146037889689346</v>
      </c>
      <c r="R22" s="373">
        <f t="shared" si="13"/>
        <v>0.91146037889689346</v>
      </c>
      <c r="S22" s="373">
        <f t="shared" si="13"/>
        <v>0.91146037889689346</v>
      </c>
      <c r="T22" s="373">
        <f t="shared" si="13"/>
        <v>0.91146037889689346</v>
      </c>
      <c r="U22" s="373">
        <f t="shared" si="13"/>
        <v>0.91146037889689346</v>
      </c>
      <c r="V22" s="373">
        <f t="shared" si="13"/>
        <v>0.91146037889689346</v>
      </c>
      <c r="W22" s="373">
        <f t="shared" si="13"/>
        <v>0.91146037889689346</v>
      </c>
      <c r="X22" s="373">
        <f t="shared" si="13"/>
        <v>0.91146037889689346</v>
      </c>
      <c r="Y22" s="373">
        <f t="shared" si="13"/>
        <v>0.91146037889689346</v>
      </c>
      <c r="Z22" s="373">
        <f t="shared" si="13"/>
        <v>0.91146037889689346</v>
      </c>
      <c r="AA22" s="373">
        <f t="shared" si="13"/>
        <v>0.91146037889689346</v>
      </c>
      <c r="AB22" s="373">
        <f t="shared" si="13"/>
        <v>0.91146037889689346</v>
      </c>
      <c r="AC22" s="373">
        <f t="shared" si="13"/>
        <v>0.91146037889689346</v>
      </c>
      <c r="AD22" s="373">
        <f t="shared" si="13"/>
        <v>0.91146037889689346</v>
      </c>
      <c r="AE22" s="373">
        <f t="shared" si="13"/>
        <v>0.91146037889689346</v>
      </c>
      <c r="AF22" s="373">
        <f t="shared" si="13"/>
        <v>0.91146037889689346</v>
      </c>
      <c r="AG22" s="373">
        <f t="shared" si="13"/>
        <v>0.91146037889689346</v>
      </c>
      <c r="AH22" s="373">
        <f t="shared" si="13"/>
        <v>0.91146037889689346</v>
      </c>
      <c r="AI22" s="373">
        <f t="shared" ref="AI22:BN22" si="14">IF(AI$14,INDEX(NTM_PSV,AI$17),IF(AI$13,INDEX(NTM_PSV,AI$18),INDEX(NTM_PSV,AI$17)+(((AI$12-AI$15)/(AI$16-AI$15))*((INDEX(NTM_PSV,AI$18) -INDEX(NTM_PSV,AI$17))))))</f>
        <v>0.91146037889689346</v>
      </c>
      <c r="AJ22" s="373">
        <f t="shared" si="14"/>
        <v>0.91146037889689346</v>
      </c>
      <c r="AK22" s="373">
        <f t="shared" si="14"/>
        <v>0.91146037889689346</v>
      </c>
      <c r="AL22" s="373">
        <f t="shared" si="14"/>
        <v>0.91146037889689346</v>
      </c>
      <c r="AM22" s="373">
        <f t="shared" si="14"/>
        <v>0.91146037889689346</v>
      </c>
      <c r="AN22" s="373">
        <f t="shared" si="14"/>
        <v>0.91146037889689346</v>
      </c>
      <c r="AO22" s="373">
        <f t="shared" si="14"/>
        <v>0.91146037889689346</v>
      </c>
      <c r="AP22" s="373">
        <f t="shared" si="14"/>
        <v>0.91146037889689346</v>
      </c>
      <c r="AQ22" s="373">
        <f t="shared" si="14"/>
        <v>0.91146037889689346</v>
      </c>
      <c r="AR22" s="373">
        <f t="shared" si="14"/>
        <v>0.91146037889689346</v>
      </c>
      <c r="AS22" s="373">
        <f t="shared" si="14"/>
        <v>0.91146037889689346</v>
      </c>
      <c r="AT22" s="373">
        <f t="shared" si="14"/>
        <v>0.91146037889689346</v>
      </c>
      <c r="AU22" s="373">
        <f t="shared" si="14"/>
        <v>0.91146037889689346</v>
      </c>
      <c r="AV22" s="373">
        <f t="shared" si="14"/>
        <v>0.91146037889689346</v>
      </c>
      <c r="AW22" s="373">
        <f t="shared" si="14"/>
        <v>0.91146037889689346</v>
      </c>
      <c r="AX22" s="373">
        <f t="shared" si="14"/>
        <v>0.91146037889689346</v>
      </c>
      <c r="AY22" s="373">
        <f t="shared" si="14"/>
        <v>0.91146037889689346</v>
      </c>
      <c r="AZ22" s="373">
        <f t="shared" si="14"/>
        <v>0.91146037889689346</v>
      </c>
      <c r="BA22" s="373">
        <f t="shared" si="14"/>
        <v>0.91146037889689346</v>
      </c>
      <c r="BB22" s="373">
        <f t="shared" si="14"/>
        <v>0.91146037889689346</v>
      </c>
      <c r="BC22" s="373">
        <f t="shared" si="14"/>
        <v>0.91146037889689346</v>
      </c>
      <c r="BD22" s="373">
        <f t="shared" si="14"/>
        <v>0.91146037889689346</v>
      </c>
      <c r="BE22" s="373">
        <f t="shared" si="14"/>
        <v>0.91146037889689346</v>
      </c>
      <c r="BF22" s="373">
        <f t="shared" si="14"/>
        <v>0.91146037889689346</v>
      </c>
      <c r="BG22" s="373">
        <f t="shared" si="14"/>
        <v>0.91146037889689346</v>
      </c>
      <c r="BH22" s="373">
        <f t="shared" si="14"/>
        <v>0.91146037889689346</v>
      </c>
      <c r="BI22" s="373">
        <f t="shared" si="14"/>
        <v>0.91146037889689346</v>
      </c>
      <c r="BJ22" s="373">
        <f t="shared" si="14"/>
        <v>0.91146037889689346</v>
      </c>
      <c r="BK22" s="373">
        <f t="shared" si="14"/>
        <v>0.91146037889689346</v>
      </c>
      <c r="BL22" s="373">
        <f t="shared" si="14"/>
        <v>0.91146037889689346</v>
      </c>
      <c r="BM22" s="373">
        <f t="shared" si="14"/>
        <v>0.91146037889689346</v>
      </c>
      <c r="BN22" s="373">
        <f t="shared" si="14"/>
        <v>0.91146037889689346</v>
      </c>
      <c r="BO22" s="373">
        <f t="shared" ref="BO22:CD22" si="15">IF(BO$14,INDEX(NTM_PSV,BO$17),IF(BO$13,INDEX(NTM_PSV,BO$18),INDEX(NTM_PSV,BO$17)+(((BO$12-BO$15)/(BO$16-BO$15))*((INDEX(NTM_PSV,BO$18) -INDEX(NTM_PSV,BO$17))))))</f>
        <v>0.91146037889689346</v>
      </c>
      <c r="BP22" s="373">
        <f t="shared" si="15"/>
        <v>0.91146037889689346</v>
      </c>
      <c r="BQ22" s="373">
        <f t="shared" si="15"/>
        <v>0.91146037889689346</v>
      </c>
      <c r="BR22" s="373">
        <f t="shared" si="15"/>
        <v>0.91146037889689346</v>
      </c>
      <c r="BS22" s="373">
        <f t="shared" si="15"/>
        <v>0.91146037889689346</v>
      </c>
      <c r="BT22" s="373">
        <f t="shared" si="15"/>
        <v>0.91146037889689346</v>
      </c>
      <c r="BU22" s="373">
        <f t="shared" si="15"/>
        <v>0.91146037889689346</v>
      </c>
      <c r="BV22" s="373">
        <f t="shared" si="15"/>
        <v>0.91146037889689346</v>
      </c>
      <c r="BW22" s="373">
        <f t="shared" si="15"/>
        <v>0.91146037889689346</v>
      </c>
      <c r="BX22" s="373">
        <f t="shared" si="15"/>
        <v>0.91146037889689346</v>
      </c>
      <c r="BY22" s="373">
        <f t="shared" si="15"/>
        <v>0.91146037889689346</v>
      </c>
      <c r="BZ22" s="373">
        <f t="shared" si="15"/>
        <v>0.91146037889689346</v>
      </c>
      <c r="CA22" s="373">
        <f t="shared" si="15"/>
        <v>0.91146037889689346</v>
      </c>
      <c r="CB22" s="373">
        <f t="shared" si="15"/>
        <v>0.91146037889689346</v>
      </c>
      <c r="CC22" s="373">
        <f t="shared" si="15"/>
        <v>0.91146037889689346</v>
      </c>
      <c r="CD22" s="373">
        <f t="shared" si="15"/>
        <v>0.91146037889689346</v>
      </c>
    </row>
    <row r="23" spans="1:82">
      <c r="B23" s="372" t="s">
        <v>390</v>
      </c>
      <c r="C23" s="1052">
        <v>0</v>
      </c>
      <c r="D23" s="1052">
        <v>0</v>
      </c>
      <c r="E23" s="1052">
        <v>0</v>
      </c>
      <c r="F23" s="1052">
        <v>0</v>
      </c>
      <c r="G23" s="1052">
        <v>0</v>
      </c>
      <c r="H23" s="373">
        <v>1</v>
      </c>
      <c r="I23" s="373">
        <f t="shared" ref="I23:BO23" si="16">(1+0.0025)^(I12-$C$12)</f>
        <v>1.0150940630865233</v>
      </c>
      <c r="J23" s="373">
        <f t="shared" si="16"/>
        <v>1.0176317982442395</v>
      </c>
      <c r="K23" s="373">
        <f t="shared" si="16"/>
        <v>1.0201758777398502</v>
      </c>
      <c r="L23" s="373">
        <f t="shared" si="16"/>
        <v>1.0227263174341998</v>
      </c>
      <c r="M23" s="373">
        <f t="shared" si="16"/>
        <v>1.0252831332277852</v>
      </c>
      <c r="N23" s="373">
        <f t="shared" si="16"/>
        <v>1.0278463410608545</v>
      </c>
      <c r="O23" s="373">
        <f t="shared" si="16"/>
        <v>1.0304159569135067</v>
      </c>
      <c r="P23" s="373">
        <f t="shared" si="16"/>
        <v>1.0329919968057906</v>
      </c>
      <c r="Q23" s="373">
        <f t="shared" si="16"/>
        <v>1.0355744767978048</v>
      </c>
      <c r="R23" s="373">
        <f t="shared" si="16"/>
        <v>1.0381634129897992</v>
      </c>
      <c r="S23" s="373">
        <f t="shared" si="16"/>
        <v>1.0407588215222738</v>
      </c>
      <c r="T23" s="373">
        <f t="shared" si="16"/>
        <v>1.0433607185760794</v>
      </c>
      <c r="U23" s="373">
        <f t="shared" si="16"/>
        <v>1.0459691203725197</v>
      </c>
      <c r="V23" s="373">
        <f t="shared" si="16"/>
        <v>1.0485840431734508</v>
      </c>
      <c r="W23" s="373">
        <f t="shared" si="16"/>
        <v>1.0512055032813845</v>
      </c>
      <c r="X23" s="373">
        <f t="shared" si="16"/>
        <v>1.0538335170395878</v>
      </c>
      <c r="Y23" s="373">
        <f t="shared" si="16"/>
        <v>1.0564681008321866</v>
      </c>
      <c r="Z23" s="373">
        <f t="shared" si="16"/>
        <v>1.0591092710842671</v>
      </c>
      <c r="AA23" s="373">
        <f t="shared" si="16"/>
        <v>1.0617570442619777</v>
      </c>
      <c r="AB23" s="373">
        <f t="shared" si="16"/>
        <v>1.0644114368726327</v>
      </c>
      <c r="AC23" s="373">
        <f t="shared" si="16"/>
        <v>1.0670724654648143</v>
      </c>
      <c r="AD23" s="373">
        <f t="shared" si="16"/>
        <v>1.0697401466284762</v>
      </c>
      <c r="AE23" s="373">
        <f t="shared" si="16"/>
        <v>1.0724144969950473</v>
      </c>
      <c r="AF23" s="373">
        <f t="shared" si="16"/>
        <v>1.0750955332375352</v>
      </c>
      <c r="AG23" s="373">
        <f t="shared" si="16"/>
        <v>1.0777832720706286</v>
      </c>
      <c r="AH23" s="373">
        <f t="shared" si="16"/>
        <v>1.0804777302508051</v>
      </c>
      <c r="AI23" s="373">
        <f t="shared" si="16"/>
        <v>1.0831789245764323</v>
      </c>
      <c r="AJ23" s="373">
        <f t="shared" si="16"/>
        <v>1.0858868718878734</v>
      </c>
      <c r="AK23" s="373">
        <f t="shared" si="16"/>
        <v>1.0886015890675929</v>
      </c>
      <c r="AL23" s="373">
        <f t="shared" si="16"/>
        <v>1.0913230930402618</v>
      </c>
      <c r="AM23" s="373">
        <f t="shared" si="16"/>
        <v>1.0940514007728626</v>
      </c>
      <c r="AN23" s="373">
        <f t="shared" si="16"/>
        <v>1.0967865292747947</v>
      </c>
      <c r="AO23" s="373">
        <f t="shared" si="16"/>
        <v>1.0995284955979814</v>
      </c>
      <c r="AP23" s="373">
        <f t="shared" si="16"/>
        <v>1.1022773168369764</v>
      </c>
      <c r="AQ23" s="373">
        <f t="shared" si="16"/>
        <v>1.1050330101290688</v>
      </c>
      <c r="AR23" s="373">
        <f t="shared" si="16"/>
        <v>1.1077955926543914</v>
      </c>
      <c r="AS23" s="373">
        <f t="shared" si="16"/>
        <v>1.1105650816360273</v>
      </c>
      <c r="AT23" s="373">
        <f t="shared" si="16"/>
        <v>1.1133414943401172</v>
      </c>
      <c r="AU23" s="373">
        <f t="shared" si="16"/>
        <v>1.1161248480759676</v>
      </c>
      <c r="AV23" s="373">
        <f t="shared" si="16"/>
        <v>1.1189151601961576</v>
      </c>
      <c r="AW23" s="373">
        <f t="shared" si="16"/>
        <v>1.1217124480966476</v>
      </c>
      <c r="AX23" s="373">
        <f t="shared" si="16"/>
        <v>1.1245167292168892</v>
      </c>
      <c r="AY23" s="373">
        <f t="shared" si="16"/>
        <v>1.1273280210399317</v>
      </c>
      <c r="AZ23" s="373">
        <f t="shared" si="16"/>
        <v>1.1301463410925312</v>
      </c>
      <c r="BA23" s="373">
        <f t="shared" si="16"/>
        <v>1.1329717069452627</v>
      </c>
      <c r="BB23" s="373">
        <f t="shared" si="16"/>
        <v>1.1358041362126257</v>
      </c>
      <c r="BC23" s="373">
        <f t="shared" si="16"/>
        <v>1.1386436465531573</v>
      </c>
      <c r="BD23" s="373">
        <f t="shared" si="16"/>
        <v>1.1414902556695401</v>
      </c>
      <c r="BE23" s="373">
        <f t="shared" si="16"/>
        <v>1.1443439813087137</v>
      </c>
      <c r="BF23" s="373">
        <f t="shared" si="16"/>
        <v>1.1472048412619855</v>
      </c>
      <c r="BG23" s="373">
        <f t="shared" si="16"/>
        <v>1.1500728533651403</v>
      </c>
      <c r="BH23" s="373">
        <f t="shared" si="16"/>
        <v>1.1529480354985533</v>
      </c>
      <c r="BI23" s="373">
        <f t="shared" si="16"/>
        <v>1.1558304055872997</v>
      </c>
      <c r="BJ23" s="373">
        <f t="shared" si="16"/>
        <v>1.1587199816012679</v>
      </c>
      <c r="BK23" s="373">
        <f t="shared" si="16"/>
        <v>1.1616167815552709</v>
      </c>
      <c r="BL23" s="373">
        <f t="shared" si="16"/>
        <v>1.1645208235091593</v>
      </c>
      <c r="BM23" s="373">
        <f t="shared" si="16"/>
        <v>1.1674321255679319</v>
      </c>
      <c r="BN23" s="373">
        <f t="shared" si="16"/>
        <v>1.1703507058818514</v>
      </c>
      <c r="BO23" s="373">
        <f t="shared" si="16"/>
        <v>1.1732765826465563</v>
      </c>
      <c r="BP23" s="373">
        <f t="shared" ref="BP23:CD23" si="17">(1+0.0025)^(BP12-$C$12)</f>
        <v>1.1762097741031727</v>
      </c>
      <c r="BQ23" s="373">
        <f t="shared" si="17"/>
        <v>1.1791502985384306</v>
      </c>
      <c r="BR23" s="373">
        <f t="shared" si="17"/>
        <v>1.1820981742847765</v>
      </c>
      <c r="BS23" s="373">
        <f t="shared" si="17"/>
        <v>1.1850534197204885</v>
      </c>
      <c r="BT23" s="373">
        <f t="shared" si="17"/>
        <v>1.1880160532697897</v>
      </c>
      <c r="BU23" s="373">
        <f t="shared" si="17"/>
        <v>1.1909860934029639</v>
      </c>
      <c r="BV23" s="373">
        <f t="shared" si="17"/>
        <v>1.1939635586364712</v>
      </c>
      <c r="BW23" s="373">
        <f t="shared" si="17"/>
        <v>1.1969484675330624</v>
      </c>
      <c r="BX23" s="373">
        <f t="shared" si="17"/>
        <v>1.1999408387018951</v>
      </c>
      <c r="BY23" s="373">
        <f t="shared" si="17"/>
        <v>1.2029406907986497</v>
      </c>
      <c r="BZ23" s="373">
        <f t="shared" si="17"/>
        <v>1.2059480425256461</v>
      </c>
      <c r="CA23" s="373">
        <f t="shared" si="17"/>
        <v>1.2089629126319603</v>
      </c>
      <c r="CB23" s="373">
        <f t="shared" si="17"/>
        <v>1.2119853199135404</v>
      </c>
      <c r="CC23" s="373">
        <f t="shared" si="17"/>
        <v>1.2150152832133239</v>
      </c>
      <c r="CD23" s="373">
        <f t="shared" si="17"/>
        <v>1.2180528214213571</v>
      </c>
    </row>
    <row r="26" spans="1:82" s="371" customFormat="1" ht="15.5">
      <c r="A26" s="360"/>
      <c r="B26" s="372"/>
      <c r="C26" s="372">
        <v>2010</v>
      </c>
      <c r="D26" s="372">
        <v>2011</v>
      </c>
      <c r="E26" s="372">
        <v>2012</v>
      </c>
      <c r="F26" s="372">
        <v>2013</v>
      </c>
      <c r="G26" s="372">
        <v>2014</v>
      </c>
      <c r="H26" s="372">
        <v>2015</v>
      </c>
      <c r="I26" s="372">
        <v>2016</v>
      </c>
      <c r="J26" s="372">
        <v>2017</v>
      </c>
      <c r="K26" s="372">
        <v>2018</v>
      </c>
      <c r="L26" s="372">
        <v>2019</v>
      </c>
      <c r="M26" s="372">
        <v>2020</v>
      </c>
      <c r="N26" s="372">
        <v>2021</v>
      </c>
      <c r="O26" s="372">
        <v>2022</v>
      </c>
      <c r="P26" s="372">
        <v>2023</v>
      </c>
      <c r="Q26" s="372">
        <v>2024</v>
      </c>
      <c r="R26" s="372">
        <v>2025</v>
      </c>
      <c r="S26" s="372">
        <v>2026</v>
      </c>
      <c r="T26" s="372">
        <v>2027</v>
      </c>
      <c r="U26" s="372">
        <v>2028</v>
      </c>
      <c r="V26" s="372">
        <v>2029</v>
      </c>
      <c r="W26" s="372">
        <v>2030</v>
      </c>
      <c r="X26" s="372">
        <v>2031</v>
      </c>
      <c r="Y26" s="372">
        <v>2032</v>
      </c>
      <c r="Z26" s="372">
        <v>2033</v>
      </c>
      <c r="AA26" s="372">
        <v>2034</v>
      </c>
      <c r="AB26" s="372">
        <v>2035</v>
      </c>
      <c r="AC26" s="372">
        <v>2036</v>
      </c>
      <c r="AD26" s="372">
        <v>2037</v>
      </c>
      <c r="AE26" s="372">
        <v>2038</v>
      </c>
      <c r="AF26" s="372">
        <v>2039</v>
      </c>
      <c r="AG26" s="372">
        <v>2040</v>
      </c>
      <c r="AH26" s="372">
        <v>2041</v>
      </c>
      <c r="AI26" s="372">
        <v>2042</v>
      </c>
      <c r="AJ26" s="372">
        <v>2043</v>
      </c>
      <c r="AK26" s="372">
        <v>2044</v>
      </c>
      <c r="AL26" s="372">
        <v>2045</v>
      </c>
      <c r="AM26" s="372">
        <v>2046</v>
      </c>
      <c r="AN26" s="372">
        <v>2047</v>
      </c>
      <c r="AO26" s="372">
        <v>2048</v>
      </c>
      <c r="AP26" s="372">
        <v>2049</v>
      </c>
      <c r="AQ26" s="372">
        <v>2050</v>
      </c>
      <c r="AR26" s="372">
        <v>2051</v>
      </c>
      <c r="AS26" s="372">
        <v>2052</v>
      </c>
      <c r="AT26" s="372">
        <v>2053</v>
      </c>
      <c r="AU26" s="372">
        <v>2054</v>
      </c>
      <c r="AV26" s="372">
        <v>2055</v>
      </c>
      <c r="AW26" s="372">
        <v>2056</v>
      </c>
      <c r="AX26" s="372">
        <v>2057</v>
      </c>
      <c r="AY26" s="372">
        <v>2058</v>
      </c>
      <c r="AZ26" s="372">
        <v>2059</v>
      </c>
      <c r="BA26" s="372">
        <v>2060</v>
      </c>
      <c r="BB26" s="372">
        <v>2061</v>
      </c>
      <c r="BC26" s="372">
        <v>2062</v>
      </c>
      <c r="BD26" s="372">
        <v>2063</v>
      </c>
      <c r="BE26" s="372">
        <v>2064</v>
      </c>
      <c r="BF26" s="372">
        <v>2065</v>
      </c>
      <c r="BG26" s="372">
        <v>2066</v>
      </c>
      <c r="BH26" s="372">
        <v>2067</v>
      </c>
      <c r="BI26" s="372">
        <v>2068</v>
      </c>
      <c r="BJ26" s="372">
        <v>2069</v>
      </c>
      <c r="BK26" s="372">
        <v>2070</v>
      </c>
      <c r="BL26" s="372">
        <v>2071</v>
      </c>
      <c r="BM26" s="372">
        <v>2072</v>
      </c>
      <c r="BN26" s="372">
        <v>2073</v>
      </c>
      <c r="BO26" s="372">
        <v>2074</v>
      </c>
      <c r="BP26" s="372">
        <v>2075</v>
      </c>
      <c r="BQ26" s="372">
        <v>2076</v>
      </c>
      <c r="BR26" s="372">
        <v>2077</v>
      </c>
      <c r="BS26" s="372">
        <v>2078</v>
      </c>
      <c r="BT26" s="372">
        <v>2079</v>
      </c>
      <c r="BU26" s="372">
        <v>2080</v>
      </c>
      <c r="BV26" s="372">
        <v>2081</v>
      </c>
      <c r="BW26" s="372">
        <v>2082</v>
      </c>
      <c r="BX26" s="372">
        <v>2083</v>
      </c>
      <c r="BY26" s="372">
        <v>2084</v>
      </c>
      <c r="BZ26" s="372">
        <v>2085</v>
      </c>
      <c r="CA26" s="372">
        <v>2086</v>
      </c>
      <c r="CB26" s="372">
        <v>2087</v>
      </c>
      <c r="CC26" s="372">
        <v>2088</v>
      </c>
      <c r="CD26" s="372">
        <v>2089</v>
      </c>
    </row>
    <row r="27" spans="1:82">
      <c r="B27" s="373" t="s">
        <v>391</v>
      </c>
      <c r="C27" s="373">
        <f>IF(OR(C26&lt;$C$3,C26&gt;$C$3+$C$5),0,1)</f>
        <v>0</v>
      </c>
      <c r="D27" s="373">
        <f t="shared" ref="D27:BO27" si="18">IF(OR(D26&lt;$C$3,D26&gt;$C$3+$C$5),0,1)</f>
        <v>0</v>
      </c>
      <c r="E27" s="373">
        <f t="shared" si="18"/>
        <v>0</v>
      </c>
      <c r="F27" s="373">
        <f t="shared" si="18"/>
        <v>0</v>
      </c>
      <c r="G27" s="373">
        <f t="shared" si="18"/>
        <v>0</v>
      </c>
      <c r="H27" s="373">
        <f t="shared" si="18"/>
        <v>0</v>
      </c>
      <c r="I27" s="373">
        <f t="shared" si="18"/>
        <v>0</v>
      </c>
      <c r="J27" s="373">
        <f t="shared" si="18"/>
        <v>0</v>
      </c>
      <c r="K27" s="373">
        <f t="shared" si="18"/>
        <v>0</v>
      </c>
      <c r="L27" s="373">
        <f t="shared" si="18"/>
        <v>0</v>
      </c>
      <c r="M27" s="373">
        <f t="shared" si="18"/>
        <v>0</v>
      </c>
      <c r="N27" s="373">
        <f t="shared" si="18"/>
        <v>0</v>
      </c>
      <c r="O27" s="373">
        <f t="shared" si="18"/>
        <v>0</v>
      </c>
      <c r="P27" s="373">
        <f t="shared" si="18"/>
        <v>0</v>
      </c>
      <c r="Q27" s="373">
        <f t="shared" si="18"/>
        <v>0</v>
      </c>
      <c r="R27" s="373">
        <f t="shared" si="18"/>
        <v>0</v>
      </c>
      <c r="S27" s="373">
        <f t="shared" si="18"/>
        <v>0</v>
      </c>
      <c r="T27" s="373">
        <f t="shared" si="18"/>
        <v>0</v>
      </c>
      <c r="U27" s="373">
        <f t="shared" si="18"/>
        <v>0</v>
      </c>
      <c r="V27" s="373">
        <f t="shared" si="18"/>
        <v>0</v>
      </c>
      <c r="W27" s="373">
        <f t="shared" si="18"/>
        <v>0</v>
      </c>
      <c r="X27" s="373">
        <f t="shared" si="18"/>
        <v>0</v>
      </c>
      <c r="Y27" s="373">
        <f t="shared" si="18"/>
        <v>0</v>
      </c>
      <c r="Z27" s="373">
        <f t="shared" si="18"/>
        <v>0</v>
      </c>
      <c r="AA27" s="373">
        <f t="shared" si="18"/>
        <v>0</v>
      </c>
      <c r="AB27" s="373">
        <f t="shared" si="18"/>
        <v>0</v>
      </c>
      <c r="AC27" s="373">
        <f t="shared" si="18"/>
        <v>0</v>
      </c>
      <c r="AD27" s="373">
        <f t="shared" si="18"/>
        <v>0</v>
      </c>
      <c r="AE27" s="373">
        <f t="shared" si="18"/>
        <v>0</v>
      </c>
      <c r="AF27" s="373">
        <f t="shared" si="18"/>
        <v>0</v>
      </c>
      <c r="AG27" s="373">
        <f t="shared" si="18"/>
        <v>0</v>
      </c>
      <c r="AH27" s="373">
        <f t="shared" si="18"/>
        <v>0</v>
      </c>
      <c r="AI27" s="373">
        <f t="shared" si="18"/>
        <v>0</v>
      </c>
      <c r="AJ27" s="373">
        <f t="shared" si="18"/>
        <v>0</v>
      </c>
      <c r="AK27" s="373">
        <f t="shared" si="18"/>
        <v>0</v>
      </c>
      <c r="AL27" s="373">
        <f t="shared" si="18"/>
        <v>0</v>
      </c>
      <c r="AM27" s="373">
        <f t="shared" si="18"/>
        <v>0</v>
      </c>
      <c r="AN27" s="373">
        <f t="shared" si="18"/>
        <v>0</v>
      </c>
      <c r="AO27" s="373">
        <f t="shared" si="18"/>
        <v>0</v>
      </c>
      <c r="AP27" s="373">
        <f t="shared" si="18"/>
        <v>0</v>
      </c>
      <c r="AQ27" s="373">
        <f t="shared" si="18"/>
        <v>0</v>
      </c>
      <c r="AR27" s="373">
        <f t="shared" si="18"/>
        <v>0</v>
      </c>
      <c r="AS27" s="373">
        <f t="shared" si="18"/>
        <v>0</v>
      </c>
      <c r="AT27" s="373">
        <f t="shared" si="18"/>
        <v>0</v>
      </c>
      <c r="AU27" s="373">
        <f t="shared" si="18"/>
        <v>0</v>
      </c>
      <c r="AV27" s="373">
        <f t="shared" si="18"/>
        <v>0</v>
      </c>
      <c r="AW27" s="373">
        <f t="shared" si="18"/>
        <v>0</v>
      </c>
      <c r="AX27" s="373">
        <f t="shared" si="18"/>
        <v>0</v>
      </c>
      <c r="AY27" s="373">
        <f t="shared" si="18"/>
        <v>0</v>
      </c>
      <c r="AZ27" s="373">
        <f t="shared" si="18"/>
        <v>0</v>
      </c>
      <c r="BA27" s="373">
        <f t="shared" si="18"/>
        <v>0</v>
      </c>
      <c r="BB27" s="373">
        <f t="shared" si="18"/>
        <v>0</v>
      </c>
      <c r="BC27" s="373">
        <f t="shared" si="18"/>
        <v>0</v>
      </c>
      <c r="BD27" s="373">
        <f t="shared" si="18"/>
        <v>0</v>
      </c>
      <c r="BE27" s="373">
        <f t="shared" si="18"/>
        <v>0</v>
      </c>
      <c r="BF27" s="373">
        <f t="shared" si="18"/>
        <v>0</v>
      </c>
      <c r="BG27" s="373">
        <f t="shared" si="18"/>
        <v>0</v>
      </c>
      <c r="BH27" s="373">
        <f t="shared" si="18"/>
        <v>0</v>
      </c>
      <c r="BI27" s="373">
        <f t="shared" si="18"/>
        <v>0</v>
      </c>
      <c r="BJ27" s="373">
        <f t="shared" si="18"/>
        <v>0</v>
      </c>
      <c r="BK27" s="373">
        <f t="shared" si="18"/>
        <v>0</v>
      </c>
      <c r="BL27" s="373">
        <f t="shared" si="18"/>
        <v>0</v>
      </c>
      <c r="BM27" s="373">
        <f t="shared" si="18"/>
        <v>0</v>
      </c>
      <c r="BN27" s="373">
        <f t="shared" si="18"/>
        <v>0</v>
      </c>
      <c r="BO27" s="373">
        <f t="shared" si="18"/>
        <v>0</v>
      </c>
      <c r="BP27" s="373">
        <f t="shared" ref="BP27:CD27" si="19">IF(OR(BP26&lt;$C$3,BP26&gt;$C$3+$C$5),0,1)</f>
        <v>0</v>
      </c>
      <c r="BQ27" s="373">
        <f t="shared" si="19"/>
        <v>0</v>
      </c>
      <c r="BR27" s="373">
        <f t="shared" si="19"/>
        <v>0</v>
      </c>
      <c r="BS27" s="373">
        <f t="shared" si="19"/>
        <v>0</v>
      </c>
      <c r="BT27" s="373">
        <f t="shared" si="19"/>
        <v>0</v>
      </c>
      <c r="BU27" s="373">
        <f t="shared" si="19"/>
        <v>0</v>
      </c>
      <c r="BV27" s="373">
        <f t="shared" si="19"/>
        <v>0</v>
      </c>
      <c r="BW27" s="373">
        <f t="shared" si="19"/>
        <v>0</v>
      </c>
      <c r="BX27" s="373">
        <f t="shared" si="19"/>
        <v>0</v>
      </c>
      <c r="BY27" s="373">
        <f t="shared" si="19"/>
        <v>0</v>
      </c>
      <c r="BZ27" s="373">
        <f t="shared" si="19"/>
        <v>0</v>
      </c>
      <c r="CA27" s="373">
        <f t="shared" si="19"/>
        <v>0</v>
      </c>
      <c r="CB27" s="373">
        <f t="shared" si="19"/>
        <v>0</v>
      </c>
      <c r="CC27" s="373">
        <f t="shared" si="19"/>
        <v>0</v>
      </c>
      <c r="CD27" s="373">
        <f t="shared" si="19"/>
        <v>0</v>
      </c>
    </row>
    <row r="28" spans="1:82">
      <c r="B28" s="373" t="s">
        <v>392</v>
      </c>
      <c r="C28" s="373">
        <f>IF($C$4-C26&lt;30,1/((1+$C$7)^(C26-$C$4)),1/((1+$C$8)^(C26 - 30 -$C$4)))</f>
        <v>1</v>
      </c>
      <c r="D28" s="373">
        <f t="shared" ref="D28:BO28" si="20">IF($C$4-D26&lt;30,1/((1+$C$7)^(D26-$C$4)),1/((1+$C$8)^(D26 - 30 -$C$4)))</f>
        <v>0.96618357487922713</v>
      </c>
      <c r="E28" s="373">
        <f t="shared" si="20"/>
        <v>0.93351070036640305</v>
      </c>
      <c r="F28" s="373">
        <f t="shared" si="20"/>
        <v>0.90194270566802237</v>
      </c>
      <c r="G28" s="373">
        <f t="shared" si="20"/>
        <v>0.87144222769857238</v>
      </c>
      <c r="H28" s="373">
        <f t="shared" si="20"/>
        <v>0.84197316685852419</v>
      </c>
      <c r="I28" s="373">
        <f t="shared" si="20"/>
        <v>0.81350064430775282</v>
      </c>
      <c r="J28" s="373">
        <f t="shared" si="20"/>
        <v>0.78599096068381913</v>
      </c>
      <c r="K28" s="373">
        <f t="shared" si="20"/>
        <v>0.75941155621625056</v>
      </c>
      <c r="L28" s="373">
        <f t="shared" si="20"/>
        <v>0.73373097218961414</v>
      </c>
      <c r="M28" s="373">
        <f t="shared" si="20"/>
        <v>0.70891881370977217</v>
      </c>
      <c r="N28" s="373">
        <f t="shared" si="20"/>
        <v>0.68494571372924851</v>
      </c>
      <c r="O28" s="373">
        <f t="shared" si="20"/>
        <v>0.66178329828912896</v>
      </c>
      <c r="P28" s="373">
        <f t="shared" si="20"/>
        <v>0.63940415293635666</v>
      </c>
      <c r="Q28" s="373">
        <f t="shared" si="20"/>
        <v>0.61778179027667302</v>
      </c>
      <c r="R28" s="373">
        <f t="shared" si="20"/>
        <v>0.59689061862480497</v>
      </c>
      <c r="S28" s="373">
        <f t="shared" si="20"/>
        <v>0.57670591171478747</v>
      </c>
      <c r="T28" s="373">
        <f t="shared" si="20"/>
        <v>0.55720377943457733</v>
      </c>
      <c r="U28" s="373">
        <f t="shared" si="20"/>
        <v>0.53836113955031628</v>
      </c>
      <c r="V28" s="373">
        <f t="shared" si="20"/>
        <v>0.52015569038677911</v>
      </c>
      <c r="W28" s="373">
        <f t="shared" si="20"/>
        <v>0.50256588443167061</v>
      </c>
      <c r="X28" s="373">
        <f t="shared" si="20"/>
        <v>0.48557090283253213</v>
      </c>
      <c r="Y28" s="373">
        <f t="shared" si="20"/>
        <v>0.46915063075606966</v>
      </c>
      <c r="Z28" s="373">
        <f t="shared" si="20"/>
        <v>0.45328563358074364</v>
      </c>
      <c r="AA28" s="373">
        <f t="shared" si="20"/>
        <v>0.43795713389443841</v>
      </c>
      <c r="AB28" s="373">
        <f t="shared" si="20"/>
        <v>0.42314698926998884</v>
      </c>
      <c r="AC28" s="373">
        <f t="shared" si="20"/>
        <v>0.40883767079225974</v>
      </c>
      <c r="AD28" s="373">
        <f t="shared" si="20"/>
        <v>0.39501224231136206</v>
      </c>
      <c r="AE28" s="373">
        <f t="shared" si="20"/>
        <v>0.38165434039745127</v>
      </c>
      <c r="AF28" s="373">
        <f t="shared" si="20"/>
        <v>0.36874815497338298</v>
      </c>
      <c r="AG28" s="373">
        <f t="shared" si="20"/>
        <v>0.35627841060230236</v>
      </c>
      <c r="AH28" s="373">
        <f t="shared" si="20"/>
        <v>0.34423034840802164</v>
      </c>
      <c r="AI28" s="373">
        <f t="shared" si="20"/>
        <v>0.33258970860678427</v>
      </c>
      <c r="AJ28" s="373">
        <f t="shared" si="20"/>
        <v>0.32134271362974326</v>
      </c>
      <c r="AK28" s="373">
        <f t="shared" si="20"/>
        <v>0.3104760518161771</v>
      </c>
      <c r="AL28" s="373">
        <f t="shared" si="20"/>
        <v>0.29997686165814214</v>
      </c>
      <c r="AM28" s="373">
        <f t="shared" si="20"/>
        <v>0.28983271657791515</v>
      </c>
      <c r="AN28" s="373">
        <f t="shared" si="20"/>
        <v>0.28003161022020789</v>
      </c>
      <c r="AO28" s="373">
        <f t="shared" si="20"/>
        <v>0.27056194224174673</v>
      </c>
      <c r="AP28" s="373">
        <f t="shared" si="20"/>
        <v>0.26141250458139786</v>
      </c>
      <c r="AQ28" s="373">
        <f t="shared" si="20"/>
        <v>0.25257246819458734</v>
      </c>
      <c r="AR28" s="373">
        <f t="shared" si="20"/>
        <v>0.24403137023631633</v>
      </c>
      <c r="AS28" s="373">
        <f t="shared" si="20"/>
        <v>0.2357791016776003</v>
      </c>
      <c r="AT28" s="373">
        <f t="shared" si="20"/>
        <v>0.22780589534067661</v>
      </c>
      <c r="AU28" s="373">
        <f t="shared" si="20"/>
        <v>0.22010231433881802</v>
      </c>
      <c r="AV28" s="373">
        <f t="shared" si="20"/>
        <v>0.21265924090707056</v>
      </c>
      <c r="AW28" s="373">
        <f t="shared" si="20"/>
        <v>0.20546786561069619</v>
      </c>
      <c r="AX28" s="373">
        <f t="shared" si="20"/>
        <v>0.19851967691854708</v>
      </c>
      <c r="AY28" s="373">
        <f t="shared" si="20"/>
        <v>0.19180645112903102</v>
      </c>
      <c r="AZ28" s="373">
        <f t="shared" si="20"/>
        <v>0.18532024263674499</v>
      </c>
      <c r="BA28" s="373">
        <f t="shared" si="20"/>
        <v>0.17905337452825601</v>
      </c>
      <c r="BB28" s="373">
        <f t="shared" si="20"/>
        <v>0.17299842949589955</v>
      </c>
      <c r="BC28" s="373">
        <f t="shared" si="20"/>
        <v>0.16714824105884016</v>
      </c>
      <c r="BD28" s="373">
        <f t="shared" si="20"/>
        <v>0.16149588508100501</v>
      </c>
      <c r="BE28" s="373">
        <f t="shared" si="20"/>
        <v>0.15603467157585027</v>
      </c>
      <c r="BF28" s="373">
        <f t="shared" si="20"/>
        <v>0.15075813678826111</v>
      </c>
      <c r="BG28" s="373">
        <f t="shared" si="20"/>
        <v>0.14566003554421367</v>
      </c>
      <c r="BH28" s="373">
        <f t="shared" si="20"/>
        <v>0.14073433385914366</v>
      </c>
      <c r="BI28" s="373">
        <f t="shared" si="20"/>
        <v>0.13597520179627406</v>
      </c>
      <c r="BJ28" s="373">
        <f t="shared" si="20"/>
        <v>0.13137700656644835</v>
      </c>
      <c r="BK28" s="373">
        <f t="shared" si="20"/>
        <v>0.12693430586130278</v>
      </c>
      <c r="BL28" s="373">
        <f t="shared" si="20"/>
        <v>0.12264184141188678</v>
      </c>
      <c r="BM28" s="373">
        <f t="shared" si="20"/>
        <v>0.11849453276510799</v>
      </c>
      <c r="BN28" s="373">
        <f t="shared" si="20"/>
        <v>0.11448747127063574</v>
      </c>
      <c r="BO28" s="373">
        <f t="shared" si="20"/>
        <v>0.11061591427114567</v>
      </c>
      <c r="BP28" s="373">
        <f t="shared" ref="BP28:CD28" si="21">IF($C$4-BP26&lt;30,1/((1+$C$7)^(BP26-$C$4)),1/((1+$C$8)^(BP26 - 30 -$C$4)))</f>
        <v>0.10687527948902965</v>
      </c>
      <c r="BQ28" s="373">
        <f t="shared" si="21"/>
        <v>0.10326113960292721</v>
      </c>
      <c r="BR28" s="373">
        <f t="shared" si="21"/>
        <v>9.9769217007659144E-2</v>
      </c>
      <c r="BS28" s="373">
        <f t="shared" si="21"/>
        <v>9.6395378751361491E-2</v>
      </c>
      <c r="BT28" s="373">
        <f t="shared" si="21"/>
        <v>9.3135631643827543E-2</v>
      </c>
      <c r="BU28" s="373">
        <f t="shared" si="21"/>
        <v>8.9986117530268139E-2</v>
      </c>
      <c r="BV28" s="373">
        <f t="shared" si="21"/>
        <v>8.6943108724896773E-2</v>
      </c>
      <c r="BW28" s="373">
        <f t="shared" si="21"/>
        <v>8.400300359893409E-2</v>
      </c>
      <c r="BX28" s="373">
        <f t="shared" si="21"/>
        <v>8.1162322317810731E-2</v>
      </c>
      <c r="BY28" s="373">
        <f t="shared" si="21"/>
        <v>7.841770272252245E-2</v>
      </c>
      <c r="BZ28" s="373">
        <f t="shared" si="21"/>
        <v>7.5765896350263234E-2</v>
      </c>
      <c r="CA28" s="373">
        <f t="shared" si="21"/>
        <v>7.3203764589626324E-2</v>
      </c>
      <c r="CB28" s="373">
        <f t="shared" si="21"/>
        <v>7.0728274965822541E-2</v>
      </c>
      <c r="CC28" s="373">
        <f t="shared" si="21"/>
        <v>6.8336497551519354E-2</v>
      </c>
      <c r="CD28" s="373">
        <f t="shared" si="21"/>
        <v>6.6025601499052525E-2</v>
      </c>
    </row>
    <row r="29" spans="1:82">
      <c r="B29" s="373" t="s">
        <v>393</v>
      </c>
      <c r="C29" s="373">
        <f t="shared" ref="C29:AH29" si="22">VLOOKUP(C26,GDP_deflator,3)/100</f>
        <v>1</v>
      </c>
      <c r="D29" s="373">
        <f t="shared" si="22"/>
        <v>1.0206999999999999</v>
      </c>
      <c r="E29" s="373">
        <f t="shared" si="22"/>
        <v>1.0370999999999999</v>
      </c>
      <c r="F29" s="373">
        <f t="shared" si="22"/>
        <v>1.0603</v>
      </c>
      <c r="G29" s="373">
        <f t="shared" si="22"/>
        <v>1.0771999999999999</v>
      </c>
      <c r="H29" s="373">
        <f t="shared" si="22"/>
        <v>1.0827</v>
      </c>
      <c r="I29" s="373">
        <f t="shared" si="22"/>
        <v>1.1032999999999999</v>
      </c>
      <c r="J29" s="373">
        <f t="shared" si="22"/>
        <v>1.1234</v>
      </c>
      <c r="K29" s="373">
        <f t="shared" si="22"/>
        <v>1.1457999999999999</v>
      </c>
      <c r="L29" s="373">
        <f t="shared" si="22"/>
        <v>1.1689000000000001</v>
      </c>
      <c r="M29" s="373">
        <f t="shared" si="22"/>
        <v>1.2341</v>
      </c>
      <c r="N29" s="373">
        <f t="shared" si="22"/>
        <v>1.234</v>
      </c>
      <c r="O29" s="373">
        <f t="shared" si="22"/>
        <v>1.2692000000000001</v>
      </c>
      <c r="P29" s="373">
        <f t="shared" si="22"/>
        <v>1.3090000000000002</v>
      </c>
      <c r="Q29" s="373">
        <f t="shared" si="22"/>
        <v>1.3334000000000001</v>
      </c>
      <c r="R29" s="373">
        <f t="shared" si="22"/>
        <v>1.3586</v>
      </c>
      <c r="S29" s="373">
        <f t="shared" si="22"/>
        <v>1.3858000000000001</v>
      </c>
      <c r="T29" s="373">
        <f t="shared" si="22"/>
        <v>1.4177000000000002</v>
      </c>
      <c r="U29" s="373">
        <f t="shared" si="22"/>
        <v>1.4502999999999999</v>
      </c>
      <c r="V29" s="373">
        <f t="shared" si="22"/>
        <v>1.4836</v>
      </c>
      <c r="W29" s="373">
        <f t="shared" si="22"/>
        <v>1.5178</v>
      </c>
      <c r="X29" s="373">
        <f t="shared" si="22"/>
        <v>1.5527000000000002</v>
      </c>
      <c r="Y29" s="373">
        <f t="shared" si="22"/>
        <v>1.5884</v>
      </c>
      <c r="Z29" s="373">
        <f t="shared" si="22"/>
        <v>1.6249</v>
      </c>
      <c r="AA29" s="373">
        <f t="shared" si="22"/>
        <v>1.6622999999999999</v>
      </c>
      <c r="AB29" s="373">
        <f t="shared" si="22"/>
        <v>1.7005000000000001</v>
      </c>
      <c r="AC29" s="373">
        <f t="shared" si="22"/>
        <v>1.7396</v>
      </c>
      <c r="AD29" s="373">
        <f t="shared" si="22"/>
        <v>1.7796000000000001</v>
      </c>
      <c r="AE29" s="373">
        <f t="shared" si="22"/>
        <v>1.8206</v>
      </c>
      <c r="AF29" s="373">
        <f t="shared" si="22"/>
        <v>1.8624000000000001</v>
      </c>
      <c r="AG29" s="373">
        <f t="shared" si="22"/>
        <v>1.9053</v>
      </c>
      <c r="AH29" s="373">
        <f t="shared" si="22"/>
        <v>1.9491000000000001</v>
      </c>
      <c r="AI29" s="373">
        <f t="shared" ref="AI29:BN29" si="23">VLOOKUP(AI26,GDP_deflator,3)/100</f>
        <v>1.9938999999999998</v>
      </c>
      <c r="AJ29" s="373">
        <f t="shared" si="23"/>
        <v>2.0398000000000001</v>
      </c>
      <c r="AK29" s="373">
        <f t="shared" si="23"/>
        <v>2.0867</v>
      </c>
      <c r="AL29" s="373">
        <f t="shared" si="23"/>
        <v>2.1347</v>
      </c>
      <c r="AM29" s="373">
        <f t="shared" si="23"/>
        <v>2.1837999999999997</v>
      </c>
      <c r="AN29" s="373">
        <f t="shared" si="23"/>
        <v>2.234</v>
      </c>
      <c r="AO29" s="373">
        <f t="shared" si="23"/>
        <v>2.2854000000000001</v>
      </c>
      <c r="AP29" s="373">
        <f t="shared" si="23"/>
        <v>2.3380000000000001</v>
      </c>
      <c r="AQ29" s="373">
        <f t="shared" si="23"/>
        <v>2.3916999999999997</v>
      </c>
      <c r="AR29" s="373">
        <f t="shared" si="23"/>
        <v>2.4468000000000001</v>
      </c>
      <c r="AS29" s="373">
        <f t="shared" si="23"/>
        <v>2.5030000000000001</v>
      </c>
      <c r="AT29" s="373">
        <f t="shared" si="23"/>
        <v>2.5606</v>
      </c>
      <c r="AU29" s="373">
        <f t="shared" si="23"/>
        <v>2.6194999999999999</v>
      </c>
      <c r="AV29" s="373">
        <f t="shared" si="23"/>
        <v>2.6797000000000004</v>
      </c>
      <c r="AW29" s="373">
        <f t="shared" si="23"/>
        <v>2.7414000000000001</v>
      </c>
      <c r="AX29" s="373">
        <f t="shared" si="23"/>
        <v>2.8043999999999998</v>
      </c>
      <c r="AY29" s="373">
        <f t="shared" si="23"/>
        <v>2.8689</v>
      </c>
      <c r="AZ29" s="373">
        <f t="shared" si="23"/>
        <v>2.9349000000000003</v>
      </c>
      <c r="BA29" s="373">
        <f t="shared" si="23"/>
        <v>3.0024000000000002</v>
      </c>
      <c r="BB29" s="373">
        <f t="shared" si="23"/>
        <v>3.0714999999999999</v>
      </c>
      <c r="BC29" s="373">
        <f t="shared" si="23"/>
        <v>3.1420999999999997</v>
      </c>
      <c r="BD29" s="373">
        <f t="shared" si="23"/>
        <v>3.2143999999999999</v>
      </c>
      <c r="BE29" s="373">
        <f t="shared" si="23"/>
        <v>3.2883</v>
      </c>
      <c r="BF29" s="373">
        <f t="shared" si="23"/>
        <v>3.3638999999999997</v>
      </c>
      <c r="BG29" s="373">
        <f t="shared" si="23"/>
        <v>3.4413</v>
      </c>
      <c r="BH29" s="373">
        <f t="shared" si="23"/>
        <v>3.5205000000000002</v>
      </c>
      <c r="BI29" s="373">
        <f t="shared" si="23"/>
        <v>3.6013999999999999</v>
      </c>
      <c r="BJ29" s="373">
        <f t="shared" si="23"/>
        <v>3.6842999999999999</v>
      </c>
      <c r="BK29" s="373">
        <f t="shared" si="23"/>
        <v>3.7689999999999997</v>
      </c>
      <c r="BL29" s="373">
        <f t="shared" si="23"/>
        <v>3.8557000000000001</v>
      </c>
      <c r="BM29" s="373">
        <f t="shared" si="23"/>
        <v>3.9443999999999999</v>
      </c>
      <c r="BN29" s="373">
        <f t="shared" si="23"/>
        <v>4.0350999999999999</v>
      </c>
      <c r="BO29" s="373">
        <f t="shared" ref="BO29:CD29" si="24">VLOOKUP(BO26,GDP_deflator,3)/100</f>
        <v>4.1279000000000003</v>
      </c>
      <c r="BP29" s="373">
        <f t="shared" si="24"/>
        <v>4.2227999999999994</v>
      </c>
      <c r="BQ29" s="373">
        <f t="shared" si="24"/>
        <v>4.32</v>
      </c>
      <c r="BR29" s="373">
        <f t="shared" si="24"/>
        <v>4.4192999999999998</v>
      </c>
      <c r="BS29" s="373">
        <f t="shared" si="24"/>
        <v>4.5209999999999999</v>
      </c>
      <c r="BT29" s="373">
        <f t="shared" si="24"/>
        <v>4.625</v>
      </c>
      <c r="BU29" s="373">
        <f t="shared" si="24"/>
        <v>4.7313000000000001</v>
      </c>
      <c r="BV29" s="373">
        <f t="shared" si="24"/>
        <v>4.8401999999999994</v>
      </c>
      <c r="BW29" s="373">
        <f t="shared" si="24"/>
        <v>4.9514999999999993</v>
      </c>
      <c r="BX29" s="373">
        <f t="shared" si="24"/>
        <v>5.0654000000000003</v>
      </c>
      <c r="BY29" s="373">
        <f t="shared" si="24"/>
        <v>5.1819000000000006</v>
      </c>
      <c r="BZ29" s="373">
        <f t="shared" si="24"/>
        <v>5.3010000000000002</v>
      </c>
      <c r="CA29" s="373">
        <f t="shared" si="24"/>
        <v>5.4229999999999992</v>
      </c>
      <c r="CB29" s="373">
        <f t="shared" si="24"/>
        <v>5.5476999999999999</v>
      </c>
      <c r="CC29" s="373">
        <f t="shared" si="24"/>
        <v>5.6753</v>
      </c>
      <c r="CD29" s="373">
        <f t="shared" si="24"/>
        <v>5.8058000000000005</v>
      </c>
    </row>
    <row r="31" spans="1:82">
      <c r="A31" s="371" t="s">
        <v>213</v>
      </c>
    </row>
    <row r="32" spans="1:82" s="377" customFormat="1" ht="15.5">
      <c r="A32" s="379"/>
      <c r="B32" s="690" t="s">
        <v>168</v>
      </c>
      <c r="C32" s="375">
        <v>2010</v>
      </c>
      <c r="D32" s="376">
        <v>2011</v>
      </c>
      <c r="E32" s="376">
        <v>2012</v>
      </c>
      <c r="F32" s="376">
        <v>2013</v>
      </c>
      <c r="G32" s="376">
        <v>2014</v>
      </c>
      <c r="H32" s="376">
        <v>2015</v>
      </c>
      <c r="I32" s="376">
        <v>2016</v>
      </c>
      <c r="J32" s="376">
        <v>2017</v>
      </c>
      <c r="K32" s="376">
        <v>2018</v>
      </c>
      <c r="L32" s="376">
        <v>2019</v>
      </c>
      <c r="M32" s="376">
        <v>2020</v>
      </c>
      <c r="N32" s="376">
        <v>2021</v>
      </c>
      <c r="O32" s="376">
        <v>2022</v>
      </c>
      <c r="P32" s="376">
        <v>2023</v>
      </c>
      <c r="Q32" s="376">
        <v>2024</v>
      </c>
      <c r="R32" s="376">
        <v>2025</v>
      </c>
      <c r="S32" s="376">
        <v>2026</v>
      </c>
      <c r="T32" s="376">
        <v>2027</v>
      </c>
      <c r="U32" s="376">
        <v>2028</v>
      </c>
      <c r="V32" s="376">
        <v>2029</v>
      </c>
      <c r="W32" s="376">
        <v>2030</v>
      </c>
      <c r="X32" s="376">
        <v>2031</v>
      </c>
      <c r="Y32" s="376">
        <v>2032</v>
      </c>
      <c r="Z32" s="376">
        <v>2033</v>
      </c>
      <c r="AA32" s="376">
        <v>2034</v>
      </c>
      <c r="AB32" s="376">
        <v>2035</v>
      </c>
      <c r="AC32" s="376">
        <v>2036</v>
      </c>
      <c r="AD32" s="376">
        <v>2037</v>
      </c>
      <c r="AE32" s="376">
        <v>2038</v>
      </c>
      <c r="AF32" s="376">
        <v>2039</v>
      </c>
      <c r="AG32" s="376">
        <v>2040</v>
      </c>
      <c r="AH32" s="376">
        <v>2041</v>
      </c>
      <c r="AI32" s="376">
        <v>2042</v>
      </c>
      <c r="AJ32" s="376">
        <v>2043</v>
      </c>
      <c r="AK32" s="376">
        <v>2044</v>
      </c>
      <c r="AL32" s="376">
        <v>2045</v>
      </c>
      <c r="AM32" s="376">
        <v>2046</v>
      </c>
      <c r="AN32" s="376">
        <v>2047</v>
      </c>
      <c r="AO32" s="376">
        <v>2048</v>
      </c>
      <c r="AP32" s="376">
        <v>2049</v>
      </c>
      <c r="AQ32" s="376">
        <v>2050</v>
      </c>
      <c r="AR32" s="376">
        <v>2051</v>
      </c>
      <c r="AS32" s="376">
        <v>2052</v>
      </c>
      <c r="AT32" s="376">
        <v>2053</v>
      </c>
      <c r="AU32" s="376">
        <v>2054</v>
      </c>
      <c r="AV32" s="376">
        <v>2055</v>
      </c>
      <c r="AW32" s="376">
        <v>2056</v>
      </c>
      <c r="AX32" s="376">
        <v>2057</v>
      </c>
      <c r="AY32" s="376">
        <v>2058</v>
      </c>
      <c r="AZ32" s="376">
        <v>2059</v>
      </c>
      <c r="BA32" s="376">
        <v>2060</v>
      </c>
      <c r="BB32" s="376">
        <v>2061</v>
      </c>
      <c r="BC32" s="376">
        <v>2062</v>
      </c>
      <c r="BD32" s="376">
        <v>2063</v>
      </c>
      <c r="BE32" s="376">
        <v>2064</v>
      </c>
      <c r="BF32" s="376">
        <v>2065</v>
      </c>
      <c r="BG32" s="376">
        <v>2066</v>
      </c>
      <c r="BH32" s="376">
        <v>2067</v>
      </c>
      <c r="BI32" s="376">
        <v>2068</v>
      </c>
      <c r="BJ32" s="376">
        <v>2069</v>
      </c>
      <c r="BK32" s="376">
        <v>2070</v>
      </c>
      <c r="BL32" s="376">
        <v>2071</v>
      </c>
      <c r="BM32" s="376">
        <v>2072</v>
      </c>
      <c r="BN32" s="376">
        <v>2073</v>
      </c>
      <c r="BO32" s="376">
        <v>2074</v>
      </c>
      <c r="BP32" s="376">
        <v>2075</v>
      </c>
      <c r="BQ32" s="376">
        <v>2076</v>
      </c>
      <c r="BR32" s="376">
        <v>2077</v>
      </c>
      <c r="BS32" s="376">
        <v>2078</v>
      </c>
      <c r="BT32" s="376">
        <v>2079</v>
      </c>
      <c r="BU32" s="376">
        <v>2080</v>
      </c>
      <c r="BV32" s="376">
        <v>2081</v>
      </c>
      <c r="BW32" s="376">
        <v>2082</v>
      </c>
      <c r="BX32" s="376">
        <v>2083</v>
      </c>
      <c r="BY32" s="376">
        <v>2084</v>
      </c>
      <c r="BZ32" s="376">
        <v>2085</v>
      </c>
      <c r="CA32" s="376">
        <v>2086</v>
      </c>
      <c r="CB32" s="376">
        <v>2087</v>
      </c>
      <c r="CC32" s="376">
        <v>2088</v>
      </c>
      <c r="CD32" s="376">
        <v>2089</v>
      </c>
    </row>
    <row r="33" spans="1:82">
      <c r="B33" s="373" t="s">
        <v>166</v>
      </c>
      <c r="C33" s="373">
        <f>(C$27*C$28*C$29)*Cycleways!$D$22*C23/100</f>
        <v>0</v>
      </c>
      <c r="D33" s="373">
        <f>(D$27*D$28*D$29)*Cycleways!$D$22*D23/100</f>
        <v>0</v>
      </c>
      <c r="E33" s="373">
        <f>(E$27*E$28*E$29)*Cycleways!$D$22*E23/100</f>
        <v>0</v>
      </c>
      <c r="F33" s="373">
        <f>(F$27*F$28*F$29)*Cycleways!$D$22*F23/100</f>
        <v>0</v>
      </c>
      <c r="G33" s="373">
        <f>(G$27*G$28*G$29)*Cycleways!$D$22*G23/100</f>
        <v>0</v>
      </c>
      <c r="H33" s="373">
        <f>(H$27*H$28*H$29)*Cycleways!$D$22*H23/100</f>
        <v>0</v>
      </c>
      <c r="I33" s="373">
        <f>(I$27*I$28*I$29)*Cycleways!$D$22*I23/100</f>
        <v>0</v>
      </c>
      <c r="J33" s="373">
        <f>(J$27*J$28*J$29)*Cycleways!$D$22*J23/100</f>
        <v>0</v>
      </c>
      <c r="K33" s="373">
        <f>(K$27*K$28*K$29)*Cycleways!$D$22*K23/100</f>
        <v>0</v>
      </c>
      <c r="L33" s="373">
        <f>(L$27*L$28*L$29)*Cycleways!$D$22*L23/100</f>
        <v>0</v>
      </c>
      <c r="M33" s="373">
        <f>(M$27*M$28*M$29)*Cycleways!$D$22*M23/100</f>
        <v>0</v>
      </c>
      <c r="N33" s="373">
        <f>(N$27*N$28*N$29)*Cycleways!$D$22*N23/100</f>
        <v>0</v>
      </c>
      <c r="O33" s="373">
        <f>(O$27*O$28*O$29)*Cycleways!$D$22*O23/100</f>
        <v>0</v>
      </c>
      <c r="P33" s="373">
        <f>(P$27*P$28*P$29)*Cycleways!$D$22*P23/100</f>
        <v>0</v>
      </c>
      <c r="Q33" s="373">
        <f>(Q$27*Q$28*Q$29)*Cycleways!$D$22*Q23/100</f>
        <v>0</v>
      </c>
      <c r="R33" s="373">
        <f>(R$27*R$28*R$29)*Cycleways!$D$22*R23/100</f>
        <v>0</v>
      </c>
      <c r="S33" s="373">
        <f>(S$27*S$28*S$29)*Cycleways!$D$22*S23/100</f>
        <v>0</v>
      </c>
      <c r="T33" s="373">
        <f>(T$27*T$28*T$29)*Cycleways!$D$22*T23/100</f>
        <v>0</v>
      </c>
      <c r="U33" s="373">
        <f>(U$27*U$28*U$29)*Cycleways!$D$22*U23/100</f>
        <v>0</v>
      </c>
      <c r="V33" s="373">
        <f>(V$27*V$28*V$29)*Cycleways!$D$22*V23/100</f>
        <v>0</v>
      </c>
      <c r="W33" s="373">
        <f>(W$27*W$28*W$29)*Cycleways!$D$22*W23/100</f>
        <v>0</v>
      </c>
      <c r="X33" s="373">
        <f>(X$27*X$28*X$29)*Cycleways!$D$22*X23/100</f>
        <v>0</v>
      </c>
      <c r="Y33" s="373">
        <f>(Y$27*Y$28*Y$29)*Cycleways!$D$22*Y23/100</f>
        <v>0</v>
      </c>
      <c r="Z33" s="373">
        <f>(Z$27*Z$28*Z$29)*Cycleways!$D$22*Z23/100</f>
        <v>0</v>
      </c>
      <c r="AA33" s="373">
        <f>(AA$27*AA$28*AA$29)*Cycleways!$D$22*AA23/100</f>
        <v>0</v>
      </c>
      <c r="AB33" s="373">
        <f>(AB$27*AB$28*AB$29)*Cycleways!$D$22*AB23/100</f>
        <v>0</v>
      </c>
      <c r="AC33" s="373">
        <f>(AC$27*AC$28*AC$29)*Cycleways!$D$22*AC23/100</f>
        <v>0</v>
      </c>
      <c r="AD33" s="373">
        <f>(AD$27*AD$28*AD$29)*Cycleways!$D$22*AD23/100</f>
        <v>0</v>
      </c>
      <c r="AE33" s="373">
        <f>(AE$27*AE$28*AE$29)*Cycleways!$D$22*AE23/100</f>
        <v>0</v>
      </c>
      <c r="AF33" s="373">
        <f>(AF$27*AF$28*AF$29)*Cycleways!$D$22*AF23/100</f>
        <v>0</v>
      </c>
      <c r="AG33" s="373">
        <f>(AG$27*AG$28*AG$29)*Cycleways!$D$22*AG23/100</f>
        <v>0</v>
      </c>
      <c r="AH33" s="373">
        <f>(AH$27*AH$28*AH$29)*Cycleways!$D$22*AH23/100</f>
        <v>0</v>
      </c>
      <c r="AI33" s="373">
        <f>(AI$27*AI$28*AI$29)*Cycleways!$D$22*AI23/100</f>
        <v>0</v>
      </c>
      <c r="AJ33" s="373">
        <f>(AJ$27*AJ$28*AJ$29)*Cycleways!$D$22*AJ23/100</f>
        <v>0</v>
      </c>
      <c r="AK33" s="373">
        <f>(AK$27*AK$28*AK$29)*Cycleways!$D$22*AK23/100</f>
        <v>0</v>
      </c>
      <c r="AL33" s="373">
        <f>(AL$27*AL$28*AL$29)*Cycleways!$D$22*AL23/100</f>
        <v>0</v>
      </c>
      <c r="AM33" s="373">
        <f>(AM$27*AM$28*AM$29)*Cycleways!$D$22*AM23/100</f>
        <v>0</v>
      </c>
      <c r="AN33" s="373">
        <f>(AN$27*AN$28*AN$29)*Cycleways!$D$22*AN23/100</f>
        <v>0</v>
      </c>
      <c r="AO33" s="373">
        <f>(AO$27*AO$28*AO$29)*Cycleways!$D$22*AO23/100</f>
        <v>0</v>
      </c>
      <c r="AP33" s="373">
        <f>(AP$27*AP$28*AP$29)*Cycleways!$D$22*AP23/100</f>
        <v>0</v>
      </c>
      <c r="AQ33" s="373">
        <f>(AQ$27*AQ$28*AQ$29)*Cycleways!$D$22*AQ23/100</f>
        <v>0</v>
      </c>
      <c r="AR33" s="373">
        <f>(AR$27*AR$28*AR$29)*Cycleways!$D$22*AR23/100</f>
        <v>0</v>
      </c>
      <c r="AS33" s="373">
        <f>(AS$27*AS$28*AS$29)*Cycleways!$D$22*AS23/100</f>
        <v>0</v>
      </c>
      <c r="AT33" s="373">
        <f>(AT$27*AT$28*AT$29)*Cycleways!$D$22*AT23/100</f>
        <v>0</v>
      </c>
      <c r="AU33" s="373">
        <f>(AU$27*AU$28*AU$29)*Cycleways!$D$22*AU23/100</f>
        <v>0</v>
      </c>
      <c r="AV33" s="373">
        <f>(AV$27*AV$28*AV$29)*Cycleways!$D$22*AV23/100</f>
        <v>0</v>
      </c>
      <c r="AW33" s="373">
        <f>(AW$27*AW$28*AW$29)*Cycleways!$D$22*AW23/100</f>
        <v>0</v>
      </c>
      <c r="AX33" s="373">
        <f>(AX$27*AX$28*AX$29)*Cycleways!$D$22*AX23/100</f>
        <v>0</v>
      </c>
      <c r="AY33" s="373">
        <f>(AY$27*AY$28*AY$29)*Cycleways!$D$22*AY23/100</f>
        <v>0</v>
      </c>
      <c r="AZ33" s="373">
        <f>(AZ$27*AZ$28*AZ$29)*Cycleways!$D$22*AZ23/100</f>
        <v>0</v>
      </c>
      <c r="BA33" s="373">
        <f>(BA$27*BA$28*BA$29)*Cycleways!$D$22*BA23/100</f>
        <v>0</v>
      </c>
      <c r="BB33" s="373">
        <f>(BB$27*BB$28*BB$29)*Cycleways!$D$22*BB23/100</f>
        <v>0</v>
      </c>
      <c r="BC33" s="373">
        <f>(BC$27*BC$28*BC$29)*Cycleways!$D$22*BC23/100</f>
        <v>0</v>
      </c>
      <c r="BD33" s="373">
        <f>(BD$27*BD$28*BD$29)*Cycleways!$D$22*BD23/100</f>
        <v>0</v>
      </c>
      <c r="BE33" s="373">
        <f>(BE$27*BE$28*BE$29)*Cycleways!$D$22*BE23/100</f>
        <v>0</v>
      </c>
      <c r="BF33" s="373">
        <f>(BF$27*BF$28*BF$29)*Cycleways!$D$22*BF23/100</f>
        <v>0</v>
      </c>
      <c r="BG33" s="373">
        <f>(BG$27*BG$28*BG$29)*Cycleways!$D$22*BG23/100</f>
        <v>0</v>
      </c>
      <c r="BH33" s="373">
        <f>(BH$27*BH$28*BH$29)*Cycleways!$D$22*BH23/100</f>
        <v>0</v>
      </c>
      <c r="BI33" s="373">
        <f>(BI$27*BI$28*BI$29)*Cycleways!$D$22*BI23/100</f>
        <v>0</v>
      </c>
      <c r="BJ33" s="373">
        <f>(BJ$27*BJ$28*BJ$29)*Cycleways!$D$22*BJ23/100</f>
        <v>0</v>
      </c>
      <c r="BK33" s="373">
        <f>(BK$27*BK$28*BK$29)*Cycleways!$D$22*BK23/100</f>
        <v>0</v>
      </c>
      <c r="BL33" s="373">
        <f>(BL$27*BL$28*BL$29)*Cycleways!$D$22*BL23/100</f>
        <v>0</v>
      </c>
      <c r="BM33" s="373">
        <f>(BM$27*BM$28*BM$29)*Cycleways!$D$22*BM23/100</f>
        <v>0</v>
      </c>
      <c r="BN33" s="373">
        <f>(BN$27*BN$28*BN$29)*Cycleways!$D$22*BN23/100</f>
        <v>0</v>
      </c>
      <c r="BO33" s="373">
        <f>(BO$27*BO$28*BO$29)*Cycleways!$D$22*BO23/100</f>
        <v>0</v>
      </c>
      <c r="BP33" s="373">
        <f>(BP$27*BP$28*BP$29)*Cycleways!$D$22*BP23/100</f>
        <v>0</v>
      </c>
      <c r="BQ33" s="373">
        <f>(BQ$27*BQ$28*BQ$29)*Cycleways!$D$22*BQ23/100</f>
        <v>0</v>
      </c>
      <c r="BR33" s="373">
        <f>(BR$27*BR$28*BR$29)*Cycleways!$D$22*BR23/100</f>
        <v>0</v>
      </c>
      <c r="BS33" s="373">
        <f>(BS$27*BS$28*BS$29)*Cycleways!$D$22*BS23/100</f>
        <v>0</v>
      </c>
      <c r="BT33" s="373">
        <f>(BT$27*BT$28*BT$29)*Cycleways!$D$22*BT23/100</f>
        <v>0</v>
      </c>
      <c r="BU33" s="373">
        <f>(BU$27*BU$28*BU$29)*Cycleways!$D$22*BU23/100</f>
        <v>0</v>
      </c>
      <c r="BV33" s="373">
        <f>(BV$27*BV$28*BV$29)*Cycleways!$D$22*BV23/100</f>
        <v>0</v>
      </c>
      <c r="BW33" s="373">
        <f>(BW$27*BW$28*BW$29)*Cycleways!$D$22*BW23/100</f>
        <v>0</v>
      </c>
      <c r="BX33" s="373">
        <f>(BX$27*BX$28*BX$29)*Cycleways!$D$22*BX23/100</f>
        <v>0</v>
      </c>
      <c r="BY33" s="373">
        <f>(BY$27*BY$28*BY$29)*Cycleways!$D$22*BY23/100</f>
        <v>0</v>
      </c>
      <c r="BZ33" s="373">
        <f>(BZ$27*BZ$28*BZ$29)*Cycleways!$D$22*BZ23/100</f>
        <v>0</v>
      </c>
      <c r="CA33" s="373">
        <f>(CA$27*CA$28*CA$29)*Cycleways!$D$22*CA23/100</f>
        <v>0</v>
      </c>
      <c r="CB33" s="373">
        <f>(CB$27*CB$28*CB$29)*Cycleways!$D$22*CB23/100</f>
        <v>0</v>
      </c>
      <c r="CC33" s="373">
        <f>(CC$27*CC$28*CC$29)*Cycleways!$D$22*CC23/100</f>
        <v>0</v>
      </c>
      <c r="CD33" s="373">
        <f>(CD$27*CD$28*CD$29)*Cycleways!$D$22*CD23/100</f>
        <v>0</v>
      </c>
    </row>
    <row r="35" spans="1:82">
      <c r="A35" s="371" t="s">
        <v>15</v>
      </c>
    </row>
    <row r="37" spans="1:82" s="377" customFormat="1" ht="15.5">
      <c r="A37" s="379"/>
      <c r="B37" s="576" t="s">
        <v>308</v>
      </c>
      <c r="C37" s="375">
        <v>2010</v>
      </c>
      <c r="D37" s="376">
        <v>2011</v>
      </c>
      <c r="E37" s="376">
        <v>2012</v>
      </c>
      <c r="F37" s="376">
        <v>2013</v>
      </c>
      <c r="G37" s="376">
        <v>2014</v>
      </c>
      <c r="H37" s="376">
        <v>2015</v>
      </c>
      <c r="I37" s="376">
        <v>2016</v>
      </c>
      <c r="J37" s="376">
        <v>2017</v>
      </c>
      <c r="K37" s="376">
        <v>2018</v>
      </c>
      <c r="L37" s="376">
        <v>2019</v>
      </c>
      <c r="M37" s="376">
        <v>2020</v>
      </c>
      <c r="N37" s="376">
        <v>2021</v>
      </c>
      <c r="O37" s="376">
        <v>2022</v>
      </c>
      <c r="P37" s="376">
        <v>2023</v>
      </c>
      <c r="Q37" s="376">
        <v>2024</v>
      </c>
      <c r="R37" s="376">
        <v>2025</v>
      </c>
      <c r="S37" s="376">
        <v>2026</v>
      </c>
      <c r="T37" s="376">
        <v>2027</v>
      </c>
      <c r="U37" s="376">
        <v>2028</v>
      </c>
      <c r="V37" s="376">
        <v>2029</v>
      </c>
      <c r="W37" s="376">
        <v>2030</v>
      </c>
      <c r="X37" s="376">
        <v>2031</v>
      </c>
      <c r="Y37" s="376">
        <v>2032</v>
      </c>
      <c r="Z37" s="376">
        <v>2033</v>
      </c>
      <c r="AA37" s="376">
        <v>2034</v>
      </c>
      <c r="AB37" s="376">
        <v>2035</v>
      </c>
      <c r="AC37" s="376">
        <v>2036</v>
      </c>
      <c r="AD37" s="376">
        <v>2037</v>
      </c>
      <c r="AE37" s="376">
        <v>2038</v>
      </c>
      <c r="AF37" s="376">
        <v>2039</v>
      </c>
      <c r="AG37" s="376">
        <v>2040</v>
      </c>
      <c r="AH37" s="376">
        <v>2041</v>
      </c>
      <c r="AI37" s="376">
        <v>2042</v>
      </c>
      <c r="AJ37" s="376">
        <v>2043</v>
      </c>
      <c r="AK37" s="376">
        <v>2044</v>
      </c>
      <c r="AL37" s="376">
        <v>2045</v>
      </c>
      <c r="AM37" s="376">
        <v>2046</v>
      </c>
      <c r="AN37" s="376">
        <v>2047</v>
      </c>
      <c r="AO37" s="376">
        <v>2048</v>
      </c>
      <c r="AP37" s="376">
        <v>2049</v>
      </c>
      <c r="AQ37" s="376">
        <v>2050</v>
      </c>
      <c r="AR37" s="376">
        <v>2051</v>
      </c>
      <c r="AS37" s="376">
        <v>2052</v>
      </c>
      <c r="AT37" s="376">
        <v>2053</v>
      </c>
      <c r="AU37" s="376">
        <v>2054</v>
      </c>
      <c r="AV37" s="376">
        <v>2055</v>
      </c>
      <c r="AW37" s="376">
        <v>2056</v>
      </c>
      <c r="AX37" s="376">
        <v>2057</v>
      </c>
      <c r="AY37" s="376">
        <v>2058</v>
      </c>
      <c r="AZ37" s="376">
        <v>2059</v>
      </c>
      <c r="BA37" s="376">
        <v>2060</v>
      </c>
      <c r="BB37" s="376">
        <v>2061</v>
      </c>
      <c r="BC37" s="376">
        <v>2062</v>
      </c>
      <c r="BD37" s="376">
        <v>2063</v>
      </c>
      <c r="BE37" s="376">
        <v>2064</v>
      </c>
      <c r="BF37" s="376">
        <v>2065</v>
      </c>
      <c r="BG37" s="376">
        <v>2066</v>
      </c>
      <c r="BH37" s="376">
        <v>2067</v>
      </c>
      <c r="BI37" s="376">
        <v>2068</v>
      </c>
      <c r="BJ37" s="376">
        <v>2069</v>
      </c>
      <c r="BK37" s="376">
        <v>2070</v>
      </c>
      <c r="BL37" s="376">
        <v>2071</v>
      </c>
      <c r="BM37" s="376">
        <v>2072</v>
      </c>
      <c r="BN37" s="376">
        <v>2073</v>
      </c>
      <c r="BO37" s="376">
        <v>2074</v>
      </c>
      <c r="BP37" s="376">
        <v>2075</v>
      </c>
      <c r="BQ37" s="376">
        <v>2076</v>
      </c>
      <c r="BR37" s="376">
        <v>2077</v>
      </c>
      <c r="BS37" s="376">
        <v>2078</v>
      </c>
      <c r="BT37" s="376">
        <v>2079</v>
      </c>
      <c r="BU37" s="376">
        <v>2080</v>
      </c>
      <c r="BV37" s="376">
        <v>2081</v>
      </c>
      <c r="BW37" s="376">
        <v>2082</v>
      </c>
      <c r="BX37" s="376">
        <v>2083</v>
      </c>
      <c r="BY37" s="376">
        <v>2084</v>
      </c>
      <c r="BZ37" s="376">
        <v>2085</v>
      </c>
      <c r="CA37" s="376">
        <v>2086</v>
      </c>
      <c r="CB37" s="376">
        <v>2087</v>
      </c>
      <c r="CC37" s="376">
        <v>2088</v>
      </c>
      <c r="CD37" s="376">
        <v>2089</v>
      </c>
    </row>
    <row r="38" spans="1:82" ht="15.5">
      <c r="A38" s="360"/>
      <c r="B38" s="380" t="s">
        <v>87</v>
      </c>
      <c r="C38" s="373" t="e">
        <f>(C$27*C$28*C$29)*Carriageways!E134*C19</f>
        <v>#DIV/0!</v>
      </c>
      <c r="D38" s="373" t="e">
        <f>(D$27*D$28*D$29)*Carriageways!F134*D19</f>
        <v>#DIV/0!</v>
      </c>
      <c r="E38" s="373" t="e">
        <f>(E$27*E$28*E$29)*Carriageways!G134*E19</f>
        <v>#DIV/0!</v>
      </c>
      <c r="F38" s="373" t="e">
        <f>(F$27*F$28*F$29)*Carriageways!H134*F19</f>
        <v>#DIV/0!</v>
      </c>
      <c r="G38" s="373" t="e">
        <f>(G$27*G$28*G$29)*Carriageways!I134*G19</f>
        <v>#DIV/0!</v>
      </c>
      <c r="H38" s="373" t="e">
        <f>(H$27*H$28*H$29)*Carriageways!J134*H19</f>
        <v>#DIV/0!</v>
      </c>
      <c r="I38" s="373" t="e">
        <f>(I$27*I$28*I$29)*Carriageways!K134*I19</f>
        <v>#DIV/0!</v>
      </c>
      <c r="J38" s="373" t="e">
        <f>(J$27*J$28*J$29)*Carriageways!L134*J19</f>
        <v>#DIV/0!</v>
      </c>
      <c r="K38" s="373" t="e">
        <f>(K$27*K$28*K$29)*Carriageways!M134*K19</f>
        <v>#DIV/0!</v>
      </c>
      <c r="L38" s="373" t="e">
        <f>(L$27*L$28*L$29)*Carriageways!N134*L19</f>
        <v>#DIV/0!</v>
      </c>
      <c r="M38" s="373" t="e">
        <f>(M$27*M$28*M$29)*Carriageways!O134*M19</f>
        <v>#DIV/0!</v>
      </c>
      <c r="N38" s="373" t="e">
        <f>(N$27*N$28*N$29)*Carriageways!P134*N19</f>
        <v>#DIV/0!</v>
      </c>
      <c r="O38" s="373" t="e">
        <f>(O$27*O$28*O$29)*Carriageways!Q134*O19</f>
        <v>#DIV/0!</v>
      </c>
      <c r="P38" s="373" t="e">
        <f>(P$27*P$28*P$29)*Carriageways!R134*P19</f>
        <v>#DIV/0!</v>
      </c>
      <c r="Q38" s="373" t="e">
        <f>(Q$27*Q$28*Q$29)*Carriageways!S134*Q19</f>
        <v>#DIV/0!</v>
      </c>
      <c r="R38" s="373" t="e">
        <f>(R$27*R$28*R$29)*Carriageways!T134*R19</f>
        <v>#DIV/0!</v>
      </c>
      <c r="S38" s="373" t="e">
        <f>(S$27*S$28*S$29)*Carriageways!U134*S19</f>
        <v>#DIV/0!</v>
      </c>
      <c r="T38" s="373" t="e">
        <f>(T$27*T$28*T$29)*Carriageways!V134*T19</f>
        <v>#DIV/0!</v>
      </c>
      <c r="U38" s="373" t="e">
        <f>(U$27*U$28*U$29)*Carriageways!W134*U19</f>
        <v>#DIV/0!</v>
      </c>
      <c r="V38" s="373" t="e">
        <f>(V$27*V$28*V$29)*Carriageways!X134*V19</f>
        <v>#DIV/0!</v>
      </c>
      <c r="W38" s="373" t="e">
        <f>(W$27*W$28*W$29)*Carriageways!Y134*W19</f>
        <v>#DIV/0!</v>
      </c>
      <c r="X38" s="373" t="e">
        <f>(X$27*X$28*X$29)*Carriageways!Z134*X19</f>
        <v>#DIV/0!</v>
      </c>
      <c r="Y38" s="373" t="e">
        <f>(Y$27*Y$28*Y$29)*Carriageways!AA134*Y19</f>
        <v>#DIV/0!</v>
      </c>
      <c r="Z38" s="373" t="e">
        <f>(Z$27*Z$28*Z$29)*Carriageways!AB134*Z19</f>
        <v>#DIV/0!</v>
      </c>
      <c r="AA38" s="373" t="e">
        <f>(AA$27*AA$28*AA$29)*Carriageways!AC134*AA19</f>
        <v>#DIV/0!</v>
      </c>
      <c r="AB38" s="373" t="e">
        <f>(AB$27*AB$28*AB$29)*Carriageways!AD134*AB19</f>
        <v>#DIV/0!</v>
      </c>
      <c r="AC38" s="373" t="e">
        <f>(AC$27*AC$28*AC$29)*Carriageways!AE134*AC19</f>
        <v>#DIV/0!</v>
      </c>
      <c r="AD38" s="373" t="e">
        <f>(AD$27*AD$28*AD$29)*Carriageways!AF134*AD19</f>
        <v>#DIV/0!</v>
      </c>
      <c r="AE38" s="373" t="e">
        <f>(AE$27*AE$28*AE$29)*Carriageways!AG134*AE19</f>
        <v>#DIV/0!</v>
      </c>
      <c r="AF38" s="373" t="e">
        <f>(AF$27*AF$28*AF$29)*Carriageways!AH134*AF19</f>
        <v>#DIV/0!</v>
      </c>
      <c r="AG38" s="373" t="e">
        <f>(AG$27*AG$28*AG$29)*Carriageways!AI134*AG19</f>
        <v>#DIV/0!</v>
      </c>
      <c r="AH38" s="373" t="e">
        <f>(AH$27*AH$28*AH$29)*Carriageways!AJ134*AH19</f>
        <v>#DIV/0!</v>
      </c>
      <c r="AI38" s="373" t="e">
        <f>(AI$27*AI$28*AI$29)*Carriageways!AK134*AI19</f>
        <v>#DIV/0!</v>
      </c>
      <c r="AJ38" s="373" t="e">
        <f>(AJ$27*AJ$28*AJ$29)*Carriageways!AL134*AJ19</f>
        <v>#DIV/0!</v>
      </c>
      <c r="AK38" s="373" t="e">
        <f>(AK$27*AK$28*AK$29)*Carriageways!AM134*AK19</f>
        <v>#DIV/0!</v>
      </c>
      <c r="AL38" s="373" t="e">
        <f>(AL$27*AL$28*AL$29)*Carriageways!AN134*AL19</f>
        <v>#DIV/0!</v>
      </c>
      <c r="AM38" s="373" t="e">
        <f>(AM$27*AM$28*AM$29)*Carriageways!AO134*AM19</f>
        <v>#DIV/0!</v>
      </c>
      <c r="AN38" s="373" t="e">
        <f>(AN$27*AN$28*AN$29)*Carriageways!AP134*AN19</f>
        <v>#DIV/0!</v>
      </c>
      <c r="AO38" s="373" t="e">
        <f>(AO$27*AO$28*AO$29)*Carriageways!AQ134*AO19</f>
        <v>#DIV/0!</v>
      </c>
      <c r="AP38" s="373" t="e">
        <f>(AP$27*AP$28*AP$29)*Carriageways!AR134*AP19</f>
        <v>#DIV/0!</v>
      </c>
      <c r="AQ38" s="373" t="e">
        <f>(AQ$27*AQ$28*AQ$29)*Carriageways!AS134*AQ19</f>
        <v>#DIV/0!</v>
      </c>
      <c r="AR38" s="373" t="e">
        <f>(AR$27*AR$28*AR$29)*Carriageways!AT134*AR19</f>
        <v>#DIV/0!</v>
      </c>
      <c r="AS38" s="373" t="e">
        <f>(AS$27*AS$28*AS$29)*Carriageways!AU134*AS19</f>
        <v>#DIV/0!</v>
      </c>
      <c r="AT38" s="373" t="e">
        <f>(AT$27*AT$28*AT$29)*Carriageways!AV134*AT19</f>
        <v>#DIV/0!</v>
      </c>
      <c r="AU38" s="373" t="e">
        <f>(AU$27*AU$28*AU$29)*Carriageways!AW134*AU19</f>
        <v>#DIV/0!</v>
      </c>
      <c r="AV38" s="373" t="e">
        <f>(AV$27*AV$28*AV$29)*Carriageways!AX134*AV19</f>
        <v>#DIV/0!</v>
      </c>
      <c r="AW38" s="373" t="e">
        <f>(AW$27*AW$28*AW$29)*Carriageways!AY134*AW19</f>
        <v>#DIV/0!</v>
      </c>
      <c r="AX38" s="373" t="e">
        <f>(AX$27*AX$28*AX$29)*Carriageways!AZ134*AX19</f>
        <v>#DIV/0!</v>
      </c>
      <c r="AY38" s="373" t="e">
        <f>(AY$27*AY$28*AY$29)*Carriageways!BA134*AY19</f>
        <v>#DIV/0!</v>
      </c>
      <c r="AZ38" s="373" t="e">
        <f>(AZ$27*AZ$28*AZ$29)*Carriageways!BB134*AZ19</f>
        <v>#DIV/0!</v>
      </c>
      <c r="BA38" s="373" t="e">
        <f>(BA$27*BA$28*BA$29)*Carriageways!BC134*BA19</f>
        <v>#DIV/0!</v>
      </c>
      <c r="BB38" s="373" t="e">
        <f>(BB$27*BB$28*BB$29)*Carriageways!BD134*BB19</f>
        <v>#DIV/0!</v>
      </c>
      <c r="BC38" s="373" t="e">
        <f>(BC$27*BC$28*BC$29)*Carriageways!BE134*BC19</f>
        <v>#DIV/0!</v>
      </c>
      <c r="BD38" s="373" t="e">
        <f>(BD$27*BD$28*BD$29)*Carriageways!BF134*BD19</f>
        <v>#DIV/0!</v>
      </c>
      <c r="BE38" s="373" t="e">
        <f>(BE$27*BE$28*BE$29)*Carriageways!BG134*BE19</f>
        <v>#DIV/0!</v>
      </c>
      <c r="BF38" s="373" t="e">
        <f>(BF$27*BF$28*BF$29)*Carriageways!BH134*BF19</f>
        <v>#DIV/0!</v>
      </c>
      <c r="BG38" s="373" t="e">
        <f>(BG$27*BG$28*BG$29)*Carriageways!BI134*BG19</f>
        <v>#DIV/0!</v>
      </c>
      <c r="BH38" s="373" t="e">
        <f>(BH$27*BH$28*BH$29)*Carriageways!BJ134*BH19</f>
        <v>#DIV/0!</v>
      </c>
      <c r="BI38" s="373" t="e">
        <f>(BI$27*BI$28*BI$29)*Carriageways!BK134*BI19</f>
        <v>#DIV/0!</v>
      </c>
      <c r="BJ38" s="373" t="e">
        <f>(BJ$27*BJ$28*BJ$29)*Carriageways!BL134*BJ19</f>
        <v>#DIV/0!</v>
      </c>
      <c r="BK38" s="373" t="e">
        <f>(BK$27*BK$28*BK$29)*Carriageways!BM134*BK19</f>
        <v>#DIV/0!</v>
      </c>
      <c r="BL38" s="373" t="e">
        <f>(BL$27*BL$28*BL$29)*Carriageways!BN134*BL19</f>
        <v>#DIV/0!</v>
      </c>
      <c r="BM38" s="373" t="e">
        <f>(BM$27*BM$28*BM$29)*Carriageways!BO134*BM19</f>
        <v>#DIV/0!</v>
      </c>
      <c r="BN38" s="373" t="e">
        <f>(BN$27*BN$28*BN$29)*Carriageways!BP134*BN19</f>
        <v>#DIV/0!</v>
      </c>
      <c r="BO38" s="373" t="e">
        <f>(BO$27*BO$28*BO$29)*Carriageways!BQ134*BO19</f>
        <v>#DIV/0!</v>
      </c>
      <c r="BP38" s="373" t="e">
        <f>(BP$27*BP$28*BP$29)*Carriageways!BR134*BP19</f>
        <v>#DIV/0!</v>
      </c>
      <c r="BQ38" s="373" t="e">
        <f>(BQ$27*BQ$28*BQ$29)*Carriageways!BS134*BQ19</f>
        <v>#DIV/0!</v>
      </c>
      <c r="BR38" s="373" t="e">
        <f>(BR$27*BR$28*BR$29)*Carriageways!BT134*BR19</f>
        <v>#DIV/0!</v>
      </c>
      <c r="BS38" s="373" t="e">
        <f>(BS$27*BS$28*BS$29)*Carriageways!BU134*BS19</f>
        <v>#DIV/0!</v>
      </c>
      <c r="BT38" s="373" t="e">
        <f>(BT$27*BT$28*BT$29)*Carriageways!BV134*BT19</f>
        <v>#DIV/0!</v>
      </c>
      <c r="BU38" s="373" t="e">
        <f>(BU$27*BU$28*BU$29)*Carriageways!BW134*BU19</f>
        <v>#DIV/0!</v>
      </c>
      <c r="BV38" s="373" t="e">
        <f>(BV$27*BV$28*BV$29)*Carriageways!BX134*BV19</f>
        <v>#DIV/0!</v>
      </c>
      <c r="BW38" s="373" t="e">
        <f>(BW$27*BW$28*BW$29)*Carriageways!BY134*BW19</f>
        <v>#DIV/0!</v>
      </c>
      <c r="BX38" s="373" t="e">
        <f>(BX$27*BX$28*BX$29)*Carriageways!BZ134*BX19</f>
        <v>#DIV/0!</v>
      </c>
      <c r="BY38" s="373" t="e">
        <f>(BY$27*BY$28*BY$29)*Carriageways!CA134*BY19</f>
        <v>#DIV/0!</v>
      </c>
      <c r="BZ38" s="373" t="e">
        <f>(BZ$27*BZ$28*BZ$29)*Carriageways!CB134*BZ19</f>
        <v>#DIV/0!</v>
      </c>
      <c r="CA38" s="373" t="e">
        <f>(CA$27*CA$28*CA$29)*Carriageways!CC134*CA19</f>
        <v>#DIV/0!</v>
      </c>
      <c r="CB38" s="373" t="e">
        <f>(CB$27*CB$28*CB$29)*Carriageways!CD134*CB19</f>
        <v>#DIV/0!</v>
      </c>
      <c r="CC38" s="373" t="e">
        <f>(CC$27*CC$28*CC$29)*Carriageways!CE134*CC19</f>
        <v>#DIV/0!</v>
      </c>
      <c r="CD38" s="373" t="e">
        <f>(CD$27*CD$28*CD$29)*Carriageways!CF134*CD19</f>
        <v>#DIV/0!</v>
      </c>
    </row>
    <row r="39" spans="1:82" ht="15.5">
      <c r="A39" s="360"/>
      <c r="B39" s="380" t="s">
        <v>89</v>
      </c>
      <c r="C39" s="373" t="e">
        <f>(C$27*C$28*C$29)*Carriageways!E135*C20</f>
        <v>#DIV/0!</v>
      </c>
      <c r="D39" s="373" t="e">
        <f>(D$27*D$28*D$29)*Carriageways!F135*D20</f>
        <v>#DIV/0!</v>
      </c>
      <c r="E39" s="373" t="e">
        <f>(E$27*E$28*E$29)*Carriageways!G135*E20</f>
        <v>#DIV/0!</v>
      </c>
      <c r="F39" s="373" t="e">
        <f>(F$27*F$28*F$29)*Carriageways!H135*F20</f>
        <v>#DIV/0!</v>
      </c>
      <c r="G39" s="373" t="e">
        <f>(G$27*G$28*G$29)*Carriageways!I135*G20</f>
        <v>#DIV/0!</v>
      </c>
      <c r="H39" s="373" t="e">
        <f>(H$27*H$28*H$29)*Carriageways!J135*H20</f>
        <v>#DIV/0!</v>
      </c>
      <c r="I39" s="373" t="e">
        <f>(I$27*I$28*I$29)*Carriageways!K135*I20</f>
        <v>#DIV/0!</v>
      </c>
      <c r="J39" s="373" t="e">
        <f>(J$27*J$28*J$29)*Carriageways!L135*J20</f>
        <v>#DIV/0!</v>
      </c>
      <c r="K39" s="373" t="e">
        <f>(K$27*K$28*K$29)*Carriageways!M135*K20</f>
        <v>#DIV/0!</v>
      </c>
      <c r="L39" s="373" t="e">
        <f>(L$27*L$28*L$29)*Carriageways!N135*L20</f>
        <v>#DIV/0!</v>
      </c>
      <c r="M39" s="373" t="e">
        <f>(M$27*M$28*M$29)*Carriageways!O135*M20</f>
        <v>#DIV/0!</v>
      </c>
      <c r="N39" s="373" t="e">
        <f>(N$27*N$28*N$29)*Carriageways!P135*N20</f>
        <v>#DIV/0!</v>
      </c>
      <c r="O39" s="373" t="e">
        <f>(O$27*O$28*O$29)*Carriageways!Q135*O20</f>
        <v>#DIV/0!</v>
      </c>
      <c r="P39" s="373" t="e">
        <f>(P$27*P$28*P$29)*Carriageways!R135*P20</f>
        <v>#DIV/0!</v>
      </c>
      <c r="Q39" s="373" t="e">
        <f>(Q$27*Q$28*Q$29)*Carriageways!S135*Q20</f>
        <v>#DIV/0!</v>
      </c>
      <c r="R39" s="373" t="e">
        <f>(R$27*R$28*R$29)*Carriageways!T135*R20</f>
        <v>#DIV/0!</v>
      </c>
      <c r="S39" s="373" t="e">
        <f>(S$27*S$28*S$29)*Carriageways!U135*S20</f>
        <v>#DIV/0!</v>
      </c>
      <c r="T39" s="373" t="e">
        <f>(T$27*T$28*T$29)*Carriageways!V135*T20</f>
        <v>#DIV/0!</v>
      </c>
      <c r="U39" s="373" t="e">
        <f>(U$27*U$28*U$29)*Carriageways!W135*U20</f>
        <v>#DIV/0!</v>
      </c>
      <c r="V39" s="373" t="e">
        <f>(V$27*V$28*V$29)*Carriageways!X135*V20</f>
        <v>#DIV/0!</v>
      </c>
      <c r="W39" s="373" t="e">
        <f>(W$27*W$28*W$29)*Carriageways!Y135*W20</f>
        <v>#DIV/0!</v>
      </c>
      <c r="X39" s="373" t="e">
        <f>(X$27*X$28*X$29)*Carriageways!Z135*X20</f>
        <v>#DIV/0!</v>
      </c>
      <c r="Y39" s="373" t="e">
        <f>(Y$27*Y$28*Y$29)*Carriageways!AA135*Y20</f>
        <v>#DIV/0!</v>
      </c>
      <c r="Z39" s="373" t="e">
        <f>(Z$27*Z$28*Z$29)*Carriageways!AB135*Z20</f>
        <v>#DIV/0!</v>
      </c>
      <c r="AA39" s="373" t="e">
        <f>(AA$27*AA$28*AA$29)*Carriageways!AC135*AA20</f>
        <v>#DIV/0!</v>
      </c>
      <c r="AB39" s="373" t="e">
        <f>(AB$27*AB$28*AB$29)*Carriageways!AD135*AB20</f>
        <v>#DIV/0!</v>
      </c>
      <c r="AC39" s="373" t="e">
        <f>(AC$27*AC$28*AC$29)*Carriageways!AE135*AC20</f>
        <v>#DIV/0!</v>
      </c>
      <c r="AD39" s="373" t="e">
        <f>(AD$27*AD$28*AD$29)*Carriageways!AF135*AD20</f>
        <v>#DIV/0!</v>
      </c>
      <c r="AE39" s="373" t="e">
        <f>(AE$27*AE$28*AE$29)*Carriageways!AG135*AE20</f>
        <v>#DIV/0!</v>
      </c>
      <c r="AF39" s="373" t="e">
        <f>(AF$27*AF$28*AF$29)*Carriageways!AH135*AF20</f>
        <v>#DIV/0!</v>
      </c>
      <c r="AG39" s="373" t="e">
        <f>(AG$27*AG$28*AG$29)*Carriageways!AI135*AG20</f>
        <v>#DIV/0!</v>
      </c>
      <c r="AH39" s="373" t="e">
        <f>(AH$27*AH$28*AH$29)*Carriageways!AJ135*AH20</f>
        <v>#DIV/0!</v>
      </c>
      <c r="AI39" s="373" t="e">
        <f>(AI$27*AI$28*AI$29)*Carriageways!AK135*AI20</f>
        <v>#DIV/0!</v>
      </c>
      <c r="AJ39" s="373" t="e">
        <f>(AJ$27*AJ$28*AJ$29)*Carriageways!AL135*AJ20</f>
        <v>#DIV/0!</v>
      </c>
      <c r="AK39" s="373" t="e">
        <f>(AK$27*AK$28*AK$29)*Carriageways!AM135*AK20</f>
        <v>#DIV/0!</v>
      </c>
      <c r="AL39" s="373" t="e">
        <f>(AL$27*AL$28*AL$29)*Carriageways!AN135*AL20</f>
        <v>#DIV/0!</v>
      </c>
      <c r="AM39" s="373" t="e">
        <f>(AM$27*AM$28*AM$29)*Carriageways!AO135*AM20</f>
        <v>#DIV/0!</v>
      </c>
      <c r="AN39" s="373" t="e">
        <f>(AN$27*AN$28*AN$29)*Carriageways!AP135*AN20</f>
        <v>#DIV/0!</v>
      </c>
      <c r="AO39" s="373" t="e">
        <f>(AO$27*AO$28*AO$29)*Carriageways!AQ135*AO20</f>
        <v>#DIV/0!</v>
      </c>
      <c r="AP39" s="373" t="e">
        <f>(AP$27*AP$28*AP$29)*Carriageways!AR135*AP20</f>
        <v>#DIV/0!</v>
      </c>
      <c r="AQ39" s="373" t="e">
        <f>(AQ$27*AQ$28*AQ$29)*Carriageways!AS135*AQ20</f>
        <v>#DIV/0!</v>
      </c>
      <c r="AR39" s="373" t="e">
        <f>(AR$27*AR$28*AR$29)*Carriageways!AT135*AR20</f>
        <v>#DIV/0!</v>
      </c>
      <c r="AS39" s="373" t="e">
        <f>(AS$27*AS$28*AS$29)*Carriageways!AU135*AS20</f>
        <v>#DIV/0!</v>
      </c>
      <c r="AT39" s="373" t="e">
        <f>(AT$27*AT$28*AT$29)*Carriageways!AV135*AT20</f>
        <v>#DIV/0!</v>
      </c>
      <c r="AU39" s="373" t="e">
        <f>(AU$27*AU$28*AU$29)*Carriageways!AW135*AU20</f>
        <v>#DIV/0!</v>
      </c>
      <c r="AV39" s="373" t="e">
        <f>(AV$27*AV$28*AV$29)*Carriageways!AX135*AV20</f>
        <v>#DIV/0!</v>
      </c>
      <c r="AW39" s="373" t="e">
        <f>(AW$27*AW$28*AW$29)*Carriageways!AY135*AW20</f>
        <v>#DIV/0!</v>
      </c>
      <c r="AX39" s="373" t="e">
        <f>(AX$27*AX$28*AX$29)*Carriageways!AZ135*AX20</f>
        <v>#DIV/0!</v>
      </c>
      <c r="AY39" s="373" t="e">
        <f>(AY$27*AY$28*AY$29)*Carriageways!BA135*AY20</f>
        <v>#DIV/0!</v>
      </c>
      <c r="AZ39" s="373" t="e">
        <f>(AZ$27*AZ$28*AZ$29)*Carriageways!BB135*AZ20</f>
        <v>#DIV/0!</v>
      </c>
      <c r="BA39" s="373" t="e">
        <f>(BA$27*BA$28*BA$29)*Carriageways!BC135*BA20</f>
        <v>#DIV/0!</v>
      </c>
      <c r="BB39" s="373" t="e">
        <f>(BB$27*BB$28*BB$29)*Carriageways!BD135*BB20</f>
        <v>#DIV/0!</v>
      </c>
      <c r="BC39" s="373" t="e">
        <f>(BC$27*BC$28*BC$29)*Carriageways!BE135*BC20</f>
        <v>#DIV/0!</v>
      </c>
      <c r="BD39" s="373" t="e">
        <f>(BD$27*BD$28*BD$29)*Carriageways!BF135*BD20</f>
        <v>#DIV/0!</v>
      </c>
      <c r="BE39" s="373" t="e">
        <f>(BE$27*BE$28*BE$29)*Carriageways!BG135*BE20</f>
        <v>#DIV/0!</v>
      </c>
      <c r="BF39" s="373" t="e">
        <f>(BF$27*BF$28*BF$29)*Carriageways!BH135*BF20</f>
        <v>#DIV/0!</v>
      </c>
      <c r="BG39" s="373" t="e">
        <f>(BG$27*BG$28*BG$29)*Carriageways!BI135*BG20</f>
        <v>#DIV/0!</v>
      </c>
      <c r="BH39" s="373" t="e">
        <f>(BH$27*BH$28*BH$29)*Carriageways!BJ135*BH20</f>
        <v>#DIV/0!</v>
      </c>
      <c r="BI39" s="373" t="e">
        <f>(BI$27*BI$28*BI$29)*Carriageways!BK135*BI20</f>
        <v>#DIV/0!</v>
      </c>
      <c r="BJ39" s="373" t="e">
        <f>(BJ$27*BJ$28*BJ$29)*Carriageways!BL135*BJ20</f>
        <v>#DIV/0!</v>
      </c>
      <c r="BK39" s="373" t="e">
        <f>(BK$27*BK$28*BK$29)*Carriageways!BM135*BK20</f>
        <v>#DIV/0!</v>
      </c>
      <c r="BL39" s="373" t="e">
        <f>(BL$27*BL$28*BL$29)*Carriageways!BN135*BL20</f>
        <v>#DIV/0!</v>
      </c>
      <c r="BM39" s="373" t="e">
        <f>(BM$27*BM$28*BM$29)*Carriageways!BO135*BM20</f>
        <v>#DIV/0!</v>
      </c>
      <c r="BN39" s="373" t="e">
        <f>(BN$27*BN$28*BN$29)*Carriageways!BP135*BN20</f>
        <v>#DIV/0!</v>
      </c>
      <c r="BO39" s="373" t="e">
        <f>(BO$27*BO$28*BO$29)*Carriageways!BQ135*BO20</f>
        <v>#DIV/0!</v>
      </c>
      <c r="BP39" s="373" t="e">
        <f>(BP$27*BP$28*BP$29)*Carriageways!BR135*BP20</f>
        <v>#DIV/0!</v>
      </c>
      <c r="BQ39" s="373" t="e">
        <f>(BQ$27*BQ$28*BQ$29)*Carriageways!BS135*BQ20</f>
        <v>#DIV/0!</v>
      </c>
      <c r="BR39" s="373" t="e">
        <f>(BR$27*BR$28*BR$29)*Carriageways!BT135*BR20</f>
        <v>#DIV/0!</v>
      </c>
      <c r="BS39" s="373" t="e">
        <f>(BS$27*BS$28*BS$29)*Carriageways!BU135*BS20</f>
        <v>#DIV/0!</v>
      </c>
      <c r="BT39" s="373" t="e">
        <f>(BT$27*BT$28*BT$29)*Carriageways!BV135*BT20</f>
        <v>#DIV/0!</v>
      </c>
      <c r="BU39" s="373" t="e">
        <f>(BU$27*BU$28*BU$29)*Carriageways!BW135*BU20</f>
        <v>#DIV/0!</v>
      </c>
      <c r="BV39" s="373" t="e">
        <f>(BV$27*BV$28*BV$29)*Carriageways!BX135*BV20</f>
        <v>#DIV/0!</v>
      </c>
      <c r="BW39" s="373" t="e">
        <f>(BW$27*BW$28*BW$29)*Carriageways!BY135*BW20</f>
        <v>#DIV/0!</v>
      </c>
      <c r="BX39" s="373" t="e">
        <f>(BX$27*BX$28*BX$29)*Carriageways!BZ135*BX20</f>
        <v>#DIV/0!</v>
      </c>
      <c r="BY39" s="373" t="e">
        <f>(BY$27*BY$28*BY$29)*Carriageways!CA135*BY20</f>
        <v>#DIV/0!</v>
      </c>
      <c r="BZ39" s="373" t="e">
        <f>(BZ$27*BZ$28*BZ$29)*Carriageways!CB135*BZ20</f>
        <v>#DIV/0!</v>
      </c>
      <c r="CA39" s="373" t="e">
        <f>(CA$27*CA$28*CA$29)*Carriageways!CC135*CA20</f>
        <v>#DIV/0!</v>
      </c>
      <c r="CB39" s="373" t="e">
        <f>(CB$27*CB$28*CB$29)*Carriageways!CD135*CB20</f>
        <v>#DIV/0!</v>
      </c>
      <c r="CC39" s="373" t="e">
        <f>(CC$27*CC$28*CC$29)*Carriageways!CE135*CC20</f>
        <v>#DIV/0!</v>
      </c>
      <c r="CD39" s="373" t="e">
        <f>(CD$27*CD$28*CD$29)*Carriageways!CF135*CD20</f>
        <v>#DIV/0!</v>
      </c>
    </row>
    <row r="40" spans="1:82" ht="15.5">
      <c r="A40" s="360"/>
      <c r="B40" s="380" t="s">
        <v>91</v>
      </c>
      <c r="C40" s="373" t="e">
        <f>(C$27*C$28*C$29)*Carriageways!E136*C21</f>
        <v>#DIV/0!</v>
      </c>
      <c r="D40" s="373" t="e">
        <f>(D$27*D$28*D$29)*Carriageways!F136*D21</f>
        <v>#DIV/0!</v>
      </c>
      <c r="E40" s="373" t="e">
        <f>(E$27*E$28*E$29)*Carriageways!G136*E21</f>
        <v>#DIV/0!</v>
      </c>
      <c r="F40" s="373" t="e">
        <f>(F$27*F$28*F$29)*Carriageways!H136*F21</f>
        <v>#DIV/0!</v>
      </c>
      <c r="G40" s="373" t="e">
        <f>(G$27*G$28*G$29)*Carriageways!I136*G21</f>
        <v>#DIV/0!</v>
      </c>
      <c r="H40" s="373" t="e">
        <f>(H$27*H$28*H$29)*Carriageways!J136*H21</f>
        <v>#DIV/0!</v>
      </c>
      <c r="I40" s="373" t="e">
        <f>(I$27*I$28*I$29)*Carriageways!K136*I21</f>
        <v>#DIV/0!</v>
      </c>
      <c r="J40" s="373" t="e">
        <f>(J$27*J$28*J$29)*Carriageways!L136*J21</f>
        <v>#DIV/0!</v>
      </c>
      <c r="K40" s="373" t="e">
        <f>(K$27*K$28*K$29)*Carriageways!M136*K21</f>
        <v>#DIV/0!</v>
      </c>
      <c r="L40" s="373" t="e">
        <f>(L$27*L$28*L$29)*Carriageways!N136*L21</f>
        <v>#DIV/0!</v>
      </c>
      <c r="M40" s="373" t="e">
        <f>(M$27*M$28*M$29)*Carriageways!O136*M21</f>
        <v>#DIV/0!</v>
      </c>
      <c r="N40" s="373" t="e">
        <f>(N$27*N$28*N$29)*Carriageways!P136*N21</f>
        <v>#DIV/0!</v>
      </c>
      <c r="O40" s="373" t="e">
        <f>(O$27*O$28*O$29)*Carriageways!Q136*O21</f>
        <v>#DIV/0!</v>
      </c>
      <c r="P40" s="373" t="e">
        <f>(P$27*P$28*P$29)*Carriageways!R136*P21</f>
        <v>#DIV/0!</v>
      </c>
      <c r="Q40" s="373" t="e">
        <f>(Q$27*Q$28*Q$29)*Carriageways!S136*Q21</f>
        <v>#DIV/0!</v>
      </c>
      <c r="R40" s="373" t="e">
        <f>(R$27*R$28*R$29)*Carriageways!T136*R21</f>
        <v>#DIV/0!</v>
      </c>
      <c r="S40" s="373" t="e">
        <f>(S$27*S$28*S$29)*Carriageways!U136*S21</f>
        <v>#DIV/0!</v>
      </c>
      <c r="T40" s="373" t="e">
        <f>(T$27*T$28*T$29)*Carriageways!V136*T21</f>
        <v>#DIV/0!</v>
      </c>
      <c r="U40" s="373" t="e">
        <f>(U$27*U$28*U$29)*Carriageways!W136*U21</f>
        <v>#DIV/0!</v>
      </c>
      <c r="V40" s="373" t="e">
        <f>(V$27*V$28*V$29)*Carriageways!X136*V21</f>
        <v>#DIV/0!</v>
      </c>
      <c r="W40" s="373" t="e">
        <f>(W$27*W$28*W$29)*Carriageways!Y136*W21</f>
        <v>#DIV/0!</v>
      </c>
      <c r="X40" s="373" t="e">
        <f>(X$27*X$28*X$29)*Carriageways!Z136*X21</f>
        <v>#DIV/0!</v>
      </c>
      <c r="Y40" s="373" t="e">
        <f>(Y$27*Y$28*Y$29)*Carriageways!AA136*Y21</f>
        <v>#DIV/0!</v>
      </c>
      <c r="Z40" s="373" t="e">
        <f>(Z$27*Z$28*Z$29)*Carriageways!AB136*Z21</f>
        <v>#DIV/0!</v>
      </c>
      <c r="AA40" s="373" t="e">
        <f>(AA$27*AA$28*AA$29)*Carriageways!AC136*AA21</f>
        <v>#DIV/0!</v>
      </c>
      <c r="AB40" s="373" t="e">
        <f>(AB$27*AB$28*AB$29)*Carriageways!AD136*AB21</f>
        <v>#DIV/0!</v>
      </c>
      <c r="AC40" s="373" t="e">
        <f>(AC$27*AC$28*AC$29)*Carriageways!AE136*AC21</f>
        <v>#DIV/0!</v>
      </c>
      <c r="AD40" s="373" t="e">
        <f>(AD$27*AD$28*AD$29)*Carriageways!AF136*AD21</f>
        <v>#DIV/0!</v>
      </c>
      <c r="AE40" s="373" t="e">
        <f>(AE$27*AE$28*AE$29)*Carriageways!AG136*AE21</f>
        <v>#DIV/0!</v>
      </c>
      <c r="AF40" s="373" t="e">
        <f>(AF$27*AF$28*AF$29)*Carriageways!AH136*AF21</f>
        <v>#DIV/0!</v>
      </c>
      <c r="AG40" s="373" t="e">
        <f>(AG$27*AG$28*AG$29)*Carriageways!AI136*AG21</f>
        <v>#DIV/0!</v>
      </c>
      <c r="AH40" s="373" t="e">
        <f>(AH$27*AH$28*AH$29)*Carriageways!AJ136*AH21</f>
        <v>#DIV/0!</v>
      </c>
      <c r="AI40" s="373" t="e">
        <f>(AI$27*AI$28*AI$29)*Carriageways!AK136*AI21</f>
        <v>#DIV/0!</v>
      </c>
      <c r="AJ40" s="373" t="e">
        <f>(AJ$27*AJ$28*AJ$29)*Carriageways!AL136*AJ21</f>
        <v>#DIV/0!</v>
      </c>
      <c r="AK40" s="373" t="e">
        <f>(AK$27*AK$28*AK$29)*Carriageways!AM136*AK21</f>
        <v>#DIV/0!</v>
      </c>
      <c r="AL40" s="373" t="e">
        <f>(AL$27*AL$28*AL$29)*Carriageways!AN136*AL21</f>
        <v>#DIV/0!</v>
      </c>
      <c r="AM40" s="373" t="e">
        <f>(AM$27*AM$28*AM$29)*Carriageways!AO136*AM21</f>
        <v>#DIV/0!</v>
      </c>
      <c r="AN40" s="373" t="e">
        <f>(AN$27*AN$28*AN$29)*Carriageways!AP136*AN21</f>
        <v>#DIV/0!</v>
      </c>
      <c r="AO40" s="373" t="e">
        <f>(AO$27*AO$28*AO$29)*Carriageways!AQ136*AO21</f>
        <v>#DIV/0!</v>
      </c>
      <c r="AP40" s="373" t="e">
        <f>(AP$27*AP$28*AP$29)*Carriageways!AR136*AP21</f>
        <v>#DIV/0!</v>
      </c>
      <c r="AQ40" s="373" t="e">
        <f>(AQ$27*AQ$28*AQ$29)*Carriageways!AS136*AQ21</f>
        <v>#DIV/0!</v>
      </c>
      <c r="AR40" s="373" t="e">
        <f>(AR$27*AR$28*AR$29)*Carriageways!AT136*AR21</f>
        <v>#DIV/0!</v>
      </c>
      <c r="AS40" s="373" t="e">
        <f>(AS$27*AS$28*AS$29)*Carriageways!AU136*AS21</f>
        <v>#DIV/0!</v>
      </c>
      <c r="AT40" s="373" t="e">
        <f>(AT$27*AT$28*AT$29)*Carriageways!AV136*AT21</f>
        <v>#DIV/0!</v>
      </c>
      <c r="AU40" s="373" t="e">
        <f>(AU$27*AU$28*AU$29)*Carriageways!AW136*AU21</f>
        <v>#DIV/0!</v>
      </c>
      <c r="AV40" s="373" t="e">
        <f>(AV$27*AV$28*AV$29)*Carriageways!AX136*AV21</f>
        <v>#DIV/0!</v>
      </c>
      <c r="AW40" s="373" t="e">
        <f>(AW$27*AW$28*AW$29)*Carriageways!AY136*AW21</f>
        <v>#DIV/0!</v>
      </c>
      <c r="AX40" s="373" t="e">
        <f>(AX$27*AX$28*AX$29)*Carriageways!AZ136*AX21</f>
        <v>#DIV/0!</v>
      </c>
      <c r="AY40" s="373" t="e">
        <f>(AY$27*AY$28*AY$29)*Carriageways!BA136*AY21</f>
        <v>#DIV/0!</v>
      </c>
      <c r="AZ40" s="373" t="e">
        <f>(AZ$27*AZ$28*AZ$29)*Carriageways!BB136*AZ21</f>
        <v>#DIV/0!</v>
      </c>
      <c r="BA40" s="373" t="e">
        <f>(BA$27*BA$28*BA$29)*Carriageways!BC136*BA21</f>
        <v>#DIV/0!</v>
      </c>
      <c r="BB40" s="373" t="e">
        <f>(BB$27*BB$28*BB$29)*Carriageways!BD136*BB21</f>
        <v>#DIV/0!</v>
      </c>
      <c r="BC40" s="373" t="e">
        <f>(BC$27*BC$28*BC$29)*Carriageways!BE136*BC21</f>
        <v>#DIV/0!</v>
      </c>
      <c r="BD40" s="373" t="e">
        <f>(BD$27*BD$28*BD$29)*Carriageways!BF136*BD21</f>
        <v>#DIV/0!</v>
      </c>
      <c r="BE40" s="373" t="e">
        <f>(BE$27*BE$28*BE$29)*Carriageways!BG136*BE21</f>
        <v>#DIV/0!</v>
      </c>
      <c r="BF40" s="373" t="e">
        <f>(BF$27*BF$28*BF$29)*Carriageways!BH136*BF21</f>
        <v>#DIV/0!</v>
      </c>
      <c r="BG40" s="373" t="e">
        <f>(BG$27*BG$28*BG$29)*Carriageways!BI136*BG21</f>
        <v>#DIV/0!</v>
      </c>
      <c r="BH40" s="373" t="e">
        <f>(BH$27*BH$28*BH$29)*Carriageways!BJ136*BH21</f>
        <v>#DIV/0!</v>
      </c>
      <c r="BI40" s="373" t="e">
        <f>(BI$27*BI$28*BI$29)*Carriageways!BK136*BI21</f>
        <v>#DIV/0!</v>
      </c>
      <c r="BJ40" s="373" t="e">
        <f>(BJ$27*BJ$28*BJ$29)*Carriageways!BL136*BJ21</f>
        <v>#DIV/0!</v>
      </c>
      <c r="BK40" s="373" t="e">
        <f>(BK$27*BK$28*BK$29)*Carriageways!BM136*BK21</f>
        <v>#DIV/0!</v>
      </c>
      <c r="BL40" s="373" t="e">
        <f>(BL$27*BL$28*BL$29)*Carriageways!BN136*BL21</f>
        <v>#DIV/0!</v>
      </c>
      <c r="BM40" s="373" t="e">
        <f>(BM$27*BM$28*BM$29)*Carriageways!BO136*BM21</f>
        <v>#DIV/0!</v>
      </c>
      <c r="BN40" s="373" t="e">
        <f>(BN$27*BN$28*BN$29)*Carriageways!BP136*BN21</f>
        <v>#DIV/0!</v>
      </c>
      <c r="BO40" s="373" t="e">
        <f>(BO$27*BO$28*BO$29)*Carriageways!BQ136*BO21</f>
        <v>#DIV/0!</v>
      </c>
      <c r="BP40" s="373" t="e">
        <f>(BP$27*BP$28*BP$29)*Carriageways!BR136*BP21</f>
        <v>#DIV/0!</v>
      </c>
      <c r="BQ40" s="373" t="e">
        <f>(BQ$27*BQ$28*BQ$29)*Carriageways!BS136*BQ21</f>
        <v>#DIV/0!</v>
      </c>
      <c r="BR40" s="373" t="e">
        <f>(BR$27*BR$28*BR$29)*Carriageways!BT136*BR21</f>
        <v>#DIV/0!</v>
      </c>
      <c r="BS40" s="373" t="e">
        <f>(BS$27*BS$28*BS$29)*Carriageways!BU136*BS21</f>
        <v>#DIV/0!</v>
      </c>
      <c r="BT40" s="373" t="e">
        <f>(BT$27*BT$28*BT$29)*Carriageways!BV136*BT21</f>
        <v>#DIV/0!</v>
      </c>
      <c r="BU40" s="373" t="e">
        <f>(BU$27*BU$28*BU$29)*Carriageways!BW136*BU21</f>
        <v>#DIV/0!</v>
      </c>
      <c r="BV40" s="373" t="e">
        <f>(BV$27*BV$28*BV$29)*Carriageways!BX136*BV21</f>
        <v>#DIV/0!</v>
      </c>
      <c r="BW40" s="373" t="e">
        <f>(BW$27*BW$28*BW$29)*Carriageways!BY136*BW21</f>
        <v>#DIV/0!</v>
      </c>
      <c r="BX40" s="373" t="e">
        <f>(BX$27*BX$28*BX$29)*Carriageways!BZ136*BX21</f>
        <v>#DIV/0!</v>
      </c>
      <c r="BY40" s="373" t="e">
        <f>(BY$27*BY$28*BY$29)*Carriageways!CA136*BY21</f>
        <v>#DIV/0!</v>
      </c>
      <c r="BZ40" s="373" t="e">
        <f>(BZ$27*BZ$28*BZ$29)*Carriageways!CB136*BZ21</f>
        <v>#DIV/0!</v>
      </c>
      <c r="CA40" s="373" t="e">
        <f>(CA$27*CA$28*CA$29)*Carriageways!CC136*CA21</f>
        <v>#DIV/0!</v>
      </c>
      <c r="CB40" s="373" t="e">
        <f>(CB$27*CB$28*CB$29)*Carriageways!CD136*CB21</f>
        <v>#DIV/0!</v>
      </c>
      <c r="CC40" s="373" t="e">
        <f>(CC$27*CC$28*CC$29)*Carriageways!CE136*CC21</f>
        <v>#DIV/0!</v>
      </c>
      <c r="CD40" s="373" t="e">
        <f>(CD$27*CD$28*CD$29)*Carriageways!CF136*CD21</f>
        <v>#DIV/0!</v>
      </c>
    </row>
    <row r="41" spans="1:82" ht="15.5">
      <c r="A41" s="360"/>
      <c r="B41" s="380" t="s">
        <v>93</v>
      </c>
      <c r="C41" s="373" t="e">
        <f>(C$27*C$28*C$29)*Carriageways!E137*C22</f>
        <v>#DIV/0!</v>
      </c>
      <c r="D41" s="373" t="e">
        <f>(D$27*D$28*D$29)*Carriageways!F137*D22</f>
        <v>#DIV/0!</v>
      </c>
      <c r="E41" s="373" t="e">
        <f>(E$27*E$28*E$29)*Carriageways!G137*E22</f>
        <v>#DIV/0!</v>
      </c>
      <c r="F41" s="373" t="e">
        <f>(F$27*F$28*F$29)*Carriageways!H137*F22</f>
        <v>#DIV/0!</v>
      </c>
      <c r="G41" s="373" t="e">
        <f>(G$27*G$28*G$29)*Carriageways!I137*G22</f>
        <v>#DIV/0!</v>
      </c>
      <c r="H41" s="373" t="e">
        <f>(H$27*H$28*H$29)*Carriageways!J137*H22</f>
        <v>#DIV/0!</v>
      </c>
      <c r="I41" s="373" t="e">
        <f>(I$27*I$28*I$29)*Carriageways!K137*I22</f>
        <v>#DIV/0!</v>
      </c>
      <c r="J41" s="373" t="e">
        <f>(J$27*J$28*J$29)*Carriageways!L137*J22</f>
        <v>#DIV/0!</v>
      </c>
      <c r="K41" s="373" t="e">
        <f>(K$27*K$28*K$29)*Carriageways!M137*K22</f>
        <v>#DIV/0!</v>
      </c>
      <c r="L41" s="373" t="e">
        <f>(L$27*L$28*L$29)*Carriageways!N137*L22</f>
        <v>#DIV/0!</v>
      </c>
      <c r="M41" s="373" t="e">
        <f>(M$27*M$28*M$29)*Carriageways!O137*M22</f>
        <v>#DIV/0!</v>
      </c>
      <c r="N41" s="373" t="e">
        <f>(N$27*N$28*N$29)*Carriageways!P137*N22</f>
        <v>#DIV/0!</v>
      </c>
      <c r="O41" s="373" t="e">
        <f>(O$27*O$28*O$29)*Carriageways!Q137*O22</f>
        <v>#DIV/0!</v>
      </c>
      <c r="P41" s="373" t="e">
        <f>(P$27*P$28*P$29)*Carriageways!R137*P22</f>
        <v>#DIV/0!</v>
      </c>
      <c r="Q41" s="373" t="e">
        <f>(Q$27*Q$28*Q$29)*Carriageways!S137*Q22</f>
        <v>#DIV/0!</v>
      </c>
      <c r="R41" s="373" t="e">
        <f>(R$27*R$28*R$29)*Carriageways!T137*R22</f>
        <v>#DIV/0!</v>
      </c>
      <c r="S41" s="373" t="e">
        <f>(S$27*S$28*S$29)*Carriageways!U137*S22</f>
        <v>#DIV/0!</v>
      </c>
      <c r="T41" s="373" t="e">
        <f>(T$27*T$28*T$29)*Carriageways!V137*T22</f>
        <v>#DIV/0!</v>
      </c>
      <c r="U41" s="373" t="e">
        <f>(U$27*U$28*U$29)*Carriageways!W137*U22</f>
        <v>#DIV/0!</v>
      </c>
      <c r="V41" s="373" t="e">
        <f>(V$27*V$28*V$29)*Carriageways!X137*V22</f>
        <v>#DIV/0!</v>
      </c>
      <c r="W41" s="373" t="e">
        <f>(W$27*W$28*W$29)*Carriageways!Y137*W22</f>
        <v>#DIV/0!</v>
      </c>
      <c r="X41" s="373" t="e">
        <f>(X$27*X$28*X$29)*Carriageways!Z137*X22</f>
        <v>#DIV/0!</v>
      </c>
      <c r="Y41" s="373" t="e">
        <f>(Y$27*Y$28*Y$29)*Carriageways!AA137*Y22</f>
        <v>#DIV/0!</v>
      </c>
      <c r="Z41" s="373" t="e">
        <f>(Z$27*Z$28*Z$29)*Carriageways!AB137*Z22</f>
        <v>#DIV/0!</v>
      </c>
      <c r="AA41" s="373" t="e">
        <f>(AA$27*AA$28*AA$29)*Carriageways!AC137*AA22</f>
        <v>#DIV/0!</v>
      </c>
      <c r="AB41" s="373" t="e">
        <f>(AB$27*AB$28*AB$29)*Carriageways!AD137*AB22</f>
        <v>#DIV/0!</v>
      </c>
      <c r="AC41" s="373" t="e">
        <f>(AC$27*AC$28*AC$29)*Carriageways!AE137*AC22</f>
        <v>#DIV/0!</v>
      </c>
      <c r="AD41" s="373" t="e">
        <f>(AD$27*AD$28*AD$29)*Carriageways!AF137*AD22</f>
        <v>#DIV/0!</v>
      </c>
      <c r="AE41" s="373" t="e">
        <f>(AE$27*AE$28*AE$29)*Carriageways!AG137*AE22</f>
        <v>#DIV/0!</v>
      </c>
      <c r="AF41" s="373" t="e">
        <f>(AF$27*AF$28*AF$29)*Carriageways!AH137*AF22</f>
        <v>#DIV/0!</v>
      </c>
      <c r="AG41" s="373" t="e">
        <f>(AG$27*AG$28*AG$29)*Carriageways!AI137*AG22</f>
        <v>#DIV/0!</v>
      </c>
      <c r="AH41" s="373" t="e">
        <f>(AH$27*AH$28*AH$29)*Carriageways!AJ137*AH22</f>
        <v>#DIV/0!</v>
      </c>
      <c r="AI41" s="373" t="e">
        <f>(AI$27*AI$28*AI$29)*Carriageways!AK137*AI22</f>
        <v>#DIV/0!</v>
      </c>
      <c r="AJ41" s="373" t="e">
        <f>(AJ$27*AJ$28*AJ$29)*Carriageways!AL137*AJ22</f>
        <v>#DIV/0!</v>
      </c>
      <c r="AK41" s="373" t="e">
        <f>(AK$27*AK$28*AK$29)*Carriageways!AM137*AK22</f>
        <v>#DIV/0!</v>
      </c>
      <c r="AL41" s="373" t="e">
        <f>(AL$27*AL$28*AL$29)*Carriageways!AN137*AL22</f>
        <v>#DIV/0!</v>
      </c>
      <c r="AM41" s="373" t="e">
        <f>(AM$27*AM$28*AM$29)*Carriageways!AO137*AM22</f>
        <v>#DIV/0!</v>
      </c>
      <c r="AN41" s="373" t="e">
        <f>(AN$27*AN$28*AN$29)*Carriageways!AP137*AN22</f>
        <v>#DIV/0!</v>
      </c>
      <c r="AO41" s="373" t="e">
        <f>(AO$27*AO$28*AO$29)*Carriageways!AQ137*AO22</f>
        <v>#DIV/0!</v>
      </c>
      <c r="AP41" s="373" t="e">
        <f>(AP$27*AP$28*AP$29)*Carriageways!AR137*AP22</f>
        <v>#DIV/0!</v>
      </c>
      <c r="AQ41" s="373" t="e">
        <f>(AQ$27*AQ$28*AQ$29)*Carriageways!AS137*AQ22</f>
        <v>#DIV/0!</v>
      </c>
      <c r="AR41" s="373" t="e">
        <f>(AR$27*AR$28*AR$29)*Carriageways!AT137*AR22</f>
        <v>#DIV/0!</v>
      </c>
      <c r="AS41" s="373" t="e">
        <f>(AS$27*AS$28*AS$29)*Carriageways!AU137*AS22</f>
        <v>#DIV/0!</v>
      </c>
      <c r="AT41" s="373" t="e">
        <f>(AT$27*AT$28*AT$29)*Carriageways!AV137*AT22</f>
        <v>#DIV/0!</v>
      </c>
      <c r="AU41" s="373" t="e">
        <f>(AU$27*AU$28*AU$29)*Carriageways!AW137*AU22</f>
        <v>#DIV/0!</v>
      </c>
      <c r="AV41" s="373" t="e">
        <f>(AV$27*AV$28*AV$29)*Carriageways!AX137*AV22</f>
        <v>#DIV/0!</v>
      </c>
      <c r="AW41" s="373" t="e">
        <f>(AW$27*AW$28*AW$29)*Carriageways!AY137*AW22</f>
        <v>#DIV/0!</v>
      </c>
      <c r="AX41" s="373" t="e">
        <f>(AX$27*AX$28*AX$29)*Carriageways!AZ137*AX22</f>
        <v>#DIV/0!</v>
      </c>
      <c r="AY41" s="373" t="e">
        <f>(AY$27*AY$28*AY$29)*Carriageways!BA137*AY22</f>
        <v>#DIV/0!</v>
      </c>
      <c r="AZ41" s="373" t="e">
        <f>(AZ$27*AZ$28*AZ$29)*Carriageways!BB137*AZ22</f>
        <v>#DIV/0!</v>
      </c>
      <c r="BA41" s="373" t="e">
        <f>(BA$27*BA$28*BA$29)*Carriageways!BC137*BA22</f>
        <v>#DIV/0!</v>
      </c>
      <c r="BB41" s="373" t="e">
        <f>(BB$27*BB$28*BB$29)*Carriageways!BD137*BB22</f>
        <v>#DIV/0!</v>
      </c>
      <c r="BC41" s="373" t="e">
        <f>(BC$27*BC$28*BC$29)*Carriageways!BE137*BC22</f>
        <v>#DIV/0!</v>
      </c>
      <c r="BD41" s="373" t="e">
        <f>(BD$27*BD$28*BD$29)*Carriageways!BF137*BD22</f>
        <v>#DIV/0!</v>
      </c>
      <c r="BE41" s="373" t="e">
        <f>(BE$27*BE$28*BE$29)*Carriageways!BG137*BE22</f>
        <v>#DIV/0!</v>
      </c>
      <c r="BF41" s="373" t="e">
        <f>(BF$27*BF$28*BF$29)*Carriageways!BH137*BF22</f>
        <v>#DIV/0!</v>
      </c>
      <c r="BG41" s="373" t="e">
        <f>(BG$27*BG$28*BG$29)*Carriageways!BI137*BG22</f>
        <v>#DIV/0!</v>
      </c>
      <c r="BH41" s="373" t="e">
        <f>(BH$27*BH$28*BH$29)*Carriageways!BJ137*BH22</f>
        <v>#DIV/0!</v>
      </c>
      <c r="BI41" s="373" t="e">
        <f>(BI$27*BI$28*BI$29)*Carriageways!BK137*BI22</f>
        <v>#DIV/0!</v>
      </c>
      <c r="BJ41" s="373" t="e">
        <f>(BJ$27*BJ$28*BJ$29)*Carriageways!BL137*BJ22</f>
        <v>#DIV/0!</v>
      </c>
      <c r="BK41" s="373" t="e">
        <f>(BK$27*BK$28*BK$29)*Carriageways!BM137*BK22</f>
        <v>#DIV/0!</v>
      </c>
      <c r="BL41" s="373" t="e">
        <f>(BL$27*BL$28*BL$29)*Carriageways!BN137*BL22</f>
        <v>#DIV/0!</v>
      </c>
      <c r="BM41" s="373" t="e">
        <f>(BM$27*BM$28*BM$29)*Carriageways!BO137*BM22</f>
        <v>#DIV/0!</v>
      </c>
      <c r="BN41" s="373" t="e">
        <f>(BN$27*BN$28*BN$29)*Carriageways!BP137*BN22</f>
        <v>#DIV/0!</v>
      </c>
      <c r="BO41" s="373" t="e">
        <f>(BO$27*BO$28*BO$29)*Carriageways!BQ137*BO22</f>
        <v>#DIV/0!</v>
      </c>
      <c r="BP41" s="373" t="e">
        <f>(BP$27*BP$28*BP$29)*Carriageways!BR137*BP22</f>
        <v>#DIV/0!</v>
      </c>
      <c r="BQ41" s="373" t="e">
        <f>(BQ$27*BQ$28*BQ$29)*Carriageways!BS137*BQ22</f>
        <v>#DIV/0!</v>
      </c>
      <c r="BR41" s="373" t="e">
        <f>(BR$27*BR$28*BR$29)*Carriageways!BT137*BR22</f>
        <v>#DIV/0!</v>
      </c>
      <c r="BS41" s="373" t="e">
        <f>(BS$27*BS$28*BS$29)*Carriageways!BU137*BS22</f>
        <v>#DIV/0!</v>
      </c>
      <c r="BT41" s="373" t="e">
        <f>(BT$27*BT$28*BT$29)*Carriageways!BV137*BT22</f>
        <v>#DIV/0!</v>
      </c>
      <c r="BU41" s="373" t="e">
        <f>(BU$27*BU$28*BU$29)*Carriageways!BW137*BU22</f>
        <v>#DIV/0!</v>
      </c>
      <c r="BV41" s="373" t="e">
        <f>(BV$27*BV$28*BV$29)*Carriageways!BX137*BV22</f>
        <v>#DIV/0!</v>
      </c>
      <c r="BW41" s="373" t="e">
        <f>(BW$27*BW$28*BW$29)*Carriageways!BY137*BW22</f>
        <v>#DIV/0!</v>
      </c>
      <c r="BX41" s="373" t="e">
        <f>(BX$27*BX$28*BX$29)*Carriageways!BZ137*BX22</f>
        <v>#DIV/0!</v>
      </c>
      <c r="BY41" s="373" t="e">
        <f>(BY$27*BY$28*BY$29)*Carriageways!CA137*BY22</f>
        <v>#DIV/0!</v>
      </c>
      <c r="BZ41" s="373" t="e">
        <f>(BZ$27*BZ$28*BZ$29)*Carriageways!CB137*BZ22</f>
        <v>#DIV/0!</v>
      </c>
      <c r="CA41" s="373" t="e">
        <f>(CA$27*CA$28*CA$29)*Carriageways!CC137*CA22</f>
        <v>#DIV/0!</v>
      </c>
      <c r="CB41" s="373" t="e">
        <f>(CB$27*CB$28*CB$29)*Carriageways!CD137*CB22</f>
        <v>#DIV/0!</v>
      </c>
      <c r="CC41" s="373" t="e">
        <f>(CC$27*CC$28*CC$29)*Carriageways!CE137*CC22</f>
        <v>#DIV/0!</v>
      </c>
      <c r="CD41" s="373" t="e">
        <f>(CD$27*CD$28*CD$29)*Carriageways!CF137*CD22</f>
        <v>#DIV/0!</v>
      </c>
    </row>
    <row r="43" spans="1:82" ht="15.5">
      <c r="A43" s="360"/>
      <c r="B43" s="372" t="s">
        <v>394</v>
      </c>
      <c r="C43" s="372">
        <v>2010</v>
      </c>
      <c r="D43" s="372">
        <v>2011</v>
      </c>
      <c r="E43" s="372">
        <v>2012</v>
      </c>
      <c r="F43" s="372">
        <v>2013</v>
      </c>
      <c r="G43" s="372">
        <v>2014</v>
      </c>
      <c r="H43" s="372">
        <v>2015</v>
      </c>
      <c r="I43" s="372">
        <v>2016</v>
      </c>
      <c r="J43" s="372">
        <v>2017</v>
      </c>
      <c r="K43" s="372">
        <v>2018</v>
      </c>
      <c r="L43" s="372">
        <v>2019</v>
      </c>
      <c r="M43" s="372">
        <v>2020</v>
      </c>
      <c r="N43" s="372">
        <v>2021</v>
      </c>
      <c r="O43" s="372">
        <v>2022</v>
      </c>
      <c r="P43" s="372">
        <v>2023</v>
      </c>
      <c r="Q43" s="372">
        <v>2024</v>
      </c>
      <c r="R43" s="372">
        <v>2025</v>
      </c>
      <c r="S43" s="372">
        <v>2026</v>
      </c>
      <c r="T43" s="372">
        <v>2027</v>
      </c>
      <c r="U43" s="372">
        <v>2028</v>
      </c>
      <c r="V43" s="372">
        <v>2029</v>
      </c>
      <c r="W43" s="372">
        <v>2030</v>
      </c>
      <c r="X43" s="372">
        <v>2031</v>
      </c>
      <c r="Y43" s="372">
        <v>2032</v>
      </c>
      <c r="Z43" s="372">
        <v>2033</v>
      </c>
      <c r="AA43" s="372">
        <v>2034</v>
      </c>
      <c r="AB43" s="372">
        <v>2035</v>
      </c>
      <c r="AC43" s="372">
        <v>2036</v>
      </c>
      <c r="AD43" s="372">
        <v>2037</v>
      </c>
      <c r="AE43" s="372">
        <v>2038</v>
      </c>
      <c r="AF43" s="372">
        <v>2039</v>
      </c>
      <c r="AG43" s="372">
        <v>2040</v>
      </c>
      <c r="AH43" s="372">
        <v>2041</v>
      </c>
      <c r="AI43" s="372">
        <v>2042</v>
      </c>
      <c r="AJ43" s="372">
        <v>2043</v>
      </c>
      <c r="AK43" s="372">
        <v>2044</v>
      </c>
      <c r="AL43" s="372">
        <v>2045</v>
      </c>
      <c r="AM43" s="372">
        <v>2046</v>
      </c>
      <c r="AN43" s="372">
        <v>2047</v>
      </c>
      <c r="AO43" s="372">
        <v>2048</v>
      </c>
      <c r="AP43" s="372">
        <v>2049</v>
      </c>
      <c r="AQ43" s="372">
        <v>2050</v>
      </c>
      <c r="AR43" s="372">
        <v>2051</v>
      </c>
      <c r="AS43" s="372">
        <v>2052</v>
      </c>
      <c r="AT43" s="372">
        <v>2053</v>
      </c>
      <c r="AU43" s="372">
        <v>2054</v>
      </c>
      <c r="AV43" s="372">
        <v>2055</v>
      </c>
      <c r="AW43" s="372">
        <v>2056</v>
      </c>
      <c r="AX43" s="372">
        <v>2057</v>
      </c>
      <c r="AY43" s="372">
        <v>2058</v>
      </c>
      <c r="AZ43" s="372">
        <v>2059</v>
      </c>
      <c r="BA43" s="372">
        <v>2060</v>
      </c>
      <c r="BB43" s="372">
        <v>2061</v>
      </c>
      <c r="BC43" s="372">
        <v>2062</v>
      </c>
      <c r="BD43" s="372">
        <v>2063</v>
      </c>
      <c r="BE43" s="372">
        <v>2064</v>
      </c>
      <c r="BF43" s="372">
        <v>2065</v>
      </c>
      <c r="BG43" s="372">
        <v>2066</v>
      </c>
      <c r="BH43" s="372">
        <v>2067</v>
      </c>
      <c r="BI43" s="372">
        <v>2068</v>
      </c>
      <c r="BJ43" s="372">
        <v>2069</v>
      </c>
      <c r="BK43" s="372">
        <v>2070</v>
      </c>
      <c r="BL43" s="372">
        <v>2071</v>
      </c>
      <c r="BM43" s="372">
        <v>2072</v>
      </c>
      <c r="BN43" s="372">
        <v>2073</v>
      </c>
      <c r="BO43" s="372">
        <v>2074</v>
      </c>
      <c r="BP43" s="372">
        <v>2075</v>
      </c>
      <c r="BQ43" s="372">
        <v>2076</v>
      </c>
      <c r="BR43" s="372">
        <v>2077</v>
      </c>
      <c r="BS43" s="372">
        <v>2078</v>
      </c>
      <c r="BT43" s="372">
        <v>2079</v>
      </c>
      <c r="BU43" s="372">
        <v>2080</v>
      </c>
      <c r="BV43" s="372">
        <v>2081</v>
      </c>
      <c r="BW43" s="372">
        <v>2082</v>
      </c>
      <c r="BX43" s="372">
        <v>2083</v>
      </c>
      <c r="BY43" s="372">
        <v>2084</v>
      </c>
      <c r="BZ43" s="372">
        <v>2085</v>
      </c>
      <c r="CA43" s="372">
        <v>2086</v>
      </c>
      <c r="CB43" s="372">
        <v>2087</v>
      </c>
      <c r="CC43" s="372">
        <v>2088</v>
      </c>
      <c r="CD43" s="372">
        <v>2089</v>
      </c>
    </row>
    <row r="44" spans="1:82" ht="15.5">
      <c r="A44" s="360"/>
      <c r="B44" s="373" t="s">
        <v>249</v>
      </c>
      <c r="C44" s="373" t="e">
        <f>(C$27*C$28*C$29)*Carriageways!E170</f>
        <v>#DIV/0!</v>
      </c>
      <c r="D44" s="373" t="e">
        <f>(D$27*D$28*D$29)*Carriageways!F170</f>
        <v>#DIV/0!</v>
      </c>
      <c r="E44" s="373" t="e">
        <f>(E$27*E$28*E$29)*Carriageways!G170</f>
        <v>#DIV/0!</v>
      </c>
      <c r="F44" s="373" t="e">
        <f>(F$27*F$28*F$29)*Carriageways!H170</f>
        <v>#DIV/0!</v>
      </c>
      <c r="G44" s="373" t="e">
        <f>(G$27*G$28*G$29)*Carriageways!I170</f>
        <v>#DIV/0!</v>
      </c>
      <c r="H44" s="373" t="e">
        <f>(H$27*H$28*H$29)*Carriageways!J170</f>
        <v>#DIV/0!</v>
      </c>
      <c r="I44" s="373" t="e">
        <f>(I$27*I$28*I$29)*Carriageways!K170</f>
        <v>#DIV/0!</v>
      </c>
      <c r="J44" s="373" t="e">
        <f>(J$27*J$28*J$29)*Carriageways!L170</f>
        <v>#DIV/0!</v>
      </c>
      <c r="K44" s="373" t="e">
        <f>(K$27*K$28*K$29)*Carriageways!M170</f>
        <v>#DIV/0!</v>
      </c>
      <c r="L44" s="373" t="e">
        <f>(L$27*L$28*L$29)*Carriageways!N170</f>
        <v>#DIV/0!</v>
      </c>
      <c r="M44" s="373" t="e">
        <f>(M$27*M$28*M$29)*Carriageways!O170</f>
        <v>#DIV/0!</v>
      </c>
      <c r="N44" s="373" t="e">
        <f>(N$27*N$28*N$29)*Carriageways!P170</f>
        <v>#DIV/0!</v>
      </c>
      <c r="O44" s="373" t="e">
        <f>(O$27*O$28*O$29)*Carriageways!Q170</f>
        <v>#DIV/0!</v>
      </c>
      <c r="P44" s="373" t="e">
        <f>(P$27*P$28*P$29)*Carriageways!R170</f>
        <v>#DIV/0!</v>
      </c>
      <c r="Q44" s="373" t="e">
        <f>(Q$27*Q$28*Q$29)*Carriageways!S170</f>
        <v>#DIV/0!</v>
      </c>
      <c r="R44" s="373" t="e">
        <f>(R$27*R$28*R$29)*Carriageways!T170</f>
        <v>#DIV/0!</v>
      </c>
      <c r="S44" s="373" t="e">
        <f>(S$27*S$28*S$29)*Carriageways!U170</f>
        <v>#DIV/0!</v>
      </c>
      <c r="T44" s="373" t="e">
        <f>(T$27*T$28*T$29)*Carriageways!V170</f>
        <v>#DIV/0!</v>
      </c>
      <c r="U44" s="373" t="e">
        <f>(U$27*U$28*U$29)*Carriageways!W170</f>
        <v>#DIV/0!</v>
      </c>
      <c r="V44" s="373" t="e">
        <f>(V$27*V$28*V$29)*Carriageways!X170</f>
        <v>#DIV/0!</v>
      </c>
      <c r="W44" s="373" t="e">
        <f>(W$27*W$28*W$29)*Carriageways!Y170</f>
        <v>#DIV/0!</v>
      </c>
      <c r="X44" s="373" t="e">
        <f>(X$27*X$28*X$29)*Carriageways!Z170</f>
        <v>#DIV/0!</v>
      </c>
      <c r="Y44" s="373" t="e">
        <f>(Y$27*Y$28*Y$29)*Carriageways!AA170</f>
        <v>#DIV/0!</v>
      </c>
      <c r="Z44" s="373" t="e">
        <f>(Z$27*Z$28*Z$29)*Carriageways!AB170</f>
        <v>#DIV/0!</v>
      </c>
      <c r="AA44" s="373" t="e">
        <f>(AA$27*AA$28*AA$29)*Carriageways!AC170</f>
        <v>#DIV/0!</v>
      </c>
      <c r="AB44" s="373" t="e">
        <f>(AB$27*AB$28*AB$29)*Carriageways!AD170</f>
        <v>#DIV/0!</v>
      </c>
      <c r="AC44" s="373" t="e">
        <f>(AC$27*AC$28*AC$29)*Carriageways!AE170</f>
        <v>#DIV/0!</v>
      </c>
      <c r="AD44" s="373" t="e">
        <f>(AD$27*AD$28*AD$29)*Carriageways!AF170</f>
        <v>#DIV/0!</v>
      </c>
      <c r="AE44" s="373" t="e">
        <f>(AE$27*AE$28*AE$29)*Carriageways!AG170</f>
        <v>#DIV/0!</v>
      </c>
      <c r="AF44" s="373" t="e">
        <f>(AF$27*AF$28*AF$29)*Carriageways!AH170</f>
        <v>#DIV/0!</v>
      </c>
      <c r="AG44" s="373" t="e">
        <f>(AG$27*AG$28*AG$29)*Carriageways!AI170</f>
        <v>#DIV/0!</v>
      </c>
      <c r="AH44" s="373" t="e">
        <f>(AH$27*AH$28*AH$29)*Carriageways!AJ170</f>
        <v>#DIV/0!</v>
      </c>
      <c r="AI44" s="373" t="e">
        <f>(AI$27*AI$28*AI$29)*Carriageways!AK170</f>
        <v>#DIV/0!</v>
      </c>
      <c r="AJ44" s="373" t="e">
        <f>(AJ$27*AJ$28*AJ$29)*Carriageways!AL170</f>
        <v>#DIV/0!</v>
      </c>
      <c r="AK44" s="373" t="e">
        <f>(AK$27*AK$28*AK$29)*Carriageways!AM170</f>
        <v>#DIV/0!</v>
      </c>
      <c r="AL44" s="373" t="e">
        <f>(AL$27*AL$28*AL$29)*Carriageways!AN170</f>
        <v>#DIV/0!</v>
      </c>
      <c r="AM44" s="373" t="e">
        <f>(AM$27*AM$28*AM$29)*Carriageways!AO170</f>
        <v>#DIV/0!</v>
      </c>
      <c r="AN44" s="373" t="e">
        <f>(AN$27*AN$28*AN$29)*Carriageways!AP170</f>
        <v>#DIV/0!</v>
      </c>
      <c r="AO44" s="373" t="e">
        <f>(AO$27*AO$28*AO$29)*Carriageways!AQ170</f>
        <v>#DIV/0!</v>
      </c>
      <c r="AP44" s="373" t="e">
        <f>(AP$27*AP$28*AP$29)*Carriageways!AR170</f>
        <v>#DIV/0!</v>
      </c>
      <c r="AQ44" s="373" t="e">
        <f>(AQ$27*AQ$28*AQ$29)*Carriageways!AS170</f>
        <v>#DIV/0!</v>
      </c>
      <c r="AR44" s="373" t="e">
        <f>(AR$27*AR$28*AR$29)*Carriageways!AT170</f>
        <v>#DIV/0!</v>
      </c>
      <c r="AS44" s="373" t="e">
        <f>(AS$27*AS$28*AS$29)*Carriageways!AU170</f>
        <v>#DIV/0!</v>
      </c>
      <c r="AT44" s="373" t="e">
        <f>(AT$27*AT$28*AT$29)*Carriageways!AV170</f>
        <v>#DIV/0!</v>
      </c>
      <c r="AU44" s="373" t="e">
        <f>(AU$27*AU$28*AU$29)*Carriageways!AW170</f>
        <v>#DIV/0!</v>
      </c>
      <c r="AV44" s="373" t="e">
        <f>(AV$27*AV$28*AV$29)*Carriageways!AX170</f>
        <v>#DIV/0!</v>
      </c>
      <c r="AW44" s="373" t="e">
        <f>(AW$27*AW$28*AW$29)*Carriageways!AY170</f>
        <v>#DIV/0!</v>
      </c>
      <c r="AX44" s="373" t="e">
        <f>(AX$27*AX$28*AX$29)*Carriageways!AZ170</f>
        <v>#DIV/0!</v>
      </c>
      <c r="AY44" s="373" t="e">
        <f>(AY$27*AY$28*AY$29)*Carriageways!BA170</f>
        <v>#DIV/0!</v>
      </c>
      <c r="AZ44" s="373" t="e">
        <f>(AZ$27*AZ$28*AZ$29)*Carriageways!BB170</f>
        <v>#DIV/0!</v>
      </c>
      <c r="BA44" s="373" t="e">
        <f>(BA$27*BA$28*BA$29)*Carriageways!BC170</f>
        <v>#DIV/0!</v>
      </c>
      <c r="BB44" s="373" t="e">
        <f>(BB$27*BB$28*BB$29)*Carriageways!BD170</f>
        <v>#DIV/0!</v>
      </c>
      <c r="BC44" s="373" t="e">
        <f>(BC$27*BC$28*BC$29)*Carriageways!BE170</f>
        <v>#DIV/0!</v>
      </c>
      <c r="BD44" s="373" t="e">
        <f>(BD$27*BD$28*BD$29)*Carriageways!BF170</f>
        <v>#DIV/0!</v>
      </c>
      <c r="BE44" s="373" t="e">
        <f>(BE$27*BE$28*BE$29)*Carriageways!BG170</f>
        <v>#DIV/0!</v>
      </c>
      <c r="BF44" s="373" t="e">
        <f>(BF$27*BF$28*BF$29)*Carriageways!BH170</f>
        <v>#DIV/0!</v>
      </c>
      <c r="BG44" s="373" t="e">
        <f>(BG$27*BG$28*BG$29)*Carriageways!BI170</f>
        <v>#DIV/0!</v>
      </c>
      <c r="BH44" s="373" t="e">
        <f>(BH$27*BH$28*BH$29)*Carriageways!BJ170</f>
        <v>#DIV/0!</v>
      </c>
      <c r="BI44" s="373" t="e">
        <f>(BI$27*BI$28*BI$29)*Carriageways!BK170</f>
        <v>#DIV/0!</v>
      </c>
      <c r="BJ44" s="373" t="e">
        <f>(BJ$27*BJ$28*BJ$29)*Carriageways!BL170</f>
        <v>#DIV/0!</v>
      </c>
      <c r="BK44" s="373" t="e">
        <f>(BK$27*BK$28*BK$29)*Carriageways!BM170</f>
        <v>#DIV/0!</v>
      </c>
      <c r="BL44" s="373" t="e">
        <f>(BL$27*BL$28*BL$29)*Carriageways!BN170</f>
        <v>#DIV/0!</v>
      </c>
      <c r="BM44" s="373" t="e">
        <f>(BM$27*BM$28*BM$29)*Carriageways!BO170</f>
        <v>#DIV/0!</v>
      </c>
      <c r="BN44" s="373" t="e">
        <f>(BN$27*BN$28*BN$29)*Carriageways!BP170</f>
        <v>#DIV/0!</v>
      </c>
      <c r="BO44" s="373" t="e">
        <f>(BO$27*BO$28*BO$29)*Carriageways!BQ170</f>
        <v>#DIV/0!</v>
      </c>
      <c r="BP44" s="373" t="e">
        <f>(BP$27*BP$28*BP$29)*Carriageways!BR170</f>
        <v>#DIV/0!</v>
      </c>
      <c r="BQ44" s="373" t="e">
        <f>(BQ$27*BQ$28*BQ$29)*Carriageways!BS170</f>
        <v>#DIV/0!</v>
      </c>
      <c r="BR44" s="373" t="e">
        <f>(BR$27*BR$28*BR$29)*Carriageways!BT170</f>
        <v>#DIV/0!</v>
      </c>
      <c r="BS44" s="373" t="e">
        <f>(BS$27*BS$28*BS$29)*Carriageways!BU170</f>
        <v>#DIV/0!</v>
      </c>
      <c r="BT44" s="373" t="e">
        <f>(BT$27*BT$28*BT$29)*Carriageways!BV170</f>
        <v>#DIV/0!</v>
      </c>
      <c r="BU44" s="373" t="e">
        <f>(BU$27*BU$28*BU$29)*Carriageways!BW170</f>
        <v>#DIV/0!</v>
      </c>
      <c r="BV44" s="373" t="e">
        <f>(BV$27*BV$28*BV$29)*Carriageways!BX170</f>
        <v>#DIV/0!</v>
      </c>
      <c r="BW44" s="373" t="e">
        <f>(BW$27*BW$28*BW$29)*Carriageways!BY170</f>
        <v>#DIV/0!</v>
      </c>
      <c r="BX44" s="373" t="e">
        <f>(BX$27*BX$28*BX$29)*Carriageways!BZ170</f>
        <v>#DIV/0!</v>
      </c>
      <c r="BY44" s="373" t="e">
        <f>(BY$27*BY$28*BY$29)*Carriageways!CA170</f>
        <v>#DIV/0!</v>
      </c>
      <c r="BZ44" s="373" t="e">
        <f>(BZ$27*BZ$28*BZ$29)*Carriageways!CB170</f>
        <v>#DIV/0!</v>
      </c>
      <c r="CA44" s="373" t="e">
        <f>(CA$27*CA$28*CA$29)*Carriageways!CC170</f>
        <v>#DIV/0!</v>
      </c>
      <c r="CB44" s="373" t="e">
        <f>(CB$27*CB$28*CB$29)*Carriageways!CD170</f>
        <v>#DIV/0!</v>
      </c>
      <c r="CC44" s="373" t="e">
        <f>(CC$27*CC$28*CC$29)*Carriageways!CE170</f>
        <v>#DIV/0!</v>
      </c>
      <c r="CD44" s="373" t="e">
        <f>(CD$27*CD$28*CD$29)*Carriageways!CF170</f>
        <v>#DIV/0!</v>
      </c>
    </row>
    <row r="45" spans="1:82" ht="15.5">
      <c r="A45" s="360"/>
      <c r="B45" s="373" t="s">
        <v>89</v>
      </c>
      <c r="C45" s="373" t="e">
        <f>(C$27*C$28*C$29)*Carriageways!E171</f>
        <v>#DIV/0!</v>
      </c>
      <c r="D45" s="373" t="e">
        <f>(D$27*D$28*D$29)*Carriageways!F171</f>
        <v>#DIV/0!</v>
      </c>
      <c r="E45" s="373" t="e">
        <f>(E$27*E$28*E$29)*Carriageways!G171</f>
        <v>#DIV/0!</v>
      </c>
      <c r="F45" s="373" t="e">
        <f>(F$27*F$28*F$29)*Carriageways!H171</f>
        <v>#DIV/0!</v>
      </c>
      <c r="G45" s="373" t="e">
        <f>(G$27*G$28*G$29)*Carriageways!I171</f>
        <v>#DIV/0!</v>
      </c>
      <c r="H45" s="373" t="e">
        <f>(H$27*H$28*H$29)*Carriageways!J171</f>
        <v>#DIV/0!</v>
      </c>
      <c r="I45" s="373" t="e">
        <f>(I$27*I$28*I$29)*Carriageways!K171</f>
        <v>#DIV/0!</v>
      </c>
      <c r="J45" s="373" t="e">
        <f>(J$27*J$28*J$29)*Carriageways!L171</f>
        <v>#DIV/0!</v>
      </c>
      <c r="K45" s="373" t="e">
        <f>(K$27*K$28*K$29)*Carriageways!M171</f>
        <v>#DIV/0!</v>
      </c>
      <c r="L45" s="373" t="e">
        <f>(L$27*L$28*L$29)*Carriageways!N171</f>
        <v>#DIV/0!</v>
      </c>
      <c r="M45" s="373" t="e">
        <f>(M$27*M$28*M$29)*Carriageways!O171</f>
        <v>#DIV/0!</v>
      </c>
      <c r="N45" s="373" t="e">
        <f>(N$27*N$28*N$29)*Carriageways!P171</f>
        <v>#DIV/0!</v>
      </c>
      <c r="O45" s="373" t="e">
        <f>(O$27*O$28*O$29)*Carriageways!Q171</f>
        <v>#DIV/0!</v>
      </c>
      <c r="P45" s="373" t="e">
        <f>(P$27*P$28*P$29)*Carriageways!R171</f>
        <v>#DIV/0!</v>
      </c>
      <c r="Q45" s="373" t="e">
        <f>(Q$27*Q$28*Q$29)*Carriageways!S171</f>
        <v>#DIV/0!</v>
      </c>
      <c r="R45" s="373" t="e">
        <f>(R$27*R$28*R$29)*Carriageways!T171</f>
        <v>#DIV/0!</v>
      </c>
      <c r="S45" s="373" t="e">
        <f>(S$27*S$28*S$29)*Carriageways!U171</f>
        <v>#DIV/0!</v>
      </c>
      <c r="T45" s="373" t="e">
        <f>(T$27*T$28*T$29)*Carriageways!V171</f>
        <v>#DIV/0!</v>
      </c>
      <c r="U45" s="373" t="e">
        <f>(U$27*U$28*U$29)*Carriageways!W171</f>
        <v>#DIV/0!</v>
      </c>
      <c r="V45" s="373" t="e">
        <f>(V$27*V$28*V$29)*Carriageways!X171</f>
        <v>#DIV/0!</v>
      </c>
      <c r="W45" s="373" t="e">
        <f>(W$27*W$28*W$29)*Carriageways!Y171</f>
        <v>#DIV/0!</v>
      </c>
      <c r="X45" s="373" t="e">
        <f>(X$27*X$28*X$29)*Carriageways!Z171</f>
        <v>#DIV/0!</v>
      </c>
      <c r="Y45" s="373" t="e">
        <f>(Y$27*Y$28*Y$29)*Carriageways!AA171</f>
        <v>#DIV/0!</v>
      </c>
      <c r="Z45" s="373" t="e">
        <f>(Z$27*Z$28*Z$29)*Carriageways!AB171</f>
        <v>#DIV/0!</v>
      </c>
      <c r="AA45" s="373" t="e">
        <f>(AA$27*AA$28*AA$29)*Carriageways!AC171</f>
        <v>#DIV/0!</v>
      </c>
      <c r="AB45" s="373" t="e">
        <f>(AB$27*AB$28*AB$29)*Carriageways!AD171</f>
        <v>#DIV/0!</v>
      </c>
      <c r="AC45" s="373" t="e">
        <f>(AC$27*AC$28*AC$29)*Carriageways!AE171</f>
        <v>#DIV/0!</v>
      </c>
      <c r="AD45" s="373" t="e">
        <f>(AD$27*AD$28*AD$29)*Carriageways!AF171</f>
        <v>#DIV/0!</v>
      </c>
      <c r="AE45" s="373" t="e">
        <f>(AE$27*AE$28*AE$29)*Carriageways!AG171</f>
        <v>#DIV/0!</v>
      </c>
      <c r="AF45" s="373" t="e">
        <f>(AF$27*AF$28*AF$29)*Carriageways!AH171</f>
        <v>#DIV/0!</v>
      </c>
      <c r="AG45" s="373" t="e">
        <f>(AG$27*AG$28*AG$29)*Carriageways!AI171</f>
        <v>#DIV/0!</v>
      </c>
      <c r="AH45" s="373" t="e">
        <f>(AH$27*AH$28*AH$29)*Carriageways!AJ171</f>
        <v>#DIV/0!</v>
      </c>
      <c r="AI45" s="373" t="e">
        <f>(AI$27*AI$28*AI$29)*Carriageways!AK171</f>
        <v>#DIV/0!</v>
      </c>
      <c r="AJ45" s="373" t="e">
        <f>(AJ$27*AJ$28*AJ$29)*Carriageways!AL171</f>
        <v>#DIV/0!</v>
      </c>
      <c r="AK45" s="373" t="e">
        <f>(AK$27*AK$28*AK$29)*Carriageways!AM171</f>
        <v>#DIV/0!</v>
      </c>
      <c r="AL45" s="373" t="e">
        <f>(AL$27*AL$28*AL$29)*Carriageways!AN171</f>
        <v>#DIV/0!</v>
      </c>
      <c r="AM45" s="373" t="e">
        <f>(AM$27*AM$28*AM$29)*Carriageways!AO171</f>
        <v>#DIV/0!</v>
      </c>
      <c r="AN45" s="373" t="e">
        <f>(AN$27*AN$28*AN$29)*Carriageways!AP171</f>
        <v>#DIV/0!</v>
      </c>
      <c r="AO45" s="373" t="e">
        <f>(AO$27*AO$28*AO$29)*Carriageways!AQ171</f>
        <v>#DIV/0!</v>
      </c>
      <c r="AP45" s="373" t="e">
        <f>(AP$27*AP$28*AP$29)*Carriageways!AR171</f>
        <v>#DIV/0!</v>
      </c>
      <c r="AQ45" s="373" t="e">
        <f>(AQ$27*AQ$28*AQ$29)*Carriageways!AS171</f>
        <v>#DIV/0!</v>
      </c>
      <c r="AR45" s="373" t="e">
        <f>(AR$27*AR$28*AR$29)*Carriageways!AT171</f>
        <v>#DIV/0!</v>
      </c>
      <c r="AS45" s="373" t="e">
        <f>(AS$27*AS$28*AS$29)*Carriageways!AU171</f>
        <v>#DIV/0!</v>
      </c>
      <c r="AT45" s="373" t="e">
        <f>(AT$27*AT$28*AT$29)*Carriageways!AV171</f>
        <v>#DIV/0!</v>
      </c>
      <c r="AU45" s="373" t="e">
        <f>(AU$27*AU$28*AU$29)*Carriageways!AW171</f>
        <v>#DIV/0!</v>
      </c>
      <c r="AV45" s="373" t="e">
        <f>(AV$27*AV$28*AV$29)*Carriageways!AX171</f>
        <v>#DIV/0!</v>
      </c>
      <c r="AW45" s="373" t="e">
        <f>(AW$27*AW$28*AW$29)*Carriageways!AY171</f>
        <v>#DIV/0!</v>
      </c>
      <c r="AX45" s="373" t="e">
        <f>(AX$27*AX$28*AX$29)*Carriageways!AZ171</f>
        <v>#DIV/0!</v>
      </c>
      <c r="AY45" s="373" t="e">
        <f>(AY$27*AY$28*AY$29)*Carriageways!BA171</f>
        <v>#DIV/0!</v>
      </c>
      <c r="AZ45" s="373" t="e">
        <f>(AZ$27*AZ$28*AZ$29)*Carriageways!BB171</f>
        <v>#DIV/0!</v>
      </c>
      <c r="BA45" s="373" t="e">
        <f>(BA$27*BA$28*BA$29)*Carriageways!BC171</f>
        <v>#DIV/0!</v>
      </c>
      <c r="BB45" s="373" t="e">
        <f>(BB$27*BB$28*BB$29)*Carriageways!BD171</f>
        <v>#DIV/0!</v>
      </c>
      <c r="BC45" s="373" t="e">
        <f>(BC$27*BC$28*BC$29)*Carriageways!BE171</f>
        <v>#DIV/0!</v>
      </c>
      <c r="BD45" s="373" t="e">
        <f>(BD$27*BD$28*BD$29)*Carriageways!BF171</f>
        <v>#DIV/0!</v>
      </c>
      <c r="BE45" s="373" t="e">
        <f>(BE$27*BE$28*BE$29)*Carriageways!BG171</f>
        <v>#DIV/0!</v>
      </c>
      <c r="BF45" s="373" t="e">
        <f>(BF$27*BF$28*BF$29)*Carriageways!BH171</f>
        <v>#DIV/0!</v>
      </c>
      <c r="BG45" s="373" t="e">
        <f>(BG$27*BG$28*BG$29)*Carriageways!BI171</f>
        <v>#DIV/0!</v>
      </c>
      <c r="BH45" s="373" t="e">
        <f>(BH$27*BH$28*BH$29)*Carriageways!BJ171</f>
        <v>#DIV/0!</v>
      </c>
      <c r="BI45" s="373" t="e">
        <f>(BI$27*BI$28*BI$29)*Carriageways!BK171</f>
        <v>#DIV/0!</v>
      </c>
      <c r="BJ45" s="373" t="e">
        <f>(BJ$27*BJ$28*BJ$29)*Carriageways!BL171</f>
        <v>#DIV/0!</v>
      </c>
      <c r="BK45" s="373" t="e">
        <f>(BK$27*BK$28*BK$29)*Carriageways!BM171</f>
        <v>#DIV/0!</v>
      </c>
      <c r="BL45" s="373" t="e">
        <f>(BL$27*BL$28*BL$29)*Carriageways!BN171</f>
        <v>#DIV/0!</v>
      </c>
      <c r="BM45" s="373" t="e">
        <f>(BM$27*BM$28*BM$29)*Carriageways!BO171</f>
        <v>#DIV/0!</v>
      </c>
      <c r="BN45" s="373" t="e">
        <f>(BN$27*BN$28*BN$29)*Carriageways!BP171</f>
        <v>#DIV/0!</v>
      </c>
      <c r="BO45" s="373" t="e">
        <f>(BO$27*BO$28*BO$29)*Carriageways!BQ171</f>
        <v>#DIV/0!</v>
      </c>
      <c r="BP45" s="373" t="e">
        <f>(BP$27*BP$28*BP$29)*Carriageways!BR171</f>
        <v>#DIV/0!</v>
      </c>
      <c r="BQ45" s="373" t="e">
        <f>(BQ$27*BQ$28*BQ$29)*Carriageways!BS171</f>
        <v>#DIV/0!</v>
      </c>
      <c r="BR45" s="373" t="e">
        <f>(BR$27*BR$28*BR$29)*Carriageways!BT171</f>
        <v>#DIV/0!</v>
      </c>
      <c r="BS45" s="373" t="e">
        <f>(BS$27*BS$28*BS$29)*Carriageways!BU171</f>
        <v>#DIV/0!</v>
      </c>
      <c r="BT45" s="373" t="e">
        <f>(BT$27*BT$28*BT$29)*Carriageways!BV171</f>
        <v>#DIV/0!</v>
      </c>
      <c r="BU45" s="373" t="e">
        <f>(BU$27*BU$28*BU$29)*Carriageways!BW171</f>
        <v>#DIV/0!</v>
      </c>
      <c r="BV45" s="373" t="e">
        <f>(BV$27*BV$28*BV$29)*Carriageways!BX171</f>
        <v>#DIV/0!</v>
      </c>
      <c r="BW45" s="373" t="e">
        <f>(BW$27*BW$28*BW$29)*Carriageways!BY171</f>
        <v>#DIV/0!</v>
      </c>
      <c r="BX45" s="373" t="e">
        <f>(BX$27*BX$28*BX$29)*Carriageways!BZ171</f>
        <v>#DIV/0!</v>
      </c>
      <c r="BY45" s="373" t="e">
        <f>(BY$27*BY$28*BY$29)*Carriageways!CA171</f>
        <v>#DIV/0!</v>
      </c>
      <c r="BZ45" s="373" t="e">
        <f>(BZ$27*BZ$28*BZ$29)*Carriageways!CB171</f>
        <v>#DIV/0!</v>
      </c>
      <c r="CA45" s="373" t="e">
        <f>(CA$27*CA$28*CA$29)*Carriageways!CC171</f>
        <v>#DIV/0!</v>
      </c>
      <c r="CB45" s="373" t="e">
        <f>(CB$27*CB$28*CB$29)*Carriageways!CD171</f>
        <v>#DIV/0!</v>
      </c>
      <c r="CC45" s="373" t="e">
        <f>(CC$27*CC$28*CC$29)*Carriageways!CE171</f>
        <v>#DIV/0!</v>
      </c>
      <c r="CD45" s="373" t="e">
        <f>(CD$27*CD$28*CD$29)*Carriageways!CF171</f>
        <v>#DIV/0!</v>
      </c>
    </row>
    <row r="46" spans="1:82" ht="15.5">
      <c r="A46" s="360"/>
      <c r="B46" s="373" t="s">
        <v>91</v>
      </c>
      <c r="C46" s="373" t="e">
        <f>(C$27*C$28*C$29)*Carriageways!E172</f>
        <v>#DIV/0!</v>
      </c>
      <c r="D46" s="373" t="e">
        <f>(D$27*D$28*D$29)*Carriageways!F172</f>
        <v>#DIV/0!</v>
      </c>
      <c r="E46" s="373" t="e">
        <f>(E$27*E$28*E$29)*Carriageways!G172</f>
        <v>#DIV/0!</v>
      </c>
      <c r="F46" s="373" t="e">
        <f>(F$27*F$28*F$29)*Carriageways!H172</f>
        <v>#DIV/0!</v>
      </c>
      <c r="G46" s="373" t="e">
        <f>(G$27*G$28*G$29)*Carriageways!I172</f>
        <v>#DIV/0!</v>
      </c>
      <c r="H46" s="373" t="e">
        <f>(H$27*H$28*H$29)*Carriageways!J172</f>
        <v>#DIV/0!</v>
      </c>
      <c r="I46" s="373" t="e">
        <f>(I$27*I$28*I$29)*Carriageways!K172</f>
        <v>#DIV/0!</v>
      </c>
      <c r="J46" s="373" t="e">
        <f>(J$27*J$28*J$29)*Carriageways!L172</f>
        <v>#DIV/0!</v>
      </c>
      <c r="K46" s="373" t="e">
        <f>(K$27*K$28*K$29)*Carriageways!M172</f>
        <v>#DIV/0!</v>
      </c>
      <c r="L46" s="373" t="e">
        <f>(L$27*L$28*L$29)*Carriageways!N172</f>
        <v>#DIV/0!</v>
      </c>
      <c r="M46" s="373" t="e">
        <f>(M$27*M$28*M$29)*Carriageways!O172</f>
        <v>#DIV/0!</v>
      </c>
      <c r="N46" s="373" t="e">
        <f>(N$27*N$28*N$29)*Carriageways!P172</f>
        <v>#DIV/0!</v>
      </c>
      <c r="O46" s="373" t="e">
        <f>(O$27*O$28*O$29)*Carriageways!Q172</f>
        <v>#DIV/0!</v>
      </c>
      <c r="P46" s="373" t="e">
        <f>(P$27*P$28*P$29)*Carriageways!R172</f>
        <v>#DIV/0!</v>
      </c>
      <c r="Q46" s="373" t="e">
        <f>(Q$27*Q$28*Q$29)*Carriageways!S172</f>
        <v>#DIV/0!</v>
      </c>
      <c r="R46" s="373" t="e">
        <f>(R$27*R$28*R$29)*Carriageways!T172</f>
        <v>#DIV/0!</v>
      </c>
      <c r="S46" s="373" t="e">
        <f>(S$27*S$28*S$29)*Carriageways!U172</f>
        <v>#DIV/0!</v>
      </c>
      <c r="T46" s="373" t="e">
        <f>(T$27*T$28*T$29)*Carriageways!V172</f>
        <v>#DIV/0!</v>
      </c>
      <c r="U46" s="373" t="e">
        <f>(U$27*U$28*U$29)*Carriageways!W172</f>
        <v>#DIV/0!</v>
      </c>
      <c r="V46" s="373" t="e">
        <f>(V$27*V$28*V$29)*Carriageways!X172</f>
        <v>#DIV/0!</v>
      </c>
      <c r="W46" s="373" t="e">
        <f>(W$27*W$28*W$29)*Carriageways!Y172</f>
        <v>#DIV/0!</v>
      </c>
      <c r="X46" s="373" t="e">
        <f>(X$27*X$28*X$29)*Carriageways!Z172</f>
        <v>#DIV/0!</v>
      </c>
      <c r="Y46" s="373" t="e">
        <f>(Y$27*Y$28*Y$29)*Carriageways!AA172</f>
        <v>#DIV/0!</v>
      </c>
      <c r="Z46" s="373" t="e">
        <f>(Z$27*Z$28*Z$29)*Carriageways!AB172</f>
        <v>#DIV/0!</v>
      </c>
      <c r="AA46" s="373" t="e">
        <f>(AA$27*AA$28*AA$29)*Carriageways!AC172</f>
        <v>#DIV/0!</v>
      </c>
      <c r="AB46" s="373" t="e">
        <f>(AB$27*AB$28*AB$29)*Carriageways!AD172</f>
        <v>#DIV/0!</v>
      </c>
      <c r="AC46" s="373" t="e">
        <f>(AC$27*AC$28*AC$29)*Carriageways!AE172</f>
        <v>#DIV/0!</v>
      </c>
      <c r="AD46" s="373" t="e">
        <f>(AD$27*AD$28*AD$29)*Carriageways!AF172</f>
        <v>#DIV/0!</v>
      </c>
      <c r="AE46" s="373" t="e">
        <f>(AE$27*AE$28*AE$29)*Carriageways!AG172</f>
        <v>#DIV/0!</v>
      </c>
      <c r="AF46" s="373" t="e">
        <f>(AF$27*AF$28*AF$29)*Carriageways!AH172</f>
        <v>#DIV/0!</v>
      </c>
      <c r="AG46" s="373" t="e">
        <f>(AG$27*AG$28*AG$29)*Carriageways!AI172</f>
        <v>#DIV/0!</v>
      </c>
      <c r="AH46" s="373" t="e">
        <f>(AH$27*AH$28*AH$29)*Carriageways!AJ172</f>
        <v>#DIV/0!</v>
      </c>
      <c r="AI46" s="373" t="e">
        <f>(AI$27*AI$28*AI$29)*Carriageways!AK172</f>
        <v>#DIV/0!</v>
      </c>
      <c r="AJ46" s="373" t="e">
        <f>(AJ$27*AJ$28*AJ$29)*Carriageways!AL172</f>
        <v>#DIV/0!</v>
      </c>
      <c r="AK46" s="373" t="e">
        <f>(AK$27*AK$28*AK$29)*Carriageways!AM172</f>
        <v>#DIV/0!</v>
      </c>
      <c r="AL46" s="373" t="e">
        <f>(AL$27*AL$28*AL$29)*Carriageways!AN172</f>
        <v>#DIV/0!</v>
      </c>
      <c r="AM46" s="373" t="e">
        <f>(AM$27*AM$28*AM$29)*Carriageways!AO172</f>
        <v>#DIV/0!</v>
      </c>
      <c r="AN46" s="373" t="e">
        <f>(AN$27*AN$28*AN$29)*Carriageways!AP172</f>
        <v>#DIV/0!</v>
      </c>
      <c r="AO46" s="373" t="e">
        <f>(AO$27*AO$28*AO$29)*Carriageways!AQ172</f>
        <v>#DIV/0!</v>
      </c>
      <c r="AP46" s="373" t="e">
        <f>(AP$27*AP$28*AP$29)*Carriageways!AR172</f>
        <v>#DIV/0!</v>
      </c>
      <c r="AQ46" s="373" t="e">
        <f>(AQ$27*AQ$28*AQ$29)*Carriageways!AS172</f>
        <v>#DIV/0!</v>
      </c>
      <c r="AR46" s="373" t="e">
        <f>(AR$27*AR$28*AR$29)*Carriageways!AT172</f>
        <v>#DIV/0!</v>
      </c>
      <c r="AS46" s="373" t="e">
        <f>(AS$27*AS$28*AS$29)*Carriageways!AU172</f>
        <v>#DIV/0!</v>
      </c>
      <c r="AT46" s="373" t="e">
        <f>(AT$27*AT$28*AT$29)*Carriageways!AV172</f>
        <v>#DIV/0!</v>
      </c>
      <c r="AU46" s="373" t="e">
        <f>(AU$27*AU$28*AU$29)*Carriageways!AW172</f>
        <v>#DIV/0!</v>
      </c>
      <c r="AV46" s="373" t="e">
        <f>(AV$27*AV$28*AV$29)*Carriageways!AX172</f>
        <v>#DIV/0!</v>
      </c>
      <c r="AW46" s="373" t="e">
        <f>(AW$27*AW$28*AW$29)*Carriageways!AY172</f>
        <v>#DIV/0!</v>
      </c>
      <c r="AX46" s="373" t="e">
        <f>(AX$27*AX$28*AX$29)*Carriageways!AZ172</f>
        <v>#DIV/0!</v>
      </c>
      <c r="AY46" s="373" t="e">
        <f>(AY$27*AY$28*AY$29)*Carriageways!BA172</f>
        <v>#DIV/0!</v>
      </c>
      <c r="AZ46" s="373" t="e">
        <f>(AZ$27*AZ$28*AZ$29)*Carriageways!BB172</f>
        <v>#DIV/0!</v>
      </c>
      <c r="BA46" s="373" t="e">
        <f>(BA$27*BA$28*BA$29)*Carriageways!BC172</f>
        <v>#DIV/0!</v>
      </c>
      <c r="BB46" s="373" t="e">
        <f>(BB$27*BB$28*BB$29)*Carriageways!BD172</f>
        <v>#DIV/0!</v>
      </c>
      <c r="BC46" s="373" t="e">
        <f>(BC$27*BC$28*BC$29)*Carriageways!BE172</f>
        <v>#DIV/0!</v>
      </c>
      <c r="BD46" s="373" t="e">
        <f>(BD$27*BD$28*BD$29)*Carriageways!BF172</f>
        <v>#DIV/0!</v>
      </c>
      <c r="BE46" s="373" t="e">
        <f>(BE$27*BE$28*BE$29)*Carriageways!BG172</f>
        <v>#DIV/0!</v>
      </c>
      <c r="BF46" s="373" t="e">
        <f>(BF$27*BF$28*BF$29)*Carriageways!BH172</f>
        <v>#DIV/0!</v>
      </c>
      <c r="BG46" s="373" t="e">
        <f>(BG$27*BG$28*BG$29)*Carriageways!BI172</f>
        <v>#DIV/0!</v>
      </c>
      <c r="BH46" s="373" t="e">
        <f>(BH$27*BH$28*BH$29)*Carriageways!BJ172</f>
        <v>#DIV/0!</v>
      </c>
      <c r="BI46" s="373" t="e">
        <f>(BI$27*BI$28*BI$29)*Carriageways!BK172</f>
        <v>#DIV/0!</v>
      </c>
      <c r="BJ46" s="373" t="e">
        <f>(BJ$27*BJ$28*BJ$29)*Carriageways!BL172</f>
        <v>#DIV/0!</v>
      </c>
      <c r="BK46" s="373" t="e">
        <f>(BK$27*BK$28*BK$29)*Carriageways!BM172</f>
        <v>#DIV/0!</v>
      </c>
      <c r="BL46" s="373" t="e">
        <f>(BL$27*BL$28*BL$29)*Carriageways!BN172</f>
        <v>#DIV/0!</v>
      </c>
      <c r="BM46" s="373" t="e">
        <f>(BM$27*BM$28*BM$29)*Carriageways!BO172</f>
        <v>#DIV/0!</v>
      </c>
      <c r="BN46" s="373" t="e">
        <f>(BN$27*BN$28*BN$29)*Carriageways!BP172</f>
        <v>#DIV/0!</v>
      </c>
      <c r="BO46" s="373" t="e">
        <f>(BO$27*BO$28*BO$29)*Carriageways!BQ172</f>
        <v>#DIV/0!</v>
      </c>
      <c r="BP46" s="373" t="e">
        <f>(BP$27*BP$28*BP$29)*Carriageways!BR172</f>
        <v>#DIV/0!</v>
      </c>
      <c r="BQ46" s="373" t="e">
        <f>(BQ$27*BQ$28*BQ$29)*Carriageways!BS172</f>
        <v>#DIV/0!</v>
      </c>
      <c r="BR46" s="373" t="e">
        <f>(BR$27*BR$28*BR$29)*Carriageways!BT172</f>
        <v>#DIV/0!</v>
      </c>
      <c r="BS46" s="373" t="e">
        <f>(BS$27*BS$28*BS$29)*Carriageways!BU172</f>
        <v>#DIV/0!</v>
      </c>
      <c r="BT46" s="373" t="e">
        <f>(BT$27*BT$28*BT$29)*Carriageways!BV172</f>
        <v>#DIV/0!</v>
      </c>
      <c r="BU46" s="373" t="e">
        <f>(BU$27*BU$28*BU$29)*Carriageways!BW172</f>
        <v>#DIV/0!</v>
      </c>
      <c r="BV46" s="373" t="e">
        <f>(BV$27*BV$28*BV$29)*Carriageways!BX172</f>
        <v>#DIV/0!</v>
      </c>
      <c r="BW46" s="373" t="e">
        <f>(BW$27*BW$28*BW$29)*Carriageways!BY172</f>
        <v>#DIV/0!</v>
      </c>
      <c r="BX46" s="373" t="e">
        <f>(BX$27*BX$28*BX$29)*Carriageways!BZ172</f>
        <v>#DIV/0!</v>
      </c>
      <c r="BY46" s="373" t="e">
        <f>(BY$27*BY$28*BY$29)*Carriageways!CA172</f>
        <v>#DIV/0!</v>
      </c>
      <c r="BZ46" s="373" t="e">
        <f>(BZ$27*BZ$28*BZ$29)*Carriageways!CB172</f>
        <v>#DIV/0!</v>
      </c>
      <c r="CA46" s="373" t="e">
        <f>(CA$27*CA$28*CA$29)*Carriageways!CC172</f>
        <v>#DIV/0!</v>
      </c>
      <c r="CB46" s="373" t="e">
        <f>(CB$27*CB$28*CB$29)*Carriageways!CD172</f>
        <v>#DIV/0!</v>
      </c>
      <c r="CC46" s="373" t="e">
        <f>(CC$27*CC$28*CC$29)*Carriageways!CE172</f>
        <v>#DIV/0!</v>
      </c>
      <c r="CD46" s="373" t="e">
        <f>(CD$27*CD$28*CD$29)*Carriageways!CF172</f>
        <v>#DIV/0!</v>
      </c>
    </row>
    <row r="47" spans="1:82" ht="15.5">
      <c r="A47" s="360"/>
      <c r="B47" s="373" t="s">
        <v>93</v>
      </c>
      <c r="C47" s="373" t="e">
        <f>(C$27*C$28*C$29)*Carriageways!E173</f>
        <v>#DIV/0!</v>
      </c>
      <c r="D47" s="373" t="e">
        <f>(D$27*D$28*D$29)*Carriageways!F173</f>
        <v>#DIV/0!</v>
      </c>
      <c r="E47" s="373" t="e">
        <f>(E$27*E$28*E$29)*Carriageways!G173</f>
        <v>#DIV/0!</v>
      </c>
      <c r="F47" s="373" t="e">
        <f>(F$27*F$28*F$29)*Carriageways!H173</f>
        <v>#DIV/0!</v>
      </c>
      <c r="G47" s="373" t="e">
        <f>(G$27*G$28*G$29)*Carriageways!I173</f>
        <v>#DIV/0!</v>
      </c>
      <c r="H47" s="373" t="e">
        <f>(H$27*H$28*H$29)*Carriageways!J173</f>
        <v>#DIV/0!</v>
      </c>
      <c r="I47" s="373" t="e">
        <f>(I$27*I$28*I$29)*Carriageways!K173</f>
        <v>#DIV/0!</v>
      </c>
      <c r="J47" s="373" t="e">
        <f>(J$27*J$28*J$29)*Carriageways!L173</f>
        <v>#DIV/0!</v>
      </c>
      <c r="K47" s="373" t="e">
        <f>(K$27*K$28*K$29)*Carriageways!M173</f>
        <v>#DIV/0!</v>
      </c>
      <c r="L47" s="373" t="e">
        <f>(L$27*L$28*L$29)*Carriageways!N173</f>
        <v>#DIV/0!</v>
      </c>
      <c r="M47" s="373" t="e">
        <f>(M$27*M$28*M$29)*Carriageways!O173</f>
        <v>#DIV/0!</v>
      </c>
      <c r="N47" s="373" t="e">
        <f>(N$27*N$28*N$29)*Carriageways!P173</f>
        <v>#DIV/0!</v>
      </c>
      <c r="O47" s="373" t="e">
        <f>(O$27*O$28*O$29)*Carriageways!Q173</f>
        <v>#DIV/0!</v>
      </c>
      <c r="P47" s="373" t="e">
        <f>(P$27*P$28*P$29)*Carriageways!R173</f>
        <v>#DIV/0!</v>
      </c>
      <c r="Q47" s="373" t="e">
        <f>(Q$27*Q$28*Q$29)*Carriageways!S173</f>
        <v>#DIV/0!</v>
      </c>
      <c r="R47" s="373" t="e">
        <f>(R$27*R$28*R$29)*Carriageways!T173</f>
        <v>#DIV/0!</v>
      </c>
      <c r="S47" s="373" t="e">
        <f>(S$27*S$28*S$29)*Carriageways!U173</f>
        <v>#DIV/0!</v>
      </c>
      <c r="T47" s="373" t="e">
        <f>(T$27*T$28*T$29)*Carriageways!V173</f>
        <v>#DIV/0!</v>
      </c>
      <c r="U47" s="373" t="e">
        <f>(U$27*U$28*U$29)*Carriageways!W173</f>
        <v>#DIV/0!</v>
      </c>
      <c r="V47" s="373" t="e">
        <f>(V$27*V$28*V$29)*Carriageways!X173</f>
        <v>#DIV/0!</v>
      </c>
      <c r="W47" s="373" t="e">
        <f>(W$27*W$28*W$29)*Carriageways!Y173</f>
        <v>#DIV/0!</v>
      </c>
      <c r="X47" s="373" t="e">
        <f>(X$27*X$28*X$29)*Carriageways!Z173</f>
        <v>#DIV/0!</v>
      </c>
      <c r="Y47" s="373" t="e">
        <f>(Y$27*Y$28*Y$29)*Carriageways!AA173</f>
        <v>#DIV/0!</v>
      </c>
      <c r="Z47" s="373" t="e">
        <f>(Z$27*Z$28*Z$29)*Carriageways!AB173</f>
        <v>#DIV/0!</v>
      </c>
      <c r="AA47" s="373" t="e">
        <f>(AA$27*AA$28*AA$29)*Carriageways!AC173</f>
        <v>#DIV/0!</v>
      </c>
      <c r="AB47" s="373" t="e">
        <f>(AB$27*AB$28*AB$29)*Carriageways!AD173</f>
        <v>#DIV/0!</v>
      </c>
      <c r="AC47" s="373" t="e">
        <f>(AC$27*AC$28*AC$29)*Carriageways!AE173</f>
        <v>#DIV/0!</v>
      </c>
      <c r="AD47" s="373" t="e">
        <f>(AD$27*AD$28*AD$29)*Carriageways!AF173</f>
        <v>#DIV/0!</v>
      </c>
      <c r="AE47" s="373" t="e">
        <f>(AE$27*AE$28*AE$29)*Carriageways!AG173</f>
        <v>#DIV/0!</v>
      </c>
      <c r="AF47" s="373" t="e">
        <f>(AF$27*AF$28*AF$29)*Carriageways!AH173</f>
        <v>#DIV/0!</v>
      </c>
      <c r="AG47" s="373" t="e">
        <f>(AG$27*AG$28*AG$29)*Carriageways!AI173</f>
        <v>#DIV/0!</v>
      </c>
      <c r="AH47" s="373" t="e">
        <f>(AH$27*AH$28*AH$29)*Carriageways!AJ173</f>
        <v>#DIV/0!</v>
      </c>
      <c r="AI47" s="373" t="e">
        <f>(AI$27*AI$28*AI$29)*Carriageways!AK173</f>
        <v>#DIV/0!</v>
      </c>
      <c r="AJ47" s="373" t="e">
        <f>(AJ$27*AJ$28*AJ$29)*Carriageways!AL173</f>
        <v>#DIV/0!</v>
      </c>
      <c r="AK47" s="373" t="e">
        <f>(AK$27*AK$28*AK$29)*Carriageways!AM173</f>
        <v>#DIV/0!</v>
      </c>
      <c r="AL47" s="373" t="e">
        <f>(AL$27*AL$28*AL$29)*Carriageways!AN173</f>
        <v>#DIV/0!</v>
      </c>
      <c r="AM47" s="373" t="e">
        <f>(AM$27*AM$28*AM$29)*Carriageways!AO173</f>
        <v>#DIV/0!</v>
      </c>
      <c r="AN47" s="373" t="e">
        <f>(AN$27*AN$28*AN$29)*Carriageways!AP173</f>
        <v>#DIV/0!</v>
      </c>
      <c r="AO47" s="373" t="e">
        <f>(AO$27*AO$28*AO$29)*Carriageways!AQ173</f>
        <v>#DIV/0!</v>
      </c>
      <c r="AP47" s="373" t="e">
        <f>(AP$27*AP$28*AP$29)*Carriageways!AR173</f>
        <v>#DIV/0!</v>
      </c>
      <c r="AQ47" s="373" t="e">
        <f>(AQ$27*AQ$28*AQ$29)*Carriageways!AS173</f>
        <v>#DIV/0!</v>
      </c>
      <c r="AR47" s="373" t="e">
        <f>(AR$27*AR$28*AR$29)*Carriageways!AT173</f>
        <v>#DIV/0!</v>
      </c>
      <c r="AS47" s="373" t="e">
        <f>(AS$27*AS$28*AS$29)*Carriageways!AU173</f>
        <v>#DIV/0!</v>
      </c>
      <c r="AT47" s="373" t="e">
        <f>(AT$27*AT$28*AT$29)*Carriageways!AV173</f>
        <v>#DIV/0!</v>
      </c>
      <c r="AU47" s="373" t="e">
        <f>(AU$27*AU$28*AU$29)*Carriageways!AW173</f>
        <v>#DIV/0!</v>
      </c>
      <c r="AV47" s="373" t="e">
        <f>(AV$27*AV$28*AV$29)*Carriageways!AX173</f>
        <v>#DIV/0!</v>
      </c>
      <c r="AW47" s="373" t="e">
        <f>(AW$27*AW$28*AW$29)*Carriageways!AY173</f>
        <v>#DIV/0!</v>
      </c>
      <c r="AX47" s="373" t="e">
        <f>(AX$27*AX$28*AX$29)*Carriageways!AZ173</f>
        <v>#DIV/0!</v>
      </c>
      <c r="AY47" s="373" t="e">
        <f>(AY$27*AY$28*AY$29)*Carriageways!BA173</f>
        <v>#DIV/0!</v>
      </c>
      <c r="AZ47" s="373" t="e">
        <f>(AZ$27*AZ$28*AZ$29)*Carriageways!BB173</f>
        <v>#DIV/0!</v>
      </c>
      <c r="BA47" s="373" t="e">
        <f>(BA$27*BA$28*BA$29)*Carriageways!BC173</f>
        <v>#DIV/0!</v>
      </c>
      <c r="BB47" s="373" t="e">
        <f>(BB$27*BB$28*BB$29)*Carriageways!BD173</f>
        <v>#DIV/0!</v>
      </c>
      <c r="BC47" s="373" t="e">
        <f>(BC$27*BC$28*BC$29)*Carriageways!BE173</f>
        <v>#DIV/0!</v>
      </c>
      <c r="BD47" s="373" t="e">
        <f>(BD$27*BD$28*BD$29)*Carriageways!BF173</f>
        <v>#DIV/0!</v>
      </c>
      <c r="BE47" s="373" t="e">
        <f>(BE$27*BE$28*BE$29)*Carriageways!BG173</f>
        <v>#DIV/0!</v>
      </c>
      <c r="BF47" s="373" t="e">
        <f>(BF$27*BF$28*BF$29)*Carriageways!BH173</f>
        <v>#DIV/0!</v>
      </c>
      <c r="BG47" s="373" t="e">
        <f>(BG$27*BG$28*BG$29)*Carriageways!BI173</f>
        <v>#DIV/0!</v>
      </c>
      <c r="BH47" s="373" t="e">
        <f>(BH$27*BH$28*BH$29)*Carriageways!BJ173</f>
        <v>#DIV/0!</v>
      </c>
      <c r="BI47" s="373" t="e">
        <f>(BI$27*BI$28*BI$29)*Carriageways!BK173</f>
        <v>#DIV/0!</v>
      </c>
      <c r="BJ47" s="373" t="e">
        <f>(BJ$27*BJ$28*BJ$29)*Carriageways!BL173</f>
        <v>#DIV/0!</v>
      </c>
      <c r="BK47" s="373" t="e">
        <f>(BK$27*BK$28*BK$29)*Carriageways!BM173</f>
        <v>#DIV/0!</v>
      </c>
      <c r="BL47" s="373" t="e">
        <f>(BL$27*BL$28*BL$29)*Carriageways!BN173</f>
        <v>#DIV/0!</v>
      </c>
      <c r="BM47" s="373" t="e">
        <f>(BM$27*BM$28*BM$29)*Carriageways!BO173</f>
        <v>#DIV/0!</v>
      </c>
      <c r="BN47" s="373" t="e">
        <f>(BN$27*BN$28*BN$29)*Carriageways!BP173</f>
        <v>#DIV/0!</v>
      </c>
      <c r="BO47" s="373" t="e">
        <f>(BO$27*BO$28*BO$29)*Carriageways!BQ173</f>
        <v>#DIV/0!</v>
      </c>
      <c r="BP47" s="373" t="e">
        <f>(BP$27*BP$28*BP$29)*Carriageways!BR173</f>
        <v>#DIV/0!</v>
      </c>
      <c r="BQ47" s="373" t="e">
        <f>(BQ$27*BQ$28*BQ$29)*Carriageways!BS173</f>
        <v>#DIV/0!</v>
      </c>
      <c r="BR47" s="373" t="e">
        <f>(BR$27*BR$28*BR$29)*Carriageways!BT173</f>
        <v>#DIV/0!</v>
      </c>
      <c r="BS47" s="373" t="e">
        <f>(BS$27*BS$28*BS$29)*Carriageways!BU173</f>
        <v>#DIV/0!</v>
      </c>
      <c r="BT47" s="373" t="e">
        <f>(BT$27*BT$28*BT$29)*Carriageways!BV173</f>
        <v>#DIV/0!</v>
      </c>
      <c r="BU47" s="373" t="e">
        <f>(BU$27*BU$28*BU$29)*Carriageways!BW173</f>
        <v>#DIV/0!</v>
      </c>
      <c r="BV47" s="373" t="e">
        <f>(BV$27*BV$28*BV$29)*Carriageways!BX173</f>
        <v>#DIV/0!</v>
      </c>
      <c r="BW47" s="373" t="e">
        <f>(BW$27*BW$28*BW$29)*Carriageways!BY173</f>
        <v>#DIV/0!</v>
      </c>
      <c r="BX47" s="373" t="e">
        <f>(BX$27*BX$28*BX$29)*Carriageways!BZ173</f>
        <v>#DIV/0!</v>
      </c>
      <c r="BY47" s="373" t="e">
        <f>(BY$27*BY$28*BY$29)*Carriageways!CA173</f>
        <v>#DIV/0!</v>
      </c>
      <c r="BZ47" s="373" t="e">
        <f>(BZ$27*BZ$28*BZ$29)*Carriageways!CB173</f>
        <v>#DIV/0!</v>
      </c>
      <c r="CA47" s="373" t="e">
        <f>(CA$27*CA$28*CA$29)*Carriageways!CC173</f>
        <v>#DIV/0!</v>
      </c>
      <c r="CB47" s="373" t="e">
        <f>(CB$27*CB$28*CB$29)*Carriageways!CD173</f>
        <v>#DIV/0!</v>
      </c>
      <c r="CC47" s="373" t="e">
        <f>(CC$27*CC$28*CC$29)*Carriageways!CE173</f>
        <v>#DIV/0!</v>
      </c>
      <c r="CD47" s="373" t="e">
        <f>(CD$27*CD$28*CD$29)*Carriageways!CF173</f>
        <v>#DIV/0!</v>
      </c>
    </row>
    <row r="49" spans="1:82" ht="15.5">
      <c r="A49" s="360"/>
      <c r="B49" s="372" t="s">
        <v>395</v>
      </c>
      <c r="C49" s="372">
        <v>2010</v>
      </c>
      <c r="D49" s="372">
        <v>2011</v>
      </c>
      <c r="E49" s="372">
        <v>2012</v>
      </c>
      <c r="F49" s="372">
        <v>2013</v>
      </c>
      <c r="G49" s="372">
        <v>2014</v>
      </c>
      <c r="H49" s="372">
        <v>2015</v>
      </c>
      <c r="I49" s="372">
        <v>2016</v>
      </c>
      <c r="J49" s="372">
        <v>2017</v>
      </c>
      <c r="K49" s="372">
        <v>2018</v>
      </c>
      <c r="L49" s="372">
        <v>2019</v>
      </c>
      <c r="M49" s="372">
        <v>2020</v>
      </c>
      <c r="N49" s="372">
        <v>2021</v>
      </c>
      <c r="O49" s="372">
        <v>2022</v>
      </c>
      <c r="P49" s="372">
        <v>2023</v>
      </c>
      <c r="Q49" s="372">
        <v>2024</v>
      </c>
      <c r="R49" s="372">
        <v>2025</v>
      </c>
      <c r="S49" s="372">
        <v>2026</v>
      </c>
      <c r="T49" s="372">
        <v>2027</v>
      </c>
      <c r="U49" s="372">
        <v>2028</v>
      </c>
      <c r="V49" s="372">
        <v>2029</v>
      </c>
      <c r="W49" s="372">
        <v>2030</v>
      </c>
      <c r="X49" s="372">
        <v>2031</v>
      </c>
      <c r="Y49" s="372">
        <v>2032</v>
      </c>
      <c r="Z49" s="372">
        <v>2033</v>
      </c>
      <c r="AA49" s="372">
        <v>2034</v>
      </c>
      <c r="AB49" s="372">
        <v>2035</v>
      </c>
      <c r="AC49" s="372">
        <v>2036</v>
      </c>
      <c r="AD49" s="372">
        <v>2037</v>
      </c>
      <c r="AE49" s="372">
        <v>2038</v>
      </c>
      <c r="AF49" s="372">
        <v>2039</v>
      </c>
      <c r="AG49" s="372">
        <v>2040</v>
      </c>
      <c r="AH49" s="372">
        <v>2041</v>
      </c>
      <c r="AI49" s="372">
        <v>2042</v>
      </c>
      <c r="AJ49" s="372">
        <v>2043</v>
      </c>
      <c r="AK49" s="372">
        <v>2044</v>
      </c>
      <c r="AL49" s="372">
        <v>2045</v>
      </c>
      <c r="AM49" s="372">
        <v>2046</v>
      </c>
      <c r="AN49" s="372">
        <v>2047</v>
      </c>
      <c r="AO49" s="372">
        <v>2048</v>
      </c>
      <c r="AP49" s="372">
        <v>2049</v>
      </c>
      <c r="AQ49" s="372">
        <v>2050</v>
      </c>
      <c r="AR49" s="372">
        <v>2051</v>
      </c>
      <c r="AS49" s="372">
        <v>2052</v>
      </c>
      <c r="AT49" s="372">
        <v>2053</v>
      </c>
      <c r="AU49" s="372">
        <v>2054</v>
      </c>
      <c r="AV49" s="372">
        <v>2055</v>
      </c>
      <c r="AW49" s="372">
        <v>2056</v>
      </c>
      <c r="AX49" s="372">
        <v>2057</v>
      </c>
      <c r="AY49" s="372">
        <v>2058</v>
      </c>
      <c r="AZ49" s="372">
        <v>2059</v>
      </c>
      <c r="BA49" s="372">
        <v>2060</v>
      </c>
      <c r="BB49" s="372">
        <v>2061</v>
      </c>
      <c r="BC49" s="372">
        <v>2062</v>
      </c>
      <c r="BD49" s="372">
        <v>2063</v>
      </c>
      <c r="BE49" s="372">
        <v>2064</v>
      </c>
      <c r="BF49" s="372">
        <v>2065</v>
      </c>
      <c r="BG49" s="372">
        <v>2066</v>
      </c>
      <c r="BH49" s="372">
        <v>2067</v>
      </c>
      <c r="BI49" s="372">
        <v>2068</v>
      </c>
      <c r="BJ49" s="372">
        <v>2069</v>
      </c>
      <c r="BK49" s="372">
        <v>2070</v>
      </c>
      <c r="BL49" s="372">
        <v>2071</v>
      </c>
      <c r="BM49" s="372">
        <v>2072</v>
      </c>
      <c r="BN49" s="372">
        <v>2073</v>
      </c>
      <c r="BO49" s="372">
        <v>2074</v>
      </c>
      <c r="BP49" s="372">
        <v>2075</v>
      </c>
      <c r="BQ49" s="372">
        <v>2076</v>
      </c>
      <c r="BR49" s="372">
        <v>2077</v>
      </c>
      <c r="BS49" s="372">
        <v>2078</v>
      </c>
      <c r="BT49" s="372">
        <v>2079</v>
      </c>
      <c r="BU49" s="372">
        <v>2080</v>
      </c>
      <c r="BV49" s="372">
        <v>2081</v>
      </c>
      <c r="BW49" s="372">
        <v>2082</v>
      </c>
      <c r="BX49" s="372">
        <v>2083</v>
      </c>
      <c r="BY49" s="372">
        <v>2084</v>
      </c>
      <c r="BZ49" s="372">
        <v>2085</v>
      </c>
      <c r="CA49" s="372">
        <v>2086</v>
      </c>
      <c r="CB49" s="372">
        <v>2087</v>
      </c>
      <c r="CC49" s="372">
        <v>2088</v>
      </c>
      <c r="CD49" s="372">
        <v>2089</v>
      </c>
    </row>
    <row r="50" spans="1:82" ht="15.5">
      <c r="A50" s="360"/>
      <c r="B50" s="373" t="s">
        <v>87</v>
      </c>
      <c r="C50" s="373" t="e">
        <f>(C$27*C$28*C$29)*Carriageways!E241</f>
        <v>#DIV/0!</v>
      </c>
      <c r="D50" s="373" t="e">
        <f>(D$27*D$28*D$29)*Carriageways!F241</f>
        <v>#DIV/0!</v>
      </c>
      <c r="E50" s="373" t="e">
        <f>(E$27*E$28*E$29)*Carriageways!G241</f>
        <v>#DIV/0!</v>
      </c>
      <c r="F50" s="373" t="e">
        <f>(F$27*F$28*F$29)*Carriageways!H241</f>
        <v>#DIV/0!</v>
      </c>
      <c r="G50" s="373" t="e">
        <f>(G$27*G$28*G$29)*Carriageways!I241</f>
        <v>#DIV/0!</v>
      </c>
      <c r="H50" s="373" t="e">
        <f>(H$27*H$28*H$29)*Carriageways!J241</f>
        <v>#DIV/0!</v>
      </c>
      <c r="I50" s="373" t="e">
        <f>(I$27*I$28*I$29)*Carriageways!K241</f>
        <v>#DIV/0!</v>
      </c>
      <c r="J50" s="373" t="e">
        <f>(J$27*J$28*J$29)*Carriageways!L241</f>
        <v>#DIV/0!</v>
      </c>
      <c r="K50" s="373" t="e">
        <f>(K$27*K$28*K$29)*Carriageways!M241</f>
        <v>#DIV/0!</v>
      </c>
      <c r="L50" s="373" t="e">
        <f>(L$27*L$28*L$29)*Carriageways!N241</f>
        <v>#DIV/0!</v>
      </c>
      <c r="M50" s="373" t="e">
        <f>(M$27*M$28*M$29)*Carriageways!O241</f>
        <v>#DIV/0!</v>
      </c>
      <c r="N50" s="373" t="e">
        <f>(N$27*N$28*N$29)*Carriageways!P241</f>
        <v>#DIV/0!</v>
      </c>
      <c r="O50" s="373" t="e">
        <f>(O$27*O$28*O$29)*Carriageways!Q241</f>
        <v>#DIV/0!</v>
      </c>
      <c r="P50" s="373" t="e">
        <f>(P$27*P$28*P$29)*Carriageways!R241</f>
        <v>#DIV/0!</v>
      </c>
      <c r="Q50" s="373" t="e">
        <f>(Q$27*Q$28*Q$29)*Carriageways!S241</f>
        <v>#DIV/0!</v>
      </c>
      <c r="R50" s="373" t="e">
        <f>(R$27*R$28*R$29)*Carriageways!T241</f>
        <v>#DIV/0!</v>
      </c>
      <c r="S50" s="373" t="e">
        <f>(S$27*S$28*S$29)*Carriageways!U241</f>
        <v>#DIV/0!</v>
      </c>
      <c r="T50" s="373" t="e">
        <f>(T$27*T$28*T$29)*Carriageways!V241</f>
        <v>#DIV/0!</v>
      </c>
      <c r="U50" s="373" t="e">
        <f>(U$27*U$28*U$29)*Carriageways!W241</f>
        <v>#DIV/0!</v>
      </c>
      <c r="V50" s="373" t="e">
        <f>(V$27*V$28*V$29)*Carriageways!X241</f>
        <v>#DIV/0!</v>
      </c>
      <c r="W50" s="373" t="e">
        <f>(W$27*W$28*W$29)*Carriageways!Y241</f>
        <v>#DIV/0!</v>
      </c>
      <c r="X50" s="373" t="e">
        <f>(X$27*X$28*X$29)*Carriageways!Z241</f>
        <v>#DIV/0!</v>
      </c>
      <c r="Y50" s="373" t="e">
        <f>(Y$27*Y$28*Y$29)*Carriageways!AA241</f>
        <v>#DIV/0!</v>
      </c>
      <c r="Z50" s="373" t="e">
        <f>(Z$27*Z$28*Z$29)*Carriageways!AB241</f>
        <v>#DIV/0!</v>
      </c>
      <c r="AA50" s="373" t="e">
        <f>(AA$27*AA$28*AA$29)*Carriageways!AC241</f>
        <v>#DIV/0!</v>
      </c>
      <c r="AB50" s="373" t="e">
        <f>(AB$27*AB$28*AB$29)*Carriageways!AD241</f>
        <v>#DIV/0!</v>
      </c>
      <c r="AC50" s="373" t="e">
        <f>(AC$27*AC$28*AC$29)*Carriageways!AE241</f>
        <v>#DIV/0!</v>
      </c>
      <c r="AD50" s="373" t="e">
        <f>(AD$27*AD$28*AD$29)*Carriageways!AF241</f>
        <v>#DIV/0!</v>
      </c>
      <c r="AE50" s="373" t="e">
        <f>(AE$27*AE$28*AE$29)*Carriageways!AG241</f>
        <v>#DIV/0!</v>
      </c>
      <c r="AF50" s="373" t="e">
        <f>(AF$27*AF$28*AF$29)*Carriageways!AH241</f>
        <v>#DIV/0!</v>
      </c>
      <c r="AG50" s="373" t="e">
        <f>(AG$27*AG$28*AG$29)*Carriageways!AI241</f>
        <v>#DIV/0!</v>
      </c>
      <c r="AH50" s="373" t="e">
        <f>(AH$27*AH$28*AH$29)*Carriageways!AJ241</f>
        <v>#DIV/0!</v>
      </c>
      <c r="AI50" s="373" t="e">
        <f>(AI$27*AI$28*AI$29)*Carriageways!AK241</f>
        <v>#DIV/0!</v>
      </c>
      <c r="AJ50" s="373" t="e">
        <f>(AJ$27*AJ$28*AJ$29)*Carriageways!AL241</f>
        <v>#DIV/0!</v>
      </c>
      <c r="AK50" s="373" t="e">
        <f>(AK$27*AK$28*AK$29)*Carriageways!AM241</f>
        <v>#DIV/0!</v>
      </c>
      <c r="AL50" s="373" t="e">
        <f>(AL$27*AL$28*AL$29)*Carriageways!AN241</f>
        <v>#DIV/0!</v>
      </c>
      <c r="AM50" s="373" t="e">
        <f>(AM$27*AM$28*AM$29)*Carriageways!AO241</f>
        <v>#DIV/0!</v>
      </c>
      <c r="AN50" s="373" t="e">
        <f>(AN$27*AN$28*AN$29)*Carriageways!AP241</f>
        <v>#DIV/0!</v>
      </c>
      <c r="AO50" s="373" t="e">
        <f>(AO$27*AO$28*AO$29)*Carriageways!AQ241</f>
        <v>#DIV/0!</v>
      </c>
      <c r="AP50" s="373" t="e">
        <f>(AP$27*AP$28*AP$29)*Carriageways!AR241</f>
        <v>#DIV/0!</v>
      </c>
      <c r="AQ50" s="373" t="e">
        <f>(AQ$27*AQ$28*AQ$29)*Carriageways!AS241</f>
        <v>#DIV/0!</v>
      </c>
      <c r="AR50" s="373" t="e">
        <f>(AR$27*AR$28*AR$29)*Carriageways!AT241</f>
        <v>#DIV/0!</v>
      </c>
      <c r="AS50" s="373" t="e">
        <f>(AS$27*AS$28*AS$29)*Carriageways!AU241</f>
        <v>#DIV/0!</v>
      </c>
      <c r="AT50" s="373" t="e">
        <f>(AT$27*AT$28*AT$29)*Carriageways!AV241</f>
        <v>#DIV/0!</v>
      </c>
      <c r="AU50" s="373" t="e">
        <f>(AU$27*AU$28*AU$29)*Carriageways!AW241</f>
        <v>#DIV/0!</v>
      </c>
      <c r="AV50" s="373" t="e">
        <f>(AV$27*AV$28*AV$29)*Carriageways!AX241</f>
        <v>#DIV/0!</v>
      </c>
      <c r="AW50" s="373" t="e">
        <f>(AW$27*AW$28*AW$29)*Carriageways!AY241</f>
        <v>#DIV/0!</v>
      </c>
      <c r="AX50" s="373" t="e">
        <f>(AX$27*AX$28*AX$29)*Carriageways!AZ241</f>
        <v>#DIV/0!</v>
      </c>
      <c r="AY50" s="373" t="e">
        <f>(AY$27*AY$28*AY$29)*Carriageways!BA241</f>
        <v>#DIV/0!</v>
      </c>
      <c r="AZ50" s="373" t="e">
        <f>(AZ$27*AZ$28*AZ$29)*Carriageways!BB241</f>
        <v>#DIV/0!</v>
      </c>
      <c r="BA50" s="373" t="e">
        <f>(BA$27*BA$28*BA$29)*Carriageways!BC241</f>
        <v>#DIV/0!</v>
      </c>
      <c r="BB50" s="373" t="e">
        <f>(BB$27*BB$28*BB$29)*Carriageways!BD241</f>
        <v>#DIV/0!</v>
      </c>
      <c r="BC50" s="373" t="e">
        <f>(BC$27*BC$28*BC$29)*Carriageways!BE241</f>
        <v>#DIV/0!</v>
      </c>
      <c r="BD50" s="373" t="e">
        <f>(BD$27*BD$28*BD$29)*Carriageways!BF241</f>
        <v>#DIV/0!</v>
      </c>
      <c r="BE50" s="373" t="e">
        <f>(BE$27*BE$28*BE$29)*Carriageways!BG241</f>
        <v>#DIV/0!</v>
      </c>
      <c r="BF50" s="373" t="e">
        <f>(BF$27*BF$28*BF$29)*Carriageways!BH241</f>
        <v>#DIV/0!</v>
      </c>
      <c r="BG50" s="373" t="e">
        <f>(BG$27*BG$28*BG$29)*Carriageways!BI241</f>
        <v>#DIV/0!</v>
      </c>
      <c r="BH50" s="373" t="e">
        <f>(BH$27*BH$28*BH$29)*Carriageways!BJ241</f>
        <v>#DIV/0!</v>
      </c>
      <c r="BI50" s="373" t="e">
        <f>(BI$27*BI$28*BI$29)*Carriageways!BK241</f>
        <v>#DIV/0!</v>
      </c>
      <c r="BJ50" s="373" t="e">
        <f>(BJ$27*BJ$28*BJ$29)*Carriageways!BL241</f>
        <v>#DIV/0!</v>
      </c>
      <c r="BK50" s="373" t="e">
        <f>(BK$27*BK$28*BK$29)*Carriageways!BM241</f>
        <v>#DIV/0!</v>
      </c>
      <c r="BL50" s="373" t="e">
        <f>(BL$27*BL$28*BL$29)*Carriageways!BN241</f>
        <v>#DIV/0!</v>
      </c>
      <c r="BM50" s="373" t="e">
        <f>(BM$27*BM$28*BM$29)*Carriageways!BO241</f>
        <v>#DIV/0!</v>
      </c>
      <c r="BN50" s="373" t="e">
        <f>(BN$27*BN$28*BN$29)*Carriageways!BP241</f>
        <v>#DIV/0!</v>
      </c>
      <c r="BO50" s="373" t="e">
        <f>(BO$27*BO$28*BO$29)*Carriageways!BQ241</f>
        <v>#DIV/0!</v>
      </c>
      <c r="BP50" s="373" t="e">
        <f>(BP$27*BP$28*BP$29)*Carriageways!BR241</f>
        <v>#DIV/0!</v>
      </c>
      <c r="BQ50" s="373" t="e">
        <f>(BQ$27*BQ$28*BQ$29)*Carriageways!BS241</f>
        <v>#DIV/0!</v>
      </c>
      <c r="BR50" s="373" t="e">
        <f>(BR$27*BR$28*BR$29)*Carriageways!BT241</f>
        <v>#DIV/0!</v>
      </c>
      <c r="BS50" s="373" t="e">
        <f>(BS$27*BS$28*BS$29)*Carriageways!BU241</f>
        <v>#DIV/0!</v>
      </c>
      <c r="BT50" s="373" t="e">
        <f>(BT$27*BT$28*BT$29)*Carriageways!BV241</f>
        <v>#DIV/0!</v>
      </c>
      <c r="BU50" s="373" t="e">
        <f>(BU$27*BU$28*BU$29)*Carriageways!BW241</f>
        <v>#DIV/0!</v>
      </c>
      <c r="BV50" s="373" t="e">
        <f>(BV$27*BV$28*BV$29)*Carriageways!BX241</f>
        <v>#DIV/0!</v>
      </c>
      <c r="BW50" s="373" t="e">
        <f>(BW$27*BW$28*BW$29)*Carriageways!BY241</f>
        <v>#DIV/0!</v>
      </c>
      <c r="BX50" s="373" t="e">
        <f>(BX$27*BX$28*BX$29)*Carriageways!BZ241</f>
        <v>#DIV/0!</v>
      </c>
      <c r="BY50" s="373" t="e">
        <f>(BY$27*BY$28*BY$29)*Carriageways!CA241</f>
        <v>#DIV/0!</v>
      </c>
      <c r="BZ50" s="373" t="e">
        <f>(BZ$27*BZ$28*BZ$29)*Carriageways!CB241</f>
        <v>#DIV/0!</v>
      </c>
      <c r="CA50" s="373" t="e">
        <f>(CA$27*CA$28*CA$29)*Carriageways!CC241</f>
        <v>#DIV/0!</v>
      </c>
      <c r="CB50" s="373" t="e">
        <f>(CB$27*CB$28*CB$29)*Carriageways!CD241</f>
        <v>#DIV/0!</v>
      </c>
      <c r="CC50" s="373" t="e">
        <f>(CC$27*CC$28*CC$29)*Carriageways!CE241</f>
        <v>#DIV/0!</v>
      </c>
      <c r="CD50" s="373" t="e">
        <f>(CD$27*CD$28*CD$29)*Carriageways!CF241</f>
        <v>#DIV/0!</v>
      </c>
    </row>
    <row r="51" spans="1:82" ht="15.5">
      <c r="A51" s="360"/>
      <c r="B51" s="373" t="s">
        <v>89</v>
      </c>
      <c r="C51" s="373" t="e">
        <f>(C$27*C$28*C$29)*Carriageways!E242</f>
        <v>#DIV/0!</v>
      </c>
      <c r="D51" s="373" t="e">
        <f>(D$27*D$28*D$29)*Carriageways!F242</f>
        <v>#DIV/0!</v>
      </c>
      <c r="E51" s="373" t="e">
        <f>(E$27*E$28*E$29)*Carriageways!G242</f>
        <v>#DIV/0!</v>
      </c>
      <c r="F51" s="373" t="e">
        <f>(F$27*F$28*F$29)*Carriageways!H242</f>
        <v>#DIV/0!</v>
      </c>
      <c r="G51" s="373" t="e">
        <f>(G$27*G$28*G$29)*Carriageways!I242</f>
        <v>#DIV/0!</v>
      </c>
      <c r="H51" s="373" t="e">
        <f>(H$27*H$28*H$29)*Carriageways!J242</f>
        <v>#DIV/0!</v>
      </c>
      <c r="I51" s="373" t="e">
        <f>(I$27*I$28*I$29)*Carriageways!K242</f>
        <v>#DIV/0!</v>
      </c>
      <c r="J51" s="373" t="e">
        <f>(J$27*J$28*J$29)*Carriageways!L242</f>
        <v>#DIV/0!</v>
      </c>
      <c r="K51" s="373" t="e">
        <f>(K$27*K$28*K$29)*Carriageways!M242</f>
        <v>#DIV/0!</v>
      </c>
      <c r="L51" s="373" t="e">
        <f>(L$27*L$28*L$29)*Carriageways!N242</f>
        <v>#DIV/0!</v>
      </c>
      <c r="M51" s="373" t="e">
        <f>(M$27*M$28*M$29)*Carriageways!O242</f>
        <v>#DIV/0!</v>
      </c>
      <c r="N51" s="373" t="e">
        <f>(N$27*N$28*N$29)*Carriageways!P242</f>
        <v>#DIV/0!</v>
      </c>
      <c r="O51" s="373" t="e">
        <f>(O$27*O$28*O$29)*Carriageways!Q242</f>
        <v>#DIV/0!</v>
      </c>
      <c r="P51" s="373" t="e">
        <f>(P$27*P$28*P$29)*Carriageways!R242</f>
        <v>#DIV/0!</v>
      </c>
      <c r="Q51" s="373" t="e">
        <f>(Q$27*Q$28*Q$29)*Carriageways!S242</f>
        <v>#DIV/0!</v>
      </c>
      <c r="R51" s="373" t="e">
        <f>(R$27*R$28*R$29)*Carriageways!T242</f>
        <v>#DIV/0!</v>
      </c>
      <c r="S51" s="373" t="e">
        <f>(S$27*S$28*S$29)*Carriageways!U242</f>
        <v>#DIV/0!</v>
      </c>
      <c r="T51" s="373" t="e">
        <f>(T$27*T$28*T$29)*Carriageways!V242</f>
        <v>#DIV/0!</v>
      </c>
      <c r="U51" s="373" t="e">
        <f>(U$27*U$28*U$29)*Carriageways!W242</f>
        <v>#DIV/0!</v>
      </c>
      <c r="V51" s="373" t="e">
        <f>(V$27*V$28*V$29)*Carriageways!X242</f>
        <v>#DIV/0!</v>
      </c>
      <c r="W51" s="373" t="e">
        <f>(W$27*W$28*W$29)*Carriageways!Y242</f>
        <v>#DIV/0!</v>
      </c>
      <c r="X51" s="373" t="e">
        <f>(X$27*X$28*X$29)*Carriageways!Z242</f>
        <v>#DIV/0!</v>
      </c>
      <c r="Y51" s="373" t="e">
        <f>(Y$27*Y$28*Y$29)*Carriageways!AA242</f>
        <v>#DIV/0!</v>
      </c>
      <c r="Z51" s="373" t="e">
        <f>(Z$27*Z$28*Z$29)*Carriageways!AB242</f>
        <v>#DIV/0!</v>
      </c>
      <c r="AA51" s="373" t="e">
        <f>(AA$27*AA$28*AA$29)*Carriageways!AC242</f>
        <v>#DIV/0!</v>
      </c>
      <c r="AB51" s="373" t="e">
        <f>(AB$27*AB$28*AB$29)*Carriageways!AD242</f>
        <v>#DIV/0!</v>
      </c>
      <c r="AC51" s="373" t="e">
        <f>(AC$27*AC$28*AC$29)*Carriageways!AE242</f>
        <v>#DIV/0!</v>
      </c>
      <c r="AD51" s="373" t="e">
        <f>(AD$27*AD$28*AD$29)*Carriageways!AF242</f>
        <v>#DIV/0!</v>
      </c>
      <c r="AE51" s="373" t="e">
        <f>(AE$27*AE$28*AE$29)*Carriageways!AG242</f>
        <v>#DIV/0!</v>
      </c>
      <c r="AF51" s="373" t="e">
        <f>(AF$27*AF$28*AF$29)*Carriageways!AH242</f>
        <v>#DIV/0!</v>
      </c>
      <c r="AG51" s="373" t="e">
        <f>(AG$27*AG$28*AG$29)*Carriageways!AI242</f>
        <v>#DIV/0!</v>
      </c>
      <c r="AH51" s="373" t="e">
        <f>(AH$27*AH$28*AH$29)*Carriageways!AJ242</f>
        <v>#DIV/0!</v>
      </c>
      <c r="AI51" s="373" t="e">
        <f>(AI$27*AI$28*AI$29)*Carriageways!AK242</f>
        <v>#DIV/0!</v>
      </c>
      <c r="AJ51" s="373" t="e">
        <f>(AJ$27*AJ$28*AJ$29)*Carriageways!AL242</f>
        <v>#DIV/0!</v>
      </c>
      <c r="AK51" s="373" t="e">
        <f>(AK$27*AK$28*AK$29)*Carriageways!AM242</f>
        <v>#DIV/0!</v>
      </c>
      <c r="AL51" s="373" t="e">
        <f>(AL$27*AL$28*AL$29)*Carriageways!AN242</f>
        <v>#DIV/0!</v>
      </c>
      <c r="AM51" s="373" t="e">
        <f>(AM$27*AM$28*AM$29)*Carriageways!AO242</f>
        <v>#DIV/0!</v>
      </c>
      <c r="AN51" s="373" t="e">
        <f>(AN$27*AN$28*AN$29)*Carriageways!AP242</f>
        <v>#DIV/0!</v>
      </c>
      <c r="AO51" s="373" t="e">
        <f>(AO$27*AO$28*AO$29)*Carriageways!AQ242</f>
        <v>#DIV/0!</v>
      </c>
      <c r="AP51" s="373" t="e">
        <f>(AP$27*AP$28*AP$29)*Carriageways!AR242</f>
        <v>#DIV/0!</v>
      </c>
      <c r="AQ51" s="373" t="e">
        <f>(AQ$27*AQ$28*AQ$29)*Carriageways!AS242</f>
        <v>#DIV/0!</v>
      </c>
      <c r="AR51" s="373" t="e">
        <f>(AR$27*AR$28*AR$29)*Carriageways!AT242</f>
        <v>#DIV/0!</v>
      </c>
      <c r="AS51" s="373" t="e">
        <f>(AS$27*AS$28*AS$29)*Carriageways!AU242</f>
        <v>#DIV/0!</v>
      </c>
      <c r="AT51" s="373" t="e">
        <f>(AT$27*AT$28*AT$29)*Carriageways!AV242</f>
        <v>#DIV/0!</v>
      </c>
      <c r="AU51" s="373" t="e">
        <f>(AU$27*AU$28*AU$29)*Carriageways!AW242</f>
        <v>#DIV/0!</v>
      </c>
      <c r="AV51" s="373" t="e">
        <f>(AV$27*AV$28*AV$29)*Carriageways!AX242</f>
        <v>#DIV/0!</v>
      </c>
      <c r="AW51" s="373" t="e">
        <f>(AW$27*AW$28*AW$29)*Carriageways!AY242</f>
        <v>#DIV/0!</v>
      </c>
      <c r="AX51" s="373" t="e">
        <f>(AX$27*AX$28*AX$29)*Carriageways!AZ242</f>
        <v>#DIV/0!</v>
      </c>
      <c r="AY51" s="373" t="e">
        <f>(AY$27*AY$28*AY$29)*Carriageways!BA242</f>
        <v>#DIV/0!</v>
      </c>
      <c r="AZ51" s="373" t="e">
        <f>(AZ$27*AZ$28*AZ$29)*Carriageways!BB242</f>
        <v>#DIV/0!</v>
      </c>
      <c r="BA51" s="373" t="e">
        <f>(BA$27*BA$28*BA$29)*Carriageways!BC242</f>
        <v>#DIV/0!</v>
      </c>
      <c r="BB51" s="373" t="e">
        <f>(BB$27*BB$28*BB$29)*Carriageways!BD242</f>
        <v>#DIV/0!</v>
      </c>
      <c r="BC51" s="373" t="e">
        <f>(BC$27*BC$28*BC$29)*Carriageways!BE242</f>
        <v>#DIV/0!</v>
      </c>
      <c r="BD51" s="373" t="e">
        <f>(BD$27*BD$28*BD$29)*Carriageways!BF242</f>
        <v>#DIV/0!</v>
      </c>
      <c r="BE51" s="373" t="e">
        <f>(BE$27*BE$28*BE$29)*Carriageways!BG242</f>
        <v>#DIV/0!</v>
      </c>
      <c r="BF51" s="373" t="e">
        <f>(BF$27*BF$28*BF$29)*Carriageways!BH242</f>
        <v>#DIV/0!</v>
      </c>
      <c r="BG51" s="373" t="e">
        <f>(BG$27*BG$28*BG$29)*Carriageways!BI242</f>
        <v>#DIV/0!</v>
      </c>
      <c r="BH51" s="373" t="e">
        <f>(BH$27*BH$28*BH$29)*Carriageways!BJ242</f>
        <v>#DIV/0!</v>
      </c>
      <c r="BI51" s="373" t="e">
        <f>(BI$27*BI$28*BI$29)*Carriageways!BK242</f>
        <v>#DIV/0!</v>
      </c>
      <c r="BJ51" s="373" t="e">
        <f>(BJ$27*BJ$28*BJ$29)*Carriageways!BL242</f>
        <v>#DIV/0!</v>
      </c>
      <c r="BK51" s="373" t="e">
        <f>(BK$27*BK$28*BK$29)*Carriageways!BM242</f>
        <v>#DIV/0!</v>
      </c>
      <c r="BL51" s="373" t="e">
        <f>(BL$27*BL$28*BL$29)*Carriageways!BN242</f>
        <v>#DIV/0!</v>
      </c>
      <c r="BM51" s="373" t="e">
        <f>(BM$27*BM$28*BM$29)*Carriageways!BO242</f>
        <v>#DIV/0!</v>
      </c>
      <c r="BN51" s="373" t="e">
        <f>(BN$27*BN$28*BN$29)*Carriageways!BP242</f>
        <v>#DIV/0!</v>
      </c>
      <c r="BO51" s="373" t="e">
        <f>(BO$27*BO$28*BO$29)*Carriageways!BQ242</f>
        <v>#DIV/0!</v>
      </c>
      <c r="BP51" s="373" t="e">
        <f>(BP$27*BP$28*BP$29)*Carriageways!BR242</f>
        <v>#DIV/0!</v>
      </c>
      <c r="BQ51" s="373" t="e">
        <f>(BQ$27*BQ$28*BQ$29)*Carriageways!BS242</f>
        <v>#DIV/0!</v>
      </c>
      <c r="BR51" s="373" t="e">
        <f>(BR$27*BR$28*BR$29)*Carriageways!BT242</f>
        <v>#DIV/0!</v>
      </c>
      <c r="BS51" s="373" t="e">
        <f>(BS$27*BS$28*BS$29)*Carriageways!BU242</f>
        <v>#DIV/0!</v>
      </c>
      <c r="BT51" s="373" t="e">
        <f>(BT$27*BT$28*BT$29)*Carriageways!BV242</f>
        <v>#DIV/0!</v>
      </c>
      <c r="BU51" s="373" t="e">
        <f>(BU$27*BU$28*BU$29)*Carriageways!BW242</f>
        <v>#DIV/0!</v>
      </c>
      <c r="BV51" s="373" t="e">
        <f>(BV$27*BV$28*BV$29)*Carriageways!BX242</f>
        <v>#DIV/0!</v>
      </c>
      <c r="BW51" s="373" t="e">
        <f>(BW$27*BW$28*BW$29)*Carriageways!BY242</f>
        <v>#DIV/0!</v>
      </c>
      <c r="BX51" s="373" t="e">
        <f>(BX$27*BX$28*BX$29)*Carriageways!BZ242</f>
        <v>#DIV/0!</v>
      </c>
      <c r="BY51" s="373" t="e">
        <f>(BY$27*BY$28*BY$29)*Carriageways!CA242</f>
        <v>#DIV/0!</v>
      </c>
      <c r="BZ51" s="373" t="e">
        <f>(BZ$27*BZ$28*BZ$29)*Carriageways!CB242</f>
        <v>#DIV/0!</v>
      </c>
      <c r="CA51" s="373" t="e">
        <f>(CA$27*CA$28*CA$29)*Carriageways!CC242</f>
        <v>#DIV/0!</v>
      </c>
      <c r="CB51" s="373" t="e">
        <f>(CB$27*CB$28*CB$29)*Carriageways!CD242</f>
        <v>#DIV/0!</v>
      </c>
      <c r="CC51" s="373" t="e">
        <f>(CC$27*CC$28*CC$29)*Carriageways!CE242</f>
        <v>#DIV/0!</v>
      </c>
      <c r="CD51" s="373" t="e">
        <f>(CD$27*CD$28*CD$29)*Carriageways!CF242</f>
        <v>#DIV/0!</v>
      </c>
    </row>
    <row r="52" spans="1:82" ht="15.5">
      <c r="A52" s="360"/>
      <c r="B52" s="373" t="s">
        <v>91</v>
      </c>
      <c r="C52" s="373" t="e">
        <f>(C$27*C$28*C$29)*Carriageways!E243</f>
        <v>#DIV/0!</v>
      </c>
      <c r="D52" s="373" t="e">
        <f>(D$27*D$28*D$29)*Carriageways!F243</f>
        <v>#DIV/0!</v>
      </c>
      <c r="E52" s="373" t="e">
        <f>(E$27*E$28*E$29)*Carriageways!G243</f>
        <v>#DIV/0!</v>
      </c>
      <c r="F52" s="373" t="e">
        <f>(F$27*F$28*F$29)*Carriageways!H243</f>
        <v>#DIV/0!</v>
      </c>
      <c r="G52" s="373" t="e">
        <f>(G$27*G$28*G$29)*Carriageways!I243</f>
        <v>#DIV/0!</v>
      </c>
      <c r="H52" s="373" t="e">
        <f>(H$27*H$28*H$29)*Carriageways!J243</f>
        <v>#DIV/0!</v>
      </c>
      <c r="I52" s="373" t="e">
        <f>(I$27*I$28*I$29)*Carriageways!K243</f>
        <v>#DIV/0!</v>
      </c>
      <c r="J52" s="373" t="e">
        <f>(J$27*J$28*J$29)*Carriageways!L243</f>
        <v>#DIV/0!</v>
      </c>
      <c r="K52" s="373" t="e">
        <f>(K$27*K$28*K$29)*Carriageways!M243</f>
        <v>#DIV/0!</v>
      </c>
      <c r="L52" s="373" t="e">
        <f>(L$27*L$28*L$29)*Carriageways!N243</f>
        <v>#DIV/0!</v>
      </c>
      <c r="M52" s="373" t="e">
        <f>(M$27*M$28*M$29)*Carriageways!O243</f>
        <v>#DIV/0!</v>
      </c>
      <c r="N52" s="373" t="e">
        <f>(N$27*N$28*N$29)*Carriageways!P243</f>
        <v>#DIV/0!</v>
      </c>
      <c r="O52" s="373" t="e">
        <f>(O$27*O$28*O$29)*Carriageways!Q243</f>
        <v>#DIV/0!</v>
      </c>
      <c r="P52" s="373" t="e">
        <f>(P$27*P$28*P$29)*Carriageways!R243</f>
        <v>#DIV/0!</v>
      </c>
      <c r="Q52" s="373" t="e">
        <f>(Q$27*Q$28*Q$29)*Carriageways!S243</f>
        <v>#DIV/0!</v>
      </c>
      <c r="R52" s="373" t="e">
        <f>(R$27*R$28*R$29)*Carriageways!T243</f>
        <v>#DIV/0!</v>
      </c>
      <c r="S52" s="373" t="e">
        <f>(S$27*S$28*S$29)*Carriageways!U243</f>
        <v>#DIV/0!</v>
      </c>
      <c r="T52" s="373" t="e">
        <f>(T$27*T$28*T$29)*Carriageways!V243</f>
        <v>#DIV/0!</v>
      </c>
      <c r="U52" s="373" t="e">
        <f>(U$27*U$28*U$29)*Carriageways!W243</f>
        <v>#DIV/0!</v>
      </c>
      <c r="V52" s="373" t="e">
        <f>(V$27*V$28*V$29)*Carriageways!X243</f>
        <v>#DIV/0!</v>
      </c>
      <c r="W52" s="373" t="e">
        <f>(W$27*W$28*W$29)*Carriageways!Y243</f>
        <v>#DIV/0!</v>
      </c>
      <c r="X52" s="373" t="e">
        <f>(X$27*X$28*X$29)*Carriageways!Z243</f>
        <v>#DIV/0!</v>
      </c>
      <c r="Y52" s="373" t="e">
        <f>(Y$27*Y$28*Y$29)*Carriageways!AA243</f>
        <v>#DIV/0!</v>
      </c>
      <c r="Z52" s="373" t="e">
        <f>(Z$27*Z$28*Z$29)*Carriageways!AB243</f>
        <v>#DIV/0!</v>
      </c>
      <c r="AA52" s="373" t="e">
        <f>(AA$27*AA$28*AA$29)*Carriageways!AC243</f>
        <v>#DIV/0!</v>
      </c>
      <c r="AB52" s="373" t="e">
        <f>(AB$27*AB$28*AB$29)*Carriageways!AD243</f>
        <v>#DIV/0!</v>
      </c>
      <c r="AC52" s="373" t="e">
        <f>(AC$27*AC$28*AC$29)*Carriageways!AE243</f>
        <v>#DIV/0!</v>
      </c>
      <c r="AD52" s="373" t="e">
        <f>(AD$27*AD$28*AD$29)*Carriageways!AF243</f>
        <v>#DIV/0!</v>
      </c>
      <c r="AE52" s="373" t="e">
        <f>(AE$27*AE$28*AE$29)*Carriageways!AG243</f>
        <v>#DIV/0!</v>
      </c>
      <c r="AF52" s="373" t="e">
        <f>(AF$27*AF$28*AF$29)*Carriageways!AH243</f>
        <v>#DIV/0!</v>
      </c>
      <c r="AG52" s="373" t="e">
        <f>(AG$27*AG$28*AG$29)*Carriageways!AI243</f>
        <v>#DIV/0!</v>
      </c>
      <c r="AH52" s="373" t="e">
        <f>(AH$27*AH$28*AH$29)*Carriageways!AJ243</f>
        <v>#DIV/0!</v>
      </c>
      <c r="AI52" s="373" t="e">
        <f>(AI$27*AI$28*AI$29)*Carriageways!AK243</f>
        <v>#DIV/0!</v>
      </c>
      <c r="AJ52" s="373" t="e">
        <f>(AJ$27*AJ$28*AJ$29)*Carriageways!AL243</f>
        <v>#DIV/0!</v>
      </c>
      <c r="AK52" s="373" t="e">
        <f>(AK$27*AK$28*AK$29)*Carriageways!AM243</f>
        <v>#DIV/0!</v>
      </c>
      <c r="AL52" s="373" t="e">
        <f>(AL$27*AL$28*AL$29)*Carriageways!AN243</f>
        <v>#DIV/0!</v>
      </c>
      <c r="AM52" s="373" t="e">
        <f>(AM$27*AM$28*AM$29)*Carriageways!AO243</f>
        <v>#DIV/0!</v>
      </c>
      <c r="AN52" s="373" t="e">
        <f>(AN$27*AN$28*AN$29)*Carriageways!AP243</f>
        <v>#DIV/0!</v>
      </c>
      <c r="AO52" s="373" t="e">
        <f>(AO$27*AO$28*AO$29)*Carriageways!AQ243</f>
        <v>#DIV/0!</v>
      </c>
      <c r="AP52" s="373" t="e">
        <f>(AP$27*AP$28*AP$29)*Carriageways!AR243</f>
        <v>#DIV/0!</v>
      </c>
      <c r="AQ52" s="373" t="e">
        <f>(AQ$27*AQ$28*AQ$29)*Carriageways!AS243</f>
        <v>#DIV/0!</v>
      </c>
      <c r="AR52" s="373" t="e">
        <f>(AR$27*AR$28*AR$29)*Carriageways!AT243</f>
        <v>#DIV/0!</v>
      </c>
      <c r="AS52" s="373" t="e">
        <f>(AS$27*AS$28*AS$29)*Carriageways!AU243</f>
        <v>#DIV/0!</v>
      </c>
      <c r="AT52" s="373" t="e">
        <f>(AT$27*AT$28*AT$29)*Carriageways!AV243</f>
        <v>#DIV/0!</v>
      </c>
      <c r="AU52" s="373" t="e">
        <f>(AU$27*AU$28*AU$29)*Carriageways!AW243</f>
        <v>#DIV/0!</v>
      </c>
      <c r="AV52" s="373" t="e">
        <f>(AV$27*AV$28*AV$29)*Carriageways!AX243</f>
        <v>#DIV/0!</v>
      </c>
      <c r="AW52" s="373" t="e">
        <f>(AW$27*AW$28*AW$29)*Carriageways!AY243</f>
        <v>#DIV/0!</v>
      </c>
      <c r="AX52" s="373" t="e">
        <f>(AX$27*AX$28*AX$29)*Carriageways!AZ243</f>
        <v>#DIV/0!</v>
      </c>
      <c r="AY52" s="373" t="e">
        <f>(AY$27*AY$28*AY$29)*Carriageways!BA243</f>
        <v>#DIV/0!</v>
      </c>
      <c r="AZ52" s="373" t="e">
        <f>(AZ$27*AZ$28*AZ$29)*Carriageways!BB243</f>
        <v>#DIV/0!</v>
      </c>
      <c r="BA52" s="373" t="e">
        <f>(BA$27*BA$28*BA$29)*Carriageways!BC243</f>
        <v>#DIV/0!</v>
      </c>
      <c r="BB52" s="373" t="e">
        <f>(BB$27*BB$28*BB$29)*Carriageways!BD243</f>
        <v>#DIV/0!</v>
      </c>
      <c r="BC52" s="373" t="e">
        <f>(BC$27*BC$28*BC$29)*Carriageways!BE243</f>
        <v>#DIV/0!</v>
      </c>
      <c r="BD52" s="373" t="e">
        <f>(BD$27*BD$28*BD$29)*Carriageways!BF243</f>
        <v>#DIV/0!</v>
      </c>
      <c r="BE52" s="373" t="e">
        <f>(BE$27*BE$28*BE$29)*Carriageways!BG243</f>
        <v>#DIV/0!</v>
      </c>
      <c r="BF52" s="373" t="e">
        <f>(BF$27*BF$28*BF$29)*Carriageways!BH243</f>
        <v>#DIV/0!</v>
      </c>
      <c r="BG52" s="373" t="e">
        <f>(BG$27*BG$28*BG$29)*Carriageways!BI243</f>
        <v>#DIV/0!</v>
      </c>
      <c r="BH52" s="373" t="e">
        <f>(BH$27*BH$28*BH$29)*Carriageways!BJ243</f>
        <v>#DIV/0!</v>
      </c>
      <c r="BI52" s="373" t="e">
        <f>(BI$27*BI$28*BI$29)*Carriageways!BK243</f>
        <v>#DIV/0!</v>
      </c>
      <c r="BJ52" s="373" t="e">
        <f>(BJ$27*BJ$28*BJ$29)*Carriageways!BL243</f>
        <v>#DIV/0!</v>
      </c>
      <c r="BK52" s="373" t="e">
        <f>(BK$27*BK$28*BK$29)*Carriageways!BM243</f>
        <v>#DIV/0!</v>
      </c>
      <c r="BL52" s="373" t="e">
        <f>(BL$27*BL$28*BL$29)*Carriageways!BN243</f>
        <v>#DIV/0!</v>
      </c>
      <c r="BM52" s="373" t="e">
        <f>(BM$27*BM$28*BM$29)*Carriageways!BO243</f>
        <v>#DIV/0!</v>
      </c>
      <c r="BN52" s="373" t="e">
        <f>(BN$27*BN$28*BN$29)*Carriageways!BP243</f>
        <v>#DIV/0!</v>
      </c>
      <c r="BO52" s="373" t="e">
        <f>(BO$27*BO$28*BO$29)*Carriageways!BQ243</f>
        <v>#DIV/0!</v>
      </c>
      <c r="BP52" s="373" t="e">
        <f>(BP$27*BP$28*BP$29)*Carriageways!BR243</f>
        <v>#DIV/0!</v>
      </c>
      <c r="BQ52" s="373" t="e">
        <f>(BQ$27*BQ$28*BQ$29)*Carriageways!BS243</f>
        <v>#DIV/0!</v>
      </c>
      <c r="BR52" s="373" t="e">
        <f>(BR$27*BR$28*BR$29)*Carriageways!BT243</f>
        <v>#DIV/0!</v>
      </c>
      <c r="BS52" s="373" t="e">
        <f>(BS$27*BS$28*BS$29)*Carriageways!BU243</f>
        <v>#DIV/0!</v>
      </c>
      <c r="BT52" s="373" t="e">
        <f>(BT$27*BT$28*BT$29)*Carriageways!BV243</f>
        <v>#DIV/0!</v>
      </c>
      <c r="BU52" s="373" t="e">
        <f>(BU$27*BU$28*BU$29)*Carriageways!BW243</f>
        <v>#DIV/0!</v>
      </c>
      <c r="BV52" s="373" t="e">
        <f>(BV$27*BV$28*BV$29)*Carriageways!BX243</f>
        <v>#DIV/0!</v>
      </c>
      <c r="BW52" s="373" t="e">
        <f>(BW$27*BW$28*BW$29)*Carriageways!BY243</f>
        <v>#DIV/0!</v>
      </c>
      <c r="BX52" s="373" t="e">
        <f>(BX$27*BX$28*BX$29)*Carriageways!BZ243</f>
        <v>#DIV/0!</v>
      </c>
      <c r="BY52" s="373" t="e">
        <f>(BY$27*BY$28*BY$29)*Carriageways!CA243</f>
        <v>#DIV/0!</v>
      </c>
      <c r="BZ52" s="373" t="e">
        <f>(BZ$27*BZ$28*BZ$29)*Carriageways!CB243</f>
        <v>#DIV/0!</v>
      </c>
      <c r="CA52" s="373" t="e">
        <f>(CA$27*CA$28*CA$29)*Carriageways!CC243</f>
        <v>#DIV/0!</v>
      </c>
      <c r="CB52" s="373" t="e">
        <f>(CB$27*CB$28*CB$29)*Carriageways!CD243</f>
        <v>#DIV/0!</v>
      </c>
      <c r="CC52" s="373" t="e">
        <f>(CC$27*CC$28*CC$29)*Carriageways!CE243</f>
        <v>#DIV/0!</v>
      </c>
      <c r="CD52" s="373" t="e">
        <f>(CD$27*CD$28*CD$29)*Carriageways!CF243</f>
        <v>#DIV/0!</v>
      </c>
    </row>
    <row r="53" spans="1:82" ht="15.5">
      <c r="A53" s="360"/>
      <c r="B53" s="373" t="s">
        <v>93</v>
      </c>
      <c r="C53" s="373" t="e">
        <f>(C$27*C$28*C$29)*Carriageways!E244</f>
        <v>#DIV/0!</v>
      </c>
      <c r="D53" s="373" t="e">
        <f>(D$27*D$28*D$29)*Carriageways!F244</f>
        <v>#DIV/0!</v>
      </c>
      <c r="E53" s="373" t="e">
        <f>(E$27*E$28*E$29)*Carriageways!G244</f>
        <v>#DIV/0!</v>
      </c>
      <c r="F53" s="373" t="e">
        <f>(F$27*F$28*F$29)*Carriageways!H244</f>
        <v>#DIV/0!</v>
      </c>
      <c r="G53" s="373" t="e">
        <f>(G$27*G$28*G$29)*Carriageways!I244</f>
        <v>#DIV/0!</v>
      </c>
      <c r="H53" s="373" t="e">
        <f>(H$27*H$28*H$29)*Carriageways!J244</f>
        <v>#DIV/0!</v>
      </c>
      <c r="I53" s="373" t="e">
        <f>(I$27*I$28*I$29)*Carriageways!K244</f>
        <v>#DIV/0!</v>
      </c>
      <c r="J53" s="373" t="e">
        <f>(J$27*J$28*J$29)*Carriageways!L244</f>
        <v>#DIV/0!</v>
      </c>
      <c r="K53" s="373" t="e">
        <f>(K$27*K$28*K$29)*Carriageways!M244</f>
        <v>#DIV/0!</v>
      </c>
      <c r="L53" s="373" t="e">
        <f>(L$27*L$28*L$29)*Carriageways!N244</f>
        <v>#DIV/0!</v>
      </c>
      <c r="M53" s="373" t="e">
        <f>(M$27*M$28*M$29)*Carriageways!O244</f>
        <v>#DIV/0!</v>
      </c>
      <c r="N53" s="373" t="e">
        <f>(N$27*N$28*N$29)*Carriageways!P244</f>
        <v>#DIV/0!</v>
      </c>
      <c r="O53" s="373" t="e">
        <f>(O$27*O$28*O$29)*Carriageways!Q244</f>
        <v>#DIV/0!</v>
      </c>
      <c r="P53" s="373" t="e">
        <f>(P$27*P$28*P$29)*Carriageways!R244</f>
        <v>#DIV/0!</v>
      </c>
      <c r="Q53" s="373" t="e">
        <f>(Q$27*Q$28*Q$29)*Carriageways!S244</f>
        <v>#DIV/0!</v>
      </c>
      <c r="R53" s="373" t="e">
        <f>(R$27*R$28*R$29)*Carriageways!T244</f>
        <v>#DIV/0!</v>
      </c>
      <c r="S53" s="373" t="e">
        <f>(S$27*S$28*S$29)*Carriageways!U244</f>
        <v>#DIV/0!</v>
      </c>
      <c r="T53" s="373" t="e">
        <f>(T$27*T$28*T$29)*Carriageways!V244</f>
        <v>#DIV/0!</v>
      </c>
      <c r="U53" s="373" t="e">
        <f>(U$27*U$28*U$29)*Carriageways!W244</f>
        <v>#DIV/0!</v>
      </c>
      <c r="V53" s="373" t="e">
        <f>(V$27*V$28*V$29)*Carriageways!X244</f>
        <v>#DIV/0!</v>
      </c>
      <c r="W53" s="373" t="e">
        <f>(W$27*W$28*W$29)*Carriageways!Y244</f>
        <v>#DIV/0!</v>
      </c>
      <c r="X53" s="373" t="e">
        <f>(X$27*X$28*X$29)*Carriageways!Z244</f>
        <v>#DIV/0!</v>
      </c>
      <c r="Y53" s="373" t="e">
        <f>(Y$27*Y$28*Y$29)*Carriageways!AA244</f>
        <v>#DIV/0!</v>
      </c>
      <c r="Z53" s="373" t="e">
        <f>(Z$27*Z$28*Z$29)*Carriageways!AB244</f>
        <v>#DIV/0!</v>
      </c>
      <c r="AA53" s="373" t="e">
        <f>(AA$27*AA$28*AA$29)*Carriageways!AC244</f>
        <v>#DIV/0!</v>
      </c>
      <c r="AB53" s="373" t="e">
        <f>(AB$27*AB$28*AB$29)*Carriageways!AD244</f>
        <v>#DIV/0!</v>
      </c>
      <c r="AC53" s="373" t="e">
        <f>(AC$27*AC$28*AC$29)*Carriageways!AE244</f>
        <v>#DIV/0!</v>
      </c>
      <c r="AD53" s="373" t="e">
        <f>(AD$27*AD$28*AD$29)*Carriageways!AF244</f>
        <v>#DIV/0!</v>
      </c>
      <c r="AE53" s="373" t="e">
        <f>(AE$27*AE$28*AE$29)*Carriageways!AG244</f>
        <v>#DIV/0!</v>
      </c>
      <c r="AF53" s="373" t="e">
        <f>(AF$27*AF$28*AF$29)*Carriageways!AH244</f>
        <v>#DIV/0!</v>
      </c>
      <c r="AG53" s="373" t="e">
        <f>(AG$27*AG$28*AG$29)*Carriageways!AI244</f>
        <v>#DIV/0!</v>
      </c>
      <c r="AH53" s="373" t="e">
        <f>(AH$27*AH$28*AH$29)*Carriageways!AJ244</f>
        <v>#DIV/0!</v>
      </c>
      <c r="AI53" s="373" t="e">
        <f>(AI$27*AI$28*AI$29)*Carriageways!AK244</f>
        <v>#DIV/0!</v>
      </c>
      <c r="AJ53" s="373" t="e">
        <f>(AJ$27*AJ$28*AJ$29)*Carriageways!AL244</f>
        <v>#DIV/0!</v>
      </c>
      <c r="AK53" s="373" t="e">
        <f>(AK$27*AK$28*AK$29)*Carriageways!AM244</f>
        <v>#DIV/0!</v>
      </c>
      <c r="AL53" s="373" t="e">
        <f>(AL$27*AL$28*AL$29)*Carriageways!AN244</f>
        <v>#DIV/0!</v>
      </c>
      <c r="AM53" s="373" t="e">
        <f>(AM$27*AM$28*AM$29)*Carriageways!AO244</f>
        <v>#DIV/0!</v>
      </c>
      <c r="AN53" s="373" t="e">
        <f>(AN$27*AN$28*AN$29)*Carriageways!AP244</f>
        <v>#DIV/0!</v>
      </c>
      <c r="AO53" s="373" t="e">
        <f>(AO$27*AO$28*AO$29)*Carriageways!AQ244</f>
        <v>#DIV/0!</v>
      </c>
      <c r="AP53" s="373" t="e">
        <f>(AP$27*AP$28*AP$29)*Carriageways!AR244</f>
        <v>#DIV/0!</v>
      </c>
      <c r="AQ53" s="373" t="e">
        <f>(AQ$27*AQ$28*AQ$29)*Carriageways!AS244</f>
        <v>#DIV/0!</v>
      </c>
      <c r="AR53" s="373" t="e">
        <f>(AR$27*AR$28*AR$29)*Carriageways!AT244</f>
        <v>#DIV/0!</v>
      </c>
      <c r="AS53" s="373" t="e">
        <f>(AS$27*AS$28*AS$29)*Carriageways!AU244</f>
        <v>#DIV/0!</v>
      </c>
      <c r="AT53" s="373" t="e">
        <f>(AT$27*AT$28*AT$29)*Carriageways!AV244</f>
        <v>#DIV/0!</v>
      </c>
      <c r="AU53" s="373" t="e">
        <f>(AU$27*AU$28*AU$29)*Carriageways!AW244</f>
        <v>#DIV/0!</v>
      </c>
      <c r="AV53" s="373" t="e">
        <f>(AV$27*AV$28*AV$29)*Carriageways!AX244</f>
        <v>#DIV/0!</v>
      </c>
      <c r="AW53" s="373" t="e">
        <f>(AW$27*AW$28*AW$29)*Carriageways!AY244</f>
        <v>#DIV/0!</v>
      </c>
      <c r="AX53" s="373" t="e">
        <f>(AX$27*AX$28*AX$29)*Carriageways!AZ244</f>
        <v>#DIV/0!</v>
      </c>
      <c r="AY53" s="373" t="e">
        <f>(AY$27*AY$28*AY$29)*Carriageways!BA244</f>
        <v>#DIV/0!</v>
      </c>
      <c r="AZ53" s="373" t="e">
        <f>(AZ$27*AZ$28*AZ$29)*Carriageways!BB244</f>
        <v>#DIV/0!</v>
      </c>
      <c r="BA53" s="373" t="e">
        <f>(BA$27*BA$28*BA$29)*Carriageways!BC244</f>
        <v>#DIV/0!</v>
      </c>
      <c r="BB53" s="373" t="e">
        <f>(BB$27*BB$28*BB$29)*Carriageways!BD244</f>
        <v>#DIV/0!</v>
      </c>
      <c r="BC53" s="373" t="e">
        <f>(BC$27*BC$28*BC$29)*Carriageways!BE244</f>
        <v>#DIV/0!</v>
      </c>
      <c r="BD53" s="373" t="e">
        <f>(BD$27*BD$28*BD$29)*Carriageways!BF244</f>
        <v>#DIV/0!</v>
      </c>
      <c r="BE53" s="373" t="e">
        <f>(BE$27*BE$28*BE$29)*Carriageways!BG244</f>
        <v>#DIV/0!</v>
      </c>
      <c r="BF53" s="373" t="e">
        <f>(BF$27*BF$28*BF$29)*Carriageways!BH244</f>
        <v>#DIV/0!</v>
      </c>
      <c r="BG53" s="373" t="e">
        <f>(BG$27*BG$28*BG$29)*Carriageways!BI244</f>
        <v>#DIV/0!</v>
      </c>
      <c r="BH53" s="373" t="e">
        <f>(BH$27*BH$28*BH$29)*Carriageways!BJ244</f>
        <v>#DIV/0!</v>
      </c>
      <c r="BI53" s="373" t="e">
        <f>(BI$27*BI$28*BI$29)*Carriageways!BK244</f>
        <v>#DIV/0!</v>
      </c>
      <c r="BJ53" s="373" t="e">
        <f>(BJ$27*BJ$28*BJ$29)*Carriageways!BL244</f>
        <v>#DIV/0!</v>
      </c>
      <c r="BK53" s="373" t="e">
        <f>(BK$27*BK$28*BK$29)*Carriageways!BM244</f>
        <v>#DIV/0!</v>
      </c>
      <c r="BL53" s="373" t="e">
        <f>(BL$27*BL$28*BL$29)*Carriageways!BN244</f>
        <v>#DIV/0!</v>
      </c>
      <c r="BM53" s="373" t="e">
        <f>(BM$27*BM$28*BM$29)*Carriageways!BO244</f>
        <v>#DIV/0!</v>
      </c>
      <c r="BN53" s="373" t="e">
        <f>(BN$27*BN$28*BN$29)*Carriageways!BP244</f>
        <v>#DIV/0!</v>
      </c>
      <c r="BO53" s="373" t="e">
        <f>(BO$27*BO$28*BO$29)*Carriageways!BQ244</f>
        <v>#DIV/0!</v>
      </c>
      <c r="BP53" s="373" t="e">
        <f>(BP$27*BP$28*BP$29)*Carriageways!BR244</f>
        <v>#DIV/0!</v>
      </c>
      <c r="BQ53" s="373" t="e">
        <f>(BQ$27*BQ$28*BQ$29)*Carriageways!BS244</f>
        <v>#DIV/0!</v>
      </c>
      <c r="BR53" s="373" t="e">
        <f>(BR$27*BR$28*BR$29)*Carriageways!BT244</f>
        <v>#DIV/0!</v>
      </c>
      <c r="BS53" s="373" t="e">
        <f>(BS$27*BS$28*BS$29)*Carriageways!BU244</f>
        <v>#DIV/0!</v>
      </c>
      <c r="BT53" s="373" t="e">
        <f>(BT$27*BT$28*BT$29)*Carriageways!BV244</f>
        <v>#DIV/0!</v>
      </c>
      <c r="BU53" s="373" t="e">
        <f>(BU$27*BU$28*BU$29)*Carriageways!BW244</f>
        <v>#DIV/0!</v>
      </c>
      <c r="BV53" s="373" t="e">
        <f>(BV$27*BV$28*BV$29)*Carriageways!BX244</f>
        <v>#DIV/0!</v>
      </c>
      <c r="BW53" s="373" t="e">
        <f>(BW$27*BW$28*BW$29)*Carriageways!BY244</f>
        <v>#DIV/0!</v>
      </c>
      <c r="BX53" s="373" t="e">
        <f>(BX$27*BX$28*BX$29)*Carriageways!BZ244</f>
        <v>#DIV/0!</v>
      </c>
      <c r="BY53" s="373" t="e">
        <f>(BY$27*BY$28*BY$29)*Carriageways!CA244</f>
        <v>#DIV/0!</v>
      </c>
      <c r="BZ53" s="373" t="e">
        <f>(BZ$27*BZ$28*BZ$29)*Carriageways!CB244</f>
        <v>#DIV/0!</v>
      </c>
      <c r="CA53" s="373" t="e">
        <f>(CA$27*CA$28*CA$29)*Carriageways!CC244</f>
        <v>#DIV/0!</v>
      </c>
      <c r="CB53" s="373" t="e">
        <f>(CB$27*CB$28*CB$29)*Carriageways!CD244</f>
        <v>#DIV/0!</v>
      </c>
      <c r="CC53" s="373" t="e">
        <f>(CC$27*CC$28*CC$29)*Carriageways!CE244</f>
        <v>#DIV/0!</v>
      </c>
      <c r="CD53" s="373" t="e">
        <f>(CD$27*CD$28*CD$29)*Carriageways!CF244</f>
        <v>#DIV/0!</v>
      </c>
    </row>
    <row r="54" spans="1:82" ht="15.5">
      <c r="A54" s="360"/>
    </row>
    <row r="55" spans="1:82">
      <c r="A55" s="371" t="s">
        <v>24</v>
      </c>
    </row>
    <row r="56" spans="1:82">
      <c r="B56" s="372" t="s">
        <v>105</v>
      </c>
      <c r="C56" s="372">
        <v>2010</v>
      </c>
      <c r="D56" s="372">
        <v>2011</v>
      </c>
      <c r="E56" s="372">
        <v>2012</v>
      </c>
      <c r="F56" s="372">
        <v>2013</v>
      </c>
      <c r="G56" s="372">
        <v>2014</v>
      </c>
      <c r="H56" s="372">
        <v>2015</v>
      </c>
      <c r="I56" s="372">
        <v>2016</v>
      </c>
      <c r="J56" s="372">
        <v>2017</v>
      </c>
      <c r="K56" s="372">
        <v>2018</v>
      </c>
      <c r="L56" s="372">
        <v>2019</v>
      </c>
      <c r="M56" s="372">
        <v>2020</v>
      </c>
      <c r="N56" s="372">
        <v>2021</v>
      </c>
      <c r="O56" s="372">
        <v>2022</v>
      </c>
      <c r="P56" s="372">
        <v>2023</v>
      </c>
      <c r="Q56" s="372">
        <v>2024</v>
      </c>
      <c r="R56" s="372">
        <v>2025</v>
      </c>
      <c r="S56" s="372">
        <v>2026</v>
      </c>
      <c r="T56" s="372">
        <v>2027</v>
      </c>
      <c r="U56" s="372">
        <v>2028</v>
      </c>
      <c r="V56" s="372">
        <v>2029</v>
      </c>
      <c r="W56" s="372">
        <v>2030</v>
      </c>
      <c r="X56" s="372">
        <v>2031</v>
      </c>
      <c r="Y56" s="372">
        <v>2032</v>
      </c>
      <c r="Z56" s="372">
        <v>2033</v>
      </c>
      <c r="AA56" s="372">
        <v>2034</v>
      </c>
      <c r="AB56" s="372">
        <v>2035</v>
      </c>
      <c r="AC56" s="372">
        <v>2036</v>
      </c>
      <c r="AD56" s="372">
        <v>2037</v>
      </c>
      <c r="AE56" s="372">
        <v>2038</v>
      </c>
      <c r="AF56" s="372">
        <v>2039</v>
      </c>
      <c r="AG56" s="372">
        <v>2040</v>
      </c>
      <c r="AH56" s="372">
        <v>2041</v>
      </c>
      <c r="AI56" s="372">
        <v>2042</v>
      </c>
      <c r="AJ56" s="372">
        <v>2043</v>
      </c>
      <c r="AK56" s="372">
        <v>2044</v>
      </c>
      <c r="AL56" s="372">
        <v>2045</v>
      </c>
      <c r="AM56" s="372">
        <v>2046</v>
      </c>
      <c r="AN56" s="372">
        <v>2047</v>
      </c>
      <c r="AO56" s="372">
        <v>2048</v>
      </c>
      <c r="AP56" s="372">
        <v>2049</v>
      </c>
      <c r="AQ56" s="372">
        <v>2050</v>
      </c>
      <c r="AR56" s="372">
        <v>2051</v>
      </c>
      <c r="AS56" s="372">
        <v>2052</v>
      </c>
      <c r="AT56" s="372">
        <v>2053</v>
      </c>
      <c r="AU56" s="372">
        <v>2054</v>
      </c>
      <c r="AV56" s="372">
        <v>2055</v>
      </c>
      <c r="AW56" s="372">
        <v>2056</v>
      </c>
      <c r="AX56" s="372">
        <v>2057</v>
      </c>
      <c r="AY56" s="372">
        <v>2058</v>
      </c>
      <c r="AZ56" s="372">
        <v>2059</v>
      </c>
      <c r="BA56" s="372">
        <v>2060</v>
      </c>
      <c r="BB56" s="372">
        <v>2061</v>
      </c>
      <c r="BC56" s="372">
        <v>2062</v>
      </c>
      <c r="BD56" s="372">
        <v>2063</v>
      </c>
      <c r="BE56" s="372">
        <v>2064</v>
      </c>
      <c r="BF56" s="372">
        <v>2065</v>
      </c>
      <c r="BG56" s="372">
        <v>2066</v>
      </c>
      <c r="BH56" s="372">
        <v>2067</v>
      </c>
      <c r="BI56" s="372">
        <v>2068</v>
      </c>
      <c r="BJ56" s="372">
        <v>2069</v>
      </c>
      <c r="BK56" s="372">
        <v>2070</v>
      </c>
      <c r="BL56" s="372">
        <v>2071</v>
      </c>
      <c r="BM56" s="372">
        <v>2072</v>
      </c>
      <c r="BN56" s="372">
        <v>2073</v>
      </c>
      <c r="BO56" s="372">
        <v>2074</v>
      </c>
      <c r="BP56" s="372">
        <v>2075</v>
      </c>
      <c r="BQ56" s="372">
        <v>2076</v>
      </c>
      <c r="BR56" s="372">
        <v>2077</v>
      </c>
      <c r="BS56" s="372">
        <v>2078</v>
      </c>
      <c r="BT56" s="372">
        <v>2079</v>
      </c>
      <c r="BU56" s="372">
        <v>2080</v>
      </c>
      <c r="BV56" s="372">
        <v>2081</v>
      </c>
      <c r="BW56" s="372">
        <v>2082</v>
      </c>
      <c r="BX56" s="372">
        <v>2083</v>
      </c>
      <c r="BY56" s="372">
        <v>2084</v>
      </c>
      <c r="BZ56" s="372">
        <v>2085</v>
      </c>
      <c r="CA56" s="372">
        <v>2086</v>
      </c>
      <c r="CB56" s="372">
        <v>2087</v>
      </c>
      <c r="CC56" s="372">
        <v>2088</v>
      </c>
      <c r="CD56" s="372">
        <v>2089</v>
      </c>
    </row>
    <row r="57" spans="1:82">
      <c r="B57" s="373" t="s">
        <v>87</v>
      </c>
      <c r="C57" s="373" t="e">
        <f>(C$27*C$28*C$29)*Bridges!D31</f>
        <v>#VALUE!</v>
      </c>
      <c r="D57" s="373" t="e">
        <f>(D$27*D$28*D$29)*Bridges!E31</f>
        <v>#VALUE!</v>
      </c>
      <c r="E57" s="373" t="e">
        <f>(E$27*E$28*E$29)*Bridges!F31</f>
        <v>#VALUE!</v>
      </c>
      <c r="F57" s="373" t="e">
        <f>(F$27*F$28*F$29)*Bridges!G31</f>
        <v>#VALUE!</v>
      </c>
      <c r="G57" s="373" t="e">
        <f>(G$27*G$28*G$29)*Bridges!H31</f>
        <v>#VALUE!</v>
      </c>
      <c r="H57" s="373" t="e">
        <f>(H$27*H$28*H$29)*Bridges!I31</f>
        <v>#VALUE!</v>
      </c>
      <c r="I57" s="373" t="e">
        <f>(I$27*I$28*I$29)*Bridges!J31</f>
        <v>#VALUE!</v>
      </c>
      <c r="J57" s="373" t="e">
        <f>(J$27*J$28*J$29)*Bridges!K31</f>
        <v>#VALUE!</v>
      </c>
      <c r="K57" s="373" t="e">
        <f>(K$27*K$28*K$29)*Bridges!L31</f>
        <v>#VALUE!</v>
      </c>
      <c r="L57" s="373" t="e">
        <f>(L$27*L$28*L$29)*Bridges!M31</f>
        <v>#VALUE!</v>
      </c>
      <c r="M57" s="373" t="e">
        <f>(M$27*M$28*M$29)*Bridges!N31</f>
        <v>#VALUE!</v>
      </c>
      <c r="N57" s="373" t="e">
        <f>(N$27*N$28*N$29)*Bridges!O31</f>
        <v>#VALUE!</v>
      </c>
      <c r="O57" s="373" t="e">
        <f>(O$27*O$28*O$29)*Bridges!P31</f>
        <v>#VALUE!</v>
      </c>
      <c r="P57" s="373" t="e">
        <f>(P$27*P$28*P$29)*Bridges!Q31</f>
        <v>#VALUE!</v>
      </c>
      <c r="Q57" s="373" t="e">
        <f>(Q$27*Q$28*Q$29)*Bridges!R31</f>
        <v>#VALUE!</v>
      </c>
      <c r="R57" s="373" t="e">
        <f>(R$27*R$28*R$29)*Bridges!S31</f>
        <v>#VALUE!</v>
      </c>
      <c r="S57" s="373" t="e">
        <f>(S$27*S$28*S$29)*Bridges!T31</f>
        <v>#VALUE!</v>
      </c>
      <c r="T57" s="373" t="e">
        <f>(T$27*T$28*T$29)*Bridges!U31</f>
        <v>#VALUE!</v>
      </c>
      <c r="U57" s="373" t="e">
        <f>(U$27*U$28*U$29)*Bridges!V31</f>
        <v>#VALUE!</v>
      </c>
      <c r="V57" s="373" t="e">
        <f>(V$27*V$28*V$29)*Bridges!W31</f>
        <v>#VALUE!</v>
      </c>
      <c r="W57" s="373" t="e">
        <f>(W$27*W$28*W$29)*Bridges!X31</f>
        <v>#VALUE!</v>
      </c>
      <c r="X57" s="373" t="e">
        <f>(X$27*X$28*X$29)*Bridges!Y31</f>
        <v>#VALUE!</v>
      </c>
      <c r="Y57" s="373" t="e">
        <f>(Y$27*Y$28*Y$29)*Bridges!Z31</f>
        <v>#VALUE!</v>
      </c>
      <c r="Z57" s="373" t="e">
        <f>(Z$27*Z$28*Z$29)*Bridges!AA31</f>
        <v>#VALUE!</v>
      </c>
      <c r="AA57" s="373" t="e">
        <f>(AA$27*AA$28*AA$29)*Bridges!AB31</f>
        <v>#VALUE!</v>
      </c>
      <c r="AB57" s="373" t="e">
        <f>(AB$27*AB$28*AB$29)*Bridges!AC31</f>
        <v>#VALUE!</v>
      </c>
      <c r="AC57" s="373" t="e">
        <f>(AC$27*AC$28*AC$29)*Bridges!AD31</f>
        <v>#VALUE!</v>
      </c>
      <c r="AD57" s="373" t="e">
        <f>(AD$27*AD$28*AD$29)*Bridges!AE31</f>
        <v>#VALUE!</v>
      </c>
      <c r="AE57" s="373" t="e">
        <f>(AE$27*AE$28*AE$29)*Bridges!AF31</f>
        <v>#VALUE!</v>
      </c>
      <c r="AF57" s="373" t="e">
        <f>(AF$27*AF$28*AF$29)*Bridges!AG31</f>
        <v>#VALUE!</v>
      </c>
      <c r="AG57" s="373" t="e">
        <f>(AG$27*AG$28*AG$29)*Bridges!AH31</f>
        <v>#VALUE!</v>
      </c>
      <c r="AH57" s="373" t="e">
        <f>(AH$27*AH$28*AH$29)*Bridges!AI31</f>
        <v>#VALUE!</v>
      </c>
      <c r="AI57" s="373" t="e">
        <f>(AI$27*AI$28*AI$29)*Bridges!AJ31</f>
        <v>#VALUE!</v>
      </c>
      <c r="AJ57" s="373" t="e">
        <f>(AJ$27*AJ$28*AJ$29)*Bridges!AK31</f>
        <v>#VALUE!</v>
      </c>
      <c r="AK57" s="373" t="e">
        <f>(AK$27*AK$28*AK$29)*Bridges!AL31</f>
        <v>#VALUE!</v>
      </c>
      <c r="AL57" s="373" t="e">
        <f>(AL$27*AL$28*AL$29)*Bridges!AM31</f>
        <v>#VALUE!</v>
      </c>
      <c r="AM57" s="373" t="e">
        <f>(AM$27*AM$28*AM$29)*Bridges!AN31</f>
        <v>#VALUE!</v>
      </c>
      <c r="AN57" s="373" t="e">
        <f>(AN$27*AN$28*AN$29)*Bridges!AO31</f>
        <v>#VALUE!</v>
      </c>
      <c r="AO57" s="373" t="e">
        <f>(AO$27*AO$28*AO$29)*Bridges!AP31</f>
        <v>#VALUE!</v>
      </c>
      <c r="AP57" s="373" t="e">
        <f>(AP$27*AP$28*AP$29)*Bridges!AQ31</f>
        <v>#VALUE!</v>
      </c>
      <c r="AQ57" s="373" t="e">
        <f>(AQ$27*AQ$28*AQ$29)*Bridges!AR31</f>
        <v>#VALUE!</v>
      </c>
      <c r="AR57" s="373" t="e">
        <f>(AR$27*AR$28*AR$29)*Bridges!AS31</f>
        <v>#VALUE!</v>
      </c>
      <c r="AS57" s="373" t="e">
        <f>(AS$27*AS$28*AS$29)*Bridges!AT31</f>
        <v>#VALUE!</v>
      </c>
      <c r="AT57" s="373" t="e">
        <f>(AT$27*AT$28*AT$29)*Bridges!AU31</f>
        <v>#VALUE!</v>
      </c>
      <c r="AU57" s="373" t="e">
        <f>(AU$27*AU$28*AU$29)*Bridges!AV31</f>
        <v>#VALUE!</v>
      </c>
      <c r="AV57" s="373" t="e">
        <f>(AV$27*AV$28*AV$29)*Bridges!AW31</f>
        <v>#VALUE!</v>
      </c>
      <c r="AW57" s="373" t="e">
        <f>(AW$27*AW$28*AW$29)*Bridges!AX31</f>
        <v>#VALUE!</v>
      </c>
      <c r="AX57" s="373" t="e">
        <f>(AX$27*AX$28*AX$29)*Bridges!AY31</f>
        <v>#VALUE!</v>
      </c>
      <c r="AY57" s="373" t="e">
        <f>(AY$27*AY$28*AY$29)*Bridges!AZ31</f>
        <v>#VALUE!</v>
      </c>
      <c r="AZ57" s="373" t="e">
        <f>(AZ$27*AZ$28*AZ$29)*Bridges!BA31</f>
        <v>#VALUE!</v>
      </c>
      <c r="BA57" s="373" t="e">
        <f>(BA$27*BA$28*BA$29)*Bridges!BB31</f>
        <v>#VALUE!</v>
      </c>
      <c r="BB57" s="373" t="e">
        <f>(BB$27*BB$28*BB$29)*Bridges!BC31</f>
        <v>#VALUE!</v>
      </c>
      <c r="BC57" s="373" t="e">
        <f>(BC$27*BC$28*BC$29)*Bridges!BD31</f>
        <v>#VALUE!</v>
      </c>
      <c r="BD57" s="373" t="e">
        <f>(BD$27*BD$28*BD$29)*Bridges!BE31</f>
        <v>#VALUE!</v>
      </c>
      <c r="BE57" s="373" t="e">
        <f>(BE$27*BE$28*BE$29)*Bridges!BF31</f>
        <v>#VALUE!</v>
      </c>
      <c r="BF57" s="373" t="e">
        <f>(BF$27*BF$28*BF$29)*Bridges!BG31</f>
        <v>#VALUE!</v>
      </c>
      <c r="BG57" s="373" t="e">
        <f>(BG$27*BG$28*BG$29)*Bridges!BH31</f>
        <v>#VALUE!</v>
      </c>
      <c r="BH57" s="373" t="e">
        <f>(BH$27*BH$28*BH$29)*Bridges!BI31</f>
        <v>#VALUE!</v>
      </c>
      <c r="BI57" s="373" t="e">
        <f>(BI$27*BI$28*BI$29)*Bridges!BJ31</f>
        <v>#VALUE!</v>
      </c>
      <c r="BJ57" s="373" t="e">
        <f>(BJ$27*BJ$28*BJ$29)*Bridges!BK31</f>
        <v>#VALUE!</v>
      </c>
      <c r="BK57" s="373" t="e">
        <f>(BK$27*BK$28*BK$29)*Bridges!BL31</f>
        <v>#VALUE!</v>
      </c>
      <c r="BL57" s="373" t="e">
        <f>(BL$27*BL$28*BL$29)*Bridges!BM31</f>
        <v>#VALUE!</v>
      </c>
      <c r="BM57" s="373" t="e">
        <f>(BM$27*BM$28*BM$29)*Bridges!BN31</f>
        <v>#VALUE!</v>
      </c>
      <c r="BN57" s="373" t="e">
        <f>(BN$27*BN$28*BN$29)*Bridges!BO31</f>
        <v>#VALUE!</v>
      </c>
      <c r="BO57" s="373" t="e">
        <f>(BO$27*BO$28*BO$29)*Bridges!BP31</f>
        <v>#VALUE!</v>
      </c>
      <c r="BP57" s="373" t="e">
        <f>(BP$27*BP$28*BP$29)*Bridges!BQ31</f>
        <v>#VALUE!</v>
      </c>
      <c r="BQ57" s="373" t="e">
        <f>(BQ$27*BQ$28*BQ$29)*Bridges!BR31</f>
        <v>#VALUE!</v>
      </c>
      <c r="BR57" s="373" t="e">
        <f>(BR$27*BR$28*BR$29)*Bridges!BS31</f>
        <v>#VALUE!</v>
      </c>
      <c r="BS57" s="373" t="e">
        <f>(BS$27*BS$28*BS$29)*Bridges!BT31</f>
        <v>#VALUE!</v>
      </c>
      <c r="BT57" s="373" t="e">
        <f>(BT$27*BT$28*BT$29)*Bridges!BU31</f>
        <v>#VALUE!</v>
      </c>
      <c r="BU57" s="373" t="e">
        <f>(BU$27*BU$28*BU$29)*Bridges!BV31</f>
        <v>#VALUE!</v>
      </c>
      <c r="BV57" s="373" t="e">
        <f>(BV$27*BV$28*BV$29)*Bridges!BW31</f>
        <v>#VALUE!</v>
      </c>
      <c r="BW57" s="373" t="e">
        <f>(BW$27*BW$28*BW$29)*Bridges!BX31</f>
        <v>#VALUE!</v>
      </c>
      <c r="BX57" s="373" t="e">
        <f>(BX$27*BX$28*BX$29)*Bridges!BY31</f>
        <v>#VALUE!</v>
      </c>
      <c r="BY57" s="373" t="e">
        <f>(BY$27*BY$28*BY$29)*Bridges!BZ31</f>
        <v>#VALUE!</v>
      </c>
      <c r="BZ57" s="373" t="e">
        <f>(BZ$27*BZ$28*BZ$29)*Bridges!CA31</f>
        <v>#VALUE!</v>
      </c>
      <c r="CA57" s="373" t="e">
        <f>(CA$27*CA$28*CA$29)*Bridges!CB31</f>
        <v>#VALUE!</v>
      </c>
      <c r="CB57" s="373" t="e">
        <f>(CB$27*CB$28*CB$29)*Bridges!CC31</f>
        <v>#VALUE!</v>
      </c>
      <c r="CC57" s="373" t="e">
        <f>(CC$27*CC$28*CC$29)*Bridges!CD31</f>
        <v>#VALUE!</v>
      </c>
      <c r="CD57" s="373" t="e">
        <f>(CD$27*CD$28*CD$29)*Bridges!CE31</f>
        <v>#VALUE!</v>
      </c>
    </row>
    <row r="58" spans="1:82">
      <c r="B58" s="373" t="s">
        <v>89</v>
      </c>
      <c r="C58" s="373" t="e">
        <f>(C$27*C$28*C$29)*Bridges!D32</f>
        <v>#VALUE!</v>
      </c>
      <c r="D58" s="373" t="e">
        <f>(D$27*D$28*D$29)*Bridges!E32</f>
        <v>#VALUE!</v>
      </c>
      <c r="E58" s="373" t="e">
        <f>(E$27*E$28*E$29)*Bridges!F32</f>
        <v>#VALUE!</v>
      </c>
      <c r="F58" s="373" t="e">
        <f>(F$27*F$28*F$29)*Bridges!G32</f>
        <v>#VALUE!</v>
      </c>
      <c r="G58" s="373" t="e">
        <f>(G$27*G$28*G$29)*Bridges!H32</f>
        <v>#VALUE!</v>
      </c>
      <c r="H58" s="373" t="e">
        <f>(H$27*H$28*H$29)*Bridges!I32</f>
        <v>#VALUE!</v>
      </c>
      <c r="I58" s="373" t="e">
        <f>(I$27*I$28*I$29)*Bridges!J32</f>
        <v>#VALUE!</v>
      </c>
      <c r="J58" s="373" t="e">
        <f>(J$27*J$28*J$29)*Bridges!K32</f>
        <v>#VALUE!</v>
      </c>
      <c r="K58" s="373" t="e">
        <f>(K$27*K$28*K$29)*Bridges!L32</f>
        <v>#VALUE!</v>
      </c>
      <c r="L58" s="373" t="e">
        <f>(L$27*L$28*L$29)*Bridges!M32</f>
        <v>#VALUE!</v>
      </c>
      <c r="M58" s="373" t="e">
        <f>(M$27*M$28*M$29)*Bridges!N32</f>
        <v>#VALUE!</v>
      </c>
      <c r="N58" s="373" t="e">
        <f>(N$27*N$28*N$29)*Bridges!O32</f>
        <v>#VALUE!</v>
      </c>
      <c r="O58" s="373" t="e">
        <f>(O$27*O$28*O$29)*Bridges!P32</f>
        <v>#VALUE!</v>
      </c>
      <c r="P58" s="373" t="e">
        <f>(P$27*P$28*P$29)*Bridges!Q32</f>
        <v>#VALUE!</v>
      </c>
      <c r="Q58" s="373" t="e">
        <f>(Q$27*Q$28*Q$29)*Bridges!R32</f>
        <v>#VALUE!</v>
      </c>
      <c r="R58" s="373" t="e">
        <f>(R$27*R$28*R$29)*Bridges!S32</f>
        <v>#VALUE!</v>
      </c>
      <c r="S58" s="373" t="e">
        <f>(S$27*S$28*S$29)*Bridges!T32</f>
        <v>#VALUE!</v>
      </c>
      <c r="T58" s="373" t="e">
        <f>(T$27*T$28*T$29)*Bridges!U32</f>
        <v>#VALUE!</v>
      </c>
      <c r="U58" s="373" t="e">
        <f>(U$27*U$28*U$29)*Bridges!V32</f>
        <v>#VALUE!</v>
      </c>
      <c r="V58" s="373" t="e">
        <f>(V$27*V$28*V$29)*Bridges!W32</f>
        <v>#VALUE!</v>
      </c>
      <c r="W58" s="373" t="e">
        <f>(W$27*W$28*W$29)*Bridges!X32</f>
        <v>#VALUE!</v>
      </c>
      <c r="X58" s="373" t="e">
        <f>(X$27*X$28*X$29)*Bridges!Y32</f>
        <v>#VALUE!</v>
      </c>
      <c r="Y58" s="373" t="e">
        <f>(Y$27*Y$28*Y$29)*Bridges!Z32</f>
        <v>#VALUE!</v>
      </c>
      <c r="Z58" s="373" t="e">
        <f>(Z$27*Z$28*Z$29)*Bridges!AA32</f>
        <v>#VALUE!</v>
      </c>
      <c r="AA58" s="373" t="e">
        <f>(AA$27*AA$28*AA$29)*Bridges!AB32</f>
        <v>#VALUE!</v>
      </c>
      <c r="AB58" s="373" t="e">
        <f>(AB$27*AB$28*AB$29)*Bridges!AC32</f>
        <v>#VALUE!</v>
      </c>
      <c r="AC58" s="373" t="e">
        <f>(AC$27*AC$28*AC$29)*Bridges!AD32</f>
        <v>#VALUE!</v>
      </c>
      <c r="AD58" s="373" t="e">
        <f>(AD$27*AD$28*AD$29)*Bridges!AE32</f>
        <v>#VALUE!</v>
      </c>
      <c r="AE58" s="373" t="e">
        <f>(AE$27*AE$28*AE$29)*Bridges!AF32</f>
        <v>#VALUE!</v>
      </c>
      <c r="AF58" s="373" t="e">
        <f>(AF$27*AF$28*AF$29)*Bridges!AG32</f>
        <v>#VALUE!</v>
      </c>
      <c r="AG58" s="373" t="e">
        <f>(AG$27*AG$28*AG$29)*Bridges!AH32</f>
        <v>#VALUE!</v>
      </c>
      <c r="AH58" s="373" t="e">
        <f>(AH$27*AH$28*AH$29)*Bridges!AI32</f>
        <v>#VALUE!</v>
      </c>
      <c r="AI58" s="373" t="e">
        <f>(AI$27*AI$28*AI$29)*Bridges!AJ32</f>
        <v>#VALUE!</v>
      </c>
      <c r="AJ58" s="373" t="e">
        <f>(AJ$27*AJ$28*AJ$29)*Bridges!AK32</f>
        <v>#VALUE!</v>
      </c>
      <c r="AK58" s="373" t="e">
        <f>(AK$27*AK$28*AK$29)*Bridges!AL32</f>
        <v>#VALUE!</v>
      </c>
      <c r="AL58" s="373" t="e">
        <f>(AL$27*AL$28*AL$29)*Bridges!AM32</f>
        <v>#VALUE!</v>
      </c>
      <c r="AM58" s="373" t="e">
        <f>(AM$27*AM$28*AM$29)*Bridges!AN32</f>
        <v>#VALUE!</v>
      </c>
      <c r="AN58" s="373" t="e">
        <f>(AN$27*AN$28*AN$29)*Bridges!AO32</f>
        <v>#VALUE!</v>
      </c>
      <c r="AO58" s="373" t="e">
        <f>(AO$27*AO$28*AO$29)*Bridges!AP32</f>
        <v>#VALUE!</v>
      </c>
      <c r="AP58" s="373" t="e">
        <f>(AP$27*AP$28*AP$29)*Bridges!AQ32</f>
        <v>#VALUE!</v>
      </c>
      <c r="AQ58" s="373" t="e">
        <f>(AQ$27*AQ$28*AQ$29)*Bridges!AR32</f>
        <v>#VALUE!</v>
      </c>
      <c r="AR58" s="373" t="e">
        <f>(AR$27*AR$28*AR$29)*Bridges!AS32</f>
        <v>#VALUE!</v>
      </c>
      <c r="AS58" s="373" t="e">
        <f>(AS$27*AS$28*AS$29)*Bridges!AT32</f>
        <v>#VALUE!</v>
      </c>
      <c r="AT58" s="373" t="e">
        <f>(AT$27*AT$28*AT$29)*Bridges!AU32</f>
        <v>#VALUE!</v>
      </c>
      <c r="AU58" s="373" t="e">
        <f>(AU$27*AU$28*AU$29)*Bridges!AV32</f>
        <v>#VALUE!</v>
      </c>
      <c r="AV58" s="373" t="e">
        <f>(AV$27*AV$28*AV$29)*Bridges!AW32</f>
        <v>#VALUE!</v>
      </c>
      <c r="AW58" s="373" t="e">
        <f>(AW$27*AW$28*AW$29)*Bridges!AX32</f>
        <v>#VALUE!</v>
      </c>
      <c r="AX58" s="373" t="e">
        <f>(AX$27*AX$28*AX$29)*Bridges!AY32</f>
        <v>#VALUE!</v>
      </c>
      <c r="AY58" s="373" t="e">
        <f>(AY$27*AY$28*AY$29)*Bridges!AZ32</f>
        <v>#VALUE!</v>
      </c>
      <c r="AZ58" s="373" t="e">
        <f>(AZ$27*AZ$28*AZ$29)*Bridges!BA32</f>
        <v>#VALUE!</v>
      </c>
      <c r="BA58" s="373" t="e">
        <f>(BA$27*BA$28*BA$29)*Bridges!BB32</f>
        <v>#VALUE!</v>
      </c>
      <c r="BB58" s="373" t="e">
        <f>(BB$27*BB$28*BB$29)*Bridges!BC32</f>
        <v>#VALUE!</v>
      </c>
      <c r="BC58" s="373" t="e">
        <f>(BC$27*BC$28*BC$29)*Bridges!BD32</f>
        <v>#VALUE!</v>
      </c>
      <c r="BD58" s="373" t="e">
        <f>(BD$27*BD$28*BD$29)*Bridges!BE32</f>
        <v>#VALUE!</v>
      </c>
      <c r="BE58" s="373" t="e">
        <f>(BE$27*BE$28*BE$29)*Bridges!BF32</f>
        <v>#VALUE!</v>
      </c>
      <c r="BF58" s="373" t="e">
        <f>(BF$27*BF$28*BF$29)*Bridges!BG32</f>
        <v>#VALUE!</v>
      </c>
      <c r="BG58" s="373" t="e">
        <f>(BG$27*BG$28*BG$29)*Bridges!BH32</f>
        <v>#VALUE!</v>
      </c>
      <c r="BH58" s="373" t="e">
        <f>(BH$27*BH$28*BH$29)*Bridges!BI32</f>
        <v>#VALUE!</v>
      </c>
      <c r="BI58" s="373" t="e">
        <f>(BI$27*BI$28*BI$29)*Bridges!BJ32</f>
        <v>#VALUE!</v>
      </c>
      <c r="BJ58" s="373" t="e">
        <f>(BJ$27*BJ$28*BJ$29)*Bridges!BK32</f>
        <v>#VALUE!</v>
      </c>
      <c r="BK58" s="373" t="e">
        <f>(BK$27*BK$28*BK$29)*Bridges!BL32</f>
        <v>#VALUE!</v>
      </c>
      <c r="BL58" s="373" t="e">
        <f>(BL$27*BL$28*BL$29)*Bridges!BM32</f>
        <v>#VALUE!</v>
      </c>
      <c r="BM58" s="373" t="e">
        <f>(BM$27*BM$28*BM$29)*Bridges!BN32</f>
        <v>#VALUE!</v>
      </c>
      <c r="BN58" s="373" t="e">
        <f>(BN$27*BN$28*BN$29)*Bridges!BO32</f>
        <v>#VALUE!</v>
      </c>
      <c r="BO58" s="373" t="e">
        <f>(BO$27*BO$28*BO$29)*Bridges!BP32</f>
        <v>#VALUE!</v>
      </c>
      <c r="BP58" s="373" t="e">
        <f>(BP$27*BP$28*BP$29)*Bridges!BQ32</f>
        <v>#VALUE!</v>
      </c>
      <c r="BQ58" s="373" t="e">
        <f>(BQ$27*BQ$28*BQ$29)*Bridges!BR32</f>
        <v>#VALUE!</v>
      </c>
      <c r="BR58" s="373" t="e">
        <f>(BR$27*BR$28*BR$29)*Bridges!BS32</f>
        <v>#VALUE!</v>
      </c>
      <c r="BS58" s="373" t="e">
        <f>(BS$27*BS$28*BS$29)*Bridges!BT32</f>
        <v>#VALUE!</v>
      </c>
      <c r="BT58" s="373" t="e">
        <f>(BT$27*BT$28*BT$29)*Bridges!BU32</f>
        <v>#VALUE!</v>
      </c>
      <c r="BU58" s="373" t="e">
        <f>(BU$27*BU$28*BU$29)*Bridges!BV32</f>
        <v>#VALUE!</v>
      </c>
      <c r="BV58" s="373" t="e">
        <f>(BV$27*BV$28*BV$29)*Bridges!BW32</f>
        <v>#VALUE!</v>
      </c>
      <c r="BW58" s="373" t="e">
        <f>(BW$27*BW$28*BW$29)*Bridges!BX32</f>
        <v>#VALUE!</v>
      </c>
      <c r="BX58" s="373" t="e">
        <f>(BX$27*BX$28*BX$29)*Bridges!BY32</f>
        <v>#VALUE!</v>
      </c>
      <c r="BY58" s="373" t="e">
        <f>(BY$27*BY$28*BY$29)*Bridges!BZ32</f>
        <v>#VALUE!</v>
      </c>
      <c r="BZ58" s="373" t="e">
        <f>(BZ$27*BZ$28*BZ$29)*Bridges!CA32</f>
        <v>#VALUE!</v>
      </c>
      <c r="CA58" s="373" t="e">
        <f>(CA$27*CA$28*CA$29)*Bridges!CB32</f>
        <v>#VALUE!</v>
      </c>
      <c r="CB58" s="373" t="e">
        <f>(CB$27*CB$28*CB$29)*Bridges!CC32</f>
        <v>#VALUE!</v>
      </c>
      <c r="CC58" s="373" t="e">
        <f>(CC$27*CC$28*CC$29)*Bridges!CD32</f>
        <v>#VALUE!</v>
      </c>
      <c r="CD58" s="373" t="e">
        <f>(CD$27*CD$28*CD$29)*Bridges!CE32</f>
        <v>#VALUE!</v>
      </c>
    </row>
    <row r="59" spans="1:82">
      <c r="B59" s="373" t="s">
        <v>91</v>
      </c>
      <c r="C59" s="373" t="e">
        <f>(C$27*C$28*C$29)*Bridges!D33</f>
        <v>#VALUE!</v>
      </c>
      <c r="D59" s="373" t="e">
        <f>(D$27*D$28*D$29)*Bridges!E33</f>
        <v>#VALUE!</v>
      </c>
      <c r="E59" s="373" t="e">
        <f>(E$27*E$28*E$29)*Bridges!F33</f>
        <v>#VALUE!</v>
      </c>
      <c r="F59" s="373" t="e">
        <f>(F$27*F$28*F$29)*Bridges!G33</f>
        <v>#VALUE!</v>
      </c>
      <c r="G59" s="373" t="e">
        <f>(G$27*G$28*G$29)*Bridges!H33</f>
        <v>#VALUE!</v>
      </c>
      <c r="H59" s="373" t="e">
        <f>(H$27*H$28*H$29)*Bridges!I33</f>
        <v>#VALUE!</v>
      </c>
      <c r="I59" s="373" t="e">
        <f>(I$27*I$28*I$29)*Bridges!J33</f>
        <v>#VALUE!</v>
      </c>
      <c r="J59" s="373" t="e">
        <f>(J$27*J$28*J$29)*Bridges!K33</f>
        <v>#VALUE!</v>
      </c>
      <c r="K59" s="373" t="e">
        <f>(K$27*K$28*K$29)*Bridges!L33</f>
        <v>#VALUE!</v>
      </c>
      <c r="L59" s="373" t="e">
        <f>(L$27*L$28*L$29)*Bridges!M33</f>
        <v>#VALUE!</v>
      </c>
      <c r="M59" s="373" t="e">
        <f>(M$27*M$28*M$29)*Bridges!N33</f>
        <v>#VALUE!</v>
      </c>
      <c r="N59" s="373" t="e">
        <f>(N$27*N$28*N$29)*Bridges!O33</f>
        <v>#VALUE!</v>
      </c>
      <c r="O59" s="373" t="e">
        <f>(O$27*O$28*O$29)*Bridges!P33</f>
        <v>#VALUE!</v>
      </c>
      <c r="P59" s="373" t="e">
        <f>(P$27*P$28*P$29)*Bridges!Q33</f>
        <v>#VALUE!</v>
      </c>
      <c r="Q59" s="373" t="e">
        <f>(Q$27*Q$28*Q$29)*Bridges!R33</f>
        <v>#VALUE!</v>
      </c>
      <c r="R59" s="373" t="e">
        <f>(R$27*R$28*R$29)*Bridges!S33</f>
        <v>#VALUE!</v>
      </c>
      <c r="S59" s="373" t="e">
        <f>(S$27*S$28*S$29)*Bridges!T33</f>
        <v>#VALUE!</v>
      </c>
      <c r="T59" s="373" t="e">
        <f>(T$27*T$28*T$29)*Bridges!U33</f>
        <v>#VALUE!</v>
      </c>
      <c r="U59" s="373" t="e">
        <f>(U$27*U$28*U$29)*Bridges!V33</f>
        <v>#VALUE!</v>
      </c>
      <c r="V59" s="373" t="e">
        <f>(V$27*V$28*V$29)*Bridges!W33</f>
        <v>#VALUE!</v>
      </c>
      <c r="W59" s="373" t="e">
        <f>(W$27*W$28*W$29)*Bridges!X33</f>
        <v>#VALUE!</v>
      </c>
      <c r="X59" s="373" t="e">
        <f>(X$27*X$28*X$29)*Bridges!Y33</f>
        <v>#VALUE!</v>
      </c>
      <c r="Y59" s="373" t="e">
        <f>(Y$27*Y$28*Y$29)*Bridges!Z33</f>
        <v>#VALUE!</v>
      </c>
      <c r="Z59" s="373" t="e">
        <f>(Z$27*Z$28*Z$29)*Bridges!AA33</f>
        <v>#VALUE!</v>
      </c>
      <c r="AA59" s="373" t="e">
        <f>(AA$27*AA$28*AA$29)*Bridges!AB33</f>
        <v>#VALUE!</v>
      </c>
      <c r="AB59" s="373" t="e">
        <f>(AB$27*AB$28*AB$29)*Bridges!AC33</f>
        <v>#VALUE!</v>
      </c>
      <c r="AC59" s="373" t="e">
        <f>(AC$27*AC$28*AC$29)*Bridges!AD33</f>
        <v>#VALUE!</v>
      </c>
      <c r="AD59" s="373" t="e">
        <f>(AD$27*AD$28*AD$29)*Bridges!AE33</f>
        <v>#VALUE!</v>
      </c>
      <c r="AE59" s="373" t="e">
        <f>(AE$27*AE$28*AE$29)*Bridges!AF33</f>
        <v>#VALUE!</v>
      </c>
      <c r="AF59" s="373" t="e">
        <f>(AF$27*AF$28*AF$29)*Bridges!AG33</f>
        <v>#VALUE!</v>
      </c>
      <c r="AG59" s="373" t="e">
        <f>(AG$27*AG$28*AG$29)*Bridges!AH33</f>
        <v>#VALUE!</v>
      </c>
      <c r="AH59" s="373" t="e">
        <f>(AH$27*AH$28*AH$29)*Bridges!AI33</f>
        <v>#VALUE!</v>
      </c>
      <c r="AI59" s="373" t="e">
        <f>(AI$27*AI$28*AI$29)*Bridges!AJ33</f>
        <v>#VALUE!</v>
      </c>
      <c r="AJ59" s="373" t="e">
        <f>(AJ$27*AJ$28*AJ$29)*Bridges!AK33</f>
        <v>#VALUE!</v>
      </c>
      <c r="AK59" s="373" t="e">
        <f>(AK$27*AK$28*AK$29)*Bridges!AL33</f>
        <v>#VALUE!</v>
      </c>
      <c r="AL59" s="373" t="e">
        <f>(AL$27*AL$28*AL$29)*Bridges!AM33</f>
        <v>#VALUE!</v>
      </c>
      <c r="AM59" s="373" t="e">
        <f>(AM$27*AM$28*AM$29)*Bridges!AN33</f>
        <v>#VALUE!</v>
      </c>
      <c r="AN59" s="373" t="e">
        <f>(AN$27*AN$28*AN$29)*Bridges!AO33</f>
        <v>#VALUE!</v>
      </c>
      <c r="AO59" s="373" t="e">
        <f>(AO$27*AO$28*AO$29)*Bridges!AP33</f>
        <v>#VALUE!</v>
      </c>
      <c r="AP59" s="373" t="e">
        <f>(AP$27*AP$28*AP$29)*Bridges!AQ33</f>
        <v>#VALUE!</v>
      </c>
      <c r="AQ59" s="373" t="e">
        <f>(AQ$27*AQ$28*AQ$29)*Bridges!AR33</f>
        <v>#VALUE!</v>
      </c>
      <c r="AR59" s="373" t="e">
        <f>(AR$27*AR$28*AR$29)*Bridges!AS33</f>
        <v>#VALUE!</v>
      </c>
      <c r="AS59" s="373" t="e">
        <f>(AS$27*AS$28*AS$29)*Bridges!AT33</f>
        <v>#VALUE!</v>
      </c>
      <c r="AT59" s="373" t="e">
        <f>(AT$27*AT$28*AT$29)*Bridges!AU33</f>
        <v>#VALUE!</v>
      </c>
      <c r="AU59" s="373" t="e">
        <f>(AU$27*AU$28*AU$29)*Bridges!AV33</f>
        <v>#VALUE!</v>
      </c>
      <c r="AV59" s="373" t="e">
        <f>(AV$27*AV$28*AV$29)*Bridges!AW33</f>
        <v>#VALUE!</v>
      </c>
      <c r="AW59" s="373" t="e">
        <f>(AW$27*AW$28*AW$29)*Bridges!AX33</f>
        <v>#VALUE!</v>
      </c>
      <c r="AX59" s="373" t="e">
        <f>(AX$27*AX$28*AX$29)*Bridges!AY33</f>
        <v>#VALUE!</v>
      </c>
      <c r="AY59" s="373" t="e">
        <f>(AY$27*AY$28*AY$29)*Bridges!AZ33</f>
        <v>#VALUE!</v>
      </c>
      <c r="AZ59" s="373" t="e">
        <f>(AZ$27*AZ$28*AZ$29)*Bridges!BA33</f>
        <v>#VALUE!</v>
      </c>
      <c r="BA59" s="373" t="e">
        <f>(BA$27*BA$28*BA$29)*Bridges!BB33</f>
        <v>#VALUE!</v>
      </c>
      <c r="BB59" s="373" t="e">
        <f>(BB$27*BB$28*BB$29)*Bridges!BC33</f>
        <v>#VALUE!</v>
      </c>
      <c r="BC59" s="373" t="e">
        <f>(BC$27*BC$28*BC$29)*Bridges!BD33</f>
        <v>#VALUE!</v>
      </c>
      <c r="BD59" s="373" t="e">
        <f>(BD$27*BD$28*BD$29)*Bridges!BE33</f>
        <v>#VALUE!</v>
      </c>
      <c r="BE59" s="373" t="e">
        <f>(BE$27*BE$28*BE$29)*Bridges!BF33</f>
        <v>#VALUE!</v>
      </c>
      <c r="BF59" s="373" t="e">
        <f>(BF$27*BF$28*BF$29)*Bridges!BG33</f>
        <v>#VALUE!</v>
      </c>
      <c r="BG59" s="373" t="e">
        <f>(BG$27*BG$28*BG$29)*Bridges!BH33</f>
        <v>#VALUE!</v>
      </c>
      <c r="BH59" s="373" t="e">
        <f>(BH$27*BH$28*BH$29)*Bridges!BI33</f>
        <v>#VALUE!</v>
      </c>
      <c r="BI59" s="373" t="e">
        <f>(BI$27*BI$28*BI$29)*Bridges!BJ33</f>
        <v>#VALUE!</v>
      </c>
      <c r="BJ59" s="373" t="e">
        <f>(BJ$27*BJ$28*BJ$29)*Bridges!BK33</f>
        <v>#VALUE!</v>
      </c>
      <c r="BK59" s="373" t="e">
        <f>(BK$27*BK$28*BK$29)*Bridges!BL33</f>
        <v>#VALUE!</v>
      </c>
      <c r="BL59" s="373" t="e">
        <f>(BL$27*BL$28*BL$29)*Bridges!BM33</f>
        <v>#VALUE!</v>
      </c>
      <c r="BM59" s="373" t="e">
        <f>(BM$27*BM$28*BM$29)*Bridges!BN33</f>
        <v>#VALUE!</v>
      </c>
      <c r="BN59" s="373" t="e">
        <f>(BN$27*BN$28*BN$29)*Bridges!BO33</f>
        <v>#VALUE!</v>
      </c>
      <c r="BO59" s="373" t="e">
        <f>(BO$27*BO$28*BO$29)*Bridges!BP33</f>
        <v>#VALUE!</v>
      </c>
      <c r="BP59" s="373" t="e">
        <f>(BP$27*BP$28*BP$29)*Bridges!BQ33</f>
        <v>#VALUE!</v>
      </c>
      <c r="BQ59" s="373" t="e">
        <f>(BQ$27*BQ$28*BQ$29)*Bridges!BR33</f>
        <v>#VALUE!</v>
      </c>
      <c r="BR59" s="373" t="e">
        <f>(BR$27*BR$28*BR$29)*Bridges!BS33</f>
        <v>#VALUE!</v>
      </c>
      <c r="BS59" s="373" t="e">
        <f>(BS$27*BS$28*BS$29)*Bridges!BT33</f>
        <v>#VALUE!</v>
      </c>
      <c r="BT59" s="373" t="e">
        <f>(BT$27*BT$28*BT$29)*Bridges!BU33</f>
        <v>#VALUE!</v>
      </c>
      <c r="BU59" s="373" t="e">
        <f>(BU$27*BU$28*BU$29)*Bridges!BV33</f>
        <v>#VALUE!</v>
      </c>
      <c r="BV59" s="373" t="e">
        <f>(BV$27*BV$28*BV$29)*Bridges!BW33</f>
        <v>#VALUE!</v>
      </c>
      <c r="BW59" s="373" t="e">
        <f>(BW$27*BW$28*BW$29)*Bridges!BX33</f>
        <v>#VALUE!</v>
      </c>
      <c r="BX59" s="373" t="e">
        <f>(BX$27*BX$28*BX$29)*Bridges!BY33</f>
        <v>#VALUE!</v>
      </c>
      <c r="BY59" s="373" t="e">
        <f>(BY$27*BY$28*BY$29)*Bridges!BZ33</f>
        <v>#VALUE!</v>
      </c>
      <c r="BZ59" s="373" t="e">
        <f>(BZ$27*BZ$28*BZ$29)*Bridges!CA33</f>
        <v>#VALUE!</v>
      </c>
      <c r="CA59" s="373" t="e">
        <f>(CA$27*CA$28*CA$29)*Bridges!CB33</f>
        <v>#VALUE!</v>
      </c>
      <c r="CB59" s="373" t="e">
        <f>(CB$27*CB$28*CB$29)*Bridges!CC33</f>
        <v>#VALUE!</v>
      </c>
      <c r="CC59" s="373" t="e">
        <f>(CC$27*CC$28*CC$29)*Bridges!CD33</f>
        <v>#VALUE!</v>
      </c>
      <c r="CD59" s="373" t="e">
        <f>(CD$27*CD$28*CD$29)*Bridges!CE33</f>
        <v>#VALUE!</v>
      </c>
    </row>
    <row r="60" spans="1:82">
      <c r="B60" s="373" t="s">
        <v>93</v>
      </c>
      <c r="C60" s="373" t="e">
        <f>(C$27*C$28*C$29)*Bridges!D34</f>
        <v>#VALUE!</v>
      </c>
      <c r="D60" s="373" t="e">
        <f>(D$27*D$28*D$29)*Bridges!E34</f>
        <v>#VALUE!</v>
      </c>
      <c r="E60" s="373" t="e">
        <f>(E$27*E$28*E$29)*Bridges!F34</f>
        <v>#VALUE!</v>
      </c>
      <c r="F60" s="373" t="e">
        <f>(F$27*F$28*F$29)*Bridges!G34</f>
        <v>#VALUE!</v>
      </c>
      <c r="G60" s="373" t="e">
        <f>(G$27*G$28*G$29)*Bridges!H34</f>
        <v>#VALUE!</v>
      </c>
      <c r="H60" s="373" t="e">
        <f>(H$27*H$28*H$29)*Bridges!I34</f>
        <v>#VALUE!</v>
      </c>
      <c r="I60" s="373" t="e">
        <f>(I$27*I$28*I$29)*Bridges!J34</f>
        <v>#VALUE!</v>
      </c>
      <c r="J60" s="373" t="e">
        <f>(J$27*J$28*J$29)*Bridges!K34</f>
        <v>#VALUE!</v>
      </c>
      <c r="K60" s="373" t="e">
        <f>(K$27*K$28*K$29)*Bridges!L34</f>
        <v>#VALUE!</v>
      </c>
      <c r="L60" s="373" t="e">
        <f>(L$27*L$28*L$29)*Bridges!M34</f>
        <v>#VALUE!</v>
      </c>
      <c r="M60" s="373" t="e">
        <f>(M$27*M$28*M$29)*Bridges!N34</f>
        <v>#VALUE!</v>
      </c>
      <c r="N60" s="373" t="e">
        <f>(N$27*N$28*N$29)*Bridges!O34</f>
        <v>#VALUE!</v>
      </c>
      <c r="O60" s="373" t="e">
        <f>(O$27*O$28*O$29)*Bridges!P34</f>
        <v>#VALUE!</v>
      </c>
      <c r="P60" s="373" t="e">
        <f>(P$27*P$28*P$29)*Bridges!Q34</f>
        <v>#VALUE!</v>
      </c>
      <c r="Q60" s="373" t="e">
        <f>(Q$27*Q$28*Q$29)*Bridges!R34</f>
        <v>#VALUE!</v>
      </c>
      <c r="R60" s="373" t="e">
        <f>(R$27*R$28*R$29)*Bridges!S34</f>
        <v>#VALUE!</v>
      </c>
      <c r="S60" s="373" t="e">
        <f>(S$27*S$28*S$29)*Bridges!T34</f>
        <v>#VALUE!</v>
      </c>
      <c r="T60" s="373" t="e">
        <f>(T$27*T$28*T$29)*Bridges!U34</f>
        <v>#VALUE!</v>
      </c>
      <c r="U60" s="373" t="e">
        <f>(U$27*U$28*U$29)*Bridges!V34</f>
        <v>#VALUE!</v>
      </c>
      <c r="V60" s="373" t="e">
        <f>(V$27*V$28*V$29)*Bridges!W34</f>
        <v>#VALUE!</v>
      </c>
      <c r="W60" s="373" t="e">
        <f>(W$27*W$28*W$29)*Bridges!X34</f>
        <v>#VALUE!</v>
      </c>
      <c r="X60" s="373" t="e">
        <f>(X$27*X$28*X$29)*Bridges!Y34</f>
        <v>#VALUE!</v>
      </c>
      <c r="Y60" s="373" t="e">
        <f>(Y$27*Y$28*Y$29)*Bridges!Z34</f>
        <v>#VALUE!</v>
      </c>
      <c r="Z60" s="373" t="e">
        <f>(Z$27*Z$28*Z$29)*Bridges!AA34</f>
        <v>#VALUE!</v>
      </c>
      <c r="AA60" s="373" t="e">
        <f>(AA$27*AA$28*AA$29)*Bridges!AB34</f>
        <v>#VALUE!</v>
      </c>
      <c r="AB60" s="373" t="e">
        <f>(AB$27*AB$28*AB$29)*Bridges!AC34</f>
        <v>#VALUE!</v>
      </c>
      <c r="AC60" s="373" t="e">
        <f>(AC$27*AC$28*AC$29)*Bridges!AD34</f>
        <v>#VALUE!</v>
      </c>
      <c r="AD60" s="373" t="e">
        <f>(AD$27*AD$28*AD$29)*Bridges!AE34</f>
        <v>#VALUE!</v>
      </c>
      <c r="AE60" s="373" t="e">
        <f>(AE$27*AE$28*AE$29)*Bridges!AF34</f>
        <v>#VALUE!</v>
      </c>
      <c r="AF60" s="373" t="e">
        <f>(AF$27*AF$28*AF$29)*Bridges!AG34</f>
        <v>#VALUE!</v>
      </c>
      <c r="AG60" s="373" t="e">
        <f>(AG$27*AG$28*AG$29)*Bridges!AH34</f>
        <v>#VALUE!</v>
      </c>
      <c r="AH60" s="373" t="e">
        <f>(AH$27*AH$28*AH$29)*Bridges!AI34</f>
        <v>#VALUE!</v>
      </c>
      <c r="AI60" s="373" t="e">
        <f>(AI$27*AI$28*AI$29)*Bridges!AJ34</f>
        <v>#VALUE!</v>
      </c>
      <c r="AJ60" s="373" t="e">
        <f>(AJ$27*AJ$28*AJ$29)*Bridges!AK34</f>
        <v>#VALUE!</v>
      </c>
      <c r="AK60" s="373" t="e">
        <f>(AK$27*AK$28*AK$29)*Bridges!AL34</f>
        <v>#VALUE!</v>
      </c>
      <c r="AL60" s="373" t="e">
        <f>(AL$27*AL$28*AL$29)*Bridges!AM34</f>
        <v>#VALUE!</v>
      </c>
      <c r="AM60" s="373" t="e">
        <f>(AM$27*AM$28*AM$29)*Bridges!AN34</f>
        <v>#VALUE!</v>
      </c>
      <c r="AN60" s="373" t="e">
        <f>(AN$27*AN$28*AN$29)*Bridges!AO34</f>
        <v>#VALUE!</v>
      </c>
      <c r="AO60" s="373" t="e">
        <f>(AO$27*AO$28*AO$29)*Bridges!AP34</f>
        <v>#VALUE!</v>
      </c>
      <c r="AP60" s="373" t="e">
        <f>(AP$27*AP$28*AP$29)*Bridges!AQ34</f>
        <v>#VALUE!</v>
      </c>
      <c r="AQ60" s="373" t="e">
        <f>(AQ$27*AQ$28*AQ$29)*Bridges!AR34</f>
        <v>#VALUE!</v>
      </c>
      <c r="AR60" s="373" t="e">
        <f>(AR$27*AR$28*AR$29)*Bridges!AS34</f>
        <v>#VALUE!</v>
      </c>
      <c r="AS60" s="373" t="e">
        <f>(AS$27*AS$28*AS$29)*Bridges!AT34</f>
        <v>#VALUE!</v>
      </c>
      <c r="AT60" s="373" t="e">
        <f>(AT$27*AT$28*AT$29)*Bridges!AU34</f>
        <v>#VALUE!</v>
      </c>
      <c r="AU60" s="373" t="e">
        <f>(AU$27*AU$28*AU$29)*Bridges!AV34</f>
        <v>#VALUE!</v>
      </c>
      <c r="AV60" s="373" t="e">
        <f>(AV$27*AV$28*AV$29)*Bridges!AW34</f>
        <v>#VALUE!</v>
      </c>
      <c r="AW60" s="373" t="e">
        <f>(AW$27*AW$28*AW$29)*Bridges!AX34</f>
        <v>#VALUE!</v>
      </c>
      <c r="AX60" s="373" t="e">
        <f>(AX$27*AX$28*AX$29)*Bridges!AY34</f>
        <v>#VALUE!</v>
      </c>
      <c r="AY60" s="373" t="e">
        <f>(AY$27*AY$28*AY$29)*Bridges!AZ34</f>
        <v>#VALUE!</v>
      </c>
      <c r="AZ60" s="373" t="e">
        <f>(AZ$27*AZ$28*AZ$29)*Bridges!BA34</f>
        <v>#VALUE!</v>
      </c>
      <c r="BA60" s="373" t="e">
        <f>(BA$27*BA$28*BA$29)*Bridges!BB34</f>
        <v>#VALUE!</v>
      </c>
      <c r="BB60" s="373" t="e">
        <f>(BB$27*BB$28*BB$29)*Bridges!BC34</f>
        <v>#VALUE!</v>
      </c>
      <c r="BC60" s="373" t="e">
        <f>(BC$27*BC$28*BC$29)*Bridges!BD34</f>
        <v>#VALUE!</v>
      </c>
      <c r="BD60" s="373" t="e">
        <f>(BD$27*BD$28*BD$29)*Bridges!BE34</f>
        <v>#VALUE!</v>
      </c>
      <c r="BE60" s="373" t="e">
        <f>(BE$27*BE$28*BE$29)*Bridges!BF34</f>
        <v>#VALUE!</v>
      </c>
      <c r="BF60" s="373" t="e">
        <f>(BF$27*BF$28*BF$29)*Bridges!BG34</f>
        <v>#VALUE!</v>
      </c>
      <c r="BG60" s="373" t="e">
        <f>(BG$27*BG$28*BG$29)*Bridges!BH34</f>
        <v>#VALUE!</v>
      </c>
      <c r="BH60" s="373" t="e">
        <f>(BH$27*BH$28*BH$29)*Bridges!BI34</f>
        <v>#VALUE!</v>
      </c>
      <c r="BI60" s="373" t="e">
        <f>(BI$27*BI$28*BI$29)*Bridges!BJ34</f>
        <v>#VALUE!</v>
      </c>
      <c r="BJ60" s="373" t="e">
        <f>(BJ$27*BJ$28*BJ$29)*Bridges!BK34</f>
        <v>#VALUE!</v>
      </c>
      <c r="BK60" s="373" t="e">
        <f>(BK$27*BK$28*BK$29)*Bridges!BL34</f>
        <v>#VALUE!</v>
      </c>
      <c r="BL60" s="373" t="e">
        <f>(BL$27*BL$28*BL$29)*Bridges!BM34</f>
        <v>#VALUE!</v>
      </c>
      <c r="BM60" s="373" t="e">
        <f>(BM$27*BM$28*BM$29)*Bridges!BN34</f>
        <v>#VALUE!</v>
      </c>
      <c r="BN60" s="373" t="e">
        <f>(BN$27*BN$28*BN$29)*Bridges!BO34</f>
        <v>#VALUE!</v>
      </c>
      <c r="BO60" s="373" t="e">
        <f>(BO$27*BO$28*BO$29)*Bridges!BP34</f>
        <v>#VALUE!</v>
      </c>
      <c r="BP60" s="373" t="e">
        <f>(BP$27*BP$28*BP$29)*Bridges!BQ34</f>
        <v>#VALUE!</v>
      </c>
      <c r="BQ60" s="373" t="e">
        <f>(BQ$27*BQ$28*BQ$29)*Bridges!BR34</f>
        <v>#VALUE!</v>
      </c>
      <c r="BR60" s="373" t="e">
        <f>(BR$27*BR$28*BR$29)*Bridges!BS34</f>
        <v>#VALUE!</v>
      </c>
      <c r="BS60" s="373" t="e">
        <f>(BS$27*BS$28*BS$29)*Bridges!BT34</f>
        <v>#VALUE!</v>
      </c>
      <c r="BT60" s="373" t="e">
        <f>(BT$27*BT$28*BT$29)*Bridges!BU34</f>
        <v>#VALUE!</v>
      </c>
      <c r="BU60" s="373" t="e">
        <f>(BU$27*BU$28*BU$29)*Bridges!BV34</f>
        <v>#VALUE!</v>
      </c>
      <c r="BV60" s="373" t="e">
        <f>(BV$27*BV$28*BV$29)*Bridges!BW34</f>
        <v>#VALUE!</v>
      </c>
      <c r="BW60" s="373" t="e">
        <f>(BW$27*BW$28*BW$29)*Bridges!BX34</f>
        <v>#VALUE!</v>
      </c>
      <c r="BX60" s="373" t="e">
        <f>(BX$27*BX$28*BX$29)*Bridges!BY34</f>
        <v>#VALUE!</v>
      </c>
      <c r="BY60" s="373" t="e">
        <f>(BY$27*BY$28*BY$29)*Bridges!BZ34</f>
        <v>#VALUE!</v>
      </c>
      <c r="BZ60" s="373" t="e">
        <f>(BZ$27*BZ$28*BZ$29)*Bridges!CA34</f>
        <v>#VALUE!</v>
      </c>
      <c r="CA60" s="373" t="e">
        <f>(CA$27*CA$28*CA$29)*Bridges!CB34</f>
        <v>#VALUE!</v>
      </c>
      <c r="CB60" s="373" t="e">
        <f>(CB$27*CB$28*CB$29)*Bridges!CC34</f>
        <v>#VALUE!</v>
      </c>
      <c r="CC60" s="373" t="e">
        <f>(CC$27*CC$28*CC$29)*Bridges!CD34</f>
        <v>#VALUE!</v>
      </c>
      <c r="CD60" s="373" t="e">
        <f>(CD$27*CD$28*CD$29)*Bridges!CE34</f>
        <v>#VALUE!</v>
      </c>
    </row>
    <row r="62" spans="1:82">
      <c r="A62" s="371" t="s">
        <v>29</v>
      </c>
    </row>
    <row r="63" spans="1:82">
      <c r="B63" s="372" t="s">
        <v>105</v>
      </c>
      <c r="C63" s="372">
        <v>2010</v>
      </c>
      <c r="D63" s="372">
        <v>2011</v>
      </c>
      <c r="E63" s="372">
        <v>2012</v>
      </c>
      <c r="F63" s="372">
        <v>2013</v>
      </c>
      <c r="G63" s="372">
        <v>2014</v>
      </c>
      <c r="H63" s="372">
        <v>2015</v>
      </c>
      <c r="I63" s="372">
        <v>2016</v>
      </c>
      <c r="J63" s="372">
        <v>2017</v>
      </c>
      <c r="K63" s="372">
        <v>2018</v>
      </c>
      <c r="L63" s="372">
        <v>2019</v>
      </c>
      <c r="M63" s="372">
        <v>2020</v>
      </c>
      <c r="N63" s="372">
        <v>2021</v>
      </c>
      <c r="O63" s="372">
        <v>2022</v>
      </c>
      <c r="P63" s="372">
        <v>2023</v>
      </c>
      <c r="Q63" s="372">
        <v>2024</v>
      </c>
      <c r="R63" s="372">
        <v>2025</v>
      </c>
      <c r="S63" s="372">
        <v>2026</v>
      </c>
      <c r="T63" s="372">
        <v>2027</v>
      </c>
      <c r="U63" s="372">
        <v>2028</v>
      </c>
      <c r="V63" s="372">
        <v>2029</v>
      </c>
      <c r="W63" s="372">
        <v>2030</v>
      </c>
      <c r="X63" s="372">
        <v>2031</v>
      </c>
      <c r="Y63" s="372">
        <v>2032</v>
      </c>
      <c r="Z63" s="372">
        <v>2033</v>
      </c>
      <c r="AA63" s="372">
        <v>2034</v>
      </c>
      <c r="AB63" s="372">
        <v>2035</v>
      </c>
      <c r="AC63" s="372">
        <v>2036</v>
      </c>
      <c r="AD63" s="372">
        <v>2037</v>
      </c>
      <c r="AE63" s="372">
        <v>2038</v>
      </c>
      <c r="AF63" s="372">
        <v>2039</v>
      </c>
      <c r="AG63" s="372">
        <v>2040</v>
      </c>
      <c r="AH63" s="372">
        <v>2041</v>
      </c>
      <c r="AI63" s="372">
        <v>2042</v>
      </c>
      <c r="AJ63" s="372">
        <v>2043</v>
      </c>
      <c r="AK63" s="372">
        <v>2044</v>
      </c>
      <c r="AL63" s="372">
        <v>2045</v>
      </c>
      <c r="AM63" s="372">
        <v>2046</v>
      </c>
      <c r="AN63" s="372">
        <v>2047</v>
      </c>
      <c r="AO63" s="372">
        <v>2048</v>
      </c>
      <c r="AP63" s="372">
        <v>2049</v>
      </c>
      <c r="AQ63" s="372">
        <v>2050</v>
      </c>
      <c r="AR63" s="372">
        <v>2051</v>
      </c>
      <c r="AS63" s="372">
        <v>2052</v>
      </c>
      <c r="AT63" s="372">
        <v>2053</v>
      </c>
      <c r="AU63" s="372">
        <v>2054</v>
      </c>
      <c r="AV63" s="372">
        <v>2055</v>
      </c>
      <c r="AW63" s="372">
        <v>2056</v>
      </c>
      <c r="AX63" s="372">
        <v>2057</v>
      </c>
      <c r="AY63" s="372">
        <v>2058</v>
      </c>
      <c r="AZ63" s="372">
        <v>2059</v>
      </c>
      <c r="BA63" s="372">
        <v>2060</v>
      </c>
      <c r="BB63" s="372">
        <v>2061</v>
      </c>
      <c r="BC63" s="372">
        <v>2062</v>
      </c>
      <c r="BD63" s="372">
        <v>2063</v>
      </c>
      <c r="BE63" s="372">
        <v>2064</v>
      </c>
      <c r="BF63" s="372">
        <v>2065</v>
      </c>
      <c r="BG63" s="372">
        <v>2066</v>
      </c>
      <c r="BH63" s="372">
        <v>2067</v>
      </c>
      <c r="BI63" s="372">
        <v>2068</v>
      </c>
      <c r="BJ63" s="372">
        <v>2069</v>
      </c>
      <c r="BK63" s="372">
        <v>2070</v>
      </c>
      <c r="BL63" s="372">
        <v>2071</v>
      </c>
      <c r="BM63" s="372">
        <v>2072</v>
      </c>
      <c r="BN63" s="372">
        <v>2073</v>
      </c>
      <c r="BO63" s="372">
        <v>2074</v>
      </c>
      <c r="BP63" s="372">
        <v>2075</v>
      </c>
      <c r="BQ63" s="372">
        <v>2076</v>
      </c>
      <c r="BR63" s="372">
        <v>2077</v>
      </c>
      <c r="BS63" s="372">
        <v>2078</v>
      </c>
      <c r="BT63" s="372">
        <v>2079</v>
      </c>
      <c r="BU63" s="372">
        <v>2080</v>
      </c>
      <c r="BV63" s="372">
        <v>2081</v>
      </c>
      <c r="BW63" s="372">
        <v>2082</v>
      </c>
      <c r="BX63" s="372">
        <v>2083</v>
      </c>
      <c r="BY63" s="372">
        <v>2084</v>
      </c>
      <c r="BZ63" s="372">
        <v>2085</v>
      </c>
      <c r="CA63" s="372">
        <v>2086</v>
      </c>
      <c r="CB63" s="372">
        <v>2087</v>
      </c>
      <c r="CC63" s="372">
        <v>2088</v>
      </c>
      <c r="CD63" s="372">
        <v>2089</v>
      </c>
    </row>
    <row r="64" spans="1:82">
      <c r="B64" s="373" t="s">
        <v>87</v>
      </c>
      <c r="C64" s="373" t="e">
        <f>(C$27*C$28*C$29)*Drainage!D22</f>
        <v>#DIV/0!</v>
      </c>
      <c r="D64" s="373" t="e">
        <f>(D$27*D$28*D$29)*Drainage!E22</f>
        <v>#DIV/0!</v>
      </c>
      <c r="E64" s="373" t="e">
        <f>(E$27*E$28*E$29)*Drainage!F22</f>
        <v>#DIV/0!</v>
      </c>
      <c r="F64" s="373" t="e">
        <f>(F$27*F$28*F$29)*Drainage!G22</f>
        <v>#DIV/0!</v>
      </c>
      <c r="G64" s="373" t="e">
        <f>(G$27*G$28*G$29)*Drainage!H22</f>
        <v>#DIV/0!</v>
      </c>
      <c r="H64" s="373" t="e">
        <f>(H$27*H$28*H$29)*Drainage!I22</f>
        <v>#DIV/0!</v>
      </c>
      <c r="I64" s="373" t="e">
        <f>(I$27*I$28*I$29)*Drainage!J22</f>
        <v>#DIV/0!</v>
      </c>
      <c r="J64" s="373" t="e">
        <f>(J$27*J$28*J$29)*Drainage!K22</f>
        <v>#DIV/0!</v>
      </c>
      <c r="K64" s="373" t="e">
        <f>(K$27*K$28*K$29)*Drainage!L22</f>
        <v>#DIV/0!</v>
      </c>
      <c r="L64" s="373" t="e">
        <f>(L$27*L$28*L$29)*Drainage!M22</f>
        <v>#DIV/0!</v>
      </c>
      <c r="M64" s="373" t="e">
        <f>(M$27*M$28*M$29)*Drainage!N22</f>
        <v>#DIV/0!</v>
      </c>
      <c r="N64" s="373" t="e">
        <f>(N$27*N$28*N$29)*Drainage!O22</f>
        <v>#DIV/0!</v>
      </c>
      <c r="O64" s="373" t="e">
        <f>(O$27*O$28*O$29)*Drainage!P22</f>
        <v>#DIV/0!</v>
      </c>
      <c r="P64" s="373" t="e">
        <f>(P$27*P$28*P$29)*Drainage!Q22</f>
        <v>#DIV/0!</v>
      </c>
      <c r="Q64" s="373" t="e">
        <f>(Q$27*Q$28*Q$29)*Drainage!R22</f>
        <v>#DIV/0!</v>
      </c>
      <c r="R64" s="373" t="e">
        <f>(R$27*R$28*R$29)*Drainage!S22</f>
        <v>#DIV/0!</v>
      </c>
      <c r="S64" s="373" t="e">
        <f>(S$27*S$28*S$29)*Drainage!T22</f>
        <v>#DIV/0!</v>
      </c>
      <c r="T64" s="373" t="e">
        <f>(T$27*T$28*T$29)*Drainage!U22</f>
        <v>#DIV/0!</v>
      </c>
      <c r="U64" s="373" t="e">
        <f>(U$27*U$28*U$29)*Drainage!V22</f>
        <v>#DIV/0!</v>
      </c>
      <c r="V64" s="373" t="e">
        <f>(V$27*V$28*V$29)*Drainage!W22</f>
        <v>#DIV/0!</v>
      </c>
      <c r="W64" s="373" t="e">
        <f>(W$27*W$28*W$29)*Drainage!X22</f>
        <v>#DIV/0!</v>
      </c>
      <c r="X64" s="373" t="e">
        <f>(X$27*X$28*X$29)*Drainage!Y22</f>
        <v>#DIV/0!</v>
      </c>
      <c r="Y64" s="373" t="e">
        <f>(Y$27*Y$28*Y$29)*Drainage!Z22</f>
        <v>#DIV/0!</v>
      </c>
      <c r="Z64" s="373" t="e">
        <f>(Z$27*Z$28*Z$29)*Drainage!AA22</f>
        <v>#DIV/0!</v>
      </c>
      <c r="AA64" s="373" t="e">
        <f>(AA$27*AA$28*AA$29)*Drainage!AB22</f>
        <v>#DIV/0!</v>
      </c>
      <c r="AB64" s="373" t="e">
        <f>(AB$27*AB$28*AB$29)*Drainage!AC22</f>
        <v>#DIV/0!</v>
      </c>
      <c r="AC64" s="373" t="e">
        <f>(AC$27*AC$28*AC$29)*Drainage!AD22</f>
        <v>#DIV/0!</v>
      </c>
      <c r="AD64" s="373" t="e">
        <f>(AD$27*AD$28*AD$29)*Drainage!AE22</f>
        <v>#DIV/0!</v>
      </c>
      <c r="AE64" s="373" t="e">
        <f>(AE$27*AE$28*AE$29)*Drainage!AF22</f>
        <v>#DIV/0!</v>
      </c>
      <c r="AF64" s="373" t="e">
        <f>(AF$27*AF$28*AF$29)*Drainage!AG22</f>
        <v>#DIV/0!</v>
      </c>
      <c r="AG64" s="373" t="e">
        <f>(AG$27*AG$28*AG$29)*Drainage!AH22</f>
        <v>#DIV/0!</v>
      </c>
      <c r="AH64" s="373" t="e">
        <f>(AH$27*AH$28*AH$29)*Drainage!AI22</f>
        <v>#DIV/0!</v>
      </c>
      <c r="AI64" s="373" t="e">
        <f>(AI$27*AI$28*AI$29)*Drainage!AJ22</f>
        <v>#DIV/0!</v>
      </c>
      <c r="AJ64" s="373" t="e">
        <f>(AJ$27*AJ$28*AJ$29)*Drainage!AK22</f>
        <v>#DIV/0!</v>
      </c>
      <c r="AK64" s="373" t="e">
        <f>(AK$27*AK$28*AK$29)*Drainage!AL22</f>
        <v>#DIV/0!</v>
      </c>
      <c r="AL64" s="373" t="e">
        <f>(AL$27*AL$28*AL$29)*Drainage!AM22</f>
        <v>#DIV/0!</v>
      </c>
      <c r="AM64" s="373" t="e">
        <f>(AM$27*AM$28*AM$29)*Drainage!AN22</f>
        <v>#DIV/0!</v>
      </c>
      <c r="AN64" s="373" t="e">
        <f>(AN$27*AN$28*AN$29)*Drainage!AO22</f>
        <v>#DIV/0!</v>
      </c>
      <c r="AO64" s="373" t="e">
        <f>(AO$27*AO$28*AO$29)*Drainage!AP22</f>
        <v>#DIV/0!</v>
      </c>
      <c r="AP64" s="373" t="e">
        <f>(AP$27*AP$28*AP$29)*Drainage!AQ22</f>
        <v>#DIV/0!</v>
      </c>
      <c r="AQ64" s="373" t="e">
        <f>(AQ$27*AQ$28*AQ$29)*Drainage!AR22</f>
        <v>#DIV/0!</v>
      </c>
      <c r="AR64" s="373" t="e">
        <f>(AR$27*AR$28*AR$29)*Drainage!AS22</f>
        <v>#DIV/0!</v>
      </c>
      <c r="AS64" s="373" t="e">
        <f>(AS$27*AS$28*AS$29)*Drainage!AT22</f>
        <v>#DIV/0!</v>
      </c>
      <c r="AT64" s="373" t="e">
        <f>(AT$27*AT$28*AT$29)*Drainage!AU22</f>
        <v>#DIV/0!</v>
      </c>
      <c r="AU64" s="373" t="e">
        <f>(AU$27*AU$28*AU$29)*Drainage!AV22</f>
        <v>#DIV/0!</v>
      </c>
      <c r="AV64" s="373" t="e">
        <f>(AV$27*AV$28*AV$29)*Drainage!AW22</f>
        <v>#DIV/0!</v>
      </c>
      <c r="AW64" s="373" t="e">
        <f>(AW$27*AW$28*AW$29)*Drainage!AX22</f>
        <v>#DIV/0!</v>
      </c>
      <c r="AX64" s="373" t="e">
        <f>(AX$27*AX$28*AX$29)*Drainage!AY22</f>
        <v>#DIV/0!</v>
      </c>
      <c r="AY64" s="373" t="e">
        <f>(AY$27*AY$28*AY$29)*Drainage!AZ22</f>
        <v>#DIV/0!</v>
      </c>
      <c r="AZ64" s="373" t="e">
        <f>(AZ$27*AZ$28*AZ$29)*Drainage!BA22</f>
        <v>#DIV/0!</v>
      </c>
      <c r="BA64" s="373" t="e">
        <f>(BA$27*BA$28*BA$29)*Drainage!BB22</f>
        <v>#DIV/0!</v>
      </c>
      <c r="BB64" s="373" t="e">
        <f>(BB$27*BB$28*BB$29)*Drainage!BC22</f>
        <v>#DIV/0!</v>
      </c>
      <c r="BC64" s="373" t="e">
        <f>(BC$27*BC$28*BC$29)*Drainage!BD22</f>
        <v>#DIV/0!</v>
      </c>
      <c r="BD64" s="373" t="e">
        <f>(BD$27*BD$28*BD$29)*Drainage!BE22</f>
        <v>#DIV/0!</v>
      </c>
      <c r="BE64" s="373" t="e">
        <f>(BE$27*BE$28*BE$29)*Drainage!BF22</f>
        <v>#DIV/0!</v>
      </c>
      <c r="BF64" s="373" t="e">
        <f>(BF$27*BF$28*BF$29)*Drainage!BG22</f>
        <v>#DIV/0!</v>
      </c>
      <c r="BG64" s="373" t="e">
        <f>(BG$27*BG$28*BG$29)*Drainage!BH22</f>
        <v>#DIV/0!</v>
      </c>
      <c r="BH64" s="373" t="e">
        <f>(BH$27*BH$28*BH$29)*Drainage!BI22</f>
        <v>#DIV/0!</v>
      </c>
      <c r="BI64" s="373" t="e">
        <f>(BI$27*BI$28*BI$29)*Drainage!BJ22</f>
        <v>#DIV/0!</v>
      </c>
      <c r="BJ64" s="373" t="e">
        <f>(BJ$27*BJ$28*BJ$29)*Drainage!BK22</f>
        <v>#DIV/0!</v>
      </c>
      <c r="BK64" s="373" t="e">
        <f>(BK$27*BK$28*BK$29)*Drainage!BL22</f>
        <v>#DIV/0!</v>
      </c>
      <c r="BL64" s="373" t="e">
        <f>(BL$27*BL$28*BL$29)*Drainage!BM22</f>
        <v>#DIV/0!</v>
      </c>
      <c r="BM64" s="373" t="e">
        <f>(BM$27*BM$28*BM$29)*Drainage!BN22</f>
        <v>#DIV/0!</v>
      </c>
      <c r="BN64" s="373" t="e">
        <f>(BN$27*BN$28*BN$29)*Drainage!BO22</f>
        <v>#DIV/0!</v>
      </c>
      <c r="BO64" s="373" t="e">
        <f>(BO$27*BO$28*BO$29)*Drainage!BP22</f>
        <v>#DIV/0!</v>
      </c>
      <c r="BP64" s="373" t="e">
        <f>(BP$27*BP$28*BP$29)*Drainage!BQ22</f>
        <v>#DIV/0!</v>
      </c>
      <c r="BQ64" s="373" t="e">
        <f>(BQ$27*BQ$28*BQ$29)*Drainage!BR22</f>
        <v>#DIV/0!</v>
      </c>
      <c r="BR64" s="373" t="e">
        <f>(BR$27*BR$28*BR$29)*Drainage!BS22</f>
        <v>#DIV/0!</v>
      </c>
      <c r="BS64" s="373" t="e">
        <f>(BS$27*BS$28*BS$29)*Drainage!BT22</f>
        <v>#DIV/0!</v>
      </c>
      <c r="BT64" s="373" t="e">
        <f>(BT$27*BT$28*BT$29)*Drainage!BU22</f>
        <v>#DIV/0!</v>
      </c>
      <c r="BU64" s="373" t="e">
        <f>(BU$27*BU$28*BU$29)*Drainage!BV22</f>
        <v>#DIV/0!</v>
      </c>
      <c r="BV64" s="373" t="e">
        <f>(BV$27*BV$28*BV$29)*Drainage!BW22</f>
        <v>#DIV/0!</v>
      </c>
      <c r="BW64" s="373" t="e">
        <f>(BW$27*BW$28*BW$29)*Drainage!BX22</f>
        <v>#DIV/0!</v>
      </c>
      <c r="BX64" s="373" t="e">
        <f>(BX$27*BX$28*BX$29)*Drainage!BY22</f>
        <v>#DIV/0!</v>
      </c>
      <c r="BY64" s="373" t="e">
        <f>(BY$27*BY$28*BY$29)*Drainage!BZ22</f>
        <v>#DIV/0!</v>
      </c>
      <c r="BZ64" s="373" t="e">
        <f>(BZ$27*BZ$28*BZ$29)*Drainage!CA22</f>
        <v>#DIV/0!</v>
      </c>
      <c r="CA64" s="373" t="e">
        <f>(CA$27*CA$28*CA$29)*Drainage!CB22</f>
        <v>#DIV/0!</v>
      </c>
      <c r="CB64" s="373" t="e">
        <f>(CB$27*CB$28*CB$29)*Drainage!CC22</f>
        <v>#DIV/0!</v>
      </c>
      <c r="CC64" s="373" t="e">
        <f>(CC$27*CC$28*CC$29)*Drainage!CD22</f>
        <v>#DIV/0!</v>
      </c>
      <c r="CD64" s="373" t="e">
        <f>(CD$27*CD$28*CD$29)*Drainage!CE22</f>
        <v>#DIV/0!</v>
      </c>
    </row>
    <row r="65" spans="1:82">
      <c r="B65" s="373" t="s">
        <v>89</v>
      </c>
      <c r="C65" s="373" t="e">
        <f>(C$27*C$28*C$29)*Drainage!D23</f>
        <v>#DIV/0!</v>
      </c>
      <c r="D65" s="373" t="e">
        <f>(D$27*D$28*D$29)*Drainage!E23</f>
        <v>#DIV/0!</v>
      </c>
      <c r="E65" s="373" t="e">
        <f>(E$27*E$28*E$29)*Drainage!F23</f>
        <v>#DIV/0!</v>
      </c>
      <c r="F65" s="373" t="e">
        <f>(F$27*F$28*F$29)*Drainage!G23</f>
        <v>#DIV/0!</v>
      </c>
      <c r="G65" s="373" t="e">
        <f>(G$27*G$28*G$29)*Drainage!H23</f>
        <v>#DIV/0!</v>
      </c>
      <c r="H65" s="373" t="e">
        <f>(H$27*H$28*H$29)*Drainage!I23</f>
        <v>#DIV/0!</v>
      </c>
      <c r="I65" s="373" t="e">
        <f>(I$27*I$28*I$29)*Drainage!J23</f>
        <v>#DIV/0!</v>
      </c>
      <c r="J65" s="373" t="e">
        <f>(J$27*J$28*J$29)*Drainage!K23</f>
        <v>#DIV/0!</v>
      </c>
      <c r="K65" s="373" t="e">
        <f>(K$27*K$28*K$29)*Drainage!L23</f>
        <v>#DIV/0!</v>
      </c>
      <c r="L65" s="373" t="e">
        <f>(L$27*L$28*L$29)*Drainage!M23</f>
        <v>#DIV/0!</v>
      </c>
      <c r="M65" s="373" t="e">
        <f>(M$27*M$28*M$29)*Drainage!N23</f>
        <v>#DIV/0!</v>
      </c>
      <c r="N65" s="373" t="e">
        <f>(N$27*N$28*N$29)*Drainage!O23</f>
        <v>#DIV/0!</v>
      </c>
      <c r="O65" s="373" t="e">
        <f>(O$27*O$28*O$29)*Drainage!P23</f>
        <v>#DIV/0!</v>
      </c>
      <c r="P65" s="373" t="e">
        <f>(P$27*P$28*P$29)*Drainage!Q23</f>
        <v>#DIV/0!</v>
      </c>
      <c r="Q65" s="373" t="e">
        <f>(Q$27*Q$28*Q$29)*Drainage!R23</f>
        <v>#DIV/0!</v>
      </c>
      <c r="R65" s="373" t="e">
        <f>(R$27*R$28*R$29)*Drainage!S23</f>
        <v>#DIV/0!</v>
      </c>
      <c r="S65" s="373" t="e">
        <f>(S$27*S$28*S$29)*Drainage!T23</f>
        <v>#DIV/0!</v>
      </c>
      <c r="T65" s="373" t="e">
        <f>(T$27*T$28*T$29)*Drainage!U23</f>
        <v>#DIV/0!</v>
      </c>
      <c r="U65" s="373" t="e">
        <f>(U$27*U$28*U$29)*Drainage!V23</f>
        <v>#DIV/0!</v>
      </c>
      <c r="V65" s="373" t="e">
        <f>(V$27*V$28*V$29)*Drainage!W23</f>
        <v>#DIV/0!</v>
      </c>
      <c r="W65" s="373" t="e">
        <f>(W$27*W$28*W$29)*Drainage!X23</f>
        <v>#DIV/0!</v>
      </c>
      <c r="X65" s="373" t="e">
        <f>(X$27*X$28*X$29)*Drainage!Y23</f>
        <v>#DIV/0!</v>
      </c>
      <c r="Y65" s="373" t="e">
        <f>(Y$27*Y$28*Y$29)*Drainage!Z23</f>
        <v>#DIV/0!</v>
      </c>
      <c r="Z65" s="373" t="e">
        <f>(Z$27*Z$28*Z$29)*Drainage!AA23</f>
        <v>#DIV/0!</v>
      </c>
      <c r="AA65" s="373" t="e">
        <f>(AA$27*AA$28*AA$29)*Drainage!AB23</f>
        <v>#DIV/0!</v>
      </c>
      <c r="AB65" s="373" t="e">
        <f>(AB$27*AB$28*AB$29)*Drainage!AC23</f>
        <v>#DIV/0!</v>
      </c>
      <c r="AC65" s="373" t="e">
        <f>(AC$27*AC$28*AC$29)*Drainage!AD23</f>
        <v>#DIV/0!</v>
      </c>
      <c r="AD65" s="373" t="e">
        <f>(AD$27*AD$28*AD$29)*Drainage!AE23</f>
        <v>#DIV/0!</v>
      </c>
      <c r="AE65" s="373" t="e">
        <f>(AE$27*AE$28*AE$29)*Drainage!AF23</f>
        <v>#DIV/0!</v>
      </c>
      <c r="AF65" s="373" t="e">
        <f>(AF$27*AF$28*AF$29)*Drainage!AG23</f>
        <v>#DIV/0!</v>
      </c>
      <c r="AG65" s="373" t="e">
        <f>(AG$27*AG$28*AG$29)*Drainage!AH23</f>
        <v>#DIV/0!</v>
      </c>
      <c r="AH65" s="373" t="e">
        <f>(AH$27*AH$28*AH$29)*Drainage!AI23</f>
        <v>#DIV/0!</v>
      </c>
      <c r="AI65" s="373" t="e">
        <f>(AI$27*AI$28*AI$29)*Drainage!AJ23</f>
        <v>#DIV/0!</v>
      </c>
      <c r="AJ65" s="373" t="e">
        <f>(AJ$27*AJ$28*AJ$29)*Drainage!AK23</f>
        <v>#DIV/0!</v>
      </c>
      <c r="AK65" s="373" t="e">
        <f>(AK$27*AK$28*AK$29)*Drainage!AL23</f>
        <v>#DIV/0!</v>
      </c>
      <c r="AL65" s="373" t="e">
        <f>(AL$27*AL$28*AL$29)*Drainage!AM23</f>
        <v>#DIV/0!</v>
      </c>
      <c r="AM65" s="373" t="e">
        <f>(AM$27*AM$28*AM$29)*Drainage!AN23</f>
        <v>#DIV/0!</v>
      </c>
      <c r="AN65" s="373" t="e">
        <f>(AN$27*AN$28*AN$29)*Drainage!AO23</f>
        <v>#DIV/0!</v>
      </c>
      <c r="AO65" s="373" t="e">
        <f>(AO$27*AO$28*AO$29)*Drainage!AP23</f>
        <v>#DIV/0!</v>
      </c>
      <c r="AP65" s="373" t="e">
        <f>(AP$27*AP$28*AP$29)*Drainage!AQ23</f>
        <v>#DIV/0!</v>
      </c>
      <c r="AQ65" s="373" t="e">
        <f>(AQ$27*AQ$28*AQ$29)*Drainage!AR23</f>
        <v>#DIV/0!</v>
      </c>
      <c r="AR65" s="373" t="e">
        <f>(AR$27*AR$28*AR$29)*Drainage!AS23</f>
        <v>#DIV/0!</v>
      </c>
      <c r="AS65" s="373" t="e">
        <f>(AS$27*AS$28*AS$29)*Drainage!AT23</f>
        <v>#DIV/0!</v>
      </c>
      <c r="AT65" s="373" t="e">
        <f>(AT$27*AT$28*AT$29)*Drainage!AU23</f>
        <v>#DIV/0!</v>
      </c>
      <c r="AU65" s="373" t="e">
        <f>(AU$27*AU$28*AU$29)*Drainage!AV23</f>
        <v>#DIV/0!</v>
      </c>
      <c r="AV65" s="373" t="e">
        <f>(AV$27*AV$28*AV$29)*Drainage!AW23</f>
        <v>#DIV/0!</v>
      </c>
      <c r="AW65" s="373" t="e">
        <f>(AW$27*AW$28*AW$29)*Drainage!AX23</f>
        <v>#DIV/0!</v>
      </c>
      <c r="AX65" s="373" t="e">
        <f>(AX$27*AX$28*AX$29)*Drainage!AY23</f>
        <v>#DIV/0!</v>
      </c>
      <c r="AY65" s="373" t="e">
        <f>(AY$27*AY$28*AY$29)*Drainage!AZ23</f>
        <v>#DIV/0!</v>
      </c>
      <c r="AZ65" s="373" t="e">
        <f>(AZ$27*AZ$28*AZ$29)*Drainage!BA23</f>
        <v>#DIV/0!</v>
      </c>
      <c r="BA65" s="373" t="e">
        <f>(BA$27*BA$28*BA$29)*Drainage!BB23</f>
        <v>#DIV/0!</v>
      </c>
      <c r="BB65" s="373" t="e">
        <f>(BB$27*BB$28*BB$29)*Drainage!BC23</f>
        <v>#DIV/0!</v>
      </c>
      <c r="BC65" s="373" t="e">
        <f>(BC$27*BC$28*BC$29)*Drainage!BD23</f>
        <v>#DIV/0!</v>
      </c>
      <c r="BD65" s="373" t="e">
        <f>(BD$27*BD$28*BD$29)*Drainage!BE23</f>
        <v>#DIV/0!</v>
      </c>
      <c r="BE65" s="373" t="e">
        <f>(BE$27*BE$28*BE$29)*Drainage!BF23</f>
        <v>#DIV/0!</v>
      </c>
      <c r="BF65" s="373" t="e">
        <f>(BF$27*BF$28*BF$29)*Drainage!BG23</f>
        <v>#DIV/0!</v>
      </c>
      <c r="BG65" s="373" t="e">
        <f>(BG$27*BG$28*BG$29)*Drainage!BH23</f>
        <v>#DIV/0!</v>
      </c>
      <c r="BH65" s="373" t="e">
        <f>(BH$27*BH$28*BH$29)*Drainage!BI23</f>
        <v>#DIV/0!</v>
      </c>
      <c r="BI65" s="373" t="e">
        <f>(BI$27*BI$28*BI$29)*Drainage!BJ23</f>
        <v>#DIV/0!</v>
      </c>
      <c r="BJ65" s="373" t="e">
        <f>(BJ$27*BJ$28*BJ$29)*Drainage!BK23</f>
        <v>#DIV/0!</v>
      </c>
      <c r="BK65" s="373" t="e">
        <f>(BK$27*BK$28*BK$29)*Drainage!BL23</f>
        <v>#DIV/0!</v>
      </c>
      <c r="BL65" s="373" t="e">
        <f>(BL$27*BL$28*BL$29)*Drainage!BM23</f>
        <v>#DIV/0!</v>
      </c>
      <c r="BM65" s="373" t="e">
        <f>(BM$27*BM$28*BM$29)*Drainage!BN23</f>
        <v>#DIV/0!</v>
      </c>
      <c r="BN65" s="373" t="e">
        <f>(BN$27*BN$28*BN$29)*Drainage!BO23</f>
        <v>#DIV/0!</v>
      </c>
      <c r="BO65" s="373" t="e">
        <f>(BO$27*BO$28*BO$29)*Drainage!BP23</f>
        <v>#DIV/0!</v>
      </c>
      <c r="BP65" s="373" t="e">
        <f>(BP$27*BP$28*BP$29)*Drainage!BQ23</f>
        <v>#DIV/0!</v>
      </c>
      <c r="BQ65" s="373" t="e">
        <f>(BQ$27*BQ$28*BQ$29)*Drainage!BR23</f>
        <v>#DIV/0!</v>
      </c>
      <c r="BR65" s="373" t="e">
        <f>(BR$27*BR$28*BR$29)*Drainage!BS23</f>
        <v>#DIV/0!</v>
      </c>
      <c r="BS65" s="373" t="e">
        <f>(BS$27*BS$28*BS$29)*Drainage!BT23</f>
        <v>#DIV/0!</v>
      </c>
      <c r="BT65" s="373" t="e">
        <f>(BT$27*BT$28*BT$29)*Drainage!BU23</f>
        <v>#DIV/0!</v>
      </c>
      <c r="BU65" s="373" t="e">
        <f>(BU$27*BU$28*BU$29)*Drainage!BV23</f>
        <v>#DIV/0!</v>
      </c>
      <c r="BV65" s="373" t="e">
        <f>(BV$27*BV$28*BV$29)*Drainage!BW23</f>
        <v>#DIV/0!</v>
      </c>
      <c r="BW65" s="373" t="e">
        <f>(BW$27*BW$28*BW$29)*Drainage!BX23</f>
        <v>#DIV/0!</v>
      </c>
      <c r="BX65" s="373" t="e">
        <f>(BX$27*BX$28*BX$29)*Drainage!BY23</f>
        <v>#DIV/0!</v>
      </c>
      <c r="BY65" s="373" t="e">
        <f>(BY$27*BY$28*BY$29)*Drainage!BZ23</f>
        <v>#DIV/0!</v>
      </c>
      <c r="BZ65" s="373" t="e">
        <f>(BZ$27*BZ$28*BZ$29)*Drainage!CA23</f>
        <v>#DIV/0!</v>
      </c>
      <c r="CA65" s="373" t="e">
        <f>(CA$27*CA$28*CA$29)*Drainage!CB23</f>
        <v>#DIV/0!</v>
      </c>
      <c r="CB65" s="373" t="e">
        <f>(CB$27*CB$28*CB$29)*Drainage!CC23</f>
        <v>#DIV/0!</v>
      </c>
      <c r="CC65" s="373" t="e">
        <f>(CC$27*CC$28*CC$29)*Drainage!CD23</f>
        <v>#DIV/0!</v>
      </c>
      <c r="CD65" s="373" t="e">
        <f>(CD$27*CD$28*CD$29)*Drainage!CE23</f>
        <v>#DIV/0!</v>
      </c>
    </row>
    <row r="66" spans="1:82">
      <c r="B66" s="373" t="s">
        <v>91</v>
      </c>
      <c r="C66" s="373" t="e">
        <f>(C$27*C$28*C$29)*Drainage!D24</f>
        <v>#DIV/0!</v>
      </c>
      <c r="D66" s="373" t="e">
        <f>(D$27*D$28*D$29)*Drainage!E24</f>
        <v>#DIV/0!</v>
      </c>
      <c r="E66" s="373" t="e">
        <f>(E$27*E$28*E$29)*Drainage!F24</f>
        <v>#DIV/0!</v>
      </c>
      <c r="F66" s="373" t="e">
        <f>(F$27*F$28*F$29)*Drainage!G24</f>
        <v>#DIV/0!</v>
      </c>
      <c r="G66" s="373" t="e">
        <f>(G$27*G$28*G$29)*Drainage!H24</f>
        <v>#DIV/0!</v>
      </c>
      <c r="H66" s="373" t="e">
        <f>(H$27*H$28*H$29)*Drainage!I24</f>
        <v>#DIV/0!</v>
      </c>
      <c r="I66" s="373" t="e">
        <f>(I$27*I$28*I$29)*Drainage!J24</f>
        <v>#DIV/0!</v>
      </c>
      <c r="J66" s="373" t="e">
        <f>(J$27*J$28*J$29)*Drainage!K24</f>
        <v>#DIV/0!</v>
      </c>
      <c r="K66" s="373" t="e">
        <f>(K$27*K$28*K$29)*Drainage!L24</f>
        <v>#DIV/0!</v>
      </c>
      <c r="L66" s="373" t="e">
        <f>(L$27*L$28*L$29)*Drainage!M24</f>
        <v>#DIV/0!</v>
      </c>
      <c r="M66" s="373" t="e">
        <f>(M$27*M$28*M$29)*Drainage!N24</f>
        <v>#DIV/0!</v>
      </c>
      <c r="N66" s="373" t="e">
        <f>(N$27*N$28*N$29)*Drainage!O24</f>
        <v>#DIV/0!</v>
      </c>
      <c r="O66" s="373" t="e">
        <f>(O$27*O$28*O$29)*Drainage!P24</f>
        <v>#DIV/0!</v>
      </c>
      <c r="P66" s="373" t="e">
        <f>(P$27*P$28*P$29)*Drainage!Q24</f>
        <v>#DIV/0!</v>
      </c>
      <c r="Q66" s="373" t="e">
        <f>(Q$27*Q$28*Q$29)*Drainage!R24</f>
        <v>#DIV/0!</v>
      </c>
      <c r="R66" s="373" t="e">
        <f>(R$27*R$28*R$29)*Drainage!S24</f>
        <v>#DIV/0!</v>
      </c>
      <c r="S66" s="373" t="e">
        <f>(S$27*S$28*S$29)*Drainage!T24</f>
        <v>#DIV/0!</v>
      </c>
      <c r="T66" s="373" t="e">
        <f>(T$27*T$28*T$29)*Drainage!U24</f>
        <v>#DIV/0!</v>
      </c>
      <c r="U66" s="373" t="e">
        <f>(U$27*U$28*U$29)*Drainage!V24</f>
        <v>#DIV/0!</v>
      </c>
      <c r="V66" s="373" t="e">
        <f>(V$27*V$28*V$29)*Drainage!W24</f>
        <v>#DIV/0!</v>
      </c>
      <c r="W66" s="373" t="e">
        <f>(W$27*W$28*W$29)*Drainage!X24</f>
        <v>#DIV/0!</v>
      </c>
      <c r="X66" s="373" t="e">
        <f>(X$27*X$28*X$29)*Drainage!Y24</f>
        <v>#DIV/0!</v>
      </c>
      <c r="Y66" s="373" t="e">
        <f>(Y$27*Y$28*Y$29)*Drainage!Z24</f>
        <v>#DIV/0!</v>
      </c>
      <c r="Z66" s="373" t="e">
        <f>(Z$27*Z$28*Z$29)*Drainage!AA24</f>
        <v>#DIV/0!</v>
      </c>
      <c r="AA66" s="373" t="e">
        <f>(AA$27*AA$28*AA$29)*Drainage!AB24</f>
        <v>#DIV/0!</v>
      </c>
      <c r="AB66" s="373" t="e">
        <f>(AB$27*AB$28*AB$29)*Drainage!AC24</f>
        <v>#DIV/0!</v>
      </c>
      <c r="AC66" s="373" t="e">
        <f>(AC$27*AC$28*AC$29)*Drainage!AD24</f>
        <v>#DIV/0!</v>
      </c>
      <c r="AD66" s="373" t="e">
        <f>(AD$27*AD$28*AD$29)*Drainage!AE24</f>
        <v>#DIV/0!</v>
      </c>
      <c r="AE66" s="373" t="e">
        <f>(AE$27*AE$28*AE$29)*Drainage!AF24</f>
        <v>#DIV/0!</v>
      </c>
      <c r="AF66" s="373" t="e">
        <f>(AF$27*AF$28*AF$29)*Drainage!AG24</f>
        <v>#DIV/0!</v>
      </c>
      <c r="AG66" s="373" t="e">
        <f>(AG$27*AG$28*AG$29)*Drainage!AH24</f>
        <v>#DIV/0!</v>
      </c>
      <c r="AH66" s="373" t="e">
        <f>(AH$27*AH$28*AH$29)*Drainage!AI24</f>
        <v>#DIV/0!</v>
      </c>
      <c r="AI66" s="373" t="e">
        <f>(AI$27*AI$28*AI$29)*Drainage!AJ24</f>
        <v>#DIV/0!</v>
      </c>
      <c r="AJ66" s="373" t="e">
        <f>(AJ$27*AJ$28*AJ$29)*Drainage!AK24</f>
        <v>#DIV/0!</v>
      </c>
      <c r="AK66" s="373" t="e">
        <f>(AK$27*AK$28*AK$29)*Drainage!AL24</f>
        <v>#DIV/0!</v>
      </c>
      <c r="AL66" s="373" t="e">
        <f>(AL$27*AL$28*AL$29)*Drainage!AM24</f>
        <v>#DIV/0!</v>
      </c>
      <c r="AM66" s="373" t="e">
        <f>(AM$27*AM$28*AM$29)*Drainage!AN24</f>
        <v>#DIV/0!</v>
      </c>
      <c r="AN66" s="373" t="e">
        <f>(AN$27*AN$28*AN$29)*Drainage!AO24</f>
        <v>#DIV/0!</v>
      </c>
      <c r="AO66" s="373" t="e">
        <f>(AO$27*AO$28*AO$29)*Drainage!AP24</f>
        <v>#DIV/0!</v>
      </c>
      <c r="AP66" s="373" t="e">
        <f>(AP$27*AP$28*AP$29)*Drainage!AQ24</f>
        <v>#DIV/0!</v>
      </c>
      <c r="AQ66" s="373" t="e">
        <f>(AQ$27*AQ$28*AQ$29)*Drainage!AR24</f>
        <v>#DIV/0!</v>
      </c>
      <c r="AR66" s="373" t="e">
        <f>(AR$27*AR$28*AR$29)*Drainage!AS24</f>
        <v>#DIV/0!</v>
      </c>
      <c r="AS66" s="373" t="e">
        <f>(AS$27*AS$28*AS$29)*Drainage!AT24</f>
        <v>#DIV/0!</v>
      </c>
      <c r="AT66" s="373" t="e">
        <f>(AT$27*AT$28*AT$29)*Drainage!AU24</f>
        <v>#DIV/0!</v>
      </c>
      <c r="AU66" s="373" t="e">
        <f>(AU$27*AU$28*AU$29)*Drainage!AV24</f>
        <v>#DIV/0!</v>
      </c>
      <c r="AV66" s="373" t="e">
        <f>(AV$27*AV$28*AV$29)*Drainage!AW24</f>
        <v>#DIV/0!</v>
      </c>
      <c r="AW66" s="373" t="e">
        <f>(AW$27*AW$28*AW$29)*Drainage!AX24</f>
        <v>#DIV/0!</v>
      </c>
      <c r="AX66" s="373" t="e">
        <f>(AX$27*AX$28*AX$29)*Drainage!AY24</f>
        <v>#DIV/0!</v>
      </c>
      <c r="AY66" s="373" t="e">
        <f>(AY$27*AY$28*AY$29)*Drainage!AZ24</f>
        <v>#DIV/0!</v>
      </c>
      <c r="AZ66" s="373" t="e">
        <f>(AZ$27*AZ$28*AZ$29)*Drainage!BA24</f>
        <v>#DIV/0!</v>
      </c>
      <c r="BA66" s="373" t="e">
        <f>(BA$27*BA$28*BA$29)*Drainage!BB24</f>
        <v>#DIV/0!</v>
      </c>
      <c r="BB66" s="373" t="e">
        <f>(BB$27*BB$28*BB$29)*Drainage!BC24</f>
        <v>#DIV/0!</v>
      </c>
      <c r="BC66" s="373" t="e">
        <f>(BC$27*BC$28*BC$29)*Drainage!BD24</f>
        <v>#DIV/0!</v>
      </c>
      <c r="BD66" s="373" t="e">
        <f>(BD$27*BD$28*BD$29)*Drainage!BE24</f>
        <v>#DIV/0!</v>
      </c>
      <c r="BE66" s="373" t="e">
        <f>(BE$27*BE$28*BE$29)*Drainage!BF24</f>
        <v>#DIV/0!</v>
      </c>
      <c r="BF66" s="373" t="e">
        <f>(BF$27*BF$28*BF$29)*Drainage!BG24</f>
        <v>#DIV/0!</v>
      </c>
      <c r="BG66" s="373" t="e">
        <f>(BG$27*BG$28*BG$29)*Drainage!BH24</f>
        <v>#DIV/0!</v>
      </c>
      <c r="BH66" s="373" t="e">
        <f>(BH$27*BH$28*BH$29)*Drainage!BI24</f>
        <v>#DIV/0!</v>
      </c>
      <c r="BI66" s="373" t="e">
        <f>(BI$27*BI$28*BI$29)*Drainage!BJ24</f>
        <v>#DIV/0!</v>
      </c>
      <c r="BJ66" s="373" t="e">
        <f>(BJ$27*BJ$28*BJ$29)*Drainage!BK24</f>
        <v>#DIV/0!</v>
      </c>
      <c r="BK66" s="373" t="e">
        <f>(BK$27*BK$28*BK$29)*Drainage!BL24</f>
        <v>#DIV/0!</v>
      </c>
      <c r="BL66" s="373" t="e">
        <f>(BL$27*BL$28*BL$29)*Drainage!BM24</f>
        <v>#DIV/0!</v>
      </c>
      <c r="BM66" s="373" t="e">
        <f>(BM$27*BM$28*BM$29)*Drainage!BN24</f>
        <v>#DIV/0!</v>
      </c>
      <c r="BN66" s="373" t="e">
        <f>(BN$27*BN$28*BN$29)*Drainage!BO24</f>
        <v>#DIV/0!</v>
      </c>
      <c r="BO66" s="373" t="e">
        <f>(BO$27*BO$28*BO$29)*Drainage!BP24</f>
        <v>#DIV/0!</v>
      </c>
      <c r="BP66" s="373" t="e">
        <f>(BP$27*BP$28*BP$29)*Drainage!BQ24</f>
        <v>#DIV/0!</v>
      </c>
      <c r="BQ66" s="373" t="e">
        <f>(BQ$27*BQ$28*BQ$29)*Drainage!BR24</f>
        <v>#DIV/0!</v>
      </c>
      <c r="BR66" s="373" t="e">
        <f>(BR$27*BR$28*BR$29)*Drainage!BS24</f>
        <v>#DIV/0!</v>
      </c>
      <c r="BS66" s="373" t="e">
        <f>(BS$27*BS$28*BS$29)*Drainage!BT24</f>
        <v>#DIV/0!</v>
      </c>
      <c r="BT66" s="373" t="e">
        <f>(BT$27*BT$28*BT$29)*Drainage!BU24</f>
        <v>#DIV/0!</v>
      </c>
      <c r="BU66" s="373" t="e">
        <f>(BU$27*BU$28*BU$29)*Drainage!BV24</f>
        <v>#DIV/0!</v>
      </c>
      <c r="BV66" s="373" t="e">
        <f>(BV$27*BV$28*BV$29)*Drainage!BW24</f>
        <v>#DIV/0!</v>
      </c>
      <c r="BW66" s="373" t="e">
        <f>(BW$27*BW$28*BW$29)*Drainage!BX24</f>
        <v>#DIV/0!</v>
      </c>
      <c r="BX66" s="373" t="e">
        <f>(BX$27*BX$28*BX$29)*Drainage!BY24</f>
        <v>#DIV/0!</v>
      </c>
      <c r="BY66" s="373" t="e">
        <f>(BY$27*BY$28*BY$29)*Drainage!BZ24</f>
        <v>#DIV/0!</v>
      </c>
      <c r="BZ66" s="373" t="e">
        <f>(BZ$27*BZ$28*BZ$29)*Drainage!CA24</f>
        <v>#DIV/0!</v>
      </c>
      <c r="CA66" s="373" t="e">
        <f>(CA$27*CA$28*CA$29)*Drainage!CB24</f>
        <v>#DIV/0!</v>
      </c>
      <c r="CB66" s="373" t="e">
        <f>(CB$27*CB$28*CB$29)*Drainage!CC24</f>
        <v>#DIV/0!</v>
      </c>
      <c r="CC66" s="373" t="e">
        <f>(CC$27*CC$28*CC$29)*Drainage!CD24</f>
        <v>#DIV/0!</v>
      </c>
      <c r="CD66" s="373" t="e">
        <f>(CD$27*CD$28*CD$29)*Drainage!CE24</f>
        <v>#DIV/0!</v>
      </c>
    </row>
    <row r="67" spans="1:82">
      <c r="B67" s="373" t="s">
        <v>93</v>
      </c>
      <c r="C67" s="373" t="e">
        <f>(C$27*C$28*C$29)*Drainage!D25</f>
        <v>#DIV/0!</v>
      </c>
      <c r="D67" s="373" t="e">
        <f>(D$27*D$28*D$29)*Drainage!E25</f>
        <v>#DIV/0!</v>
      </c>
      <c r="E67" s="373" t="e">
        <f>(E$27*E$28*E$29)*Drainage!F25</f>
        <v>#DIV/0!</v>
      </c>
      <c r="F67" s="373" t="e">
        <f>(F$27*F$28*F$29)*Drainage!G25</f>
        <v>#DIV/0!</v>
      </c>
      <c r="G67" s="373" t="e">
        <f>(G$27*G$28*G$29)*Drainage!H25</f>
        <v>#DIV/0!</v>
      </c>
      <c r="H67" s="373" t="e">
        <f>(H$27*H$28*H$29)*Drainage!I25</f>
        <v>#DIV/0!</v>
      </c>
      <c r="I67" s="373" t="e">
        <f>(I$27*I$28*I$29)*Drainage!J25</f>
        <v>#DIV/0!</v>
      </c>
      <c r="J67" s="373" t="e">
        <f>(J$27*J$28*J$29)*Drainage!K25</f>
        <v>#DIV/0!</v>
      </c>
      <c r="K67" s="373" t="e">
        <f>(K$27*K$28*K$29)*Drainage!L25</f>
        <v>#DIV/0!</v>
      </c>
      <c r="L67" s="373" t="e">
        <f>(L$27*L$28*L$29)*Drainage!M25</f>
        <v>#DIV/0!</v>
      </c>
      <c r="M67" s="373" t="e">
        <f>(M$27*M$28*M$29)*Drainage!N25</f>
        <v>#DIV/0!</v>
      </c>
      <c r="N67" s="373" t="e">
        <f>(N$27*N$28*N$29)*Drainage!O25</f>
        <v>#DIV/0!</v>
      </c>
      <c r="O67" s="373" t="e">
        <f>(O$27*O$28*O$29)*Drainage!P25</f>
        <v>#DIV/0!</v>
      </c>
      <c r="P67" s="373" t="e">
        <f>(P$27*P$28*P$29)*Drainage!Q25</f>
        <v>#DIV/0!</v>
      </c>
      <c r="Q67" s="373" t="e">
        <f>(Q$27*Q$28*Q$29)*Drainage!R25</f>
        <v>#DIV/0!</v>
      </c>
      <c r="R67" s="373" t="e">
        <f>(R$27*R$28*R$29)*Drainage!S25</f>
        <v>#DIV/0!</v>
      </c>
      <c r="S67" s="373" t="e">
        <f>(S$27*S$28*S$29)*Drainage!T25</f>
        <v>#DIV/0!</v>
      </c>
      <c r="T67" s="373" t="e">
        <f>(T$27*T$28*T$29)*Drainage!U25</f>
        <v>#DIV/0!</v>
      </c>
      <c r="U67" s="373" t="e">
        <f>(U$27*U$28*U$29)*Drainage!V25</f>
        <v>#DIV/0!</v>
      </c>
      <c r="V67" s="373" t="e">
        <f>(V$27*V$28*V$29)*Drainage!W25</f>
        <v>#DIV/0!</v>
      </c>
      <c r="W67" s="373" t="e">
        <f>(W$27*W$28*W$29)*Drainage!X25</f>
        <v>#DIV/0!</v>
      </c>
      <c r="X67" s="373" t="e">
        <f>(X$27*X$28*X$29)*Drainage!Y25</f>
        <v>#DIV/0!</v>
      </c>
      <c r="Y67" s="373" t="e">
        <f>(Y$27*Y$28*Y$29)*Drainage!Z25</f>
        <v>#DIV/0!</v>
      </c>
      <c r="Z67" s="373" t="e">
        <f>(Z$27*Z$28*Z$29)*Drainage!AA25</f>
        <v>#DIV/0!</v>
      </c>
      <c r="AA67" s="373" t="e">
        <f>(AA$27*AA$28*AA$29)*Drainage!AB25</f>
        <v>#DIV/0!</v>
      </c>
      <c r="AB67" s="373" t="e">
        <f>(AB$27*AB$28*AB$29)*Drainage!AC25</f>
        <v>#DIV/0!</v>
      </c>
      <c r="AC67" s="373" t="e">
        <f>(AC$27*AC$28*AC$29)*Drainage!AD25</f>
        <v>#DIV/0!</v>
      </c>
      <c r="AD67" s="373" t="e">
        <f>(AD$27*AD$28*AD$29)*Drainage!AE25</f>
        <v>#DIV/0!</v>
      </c>
      <c r="AE67" s="373" t="e">
        <f>(AE$27*AE$28*AE$29)*Drainage!AF25</f>
        <v>#DIV/0!</v>
      </c>
      <c r="AF67" s="373" t="e">
        <f>(AF$27*AF$28*AF$29)*Drainage!AG25</f>
        <v>#DIV/0!</v>
      </c>
      <c r="AG67" s="373" t="e">
        <f>(AG$27*AG$28*AG$29)*Drainage!AH25</f>
        <v>#DIV/0!</v>
      </c>
      <c r="AH67" s="373" t="e">
        <f>(AH$27*AH$28*AH$29)*Drainage!AI25</f>
        <v>#DIV/0!</v>
      </c>
      <c r="AI67" s="373" t="e">
        <f>(AI$27*AI$28*AI$29)*Drainage!AJ25</f>
        <v>#DIV/0!</v>
      </c>
      <c r="AJ67" s="373" t="e">
        <f>(AJ$27*AJ$28*AJ$29)*Drainage!AK25</f>
        <v>#DIV/0!</v>
      </c>
      <c r="AK67" s="373" t="e">
        <f>(AK$27*AK$28*AK$29)*Drainage!AL25</f>
        <v>#DIV/0!</v>
      </c>
      <c r="AL67" s="373" t="e">
        <f>(AL$27*AL$28*AL$29)*Drainage!AM25</f>
        <v>#DIV/0!</v>
      </c>
      <c r="AM67" s="373" t="e">
        <f>(AM$27*AM$28*AM$29)*Drainage!AN25</f>
        <v>#DIV/0!</v>
      </c>
      <c r="AN67" s="373" t="e">
        <f>(AN$27*AN$28*AN$29)*Drainage!AO25</f>
        <v>#DIV/0!</v>
      </c>
      <c r="AO67" s="373" t="e">
        <f>(AO$27*AO$28*AO$29)*Drainage!AP25</f>
        <v>#DIV/0!</v>
      </c>
      <c r="AP67" s="373" t="e">
        <f>(AP$27*AP$28*AP$29)*Drainage!AQ25</f>
        <v>#DIV/0!</v>
      </c>
      <c r="AQ67" s="373" t="e">
        <f>(AQ$27*AQ$28*AQ$29)*Drainage!AR25</f>
        <v>#DIV/0!</v>
      </c>
      <c r="AR67" s="373" t="e">
        <f>(AR$27*AR$28*AR$29)*Drainage!AS25</f>
        <v>#DIV/0!</v>
      </c>
      <c r="AS67" s="373" t="e">
        <f>(AS$27*AS$28*AS$29)*Drainage!AT25</f>
        <v>#DIV/0!</v>
      </c>
      <c r="AT67" s="373" t="e">
        <f>(AT$27*AT$28*AT$29)*Drainage!AU25</f>
        <v>#DIV/0!</v>
      </c>
      <c r="AU67" s="373" t="e">
        <f>(AU$27*AU$28*AU$29)*Drainage!AV25</f>
        <v>#DIV/0!</v>
      </c>
      <c r="AV67" s="373" t="e">
        <f>(AV$27*AV$28*AV$29)*Drainage!AW25</f>
        <v>#DIV/0!</v>
      </c>
      <c r="AW67" s="373" t="e">
        <f>(AW$27*AW$28*AW$29)*Drainage!AX25</f>
        <v>#DIV/0!</v>
      </c>
      <c r="AX67" s="373" t="e">
        <f>(AX$27*AX$28*AX$29)*Drainage!AY25</f>
        <v>#DIV/0!</v>
      </c>
      <c r="AY67" s="373" t="e">
        <f>(AY$27*AY$28*AY$29)*Drainage!AZ25</f>
        <v>#DIV/0!</v>
      </c>
      <c r="AZ67" s="373" t="e">
        <f>(AZ$27*AZ$28*AZ$29)*Drainage!BA25</f>
        <v>#DIV/0!</v>
      </c>
      <c r="BA67" s="373" t="e">
        <f>(BA$27*BA$28*BA$29)*Drainage!BB25</f>
        <v>#DIV/0!</v>
      </c>
      <c r="BB67" s="373" t="e">
        <f>(BB$27*BB$28*BB$29)*Drainage!BC25</f>
        <v>#DIV/0!</v>
      </c>
      <c r="BC67" s="373" t="e">
        <f>(BC$27*BC$28*BC$29)*Drainage!BD25</f>
        <v>#DIV/0!</v>
      </c>
      <c r="BD67" s="373" t="e">
        <f>(BD$27*BD$28*BD$29)*Drainage!BE25</f>
        <v>#DIV/0!</v>
      </c>
      <c r="BE67" s="373" t="e">
        <f>(BE$27*BE$28*BE$29)*Drainage!BF25</f>
        <v>#DIV/0!</v>
      </c>
      <c r="BF67" s="373" t="e">
        <f>(BF$27*BF$28*BF$29)*Drainage!BG25</f>
        <v>#DIV/0!</v>
      </c>
      <c r="BG67" s="373" t="e">
        <f>(BG$27*BG$28*BG$29)*Drainage!BH25</f>
        <v>#DIV/0!</v>
      </c>
      <c r="BH67" s="373" t="e">
        <f>(BH$27*BH$28*BH$29)*Drainage!BI25</f>
        <v>#DIV/0!</v>
      </c>
      <c r="BI67" s="373" t="e">
        <f>(BI$27*BI$28*BI$29)*Drainage!BJ25</f>
        <v>#DIV/0!</v>
      </c>
      <c r="BJ67" s="373" t="e">
        <f>(BJ$27*BJ$28*BJ$29)*Drainage!BK25</f>
        <v>#DIV/0!</v>
      </c>
      <c r="BK67" s="373" t="e">
        <f>(BK$27*BK$28*BK$29)*Drainage!BL25</f>
        <v>#DIV/0!</v>
      </c>
      <c r="BL67" s="373" t="e">
        <f>(BL$27*BL$28*BL$29)*Drainage!BM25</f>
        <v>#DIV/0!</v>
      </c>
      <c r="BM67" s="373" t="e">
        <f>(BM$27*BM$28*BM$29)*Drainage!BN25</f>
        <v>#DIV/0!</v>
      </c>
      <c r="BN67" s="373" t="e">
        <f>(BN$27*BN$28*BN$29)*Drainage!BO25</f>
        <v>#DIV/0!</v>
      </c>
      <c r="BO67" s="373" t="e">
        <f>(BO$27*BO$28*BO$29)*Drainage!BP25</f>
        <v>#DIV/0!</v>
      </c>
      <c r="BP67" s="373" t="e">
        <f>(BP$27*BP$28*BP$29)*Drainage!BQ25</f>
        <v>#DIV/0!</v>
      </c>
      <c r="BQ67" s="373" t="e">
        <f>(BQ$27*BQ$28*BQ$29)*Drainage!BR25</f>
        <v>#DIV/0!</v>
      </c>
      <c r="BR67" s="373" t="e">
        <f>(BR$27*BR$28*BR$29)*Drainage!BS25</f>
        <v>#DIV/0!</v>
      </c>
      <c r="BS67" s="373" t="e">
        <f>(BS$27*BS$28*BS$29)*Drainage!BT25</f>
        <v>#DIV/0!</v>
      </c>
      <c r="BT67" s="373" t="e">
        <f>(BT$27*BT$28*BT$29)*Drainage!BU25</f>
        <v>#DIV/0!</v>
      </c>
      <c r="BU67" s="373" t="e">
        <f>(BU$27*BU$28*BU$29)*Drainage!BV25</f>
        <v>#DIV/0!</v>
      </c>
      <c r="BV67" s="373" t="e">
        <f>(BV$27*BV$28*BV$29)*Drainage!BW25</f>
        <v>#DIV/0!</v>
      </c>
      <c r="BW67" s="373" t="e">
        <f>(BW$27*BW$28*BW$29)*Drainage!BX25</f>
        <v>#DIV/0!</v>
      </c>
      <c r="BX67" s="373" t="e">
        <f>(BX$27*BX$28*BX$29)*Drainage!BY25</f>
        <v>#DIV/0!</v>
      </c>
      <c r="BY67" s="373" t="e">
        <f>(BY$27*BY$28*BY$29)*Drainage!BZ25</f>
        <v>#DIV/0!</v>
      </c>
      <c r="BZ67" s="373" t="e">
        <f>(BZ$27*BZ$28*BZ$29)*Drainage!CA25</f>
        <v>#DIV/0!</v>
      </c>
      <c r="CA67" s="373" t="e">
        <f>(CA$27*CA$28*CA$29)*Drainage!CB25</f>
        <v>#DIV/0!</v>
      </c>
      <c r="CB67" s="373" t="e">
        <f>(CB$27*CB$28*CB$29)*Drainage!CC25</f>
        <v>#DIV/0!</v>
      </c>
      <c r="CC67" s="373" t="e">
        <f>(CC$27*CC$28*CC$29)*Drainage!CD25</f>
        <v>#DIV/0!</v>
      </c>
      <c r="CD67" s="373" t="e">
        <f>(CD$27*CD$28*CD$29)*Drainage!CE25</f>
        <v>#DIV/0!</v>
      </c>
    </row>
    <row r="69" spans="1:82">
      <c r="A69" s="371" t="s">
        <v>396</v>
      </c>
    </row>
    <row r="70" spans="1:82" ht="15.5">
      <c r="A70" s="360"/>
      <c r="B70" s="372"/>
      <c r="C70" s="372">
        <v>2010</v>
      </c>
      <c r="D70" s="372">
        <v>2011</v>
      </c>
      <c r="E70" s="372">
        <v>2012</v>
      </c>
      <c r="F70" s="372">
        <v>2013</v>
      </c>
      <c r="G70" s="372">
        <v>2014</v>
      </c>
      <c r="H70" s="372">
        <v>2015</v>
      </c>
      <c r="I70" s="372">
        <v>2016</v>
      </c>
      <c r="J70" s="372">
        <v>2017</v>
      </c>
      <c r="K70" s="372">
        <v>2018</v>
      </c>
      <c r="L70" s="372">
        <v>2019</v>
      </c>
      <c r="M70" s="372">
        <v>2020</v>
      </c>
      <c r="N70" s="372">
        <v>2021</v>
      </c>
      <c r="O70" s="372">
        <v>2022</v>
      </c>
      <c r="P70" s="372">
        <v>2023</v>
      </c>
      <c r="Q70" s="372">
        <v>2024</v>
      </c>
      <c r="R70" s="372">
        <v>2025</v>
      </c>
      <c r="S70" s="372">
        <v>2026</v>
      </c>
      <c r="T70" s="372">
        <v>2027</v>
      </c>
      <c r="U70" s="372">
        <v>2028</v>
      </c>
      <c r="V70" s="372">
        <v>2029</v>
      </c>
      <c r="W70" s="372">
        <v>2030</v>
      </c>
      <c r="X70" s="372">
        <v>2031</v>
      </c>
      <c r="Y70" s="372">
        <v>2032</v>
      </c>
      <c r="Z70" s="372">
        <v>2033</v>
      </c>
      <c r="AA70" s="372">
        <v>2034</v>
      </c>
      <c r="AB70" s="372">
        <v>2035</v>
      </c>
      <c r="AC70" s="372">
        <v>2036</v>
      </c>
      <c r="AD70" s="372">
        <v>2037</v>
      </c>
      <c r="AE70" s="372">
        <v>2038</v>
      </c>
      <c r="AF70" s="372">
        <v>2039</v>
      </c>
      <c r="AG70" s="372">
        <v>2040</v>
      </c>
      <c r="AH70" s="372">
        <v>2041</v>
      </c>
      <c r="AI70" s="372">
        <v>2042</v>
      </c>
      <c r="AJ70" s="372">
        <v>2043</v>
      </c>
      <c r="AK70" s="372">
        <v>2044</v>
      </c>
      <c r="AL70" s="372">
        <v>2045</v>
      </c>
      <c r="AM70" s="372">
        <v>2046</v>
      </c>
      <c r="AN70" s="372">
        <v>2047</v>
      </c>
      <c r="AO70" s="372">
        <v>2048</v>
      </c>
      <c r="AP70" s="372">
        <v>2049</v>
      </c>
      <c r="AQ70" s="372">
        <v>2050</v>
      </c>
      <c r="AR70" s="372">
        <v>2051</v>
      </c>
      <c r="AS70" s="372">
        <v>2052</v>
      </c>
      <c r="AT70" s="372">
        <v>2053</v>
      </c>
      <c r="AU70" s="372">
        <v>2054</v>
      </c>
      <c r="AV70" s="372">
        <v>2055</v>
      </c>
      <c r="AW70" s="372">
        <v>2056</v>
      </c>
      <c r="AX70" s="372">
        <v>2057</v>
      </c>
      <c r="AY70" s="372">
        <v>2058</v>
      </c>
      <c r="AZ70" s="372">
        <v>2059</v>
      </c>
      <c r="BA70" s="372">
        <v>2060</v>
      </c>
      <c r="BB70" s="372">
        <v>2061</v>
      </c>
      <c r="BC70" s="372">
        <v>2062</v>
      </c>
      <c r="BD70" s="372">
        <v>2063</v>
      </c>
      <c r="BE70" s="372">
        <v>2064</v>
      </c>
      <c r="BF70" s="372">
        <v>2065</v>
      </c>
      <c r="BG70" s="372">
        <v>2066</v>
      </c>
      <c r="BH70" s="372">
        <v>2067</v>
      </c>
      <c r="BI70" s="372">
        <v>2068</v>
      </c>
      <c r="BJ70" s="372">
        <v>2069</v>
      </c>
      <c r="BK70" s="372">
        <v>2070</v>
      </c>
      <c r="BL70" s="372">
        <v>2071</v>
      </c>
      <c r="BM70" s="372">
        <v>2072</v>
      </c>
      <c r="BN70" s="372">
        <v>2073</v>
      </c>
      <c r="BO70" s="372">
        <v>2074</v>
      </c>
      <c r="BP70" s="372">
        <v>2075</v>
      </c>
      <c r="BQ70" s="372">
        <v>2076</v>
      </c>
      <c r="BR70" s="372">
        <v>2077</v>
      </c>
      <c r="BS70" s="372">
        <v>2078</v>
      </c>
      <c r="BT70" s="372">
        <v>2079</v>
      </c>
      <c r="BU70" s="372">
        <v>2080</v>
      </c>
      <c r="BV70" s="372">
        <v>2081</v>
      </c>
      <c r="BW70" s="372">
        <v>2082</v>
      </c>
      <c r="BX70" s="372">
        <v>2083</v>
      </c>
      <c r="BY70" s="372">
        <v>2084</v>
      </c>
      <c r="BZ70" s="372">
        <v>2085</v>
      </c>
      <c r="CA70" s="372">
        <v>2086</v>
      </c>
      <c r="CB70" s="372">
        <v>2087</v>
      </c>
      <c r="CC70" s="372">
        <v>2088</v>
      </c>
      <c r="CD70" s="372">
        <v>2089</v>
      </c>
    </row>
    <row r="71" spans="1:82" ht="15.5">
      <c r="A71" s="360"/>
      <c r="B71" s="373" t="s">
        <v>87</v>
      </c>
      <c r="C71" s="373" t="e">
        <f t="shared" ref="C71:AH71" si="25">(C38+C44+C50+C57+C64)</f>
        <v>#DIV/0!</v>
      </c>
      <c r="D71" s="373" t="e">
        <f t="shared" si="25"/>
        <v>#DIV/0!</v>
      </c>
      <c r="E71" s="373" t="e">
        <f t="shared" si="25"/>
        <v>#DIV/0!</v>
      </c>
      <c r="F71" s="373" t="e">
        <f t="shared" si="25"/>
        <v>#DIV/0!</v>
      </c>
      <c r="G71" s="373" t="e">
        <f t="shared" si="25"/>
        <v>#DIV/0!</v>
      </c>
      <c r="H71" s="373" t="e">
        <f t="shared" si="25"/>
        <v>#DIV/0!</v>
      </c>
      <c r="I71" s="373" t="e">
        <f t="shared" si="25"/>
        <v>#DIV/0!</v>
      </c>
      <c r="J71" s="373" t="e">
        <f t="shared" si="25"/>
        <v>#DIV/0!</v>
      </c>
      <c r="K71" s="373" t="e">
        <f t="shared" si="25"/>
        <v>#DIV/0!</v>
      </c>
      <c r="L71" s="373" t="e">
        <f>(L38+L44+L50+L57+L64)</f>
        <v>#DIV/0!</v>
      </c>
      <c r="M71" s="373" t="e">
        <f t="shared" si="25"/>
        <v>#DIV/0!</v>
      </c>
      <c r="N71" s="373" t="e">
        <f t="shared" si="25"/>
        <v>#DIV/0!</v>
      </c>
      <c r="O71" s="373" t="e">
        <f t="shared" si="25"/>
        <v>#DIV/0!</v>
      </c>
      <c r="P71" s="373" t="e">
        <f t="shared" si="25"/>
        <v>#DIV/0!</v>
      </c>
      <c r="Q71" s="373" t="e">
        <f t="shared" si="25"/>
        <v>#DIV/0!</v>
      </c>
      <c r="R71" s="373" t="e">
        <f t="shared" si="25"/>
        <v>#DIV/0!</v>
      </c>
      <c r="S71" s="373" t="e">
        <f t="shared" si="25"/>
        <v>#DIV/0!</v>
      </c>
      <c r="T71" s="373" t="e">
        <f t="shared" si="25"/>
        <v>#DIV/0!</v>
      </c>
      <c r="U71" s="373" t="e">
        <f t="shared" si="25"/>
        <v>#DIV/0!</v>
      </c>
      <c r="V71" s="373" t="e">
        <f t="shared" si="25"/>
        <v>#DIV/0!</v>
      </c>
      <c r="W71" s="373" t="e">
        <f t="shared" si="25"/>
        <v>#DIV/0!</v>
      </c>
      <c r="X71" s="373" t="e">
        <f t="shared" si="25"/>
        <v>#DIV/0!</v>
      </c>
      <c r="Y71" s="373" t="e">
        <f t="shared" si="25"/>
        <v>#DIV/0!</v>
      </c>
      <c r="Z71" s="373" t="e">
        <f t="shared" si="25"/>
        <v>#DIV/0!</v>
      </c>
      <c r="AA71" s="373" t="e">
        <f t="shared" si="25"/>
        <v>#DIV/0!</v>
      </c>
      <c r="AB71" s="373" t="e">
        <f t="shared" si="25"/>
        <v>#DIV/0!</v>
      </c>
      <c r="AC71" s="373" t="e">
        <f t="shared" si="25"/>
        <v>#DIV/0!</v>
      </c>
      <c r="AD71" s="373" t="e">
        <f t="shared" si="25"/>
        <v>#DIV/0!</v>
      </c>
      <c r="AE71" s="373" t="e">
        <f t="shared" si="25"/>
        <v>#DIV/0!</v>
      </c>
      <c r="AF71" s="373" t="e">
        <f t="shared" si="25"/>
        <v>#DIV/0!</v>
      </c>
      <c r="AG71" s="373" t="e">
        <f t="shared" si="25"/>
        <v>#DIV/0!</v>
      </c>
      <c r="AH71" s="373" t="e">
        <f t="shared" si="25"/>
        <v>#DIV/0!</v>
      </c>
      <c r="AI71" s="373" t="e">
        <f t="shared" ref="AI71:BN71" si="26">(AI38+AI44+AI50+AI57+AI64)</f>
        <v>#DIV/0!</v>
      </c>
      <c r="AJ71" s="373" t="e">
        <f t="shared" si="26"/>
        <v>#DIV/0!</v>
      </c>
      <c r="AK71" s="373" t="e">
        <f t="shared" si="26"/>
        <v>#DIV/0!</v>
      </c>
      <c r="AL71" s="373" t="e">
        <f t="shared" si="26"/>
        <v>#DIV/0!</v>
      </c>
      <c r="AM71" s="373" t="e">
        <f t="shared" si="26"/>
        <v>#DIV/0!</v>
      </c>
      <c r="AN71" s="373" t="e">
        <f t="shared" si="26"/>
        <v>#DIV/0!</v>
      </c>
      <c r="AO71" s="373" t="e">
        <f t="shared" si="26"/>
        <v>#DIV/0!</v>
      </c>
      <c r="AP71" s="373" t="e">
        <f t="shared" si="26"/>
        <v>#DIV/0!</v>
      </c>
      <c r="AQ71" s="373" t="e">
        <f t="shared" si="26"/>
        <v>#DIV/0!</v>
      </c>
      <c r="AR71" s="373" t="e">
        <f t="shared" si="26"/>
        <v>#DIV/0!</v>
      </c>
      <c r="AS71" s="373" t="e">
        <f t="shared" si="26"/>
        <v>#DIV/0!</v>
      </c>
      <c r="AT71" s="373" t="e">
        <f t="shared" si="26"/>
        <v>#DIV/0!</v>
      </c>
      <c r="AU71" s="373" t="e">
        <f t="shared" si="26"/>
        <v>#DIV/0!</v>
      </c>
      <c r="AV71" s="373" t="e">
        <f t="shared" si="26"/>
        <v>#DIV/0!</v>
      </c>
      <c r="AW71" s="373" t="e">
        <f t="shared" si="26"/>
        <v>#DIV/0!</v>
      </c>
      <c r="AX71" s="373" t="e">
        <f t="shared" si="26"/>
        <v>#DIV/0!</v>
      </c>
      <c r="AY71" s="373" t="e">
        <f t="shared" si="26"/>
        <v>#DIV/0!</v>
      </c>
      <c r="AZ71" s="373" t="e">
        <f t="shared" si="26"/>
        <v>#DIV/0!</v>
      </c>
      <c r="BA71" s="373" t="e">
        <f t="shared" si="26"/>
        <v>#DIV/0!</v>
      </c>
      <c r="BB71" s="373" t="e">
        <f t="shared" si="26"/>
        <v>#DIV/0!</v>
      </c>
      <c r="BC71" s="373" t="e">
        <f t="shared" si="26"/>
        <v>#DIV/0!</v>
      </c>
      <c r="BD71" s="373" t="e">
        <f t="shared" si="26"/>
        <v>#DIV/0!</v>
      </c>
      <c r="BE71" s="373" t="e">
        <f t="shared" si="26"/>
        <v>#DIV/0!</v>
      </c>
      <c r="BF71" s="373" t="e">
        <f t="shared" si="26"/>
        <v>#DIV/0!</v>
      </c>
      <c r="BG71" s="373" t="e">
        <f t="shared" si="26"/>
        <v>#DIV/0!</v>
      </c>
      <c r="BH71" s="373" t="e">
        <f t="shared" si="26"/>
        <v>#DIV/0!</v>
      </c>
      <c r="BI71" s="373" t="e">
        <f t="shared" si="26"/>
        <v>#DIV/0!</v>
      </c>
      <c r="BJ71" s="373" t="e">
        <f t="shared" si="26"/>
        <v>#DIV/0!</v>
      </c>
      <c r="BK71" s="373" t="e">
        <f t="shared" si="26"/>
        <v>#DIV/0!</v>
      </c>
      <c r="BL71" s="373" t="e">
        <f t="shared" si="26"/>
        <v>#DIV/0!</v>
      </c>
      <c r="BM71" s="373" t="e">
        <f t="shared" si="26"/>
        <v>#DIV/0!</v>
      </c>
      <c r="BN71" s="373" t="e">
        <f t="shared" si="26"/>
        <v>#DIV/0!</v>
      </c>
      <c r="BO71" s="373" t="e">
        <f t="shared" ref="BO71:CD71" si="27">(BO38+BO44+BO50+BO57+BO64)</f>
        <v>#DIV/0!</v>
      </c>
      <c r="BP71" s="373" t="e">
        <f t="shared" si="27"/>
        <v>#DIV/0!</v>
      </c>
      <c r="BQ71" s="373" t="e">
        <f t="shared" si="27"/>
        <v>#DIV/0!</v>
      </c>
      <c r="BR71" s="373" t="e">
        <f t="shared" si="27"/>
        <v>#DIV/0!</v>
      </c>
      <c r="BS71" s="373" t="e">
        <f t="shared" si="27"/>
        <v>#DIV/0!</v>
      </c>
      <c r="BT71" s="373" t="e">
        <f t="shared" si="27"/>
        <v>#DIV/0!</v>
      </c>
      <c r="BU71" s="373" t="e">
        <f t="shared" si="27"/>
        <v>#DIV/0!</v>
      </c>
      <c r="BV71" s="373" t="e">
        <f t="shared" si="27"/>
        <v>#DIV/0!</v>
      </c>
      <c r="BW71" s="373" t="e">
        <f t="shared" si="27"/>
        <v>#DIV/0!</v>
      </c>
      <c r="BX71" s="373" t="e">
        <f t="shared" si="27"/>
        <v>#DIV/0!</v>
      </c>
      <c r="BY71" s="373" t="e">
        <f t="shared" si="27"/>
        <v>#DIV/0!</v>
      </c>
      <c r="BZ71" s="373" t="e">
        <f t="shared" si="27"/>
        <v>#DIV/0!</v>
      </c>
      <c r="CA71" s="373" t="e">
        <f t="shared" si="27"/>
        <v>#DIV/0!</v>
      </c>
      <c r="CB71" s="373" t="e">
        <f t="shared" si="27"/>
        <v>#DIV/0!</v>
      </c>
      <c r="CC71" s="373" t="e">
        <f t="shared" si="27"/>
        <v>#DIV/0!</v>
      </c>
      <c r="CD71" s="373" t="e">
        <f t="shared" si="27"/>
        <v>#DIV/0!</v>
      </c>
    </row>
    <row r="72" spans="1:82" ht="15.5">
      <c r="A72" s="360"/>
      <c r="B72" s="373" t="s">
        <v>89</v>
      </c>
      <c r="C72" s="373" t="e">
        <f t="shared" ref="C72:AH72" si="28">(C39+C45+C51+C58+C65)</f>
        <v>#DIV/0!</v>
      </c>
      <c r="D72" s="373" t="e">
        <f t="shared" si="28"/>
        <v>#DIV/0!</v>
      </c>
      <c r="E72" s="373" t="e">
        <f t="shared" si="28"/>
        <v>#DIV/0!</v>
      </c>
      <c r="F72" s="373" t="e">
        <f t="shared" si="28"/>
        <v>#DIV/0!</v>
      </c>
      <c r="G72" s="373" t="e">
        <f t="shared" si="28"/>
        <v>#DIV/0!</v>
      </c>
      <c r="H72" s="373" t="e">
        <f t="shared" si="28"/>
        <v>#DIV/0!</v>
      </c>
      <c r="I72" s="373" t="e">
        <f>(I39+I45+I51+I58+I65)</f>
        <v>#DIV/0!</v>
      </c>
      <c r="J72" s="373" t="e">
        <f t="shared" si="28"/>
        <v>#DIV/0!</v>
      </c>
      <c r="K72" s="373" t="e">
        <f t="shared" si="28"/>
        <v>#DIV/0!</v>
      </c>
      <c r="L72" s="373" t="e">
        <f t="shared" si="28"/>
        <v>#DIV/0!</v>
      </c>
      <c r="M72" s="373" t="e">
        <f t="shared" si="28"/>
        <v>#DIV/0!</v>
      </c>
      <c r="N72" s="373" t="e">
        <f t="shared" si="28"/>
        <v>#DIV/0!</v>
      </c>
      <c r="O72" s="373" t="e">
        <f t="shared" si="28"/>
        <v>#DIV/0!</v>
      </c>
      <c r="P72" s="373" t="e">
        <f t="shared" si="28"/>
        <v>#DIV/0!</v>
      </c>
      <c r="Q72" s="373" t="e">
        <f t="shared" si="28"/>
        <v>#DIV/0!</v>
      </c>
      <c r="R72" s="373" t="e">
        <f t="shared" si="28"/>
        <v>#DIV/0!</v>
      </c>
      <c r="S72" s="373" t="e">
        <f t="shared" si="28"/>
        <v>#DIV/0!</v>
      </c>
      <c r="T72" s="373" t="e">
        <f t="shared" si="28"/>
        <v>#DIV/0!</v>
      </c>
      <c r="U72" s="373" t="e">
        <f t="shared" si="28"/>
        <v>#DIV/0!</v>
      </c>
      <c r="V72" s="373" t="e">
        <f t="shared" si="28"/>
        <v>#DIV/0!</v>
      </c>
      <c r="W72" s="373" t="e">
        <f t="shared" si="28"/>
        <v>#DIV/0!</v>
      </c>
      <c r="X72" s="373" t="e">
        <f t="shared" si="28"/>
        <v>#DIV/0!</v>
      </c>
      <c r="Y72" s="373" t="e">
        <f t="shared" si="28"/>
        <v>#DIV/0!</v>
      </c>
      <c r="Z72" s="373" t="e">
        <f t="shared" si="28"/>
        <v>#DIV/0!</v>
      </c>
      <c r="AA72" s="373" t="e">
        <f t="shared" si="28"/>
        <v>#DIV/0!</v>
      </c>
      <c r="AB72" s="373" t="e">
        <f t="shared" si="28"/>
        <v>#DIV/0!</v>
      </c>
      <c r="AC72" s="373" t="e">
        <f t="shared" si="28"/>
        <v>#DIV/0!</v>
      </c>
      <c r="AD72" s="373" t="e">
        <f t="shared" si="28"/>
        <v>#DIV/0!</v>
      </c>
      <c r="AE72" s="373" t="e">
        <f t="shared" si="28"/>
        <v>#DIV/0!</v>
      </c>
      <c r="AF72" s="373" t="e">
        <f t="shared" si="28"/>
        <v>#DIV/0!</v>
      </c>
      <c r="AG72" s="373" t="e">
        <f t="shared" si="28"/>
        <v>#DIV/0!</v>
      </c>
      <c r="AH72" s="373" t="e">
        <f t="shared" si="28"/>
        <v>#DIV/0!</v>
      </c>
      <c r="AI72" s="373" t="e">
        <f t="shared" ref="AI72:BN72" si="29">(AI39+AI45+AI51+AI58+AI65)</f>
        <v>#DIV/0!</v>
      </c>
      <c r="AJ72" s="373" t="e">
        <f t="shared" si="29"/>
        <v>#DIV/0!</v>
      </c>
      <c r="AK72" s="373" t="e">
        <f t="shared" si="29"/>
        <v>#DIV/0!</v>
      </c>
      <c r="AL72" s="373" t="e">
        <f t="shared" si="29"/>
        <v>#DIV/0!</v>
      </c>
      <c r="AM72" s="373" t="e">
        <f t="shared" si="29"/>
        <v>#DIV/0!</v>
      </c>
      <c r="AN72" s="373" t="e">
        <f t="shared" si="29"/>
        <v>#DIV/0!</v>
      </c>
      <c r="AO72" s="373" t="e">
        <f t="shared" si="29"/>
        <v>#DIV/0!</v>
      </c>
      <c r="AP72" s="373" t="e">
        <f t="shared" si="29"/>
        <v>#DIV/0!</v>
      </c>
      <c r="AQ72" s="373" t="e">
        <f t="shared" si="29"/>
        <v>#DIV/0!</v>
      </c>
      <c r="AR72" s="373" t="e">
        <f t="shared" si="29"/>
        <v>#DIV/0!</v>
      </c>
      <c r="AS72" s="373" t="e">
        <f t="shared" si="29"/>
        <v>#DIV/0!</v>
      </c>
      <c r="AT72" s="373" t="e">
        <f t="shared" si="29"/>
        <v>#DIV/0!</v>
      </c>
      <c r="AU72" s="373" t="e">
        <f t="shared" si="29"/>
        <v>#DIV/0!</v>
      </c>
      <c r="AV72" s="373" t="e">
        <f t="shared" si="29"/>
        <v>#DIV/0!</v>
      </c>
      <c r="AW72" s="373" t="e">
        <f t="shared" si="29"/>
        <v>#DIV/0!</v>
      </c>
      <c r="AX72" s="373" t="e">
        <f t="shared" si="29"/>
        <v>#DIV/0!</v>
      </c>
      <c r="AY72" s="373" t="e">
        <f t="shared" si="29"/>
        <v>#DIV/0!</v>
      </c>
      <c r="AZ72" s="373" t="e">
        <f t="shared" si="29"/>
        <v>#DIV/0!</v>
      </c>
      <c r="BA72" s="373" t="e">
        <f t="shared" si="29"/>
        <v>#DIV/0!</v>
      </c>
      <c r="BB72" s="373" t="e">
        <f t="shared" si="29"/>
        <v>#DIV/0!</v>
      </c>
      <c r="BC72" s="373" t="e">
        <f t="shared" si="29"/>
        <v>#DIV/0!</v>
      </c>
      <c r="BD72" s="373" t="e">
        <f t="shared" si="29"/>
        <v>#DIV/0!</v>
      </c>
      <c r="BE72" s="373" t="e">
        <f t="shared" si="29"/>
        <v>#DIV/0!</v>
      </c>
      <c r="BF72" s="373" t="e">
        <f t="shared" si="29"/>
        <v>#DIV/0!</v>
      </c>
      <c r="BG72" s="373" t="e">
        <f t="shared" si="29"/>
        <v>#DIV/0!</v>
      </c>
      <c r="BH72" s="373" t="e">
        <f t="shared" si="29"/>
        <v>#DIV/0!</v>
      </c>
      <c r="BI72" s="373" t="e">
        <f t="shared" si="29"/>
        <v>#DIV/0!</v>
      </c>
      <c r="BJ72" s="373" t="e">
        <f t="shared" si="29"/>
        <v>#DIV/0!</v>
      </c>
      <c r="BK72" s="373" t="e">
        <f t="shared" si="29"/>
        <v>#DIV/0!</v>
      </c>
      <c r="BL72" s="373" t="e">
        <f t="shared" si="29"/>
        <v>#DIV/0!</v>
      </c>
      <c r="BM72" s="373" t="e">
        <f t="shared" si="29"/>
        <v>#DIV/0!</v>
      </c>
      <c r="BN72" s="373" t="e">
        <f t="shared" si="29"/>
        <v>#DIV/0!</v>
      </c>
      <c r="BO72" s="373" t="e">
        <f t="shared" ref="BO72:CD72" si="30">(BO39+BO45+BO51+BO58+BO65)</f>
        <v>#DIV/0!</v>
      </c>
      <c r="BP72" s="373" t="e">
        <f t="shared" si="30"/>
        <v>#DIV/0!</v>
      </c>
      <c r="BQ72" s="373" t="e">
        <f t="shared" si="30"/>
        <v>#DIV/0!</v>
      </c>
      <c r="BR72" s="373" t="e">
        <f t="shared" si="30"/>
        <v>#DIV/0!</v>
      </c>
      <c r="BS72" s="373" t="e">
        <f t="shared" si="30"/>
        <v>#DIV/0!</v>
      </c>
      <c r="BT72" s="373" t="e">
        <f t="shared" si="30"/>
        <v>#DIV/0!</v>
      </c>
      <c r="BU72" s="373" t="e">
        <f t="shared" si="30"/>
        <v>#DIV/0!</v>
      </c>
      <c r="BV72" s="373" t="e">
        <f t="shared" si="30"/>
        <v>#DIV/0!</v>
      </c>
      <c r="BW72" s="373" t="e">
        <f t="shared" si="30"/>
        <v>#DIV/0!</v>
      </c>
      <c r="BX72" s="373" t="e">
        <f t="shared" si="30"/>
        <v>#DIV/0!</v>
      </c>
      <c r="BY72" s="373" t="e">
        <f t="shared" si="30"/>
        <v>#DIV/0!</v>
      </c>
      <c r="BZ72" s="373" t="e">
        <f t="shared" si="30"/>
        <v>#DIV/0!</v>
      </c>
      <c r="CA72" s="373" t="e">
        <f t="shared" si="30"/>
        <v>#DIV/0!</v>
      </c>
      <c r="CB72" s="373" t="e">
        <f t="shared" si="30"/>
        <v>#DIV/0!</v>
      </c>
      <c r="CC72" s="373" t="e">
        <f t="shared" si="30"/>
        <v>#DIV/0!</v>
      </c>
      <c r="CD72" s="373" t="e">
        <f t="shared" si="30"/>
        <v>#DIV/0!</v>
      </c>
    </row>
    <row r="73" spans="1:82" ht="15.5">
      <c r="A73" s="360"/>
      <c r="B73" s="373" t="s">
        <v>91</v>
      </c>
      <c r="C73" s="373" t="e">
        <f t="shared" ref="C73:AH73" si="31">(C40+C46+C52+C59+C66)</f>
        <v>#DIV/0!</v>
      </c>
      <c r="D73" s="373" t="e">
        <f t="shared" si="31"/>
        <v>#DIV/0!</v>
      </c>
      <c r="E73" s="373" t="e">
        <f t="shared" si="31"/>
        <v>#DIV/0!</v>
      </c>
      <c r="F73" s="373" t="e">
        <f t="shared" si="31"/>
        <v>#DIV/0!</v>
      </c>
      <c r="G73" s="373" t="e">
        <f t="shared" si="31"/>
        <v>#DIV/0!</v>
      </c>
      <c r="H73" s="373" t="e">
        <f t="shared" si="31"/>
        <v>#DIV/0!</v>
      </c>
      <c r="I73" s="373" t="e">
        <f t="shared" si="31"/>
        <v>#DIV/0!</v>
      </c>
      <c r="J73" s="373" t="e">
        <f t="shared" si="31"/>
        <v>#DIV/0!</v>
      </c>
      <c r="K73" s="373" t="e">
        <f t="shared" si="31"/>
        <v>#DIV/0!</v>
      </c>
      <c r="L73" s="373" t="e">
        <f t="shared" si="31"/>
        <v>#DIV/0!</v>
      </c>
      <c r="M73" s="373" t="e">
        <f t="shared" si="31"/>
        <v>#DIV/0!</v>
      </c>
      <c r="N73" s="373" t="e">
        <f t="shared" si="31"/>
        <v>#DIV/0!</v>
      </c>
      <c r="O73" s="373" t="e">
        <f t="shared" si="31"/>
        <v>#DIV/0!</v>
      </c>
      <c r="P73" s="373" t="e">
        <f t="shared" si="31"/>
        <v>#DIV/0!</v>
      </c>
      <c r="Q73" s="373" t="e">
        <f t="shared" si="31"/>
        <v>#DIV/0!</v>
      </c>
      <c r="R73" s="373" t="e">
        <f t="shared" si="31"/>
        <v>#DIV/0!</v>
      </c>
      <c r="S73" s="373" t="e">
        <f t="shared" si="31"/>
        <v>#DIV/0!</v>
      </c>
      <c r="T73" s="373" t="e">
        <f t="shared" si="31"/>
        <v>#DIV/0!</v>
      </c>
      <c r="U73" s="373" t="e">
        <f t="shared" si="31"/>
        <v>#DIV/0!</v>
      </c>
      <c r="V73" s="373" t="e">
        <f t="shared" si="31"/>
        <v>#DIV/0!</v>
      </c>
      <c r="W73" s="373" t="e">
        <f t="shared" si="31"/>
        <v>#DIV/0!</v>
      </c>
      <c r="X73" s="373" t="e">
        <f t="shared" si="31"/>
        <v>#DIV/0!</v>
      </c>
      <c r="Y73" s="373" t="e">
        <f t="shared" si="31"/>
        <v>#DIV/0!</v>
      </c>
      <c r="Z73" s="373" t="e">
        <f t="shared" si="31"/>
        <v>#DIV/0!</v>
      </c>
      <c r="AA73" s="373" t="e">
        <f t="shared" si="31"/>
        <v>#DIV/0!</v>
      </c>
      <c r="AB73" s="373" t="e">
        <f t="shared" si="31"/>
        <v>#DIV/0!</v>
      </c>
      <c r="AC73" s="373" t="e">
        <f t="shared" si="31"/>
        <v>#DIV/0!</v>
      </c>
      <c r="AD73" s="373" t="e">
        <f t="shared" si="31"/>
        <v>#DIV/0!</v>
      </c>
      <c r="AE73" s="373" t="e">
        <f t="shared" si="31"/>
        <v>#DIV/0!</v>
      </c>
      <c r="AF73" s="373" t="e">
        <f t="shared" si="31"/>
        <v>#DIV/0!</v>
      </c>
      <c r="AG73" s="373" t="e">
        <f t="shared" si="31"/>
        <v>#DIV/0!</v>
      </c>
      <c r="AH73" s="373" t="e">
        <f t="shared" si="31"/>
        <v>#DIV/0!</v>
      </c>
      <c r="AI73" s="373" t="e">
        <f t="shared" ref="AI73:BN73" si="32">(AI40+AI46+AI52+AI59+AI66)</f>
        <v>#DIV/0!</v>
      </c>
      <c r="AJ73" s="373" t="e">
        <f t="shared" si="32"/>
        <v>#DIV/0!</v>
      </c>
      <c r="AK73" s="373" t="e">
        <f t="shared" si="32"/>
        <v>#DIV/0!</v>
      </c>
      <c r="AL73" s="373" t="e">
        <f t="shared" si="32"/>
        <v>#DIV/0!</v>
      </c>
      <c r="AM73" s="373" t="e">
        <f t="shared" si="32"/>
        <v>#DIV/0!</v>
      </c>
      <c r="AN73" s="373" t="e">
        <f t="shared" si="32"/>
        <v>#DIV/0!</v>
      </c>
      <c r="AO73" s="373" t="e">
        <f t="shared" si="32"/>
        <v>#DIV/0!</v>
      </c>
      <c r="AP73" s="373" t="e">
        <f t="shared" si="32"/>
        <v>#DIV/0!</v>
      </c>
      <c r="AQ73" s="373" t="e">
        <f t="shared" si="32"/>
        <v>#DIV/0!</v>
      </c>
      <c r="AR73" s="373" t="e">
        <f t="shared" si="32"/>
        <v>#DIV/0!</v>
      </c>
      <c r="AS73" s="373" t="e">
        <f t="shared" si="32"/>
        <v>#DIV/0!</v>
      </c>
      <c r="AT73" s="373" t="e">
        <f t="shared" si="32"/>
        <v>#DIV/0!</v>
      </c>
      <c r="AU73" s="373" t="e">
        <f t="shared" si="32"/>
        <v>#DIV/0!</v>
      </c>
      <c r="AV73" s="373" t="e">
        <f t="shared" si="32"/>
        <v>#DIV/0!</v>
      </c>
      <c r="AW73" s="373" t="e">
        <f t="shared" si="32"/>
        <v>#DIV/0!</v>
      </c>
      <c r="AX73" s="373" t="e">
        <f t="shared" si="32"/>
        <v>#DIV/0!</v>
      </c>
      <c r="AY73" s="373" t="e">
        <f t="shared" si="32"/>
        <v>#DIV/0!</v>
      </c>
      <c r="AZ73" s="373" t="e">
        <f t="shared" si="32"/>
        <v>#DIV/0!</v>
      </c>
      <c r="BA73" s="373" t="e">
        <f t="shared" si="32"/>
        <v>#DIV/0!</v>
      </c>
      <c r="BB73" s="373" t="e">
        <f t="shared" si="32"/>
        <v>#DIV/0!</v>
      </c>
      <c r="BC73" s="373" t="e">
        <f t="shared" si="32"/>
        <v>#DIV/0!</v>
      </c>
      <c r="BD73" s="373" t="e">
        <f t="shared" si="32"/>
        <v>#DIV/0!</v>
      </c>
      <c r="BE73" s="373" t="e">
        <f t="shared" si="32"/>
        <v>#DIV/0!</v>
      </c>
      <c r="BF73" s="373" t="e">
        <f t="shared" si="32"/>
        <v>#DIV/0!</v>
      </c>
      <c r="BG73" s="373" t="e">
        <f t="shared" si="32"/>
        <v>#DIV/0!</v>
      </c>
      <c r="BH73" s="373" t="e">
        <f t="shared" si="32"/>
        <v>#DIV/0!</v>
      </c>
      <c r="BI73" s="373" t="e">
        <f t="shared" si="32"/>
        <v>#DIV/0!</v>
      </c>
      <c r="BJ73" s="373" t="e">
        <f t="shared" si="32"/>
        <v>#DIV/0!</v>
      </c>
      <c r="BK73" s="373" t="e">
        <f t="shared" si="32"/>
        <v>#DIV/0!</v>
      </c>
      <c r="BL73" s="373" t="e">
        <f t="shared" si="32"/>
        <v>#DIV/0!</v>
      </c>
      <c r="BM73" s="373" t="e">
        <f t="shared" si="32"/>
        <v>#DIV/0!</v>
      </c>
      <c r="BN73" s="373" t="e">
        <f t="shared" si="32"/>
        <v>#DIV/0!</v>
      </c>
      <c r="BO73" s="373" t="e">
        <f t="shared" ref="BO73:CD73" si="33">(BO40+BO46+BO52+BO59+BO66)</f>
        <v>#DIV/0!</v>
      </c>
      <c r="BP73" s="373" t="e">
        <f t="shared" si="33"/>
        <v>#DIV/0!</v>
      </c>
      <c r="BQ73" s="373" t="e">
        <f t="shared" si="33"/>
        <v>#DIV/0!</v>
      </c>
      <c r="BR73" s="373" t="e">
        <f t="shared" si="33"/>
        <v>#DIV/0!</v>
      </c>
      <c r="BS73" s="373" t="e">
        <f t="shared" si="33"/>
        <v>#DIV/0!</v>
      </c>
      <c r="BT73" s="373" t="e">
        <f t="shared" si="33"/>
        <v>#DIV/0!</v>
      </c>
      <c r="BU73" s="373" t="e">
        <f t="shared" si="33"/>
        <v>#DIV/0!</v>
      </c>
      <c r="BV73" s="373" t="e">
        <f t="shared" si="33"/>
        <v>#DIV/0!</v>
      </c>
      <c r="BW73" s="373" t="e">
        <f t="shared" si="33"/>
        <v>#DIV/0!</v>
      </c>
      <c r="BX73" s="373" t="e">
        <f t="shared" si="33"/>
        <v>#DIV/0!</v>
      </c>
      <c r="BY73" s="373" t="e">
        <f t="shared" si="33"/>
        <v>#DIV/0!</v>
      </c>
      <c r="BZ73" s="373" t="e">
        <f t="shared" si="33"/>
        <v>#DIV/0!</v>
      </c>
      <c r="CA73" s="373" t="e">
        <f t="shared" si="33"/>
        <v>#DIV/0!</v>
      </c>
      <c r="CB73" s="373" t="e">
        <f t="shared" si="33"/>
        <v>#DIV/0!</v>
      </c>
      <c r="CC73" s="373" t="e">
        <f t="shared" si="33"/>
        <v>#DIV/0!</v>
      </c>
      <c r="CD73" s="373" t="e">
        <f t="shared" si="33"/>
        <v>#DIV/0!</v>
      </c>
    </row>
    <row r="74" spans="1:82" ht="15.5">
      <c r="A74" s="360"/>
      <c r="B74" s="700" t="s">
        <v>93</v>
      </c>
      <c r="C74" s="373" t="e">
        <f t="shared" ref="C74:AH74" si="34">(C41+C47+C53+C60+C67)</f>
        <v>#DIV/0!</v>
      </c>
      <c r="D74" s="373" t="e">
        <f t="shared" si="34"/>
        <v>#DIV/0!</v>
      </c>
      <c r="E74" s="373" t="e">
        <f t="shared" si="34"/>
        <v>#DIV/0!</v>
      </c>
      <c r="F74" s="373" t="e">
        <f t="shared" si="34"/>
        <v>#DIV/0!</v>
      </c>
      <c r="G74" s="373" t="e">
        <f t="shared" si="34"/>
        <v>#DIV/0!</v>
      </c>
      <c r="H74" s="373" t="e">
        <f t="shared" si="34"/>
        <v>#DIV/0!</v>
      </c>
      <c r="I74" s="373" t="e">
        <f t="shared" si="34"/>
        <v>#DIV/0!</v>
      </c>
      <c r="J74" s="373" t="e">
        <f t="shared" si="34"/>
        <v>#DIV/0!</v>
      </c>
      <c r="K74" s="373" t="e">
        <f t="shared" si="34"/>
        <v>#DIV/0!</v>
      </c>
      <c r="L74" s="373" t="e">
        <f t="shared" si="34"/>
        <v>#DIV/0!</v>
      </c>
      <c r="M74" s="373" t="e">
        <f t="shared" si="34"/>
        <v>#DIV/0!</v>
      </c>
      <c r="N74" s="373" t="e">
        <f t="shared" si="34"/>
        <v>#DIV/0!</v>
      </c>
      <c r="O74" s="373" t="e">
        <f t="shared" si="34"/>
        <v>#DIV/0!</v>
      </c>
      <c r="P74" s="373" t="e">
        <f t="shared" si="34"/>
        <v>#DIV/0!</v>
      </c>
      <c r="Q74" s="373" t="e">
        <f t="shared" si="34"/>
        <v>#DIV/0!</v>
      </c>
      <c r="R74" s="373" t="e">
        <f t="shared" si="34"/>
        <v>#DIV/0!</v>
      </c>
      <c r="S74" s="373" t="e">
        <f t="shared" si="34"/>
        <v>#DIV/0!</v>
      </c>
      <c r="T74" s="373" t="e">
        <f t="shared" si="34"/>
        <v>#DIV/0!</v>
      </c>
      <c r="U74" s="373" t="e">
        <f t="shared" si="34"/>
        <v>#DIV/0!</v>
      </c>
      <c r="V74" s="373" t="e">
        <f t="shared" si="34"/>
        <v>#DIV/0!</v>
      </c>
      <c r="W74" s="373" t="e">
        <f t="shared" si="34"/>
        <v>#DIV/0!</v>
      </c>
      <c r="X74" s="373" t="e">
        <f t="shared" si="34"/>
        <v>#DIV/0!</v>
      </c>
      <c r="Y74" s="373" t="e">
        <f t="shared" si="34"/>
        <v>#DIV/0!</v>
      </c>
      <c r="Z74" s="373" t="e">
        <f t="shared" si="34"/>
        <v>#DIV/0!</v>
      </c>
      <c r="AA74" s="373" t="e">
        <f t="shared" si="34"/>
        <v>#DIV/0!</v>
      </c>
      <c r="AB74" s="373" t="e">
        <f t="shared" si="34"/>
        <v>#DIV/0!</v>
      </c>
      <c r="AC74" s="373" t="e">
        <f t="shared" si="34"/>
        <v>#DIV/0!</v>
      </c>
      <c r="AD74" s="373" t="e">
        <f t="shared" si="34"/>
        <v>#DIV/0!</v>
      </c>
      <c r="AE74" s="373" t="e">
        <f t="shared" si="34"/>
        <v>#DIV/0!</v>
      </c>
      <c r="AF74" s="373" t="e">
        <f t="shared" si="34"/>
        <v>#DIV/0!</v>
      </c>
      <c r="AG74" s="373" t="e">
        <f t="shared" si="34"/>
        <v>#DIV/0!</v>
      </c>
      <c r="AH74" s="373" t="e">
        <f t="shared" si="34"/>
        <v>#DIV/0!</v>
      </c>
      <c r="AI74" s="373" t="e">
        <f t="shared" ref="AI74:BN74" si="35">(AI41+AI47+AI53+AI60+AI67)</f>
        <v>#DIV/0!</v>
      </c>
      <c r="AJ74" s="373" t="e">
        <f t="shared" si="35"/>
        <v>#DIV/0!</v>
      </c>
      <c r="AK74" s="373" t="e">
        <f t="shared" si="35"/>
        <v>#DIV/0!</v>
      </c>
      <c r="AL74" s="373" t="e">
        <f t="shared" si="35"/>
        <v>#DIV/0!</v>
      </c>
      <c r="AM74" s="373" t="e">
        <f t="shared" si="35"/>
        <v>#DIV/0!</v>
      </c>
      <c r="AN74" s="373" t="e">
        <f t="shared" si="35"/>
        <v>#DIV/0!</v>
      </c>
      <c r="AO74" s="373" t="e">
        <f t="shared" si="35"/>
        <v>#DIV/0!</v>
      </c>
      <c r="AP74" s="373" t="e">
        <f t="shared" si="35"/>
        <v>#DIV/0!</v>
      </c>
      <c r="AQ74" s="373" t="e">
        <f t="shared" si="35"/>
        <v>#DIV/0!</v>
      </c>
      <c r="AR74" s="373" t="e">
        <f t="shared" si="35"/>
        <v>#DIV/0!</v>
      </c>
      <c r="AS74" s="373" t="e">
        <f t="shared" si="35"/>
        <v>#DIV/0!</v>
      </c>
      <c r="AT74" s="373" t="e">
        <f t="shared" si="35"/>
        <v>#DIV/0!</v>
      </c>
      <c r="AU74" s="373" t="e">
        <f t="shared" si="35"/>
        <v>#DIV/0!</v>
      </c>
      <c r="AV74" s="373" t="e">
        <f t="shared" si="35"/>
        <v>#DIV/0!</v>
      </c>
      <c r="AW74" s="373" t="e">
        <f t="shared" si="35"/>
        <v>#DIV/0!</v>
      </c>
      <c r="AX74" s="373" t="e">
        <f t="shared" si="35"/>
        <v>#DIV/0!</v>
      </c>
      <c r="AY74" s="373" t="e">
        <f t="shared" si="35"/>
        <v>#DIV/0!</v>
      </c>
      <c r="AZ74" s="373" t="e">
        <f t="shared" si="35"/>
        <v>#DIV/0!</v>
      </c>
      <c r="BA74" s="373" t="e">
        <f t="shared" si="35"/>
        <v>#DIV/0!</v>
      </c>
      <c r="BB74" s="373" t="e">
        <f t="shared" si="35"/>
        <v>#DIV/0!</v>
      </c>
      <c r="BC74" s="373" t="e">
        <f t="shared" si="35"/>
        <v>#DIV/0!</v>
      </c>
      <c r="BD74" s="373" t="e">
        <f t="shared" si="35"/>
        <v>#DIV/0!</v>
      </c>
      <c r="BE74" s="373" t="e">
        <f t="shared" si="35"/>
        <v>#DIV/0!</v>
      </c>
      <c r="BF74" s="373" t="e">
        <f t="shared" si="35"/>
        <v>#DIV/0!</v>
      </c>
      <c r="BG74" s="373" t="e">
        <f t="shared" si="35"/>
        <v>#DIV/0!</v>
      </c>
      <c r="BH74" s="373" t="e">
        <f t="shared" si="35"/>
        <v>#DIV/0!</v>
      </c>
      <c r="BI74" s="373" t="e">
        <f t="shared" si="35"/>
        <v>#DIV/0!</v>
      </c>
      <c r="BJ74" s="373" t="e">
        <f t="shared" si="35"/>
        <v>#DIV/0!</v>
      </c>
      <c r="BK74" s="373" t="e">
        <f t="shared" si="35"/>
        <v>#DIV/0!</v>
      </c>
      <c r="BL74" s="373" t="e">
        <f t="shared" si="35"/>
        <v>#DIV/0!</v>
      </c>
      <c r="BM74" s="373" t="e">
        <f t="shared" si="35"/>
        <v>#DIV/0!</v>
      </c>
      <c r="BN74" s="373" t="e">
        <f t="shared" si="35"/>
        <v>#DIV/0!</v>
      </c>
      <c r="BO74" s="373" t="e">
        <f t="shared" ref="BO74:CD74" si="36">(BO41+BO47+BO53+BO60+BO67)</f>
        <v>#DIV/0!</v>
      </c>
      <c r="BP74" s="373" t="e">
        <f t="shared" si="36"/>
        <v>#DIV/0!</v>
      </c>
      <c r="BQ74" s="373" t="e">
        <f t="shared" si="36"/>
        <v>#DIV/0!</v>
      </c>
      <c r="BR74" s="373" t="e">
        <f t="shared" si="36"/>
        <v>#DIV/0!</v>
      </c>
      <c r="BS74" s="373" t="e">
        <f t="shared" si="36"/>
        <v>#DIV/0!</v>
      </c>
      <c r="BT74" s="373" t="e">
        <f t="shared" si="36"/>
        <v>#DIV/0!</v>
      </c>
      <c r="BU74" s="373" t="e">
        <f t="shared" si="36"/>
        <v>#DIV/0!</v>
      </c>
      <c r="BV74" s="373" t="e">
        <f t="shared" si="36"/>
        <v>#DIV/0!</v>
      </c>
      <c r="BW74" s="373" t="e">
        <f t="shared" si="36"/>
        <v>#DIV/0!</v>
      </c>
      <c r="BX74" s="373" t="e">
        <f t="shared" si="36"/>
        <v>#DIV/0!</v>
      </c>
      <c r="BY74" s="373" t="e">
        <f t="shared" si="36"/>
        <v>#DIV/0!</v>
      </c>
      <c r="BZ74" s="373" t="e">
        <f t="shared" si="36"/>
        <v>#DIV/0!</v>
      </c>
      <c r="CA74" s="373" t="e">
        <f t="shared" si="36"/>
        <v>#DIV/0!</v>
      </c>
      <c r="CB74" s="373" t="e">
        <f t="shared" si="36"/>
        <v>#DIV/0!</v>
      </c>
      <c r="CC74" s="373" t="e">
        <f t="shared" si="36"/>
        <v>#DIV/0!</v>
      </c>
      <c r="CD74" s="373" t="e">
        <f t="shared" si="36"/>
        <v>#DIV/0!</v>
      </c>
    </row>
    <row r="75" spans="1:82" ht="15.5">
      <c r="A75" s="360"/>
      <c r="B75" s="373" t="s">
        <v>166</v>
      </c>
      <c r="C75" s="373">
        <f>C33</f>
        <v>0</v>
      </c>
      <c r="D75" s="373">
        <f t="shared" ref="D75:BO75" si="37">D33</f>
        <v>0</v>
      </c>
      <c r="E75" s="373">
        <f t="shared" si="37"/>
        <v>0</v>
      </c>
      <c r="F75" s="373">
        <f t="shared" si="37"/>
        <v>0</v>
      </c>
      <c r="G75" s="373">
        <f t="shared" si="37"/>
        <v>0</v>
      </c>
      <c r="H75" s="373">
        <f t="shared" si="37"/>
        <v>0</v>
      </c>
      <c r="I75" s="373">
        <f t="shared" si="37"/>
        <v>0</v>
      </c>
      <c r="J75" s="373">
        <f t="shared" si="37"/>
        <v>0</v>
      </c>
      <c r="K75" s="373">
        <f t="shared" si="37"/>
        <v>0</v>
      </c>
      <c r="L75" s="373">
        <f t="shared" si="37"/>
        <v>0</v>
      </c>
      <c r="M75" s="373">
        <f>M33</f>
        <v>0</v>
      </c>
      <c r="N75" s="373">
        <f t="shared" si="37"/>
        <v>0</v>
      </c>
      <c r="O75" s="373">
        <f t="shared" si="37"/>
        <v>0</v>
      </c>
      <c r="P75" s="373">
        <f t="shared" si="37"/>
        <v>0</v>
      </c>
      <c r="Q75" s="373">
        <f t="shared" si="37"/>
        <v>0</v>
      </c>
      <c r="R75" s="373">
        <f t="shared" si="37"/>
        <v>0</v>
      </c>
      <c r="S75" s="373">
        <f t="shared" si="37"/>
        <v>0</v>
      </c>
      <c r="T75" s="373">
        <f t="shared" si="37"/>
        <v>0</v>
      </c>
      <c r="U75" s="373">
        <f t="shared" si="37"/>
        <v>0</v>
      </c>
      <c r="V75" s="373">
        <f t="shared" si="37"/>
        <v>0</v>
      </c>
      <c r="W75" s="373">
        <f t="shared" si="37"/>
        <v>0</v>
      </c>
      <c r="X75" s="373">
        <f t="shared" si="37"/>
        <v>0</v>
      </c>
      <c r="Y75" s="373">
        <f t="shared" si="37"/>
        <v>0</v>
      </c>
      <c r="Z75" s="373">
        <f t="shared" si="37"/>
        <v>0</v>
      </c>
      <c r="AA75" s="373">
        <f t="shared" si="37"/>
        <v>0</v>
      </c>
      <c r="AB75" s="373">
        <f t="shared" si="37"/>
        <v>0</v>
      </c>
      <c r="AC75" s="373">
        <f t="shared" si="37"/>
        <v>0</v>
      </c>
      <c r="AD75" s="373">
        <f t="shared" si="37"/>
        <v>0</v>
      </c>
      <c r="AE75" s="373">
        <f t="shared" si="37"/>
        <v>0</v>
      </c>
      <c r="AF75" s="373">
        <f t="shared" si="37"/>
        <v>0</v>
      </c>
      <c r="AG75" s="373">
        <f t="shared" si="37"/>
        <v>0</v>
      </c>
      <c r="AH75" s="373">
        <f t="shared" si="37"/>
        <v>0</v>
      </c>
      <c r="AI75" s="373">
        <f t="shared" si="37"/>
        <v>0</v>
      </c>
      <c r="AJ75" s="373">
        <f t="shared" si="37"/>
        <v>0</v>
      </c>
      <c r="AK75" s="373">
        <f t="shared" si="37"/>
        <v>0</v>
      </c>
      <c r="AL75" s="373">
        <f t="shared" si="37"/>
        <v>0</v>
      </c>
      <c r="AM75" s="373">
        <f t="shared" si="37"/>
        <v>0</v>
      </c>
      <c r="AN75" s="373">
        <f t="shared" si="37"/>
        <v>0</v>
      </c>
      <c r="AO75" s="373">
        <f t="shared" si="37"/>
        <v>0</v>
      </c>
      <c r="AP75" s="373">
        <f t="shared" si="37"/>
        <v>0</v>
      </c>
      <c r="AQ75" s="373">
        <f t="shared" si="37"/>
        <v>0</v>
      </c>
      <c r="AR75" s="373">
        <f t="shared" si="37"/>
        <v>0</v>
      </c>
      <c r="AS75" s="373">
        <f t="shared" si="37"/>
        <v>0</v>
      </c>
      <c r="AT75" s="373">
        <f t="shared" si="37"/>
        <v>0</v>
      </c>
      <c r="AU75" s="373">
        <f t="shared" si="37"/>
        <v>0</v>
      </c>
      <c r="AV75" s="373">
        <f t="shared" si="37"/>
        <v>0</v>
      </c>
      <c r="AW75" s="373">
        <f t="shared" si="37"/>
        <v>0</v>
      </c>
      <c r="AX75" s="373">
        <f t="shared" si="37"/>
        <v>0</v>
      </c>
      <c r="AY75" s="373">
        <f t="shared" si="37"/>
        <v>0</v>
      </c>
      <c r="AZ75" s="373">
        <f t="shared" si="37"/>
        <v>0</v>
      </c>
      <c r="BA75" s="373">
        <f t="shared" si="37"/>
        <v>0</v>
      </c>
      <c r="BB75" s="373">
        <f t="shared" si="37"/>
        <v>0</v>
      </c>
      <c r="BC75" s="373">
        <f t="shared" si="37"/>
        <v>0</v>
      </c>
      <c r="BD75" s="373">
        <f t="shared" si="37"/>
        <v>0</v>
      </c>
      <c r="BE75" s="373">
        <f t="shared" si="37"/>
        <v>0</v>
      </c>
      <c r="BF75" s="373">
        <f t="shared" si="37"/>
        <v>0</v>
      </c>
      <c r="BG75" s="373">
        <f t="shared" si="37"/>
        <v>0</v>
      </c>
      <c r="BH75" s="373">
        <f t="shared" si="37"/>
        <v>0</v>
      </c>
      <c r="BI75" s="373">
        <f t="shared" si="37"/>
        <v>0</v>
      </c>
      <c r="BJ75" s="373">
        <f t="shared" si="37"/>
        <v>0</v>
      </c>
      <c r="BK75" s="373">
        <f t="shared" si="37"/>
        <v>0</v>
      </c>
      <c r="BL75" s="373">
        <f t="shared" si="37"/>
        <v>0</v>
      </c>
      <c r="BM75" s="373">
        <f t="shared" si="37"/>
        <v>0</v>
      </c>
      <c r="BN75" s="373">
        <f t="shared" si="37"/>
        <v>0</v>
      </c>
      <c r="BO75" s="373">
        <f t="shared" si="37"/>
        <v>0</v>
      </c>
      <c r="BP75" s="373">
        <f t="shared" ref="BP75:CD75" si="38">BP33</f>
        <v>0</v>
      </c>
      <c r="BQ75" s="373">
        <f t="shared" si="38"/>
        <v>0</v>
      </c>
      <c r="BR75" s="373">
        <f t="shared" si="38"/>
        <v>0</v>
      </c>
      <c r="BS75" s="373">
        <f t="shared" si="38"/>
        <v>0</v>
      </c>
      <c r="BT75" s="373">
        <f t="shared" si="38"/>
        <v>0</v>
      </c>
      <c r="BU75" s="373">
        <f t="shared" si="38"/>
        <v>0</v>
      </c>
      <c r="BV75" s="373">
        <f t="shared" si="38"/>
        <v>0</v>
      </c>
      <c r="BW75" s="373">
        <f t="shared" si="38"/>
        <v>0</v>
      </c>
      <c r="BX75" s="373">
        <f t="shared" si="38"/>
        <v>0</v>
      </c>
      <c r="BY75" s="373">
        <f t="shared" si="38"/>
        <v>0</v>
      </c>
      <c r="BZ75" s="373">
        <f t="shared" si="38"/>
        <v>0</v>
      </c>
      <c r="CA75" s="373">
        <f t="shared" si="38"/>
        <v>0</v>
      </c>
      <c r="CB75" s="373">
        <f t="shared" si="38"/>
        <v>0</v>
      </c>
      <c r="CC75" s="373">
        <f t="shared" si="38"/>
        <v>0</v>
      </c>
      <c r="CD75" s="373">
        <f t="shared" si="38"/>
        <v>0</v>
      </c>
    </row>
    <row r="76" spans="1:82" ht="15.5">
      <c r="A76" s="360"/>
    </row>
    <row r="78" spans="1:82">
      <c r="A78" s="370"/>
    </row>
    <row r="79" spans="1:82">
      <c r="A79" s="370"/>
    </row>
    <row r="80" spans="1:82">
      <c r="A80" s="370"/>
    </row>
    <row r="81" spans="1:1">
      <c r="A81" s="370"/>
    </row>
    <row r="82" spans="1:1">
      <c r="A82" s="370"/>
    </row>
    <row r="83" spans="1:1">
      <c r="A83" s="370"/>
    </row>
    <row r="84" spans="1:1">
      <c r="A84" s="370"/>
    </row>
    <row r="85" spans="1:1">
      <c r="A85" s="370"/>
    </row>
    <row r="86" spans="1:1">
      <c r="A86" s="370"/>
    </row>
    <row r="87" spans="1:1">
      <c r="A87" s="370"/>
    </row>
    <row r="88" spans="1:1">
      <c r="A88" s="370"/>
    </row>
  </sheetData>
  <conditionalFormatting sqref="A13:XFD13">
    <cfRule type="cellIs" dxfId="3" priority="1" operator="equal">
      <formula>FALSE</formula>
    </cfRule>
    <cfRule type="cellIs" dxfId="2" priority="3" operator="equal">
      <formula>FALSE</formula>
    </cfRule>
  </conditionalFormatting>
  <conditionalFormatting sqref="C14:CD16">
    <cfRule type="cellIs" dxfId="1" priority="2" operator="equal">
      <formula>FALSE</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sheetPr>
  <dimension ref="A2:CE35"/>
  <sheetViews>
    <sheetView topLeftCell="A16" workbookViewId="0">
      <selection activeCell="D6" sqref="D6"/>
    </sheetView>
  </sheetViews>
  <sheetFormatPr defaultColWidth="9.1796875" defaultRowHeight="14"/>
  <cols>
    <col min="1" max="1" width="9.1796875" style="370"/>
    <col min="2" max="2" width="4.453125" style="370" customWidth="1"/>
    <col min="3" max="3" width="32.81640625" style="370" customWidth="1"/>
    <col min="4" max="85" width="9.1796875" style="370" customWidth="1"/>
    <col min="86" max="16384" width="9.1796875" style="370"/>
  </cols>
  <sheetData>
    <row r="2" spans="1:9">
      <c r="A2" s="371" t="s">
        <v>397</v>
      </c>
      <c r="C2" s="680"/>
      <c r="D2" s="496"/>
      <c r="E2" s="496"/>
      <c r="F2" s="496"/>
      <c r="G2" s="496"/>
    </row>
    <row r="3" spans="1:9">
      <c r="C3" s="680"/>
      <c r="D3" s="496"/>
      <c r="E3" s="496"/>
      <c r="F3" s="496"/>
      <c r="G3" s="496"/>
    </row>
    <row r="4" spans="1:9">
      <c r="B4" s="371" t="s">
        <v>398</v>
      </c>
      <c r="G4" s="497"/>
    </row>
    <row r="5" spans="1:9">
      <c r="C5" s="681" t="s">
        <v>72</v>
      </c>
      <c r="D5" s="682">
        <v>2021</v>
      </c>
      <c r="E5" s="682">
        <v>2022</v>
      </c>
      <c r="F5" s="682">
        <v>2023</v>
      </c>
      <c r="G5" s="694">
        <v>2024</v>
      </c>
      <c r="H5" s="373">
        <v>2025</v>
      </c>
      <c r="I5" s="683" t="s">
        <v>73</v>
      </c>
    </row>
    <row r="6" spans="1:9">
      <c r="C6" s="684" t="s">
        <v>74</v>
      </c>
      <c r="D6" s="685">
        <f>Proforma!D17</f>
        <v>0</v>
      </c>
      <c r="E6" s="685">
        <f>Proforma!E17</f>
        <v>0</v>
      </c>
      <c r="F6" s="685">
        <f>Proforma!F17</f>
        <v>0</v>
      </c>
      <c r="G6" s="685">
        <f>Proforma!G17</f>
        <v>0</v>
      </c>
      <c r="H6" s="685">
        <f>Proforma!H17</f>
        <v>0</v>
      </c>
      <c r="I6" s="693">
        <f>SUM(D6:H6)</f>
        <v>0</v>
      </c>
    </row>
    <row r="7" spans="1:9">
      <c r="C7" s="684" t="s">
        <v>75</v>
      </c>
      <c r="D7" s="685">
        <f>Proforma!D18</f>
        <v>0</v>
      </c>
      <c r="E7" s="685">
        <f>Proforma!E18</f>
        <v>0</v>
      </c>
      <c r="F7" s="685">
        <f>Proforma!F18</f>
        <v>0</v>
      </c>
      <c r="G7" s="685">
        <f>Proforma!G18</f>
        <v>0</v>
      </c>
      <c r="H7" s="685">
        <f>Proforma!H18</f>
        <v>0</v>
      </c>
      <c r="I7" s="686">
        <f>SUM(D7:H7)</f>
        <v>0</v>
      </c>
    </row>
    <row r="8" spans="1:9">
      <c r="C8" s="697" t="s">
        <v>76</v>
      </c>
      <c r="D8" s="685">
        <f>Proforma!D19</f>
        <v>0</v>
      </c>
      <c r="E8" s="685">
        <f>Proforma!E19</f>
        <v>0</v>
      </c>
      <c r="F8" s="685">
        <f>Proforma!F19</f>
        <v>0</v>
      </c>
      <c r="G8" s="685">
        <f>Proforma!G19</f>
        <v>0</v>
      </c>
      <c r="H8" s="685">
        <f>Proforma!H19</f>
        <v>0</v>
      </c>
      <c r="I8" s="698">
        <f>SUM(D8:H8)</f>
        <v>0</v>
      </c>
    </row>
    <row r="9" spans="1:9">
      <c r="C9" s="695" t="s">
        <v>77</v>
      </c>
      <c r="D9" s="687">
        <f>SUM(D6:D8)</f>
        <v>0</v>
      </c>
      <c r="E9" s="687">
        <f>SUM(E6:E8)</f>
        <v>0</v>
      </c>
      <c r="F9" s="687">
        <f>SUM(F6:F8)</f>
        <v>0</v>
      </c>
      <c r="G9" s="699">
        <f>SUM(G6:G8)</f>
        <v>0</v>
      </c>
      <c r="H9" s="687">
        <f>SUM(H6:H8)</f>
        <v>0</v>
      </c>
      <c r="I9" s="686">
        <f>SUM(D9:H9)</f>
        <v>0</v>
      </c>
    </row>
    <row r="11" spans="1:9">
      <c r="B11" s="371" t="s">
        <v>399</v>
      </c>
    </row>
    <row r="12" spans="1:9">
      <c r="C12" s="690" t="s">
        <v>400</v>
      </c>
      <c r="D12" s="691">
        <v>0.15</v>
      </c>
    </row>
    <row r="13" spans="1:9">
      <c r="C13" s="690" t="s">
        <v>376</v>
      </c>
      <c r="D13" s="690">
        <v>2010</v>
      </c>
    </row>
    <row r="14" spans="1:9">
      <c r="C14" s="690" t="s">
        <v>401</v>
      </c>
      <c r="D14" s="692">
        <v>3.5000000000000003E-2</v>
      </c>
    </row>
    <row r="15" spans="1:9">
      <c r="C15" s="690" t="s">
        <v>378</v>
      </c>
      <c r="D15" s="691">
        <v>0.03</v>
      </c>
    </row>
    <row r="16" spans="1:9">
      <c r="C16" s="689" t="s">
        <v>402</v>
      </c>
      <c r="D16" s="689">
        <v>1.2090000000000001</v>
      </c>
    </row>
    <row r="17" spans="1:83">
      <c r="C17" s="689" t="s">
        <v>403</v>
      </c>
      <c r="D17" s="689">
        <f>'PVB calculations'!C4</f>
        <v>2010</v>
      </c>
    </row>
    <row r="18" spans="1:83">
      <c r="C18" s="688"/>
      <c r="D18" s="688"/>
    </row>
    <row r="19" spans="1:83">
      <c r="B19" s="371" t="s">
        <v>404</v>
      </c>
      <c r="C19" s="688"/>
      <c r="D19" s="688"/>
    </row>
    <row r="20" spans="1:83">
      <c r="C20" s="696">
        <v>30</v>
      </c>
      <c r="D20" s="911">
        <f>'Table A1.1.1'!D25</f>
        <v>3.5000000000000003E-2</v>
      </c>
    </row>
    <row r="21" spans="1:83">
      <c r="C21" s="696">
        <v>75</v>
      </c>
      <c r="D21" s="911">
        <f>'Table A1.1.1'!D26</f>
        <v>0.03</v>
      </c>
    </row>
    <row r="22" spans="1:83">
      <c r="C22" s="696">
        <v>125</v>
      </c>
      <c r="D22" s="911">
        <f>'Table A1.1.1'!D27</f>
        <v>2.5000000000000001E-2</v>
      </c>
    </row>
    <row r="23" spans="1:83">
      <c r="C23" s="701">
        <v>200</v>
      </c>
      <c r="D23" s="912">
        <f>'Table A1.1.1'!D28</f>
        <v>0.02</v>
      </c>
    </row>
    <row r="25" spans="1:83">
      <c r="A25" s="371" t="s">
        <v>405</v>
      </c>
    </row>
    <row r="26" spans="1:83" s="371" customFormat="1">
      <c r="C26" s="372"/>
      <c r="D26" s="372">
        <v>2010</v>
      </c>
      <c r="E26" s="372">
        <v>2011</v>
      </c>
      <c r="F26" s="372">
        <v>2012</v>
      </c>
      <c r="G26" s="372">
        <v>2013</v>
      </c>
      <c r="H26" s="372">
        <v>2014</v>
      </c>
      <c r="I26" s="372">
        <v>2015</v>
      </c>
      <c r="J26" s="372">
        <v>2016</v>
      </c>
      <c r="K26" s="372">
        <v>2017</v>
      </c>
      <c r="L26" s="372">
        <v>2018</v>
      </c>
      <c r="M26" s="372">
        <v>2019</v>
      </c>
      <c r="N26" s="372">
        <v>2020</v>
      </c>
      <c r="O26" s="372">
        <v>2021</v>
      </c>
      <c r="P26" s="372">
        <v>2022</v>
      </c>
      <c r="Q26" s="372">
        <v>2023</v>
      </c>
      <c r="R26" s="372">
        <v>2024</v>
      </c>
      <c r="S26" s="372">
        <v>2025</v>
      </c>
      <c r="T26" s="372">
        <v>2026</v>
      </c>
      <c r="U26" s="372">
        <v>2027</v>
      </c>
      <c r="V26" s="372">
        <v>2028</v>
      </c>
      <c r="W26" s="372">
        <v>2029</v>
      </c>
      <c r="X26" s="372">
        <v>2030</v>
      </c>
      <c r="Y26" s="372">
        <v>2031</v>
      </c>
      <c r="Z26" s="372">
        <v>2032</v>
      </c>
      <c r="AA26" s="372">
        <v>2033</v>
      </c>
      <c r="AB26" s="372">
        <v>2034</v>
      </c>
      <c r="AC26" s="372">
        <v>2035</v>
      </c>
      <c r="AD26" s="372">
        <v>2036</v>
      </c>
      <c r="AE26" s="372">
        <v>2037</v>
      </c>
      <c r="AF26" s="372">
        <v>2038</v>
      </c>
      <c r="AG26" s="372">
        <v>2039</v>
      </c>
      <c r="AH26" s="372">
        <v>2040</v>
      </c>
      <c r="AI26" s="372">
        <v>2041</v>
      </c>
      <c r="AJ26" s="372">
        <v>2042</v>
      </c>
      <c r="AK26" s="372">
        <v>2043</v>
      </c>
      <c r="AL26" s="372">
        <v>2044</v>
      </c>
      <c r="AM26" s="372">
        <v>2045</v>
      </c>
      <c r="AN26" s="372">
        <v>2046</v>
      </c>
      <c r="AO26" s="372">
        <v>2047</v>
      </c>
      <c r="AP26" s="372">
        <v>2048</v>
      </c>
      <c r="AQ26" s="372">
        <v>2049</v>
      </c>
      <c r="AR26" s="372">
        <v>2050</v>
      </c>
      <c r="AS26" s="372">
        <v>2051</v>
      </c>
      <c r="AT26" s="372">
        <v>2052</v>
      </c>
      <c r="AU26" s="372">
        <v>2053</v>
      </c>
      <c r="AV26" s="372">
        <v>2054</v>
      </c>
      <c r="AW26" s="372">
        <v>2055</v>
      </c>
      <c r="AX26" s="372">
        <v>2056</v>
      </c>
      <c r="AY26" s="372">
        <v>2057</v>
      </c>
      <c r="AZ26" s="372">
        <v>2058</v>
      </c>
      <c r="BA26" s="372">
        <v>2059</v>
      </c>
      <c r="BB26" s="372">
        <v>2060</v>
      </c>
      <c r="BC26" s="372">
        <v>2061</v>
      </c>
      <c r="BD26" s="372">
        <v>2062</v>
      </c>
      <c r="BE26" s="372">
        <v>2063</v>
      </c>
      <c r="BF26" s="372">
        <v>2064</v>
      </c>
      <c r="BG26" s="372">
        <v>2065</v>
      </c>
      <c r="BH26" s="372">
        <v>2066</v>
      </c>
      <c r="BI26" s="372">
        <v>2067</v>
      </c>
      <c r="BJ26" s="372">
        <v>2068</v>
      </c>
      <c r="BK26" s="372">
        <v>2069</v>
      </c>
      <c r="BL26" s="372">
        <v>2070</v>
      </c>
      <c r="BM26" s="372">
        <v>2071</v>
      </c>
      <c r="BN26" s="372">
        <v>2072</v>
      </c>
      <c r="BO26" s="372">
        <v>2073</v>
      </c>
      <c r="BP26" s="372">
        <v>2074</v>
      </c>
      <c r="BQ26" s="372">
        <v>2075</v>
      </c>
      <c r="BR26" s="372">
        <v>2076</v>
      </c>
      <c r="BS26" s="372">
        <v>2077</v>
      </c>
      <c r="BT26" s="372">
        <v>2078</v>
      </c>
      <c r="BU26" s="372">
        <v>2079</v>
      </c>
      <c r="BV26" s="372">
        <v>2080</v>
      </c>
      <c r="BW26" s="372">
        <v>2081</v>
      </c>
      <c r="BX26" s="372">
        <v>2082</v>
      </c>
      <c r="BY26" s="372">
        <v>2083</v>
      </c>
      <c r="BZ26" s="372">
        <v>2084</v>
      </c>
      <c r="CA26" s="372">
        <v>2085</v>
      </c>
      <c r="CB26" s="372">
        <v>2086</v>
      </c>
      <c r="CC26" s="372">
        <v>2087</v>
      </c>
      <c r="CD26" s="372">
        <v>2088</v>
      </c>
      <c r="CE26" s="372">
        <v>2089</v>
      </c>
    </row>
    <row r="27" spans="1:83">
      <c r="C27" s="373" t="s">
        <v>106</v>
      </c>
      <c r="D27" s="373" t="b">
        <f>ISNUMBER(MATCH(D26,$C$5:$H$5,0))</f>
        <v>0</v>
      </c>
      <c r="E27" s="373" t="b">
        <f t="shared" ref="E27:BP27" si="0">ISNUMBER(MATCH(E26,$C$5:$H$5,0))</f>
        <v>0</v>
      </c>
      <c r="F27" s="373" t="b">
        <f t="shared" si="0"/>
        <v>0</v>
      </c>
      <c r="G27" s="373" t="b">
        <f t="shared" si="0"/>
        <v>0</v>
      </c>
      <c r="H27" s="373" t="b">
        <f t="shared" si="0"/>
        <v>0</v>
      </c>
      <c r="I27" s="373" t="b">
        <f t="shared" si="0"/>
        <v>0</v>
      </c>
      <c r="J27" s="373" t="b">
        <f t="shared" si="0"/>
        <v>0</v>
      </c>
      <c r="K27" s="373" t="b">
        <f t="shared" si="0"/>
        <v>0</v>
      </c>
      <c r="L27" s="373" t="b">
        <f t="shared" si="0"/>
        <v>0</v>
      </c>
      <c r="M27" s="373" t="b">
        <f t="shared" si="0"/>
        <v>0</v>
      </c>
      <c r="N27" s="373" t="b">
        <f t="shared" si="0"/>
        <v>0</v>
      </c>
      <c r="O27" s="373" t="b">
        <f t="shared" si="0"/>
        <v>1</v>
      </c>
      <c r="P27" s="373" t="b">
        <f t="shared" si="0"/>
        <v>1</v>
      </c>
      <c r="Q27" s="373" t="b">
        <f t="shared" si="0"/>
        <v>1</v>
      </c>
      <c r="R27" s="373" t="b">
        <f t="shared" si="0"/>
        <v>1</v>
      </c>
      <c r="S27" s="373" t="b">
        <f t="shared" si="0"/>
        <v>1</v>
      </c>
      <c r="T27" s="373" t="b">
        <f t="shared" si="0"/>
        <v>0</v>
      </c>
      <c r="U27" s="373" t="b">
        <f t="shared" si="0"/>
        <v>0</v>
      </c>
      <c r="V27" s="373" t="b">
        <f t="shared" si="0"/>
        <v>0</v>
      </c>
      <c r="W27" s="373" t="b">
        <f t="shared" si="0"/>
        <v>0</v>
      </c>
      <c r="X27" s="373" t="b">
        <f t="shared" si="0"/>
        <v>0</v>
      </c>
      <c r="Y27" s="373" t="b">
        <f t="shared" si="0"/>
        <v>0</v>
      </c>
      <c r="Z27" s="373" t="b">
        <f t="shared" si="0"/>
        <v>0</v>
      </c>
      <c r="AA27" s="373" t="b">
        <f t="shared" si="0"/>
        <v>0</v>
      </c>
      <c r="AB27" s="373" t="b">
        <f t="shared" si="0"/>
        <v>0</v>
      </c>
      <c r="AC27" s="373" t="b">
        <f t="shared" si="0"/>
        <v>0</v>
      </c>
      <c r="AD27" s="373" t="b">
        <f t="shared" si="0"/>
        <v>0</v>
      </c>
      <c r="AE27" s="373" t="b">
        <f t="shared" si="0"/>
        <v>0</v>
      </c>
      <c r="AF27" s="373" t="b">
        <f t="shared" si="0"/>
        <v>0</v>
      </c>
      <c r="AG27" s="373" t="b">
        <f t="shared" si="0"/>
        <v>0</v>
      </c>
      <c r="AH27" s="373" t="b">
        <f t="shared" si="0"/>
        <v>0</v>
      </c>
      <c r="AI27" s="373" t="b">
        <f t="shared" si="0"/>
        <v>0</v>
      </c>
      <c r="AJ27" s="373" t="b">
        <f t="shared" si="0"/>
        <v>0</v>
      </c>
      <c r="AK27" s="373" t="b">
        <f t="shared" si="0"/>
        <v>0</v>
      </c>
      <c r="AL27" s="373" t="b">
        <f t="shared" si="0"/>
        <v>0</v>
      </c>
      <c r="AM27" s="373" t="b">
        <f t="shared" si="0"/>
        <v>0</v>
      </c>
      <c r="AN27" s="373" t="b">
        <f t="shared" si="0"/>
        <v>0</v>
      </c>
      <c r="AO27" s="373" t="b">
        <f t="shared" si="0"/>
        <v>0</v>
      </c>
      <c r="AP27" s="373" t="b">
        <f t="shared" si="0"/>
        <v>0</v>
      </c>
      <c r="AQ27" s="373" t="b">
        <f t="shared" si="0"/>
        <v>0</v>
      </c>
      <c r="AR27" s="373" t="b">
        <f t="shared" si="0"/>
        <v>0</v>
      </c>
      <c r="AS27" s="373" t="b">
        <f t="shared" si="0"/>
        <v>0</v>
      </c>
      <c r="AT27" s="373" t="b">
        <f t="shared" si="0"/>
        <v>0</v>
      </c>
      <c r="AU27" s="373" t="b">
        <f t="shared" si="0"/>
        <v>0</v>
      </c>
      <c r="AV27" s="373" t="b">
        <f t="shared" si="0"/>
        <v>0</v>
      </c>
      <c r="AW27" s="373" t="b">
        <f t="shared" si="0"/>
        <v>0</v>
      </c>
      <c r="AX27" s="373" t="b">
        <f t="shared" si="0"/>
        <v>0</v>
      </c>
      <c r="AY27" s="373" t="b">
        <f t="shared" si="0"/>
        <v>0</v>
      </c>
      <c r="AZ27" s="373" t="b">
        <f t="shared" si="0"/>
        <v>0</v>
      </c>
      <c r="BA27" s="373" t="b">
        <f t="shared" si="0"/>
        <v>0</v>
      </c>
      <c r="BB27" s="373" t="b">
        <f t="shared" si="0"/>
        <v>0</v>
      </c>
      <c r="BC27" s="373" t="b">
        <f t="shared" si="0"/>
        <v>0</v>
      </c>
      <c r="BD27" s="373" t="b">
        <f t="shared" si="0"/>
        <v>0</v>
      </c>
      <c r="BE27" s="373" t="b">
        <f t="shared" si="0"/>
        <v>0</v>
      </c>
      <c r="BF27" s="373" t="b">
        <f t="shared" si="0"/>
        <v>0</v>
      </c>
      <c r="BG27" s="373" t="b">
        <f t="shared" si="0"/>
        <v>0</v>
      </c>
      <c r="BH27" s="373" t="b">
        <f t="shared" si="0"/>
        <v>0</v>
      </c>
      <c r="BI27" s="373" t="b">
        <f t="shared" si="0"/>
        <v>0</v>
      </c>
      <c r="BJ27" s="373" t="b">
        <f t="shared" si="0"/>
        <v>0</v>
      </c>
      <c r="BK27" s="373" t="b">
        <f t="shared" si="0"/>
        <v>0</v>
      </c>
      <c r="BL27" s="373" t="b">
        <f t="shared" si="0"/>
        <v>0</v>
      </c>
      <c r="BM27" s="373" t="b">
        <f t="shared" si="0"/>
        <v>0</v>
      </c>
      <c r="BN27" s="373" t="b">
        <f t="shared" si="0"/>
        <v>0</v>
      </c>
      <c r="BO27" s="373" t="b">
        <f t="shared" si="0"/>
        <v>0</v>
      </c>
      <c r="BP27" s="373" t="b">
        <f t="shared" si="0"/>
        <v>0</v>
      </c>
      <c r="BQ27" s="373" t="b">
        <f t="shared" ref="BQ27:CE27" si="1">ISNUMBER(MATCH(BQ26,$C$5:$H$5,0))</f>
        <v>0</v>
      </c>
      <c r="BR27" s="373" t="b">
        <f t="shared" si="1"/>
        <v>0</v>
      </c>
      <c r="BS27" s="373" t="b">
        <f t="shared" si="1"/>
        <v>0</v>
      </c>
      <c r="BT27" s="373" t="b">
        <f t="shared" si="1"/>
        <v>0</v>
      </c>
      <c r="BU27" s="373" t="b">
        <f t="shared" si="1"/>
        <v>0</v>
      </c>
      <c r="BV27" s="373" t="b">
        <f t="shared" si="1"/>
        <v>0</v>
      </c>
      <c r="BW27" s="373" t="b">
        <f t="shared" si="1"/>
        <v>0</v>
      </c>
      <c r="BX27" s="373" t="b">
        <f t="shared" si="1"/>
        <v>0</v>
      </c>
      <c r="BY27" s="373" t="b">
        <f t="shared" si="1"/>
        <v>0</v>
      </c>
      <c r="BZ27" s="373" t="b">
        <f t="shared" si="1"/>
        <v>0</v>
      </c>
      <c r="CA27" s="373" t="b">
        <f t="shared" si="1"/>
        <v>0</v>
      </c>
      <c r="CB27" s="373" t="b">
        <f t="shared" si="1"/>
        <v>0</v>
      </c>
      <c r="CC27" s="373" t="b">
        <f t="shared" si="1"/>
        <v>0</v>
      </c>
      <c r="CD27" s="373" t="b">
        <f t="shared" si="1"/>
        <v>0</v>
      </c>
      <c r="CE27" s="373" t="b">
        <f t="shared" si="1"/>
        <v>0</v>
      </c>
    </row>
    <row r="28" spans="1:83">
      <c r="C28" s="373" t="s">
        <v>406</v>
      </c>
      <c r="D28" s="373">
        <f>IF(D27,INDEX($C$9:$H$9,MATCH(D26,$C$5:$H$5,0)),0)</f>
        <v>0</v>
      </c>
      <c r="E28" s="373">
        <f t="shared" ref="E28:BP28" si="2">IF(E27,INDEX($C$9:$H$9,MATCH(E26,$C$5:$H$5,0)),0)</f>
        <v>0</v>
      </c>
      <c r="F28" s="373">
        <f t="shared" si="2"/>
        <v>0</v>
      </c>
      <c r="G28" s="373">
        <f t="shared" si="2"/>
        <v>0</v>
      </c>
      <c r="H28" s="373">
        <f t="shared" si="2"/>
        <v>0</v>
      </c>
      <c r="I28" s="373">
        <f t="shared" si="2"/>
        <v>0</v>
      </c>
      <c r="J28" s="373">
        <f t="shared" si="2"/>
        <v>0</v>
      </c>
      <c r="K28" s="373">
        <f t="shared" si="2"/>
        <v>0</v>
      </c>
      <c r="L28" s="373">
        <f t="shared" si="2"/>
        <v>0</v>
      </c>
      <c r="M28" s="373">
        <f t="shared" si="2"/>
        <v>0</v>
      </c>
      <c r="N28" s="373">
        <f t="shared" si="2"/>
        <v>0</v>
      </c>
      <c r="O28" s="373">
        <f t="shared" si="2"/>
        <v>0</v>
      </c>
      <c r="P28" s="373">
        <f t="shared" si="2"/>
        <v>0</v>
      </c>
      <c r="Q28" s="373">
        <f t="shared" si="2"/>
        <v>0</v>
      </c>
      <c r="R28" s="373">
        <f t="shared" si="2"/>
        <v>0</v>
      </c>
      <c r="S28" s="373">
        <f t="shared" si="2"/>
        <v>0</v>
      </c>
      <c r="T28" s="373">
        <f t="shared" si="2"/>
        <v>0</v>
      </c>
      <c r="U28" s="373">
        <f t="shared" si="2"/>
        <v>0</v>
      </c>
      <c r="V28" s="373">
        <f t="shared" si="2"/>
        <v>0</v>
      </c>
      <c r="W28" s="373">
        <f t="shared" si="2"/>
        <v>0</v>
      </c>
      <c r="X28" s="373">
        <f t="shared" si="2"/>
        <v>0</v>
      </c>
      <c r="Y28" s="373">
        <f t="shared" si="2"/>
        <v>0</v>
      </c>
      <c r="Z28" s="373">
        <f t="shared" si="2"/>
        <v>0</v>
      </c>
      <c r="AA28" s="373">
        <f t="shared" si="2"/>
        <v>0</v>
      </c>
      <c r="AB28" s="373">
        <f t="shared" si="2"/>
        <v>0</v>
      </c>
      <c r="AC28" s="373">
        <f t="shared" si="2"/>
        <v>0</v>
      </c>
      <c r="AD28" s="373">
        <f t="shared" si="2"/>
        <v>0</v>
      </c>
      <c r="AE28" s="373">
        <f t="shared" si="2"/>
        <v>0</v>
      </c>
      <c r="AF28" s="373">
        <f t="shared" si="2"/>
        <v>0</v>
      </c>
      <c r="AG28" s="373">
        <f t="shared" si="2"/>
        <v>0</v>
      </c>
      <c r="AH28" s="373">
        <f t="shared" si="2"/>
        <v>0</v>
      </c>
      <c r="AI28" s="373">
        <f t="shared" si="2"/>
        <v>0</v>
      </c>
      <c r="AJ28" s="373">
        <f t="shared" si="2"/>
        <v>0</v>
      </c>
      <c r="AK28" s="373">
        <f t="shared" si="2"/>
        <v>0</v>
      </c>
      <c r="AL28" s="373">
        <f t="shared" si="2"/>
        <v>0</v>
      </c>
      <c r="AM28" s="373">
        <f t="shared" si="2"/>
        <v>0</v>
      </c>
      <c r="AN28" s="373">
        <f t="shared" si="2"/>
        <v>0</v>
      </c>
      <c r="AO28" s="373">
        <f t="shared" si="2"/>
        <v>0</v>
      </c>
      <c r="AP28" s="373">
        <f t="shared" si="2"/>
        <v>0</v>
      </c>
      <c r="AQ28" s="373">
        <f t="shared" si="2"/>
        <v>0</v>
      </c>
      <c r="AR28" s="373">
        <f t="shared" si="2"/>
        <v>0</v>
      </c>
      <c r="AS28" s="373">
        <f t="shared" si="2"/>
        <v>0</v>
      </c>
      <c r="AT28" s="373">
        <f t="shared" si="2"/>
        <v>0</v>
      </c>
      <c r="AU28" s="373">
        <f t="shared" si="2"/>
        <v>0</v>
      </c>
      <c r="AV28" s="373">
        <f t="shared" si="2"/>
        <v>0</v>
      </c>
      <c r="AW28" s="373">
        <f t="shared" si="2"/>
        <v>0</v>
      </c>
      <c r="AX28" s="373">
        <f t="shared" si="2"/>
        <v>0</v>
      </c>
      <c r="AY28" s="373">
        <f t="shared" si="2"/>
        <v>0</v>
      </c>
      <c r="AZ28" s="373">
        <f t="shared" si="2"/>
        <v>0</v>
      </c>
      <c r="BA28" s="373">
        <f t="shared" si="2"/>
        <v>0</v>
      </c>
      <c r="BB28" s="373">
        <f t="shared" si="2"/>
        <v>0</v>
      </c>
      <c r="BC28" s="373">
        <f t="shared" si="2"/>
        <v>0</v>
      </c>
      <c r="BD28" s="373">
        <f t="shared" si="2"/>
        <v>0</v>
      </c>
      <c r="BE28" s="373">
        <f t="shared" si="2"/>
        <v>0</v>
      </c>
      <c r="BF28" s="373">
        <f t="shared" si="2"/>
        <v>0</v>
      </c>
      <c r="BG28" s="373">
        <f t="shared" si="2"/>
        <v>0</v>
      </c>
      <c r="BH28" s="373">
        <f t="shared" si="2"/>
        <v>0</v>
      </c>
      <c r="BI28" s="373">
        <f t="shared" si="2"/>
        <v>0</v>
      </c>
      <c r="BJ28" s="373">
        <f t="shared" si="2"/>
        <v>0</v>
      </c>
      <c r="BK28" s="373">
        <f t="shared" si="2"/>
        <v>0</v>
      </c>
      <c r="BL28" s="373">
        <f t="shared" si="2"/>
        <v>0</v>
      </c>
      <c r="BM28" s="373">
        <f t="shared" si="2"/>
        <v>0</v>
      </c>
      <c r="BN28" s="373">
        <f t="shared" si="2"/>
        <v>0</v>
      </c>
      <c r="BO28" s="373">
        <f t="shared" si="2"/>
        <v>0</v>
      </c>
      <c r="BP28" s="373">
        <f t="shared" si="2"/>
        <v>0</v>
      </c>
      <c r="BQ28" s="373">
        <f t="shared" ref="BQ28:CE28" si="3">IF(BQ27,INDEX($C$9:$H$9,MATCH(BQ26,$C$5:$H$5,0)),0)</f>
        <v>0</v>
      </c>
      <c r="BR28" s="373">
        <f t="shared" si="3"/>
        <v>0</v>
      </c>
      <c r="BS28" s="373">
        <f t="shared" si="3"/>
        <v>0</v>
      </c>
      <c r="BT28" s="373">
        <f t="shared" si="3"/>
        <v>0</v>
      </c>
      <c r="BU28" s="373">
        <f t="shared" si="3"/>
        <v>0</v>
      </c>
      <c r="BV28" s="373">
        <f t="shared" si="3"/>
        <v>0</v>
      </c>
      <c r="BW28" s="373">
        <f t="shared" si="3"/>
        <v>0</v>
      </c>
      <c r="BX28" s="373">
        <f t="shared" si="3"/>
        <v>0</v>
      </c>
      <c r="BY28" s="373">
        <f t="shared" si="3"/>
        <v>0</v>
      </c>
      <c r="BZ28" s="373">
        <f t="shared" si="3"/>
        <v>0</v>
      </c>
      <c r="CA28" s="373">
        <f t="shared" si="3"/>
        <v>0</v>
      </c>
      <c r="CB28" s="373">
        <f t="shared" si="3"/>
        <v>0</v>
      </c>
      <c r="CC28" s="373">
        <f t="shared" si="3"/>
        <v>0</v>
      </c>
      <c r="CD28" s="373">
        <f t="shared" si="3"/>
        <v>0</v>
      </c>
      <c r="CE28" s="373">
        <f t="shared" si="3"/>
        <v>0</v>
      </c>
    </row>
    <row r="29" spans="1:83">
      <c r="C29" s="373" t="s">
        <v>393</v>
      </c>
      <c r="D29" s="373">
        <f t="shared" ref="D29:AI29" si="4">D28*100/VLOOKUP(D26,GDP_deflator,3)</f>
        <v>0</v>
      </c>
      <c r="E29" s="373">
        <f t="shared" si="4"/>
        <v>0</v>
      </c>
      <c r="F29" s="373">
        <f t="shared" si="4"/>
        <v>0</v>
      </c>
      <c r="G29" s="373">
        <f t="shared" si="4"/>
        <v>0</v>
      </c>
      <c r="H29" s="373">
        <f t="shared" si="4"/>
        <v>0</v>
      </c>
      <c r="I29" s="373">
        <f t="shared" si="4"/>
        <v>0</v>
      </c>
      <c r="J29" s="373">
        <f t="shared" si="4"/>
        <v>0</v>
      </c>
      <c r="K29" s="373">
        <f>K28*100/VLOOKUP(K26,GDP_deflator,3)</f>
        <v>0</v>
      </c>
      <c r="L29" s="373">
        <f t="shared" si="4"/>
        <v>0</v>
      </c>
      <c r="M29" s="373">
        <f t="shared" si="4"/>
        <v>0</v>
      </c>
      <c r="N29" s="373">
        <f t="shared" si="4"/>
        <v>0</v>
      </c>
      <c r="O29" s="373">
        <f t="shared" si="4"/>
        <v>0</v>
      </c>
      <c r="P29" s="373">
        <f t="shared" si="4"/>
        <v>0</v>
      </c>
      <c r="Q29" s="373">
        <f t="shared" si="4"/>
        <v>0</v>
      </c>
      <c r="R29" s="373">
        <f t="shared" si="4"/>
        <v>0</v>
      </c>
      <c r="S29" s="373">
        <f t="shared" si="4"/>
        <v>0</v>
      </c>
      <c r="T29" s="373">
        <f t="shared" si="4"/>
        <v>0</v>
      </c>
      <c r="U29" s="373">
        <f t="shared" si="4"/>
        <v>0</v>
      </c>
      <c r="V29" s="373">
        <f t="shared" si="4"/>
        <v>0</v>
      </c>
      <c r="W29" s="373">
        <f t="shared" si="4"/>
        <v>0</v>
      </c>
      <c r="X29" s="373">
        <f t="shared" si="4"/>
        <v>0</v>
      </c>
      <c r="Y29" s="373">
        <f t="shared" si="4"/>
        <v>0</v>
      </c>
      <c r="Z29" s="373">
        <f t="shared" si="4"/>
        <v>0</v>
      </c>
      <c r="AA29" s="373">
        <f t="shared" si="4"/>
        <v>0</v>
      </c>
      <c r="AB29" s="373">
        <f t="shared" si="4"/>
        <v>0</v>
      </c>
      <c r="AC29" s="373">
        <f t="shared" si="4"/>
        <v>0</v>
      </c>
      <c r="AD29" s="373">
        <f t="shared" si="4"/>
        <v>0</v>
      </c>
      <c r="AE29" s="373">
        <f t="shared" si="4"/>
        <v>0</v>
      </c>
      <c r="AF29" s="373">
        <f t="shared" si="4"/>
        <v>0</v>
      </c>
      <c r="AG29" s="373">
        <f t="shared" si="4"/>
        <v>0</v>
      </c>
      <c r="AH29" s="373">
        <f t="shared" si="4"/>
        <v>0</v>
      </c>
      <c r="AI29" s="373">
        <f t="shared" si="4"/>
        <v>0</v>
      </c>
      <c r="AJ29" s="373">
        <f t="shared" ref="AJ29:BO29" si="5">AJ28*100/VLOOKUP(AJ26,GDP_deflator,3)</f>
        <v>0</v>
      </c>
      <c r="AK29" s="373">
        <f t="shared" si="5"/>
        <v>0</v>
      </c>
      <c r="AL29" s="373">
        <f t="shared" si="5"/>
        <v>0</v>
      </c>
      <c r="AM29" s="373">
        <f t="shared" si="5"/>
        <v>0</v>
      </c>
      <c r="AN29" s="373">
        <f t="shared" si="5"/>
        <v>0</v>
      </c>
      <c r="AO29" s="373">
        <f t="shared" si="5"/>
        <v>0</v>
      </c>
      <c r="AP29" s="373">
        <f t="shared" si="5"/>
        <v>0</v>
      </c>
      <c r="AQ29" s="373">
        <f t="shared" si="5"/>
        <v>0</v>
      </c>
      <c r="AR29" s="373">
        <f t="shared" si="5"/>
        <v>0</v>
      </c>
      <c r="AS29" s="373">
        <f t="shared" si="5"/>
        <v>0</v>
      </c>
      <c r="AT29" s="373">
        <f t="shared" si="5"/>
        <v>0</v>
      </c>
      <c r="AU29" s="373">
        <f t="shared" si="5"/>
        <v>0</v>
      </c>
      <c r="AV29" s="373">
        <f t="shared" si="5"/>
        <v>0</v>
      </c>
      <c r="AW29" s="373">
        <f t="shared" si="5"/>
        <v>0</v>
      </c>
      <c r="AX29" s="373">
        <f t="shared" si="5"/>
        <v>0</v>
      </c>
      <c r="AY29" s="373">
        <f t="shared" si="5"/>
        <v>0</v>
      </c>
      <c r="AZ29" s="373">
        <f t="shared" si="5"/>
        <v>0</v>
      </c>
      <c r="BA29" s="373">
        <f t="shared" si="5"/>
        <v>0</v>
      </c>
      <c r="BB29" s="373">
        <f t="shared" si="5"/>
        <v>0</v>
      </c>
      <c r="BC29" s="373">
        <f t="shared" si="5"/>
        <v>0</v>
      </c>
      <c r="BD29" s="373">
        <f t="shared" si="5"/>
        <v>0</v>
      </c>
      <c r="BE29" s="373">
        <f t="shared" si="5"/>
        <v>0</v>
      </c>
      <c r="BF29" s="373">
        <f t="shared" si="5"/>
        <v>0</v>
      </c>
      <c r="BG29" s="373">
        <f t="shared" si="5"/>
        <v>0</v>
      </c>
      <c r="BH29" s="373">
        <f t="shared" si="5"/>
        <v>0</v>
      </c>
      <c r="BI29" s="373">
        <f t="shared" si="5"/>
        <v>0</v>
      </c>
      <c r="BJ29" s="373">
        <f t="shared" si="5"/>
        <v>0</v>
      </c>
      <c r="BK29" s="373">
        <f t="shared" si="5"/>
        <v>0</v>
      </c>
      <c r="BL29" s="373">
        <f t="shared" si="5"/>
        <v>0</v>
      </c>
      <c r="BM29" s="373">
        <f t="shared" si="5"/>
        <v>0</v>
      </c>
      <c r="BN29" s="373">
        <f t="shared" si="5"/>
        <v>0</v>
      </c>
      <c r="BO29" s="373">
        <f t="shared" si="5"/>
        <v>0</v>
      </c>
      <c r="BP29" s="373">
        <f t="shared" ref="BP29:CE29" si="6">BP28*100/VLOOKUP(BP26,GDP_deflator,3)</f>
        <v>0</v>
      </c>
      <c r="BQ29" s="373">
        <f t="shared" si="6"/>
        <v>0</v>
      </c>
      <c r="BR29" s="373">
        <f t="shared" si="6"/>
        <v>0</v>
      </c>
      <c r="BS29" s="373">
        <f t="shared" si="6"/>
        <v>0</v>
      </c>
      <c r="BT29" s="373">
        <f t="shared" si="6"/>
        <v>0</v>
      </c>
      <c r="BU29" s="373">
        <f t="shared" si="6"/>
        <v>0</v>
      </c>
      <c r="BV29" s="373">
        <f t="shared" si="6"/>
        <v>0</v>
      </c>
      <c r="BW29" s="373">
        <f t="shared" si="6"/>
        <v>0</v>
      </c>
      <c r="BX29" s="373">
        <f t="shared" si="6"/>
        <v>0</v>
      </c>
      <c r="BY29" s="373">
        <f t="shared" si="6"/>
        <v>0</v>
      </c>
      <c r="BZ29" s="373">
        <f t="shared" si="6"/>
        <v>0</v>
      </c>
      <c r="CA29" s="373">
        <f t="shared" si="6"/>
        <v>0</v>
      </c>
      <c r="CB29" s="373">
        <f t="shared" si="6"/>
        <v>0</v>
      </c>
      <c r="CC29" s="373">
        <f t="shared" si="6"/>
        <v>0</v>
      </c>
      <c r="CD29" s="373">
        <f t="shared" si="6"/>
        <v>0</v>
      </c>
      <c r="CE29" s="373">
        <f t="shared" si="6"/>
        <v>0</v>
      </c>
    </row>
    <row r="30" spans="1:83">
      <c r="C30" s="373" t="s">
        <v>407</v>
      </c>
      <c r="D30" s="373">
        <f>IF($D$17-D26&lt;$C$20,(D29/((1+$D$20))^(D26-$D$17)),IF($C$20&lt;($D$17-D26)&lt;$C$21,(D29/((1+$D$21))^(D26 - $C$20 -$D$17)),0))</f>
        <v>0</v>
      </c>
      <c r="E30" s="373">
        <f t="shared" ref="E30:BP30" si="7">IF($D$17-E26&lt;$C$20,(E29/((1+$D$20))^(E26-$D$17)),IF($C$20&lt;($D$17-E26)&lt;$C$21,(E29/((1+$D$21))^(E26 - $C$20 -$D$17)),0))</f>
        <v>0</v>
      </c>
      <c r="F30" s="373">
        <f t="shared" si="7"/>
        <v>0</v>
      </c>
      <c r="G30" s="373">
        <f t="shared" si="7"/>
        <v>0</v>
      </c>
      <c r="H30" s="373">
        <f t="shared" si="7"/>
        <v>0</v>
      </c>
      <c r="I30" s="373">
        <f t="shared" si="7"/>
        <v>0</v>
      </c>
      <c r="J30" s="373">
        <f t="shared" si="7"/>
        <v>0</v>
      </c>
      <c r="K30" s="373">
        <f>IF($D$17-K26&lt;$C$20,(K29/((1+$D$20))^(K26-$D$17)),IF($C$20&lt;($D$17-K26)&lt;$C$21,(K29/((1+$D$21))^(K26 - $C$20 -$D$17)),0))</f>
        <v>0</v>
      </c>
      <c r="L30" s="373">
        <f t="shared" si="7"/>
        <v>0</v>
      </c>
      <c r="M30" s="373">
        <f t="shared" si="7"/>
        <v>0</v>
      </c>
      <c r="N30" s="373">
        <f t="shared" si="7"/>
        <v>0</v>
      </c>
      <c r="O30" s="373">
        <f t="shared" si="7"/>
        <v>0</v>
      </c>
      <c r="P30" s="373">
        <f t="shared" si="7"/>
        <v>0</v>
      </c>
      <c r="Q30" s="373">
        <f t="shared" si="7"/>
        <v>0</v>
      </c>
      <c r="R30" s="373">
        <f t="shared" si="7"/>
        <v>0</v>
      </c>
      <c r="S30" s="373">
        <f t="shared" si="7"/>
        <v>0</v>
      </c>
      <c r="T30" s="373">
        <f t="shared" si="7"/>
        <v>0</v>
      </c>
      <c r="U30" s="373">
        <f t="shared" si="7"/>
        <v>0</v>
      </c>
      <c r="V30" s="373">
        <f t="shared" si="7"/>
        <v>0</v>
      </c>
      <c r="W30" s="373">
        <f t="shared" si="7"/>
        <v>0</v>
      </c>
      <c r="X30" s="373">
        <f t="shared" si="7"/>
        <v>0</v>
      </c>
      <c r="Y30" s="373">
        <f t="shared" si="7"/>
        <v>0</v>
      </c>
      <c r="Z30" s="373">
        <f t="shared" si="7"/>
        <v>0</v>
      </c>
      <c r="AA30" s="373">
        <f t="shared" si="7"/>
        <v>0</v>
      </c>
      <c r="AB30" s="373">
        <f t="shared" si="7"/>
        <v>0</v>
      </c>
      <c r="AC30" s="373">
        <f t="shared" si="7"/>
        <v>0</v>
      </c>
      <c r="AD30" s="373">
        <f t="shared" si="7"/>
        <v>0</v>
      </c>
      <c r="AE30" s="373">
        <f t="shared" si="7"/>
        <v>0</v>
      </c>
      <c r="AF30" s="373">
        <f t="shared" si="7"/>
        <v>0</v>
      </c>
      <c r="AG30" s="373">
        <f t="shared" si="7"/>
        <v>0</v>
      </c>
      <c r="AH30" s="373">
        <f t="shared" si="7"/>
        <v>0</v>
      </c>
      <c r="AI30" s="373">
        <f t="shared" si="7"/>
        <v>0</v>
      </c>
      <c r="AJ30" s="373">
        <f t="shared" si="7"/>
        <v>0</v>
      </c>
      <c r="AK30" s="373">
        <f t="shared" si="7"/>
        <v>0</v>
      </c>
      <c r="AL30" s="373">
        <f t="shared" si="7"/>
        <v>0</v>
      </c>
      <c r="AM30" s="373">
        <f t="shared" si="7"/>
        <v>0</v>
      </c>
      <c r="AN30" s="373">
        <f t="shared" si="7"/>
        <v>0</v>
      </c>
      <c r="AO30" s="373">
        <f t="shared" si="7"/>
        <v>0</v>
      </c>
      <c r="AP30" s="373">
        <f t="shared" si="7"/>
        <v>0</v>
      </c>
      <c r="AQ30" s="373">
        <f t="shared" si="7"/>
        <v>0</v>
      </c>
      <c r="AR30" s="373">
        <f t="shared" si="7"/>
        <v>0</v>
      </c>
      <c r="AS30" s="373">
        <f t="shared" si="7"/>
        <v>0</v>
      </c>
      <c r="AT30" s="373">
        <f t="shared" si="7"/>
        <v>0</v>
      </c>
      <c r="AU30" s="373">
        <f t="shared" si="7"/>
        <v>0</v>
      </c>
      <c r="AV30" s="373">
        <f t="shared" si="7"/>
        <v>0</v>
      </c>
      <c r="AW30" s="373">
        <f t="shared" si="7"/>
        <v>0</v>
      </c>
      <c r="AX30" s="373">
        <f t="shared" si="7"/>
        <v>0</v>
      </c>
      <c r="AY30" s="373">
        <f t="shared" si="7"/>
        <v>0</v>
      </c>
      <c r="AZ30" s="373">
        <f t="shared" si="7"/>
        <v>0</v>
      </c>
      <c r="BA30" s="373">
        <f t="shared" si="7"/>
        <v>0</v>
      </c>
      <c r="BB30" s="373">
        <f t="shared" si="7"/>
        <v>0</v>
      </c>
      <c r="BC30" s="373">
        <f t="shared" si="7"/>
        <v>0</v>
      </c>
      <c r="BD30" s="373">
        <f t="shared" si="7"/>
        <v>0</v>
      </c>
      <c r="BE30" s="373">
        <f t="shared" si="7"/>
        <v>0</v>
      </c>
      <c r="BF30" s="373">
        <f t="shared" si="7"/>
        <v>0</v>
      </c>
      <c r="BG30" s="373">
        <f t="shared" si="7"/>
        <v>0</v>
      </c>
      <c r="BH30" s="373">
        <f t="shared" si="7"/>
        <v>0</v>
      </c>
      <c r="BI30" s="373">
        <f t="shared" si="7"/>
        <v>0</v>
      </c>
      <c r="BJ30" s="373">
        <f t="shared" si="7"/>
        <v>0</v>
      </c>
      <c r="BK30" s="373">
        <f t="shared" si="7"/>
        <v>0</v>
      </c>
      <c r="BL30" s="373">
        <f t="shared" si="7"/>
        <v>0</v>
      </c>
      <c r="BM30" s="373">
        <f t="shared" si="7"/>
        <v>0</v>
      </c>
      <c r="BN30" s="373">
        <f t="shared" si="7"/>
        <v>0</v>
      </c>
      <c r="BO30" s="373">
        <f t="shared" si="7"/>
        <v>0</v>
      </c>
      <c r="BP30" s="373">
        <f t="shared" si="7"/>
        <v>0</v>
      </c>
      <c r="BQ30" s="373">
        <f t="shared" ref="BQ30:CE30" si="8">IF($D$17-BQ26&lt;$C$20,(BQ29/((1+$D$20))^(BQ26-$D$17)),IF($C$20&lt;($D$17-BQ26)&lt;$C$21,(BQ29/((1+$D$21))^(BQ26 - $C$20 -$D$17)),0))</f>
        <v>0</v>
      </c>
      <c r="BR30" s="373">
        <f t="shared" si="8"/>
        <v>0</v>
      </c>
      <c r="BS30" s="373">
        <f t="shared" si="8"/>
        <v>0</v>
      </c>
      <c r="BT30" s="373">
        <f t="shared" si="8"/>
        <v>0</v>
      </c>
      <c r="BU30" s="373">
        <f t="shared" si="8"/>
        <v>0</v>
      </c>
      <c r="BV30" s="373">
        <f t="shared" si="8"/>
        <v>0</v>
      </c>
      <c r="BW30" s="373">
        <f t="shared" si="8"/>
        <v>0</v>
      </c>
      <c r="BX30" s="373">
        <f t="shared" si="8"/>
        <v>0</v>
      </c>
      <c r="BY30" s="373">
        <f t="shared" si="8"/>
        <v>0</v>
      </c>
      <c r="BZ30" s="373">
        <f t="shared" si="8"/>
        <v>0</v>
      </c>
      <c r="CA30" s="373">
        <f t="shared" si="8"/>
        <v>0</v>
      </c>
      <c r="CB30" s="373">
        <f t="shared" si="8"/>
        <v>0</v>
      </c>
      <c r="CC30" s="373">
        <f t="shared" si="8"/>
        <v>0</v>
      </c>
      <c r="CD30" s="373">
        <f t="shared" si="8"/>
        <v>0</v>
      </c>
      <c r="CE30" s="373">
        <f t="shared" si="8"/>
        <v>0</v>
      </c>
    </row>
    <row r="31" spans="1:83">
      <c r="C31" s="373" t="s">
        <v>408</v>
      </c>
      <c r="D31" s="373">
        <f>D30/$D$16</f>
        <v>0</v>
      </c>
      <c r="E31" s="373">
        <f t="shared" ref="E31:BP31" si="9">E30/$D$16</f>
        <v>0</v>
      </c>
      <c r="F31" s="373">
        <f t="shared" si="9"/>
        <v>0</v>
      </c>
      <c r="G31" s="373">
        <f t="shared" si="9"/>
        <v>0</v>
      </c>
      <c r="H31" s="373">
        <f t="shared" si="9"/>
        <v>0</v>
      </c>
      <c r="I31" s="373">
        <f t="shared" si="9"/>
        <v>0</v>
      </c>
      <c r="J31" s="373">
        <f t="shared" si="9"/>
        <v>0</v>
      </c>
      <c r="K31" s="373">
        <f t="shared" si="9"/>
        <v>0</v>
      </c>
      <c r="L31" s="373">
        <f>L30/$D$16</f>
        <v>0</v>
      </c>
      <c r="M31" s="373">
        <f t="shared" si="9"/>
        <v>0</v>
      </c>
      <c r="N31" s="373">
        <f t="shared" si="9"/>
        <v>0</v>
      </c>
      <c r="O31" s="373">
        <f t="shared" si="9"/>
        <v>0</v>
      </c>
      <c r="P31" s="373">
        <f t="shared" si="9"/>
        <v>0</v>
      </c>
      <c r="Q31" s="373">
        <f t="shared" si="9"/>
        <v>0</v>
      </c>
      <c r="R31" s="373">
        <f t="shared" si="9"/>
        <v>0</v>
      </c>
      <c r="S31" s="373">
        <f t="shared" si="9"/>
        <v>0</v>
      </c>
      <c r="T31" s="373">
        <f t="shared" si="9"/>
        <v>0</v>
      </c>
      <c r="U31" s="373">
        <f t="shared" si="9"/>
        <v>0</v>
      </c>
      <c r="V31" s="373">
        <f t="shared" si="9"/>
        <v>0</v>
      </c>
      <c r="W31" s="373">
        <f t="shared" si="9"/>
        <v>0</v>
      </c>
      <c r="X31" s="373">
        <f t="shared" si="9"/>
        <v>0</v>
      </c>
      <c r="Y31" s="373">
        <f t="shared" si="9"/>
        <v>0</v>
      </c>
      <c r="Z31" s="373">
        <f t="shared" si="9"/>
        <v>0</v>
      </c>
      <c r="AA31" s="373">
        <f t="shared" si="9"/>
        <v>0</v>
      </c>
      <c r="AB31" s="373">
        <f t="shared" si="9"/>
        <v>0</v>
      </c>
      <c r="AC31" s="373">
        <f t="shared" si="9"/>
        <v>0</v>
      </c>
      <c r="AD31" s="373">
        <f t="shared" si="9"/>
        <v>0</v>
      </c>
      <c r="AE31" s="373">
        <f t="shared" si="9"/>
        <v>0</v>
      </c>
      <c r="AF31" s="373">
        <f t="shared" si="9"/>
        <v>0</v>
      </c>
      <c r="AG31" s="373">
        <f t="shared" si="9"/>
        <v>0</v>
      </c>
      <c r="AH31" s="373">
        <f t="shared" si="9"/>
        <v>0</v>
      </c>
      <c r="AI31" s="373">
        <f t="shared" si="9"/>
        <v>0</v>
      </c>
      <c r="AJ31" s="373">
        <f t="shared" si="9"/>
        <v>0</v>
      </c>
      <c r="AK31" s="373">
        <f t="shared" si="9"/>
        <v>0</v>
      </c>
      <c r="AL31" s="373">
        <f t="shared" si="9"/>
        <v>0</v>
      </c>
      <c r="AM31" s="373">
        <f t="shared" si="9"/>
        <v>0</v>
      </c>
      <c r="AN31" s="373">
        <f t="shared" si="9"/>
        <v>0</v>
      </c>
      <c r="AO31" s="373">
        <f t="shared" si="9"/>
        <v>0</v>
      </c>
      <c r="AP31" s="373">
        <f t="shared" si="9"/>
        <v>0</v>
      </c>
      <c r="AQ31" s="373">
        <f t="shared" si="9"/>
        <v>0</v>
      </c>
      <c r="AR31" s="373">
        <f t="shared" si="9"/>
        <v>0</v>
      </c>
      <c r="AS31" s="373">
        <f t="shared" si="9"/>
        <v>0</v>
      </c>
      <c r="AT31" s="373">
        <f t="shared" si="9"/>
        <v>0</v>
      </c>
      <c r="AU31" s="373">
        <f t="shared" si="9"/>
        <v>0</v>
      </c>
      <c r="AV31" s="373">
        <f t="shared" si="9"/>
        <v>0</v>
      </c>
      <c r="AW31" s="373">
        <f t="shared" si="9"/>
        <v>0</v>
      </c>
      <c r="AX31" s="373">
        <f t="shared" si="9"/>
        <v>0</v>
      </c>
      <c r="AY31" s="373">
        <f t="shared" si="9"/>
        <v>0</v>
      </c>
      <c r="AZ31" s="373">
        <f t="shared" si="9"/>
        <v>0</v>
      </c>
      <c r="BA31" s="373">
        <f t="shared" si="9"/>
        <v>0</v>
      </c>
      <c r="BB31" s="373">
        <f t="shared" si="9"/>
        <v>0</v>
      </c>
      <c r="BC31" s="373">
        <f t="shared" si="9"/>
        <v>0</v>
      </c>
      <c r="BD31" s="373">
        <f t="shared" si="9"/>
        <v>0</v>
      </c>
      <c r="BE31" s="373">
        <f t="shared" si="9"/>
        <v>0</v>
      </c>
      <c r="BF31" s="373">
        <f t="shared" si="9"/>
        <v>0</v>
      </c>
      <c r="BG31" s="373">
        <f t="shared" si="9"/>
        <v>0</v>
      </c>
      <c r="BH31" s="373">
        <f t="shared" si="9"/>
        <v>0</v>
      </c>
      <c r="BI31" s="373">
        <f t="shared" si="9"/>
        <v>0</v>
      </c>
      <c r="BJ31" s="373">
        <f t="shared" si="9"/>
        <v>0</v>
      </c>
      <c r="BK31" s="373">
        <f t="shared" si="9"/>
        <v>0</v>
      </c>
      <c r="BL31" s="373">
        <f t="shared" si="9"/>
        <v>0</v>
      </c>
      <c r="BM31" s="373">
        <f t="shared" si="9"/>
        <v>0</v>
      </c>
      <c r="BN31" s="373">
        <f t="shared" si="9"/>
        <v>0</v>
      </c>
      <c r="BO31" s="373">
        <f t="shared" si="9"/>
        <v>0</v>
      </c>
      <c r="BP31" s="373">
        <f t="shared" si="9"/>
        <v>0</v>
      </c>
      <c r="BQ31" s="373">
        <f t="shared" ref="BQ31:CE31" si="10">BQ30/$D$16</f>
        <v>0</v>
      </c>
      <c r="BR31" s="373">
        <f t="shared" si="10"/>
        <v>0</v>
      </c>
      <c r="BS31" s="373">
        <f t="shared" si="10"/>
        <v>0</v>
      </c>
      <c r="BT31" s="373">
        <f t="shared" si="10"/>
        <v>0</v>
      </c>
      <c r="BU31" s="373">
        <f t="shared" si="10"/>
        <v>0</v>
      </c>
      <c r="BV31" s="373">
        <f t="shared" si="10"/>
        <v>0</v>
      </c>
      <c r="BW31" s="373">
        <f t="shared" si="10"/>
        <v>0</v>
      </c>
      <c r="BX31" s="373">
        <f t="shared" si="10"/>
        <v>0</v>
      </c>
      <c r="BY31" s="373">
        <f t="shared" si="10"/>
        <v>0</v>
      </c>
      <c r="BZ31" s="373">
        <f t="shared" si="10"/>
        <v>0</v>
      </c>
      <c r="CA31" s="373">
        <f t="shared" si="10"/>
        <v>0</v>
      </c>
      <c r="CB31" s="373">
        <f t="shared" si="10"/>
        <v>0</v>
      </c>
      <c r="CC31" s="373">
        <f t="shared" si="10"/>
        <v>0</v>
      </c>
      <c r="CD31" s="373">
        <f t="shared" si="10"/>
        <v>0</v>
      </c>
      <c r="CE31" s="373">
        <f t="shared" si="10"/>
        <v>0</v>
      </c>
    </row>
    <row r="32" spans="1:83">
      <c r="C32" s="373" t="s">
        <v>400</v>
      </c>
      <c r="D32" s="373">
        <f>(1+$D$12)*D31</f>
        <v>0</v>
      </c>
      <c r="E32" s="373">
        <f t="shared" ref="E32:BP32" si="11">(1+$D$12)*E31</f>
        <v>0</v>
      </c>
      <c r="F32" s="373">
        <f t="shared" si="11"/>
        <v>0</v>
      </c>
      <c r="G32" s="373">
        <f t="shared" si="11"/>
        <v>0</v>
      </c>
      <c r="H32" s="373">
        <f t="shared" si="11"/>
        <v>0</v>
      </c>
      <c r="I32" s="373">
        <f t="shared" si="11"/>
        <v>0</v>
      </c>
      <c r="J32" s="373">
        <f t="shared" si="11"/>
        <v>0</v>
      </c>
      <c r="K32" s="373">
        <f t="shared" si="11"/>
        <v>0</v>
      </c>
      <c r="L32" s="373">
        <f>(1+$D$12)*L31</f>
        <v>0</v>
      </c>
      <c r="M32" s="373">
        <f t="shared" si="11"/>
        <v>0</v>
      </c>
      <c r="N32" s="373">
        <f t="shared" si="11"/>
        <v>0</v>
      </c>
      <c r="O32" s="373">
        <f t="shared" si="11"/>
        <v>0</v>
      </c>
      <c r="P32" s="373">
        <f t="shared" si="11"/>
        <v>0</v>
      </c>
      <c r="Q32" s="373">
        <f t="shared" si="11"/>
        <v>0</v>
      </c>
      <c r="R32" s="373">
        <f t="shared" si="11"/>
        <v>0</v>
      </c>
      <c r="S32" s="373">
        <f t="shared" si="11"/>
        <v>0</v>
      </c>
      <c r="T32" s="373">
        <f t="shared" si="11"/>
        <v>0</v>
      </c>
      <c r="U32" s="373">
        <f t="shared" si="11"/>
        <v>0</v>
      </c>
      <c r="V32" s="373">
        <f t="shared" si="11"/>
        <v>0</v>
      </c>
      <c r="W32" s="373">
        <f t="shared" si="11"/>
        <v>0</v>
      </c>
      <c r="X32" s="373">
        <f t="shared" si="11"/>
        <v>0</v>
      </c>
      <c r="Y32" s="373">
        <f t="shared" si="11"/>
        <v>0</v>
      </c>
      <c r="Z32" s="373">
        <f t="shared" si="11"/>
        <v>0</v>
      </c>
      <c r="AA32" s="373">
        <f t="shared" si="11"/>
        <v>0</v>
      </c>
      <c r="AB32" s="373">
        <f t="shared" si="11"/>
        <v>0</v>
      </c>
      <c r="AC32" s="373">
        <f t="shared" si="11"/>
        <v>0</v>
      </c>
      <c r="AD32" s="373">
        <f t="shared" si="11"/>
        <v>0</v>
      </c>
      <c r="AE32" s="373">
        <f t="shared" si="11"/>
        <v>0</v>
      </c>
      <c r="AF32" s="373">
        <f t="shared" si="11"/>
        <v>0</v>
      </c>
      <c r="AG32" s="373">
        <f t="shared" si="11"/>
        <v>0</v>
      </c>
      <c r="AH32" s="373">
        <f t="shared" si="11"/>
        <v>0</v>
      </c>
      <c r="AI32" s="373">
        <f t="shared" si="11"/>
        <v>0</v>
      </c>
      <c r="AJ32" s="373">
        <f t="shared" si="11"/>
        <v>0</v>
      </c>
      <c r="AK32" s="373">
        <f t="shared" si="11"/>
        <v>0</v>
      </c>
      <c r="AL32" s="373">
        <f t="shared" si="11"/>
        <v>0</v>
      </c>
      <c r="AM32" s="373">
        <f t="shared" si="11"/>
        <v>0</v>
      </c>
      <c r="AN32" s="373">
        <f t="shared" si="11"/>
        <v>0</v>
      </c>
      <c r="AO32" s="373">
        <f t="shared" si="11"/>
        <v>0</v>
      </c>
      <c r="AP32" s="373">
        <f t="shared" si="11"/>
        <v>0</v>
      </c>
      <c r="AQ32" s="373">
        <f t="shared" si="11"/>
        <v>0</v>
      </c>
      <c r="AR32" s="373">
        <f t="shared" si="11"/>
        <v>0</v>
      </c>
      <c r="AS32" s="373">
        <f t="shared" si="11"/>
        <v>0</v>
      </c>
      <c r="AT32" s="373">
        <f t="shared" si="11"/>
        <v>0</v>
      </c>
      <c r="AU32" s="373">
        <f t="shared" si="11"/>
        <v>0</v>
      </c>
      <c r="AV32" s="373">
        <f t="shared" si="11"/>
        <v>0</v>
      </c>
      <c r="AW32" s="373">
        <f t="shared" si="11"/>
        <v>0</v>
      </c>
      <c r="AX32" s="373">
        <f t="shared" si="11"/>
        <v>0</v>
      </c>
      <c r="AY32" s="373">
        <f t="shared" si="11"/>
        <v>0</v>
      </c>
      <c r="AZ32" s="373">
        <f t="shared" si="11"/>
        <v>0</v>
      </c>
      <c r="BA32" s="373">
        <f t="shared" si="11"/>
        <v>0</v>
      </c>
      <c r="BB32" s="373">
        <f t="shared" si="11"/>
        <v>0</v>
      </c>
      <c r="BC32" s="373">
        <f t="shared" si="11"/>
        <v>0</v>
      </c>
      <c r="BD32" s="373">
        <f t="shared" si="11"/>
        <v>0</v>
      </c>
      <c r="BE32" s="373">
        <f t="shared" si="11"/>
        <v>0</v>
      </c>
      <c r="BF32" s="373">
        <f t="shared" si="11"/>
        <v>0</v>
      </c>
      <c r="BG32" s="373">
        <f t="shared" si="11"/>
        <v>0</v>
      </c>
      <c r="BH32" s="373">
        <f t="shared" si="11"/>
        <v>0</v>
      </c>
      <c r="BI32" s="373">
        <f t="shared" si="11"/>
        <v>0</v>
      </c>
      <c r="BJ32" s="373">
        <f t="shared" si="11"/>
        <v>0</v>
      </c>
      <c r="BK32" s="373">
        <f t="shared" si="11"/>
        <v>0</v>
      </c>
      <c r="BL32" s="373">
        <f t="shared" si="11"/>
        <v>0</v>
      </c>
      <c r="BM32" s="373">
        <f t="shared" si="11"/>
        <v>0</v>
      </c>
      <c r="BN32" s="373">
        <f t="shared" si="11"/>
        <v>0</v>
      </c>
      <c r="BO32" s="373">
        <f t="shared" si="11"/>
        <v>0</v>
      </c>
      <c r="BP32" s="373">
        <f t="shared" si="11"/>
        <v>0</v>
      </c>
      <c r="BQ32" s="373">
        <f t="shared" ref="BQ32:CE32" si="12">(1+$D$12)*BQ31</f>
        <v>0</v>
      </c>
      <c r="BR32" s="373">
        <f t="shared" si="12"/>
        <v>0</v>
      </c>
      <c r="BS32" s="373">
        <f t="shared" si="12"/>
        <v>0</v>
      </c>
      <c r="BT32" s="373">
        <f t="shared" si="12"/>
        <v>0</v>
      </c>
      <c r="BU32" s="373">
        <f t="shared" si="12"/>
        <v>0</v>
      </c>
      <c r="BV32" s="373">
        <f t="shared" si="12"/>
        <v>0</v>
      </c>
      <c r="BW32" s="373">
        <f t="shared" si="12"/>
        <v>0</v>
      </c>
      <c r="BX32" s="373">
        <f t="shared" si="12"/>
        <v>0</v>
      </c>
      <c r="BY32" s="373">
        <f t="shared" si="12"/>
        <v>0</v>
      </c>
      <c r="BZ32" s="373">
        <f t="shared" si="12"/>
        <v>0</v>
      </c>
      <c r="CA32" s="373">
        <f t="shared" si="12"/>
        <v>0</v>
      </c>
      <c r="CB32" s="373">
        <f t="shared" si="12"/>
        <v>0</v>
      </c>
      <c r="CC32" s="373">
        <f t="shared" si="12"/>
        <v>0</v>
      </c>
      <c r="CD32" s="373">
        <f t="shared" si="12"/>
        <v>0</v>
      </c>
      <c r="CE32" s="373">
        <f t="shared" si="12"/>
        <v>0</v>
      </c>
    </row>
    <row r="35" spans="3:4">
      <c r="C35" s="373" t="s">
        <v>152</v>
      </c>
      <c r="D35" s="373">
        <f>SUM(D32:CE32)</f>
        <v>0</v>
      </c>
    </row>
  </sheetData>
  <conditionalFormatting sqref="D27:CE28">
    <cfRule type="containsText" dxfId="0" priority="1" operator="containsText" text="FALSE">
      <formula>NOT(ISERROR(SEARCH("FALSE",D27)))</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C2:F40"/>
  <sheetViews>
    <sheetView topLeftCell="A10" workbookViewId="0">
      <selection activeCell="D5" sqref="D5:H5"/>
    </sheetView>
  </sheetViews>
  <sheetFormatPr defaultRowHeight="14.5"/>
  <cols>
    <col min="3" max="3" width="12.26953125" customWidth="1"/>
  </cols>
  <sheetData>
    <row r="2" spans="3:4">
      <c r="C2" t="s">
        <v>372</v>
      </c>
    </row>
    <row r="3" spans="3:4">
      <c r="C3" t="s">
        <v>409</v>
      </c>
    </row>
    <row r="6" spans="3:4">
      <c r="C6" t="s">
        <v>410</v>
      </c>
    </row>
    <row r="7" spans="3:4">
      <c r="C7" t="s">
        <v>411</v>
      </c>
    </row>
    <row r="10" spans="3:4">
      <c r="C10" t="s">
        <v>144</v>
      </c>
      <c r="D10" t="s">
        <v>144</v>
      </c>
    </row>
    <row r="11" spans="3:4">
      <c r="C11" t="s">
        <v>412</v>
      </c>
      <c r="D11" t="s">
        <v>412</v>
      </c>
    </row>
    <row r="12" spans="3:4">
      <c r="C12" t="s">
        <v>413</v>
      </c>
      <c r="D12" t="s">
        <v>414</v>
      </c>
    </row>
    <row r="13" spans="3:4">
      <c r="C13" t="s">
        <v>415</v>
      </c>
      <c r="D13" t="s">
        <v>413</v>
      </c>
    </row>
    <row r="14" spans="3:4">
      <c r="D14" t="s">
        <v>416</v>
      </c>
    </row>
    <row r="15" spans="3:4">
      <c r="D15" t="s">
        <v>415</v>
      </c>
    </row>
    <row r="17" spans="3:6">
      <c r="C17" t="s">
        <v>417</v>
      </c>
      <c r="D17" t="s">
        <v>418</v>
      </c>
      <c r="E17" t="s">
        <v>419</v>
      </c>
      <c r="F17" t="str">
        <f>CONCATENATE(C17,D17, E17)</f>
        <v>Poor VfM</v>
      </c>
    </row>
    <row r="18" spans="3:6">
      <c r="C18" t="s">
        <v>420</v>
      </c>
      <c r="D18" t="s">
        <v>418</v>
      </c>
      <c r="E18" t="s">
        <v>419</v>
      </c>
      <c r="F18" t="str">
        <f>CONCATENATE(C18,D18, E18)</f>
        <v>Low VfM</v>
      </c>
    </row>
    <row r="19" spans="3:6">
      <c r="C19" t="s">
        <v>421</v>
      </c>
      <c r="D19" t="s">
        <v>418</v>
      </c>
      <c r="E19" t="s">
        <v>419</v>
      </c>
      <c r="F19" t="str">
        <f>CONCATENATE(C19,D19, E19)</f>
        <v>Medium VfM</v>
      </c>
    </row>
    <row r="20" spans="3:6">
      <c r="C20" t="s">
        <v>422</v>
      </c>
      <c r="D20" t="s">
        <v>418</v>
      </c>
      <c r="E20" t="s">
        <v>419</v>
      </c>
      <c r="F20" t="str">
        <f>CONCATENATE(C20,D20, E20)</f>
        <v>High VfM</v>
      </c>
    </row>
    <row r="21" spans="3:6">
      <c r="C21" t="s">
        <v>423</v>
      </c>
      <c r="D21" t="s">
        <v>418</v>
      </c>
      <c r="E21" t="s">
        <v>419</v>
      </c>
      <c r="F21" t="str">
        <f>CONCATENATE(C21,D21, E21)</f>
        <v>Very High VfM</v>
      </c>
    </row>
    <row r="26" spans="3:6">
      <c r="C26" t="s">
        <v>424</v>
      </c>
      <c r="D26" s="580">
        <f>'National Traffic Model'!F20</f>
        <v>64.095946963148805</v>
      </c>
    </row>
    <row r="27" spans="3:6">
      <c r="C27" t="s">
        <v>425</v>
      </c>
      <c r="D27" s="580">
        <f>'National Traffic Model'!F33</f>
        <v>46.173689474133035</v>
      </c>
    </row>
    <row r="28" spans="3:6">
      <c r="C28" t="s">
        <v>426</v>
      </c>
      <c r="D28" s="580">
        <f>'National Traffic Model'!F45</f>
        <v>33.539286004215164</v>
      </c>
    </row>
    <row r="29" spans="3:6">
      <c r="C29" t="s">
        <v>427</v>
      </c>
      <c r="D29" s="580">
        <f>'National Traffic Model'!F57</f>
        <v>23.873267198283379</v>
      </c>
    </row>
    <row r="32" spans="3:6">
      <c r="C32" s="734" t="s">
        <v>150</v>
      </c>
      <c r="D32" s="735">
        <v>0.82</v>
      </c>
    </row>
    <row r="33" spans="3:4">
      <c r="C33" s="734" t="s">
        <v>89</v>
      </c>
      <c r="D33" s="735">
        <v>0.11</v>
      </c>
    </row>
    <row r="34" spans="3:4">
      <c r="C34" s="734" t="s">
        <v>91</v>
      </c>
      <c r="D34" s="735">
        <v>0.06</v>
      </c>
    </row>
    <row r="35" spans="3:4">
      <c r="C35" s="734" t="s">
        <v>93</v>
      </c>
      <c r="D35" s="735">
        <v>0.01</v>
      </c>
    </row>
    <row r="38" spans="3:4">
      <c r="C38" s="734" t="s">
        <v>101</v>
      </c>
      <c r="D38" s="734">
        <v>0.03</v>
      </c>
    </row>
    <row r="39" spans="3:4">
      <c r="C39" s="734" t="s">
        <v>102</v>
      </c>
      <c r="D39" s="734">
        <v>0.27</v>
      </c>
    </row>
    <row r="40" spans="3:4">
      <c r="C40" s="734" t="s">
        <v>103</v>
      </c>
      <c r="D40" s="734">
        <v>0.7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6"/>
  </sheetPr>
  <dimension ref="A1:Z142"/>
  <sheetViews>
    <sheetView topLeftCell="A2" zoomScale="70" zoomScaleNormal="70" workbookViewId="0">
      <selection activeCell="I43" sqref="I43"/>
    </sheetView>
  </sheetViews>
  <sheetFormatPr defaultColWidth="12.81640625" defaultRowHeight="13.5" customHeight="1"/>
  <cols>
    <col min="1" max="4" width="12.81640625" style="500" customWidth="1"/>
    <col min="5" max="5" width="17.54296875" style="500" customWidth="1"/>
    <col min="6" max="11" width="12.81640625" style="500" customWidth="1"/>
    <col min="12" max="12" width="60.81640625" style="500" customWidth="1"/>
    <col min="13" max="13" width="12.81640625" style="500" customWidth="1"/>
    <col min="14" max="14" width="51.81640625" style="500" customWidth="1"/>
    <col min="15" max="18" width="12.81640625" style="500" customWidth="1"/>
    <col min="19" max="19" width="73.1796875" style="500" customWidth="1"/>
    <col min="20" max="21" width="12.81640625" style="500" customWidth="1"/>
    <col min="22" max="22" width="12.81640625" style="501" customWidth="1"/>
    <col min="23" max="256" width="12.81640625" style="500"/>
    <col min="257" max="260" width="12.81640625" style="500" customWidth="1"/>
    <col min="261" max="261" width="17.54296875" style="500" customWidth="1"/>
    <col min="262" max="267" width="12.81640625" style="500" customWidth="1"/>
    <col min="268" max="268" width="60.81640625" style="500" customWidth="1"/>
    <col min="269" max="269" width="12.81640625" style="500" customWidth="1"/>
    <col min="270" max="270" width="51.81640625" style="500" customWidth="1"/>
    <col min="271" max="274" width="12.81640625" style="500" customWidth="1"/>
    <col min="275" max="275" width="73.1796875" style="500" customWidth="1"/>
    <col min="276" max="278" width="12.81640625" style="500" customWidth="1"/>
    <col min="279" max="512" width="12.81640625" style="500"/>
    <col min="513" max="516" width="12.81640625" style="500" customWidth="1"/>
    <col min="517" max="517" width="17.54296875" style="500" customWidth="1"/>
    <col min="518" max="523" width="12.81640625" style="500" customWidth="1"/>
    <col min="524" max="524" width="60.81640625" style="500" customWidth="1"/>
    <col min="525" max="525" width="12.81640625" style="500" customWidth="1"/>
    <col min="526" max="526" width="51.81640625" style="500" customWidth="1"/>
    <col min="527" max="530" width="12.81640625" style="500" customWidth="1"/>
    <col min="531" max="531" width="73.1796875" style="500" customWidth="1"/>
    <col min="532" max="534" width="12.81640625" style="500" customWidth="1"/>
    <col min="535" max="768" width="12.81640625" style="500"/>
    <col min="769" max="772" width="12.81640625" style="500" customWidth="1"/>
    <col min="773" max="773" width="17.54296875" style="500" customWidth="1"/>
    <col min="774" max="779" width="12.81640625" style="500" customWidth="1"/>
    <col min="780" max="780" width="60.81640625" style="500" customWidth="1"/>
    <col min="781" max="781" width="12.81640625" style="500" customWidth="1"/>
    <col min="782" max="782" width="51.81640625" style="500" customWidth="1"/>
    <col min="783" max="786" width="12.81640625" style="500" customWidth="1"/>
    <col min="787" max="787" width="73.1796875" style="500" customWidth="1"/>
    <col min="788" max="790" width="12.81640625" style="500" customWidth="1"/>
    <col min="791" max="1024" width="12.81640625" style="500"/>
    <col min="1025" max="1028" width="12.81640625" style="500" customWidth="1"/>
    <col min="1029" max="1029" width="17.54296875" style="500" customWidth="1"/>
    <col min="1030" max="1035" width="12.81640625" style="500" customWidth="1"/>
    <col min="1036" max="1036" width="60.81640625" style="500" customWidth="1"/>
    <col min="1037" max="1037" width="12.81640625" style="500" customWidth="1"/>
    <col min="1038" max="1038" width="51.81640625" style="500" customWidth="1"/>
    <col min="1039" max="1042" width="12.81640625" style="500" customWidth="1"/>
    <col min="1043" max="1043" width="73.1796875" style="500" customWidth="1"/>
    <col min="1044" max="1046" width="12.81640625" style="500" customWidth="1"/>
    <col min="1047" max="1280" width="12.81640625" style="500"/>
    <col min="1281" max="1284" width="12.81640625" style="500" customWidth="1"/>
    <col min="1285" max="1285" width="17.54296875" style="500" customWidth="1"/>
    <col min="1286" max="1291" width="12.81640625" style="500" customWidth="1"/>
    <col min="1292" max="1292" width="60.81640625" style="500" customWidth="1"/>
    <col min="1293" max="1293" width="12.81640625" style="500" customWidth="1"/>
    <col min="1294" max="1294" width="51.81640625" style="500" customWidth="1"/>
    <col min="1295" max="1298" width="12.81640625" style="500" customWidth="1"/>
    <col min="1299" max="1299" width="73.1796875" style="500" customWidth="1"/>
    <col min="1300" max="1302" width="12.81640625" style="500" customWidth="1"/>
    <col min="1303" max="1536" width="12.81640625" style="500"/>
    <col min="1537" max="1540" width="12.81640625" style="500" customWidth="1"/>
    <col min="1541" max="1541" width="17.54296875" style="500" customWidth="1"/>
    <col min="1542" max="1547" width="12.81640625" style="500" customWidth="1"/>
    <col min="1548" max="1548" width="60.81640625" style="500" customWidth="1"/>
    <col min="1549" max="1549" width="12.81640625" style="500" customWidth="1"/>
    <col min="1550" max="1550" width="51.81640625" style="500" customWidth="1"/>
    <col min="1551" max="1554" width="12.81640625" style="500" customWidth="1"/>
    <col min="1555" max="1555" width="73.1796875" style="500" customWidth="1"/>
    <col min="1556" max="1558" width="12.81640625" style="500" customWidth="1"/>
    <col min="1559" max="1792" width="12.81640625" style="500"/>
    <col min="1793" max="1796" width="12.81640625" style="500" customWidth="1"/>
    <col min="1797" max="1797" width="17.54296875" style="500" customWidth="1"/>
    <col min="1798" max="1803" width="12.81640625" style="500" customWidth="1"/>
    <col min="1804" max="1804" width="60.81640625" style="500" customWidth="1"/>
    <col min="1805" max="1805" width="12.81640625" style="500" customWidth="1"/>
    <col min="1806" max="1806" width="51.81640625" style="500" customWidth="1"/>
    <col min="1807" max="1810" width="12.81640625" style="500" customWidth="1"/>
    <col min="1811" max="1811" width="73.1796875" style="500" customWidth="1"/>
    <col min="1812" max="1814" width="12.81640625" style="500" customWidth="1"/>
    <col min="1815" max="2048" width="12.81640625" style="500"/>
    <col min="2049" max="2052" width="12.81640625" style="500" customWidth="1"/>
    <col min="2053" max="2053" width="17.54296875" style="500" customWidth="1"/>
    <col min="2054" max="2059" width="12.81640625" style="500" customWidth="1"/>
    <col min="2060" max="2060" width="60.81640625" style="500" customWidth="1"/>
    <col min="2061" max="2061" width="12.81640625" style="500" customWidth="1"/>
    <col min="2062" max="2062" width="51.81640625" style="500" customWidth="1"/>
    <col min="2063" max="2066" width="12.81640625" style="500" customWidth="1"/>
    <col min="2067" max="2067" width="73.1796875" style="500" customWidth="1"/>
    <col min="2068" max="2070" width="12.81640625" style="500" customWidth="1"/>
    <col min="2071" max="2304" width="12.81640625" style="500"/>
    <col min="2305" max="2308" width="12.81640625" style="500" customWidth="1"/>
    <col min="2309" max="2309" width="17.54296875" style="500" customWidth="1"/>
    <col min="2310" max="2315" width="12.81640625" style="500" customWidth="1"/>
    <col min="2316" max="2316" width="60.81640625" style="500" customWidth="1"/>
    <col min="2317" max="2317" width="12.81640625" style="500" customWidth="1"/>
    <col min="2318" max="2318" width="51.81640625" style="500" customWidth="1"/>
    <col min="2319" max="2322" width="12.81640625" style="500" customWidth="1"/>
    <col min="2323" max="2323" width="73.1796875" style="500" customWidth="1"/>
    <col min="2324" max="2326" width="12.81640625" style="500" customWidth="1"/>
    <col min="2327" max="2560" width="12.81640625" style="500"/>
    <col min="2561" max="2564" width="12.81640625" style="500" customWidth="1"/>
    <col min="2565" max="2565" width="17.54296875" style="500" customWidth="1"/>
    <col min="2566" max="2571" width="12.81640625" style="500" customWidth="1"/>
    <col min="2572" max="2572" width="60.81640625" style="500" customWidth="1"/>
    <col min="2573" max="2573" width="12.81640625" style="500" customWidth="1"/>
    <col min="2574" max="2574" width="51.81640625" style="500" customWidth="1"/>
    <col min="2575" max="2578" width="12.81640625" style="500" customWidth="1"/>
    <col min="2579" max="2579" width="73.1796875" style="500" customWidth="1"/>
    <col min="2580" max="2582" width="12.81640625" style="500" customWidth="1"/>
    <col min="2583" max="2816" width="12.81640625" style="500"/>
    <col min="2817" max="2820" width="12.81640625" style="500" customWidth="1"/>
    <col min="2821" max="2821" width="17.54296875" style="500" customWidth="1"/>
    <col min="2822" max="2827" width="12.81640625" style="500" customWidth="1"/>
    <col min="2828" max="2828" width="60.81640625" style="500" customWidth="1"/>
    <col min="2829" max="2829" width="12.81640625" style="500" customWidth="1"/>
    <col min="2830" max="2830" width="51.81640625" style="500" customWidth="1"/>
    <col min="2831" max="2834" width="12.81640625" style="500" customWidth="1"/>
    <col min="2835" max="2835" width="73.1796875" style="500" customWidth="1"/>
    <col min="2836" max="2838" width="12.81640625" style="500" customWidth="1"/>
    <col min="2839" max="3072" width="12.81640625" style="500"/>
    <col min="3073" max="3076" width="12.81640625" style="500" customWidth="1"/>
    <col min="3077" max="3077" width="17.54296875" style="500" customWidth="1"/>
    <col min="3078" max="3083" width="12.81640625" style="500" customWidth="1"/>
    <col min="3084" max="3084" width="60.81640625" style="500" customWidth="1"/>
    <col min="3085" max="3085" width="12.81640625" style="500" customWidth="1"/>
    <col min="3086" max="3086" width="51.81640625" style="500" customWidth="1"/>
    <col min="3087" max="3090" width="12.81640625" style="500" customWidth="1"/>
    <col min="3091" max="3091" width="73.1796875" style="500" customWidth="1"/>
    <col min="3092" max="3094" width="12.81640625" style="500" customWidth="1"/>
    <col min="3095" max="3328" width="12.81640625" style="500"/>
    <col min="3329" max="3332" width="12.81640625" style="500" customWidth="1"/>
    <col min="3333" max="3333" width="17.54296875" style="500" customWidth="1"/>
    <col min="3334" max="3339" width="12.81640625" style="500" customWidth="1"/>
    <col min="3340" max="3340" width="60.81640625" style="500" customWidth="1"/>
    <col min="3341" max="3341" width="12.81640625" style="500" customWidth="1"/>
    <col min="3342" max="3342" width="51.81640625" style="500" customWidth="1"/>
    <col min="3343" max="3346" width="12.81640625" style="500" customWidth="1"/>
    <col min="3347" max="3347" width="73.1796875" style="500" customWidth="1"/>
    <col min="3348" max="3350" width="12.81640625" style="500" customWidth="1"/>
    <col min="3351" max="3584" width="12.81640625" style="500"/>
    <col min="3585" max="3588" width="12.81640625" style="500" customWidth="1"/>
    <col min="3589" max="3589" width="17.54296875" style="500" customWidth="1"/>
    <col min="3590" max="3595" width="12.81640625" style="500" customWidth="1"/>
    <col min="3596" max="3596" width="60.81640625" style="500" customWidth="1"/>
    <col min="3597" max="3597" width="12.81640625" style="500" customWidth="1"/>
    <col min="3598" max="3598" width="51.81640625" style="500" customWidth="1"/>
    <col min="3599" max="3602" width="12.81640625" style="500" customWidth="1"/>
    <col min="3603" max="3603" width="73.1796875" style="500" customWidth="1"/>
    <col min="3604" max="3606" width="12.81640625" style="500" customWidth="1"/>
    <col min="3607" max="3840" width="12.81640625" style="500"/>
    <col min="3841" max="3844" width="12.81640625" style="500" customWidth="1"/>
    <col min="3845" max="3845" width="17.54296875" style="500" customWidth="1"/>
    <col min="3846" max="3851" width="12.81640625" style="500" customWidth="1"/>
    <col min="3852" max="3852" width="60.81640625" style="500" customWidth="1"/>
    <col min="3853" max="3853" width="12.81640625" style="500" customWidth="1"/>
    <col min="3854" max="3854" width="51.81640625" style="500" customWidth="1"/>
    <col min="3855" max="3858" width="12.81640625" style="500" customWidth="1"/>
    <col min="3859" max="3859" width="73.1796875" style="500" customWidth="1"/>
    <col min="3860" max="3862" width="12.81640625" style="500" customWidth="1"/>
    <col min="3863" max="4096" width="12.81640625" style="500"/>
    <col min="4097" max="4100" width="12.81640625" style="500" customWidth="1"/>
    <col min="4101" max="4101" width="17.54296875" style="500" customWidth="1"/>
    <col min="4102" max="4107" width="12.81640625" style="500" customWidth="1"/>
    <col min="4108" max="4108" width="60.81640625" style="500" customWidth="1"/>
    <col min="4109" max="4109" width="12.81640625" style="500" customWidth="1"/>
    <col min="4110" max="4110" width="51.81640625" style="500" customWidth="1"/>
    <col min="4111" max="4114" width="12.81640625" style="500" customWidth="1"/>
    <col min="4115" max="4115" width="73.1796875" style="500" customWidth="1"/>
    <col min="4116" max="4118" width="12.81640625" style="500" customWidth="1"/>
    <col min="4119" max="4352" width="12.81640625" style="500"/>
    <col min="4353" max="4356" width="12.81640625" style="500" customWidth="1"/>
    <col min="4357" max="4357" width="17.54296875" style="500" customWidth="1"/>
    <col min="4358" max="4363" width="12.81640625" style="500" customWidth="1"/>
    <col min="4364" max="4364" width="60.81640625" style="500" customWidth="1"/>
    <col min="4365" max="4365" width="12.81640625" style="500" customWidth="1"/>
    <col min="4366" max="4366" width="51.81640625" style="500" customWidth="1"/>
    <col min="4367" max="4370" width="12.81640625" style="500" customWidth="1"/>
    <col min="4371" max="4371" width="73.1796875" style="500" customWidth="1"/>
    <col min="4372" max="4374" width="12.81640625" style="500" customWidth="1"/>
    <col min="4375" max="4608" width="12.81640625" style="500"/>
    <col min="4609" max="4612" width="12.81640625" style="500" customWidth="1"/>
    <col min="4613" max="4613" width="17.54296875" style="500" customWidth="1"/>
    <col min="4614" max="4619" width="12.81640625" style="500" customWidth="1"/>
    <col min="4620" max="4620" width="60.81640625" style="500" customWidth="1"/>
    <col min="4621" max="4621" width="12.81640625" style="500" customWidth="1"/>
    <col min="4622" max="4622" width="51.81640625" style="500" customWidth="1"/>
    <col min="4623" max="4626" width="12.81640625" style="500" customWidth="1"/>
    <col min="4627" max="4627" width="73.1796875" style="500" customWidth="1"/>
    <col min="4628" max="4630" width="12.81640625" style="500" customWidth="1"/>
    <col min="4631" max="4864" width="12.81640625" style="500"/>
    <col min="4865" max="4868" width="12.81640625" style="500" customWidth="1"/>
    <col min="4869" max="4869" width="17.54296875" style="500" customWidth="1"/>
    <col min="4870" max="4875" width="12.81640625" style="500" customWidth="1"/>
    <col min="4876" max="4876" width="60.81640625" style="500" customWidth="1"/>
    <col min="4877" max="4877" width="12.81640625" style="500" customWidth="1"/>
    <col min="4878" max="4878" width="51.81640625" style="500" customWidth="1"/>
    <col min="4879" max="4882" width="12.81640625" style="500" customWidth="1"/>
    <col min="4883" max="4883" width="73.1796875" style="500" customWidth="1"/>
    <col min="4884" max="4886" width="12.81640625" style="500" customWidth="1"/>
    <col min="4887" max="5120" width="12.81640625" style="500"/>
    <col min="5121" max="5124" width="12.81640625" style="500" customWidth="1"/>
    <col min="5125" max="5125" width="17.54296875" style="500" customWidth="1"/>
    <col min="5126" max="5131" width="12.81640625" style="500" customWidth="1"/>
    <col min="5132" max="5132" width="60.81640625" style="500" customWidth="1"/>
    <col min="5133" max="5133" width="12.81640625" style="500" customWidth="1"/>
    <col min="5134" max="5134" width="51.81640625" style="500" customWidth="1"/>
    <col min="5135" max="5138" width="12.81640625" style="500" customWidth="1"/>
    <col min="5139" max="5139" width="73.1796875" style="500" customWidth="1"/>
    <col min="5140" max="5142" width="12.81640625" style="500" customWidth="1"/>
    <col min="5143" max="5376" width="12.81640625" style="500"/>
    <col min="5377" max="5380" width="12.81640625" style="500" customWidth="1"/>
    <col min="5381" max="5381" width="17.54296875" style="500" customWidth="1"/>
    <col min="5382" max="5387" width="12.81640625" style="500" customWidth="1"/>
    <col min="5388" max="5388" width="60.81640625" style="500" customWidth="1"/>
    <col min="5389" max="5389" width="12.81640625" style="500" customWidth="1"/>
    <col min="5390" max="5390" width="51.81640625" style="500" customWidth="1"/>
    <col min="5391" max="5394" width="12.81640625" style="500" customWidth="1"/>
    <col min="5395" max="5395" width="73.1796875" style="500" customWidth="1"/>
    <col min="5396" max="5398" width="12.81640625" style="500" customWidth="1"/>
    <col min="5399" max="5632" width="12.81640625" style="500"/>
    <col min="5633" max="5636" width="12.81640625" style="500" customWidth="1"/>
    <col min="5637" max="5637" width="17.54296875" style="500" customWidth="1"/>
    <col min="5638" max="5643" width="12.81640625" style="500" customWidth="1"/>
    <col min="5644" max="5644" width="60.81640625" style="500" customWidth="1"/>
    <col min="5645" max="5645" width="12.81640625" style="500" customWidth="1"/>
    <col min="5646" max="5646" width="51.81640625" style="500" customWidth="1"/>
    <col min="5647" max="5650" width="12.81640625" style="500" customWidth="1"/>
    <col min="5651" max="5651" width="73.1796875" style="500" customWidth="1"/>
    <col min="5652" max="5654" width="12.81640625" style="500" customWidth="1"/>
    <col min="5655" max="5888" width="12.81640625" style="500"/>
    <col min="5889" max="5892" width="12.81640625" style="500" customWidth="1"/>
    <col min="5893" max="5893" width="17.54296875" style="500" customWidth="1"/>
    <col min="5894" max="5899" width="12.81640625" style="500" customWidth="1"/>
    <col min="5900" max="5900" width="60.81640625" style="500" customWidth="1"/>
    <col min="5901" max="5901" width="12.81640625" style="500" customWidth="1"/>
    <col min="5902" max="5902" width="51.81640625" style="500" customWidth="1"/>
    <col min="5903" max="5906" width="12.81640625" style="500" customWidth="1"/>
    <col min="5907" max="5907" width="73.1796875" style="500" customWidth="1"/>
    <col min="5908" max="5910" width="12.81640625" style="500" customWidth="1"/>
    <col min="5911" max="6144" width="12.81640625" style="500"/>
    <col min="6145" max="6148" width="12.81640625" style="500" customWidth="1"/>
    <col min="6149" max="6149" width="17.54296875" style="500" customWidth="1"/>
    <col min="6150" max="6155" width="12.81640625" style="500" customWidth="1"/>
    <col min="6156" max="6156" width="60.81640625" style="500" customWidth="1"/>
    <col min="6157" max="6157" width="12.81640625" style="500" customWidth="1"/>
    <col min="6158" max="6158" width="51.81640625" style="500" customWidth="1"/>
    <col min="6159" max="6162" width="12.81640625" style="500" customWidth="1"/>
    <col min="6163" max="6163" width="73.1796875" style="500" customWidth="1"/>
    <col min="6164" max="6166" width="12.81640625" style="500" customWidth="1"/>
    <col min="6167" max="6400" width="12.81640625" style="500"/>
    <col min="6401" max="6404" width="12.81640625" style="500" customWidth="1"/>
    <col min="6405" max="6405" width="17.54296875" style="500" customWidth="1"/>
    <col min="6406" max="6411" width="12.81640625" style="500" customWidth="1"/>
    <col min="6412" max="6412" width="60.81640625" style="500" customWidth="1"/>
    <col min="6413" max="6413" width="12.81640625" style="500" customWidth="1"/>
    <col min="6414" max="6414" width="51.81640625" style="500" customWidth="1"/>
    <col min="6415" max="6418" width="12.81640625" style="500" customWidth="1"/>
    <col min="6419" max="6419" width="73.1796875" style="500" customWidth="1"/>
    <col min="6420" max="6422" width="12.81640625" style="500" customWidth="1"/>
    <col min="6423" max="6656" width="12.81640625" style="500"/>
    <col min="6657" max="6660" width="12.81640625" style="500" customWidth="1"/>
    <col min="6661" max="6661" width="17.54296875" style="500" customWidth="1"/>
    <col min="6662" max="6667" width="12.81640625" style="500" customWidth="1"/>
    <col min="6668" max="6668" width="60.81640625" style="500" customWidth="1"/>
    <col min="6669" max="6669" width="12.81640625" style="500" customWidth="1"/>
    <col min="6670" max="6670" width="51.81640625" style="500" customWidth="1"/>
    <col min="6671" max="6674" width="12.81640625" style="500" customWidth="1"/>
    <col min="6675" max="6675" width="73.1796875" style="500" customWidth="1"/>
    <col min="6676" max="6678" width="12.81640625" style="500" customWidth="1"/>
    <col min="6679" max="6912" width="12.81640625" style="500"/>
    <col min="6913" max="6916" width="12.81640625" style="500" customWidth="1"/>
    <col min="6917" max="6917" width="17.54296875" style="500" customWidth="1"/>
    <col min="6918" max="6923" width="12.81640625" style="500" customWidth="1"/>
    <col min="6924" max="6924" width="60.81640625" style="500" customWidth="1"/>
    <col min="6925" max="6925" width="12.81640625" style="500" customWidth="1"/>
    <col min="6926" max="6926" width="51.81640625" style="500" customWidth="1"/>
    <col min="6927" max="6930" width="12.81640625" style="500" customWidth="1"/>
    <col min="6931" max="6931" width="73.1796875" style="500" customWidth="1"/>
    <col min="6932" max="6934" width="12.81640625" style="500" customWidth="1"/>
    <col min="6935" max="7168" width="12.81640625" style="500"/>
    <col min="7169" max="7172" width="12.81640625" style="500" customWidth="1"/>
    <col min="7173" max="7173" width="17.54296875" style="500" customWidth="1"/>
    <col min="7174" max="7179" width="12.81640625" style="500" customWidth="1"/>
    <col min="7180" max="7180" width="60.81640625" style="500" customWidth="1"/>
    <col min="7181" max="7181" width="12.81640625" style="500" customWidth="1"/>
    <col min="7182" max="7182" width="51.81640625" style="500" customWidth="1"/>
    <col min="7183" max="7186" width="12.81640625" style="500" customWidth="1"/>
    <col min="7187" max="7187" width="73.1796875" style="500" customWidth="1"/>
    <col min="7188" max="7190" width="12.81640625" style="500" customWidth="1"/>
    <col min="7191" max="7424" width="12.81640625" style="500"/>
    <col min="7425" max="7428" width="12.81640625" style="500" customWidth="1"/>
    <col min="7429" max="7429" width="17.54296875" style="500" customWidth="1"/>
    <col min="7430" max="7435" width="12.81640625" style="500" customWidth="1"/>
    <col min="7436" max="7436" width="60.81640625" style="500" customWidth="1"/>
    <col min="7437" max="7437" width="12.81640625" style="500" customWidth="1"/>
    <col min="7438" max="7438" width="51.81640625" style="500" customWidth="1"/>
    <col min="7439" max="7442" width="12.81640625" style="500" customWidth="1"/>
    <col min="7443" max="7443" width="73.1796875" style="500" customWidth="1"/>
    <col min="7444" max="7446" width="12.81640625" style="500" customWidth="1"/>
    <col min="7447" max="7680" width="12.81640625" style="500"/>
    <col min="7681" max="7684" width="12.81640625" style="500" customWidth="1"/>
    <col min="7685" max="7685" width="17.54296875" style="500" customWidth="1"/>
    <col min="7686" max="7691" width="12.81640625" style="500" customWidth="1"/>
    <col min="7692" max="7692" width="60.81640625" style="500" customWidth="1"/>
    <col min="7693" max="7693" width="12.81640625" style="500" customWidth="1"/>
    <col min="7694" max="7694" width="51.81640625" style="500" customWidth="1"/>
    <col min="7695" max="7698" width="12.81640625" style="500" customWidth="1"/>
    <col min="7699" max="7699" width="73.1796875" style="500" customWidth="1"/>
    <col min="7700" max="7702" width="12.81640625" style="500" customWidth="1"/>
    <col min="7703" max="7936" width="12.81640625" style="500"/>
    <col min="7937" max="7940" width="12.81640625" style="500" customWidth="1"/>
    <col min="7941" max="7941" width="17.54296875" style="500" customWidth="1"/>
    <col min="7942" max="7947" width="12.81640625" style="500" customWidth="1"/>
    <col min="7948" max="7948" width="60.81640625" style="500" customWidth="1"/>
    <col min="7949" max="7949" width="12.81640625" style="500" customWidth="1"/>
    <col min="7950" max="7950" width="51.81640625" style="500" customWidth="1"/>
    <col min="7951" max="7954" width="12.81640625" style="500" customWidth="1"/>
    <col min="7955" max="7955" width="73.1796875" style="500" customWidth="1"/>
    <col min="7956" max="7958" width="12.81640625" style="500" customWidth="1"/>
    <col min="7959" max="8192" width="12.81640625" style="500"/>
    <col min="8193" max="8196" width="12.81640625" style="500" customWidth="1"/>
    <col min="8197" max="8197" width="17.54296875" style="500" customWidth="1"/>
    <col min="8198" max="8203" width="12.81640625" style="500" customWidth="1"/>
    <col min="8204" max="8204" width="60.81640625" style="500" customWidth="1"/>
    <col min="8205" max="8205" width="12.81640625" style="500" customWidth="1"/>
    <col min="8206" max="8206" width="51.81640625" style="500" customWidth="1"/>
    <col min="8207" max="8210" width="12.81640625" style="500" customWidth="1"/>
    <col min="8211" max="8211" width="73.1796875" style="500" customWidth="1"/>
    <col min="8212" max="8214" width="12.81640625" style="500" customWidth="1"/>
    <col min="8215" max="8448" width="12.81640625" style="500"/>
    <col min="8449" max="8452" width="12.81640625" style="500" customWidth="1"/>
    <col min="8453" max="8453" width="17.54296875" style="500" customWidth="1"/>
    <col min="8454" max="8459" width="12.81640625" style="500" customWidth="1"/>
    <col min="8460" max="8460" width="60.81640625" style="500" customWidth="1"/>
    <col min="8461" max="8461" width="12.81640625" style="500" customWidth="1"/>
    <col min="8462" max="8462" width="51.81640625" style="500" customWidth="1"/>
    <col min="8463" max="8466" width="12.81640625" style="500" customWidth="1"/>
    <col min="8467" max="8467" width="73.1796875" style="500" customWidth="1"/>
    <col min="8468" max="8470" width="12.81640625" style="500" customWidth="1"/>
    <col min="8471" max="8704" width="12.81640625" style="500"/>
    <col min="8705" max="8708" width="12.81640625" style="500" customWidth="1"/>
    <col min="8709" max="8709" width="17.54296875" style="500" customWidth="1"/>
    <col min="8710" max="8715" width="12.81640625" style="500" customWidth="1"/>
    <col min="8716" max="8716" width="60.81640625" style="500" customWidth="1"/>
    <col min="8717" max="8717" width="12.81640625" style="500" customWidth="1"/>
    <col min="8718" max="8718" width="51.81640625" style="500" customWidth="1"/>
    <col min="8719" max="8722" width="12.81640625" style="500" customWidth="1"/>
    <col min="8723" max="8723" width="73.1796875" style="500" customWidth="1"/>
    <col min="8724" max="8726" width="12.81640625" style="500" customWidth="1"/>
    <col min="8727" max="8960" width="12.81640625" style="500"/>
    <col min="8961" max="8964" width="12.81640625" style="500" customWidth="1"/>
    <col min="8965" max="8965" width="17.54296875" style="500" customWidth="1"/>
    <col min="8966" max="8971" width="12.81640625" style="500" customWidth="1"/>
    <col min="8972" max="8972" width="60.81640625" style="500" customWidth="1"/>
    <col min="8973" max="8973" width="12.81640625" style="500" customWidth="1"/>
    <col min="8974" max="8974" width="51.81640625" style="500" customWidth="1"/>
    <col min="8975" max="8978" width="12.81640625" style="500" customWidth="1"/>
    <col min="8979" max="8979" width="73.1796875" style="500" customWidth="1"/>
    <col min="8980" max="8982" width="12.81640625" style="500" customWidth="1"/>
    <col min="8983" max="9216" width="12.81640625" style="500"/>
    <col min="9217" max="9220" width="12.81640625" style="500" customWidth="1"/>
    <col min="9221" max="9221" width="17.54296875" style="500" customWidth="1"/>
    <col min="9222" max="9227" width="12.81640625" style="500" customWidth="1"/>
    <col min="9228" max="9228" width="60.81640625" style="500" customWidth="1"/>
    <col min="9229" max="9229" width="12.81640625" style="500" customWidth="1"/>
    <col min="9230" max="9230" width="51.81640625" style="500" customWidth="1"/>
    <col min="9231" max="9234" width="12.81640625" style="500" customWidth="1"/>
    <col min="9235" max="9235" width="73.1796875" style="500" customWidth="1"/>
    <col min="9236" max="9238" width="12.81640625" style="500" customWidth="1"/>
    <col min="9239" max="9472" width="12.81640625" style="500"/>
    <col min="9473" max="9476" width="12.81640625" style="500" customWidth="1"/>
    <col min="9477" max="9477" width="17.54296875" style="500" customWidth="1"/>
    <col min="9478" max="9483" width="12.81640625" style="500" customWidth="1"/>
    <col min="9484" max="9484" width="60.81640625" style="500" customWidth="1"/>
    <col min="9485" max="9485" width="12.81640625" style="500" customWidth="1"/>
    <col min="9486" max="9486" width="51.81640625" style="500" customWidth="1"/>
    <col min="9487" max="9490" width="12.81640625" style="500" customWidth="1"/>
    <col min="9491" max="9491" width="73.1796875" style="500" customWidth="1"/>
    <col min="9492" max="9494" width="12.81640625" style="500" customWidth="1"/>
    <col min="9495" max="9728" width="12.81640625" style="500"/>
    <col min="9729" max="9732" width="12.81640625" style="500" customWidth="1"/>
    <col min="9733" max="9733" width="17.54296875" style="500" customWidth="1"/>
    <col min="9734" max="9739" width="12.81640625" style="500" customWidth="1"/>
    <col min="9740" max="9740" width="60.81640625" style="500" customWidth="1"/>
    <col min="9741" max="9741" width="12.81640625" style="500" customWidth="1"/>
    <col min="9742" max="9742" width="51.81640625" style="500" customWidth="1"/>
    <col min="9743" max="9746" width="12.81640625" style="500" customWidth="1"/>
    <col min="9747" max="9747" width="73.1796875" style="500" customWidth="1"/>
    <col min="9748" max="9750" width="12.81640625" style="500" customWidth="1"/>
    <col min="9751" max="9984" width="12.81640625" style="500"/>
    <col min="9985" max="9988" width="12.81640625" style="500" customWidth="1"/>
    <col min="9989" max="9989" width="17.54296875" style="500" customWidth="1"/>
    <col min="9990" max="9995" width="12.81640625" style="500" customWidth="1"/>
    <col min="9996" max="9996" width="60.81640625" style="500" customWidth="1"/>
    <col min="9997" max="9997" width="12.81640625" style="500" customWidth="1"/>
    <col min="9998" max="9998" width="51.81640625" style="500" customWidth="1"/>
    <col min="9999" max="10002" width="12.81640625" style="500" customWidth="1"/>
    <col min="10003" max="10003" width="73.1796875" style="500" customWidth="1"/>
    <col min="10004" max="10006" width="12.81640625" style="500" customWidth="1"/>
    <col min="10007" max="10240" width="12.81640625" style="500"/>
    <col min="10241" max="10244" width="12.81640625" style="500" customWidth="1"/>
    <col min="10245" max="10245" width="17.54296875" style="500" customWidth="1"/>
    <col min="10246" max="10251" width="12.81640625" style="500" customWidth="1"/>
    <col min="10252" max="10252" width="60.81640625" style="500" customWidth="1"/>
    <col min="10253" max="10253" width="12.81640625" style="500" customWidth="1"/>
    <col min="10254" max="10254" width="51.81640625" style="500" customWidth="1"/>
    <col min="10255" max="10258" width="12.81640625" style="500" customWidth="1"/>
    <col min="10259" max="10259" width="73.1796875" style="500" customWidth="1"/>
    <col min="10260" max="10262" width="12.81640625" style="500" customWidth="1"/>
    <col min="10263" max="10496" width="12.81640625" style="500"/>
    <col min="10497" max="10500" width="12.81640625" style="500" customWidth="1"/>
    <col min="10501" max="10501" width="17.54296875" style="500" customWidth="1"/>
    <col min="10502" max="10507" width="12.81640625" style="500" customWidth="1"/>
    <col min="10508" max="10508" width="60.81640625" style="500" customWidth="1"/>
    <col min="10509" max="10509" width="12.81640625" style="500" customWidth="1"/>
    <col min="10510" max="10510" width="51.81640625" style="500" customWidth="1"/>
    <col min="10511" max="10514" width="12.81640625" style="500" customWidth="1"/>
    <col min="10515" max="10515" width="73.1796875" style="500" customWidth="1"/>
    <col min="10516" max="10518" width="12.81640625" style="500" customWidth="1"/>
    <col min="10519" max="10752" width="12.81640625" style="500"/>
    <col min="10753" max="10756" width="12.81640625" style="500" customWidth="1"/>
    <col min="10757" max="10757" width="17.54296875" style="500" customWidth="1"/>
    <col min="10758" max="10763" width="12.81640625" style="500" customWidth="1"/>
    <col min="10764" max="10764" width="60.81640625" style="500" customWidth="1"/>
    <col min="10765" max="10765" width="12.81640625" style="500" customWidth="1"/>
    <col min="10766" max="10766" width="51.81640625" style="500" customWidth="1"/>
    <col min="10767" max="10770" width="12.81640625" style="500" customWidth="1"/>
    <col min="10771" max="10771" width="73.1796875" style="500" customWidth="1"/>
    <col min="10772" max="10774" width="12.81640625" style="500" customWidth="1"/>
    <col min="10775" max="11008" width="12.81640625" style="500"/>
    <col min="11009" max="11012" width="12.81640625" style="500" customWidth="1"/>
    <col min="11013" max="11013" width="17.54296875" style="500" customWidth="1"/>
    <col min="11014" max="11019" width="12.81640625" style="500" customWidth="1"/>
    <col min="11020" max="11020" width="60.81640625" style="500" customWidth="1"/>
    <col min="11021" max="11021" width="12.81640625" style="500" customWidth="1"/>
    <col min="11022" max="11022" width="51.81640625" style="500" customWidth="1"/>
    <col min="11023" max="11026" width="12.81640625" style="500" customWidth="1"/>
    <col min="11027" max="11027" width="73.1796875" style="500" customWidth="1"/>
    <col min="11028" max="11030" width="12.81640625" style="500" customWidth="1"/>
    <col min="11031" max="11264" width="12.81640625" style="500"/>
    <col min="11265" max="11268" width="12.81640625" style="500" customWidth="1"/>
    <col min="11269" max="11269" width="17.54296875" style="500" customWidth="1"/>
    <col min="11270" max="11275" width="12.81640625" style="500" customWidth="1"/>
    <col min="11276" max="11276" width="60.81640625" style="500" customWidth="1"/>
    <col min="11277" max="11277" width="12.81640625" style="500" customWidth="1"/>
    <col min="11278" max="11278" width="51.81640625" style="500" customWidth="1"/>
    <col min="11279" max="11282" width="12.81640625" style="500" customWidth="1"/>
    <col min="11283" max="11283" width="73.1796875" style="500" customWidth="1"/>
    <col min="11284" max="11286" width="12.81640625" style="500" customWidth="1"/>
    <col min="11287" max="11520" width="12.81640625" style="500"/>
    <col min="11521" max="11524" width="12.81640625" style="500" customWidth="1"/>
    <col min="11525" max="11525" width="17.54296875" style="500" customWidth="1"/>
    <col min="11526" max="11531" width="12.81640625" style="500" customWidth="1"/>
    <col min="11532" max="11532" width="60.81640625" style="500" customWidth="1"/>
    <col min="11533" max="11533" width="12.81640625" style="500" customWidth="1"/>
    <col min="11534" max="11534" width="51.81640625" style="500" customWidth="1"/>
    <col min="11535" max="11538" width="12.81640625" style="500" customWidth="1"/>
    <col min="11539" max="11539" width="73.1796875" style="500" customWidth="1"/>
    <col min="11540" max="11542" width="12.81640625" style="500" customWidth="1"/>
    <col min="11543" max="11776" width="12.81640625" style="500"/>
    <col min="11777" max="11780" width="12.81640625" style="500" customWidth="1"/>
    <col min="11781" max="11781" width="17.54296875" style="500" customWidth="1"/>
    <col min="11782" max="11787" width="12.81640625" style="500" customWidth="1"/>
    <col min="11788" max="11788" width="60.81640625" style="500" customWidth="1"/>
    <col min="11789" max="11789" width="12.81640625" style="500" customWidth="1"/>
    <col min="11790" max="11790" width="51.81640625" style="500" customWidth="1"/>
    <col min="11791" max="11794" width="12.81640625" style="500" customWidth="1"/>
    <col min="11795" max="11795" width="73.1796875" style="500" customWidth="1"/>
    <col min="11796" max="11798" width="12.81640625" style="500" customWidth="1"/>
    <col min="11799" max="12032" width="12.81640625" style="500"/>
    <col min="12033" max="12036" width="12.81640625" style="500" customWidth="1"/>
    <col min="12037" max="12037" width="17.54296875" style="500" customWidth="1"/>
    <col min="12038" max="12043" width="12.81640625" style="500" customWidth="1"/>
    <col min="12044" max="12044" width="60.81640625" style="500" customWidth="1"/>
    <col min="12045" max="12045" width="12.81640625" style="500" customWidth="1"/>
    <col min="12046" max="12046" width="51.81640625" style="500" customWidth="1"/>
    <col min="12047" max="12050" width="12.81640625" style="500" customWidth="1"/>
    <col min="12051" max="12051" width="73.1796875" style="500" customWidth="1"/>
    <col min="12052" max="12054" width="12.81640625" style="500" customWidth="1"/>
    <col min="12055" max="12288" width="12.81640625" style="500"/>
    <col min="12289" max="12292" width="12.81640625" style="500" customWidth="1"/>
    <col min="12293" max="12293" width="17.54296875" style="500" customWidth="1"/>
    <col min="12294" max="12299" width="12.81640625" style="500" customWidth="1"/>
    <col min="12300" max="12300" width="60.81640625" style="500" customWidth="1"/>
    <col min="12301" max="12301" width="12.81640625" style="500" customWidth="1"/>
    <col min="12302" max="12302" width="51.81640625" style="500" customWidth="1"/>
    <col min="12303" max="12306" width="12.81640625" style="500" customWidth="1"/>
    <col min="12307" max="12307" width="73.1796875" style="500" customWidth="1"/>
    <col min="12308" max="12310" width="12.81640625" style="500" customWidth="1"/>
    <col min="12311" max="12544" width="12.81640625" style="500"/>
    <col min="12545" max="12548" width="12.81640625" style="500" customWidth="1"/>
    <col min="12549" max="12549" width="17.54296875" style="500" customWidth="1"/>
    <col min="12550" max="12555" width="12.81640625" style="500" customWidth="1"/>
    <col min="12556" max="12556" width="60.81640625" style="500" customWidth="1"/>
    <col min="12557" max="12557" width="12.81640625" style="500" customWidth="1"/>
    <col min="12558" max="12558" width="51.81640625" style="500" customWidth="1"/>
    <col min="12559" max="12562" width="12.81640625" style="500" customWidth="1"/>
    <col min="12563" max="12563" width="73.1796875" style="500" customWidth="1"/>
    <col min="12564" max="12566" width="12.81640625" style="500" customWidth="1"/>
    <col min="12567" max="12800" width="12.81640625" style="500"/>
    <col min="12801" max="12804" width="12.81640625" style="500" customWidth="1"/>
    <col min="12805" max="12805" width="17.54296875" style="500" customWidth="1"/>
    <col min="12806" max="12811" width="12.81640625" style="500" customWidth="1"/>
    <col min="12812" max="12812" width="60.81640625" style="500" customWidth="1"/>
    <col min="12813" max="12813" width="12.81640625" style="500" customWidth="1"/>
    <col min="12814" max="12814" width="51.81640625" style="500" customWidth="1"/>
    <col min="12815" max="12818" width="12.81640625" style="500" customWidth="1"/>
    <col min="12819" max="12819" width="73.1796875" style="500" customWidth="1"/>
    <col min="12820" max="12822" width="12.81640625" style="500" customWidth="1"/>
    <col min="12823" max="13056" width="12.81640625" style="500"/>
    <col min="13057" max="13060" width="12.81640625" style="500" customWidth="1"/>
    <col min="13061" max="13061" width="17.54296875" style="500" customWidth="1"/>
    <col min="13062" max="13067" width="12.81640625" style="500" customWidth="1"/>
    <col min="13068" max="13068" width="60.81640625" style="500" customWidth="1"/>
    <col min="13069" max="13069" width="12.81640625" style="500" customWidth="1"/>
    <col min="13070" max="13070" width="51.81640625" style="500" customWidth="1"/>
    <col min="13071" max="13074" width="12.81640625" style="500" customWidth="1"/>
    <col min="13075" max="13075" width="73.1796875" style="500" customWidth="1"/>
    <col min="13076" max="13078" width="12.81640625" style="500" customWidth="1"/>
    <col min="13079" max="13312" width="12.81640625" style="500"/>
    <col min="13313" max="13316" width="12.81640625" style="500" customWidth="1"/>
    <col min="13317" max="13317" width="17.54296875" style="500" customWidth="1"/>
    <col min="13318" max="13323" width="12.81640625" style="500" customWidth="1"/>
    <col min="13324" max="13324" width="60.81640625" style="500" customWidth="1"/>
    <col min="13325" max="13325" width="12.81640625" style="500" customWidth="1"/>
    <col min="13326" max="13326" width="51.81640625" style="500" customWidth="1"/>
    <col min="13327" max="13330" width="12.81640625" style="500" customWidth="1"/>
    <col min="13331" max="13331" width="73.1796875" style="500" customWidth="1"/>
    <col min="13332" max="13334" width="12.81640625" style="500" customWidth="1"/>
    <col min="13335" max="13568" width="12.81640625" style="500"/>
    <col min="13569" max="13572" width="12.81640625" style="500" customWidth="1"/>
    <col min="13573" max="13573" width="17.54296875" style="500" customWidth="1"/>
    <col min="13574" max="13579" width="12.81640625" style="500" customWidth="1"/>
    <col min="13580" max="13580" width="60.81640625" style="500" customWidth="1"/>
    <col min="13581" max="13581" width="12.81640625" style="500" customWidth="1"/>
    <col min="13582" max="13582" width="51.81640625" style="500" customWidth="1"/>
    <col min="13583" max="13586" width="12.81640625" style="500" customWidth="1"/>
    <col min="13587" max="13587" width="73.1796875" style="500" customWidth="1"/>
    <col min="13588" max="13590" width="12.81640625" style="500" customWidth="1"/>
    <col min="13591" max="13824" width="12.81640625" style="500"/>
    <col min="13825" max="13828" width="12.81640625" style="500" customWidth="1"/>
    <col min="13829" max="13829" width="17.54296875" style="500" customWidth="1"/>
    <col min="13830" max="13835" width="12.81640625" style="500" customWidth="1"/>
    <col min="13836" max="13836" width="60.81640625" style="500" customWidth="1"/>
    <col min="13837" max="13837" width="12.81640625" style="500" customWidth="1"/>
    <col min="13838" max="13838" width="51.81640625" style="500" customWidth="1"/>
    <col min="13839" max="13842" width="12.81640625" style="500" customWidth="1"/>
    <col min="13843" max="13843" width="73.1796875" style="500" customWidth="1"/>
    <col min="13844" max="13846" width="12.81640625" style="500" customWidth="1"/>
    <col min="13847" max="14080" width="12.81640625" style="500"/>
    <col min="14081" max="14084" width="12.81640625" style="500" customWidth="1"/>
    <col min="14085" max="14085" width="17.54296875" style="500" customWidth="1"/>
    <col min="14086" max="14091" width="12.81640625" style="500" customWidth="1"/>
    <col min="14092" max="14092" width="60.81640625" style="500" customWidth="1"/>
    <col min="14093" max="14093" width="12.81640625" style="500" customWidth="1"/>
    <col min="14094" max="14094" width="51.81640625" style="500" customWidth="1"/>
    <col min="14095" max="14098" width="12.81640625" style="500" customWidth="1"/>
    <col min="14099" max="14099" width="73.1796875" style="500" customWidth="1"/>
    <col min="14100" max="14102" width="12.81640625" style="500" customWidth="1"/>
    <col min="14103" max="14336" width="12.81640625" style="500"/>
    <col min="14337" max="14340" width="12.81640625" style="500" customWidth="1"/>
    <col min="14341" max="14341" width="17.54296875" style="500" customWidth="1"/>
    <col min="14342" max="14347" width="12.81640625" style="500" customWidth="1"/>
    <col min="14348" max="14348" width="60.81640625" style="500" customWidth="1"/>
    <col min="14349" max="14349" width="12.81640625" style="500" customWidth="1"/>
    <col min="14350" max="14350" width="51.81640625" style="500" customWidth="1"/>
    <col min="14351" max="14354" width="12.81640625" style="500" customWidth="1"/>
    <col min="14355" max="14355" width="73.1796875" style="500" customWidth="1"/>
    <col min="14356" max="14358" width="12.81640625" style="500" customWidth="1"/>
    <col min="14359" max="14592" width="12.81640625" style="500"/>
    <col min="14593" max="14596" width="12.81640625" style="500" customWidth="1"/>
    <col min="14597" max="14597" width="17.54296875" style="500" customWidth="1"/>
    <col min="14598" max="14603" width="12.81640625" style="500" customWidth="1"/>
    <col min="14604" max="14604" width="60.81640625" style="500" customWidth="1"/>
    <col min="14605" max="14605" width="12.81640625" style="500" customWidth="1"/>
    <col min="14606" max="14606" width="51.81640625" style="500" customWidth="1"/>
    <col min="14607" max="14610" width="12.81640625" style="500" customWidth="1"/>
    <col min="14611" max="14611" width="73.1796875" style="500" customWidth="1"/>
    <col min="14612" max="14614" width="12.81640625" style="500" customWidth="1"/>
    <col min="14615" max="14848" width="12.81640625" style="500"/>
    <col min="14849" max="14852" width="12.81640625" style="500" customWidth="1"/>
    <col min="14853" max="14853" width="17.54296875" style="500" customWidth="1"/>
    <col min="14854" max="14859" width="12.81640625" style="500" customWidth="1"/>
    <col min="14860" max="14860" width="60.81640625" style="500" customWidth="1"/>
    <col min="14861" max="14861" width="12.81640625" style="500" customWidth="1"/>
    <col min="14862" max="14862" width="51.81640625" style="500" customWidth="1"/>
    <col min="14863" max="14866" width="12.81640625" style="500" customWidth="1"/>
    <col min="14867" max="14867" width="73.1796875" style="500" customWidth="1"/>
    <col min="14868" max="14870" width="12.81640625" style="500" customWidth="1"/>
    <col min="14871" max="15104" width="12.81640625" style="500"/>
    <col min="15105" max="15108" width="12.81640625" style="500" customWidth="1"/>
    <col min="15109" max="15109" width="17.54296875" style="500" customWidth="1"/>
    <col min="15110" max="15115" width="12.81640625" style="500" customWidth="1"/>
    <col min="15116" max="15116" width="60.81640625" style="500" customWidth="1"/>
    <col min="15117" max="15117" width="12.81640625" style="500" customWidth="1"/>
    <col min="15118" max="15118" width="51.81640625" style="500" customWidth="1"/>
    <col min="15119" max="15122" width="12.81640625" style="500" customWidth="1"/>
    <col min="15123" max="15123" width="73.1796875" style="500" customWidth="1"/>
    <col min="15124" max="15126" width="12.81640625" style="500" customWidth="1"/>
    <col min="15127" max="15360" width="12.81640625" style="500"/>
    <col min="15361" max="15364" width="12.81640625" style="500" customWidth="1"/>
    <col min="15365" max="15365" width="17.54296875" style="500" customWidth="1"/>
    <col min="15366" max="15371" width="12.81640625" style="500" customWidth="1"/>
    <col min="15372" max="15372" width="60.81640625" style="500" customWidth="1"/>
    <col min="15373" max="15373" width="12.81640625" style="500" customWidth="1"/>
    <col min="15374" max="15374" width="51.81640625" style="500" customWidth="1"/>
    <col min="15375" max="15378" width="12.81640625" style="500" customWidth="1"/>
    <col min="15379" max="15379" width="73.1796875" style="500" customWidth="1"/>
    <col min="15380" max="15382" width="12.81640625" style="500" customWidth="1"/>
    <col min="15383" max="15616" width="12.81640625" style="500"/>
    <col min="15617" max="15620" width="12.81640625" style="500" customWidth="1"/>
    <col min="15621" max="15621" width="17.54296875" style="500" customWidth="1"/>
    <col min="15622" max="15627" width="12.81640625" style="500" customWidth="1"/>
    <col min="15628" max="15628" width="60.81640625" style="500" customWidth="1"/>
    <col min="15629" max="15629" width="12.81640625" style="500" customWidth="1"/>
    <col min="15630" max="15630" width="51.81640625" style="500" customWidth="1"/>
    <col min="15631" max="15634" width="12.81640625" style="500" customWidth="1"/>
    <col min="15635" max="15635" width="73.1796875" style="500" customWidth="1"/>
    <col min="15636" max="15638" width="12.81640625" style="500" customWidth="1"/>
    <col min="15639" max="15872" width="12.81640625" style="500"/>
    <col min="15873" max="15876" width="12.81640625" style="500" customWidth="1"/>
    <col min="15877" max="15877" width="17.54296875" style="500" customWidth="1"/>
    <col min="15878" max="15883" width="12.81640625" style="500" customWidth="1"/>
    <col min="15884" max="15884" width="60.81640625" style="500" customWidth="1"/>
    <col min="15885" max="15885" width="12.81640625" style="500" customWidth="1"/>
    <col min="15886" max="15886" width="51.81640625" style="500" customWidth="1"/>
    <col min="15887" max="15890" width="12.81640625" style="500" customWidth="1"/>
    <col min="15891" max="15891" width="73.1796875" style="500" customWidth="1"/>
    <col min="15892" max="15894" width="12.81640625" style="500" customWidth="1"/>
    <col min="15895" max="16128" width="12.81640625" style="500"/>
    <col min="16129" max="16132" width="12.81640625" style="500" customWidth="1"/>
    <col min="16133" max="16133" width="17.54296875" style="500" customWidth="1"/>
    <col min="16134" max="16139" width="12.81640625" style="500" customWidth="1"/>
    <col min="16140" max="16140" width="60.81640625" style="500" customWidth="1"/>
    <col min="16141" max="16141" width="12.81640625" style="500" customWidth="1"/>
    <col min="16142" max="16142" width="51.81640625" style="500" customWidth="1"/>
    <col min="16143" max="16146" width="12.81640625" style="500" customWidth="1"/>
    <col min="16147" max="16147" width="73.1796875" style="500" customWidth="1"/>
    <col min="16148" max="16150" width="12.81640625" style="500" customWidth="1"/>
    <col min="16151" max="16384" width="12.81640625" style="500"/>
  </cols>
  <sheetData>
    <row r="1" spans="1:25" ht="55" customHeight="1">
      <c r="A1" s="499"/>
      <c r="B1" s="499"/>
    </row>
    <row r="2" spans="1:25" s="502" customFormat="1" ht="5.15" customHeight="1">
      <c r="H2" s="503"/>
      <c r="S2" s="504"/>
      <c r="V2" s="505"/>
      <c r="Y2" s="504"/>
    </row>
    <row r="3" spans="1:25" s="502" customFormat="1" ht="20.149999999999999" customHeight="1">
      <c r="A3" s="506" t="s">
        <v>428</v>
      </c>
      <c r="C3" s="504"/>
      <c r="H3" s="503"/>
      <c r="V3" s="505"/>
    </row>
    <row r="4" spans="1:25" ht="20.149999999999999" customHeight="1" thickBot="1">
      <c r="A4" s="507" t="s">
        <v>34</v>
      </c>
      <c r="B4" s="508"/>
      <c r="C4" s="509"/>
      <c r="D4" s="510"/>
      <c r="E4" s="510" t="s">
        <v>142</v>
      </c>
      <c r="F4" s="510"/>
      <c r="G4" s="510"/>
      <c r="H4" s="511"/>
      <c r="I4" s="508"/>
      <c r="J4" s="508"/>
      <c r="K4" s="508"/>
      <c r="L4" s="508"/>
      <c r="M4" s="508"/>
      <c r="N4" s="508"/>
      <c r="O4" s="508"/>
      <c r="P4" s="508"/>
      <c r="Q4" s="508"/>
      <c r="R4" s="508"/>
      <c r="S4" s="508"/>
      <c r="T4" s="508"/>
      <c r="U4" s="508"/>
      <c r="V4" s="512"/>
      <c r="W4" s="508"/>
    </row>
    <row r="5" spans="1:25" ht="10" customHeight="1" thickTop="1" thickBot="1">
      <c r="A5" s="513"/>
      <c r="C5" s="514"/>
      <c r="E5" s="515" t="s">
        <v>429</v>
      </c>
      <c r="F5" s="515"/>
      <c r="G5" s="515"/>
      <c r="H5" s="516"/>
      <c r="Q5" s="517"/>
      <c r="R5" s="517"/>
      <c r="S5" s="518"/>
      <c r="T5" s="515"/>
      <c r="U5" s="515"/>
      <c r="V5" s="519"/>
      <c r="W5" s="515"/>
    </row>
    <row r="6" spans="1:25" ht="13.5" customHeight="1" thickTop="1">
      <c r="A6" s="520" t="s">
        <v>430</v>
      </c>
      <c r="B6" s="520"/>
      <c r="E6" s="1167" t="s">
        <v>431</v>
      </c>
      <c r="F6" s="1168"/>
      <c r="G6" s="1168"/>
      <c r="H6" s="1168"/>
      <c r="I6" s="1168"/>
      <c r="J6" s="1168"/>
      <c r="K6" s="1168"/>
      <c r="L6" s="1168"/>
      <c r="M6" s="1168"/>
      <c r="N6" s="1168"/>
      <c r="O6" s="1168"/>
      <c r="P6" s="1168"/>
      <c r="Q6" s="1168"/>
      <c r="R6" s="1168"/>
      <c r="S6" s="1168"/>
      <c r="T6" s="521"/>
      <c r="U6" s="521"/>
      <c r="V6" s="521"/>
      <c r="W6" s="522"/>
      <c r="X6" s="523"/>
    </row>
    <row r="7" spans="1:25" ht="13.5" customHeight="1">
      <c r="A7" s="1169" t="s">
        <v>432</v>
      </c>
      <c r="B7" s="1170"/>
      <c r="E7" s="1116"/>
      <c r="F7" s="1115" t="s">
        <v>433</v>
      </c>
      <c r="G7" s="1115"/>
      <c r="H7" s="1103"/>
      <c r="I7" s="1115"/>
      <c r="J7" s="1103"/>
      <c r="K7" s="1103"/>
      <c r="L7" s="1103"/>
      <c r="M7" s="1115"/>
      <c r="N7" s="1103"/>
      <c r="O7" s="1103"/>
      <c r="P7" s="1103"/>
      <c r="Q7" s="1103"/>
      <c r="R7" s="1103"/>
      <c r="S7" s="1103"/>
      <c r="T7" s="1114"/>
      <c r="U7" s="1114"/>
      <c r="V7" s="523"/>
      <c r="W7" s="524"/>
      <c r="X7" s="523"/>
    </row>
    <row r="8" spans="1:25" ht="13.5" customHeight="1">
      <c r="A8" s="1171">
        <v>44682</v>
      </c>
      <c r="B8" s="1172"/>
      <c r="C8" s="525"/>
      <c r="D8" s="525"/>
      <c r="E8" s="1113"/>
      <c r="F8" s="1112" t="s">
        <v>434</v>
      </c>
      <c r="G8" s="1114"/>
      <c r="H8" s="1114"/>
      <c r="I8" s="1103"/>
      <c r="J8" s="1114"/>
      <c r="K8" s="1114"/>
      <c r="L8" s="1103"/>
      <c r="M8" s="1114"/>
      <c r="N8" s="1114"/>
      <c r="O8" s="1114"/>
      <c r="P8" s="1114"/>
      <c r="Q8" s="1111"/>
      <c r="R8" s="1111"/>
      <c r="S8" s="1111"/>
      <c r="T8" s="1110"/>
      <c r="U8" s="1111"/>
      <c r="V8" s="5"/>
      <c r="W8" s="22"/>
      <c r="X8" s="523"/>
    </row>
    <row r="9" spans="1:25" ht="13.5" customHeight="1" thickBot="1">
      <c r="A9" s="520" t="s">
        <v>435</v>
      </c>
      <c r="B9" s="526"/>
      <c r="D9" s="525"/>
      <c r="E9" s="1104" t="s">
        <v>436</v>
      </c>
      <c r="F9" s="1112" t="s">
        <v>437</v>
      </c>
      <c r="G9" s="1103"/>
      <c r="H9" s="1103"/>
      <c r="I9" s="1103"/>
      <c r="J9" s="1103"/>
      <c r="K9" s="1103"/>
      <c r="L9" s="1103"/>
      <c r="M9" s="1103"/>
      <c r="N9" s="1103"/>
      <c r="O9" s="1103"/>
      <c r="P9" s="1103"/>
      <c r="Q9" s="1103"/>
      <c r="R9" s="1103"/>
      <c r="S9" s="1111"/>
      <c r="T9" s="1110"/>
      <c r="U9" s="1111"/>
      <c r="V9" s="5"/>
      <c r="W9" s="22"/>
      <c r="X9" s="523"/>
    </row>
    <row r="10" spans="1:25" ht="13.5" customHeight="1" thickBot="1">
      <c r="A10" s="1173" t="s">
        <v>438</v>
      </c>
      <c r="B10" s="1174"/>
      <c r="D10" s="525"/>
      <c r="E10" s="1104"/>
      <c r="F10" s="1093" t="s">
        <v>439</v>
      </c>
      <c r="G10" s="1103"/>
      <c r="H10" s="1103"/>
      <c r="I10" s="1103"/>
      <c r="J10" s="1103"/>
      <c r="K10" s="1103"/>
      <c r="L10" s="1103"/>
      <c r="M10" s="1103"/>
      <c r="N10" s="1103"/>
      <c r="O10" s="1103"/>
      <c r="P10" s="1103"/>
      <c r="Q10" s="1103"/>
      <c r="R10" s="1103"/>
      <c r="S10" s="1111"/>
      <c r="T10" s="1109"/>
      <c r="U10" s="1111"/>
      <c r="V10" s="5"/>
      <c r="W10" s="22"/>
      <c r="X10" s="523"/>
    </row>
    <row r="11" spans="1:25" ht="13.5" customHeight="1" thickBot="1">
      <c r="A11" s="1173" t="s">
        <v>440</v>
      </c>
      <c r="B11" s="1175"/>
      <c r="D11" s="525"/>
      <c r="E11" s="1113"/>
      <c r="F11" s="1112" t="s">
        <v>434</v>
      </c>
      <c r="G11" s="1103"/>
      <c r="H11" s="1103"/>
      <c r="I11" s="1103"/>
      <c r="J11" s="1103"/>
      <c r="K11" s="1103"/>
      <c r="L11" s="1103"/>
      <c r="M11" s="1103"/>
      <c r="N11" s="1103"/>
      <c r="O11" s="1103"/>
      <c r="P11" s="1103"/>
      <c r="Q11" s="1103"/>
      <c r="R11" s="1103"/>
      <c r="S11" s="1103"/>
      <c r="T11" s="1110"/>
      <c r="U11" s="1111"/>
      <c r="V11" s="5"/>
      <c r="W11" s="22"/>
      <c r="X11" s="523"/>
    </row>
    <row r="12" spans="1:25" ht="13.5" customHeight="1" thickBot="1">
      <c r="A12" s="1176" t="s">
        <v>441</v>
      </c>
      <c r="B12" s="1177"/>
      <c r="D12" s="525"/>
      <c r="E12" s="1104" t="s">
        <v>442</v>
      </c>
      <c r="F12" s="1112" t="s">
        <v>443</v>
      </c>
      <c r="G12" s="1103"/>
      <c r="H12" s="1103"/>
      <c r="I12" s="1103"/>
      <c r="J12" s="1103"/>
      <c r="K12" s="1103"/>
      <c r="L12" s="1103"/>
      <c r="M12" s="1103"/>
      <c r="N12" s="1103"/>
      <c r="O12" s="1103"/>
      <c r="P12" s="1103"/>
      <c r="Q12" s="1103"/>
      <c r="R12" s="1103"/>
      <c r="S12" s="1103"/>
      <c r="T12" s="1110"/>
      <c r="U12" s="1111"/>
      <c r="V12" s="5"/>
      <c r="W12" s="524"/>
      <c r="X12" s="523"/>
    </row>
    <row r="13" spans="1:25" ht="13.5" customHeight="1">
      <c r="A13" s="1164" t="s">
        <v>444</v>
      </c>
      <c r="B13" s="1165"/>
      <c r="D13" s="525"/>
      <c r="E13" s="1104"/>
      <c r="F13" s="1093" t="s">
        <v>445</v>
      </c>
      <c r="G13" s="1103"/>
      <c r="H13" s="1103"/>
      <c r="I13" s="1103"/>
      <c r="J13" s="1103"/>
      <c r="K13" s="1103"/>
      <c r="L13" s="1103"/>
      <c r="M13" s="1103"/>
      <c r="N13" s="1103"/>
      <c r="O13" s="1103"/>
      <c r="P13" s="1103"/>
      <c r="Q13" s="1103"/>
      <c r="R13" s="1103"/>
      <c r="S13" s="1103"/>
      <c r="T13" s="1114"/>
      <c r="U13" s="1114"/>
      <c r="V13" s="523"/>
      <c r="W13" s="524"/>
      <c r="X13" s="523"/>
    </row>
    <row r="14" spans="1:25" ht="13.5" customHeight="1">
      <c r="A14" s="30" t="s">
        <v>446</v>
      </c>
      <c r="B14" s="64">
        <v>2010</v>
      </c>
      <c r="C14" s="525"/>
      <c r="D14" s="525"/>
      <c r="E14" s="1113"/>
      <c r="F14" s="1093" t="s">
        <v>447</v>
      </c>
      <c r="G14" s="1114"/>
      <c r="H14" s="1114"/>
      <c r="I14" s="1109"/>
      <c r="J14" s="1114"/>
      <c r="K14" s="1103"/>
      <c r="L14" s="1103"/>
      <c r="M14" s="1103"/>
      <c r="N14" s="1103"/>
      <c r="O14" s="1103"/>
      <c r="P14" s="1114"/>
      <c r="Q14" s="1111"/>
      <c r="R14" s="1103"/>
      <c r="S14" s="1111"/>
      <c r="T14" s="1097"/>
      <c r="U14" s="1097"/>
      <c r="V14" s="500"/>
      <c r="W14" s="527"/>
      <c r="X14" s="523"/>
    </row>
    <row r="15" spans="1:25" ht="13.5" customHeight="1">
      <c r="A15" s="528"/>
      <c r="B15" s="514"/>
      <c r="C15" s="525"/>
      <c r="D15" s="525"/>
      <c r="E15" s="1104"/>
      <c r="F15" s="1112" t="s">
        <v>448</v>
      </c>
      <c r="G15" s="1114"/>
      <c r="H15" s="1114"/>
      <c r="I15" s="1114"/>
      <c r="J15" s="1114"/>
      <c r="K15" s="1103"/>
      <c r="L15" s="1108"/>
      <c r="M15" s="1114"/>
      <c r="N15" s="1103"/>
      <c r="O15" s="1107"/>
      <c r="P15" s="1114"/>
      <c r="Q15" s="1103"/>
      <c r="R15" s="1103"/>
      <c r="S15" s="1106"/>
      <c r="T15" s="1097"/>
      <c r="U15" s="1097"/>
      <c r="V15" s="500"/>
      <c r="W15" s="527"/>
      <c r="X15" s="523"/>
    </row>
    <row r="16" spans="1:25" ht="13.5" customHeight="1">
      <c r="C16" s="525"/>
      <c r="D16" s="525"/>
      <c r="E16" s="1113" t="s">
        <v>449</v>
      </c>
      <c r="F16" s="1112" t="s">
        <v>450</v>
      </c>
      <c r="G16" s="1103"/>
      <c r="H16" s="1103"/>
      <c r="I16" s="1103"/>
      <c r="J16" s="1103"/>
      <c r="K16" s="1114"/>
      <c r="L16" s="1103"/>
      <c r="M16" s="1114"/>
      <c r="N16" s="1114"/>
      <c r="O16" s="1105"/>
      <c r="P16" s="1103"/>
      <c r="Q16" s="1111"/>
      <c r="R16" s="1111"/>
      <c r="S16" s="1111"/>
      <c r="T16" s="1097"/>
      <c r="U16" s="1097"/>
      <c r="V16" s="500"/>
      <c r="W16" s="527"/>
      <c r="X16" s="523"/>
    </row>
    <row r="17" spans="1:24" ht="13.5" customHeight="1">
      <c r="A17" s="520" t="s">
        <v>451</v>
      </c>
      <c r="B17" s="526"/>
      <c r="C17" s="525"/>
      <c r="D17" s="529"/>
      <c r="E17" s="1104"/>
      <c r="F17" s="1093" t="s">
        <v>452</v>
      </c>
      <c r="G17" s="1114"/>
      <c r="H17" s="1114"/>
      <c r="I17" s="1093"/>
      <c r="J17" s="1107"/>
      <c r="K17" s="1103"/>
      <c r="L17" s="1103"/>
      <c r="M17" s="1103"/>
      <c r="N17" s="1103"/>
      <c r="O17" s="1103"/>
      <c r="P17" s="1103"/>
      <c r="Q17" s="1103"/>
      <c r="R17" s="1103"/>
      <c r="S17" s="1111"/>
      <c r="T17" s="1097"/>
      <c r="U17" s="1097"/>
      <c r="V17" s="500"/>
      <c r="W17" s="527"/>
      <c r="X17" s="523"/>
    </row>
    <row r="18" spans="1:24" ht="13.5" customHeight="1">
      <c r="A18" s="1166"/>
      <c r="B18" s="1166"/>
      <c r="C18" s="525"/>
      <c r="D18" s="529"/>
      <c r="E18" s="1104"/>
      <c r="F18" s="1114" t="s">
        <v>453</v>
      </c>
      <c r="G18" s="1111"/>
      <c r="H18" s="1111"/>
      <c r="I18" s="1111"/>
      <c r="J18" s="1111"/>
      <c r="K18" s="1114"/>
      <c r="L18" s="1103"/>
      <c r="M18" s="1114"/>
      <c r="N18" s="1114"/>
      <c r="O18" s="1114"/>
      <c r="P18" s="1103"/>
      <c r="Q18" s="1106"/>
      <c r="R18" s="1111"/>
      <c r="S18" s="1103"/>
      <c r="T18" s="1097"/>
      <c r="U18" s="1097"/>
      <c r="V18" s="500"/>
      <c r="W18" s="527"/>
      <c r="X18" s="523"/>
    </row>
    <row r="19" spans="1:24" ht="13.5" customHeight="1">
      <c r="A19" s="1166"/>
      <c r="B19" s="1166"/>
      <c r="C19" s="525"/>
      <c r="D19" s="529"/>
      <c r="E19" s="975"/>
      <c r="F19" s="808" t="s">
        <v>454</v>
      </c>
      <c r="G19" s="808"/>
      <c r="H19" s="808"/>
      <c r="I19" s="808"/>
      <c r="J19" s="808"/>
      <c r="K19" s="808"/>
      <c r="L19" s="808"/>
      <c r="M19" s="808"/>
      <c r="N19" s="808"/>
      <c r="O19" s="808"/>
      <c r="P19" s="808"/>
      <c r="Q19" s="808"/>
      <c r="R19" s="808"/>
      <c r="S19" s="808"/>
      <c r="V19" s="500"/>
      <c r="W19" s="527"/>
      <c r="X19" s="523"/>
    </row>
    <row r="20" spans="1:24" ht="13.5" customHeight="1" thickBot="1">
      <c r="A20" s="513"/>
      <c r="C20" s="514"/>
      <c r="E20" s="1104"/>
      <c r="F20" s="1103" t="s">
        <v>455</v>
      </c>
      <c r="G20" s="1103"/>
      <c r="H20" s="1103"/>
      <c r="I20" s="1103"/>
      <c r="J20" s="1103"/>
      <c r="K20" s="1103"/>
      <c r="L20" s="1103"/>
      <c r="M20" s="1103"/>
      <c r="N20" s="1103"/>
      <c r="O20" s="1103"/>
      <c r="P20" s="1103"/>
      <c r="Q20" s="1103"/>
      <c r="R20" s="1103"/>
      <c r="S20" s="1103"/>
      <c r="T20" s="1102"/>
      <c r="U20" s="1102"/>
      <c r="V20" s="530"/>
      <c r="W20" s="531"/>
      <c r="X20" s="523"/>
    </row>
    <row r="21" spans="1:24" ht="13.5" customHeight="1" thickTop="1" thickBot="1">
      <c r="A21" s="513"/>
      <c r="C21" s="514"/>
      <c r="E21" s="1101" t="s">
        <v>456</v>
      </c>
      <c r="F21" s="1100"/>
      <c r="G21" s="1099"/>
      <c r="H21" s="1100"/>
      <c r="I21" s="1100"/>
      <c r="J21" s="1098"/>
      <c r="K21" s="1100"/>
      <c r="L21" s="1100"/>
      <c r="M21" s="1100"/>
      <c r="N21" s="1100"/>
      <c r="O21" s="1100"/>
      <c r="P21" s="1100"/>
      <c r="Q21" s="1100"/>
      <c r="R21" s="1100"/>
      <c r="S21" s="1100"/>
      <c r="T21" s="1097"/>
      <c r="U21" s="1097"/>
    </row>
    <row r="22" spans="1:24" ht="13.5" customHeight="1" thickTop="1" thickBot="1">
      <c r="B22" s="532"/>
      <c r="C22" s="1065"/>
      <c r="D22" s="499"/>
      <c r="E22" s="1096"/>
      <c r="F22" s="1095"/>
      <c r="G22" s="1097"/>
      <c r="H22" s="1097"/>
      <c r="I22" s="1097"/>
      <c r="J22" s="1097"/>
      <c r="K22" s="1097"/>
      <c r="L22" s="1097"/>
      <c r="M22" s="1097"/>
      <c r="N22" s="1097"/>
      <c r="O22" s="1097"/>
      <c r="P22" s="1094"/>
      <c r="Q22" s="1097"/>
      <c r="R22" s="1097"/>
      <c r="S22" s="1097"/>
      <c r="T22" s="1097"/>
      <c r="U22" s="1097"/>
    </row>
    <row r="23" spans="1:24" ht="13.5" customHeight="1" thickTop="1" thickBot="1">
      <c r="A23" s="533" t="s">
        <v>34</v>
      </c>
      <c r="B23" s="534"/>
      <c r="C23" s="534"/>
      <c r="D23" s="534"/>
      <c r="E23" s="534"/>
      <c r="F23" s="534"/>
      <c r="G23" s="534"/>
      <c r="H23" s="534"/>
      <c r="I23" s="534"/>
      <c r="J23" s="534"/>
      <c r="K23" s="534"/>
      <c r="L23" s="534"/>
      <c r="M23" s="534"/>
      <c r="N23" s="534"/>
      <c r="O23" s="534"/>
      <c r="P23" s="534"/>
      <c r="Q23" s="534"/>
      <c r="R23" s="534"/>
      <c r="S23" s="534"/>
      <c r="T23" s="534"/>
      <c r="U23" s="534"/>
      <c r="V23" s="534"/>
      <c r="W23" s="535"/>
      <c r="X23" s="523"/>
    </row>
    <row r="24" spans="1:24" ht="27" customHeight="1" thickTop="1">
      <c r="A24" s="536"/>
      <c r="B24" s="537"/>
      <c r="C24" s="538"/>
      <c r="D24" s="539" t="s">
        <v>457</v>
      </c>
      <c r="E24" s="540" t="s">
        <v>458</v>
      </c>
      <c r="F24" s="540"/>
      <c r="G24" s="541"/>
      <c r="H24" s="540" t="s">
        <v>459</v>
      </c>
      <c r="I24" s="540"/>
      <c r="J24" s="541"/>
      <c r="K24" s="542" t="s">
        <v>460</v>
      </c>
      <c r="L24" s="543"/>
      <c r="M24" s="544"/>
      <c r="N24" s="540" t="s">
        <v>461</v>
      </c>
      <c r="O24" s="545"/>
      <c r="P24" s="546"/>
      <c r="Q24" s="542" t="s">
        <v>462</v>
      </c>
      <c r="R24" s="543"/>
      <c r="S24" s="544"/>
      <c r="T24" s="540" t="s">
        <v>463</v>
      </c>
      <c r="U24" s="547"/>
      <c r="V24" s="547"/>
      <c r="W24" s="548"/>
      <c r="X24" s="523"/>
    </row>
    <row r="25" spans="1:24" ht="13.5" customHeight="1">
      <c r="A25" s="549"/>
      <c r="B25" s="526"/>
      <c r="C25" s="538"/>
      <c r="D25" s="550"/>
      <c r="E25" s="551"/>
      <c r="F25" s="552"/>
      <c r="G25" s="541"/>
      <c r="H25" s="551"/>
      <c r="I25" s="552"/>
      <c r="J25" s="541"/>
      <c r="K25" s="551"/>
      <c r="L25" s="552"/>
      <c r="M25" s="541"/>
      <c r="N25" s="551"/>
      <c r="O25" s="552"/>
      <c r="P25" s="541"/>
      <c r="Q25" s="551"/>
      <c r="R25" s="552"/>
      <c r="S25" s="541"/>
      <c r="T25" s="553" t="s">
        <v>255</v>
      </c>
      <c r="U25" s="553" t="s">
        <v>257</v>
      </c>
      <c r="V25" s="553"/>
      <c r="W25" s="554"/>
      <c r="X25" s="555"/>
    </row>
    <row r="26" spans="1:24" ht="13.5" customHeight="1">
      <c r="A26" s="536"/>
      <c r="B26" s="537"/>
      <c r="C26" s="538"/>
      <c r="D26" s="556"/>
      <c r="E26" s="537" t="s">
        <v>464</v>
      </c>
      <c r="F26" s="553" t="s">
        <v>465</v>
      </c>
      <c r="G26" s="541" t="s">
        <v>466</v>
      </c>
      <c r="H26" s="537" t="s">
        <v>464</v>
      </c>
      <c r="I26" s="553" t="s">
        <v>465</v>
      </c>
      <c r="J26" s="541" t="s">
        <v>466</v>
      </c>
      <c r="K26" s="537" t="s">
        <v>464</v>
      </c>
      <c r="L26" s="553" t="s">
        <v>465</v>
      </c>
      <c r="M26" s="541" t="s">
        <v>466</v>
      </c>
      <c r="N26" s="537" t="s">
        <v>464</v>
      </c>
      <c r="O26" s="553" t="s">
        <v>465</v>
      </c>
      <c r="P26" s="541" t="s">
        <v>466</v>
      </c>
      <c r="Q26" s="537" t="s">
        <v>464</v>
      </c>
      <c r="R26" s="553" t="s">
        <v>465</v>
      </c>
      <c r="S26" s="541" t="s">
        <v>466</v>
      </c>
      <c r="T26" s="553" t="s">
        <v>467</v>
      </c>
      <c r="U26" s="553" t="s">
        <v>467</v>
      </c>
      <c r="V26" s="553" t="s">
        <v>255</v>
      </c>
      <c r="W26" s="554" t="s">
        <v>468</v>
      </c>
      <c r="X26" s="557"/>
    </row>
    <row r="27" spans="1:24" ht="13.5" customHeight="1">
      <c r="A27" s="549"/>
      <c r="B27" s="526"/>
      <c r="C27" s="538"/>
      <c r="D27" s="558" t="s">
        <v>469</v>
      </c>
      <c r="E27" s="559" t="s">
        <v>470</v>
      </c>
      <c r="F27" s="537" t="s">
        <v>471</v>
      </c>
      <c r="G27" s="560" t="s">
        <v>472</v>
      </c>
      <c r="H27" s="559" t="s">
        <v>470</v>
      </c>
      <c r="I27" s="537" t="s">
        <v>471</v>
      </c>
      <c r="J27" s="560" t="s">
        <v>472</v>
      </c>
      <c r="K27" s="561" t="s">
        <v>470</v>
      </c>
      <c r="L27" s="537" t="s">
        <v>471</v>
      </c>
      <c r="M27" s="560" t="s">
        <v>473</v>
      </c>
      <c r="N27" s="559" t="s">
        <v>470</v>
      </c>
      <c r="O27" s="537" t="s">
        <v>471</v>
      </c>
      <c r="P27" s="560" t="s">
        <v>472</v>
      </c>
      <c r="Q27" s="559" t="s">
        <v>470</v>
      </c>
      <c r="R27" s="537" t="s">
        <v>471</v>
      </c>
      <c r="S27" s="560" t="s">
        <v>473</v>
      </c>
      <c r="T27" s="537" t="s">
        <v>471</v>
      </c>
      <c r="U27" s="537" t="s">
        <v>471</v>
      </c>
      <c r="V27" s="537" t="s">
        <v>466</v>
      </c>
      <c r="W27" s="560" t="s">
        <v>466</v>
      </c>
      <c r="X27" s="562"/>
    </row>
    <row r="28" spans="1:24" ht="13.5" customHeight="1" thickBot="1">
      <c r="A28" s="549"/>
      <c r="B28" s="537" t="s">
        <v>474</v>
      </c>
      <c r="C28" s="538"/>
      <c r="D28" s="554"/>
      <c r="E28" s="559"/>
      <c r="F28" s="537" t="s">
        <v>475</v>
      </c>
      <c r="G28" s="560"/>
      <c r="H28" s="559"/>
      <c r="I28" s="537" t="s">
        <v>475</v>
      </c>
      <c r="J28" s="560"/>
      <c r="K28" s="559"/>
      <c r="L28" s="537" t="s">
        <v>475</v>
      </c>
      <c r="M28" s="560"/>
      <c r="N28" s="559"/>
      <c r="O28" s="537" t="s">
        <v>475</v>
      </c>
      <c r="P28" s="560"/>
      <c r="Q28" s="559"/>
      <c r="R28" s="537" t="s">
        <v>475</v>
      </c>
      <c r="S28" s="560"/>
      <c r="T28" s="537" t="s">
        <v>476</v>
      </c>
      <c r="U28" s="537" t="s">
        <v>476</v>
      </c>
      <c r="V28" s="537" t="s">
        <v>477</v>
      </c>
      <c r="W28" s="560" t="s">
        <v>477</v>
      </c>
      <c r="X28" s="555"/>
    </row>
    <row r="29" spans="1:24" ht="13.5" customHeight="1" thickTop="1">
      <c r="A29" s="563"/>
      <c r="B29" s="501">
        <v>1990</v>
      </c>
      <c r="C29" s="527"/>
      <c r="D29" s="979">
        <v>61.26</v>
      </c>
      <c r="E29" s="978">
        <v>1278416</v>
      </c>
      <c r="F29" s="980" t="s">
        <v>478</v>
      </c>
      <c r="G29" s="981">
        <v>100</v>
      </c>
      <c r="H29" s="978">
        <v>57238</v>
      </c>
      <c r="I29" s="980" t="s">
        <v>478</v>
      </c>
      <c r="J29" s="981">
        <v>100</v>
      </c>
      <c r="K29" s="978" t="s">
        <v>478</v>
      </c>
      <c r="L29" s="980" t="s">
        <v>478</v>
      </c>
      <c r="M29" s="981" t="s">
        <v>478</v>
      </c>
      <c r="N29" s="978">
        <v>22335</v>
      </c>
      <c r="O29" s="980" t="s">
        <v>478</v>
      </c>
      <c r="P29" s="981">
        <v>100</v>
      </c>
      <c r="Q29" s="978" t="s">
        <v>478</v>
      </c>
      <c r="R29" s="980" t="s">
        <v>478</v>
      </c>
      <c r="S29" s="981" t="s">
        <v>478</v>
      </c>
      <c r="T29" s="1087" t="s">
        <v>478</v>
      </c>
      <c r="U29" s="1087" t="s">
        <v>478</v>
      </c>
      <c r="V29" s="1087" t="s">
        <v>478</v>
      </c>
      <c r="W29" s="1088" t="s">
        <v>478</v>
      </c>
    </row>
    <row r="30" spans="1:24" ht="13.5" customHeight="1">
      <c r="A30" s="563"/>
      <c r="B30" s="501">
        <v>1991</v>
      </c>
      <c r="C30" s="527"/>
      <c r="D30" s="979">
        <v>65.41</v>
      </c>
      <c r="E30" s="978">
        <v>1263249</v>
      </c>
      <c r="F30" s="980">
        <v>-1.19</v>
      </c>
      <c r="G30" s="981">
        <v>98.81</v>
      </c>
      <c r="H30" s="978">
        <v>57439</v>
      </c>
      <c r="I30" s="980">
        <v>0.35</v>
      </c>
      <c r="J30" s="981">
        <v>100.35</v>
      </c>
      <c r="K30" s="978" t="s">
        <v>478</v>
      </c>
      <c r="L30" s="980" t="s">
        <v>478</v>
      </c>
      <c r="M30" s="981" t="s">
        <v>478</v>
      </c>
      <c r="N30" s="978">
        <v>21993</v>
      </c>
      <c r="O30" s="980">
        <v>-1.53</v>
      </c>
      <c r="P30" s="981">
        <v>98.47</v>
      </c>
      <c r="Q30" s="978" t="s">
        <v>478</v>
      </c>
      <c r="R30" s="980" t="s">
        <v>478</v>
      </c>
      <c r="S30" s="981" t="s">
        <v>478</v>
      </c>
      <c r="T30" s="1087" t="s">
        <v>478</v>
      </c>
      <c r="U30" s="1087" t="s">
        <v>478</v>
      </c>
      <c r="V30" s="1087" t="s">
        <v>478</v>
      </c>
      <c r="W30" s="1089" t="s">
        <v>478</v>
      </c>
    </row>
    <row r="31" spans="1:24" ht="13.5" customHeight="1">
      <c r="A31" s="563"/>
      <c r="B31" s="501">
        <v>1992</v>
      </c>
      <c r="C31" s="527"/>
      <c r="D31" s="979">
        <v>67.55</v>
      </c>
      <c r="E31" s="978">
        <v>1267206</v>
      </c>
      <c r="F31" s="980">
        <v>0.31</v>
      </c>
      <c r="G31" s="981">
        <v>99.12</v>
      </c>
      <c r="H31" s="978">
        <v>57585</v>
      </c>
      <c r="I31" s="980">
        <v>0.25</v>
      </c>
      <c r="J31" s="981">
        <v>100.61</v>
      </c>
      <c r="K31" s="978" t="s">
        <v>478</v>
      </c>
      <c r="L31" s="980" t="s">
        <v>478</v>
      </c>
      <c r="M31" s="981" t="s">
        <v>478</v>
      </c>
      <c r="N31" s="978">
        <v>22006</v>
      </c>
      <c r="O31" s="980">
        <v>0.06</v>
      </c>
      <c r="P31" s="981">
        <v>98.53</v>
      </c>
      <c r="Q31" s="978" t="s">
        <v>478</v>
      </c>
      <c r="R31" s="980" t="s">
        <v>478</v>
      </c>
      <c r="S31" s="981" t="s">
        <v>478</v>
      </c>
      <c r="T31" s="1087" t="s">
        <v>478</v>
      </c>
      <c r="U31" s="1087" t="s">
        <v>478</v>
      </c>
      <c r="V31" s="1087" t="s">
        <v>478</v>
      </c>
      <c r="W31" s="1089" t="s">
        <v>478</v>
      </c>
    </row>
    <row r="32" spans="1:24" ht="13.5" customHeight="1">
      <c r="A32" s="563"/>
      <c r="B32" s="501">
        <v>1993</v>
      </c>
      <c r="C32" s="527"/>
      <c r="D32" s="979">
        <v>69.489999999999995</v>
      </c>
      <c r="E32" s="978">
        <v>1297628</v>
      </c>
      <c r="F32" s="980">
        <v>2.4</v>
      </c>
      <c r="G32" s="981">
        <v>101.5</v>
      </c>
      <c r="H32" s="978">
        <v>57714</v>
      </c>
      <c r="I32" s="980">
        <v>0.22</v>
      </c>
      <c r="J32" s="981">
        <v>100.83</v>
      </c>
      <c r="K32" s="978" t="s">
        <v>478</v>
      </c>
      <c r="L32" s="980" t="s">
        <v>478</v>
      </c>
      <c r="M32" s="981" t="s">
        <v>478</v>
      </c>
      <c r="N32" s="978">
        <v>22484</v>
      </c>
      <c r="O32" s="980">
        <v>2.17</v>
      </c>
      <c r="P32" s="981">
        <v>100.66</v>
      </c>
      <c r="Q32" s="978" t="s">
        <v>478</v>
      </c>
      <c r="R32" s="980" t="s">
        <v>478</v>
      </c>
      <c r="S32" s="981" t="s">
        <v>478</v>
      </c>
      <c r="T32" s="1087" t="s">
        <v>478</v>
      </c>
      <c r="U32" s="1087" t="s">
        <v>478</v>
      </c>
      <c r="V32" s="1087" t="s">
        <v>478</v>
      </c>
      <c r="W32" s="1089" t="s">
        <v>478</v>
      </c>
    </row>
    <row r="33" spans="1:26" ht="13.5" customHeight="1">
      <c r="A33" s="563"/>
      <c r="B33" s="501">
        <v>1994</v>
      </c>
      <c r="C33" s="527"/>
      <c r="D33" s="979">
        <v>70.510000000000005</v>
      </c>
      <c r="E33" s="978">
        <v>1346524</v>
      </c>
      <c r="F33" s="980">
        <v>3.77</v>
      </c>
      <c r="G33" s="981">
        <v>105.33</v>
      </c>
      <c r="H33" s="978">
        <v>57862</v>
      </c>
      <c r="I33" s="980">
        <v>0.26</v>
      </c>
      <c r="J33" s="981">
        <v>101.09</v>
      </c>
      <c r="K33" s="978" t="s">
        <v>478</v>
      </c>
      <c r="L33" s="980" t="s">
        <v>478</v>
      </c>
      <c r="M33" s="981" t="s">
        <v>478</v>
      </c>
      <c r="N33" s="978">
        <v>23271</v>
      </c>
      <c r="O33" s="980">
        <v>3.5</v>
      </c>
      <c r="P33" s="981">
        <v>104.19</v>
      </c>
      <c r="Q33" s="978" t="s">
        <v>478</v>
      </c>
      <c r="R33" s="980" t="s">
        <v>478</v>
      </c>
      <c r="S33" s="981" t="s">
        <v>478</v>
      </c>
      <c r="T33" s="1087" t="s">
        <v>478</v>
      </c>
      <c r="U33" s="1087" t="s">
        <v>478</v>
      </c>
      <c r="V33" s="1087" t="s">
        <v>478</v>
      </c>
      <c r="W33" s="1089" t="s">
        <v>478</v>
      </c>
    </row>
    <row r="34" spans="1:26" ht="13.5" customHeight="1">
      <c r="A34" s="563"/>
      <c r="B34" s="501">
        <v>1995</v>
      </c>
      <c r="C34" s="527"/>
      <c r="D34" s="979">
        <v>72.3</v>
      </c>
      <c r="E34" s="978">
        <v>1379430</v>
      </c>
      <c r="F34" s="980">
        <v>2.44</v>
      </c>
      <c r="G34" s="981">
        <v>107.9</v>
      </c>
      <c r="H34" s="978">
        <v>58025</v>
      </c>
      <c r="I34" s="980">
        <v>0.28000000000000003</v>
      </c>
      <c r="J34" s="981">
        <v>101.38</v>
      </c>
      <c r="K34" s="978" t="s">
        <v>478</v>
      </c>
      <c r="L34" s="980" t="s">
        <v>478</v>
      </c>
      <c r="M34" s="981" t="s">
        <v>478</v>
      </c>
      <c r="N34" s="978">
        <v>23773</v>
      </c>
      <c r="O34" s="980">
        <v>2.16</v>
      </c>
      <c r="P34" s="981">
        <v>106.44</v>
      </c>
      <c r="Q34" s="978" t="s">
        <v>478</v>
      </c>
      <c r="R34" s="980" t="s">
        <v>478</v>
      </c>
      <c r="S34" s="981" t="s">
        <v>478</v>
      </c>
      <c r="T34" s="1087" t="s">
        <v>478</v>
      </c>
      <c r="U34" s="1087" t="s">
        <v>478</v>
      </c>
      <c r="V34" s="1087" t="s">
        <v>478</v>
      </c>
      <c r="W34" s="1089" t="s">
        <v>478</v>
      </c>
    </row>
    <row r="35" spans="1:26" ht="13.5" customHeight="1">
      <c r="A35" s="563"/>
      <c r="B35" s="501">
        <v>1996</v>
      </c>
      <c r="C35" s="527"/>
      <c r="D35" s="979">
        <v>75.38</v>
      </c>
      <c r="E35" s="978">
        <v>1412926</v>
      </c>
      <c r="F35" s="980">
        <v>2.4300000000000002</v>
      </c>
      <c r="G35" s="981">
        <v>110.52</v>
      </c>
      <c r="H35" s="978">
        <v>58164</v>
      </c>
      <c r="I35" s="980">
        <v>0.24</v>
      </c>
      <c r="J35" s="981">
        <v>101.62</v>
      </c>
      <c r="K35" s="978">
        <v>23738</v>
      </c>
      <c r="L35" s="980" t="s">
        <v>478</v>
      </c>
      <c r="M35" s="981">
        <v>100</v>
      </c>
      <c r="N35" s="978">
        <v>24292</v>
      </c>
      <c r="O35" s="980">
        <v>2.1800000000000002</v>
      </c>
      <c r="P35" s="981">
        <v>108.76</v>
      </c>
      <c r="Q35" s="978">
        <v>59522</v>
      </c>
      <c r="R35" s="980" t="s">
        <v>478</v>
      </c>
      <c r="S35" s="981">
        <v>100</v>
      </c>
      <c r="T35" s="1087" t="s">
        <v>478</v>
      </c>
      <c r="U35" s="1087" t="s">
        <v>478</v>
      </c>
      <c r="V35" s="1087" t="s">
        <v>478</v>
      </c>
      <c r="W35" s="1089" t="s">
        <v>478</v>
      </c>
    </row>
    <row r="36" spans="1:26" ht="13.5" customHeight="1">
      <c r="A36" s="563"/>
      <c r="B36" s="501">
        <v>1997</v>
      </c>
      <c r="C36" s="527"/>
      <c r="D36" s="979">
        <v>75.12</v>
      </c>
      <c r="E36" s="978">
        <v>1482289</v>
      </c>
      <c r="F36" s="980">
        <v>4.91</v>
      </c>
      <c r="G36" s="981">
        <v>115.95</v>
      </c>
      <c r="H36" s="978">
        <v>58314</v>
      </c>
      <c r="I36" s="980">
        <v>0.26</v>
      </c>
      <c r="J36" s="981">
        <v>101.88</v>
      </c>
      <c r="K36" s="978">
        <v>23865</v>
      </c>
      <c r="L36" s="980">
        <v>0.54</v>
      </c>
      <c r="M36" s="981">
        <v>100.54</v>
      </c>
      <c r="N36" s="978">
        <v>25419</v>
      </c>
      <c r="O36" s="980">
        <v>4.6399999999999997</v>
      </c>
      <c r="P36" s="981">
        <v>113.81</v>
      </c>
      <c r="Q36" s="978">
        <v>62111</v>
      </c>
      <c r="R36" s="980">
        <v>4.3499999999999996</v>
      </c>
      <c r="S36" s="981">
        <v>104.35</v>
      </c>
      <c r="T36" s="1087" t="s">
        <v>478</v>
      </c>
      <c r="U36" s="1087" t="s">
        <v>478</v>
      </c>
      <c r="V36" s="1087" t="s">
        <v>478</v>
      </c>
      <c r="W36" s="1089" t="s">
        <v>478</v>
      </c>
    </row>
    <row r="37" spans="1:26" ht="13.5" customHeight="1">
      <c r="A37" s="563"/>
      <c r="B37" s="501">
        <v>1998</v>
      </c>
      <c r="C37" s="527"/>
      <c r="D37" s="979">
        <v>76.31</v>
      </c>
      <c r="E37" s="978">
        <v>1529040</v>
      </c>
      <c r="F37" s="980">
        <v>3.15</v>
      </c>
      <c r="G37" s="981">
        <v>119.6</v>
      </c>
      <c r="H37" s="978">
        <v>58475</v>
      </c>
      <c r="I37" s="980">
        <v>0.28000000000000003</v>
      </c>
      <c r="J37" s="981">
        <v>102.16</v>
      </c>
      <c r="K37" s="978">
        <v>24036</v>
      </c>
      <c r="L37" s="980">
        <v>0.72</v>
      </c>
      <c r="M37" s="981">
        <v>101.26</v>
      </c>
      <c r="N37" s="978">
        <v>26149</v>
      </c>
      <c r="O37" s="980">
        <v>2.87</v>
      </c>
      <c r="P37" s="981">
        <v>117.07</v>
      </c>
      <c r="Q37" s="978">
        <v>63615</v>
      </c>
      <c r="R37" s="980">
        <v>2.42</v>
      </c>
      <c r="S37" s="981">
        <v>106.88</v>
      </c>
      <c r="T37" s="1087" t="s">
        <v>478</v>
      </c>
      <c r="U37" s="1087" t="s">
        <v>478</v>
      </c>
      <c r="V37" s="1087" t="s">
        <v>478</v>
      </c>
      <c r="W37" s="1089" t="s">
        <v>478</v>
      </c>
    </row>
    <row r="38" spans="1:26" ht="13.5" customHeight="1">
      <c r="A38" s="563"/>
      <c r="B38" s="501">
        <v>1999</v>
      </c>
      <c r="C38" s="527"/>
      <c r="D38" s="979">
        <v>77.349999999999994</v>
      </c>
      <c r="E38" s="978">
        <v>1574760</v>
      </c>
      <c r="F38" s="980">
        <v>2.99</v>
      </c>
      <c r="G38" s="981">
        <v>123.18</v>
      </c>
      <c r="H38" s="978">
        <v>58684</v>
      </c>
      <c r="I38" s="980">
        <v>0.36</v>
      </c>
      <c r="J38" s="981">
        <v>102.53</v>
      </c>
      <c r="K38" s="978">
        <v>24209</v>
      </c>
      <c r="L38" s="980">
        <v>0.72</v>
      </c>
      <c r="M38" s="981">
        <v>101.98</v>
      </c>
      <c r="N38" s="978">
        <v>26834</v>
      </c>
      <c r="O38" s="980">
        <v>2.62</v>
      </c>
      <c r="P38" s="981">
        <v>120.14</v>
      </c>
      <c r="Q38" s="978">
        <v>65049</v>
      </c>
      <c r="R38" s="980">
        <v>2.25</v>
      </c>
      <c r="S38" s="981">
        <v>109.29</v>
      </c>
      <c r="T38" s="1087" t="s">
        <v>478</v>
      </c>
      <c r="U38" s="1087" t="s">
        <v>478</v>
      </c>
      <c r="V38" s="1087" t="s">
        <v>478</v>
      </c>
      <c r="W38" s="1089" t="s">
        <v>478</v>
      </c>
    </row>
    <row r="39" spans="1:26" ht="13.5" customHeight="1">
      <c r="A39" s="563"/>
      <c r="B39" s="501">
        <v>2000</v>
      </c>
      <c r="C39" s="527"/>
      <c r="D39" s="979">
        <v>78.650000000000006</v>
      </c>
      <c r="E39" s="978">
        <v>1632591</v>
      </c>
      <c r="F39" s="980">
        <v>3.67</v>
      </c>
      <c r="G39" s="981">
        <v>127.7</v>
      </c>
      <c r="H39" s="978">
        <v>58886</v>
      </c>
      <c r="I39" s="980">
        <v>0.34</v>
      </c>
      <c r="J39" s="981">
        <v>102.88</v>
      </c>
      <c r="K39" s="978">
        <v>24396</v>
      </c>
      <c r="L39" s="980">
        <v>0.77</v>
      </c>
      <c r="M39" s="981">
        <v>102.77</v>
      </c>
      <c r="N39" s="978">
        <v>27725</v>
      </c>
      <c r="O39" s="980">
        <v>3.32</v>
      </c>
      <c r="P39" s="981">
        <v>124.13</v>
      </c>
      <c r="Q39" s="978">
        <v>66920</v>
      </c>
      <c r="R39" s="980">
        <v>2.88</v>
      </c>
      <c r="S39" s="981">
        <v>112.43</v>
      </c>
      <c r="T39" s="1087" t="s">
        <v>478</v>
      </c>
      <c r="U39" s="1087" t="s">
        <v>478</v>
      </c>
      <c r="V39" s="1087" t="s">
        <v>478</v>
      </c>
      <c r="W39" s="1089" t="s">
        <v>478</v>
      </c>
    </row>
    <row r="40" spans="1:26" ht="13.5" customHeight="1">
      <c r="A40" s="563"/>
      <c r="B40" s="501">
        <v>2001</v>
      </c>
      <c r="C40" s="527"/>
      <c r="D40" s="979">
        <v>80.11</v>
      </c>
      <c r="E40" s="978">
        <v>1666429</v>
      </c>
      <c r="F40" s="980">
        <v>2.0699999999999998</v>
      </c>
      <c r="G40" s="981">
        <v>130.35</v>
      </c>
      <c r="H40" s="978">
        <v>59113</v>
      </c>
      <c r="I40" s="980">
        <v>0.39</v>
      </c>
      <c r="J40" s="981">
        <v>103.28</v>
      </c>
      <c r="K40" s="978">
        <v>24535</v>
      </c>
      <c r="L40" s="980">
        <v>0.56999999999999995</v>
      </c>
      <c r="M40" s="981">
        <v>103.36</v>
      </c>
      <c r="N40" s="978">
        <v>28191</v>
      </c>
      <c r="O40" s="980">
        <v>1.68</v>
      </c>
      <c r="P40" s="981">
        <v>126.22</v>
      </c>
      <c r="Q40" s="978">
        <v>67920</v>
      </c>
      <c r="R40" s="980">
        <v>1.49</v>
      </c>
      <c r="S40" s="981">
        <v>114.11</v>
      </c>
      <c r="T40" s="1087" t="s">
        <v>478</v>
      </c>
      <c r="U40" s="1087" t="s">
        <v>478</v>
      </c>
      <c r="V40" s="1087" t="s">
        <v>478</v>
      </c>
      <c r="W40" s="1089" t="s">
        <v>478</v>
      </c>
    </row>
    <row r="41" spans="1:26" ht="13.5" customHeight="1">
      <c r="A41" s="563"/>
      <c r="B41" s="501">
        <v>2002</v>
      </c>
      <c r="C41" s="527"/>
      <c r="D41" s="979">
        <v>81.760000000000005</v>
      </c>
      <c r="E41" s="978">
        <v>1701811</v>
      </c>
      <c r="F41" s="980">
        <v>2.12</v>
      </c>
      <c r="G41" s="981">
        <v>133.12</v>
      </c>
      <c r="H41" s="978">
        <v>59366</v>
      </c>
      <c r="I41" s="980">
        <v>0.43</v>
      </c>
      <c r="J41" s="981">
        <v>103.72</v>
      </c>
      <c r="K41" s="978">
        <v>24792</v>
      </c>
      <c r="L41" s="980">
        <v>1.05</v>
      </c>
      <c r="M41" s="981">
        <v>104.44</v>
      </c>
      <c r="N41" s="978">
        <v>28667</v>
      </c>
      <c r="O41" s="980">
        <v>1.69</v>
      </c>
      <c r="P41" s="981">
        <v>128.35</v>
      </c>
      <c r="Q41" s="978">
        <v>68644</v>
      </c>
      <c r="R41" s="980">
        <v>1.06</v>
      </c>
      <c r="S41" s="981">
        <v>115.33</v>
      </c>
      <c r="T41" s="1087" t="s">
        <v>478</v>
      </c>
      <c r="U41" s="1087" t="s">
        <v>478</v>
      </c>
      <c r="V41" s="1087">
        <v>100</v>
      </c>
      <c r="W41" s="1089">
        <v>100</v>
      </c>
      <c r="Z41" s="566"/>
    </row>
    <row r="42" spans="1:26" ht="13.5" customHeight="1">
      <c r="A42" s="563"/>
      <c r="B42" s="501">
        <v>2003</v>
      </c>
      <c r="C42" s="527"/>
      <c r="D42" s="979">
        <v>83.99</v>
      </c>
      <c r="E42" s="978">
        <v>1753374</v>
      </c>
      <c r="F42" s="980">
        <v>3.03</v>
      </c>
      <c r="G42" s="981">
        <v>137.15</v>
      </c>
      <c r="H42" s="978">
        <v>59637</v>
      </c>
      <c r="I42" s="980">
        <v>0.46</v>
      </c>
      <c r="J42" s="981">
        <v>104.19</v>
      </c>
      <c r="K42" s="978">
        <v>24917</v>
      </c>
      <c r="L42" s="980">
        <v>0.5</v>
      </c>
      <c r="M42" s="981">
        <v>104.97</v>
      </c>
      <c r="N42" s="978">
        <v>29401</v>
      </c>
      <c r="O42" s="980">
        <v>2.56</v>
      </c>
      <c r="P42" s="981">
        <v>131.63</v>
      </c>
      <c r="Q42" s="978">
        <v>70369</v>
      </c>
      <c r="R42" s="980">
        <v>2.5099999999999998</v>
      </c>
      <c r="S42" s="981">
        <v>118.22</v>
      </c>
      <c r="T42" s="1087">
        <v>2.5617033841668357</v>
      </c>
      <c r="U42" s="1087">
        <v>2.5617033841668357</v>
      </c>
      <c r="V42" s="1087">
        <v>102.56170338416683</v>
      </c>
      <c r="W42" s="1089">
        <v>102.56170338416683</v>
      </c>
      <c r="Z42" s="566"/>
    </row>
    <row r="43" spans="1:26" ht="13.5" customHeight="1">
      <c r="A43" s="563"/>
      <c r="B43" s="501">
        <v>2004</v>
      </c>
      <c r="C43" s="527"/>
      <c r="D43" s="979">
        <v>86.15</v>
      </c>
      <c r="E43" s="978">
        <v>1794677</v>
      </c>
      <c r="F43" s="980">
        <v>2.36</v>
      </c>
      <c r="G43" s="981">
        <v>140.38</v>
      </c>
      <c r="H43" s="978">
        <v>59950</v>
      </c>
      <c r="I43" s="980">
        <v>0.53</v>
      </c>
      <c r="J43" s="981">
        <v>104.74</v>
      </c>
      <c r="K43" s="978">
        <v>24993</v>
      </c>
      <c r="L43" s="980">
        <v>0.31</v>
      </c>
      <c r="M43" s="981">
        <v>105.29</v>
      </c>
      <c r="N43" s="978">
        <v>29936</v>
      </c>
      <c r="O43" s="980">
        <v>1.82</v>
      </c>
      <c r="P43" s="981">
        <v>134.03</v>
      </c>
      <c r="Q43" s="978">
        <v>71807</v>
      </c>
      <c r="R43" s="980">
        <v>2.04</v>
      </c>
      <c r="S43" s="981">
        <v>120.64</v>
      </c>
      <c r="T43" s="1087">
        <v>1.8200376672208973</v>
      </c>
      <c r="U43" s="1087">
        <v>1.8200376672208973</v>
      </c>
      <c r="V43" s="1087">
        <v>104.42836501790204</v>
      </c>
      <c r="W43" s="1089">
        <v>104.42836501790204</v>
      </c>
      <c r="Z43" s="566"/>
    </row>
    <row r="44" spans="1:26" ht="13.5" customHeight="1">
      <c r="A44" s="563"/>
      <c r="B44" s="501">
        <v>2005</v>
      </c>
      <c r="C44" s="527"/>
      <c r="D44" s="979">
        <v>88.85</v>
      </c>
      <c r="E44" s="978">
        <v>1841218</v>
      </c>
      <c r="F44" s="980">
        <v>2.59</v>
      </c>
      <c r="G44" s="981">
        <v>144.02000000000001</v>
      </c>
      <c r="H44" s="978">
        <v>60413</v>
      </c>
      <c r="I44" s="980">
        <v>0.77</v>
      </c>
      <c r="J44" s="981">
        <v>105.55</v>
      </c>
      <c r="K44" s="978">
        <v>25217</v>
      </c>
      <c r="L44" s="980">
        <v>0.9</v>
      </c>
      <c r="M44" s="981">
        <v>106.23</v>
      </c>
      <c r="N44" s="978">
        <v>30477</v>
      </c>
      <c r="O44" s="980">
        <v>1.81</v>
      </c>
      <c r="P44" s="981">
        <v>136.44999999999999</v>
      </c>
      <c r="Q44" s="978">
        <v>73015</v>
      </c>
      <c r="R44" s="980">
        <v>1.68</v>
      </c>
      <c r="S44" s="981">
        <v>122.67</v>
      </c>
      <c r="T44" s="1087">
        <v>1.8071877267990644</v>
      </c>
      <c r="U44" s="1087">
        <v>1.8071877267990644</v>
      </c>
      <c r="V44" s="1087">
        <v>106.31558161380249</v>
      </c>
      <c r="W44" s="1089">
        <v>106.31558161380249</v>
      </c>
      <c r="Z44" s="566"/>
    </row>
    <row r="45" spans="1:26" ht="13.5" customHeight="1">
      <c r="A45" s="563"/>
      <c r="B45" s="501">
        <v>2006</v>
      </c>
      <c r="C45" s="527"/>
      <c r="D45" s="979">
        <v>91.39</v>
      </c>
      <c r="E45" s="978">
        <v>1888797</v>
      </c>
      <c r="F45" s="980">
        <v>2.58</v>
      </c>
      <c r="G45" s="981">
        <v>147.75</v>
      </c>
      <c r="H45" s="978">
        <v>60827</v>
      </c>
      <c r="I45" s="980">
        <v>0.68</v>
      </c>
      <c r="J45" s="981">
        <v>106.27</v>
      </c>
      <c r="K45" s="978">
        <v>25379</v>
      </c>
      <c r="L45" s="980">
        <v>0.64</v>
      </c>
      <c r="M45" s="981">
        <v>106.91</v>
      </c>
      <c r="N45" s="978">
        <v>31052</v>
      </c>
      <c r="O45" s="980">
        <v>1.89</v>
      </c>
      <c r="P45" s="981">
        <v>139.03</v>
      </c>
      <c r="Q45" s="978">
        <v>74424</v>
      </c>
      <c r="R45" s="980">
        <v>1.93</v>
      </c>
      <c r="S45" s="981">
        <v>125.04</v>
      </c>
      <c r="T45" s="1087">
        <v>1.8862363913566327</v>
      </c>
      <c r="U45" s="1087">
        <v>1.8862363913566327</v>
      </c>
      <c r="V45" s="1087">
        <v>108.3209448038845</v>
      </c>
      <c r="W45" s="1089">
        <v>108.3209448038845</v>
      </c>
      <c r="Z45" s="566"/>
    </row>
    <row r="46" spans="1:26" ht="13.5" customHeight="1">
      <c r="A46" s="563"/>
      <c r="B46" s="501">
        <v>2007</v>
      </c>
      <c r="C46" s="527"/>
      <c r="D46" s="979">
        <v>93.94</v>
      </c>
      <c r="E46" s="978">
        <v>1931663</v>
      </c>
      <c r="F46" s="980">
        <v>2.27</v>
      </c>
      <c r="G46" s="981">
        <v>151.1</v>
      </c>
      <c r="H46" s="978">
        <v>61319</v>
      </c>
      <c r="I46" s="980">
        <v>0.81</v>
      </c>
      <c r="J46" s="981">
        <v>107.13</v>
      </c>
      <c r="K46" s="978">
        <v>25609</v>
      </c>
      <c r="L46" s="980">
        <v>0.91</v>
      </c>
      <c r="M46" s="981">
        <v>107.88</v>
      </c>
      <c r="N46" s="978">
        <v>31502</v>
      </c>
      <c r="O46" s="980">
        <v>1.45</v>
      </c>
      <c r="P46" s="981">
        <v>141.04</v>
      </c>
      <c r="Q46" s="978">
        <v>75429</v>
      </c>
      <c r="R46" s="980">
        <v>1.35</v>
      </c>
      <c r="S46" s="981">
        <v>126.73</v>
      </c>
      <c r="T46" s="1087">
        <v>1.4489173040837411</v>
      </c>
      <c r="U46" s="1087">
        <v>1.4489173040837411</v>
      </c>
      <c r="V46" s="1087">
        <v>109.89042571709498</v>
      </c>
      <c r="W46" s="1089">
        <v>109.89042571709498</v>
      </c>
      <c r="Z46" s="566"/>
    </row>
    <row r="47" spans="1:26" ht="13.5" customHeight="1">
      <c r="A47" s="563"/>
      <c r="B47" s="501">
        <v>2008</v>
      </c>
      <c r="C47" s="527"/>
      <c r="D47" s="979">
        <v>97</v>
      </c>
      <c r="E47" s="978">
        <v>1927034</v>
      </c>
      <c r="F47" s="980">
        <v>-0.24</v>
      </c>
      <c r="G47" s="981">
        <v>150.74</v>
      </c>
      <c r="H47" s="978">
        <v>61824</v>
      </c>
      <c r="I47" s="980">
        <v>0.82</v>
      </c>
      <c r="J47" s="981">
        <v>108.01</v>
      </c>
      <c r="K47" s="978">
        <v>25875</v>
      </c>
      <c r="L47" s="980">
        <v>1.04</v>
      </c>
      <c r="M47" s="981">
        <v>109</v>
      </c>
      <c r="N47" s="978">
        <v>31170</v>
      </c>
      <c r="O47" s="980">
        <v>-1.05</v>
      </c>
      <c r="P47" s="981">
        <v>139.55000000000001</v>
      </c>
      <c r="Q47" s="978">
        <v>74475</v>
      </c>
      <c r="R47" s="980">
        <v>-1.27</v>
      </c>
      <c r="S47" s="981">
        <v>125.12</v>
      </c>
      <c r="T47" s="1087">
        <v>-1.05403406121376</v>
      </c>
      <c r="U47" s="1087">
        <v>-1.05403406121376</v>
      </c>
      <c r="V47" s="1087">
        <v>108.732143200024</v>
      </c>
      <c r="W47" s="1089">
        <v>108.732143200024</v>
      </c>
      <c r="Z47" s="566"/>
    </row>
    <row r="48" spans="1:26" ht="13.5" customHeight="1">
      <c r="A48" s="563"/>
      <c r="B48" s="501">
        <v>2009</v>
      </c>
      <c r="C48" s="527"/>
      <c r="D48" s="979">
        <v>98.65</v>
      </c>
      <c r="E48" s="978">
        <v>1845186</v>
      </c>
      <c r="F48" s="980">
        <v>-4.25</v>
      </c>
      <c r="G48" s="981">
        <v>144.33000000000001</v>
      </c>
      <c r="H48" s="978">
        <v>62261</v>
      </c>
      <c r="I48" s="980">
        <v>0.71</v>
      </c>
      <c r="J48" s="981">
        <v>108.78</v>
      </c>
      <c r="K48" s="978">
        <v>26042</v>
      </c>
      <c r="L48" s="980">
        <v>0.65</v>
      </c>
      <c r="M48" s="981">
        <v>109.71</v>
      </c>
      <c r="N48" s="978">
        <v>29637</v>
      </c>
      <c r="O48" s="980">
        <v>-4.92</v>
      </c>
      <c r="P48" s="981">
        <v>132.69</v>
      </c>
      <c r="Q48" s="978">
        <v>70854</v>
      </c>
      <c r="R48" s="980">
        <v>-4.8600000000000003</v>
      </c>
      <c r="S48" s="981">
        <v>119.04</v>
      </c>
      <c r="T48" s="1087">
        <v>-4.9189728064032217</v>
      </c>
      <c r="U48" s="1087">
        <v>-4.9189728064032217</v>
      </c>
      <c r="V48" s="1087">
        <v>103.38363864419541</v>
      </c>
      <c r="W48" s="1089">
        <v>103.38363864419541</v>
      </c>
      <c r="Z48" s="566"/>
    </row>
    <row r="49" spans="1:26" ht="13.5" customHeight="1">
      <c r="A49" s="563"/>
      <c r="B49" s="501">
        <v>2010</v>
      </c>
      <c r="C49" s="527"/>
      <c r="D49" s="979">
        <v>100</v>
      </c>
      <c r="E49" s="978">
        <v>1884515</v>
      </c>
      <c r="F49" s="980">
        <v>2.13</v>
      </c>
      <c r="G49" s="981">
        <v>147.41</v>
      </c>
      <c r="H49" s="978">
        <v>62760</v>
      </c>
      <c r="I49" s="980">
        <v>0.8</v>
      </c>
      <c r="J49" s="981">
        <v>109.65</v>
      </c>
      <c r="K49" s="978">
        <v>26240</v>
      </c>
      <c r="L49" s="980">
        <v>0.76</v>
      </c>
      <c r="M49" s="981">
        <v>110.54</v>
      </c>
      <c r="N49" s="978">
        <v>30028</v>
      </c>
      <c r="O49" s="980">
        <v>1.32</v>
      </c>
      <c r="P49" s="981">
        <v>134.44</v>
      </c>
      <c r="Q49" s="978">
        <v>71818</v>
      </c>
      <c r="R49" s="980">
        <v>1.36</v>
      </c>
      <c r="S49" s="981">
        <v>120.66</v>
      </c>
      <c r="T49" s="1087">
        <v>1.3193924510388033</v>
      </c>
      <c r="U49" s="1087">
        <v>1.3193924510388033</v>
      </c>
      <c r="V49" s="1087">
        <v>104.74767456807616</v>
      </c>
      <c r="W49" s="1089">
        <v>104.74767456807616</v>
      </c>
      <c r="Z49" s="566"/>
    </row>
    <row r="50" spans="1:26" ht="13.5" customHeight="1">
      <c r="A50" s="563"/>
      <c r="B50" s="501">
        <v>2011</v>
      </c>
      <c r="C50" s="527"/>
      <c r="D50" s="979">
        <v>102.07</v>
      </c>
      <c r="E50" s="978">
        <v>1911983</v>
      </c>
      <c r="F50" s="980">
        <v>1.46</v>
      </c>
      <c r="G50" s="981">
        <v>149.56</v>
      </c>
      <c r="H50" s="978">
        <v>63285</v>
      </c>
      <c r="I50" s="980">
        <v>0.84</v>
      </c>
      <c r="J50" s="981">
        <v>110.57</v>
      </c>
      <c r="K50" s="978">
        <v>26409</v>
      </c>
      <c r="L50" s="980">
        <v>0.64</v>
      </c>
      <c r="M50" s="981">
        <v>111.25</v>
      </c>
      <c r="N50" s="978">
        <v>30212</v>
      </c>
      <c r="O50" s="980">
        <v>0.61</v>
      </c>
      <c r="P50" s="981">
        <v>135.27000000000001</v>
      </c>
      <c r="Q50" s="978">
        <v>72399</v>
      </c>
      <c r="R50" s="980">
        <v>0.81</v>
      </c>
      <c r="S50" s="981">
        <v>121.63</v>
      </c>
      <c r="T50" s="1087">
        <v>0.61493064212656545</v>
      </c>
      <c r="U50" s="1087">
        <v>0.61493064212656545</v>
      </c>
      <c r="V50" s="1087">
        <v>105.39180011591029</v>
      </c>
      <c r="W50" s="1089">
        <v>105.39180011591029</v>
      </c>
    </row>
    <row r="51" spans="1:26" ht="13.5" customHeight="1">
      <c r="A51" s="563"/>
      <c r="B51" s="501">
        <v>2012</v>
      </c>
      <c r="C51" s="527"/>
      <c r="D51" s="979">
        <v>103.71</v>
      </c>
      <c r="E51" s="978">
        <v>1940087</v>
      </c>
      <c r="F51" s="980">
        <v>1.47</v>
      </c>
      <c r="G51" s="981">
        <v>151.76</v>
      </c>
      <c r="H51" s="978">
        <v>63705</v>
      </c>
      <c r="I51" s="980">
        <v>0.66</v>
      </c>
      <c r="J51" s="981">
        <v>111.3</v>
      </c>
      <c r="K51" s="978">
        <v>26620</v>
      </c>
      <c r="L51" s="980">
        <v>0.8</v>
      </c>
      <c r="M51" s="981">
        <v>112.14</v>
      </c>
      <c r="N51" s="978">
        <v>30454</v>
      </c>
      <c r="O51" s="980">
        <v>0.8</v>
      </c>
      <c r="P51" s="981">
        <v>136.35</v>
      </c>
      <c r="Q51" s="978">
        <v>72881</v>
      </c>
      <c r="R51" s="980">
        <v>0.67</v>
      </c>
      <c r="S51" s="981">
        <v>122.44</v>
      </c>
      <c r="T51" s="1087">
        <v>0.80106711155913946</v>
      </c>
      <c r="U51" s="1087">
        <v>0.80106711155913946</v>
      </c>
      <c r="V51" s="1087">
        <v>106.23605916491898</v>
      </c>
      <c r="W51" s="1089">
        <v>106.23605916491898</v>
      </c>
    </row>
    <row r="52" spans="1:26" ht="13.5" customHeight="1">
      <c r="A52" s="563"/>
      <c r="B52" s="501">
        <v>2013</v>
      </c>
      <c r="C52" s="527"/>
      <c r="D52" s="979">
        <v>106.03</v>
      </c>
      <c r="E52" s="978">
        <v>1976755</v>
      </c>
      <c r="F52" s="980">
        <v>1.89</v>
      </c>
      <c r="G52" s="981">
        <v>154.63</v>
      </c>
      <c r="H52" s="978">
        <v>64106</v>
      </c>
      <c r="I52" s="980">
        <v>0.63</v>
      </c>
      <c r="J52" s="981">
        <v>112</v>
      </c>
      <c r="K52" s="978">
        <v>26663</v>
      </c>
      <c r="L52" s="980">
        <v>0.16</v>
      </c>
      <c r="M52" s="981">
        <v>112.32</v>
      </c>
      <c r="N52" s="978">
        <v>30836</v>
      </c>
      <c r="O52" s="980">
        <v>1.25</v>
      </c>
      <c r="P52" s="981">
        <v>138.06</v>
      </c>
      <c r="Q52" s="978">
        <v>74139</v>
      </c>
      <c r="R52" s="980">
        <v>1.73</v>
      </c>
      <c r="S52" s="981">
        <v>124.56</v>
      </c>
      <c r="T52" s="1087">
        <v>1.2531431367581947</v>
      </c>
      <c r="U52" s="1087">
        <v>1.2531431367581947</v>
      </c>
      <c r="V52" s="1087">
        <v>107.56734904910654</v>
      </c>
      <c r="W52" s="1089">
        <v>107.56734904910654</v>
      </c>
    </row>
    <row r="53" spans="1:26" ht="13.5" customHeight="1">
      <c r="A53" s="563"/>
      <c r="B53" s="501">
        <v>2014</v>
      </c>
      <c r="C53" s="527"/>
      <c r="D53" s="979">
        <v>107.72</v>
      </c>
      <c r="E53" s="978">
        <v>2035883</v>
      </c>
      <c r="F53" s="980">
        <v>2.99</v>
      </c>
      <c r="G53" s="981">
        <v>159.25</v>
      </c>
      <c r="H53" s="978">
        <v>64597</v>
      </c>
      <c r="I53" s="980">
        <v>0.77</v>
      </c>
      <c r="J53" s="981">
        <v>112.86</v>
      </c>
      <c r="K53" s="978">
        <v>26734</v>
      </c>
      <c r="L53" s="980">
        <v>0.27</v>
      </c>
      <c r="M53" s="981">
        <v>112.62</v>
      </c>
      <c r="N53" s="978">
        <v>31517</v>
      </c>
      <c r="O53" s="980">
        <v>2.21</v>
      </c>
      <c r="P53" s="981">
        <v>141.11000000000001</v>
      </c>
      <c r="Q53" s="978">
        <v>76153</v>
      </c>
      <c r="R53" s="980">
        <v>2.72</v>
      </c>
      <c r="S53" s="981">
        <v>127.94</v>
      </c>
      <c r="T53" s="1087">
        <v>2.2081699736715921</v>
      </c>
      <c r="U53" s="1087">
        <v>2.2081699736715921</v>
      </c>
      <c r="V53" s="1087">
        <v>109.94261895228342</v>
      </c>
      <c r="W53" s="1089">
        <v>109.94261895228342</v>
      </c>
    </row>
    <row r="54" spans="1:26" ht="13.5" customHeight="1">
      <c r="A54" s="563"/>
      <c r="B54" s="501">
        <v>2015</v>
      </c>
      <c r="C54" s="527"/>
      <c r="D54" s="979">
        <v>108.27</v>
      </c>
      <c r="E54" s="978">
        <v>2089276</v>
      </c>
      <c r="F54" s="980">
        <v>2.62</v>
      </c>
      <c r="G54" s="981">
        <v>163.43</v>
      </c>
      <c r="H54" s="978">
        <v>65110</v>
      </c>
      <c r="I54" s="980">
        <v>0.79</v>
      </c>
      <c r="J54" s="981">
        <v>113.75</v>
      </c>
      <c r="K54" s="978">
        <v>27046</v>
      </c>
      <c r="L54" s="980">
        <v>1.17</v>
      </c>
      <c r="M54" s="981">
        <v>113.94</v>
      </c>
      <c r="N54" s="978">
        <v>32088</v>
      </c>
      <c r="O54" s="980">
        <v>1.81</v>
      </c>
      <c r="P54" s="981">
        <v>143.66999999999999</v>
      </c>
      <c r="Q54" s="978">
        <v>77249</v>
      </c>
      <c r="R54" s="980">
        <v>1.44</v>
      </c>
      <c r="S54" s="981">
        <v>129.78</v>
      </c>
      <c r="T54" s="1087">
        <v>1.8137206776890125</v>
      </c>
      <c r="U54" s="1087">
        <v>1.8137206776890125</v>
      </c>
      <c r="V54" s="1087">
        <v>111.93667096581383</v>
      </c>
      <c r="W54" s="1089">
        <v>111.93667096581383</v>
      </c>
    </row>
    <row r="55" spans="1:26" ht="13.5" customHeight="1">
      <c r="A55" s="563"/>
      <c r="B55" s="501">
        <v>2016</v>
      </c>
      <c r="C55" s="527"/>
      <c r="D55" s="979">
        <v>110.33</v>
      </c>
      <c r="E55" s="978">
        <v>2136566</v>
      </c>
      <c r="F55" s="980">
        <v>2.2599999999999998</v>
      </c>
      <c r="G55" s="981">
        <v>167.13</v>
      </c>
      <c r="H55" s="978">
        <v>65648</v>
      </c>
      <c r="I55" s="980">
        <v>0.83</v>
      </c>
      <c r="J55" s="981">
        <v>114.69</v>
      </c>
      <c r="K55" s="978">
        <v>27109</v>
      </c>
      <c r="L55" s="980">
        <v>0.23</v>
      </c>
      <c r="M55" s="981">
        <v>114.2</v>
      </c>
      <c r="N55" s="978">
        <v>32546</v>
      </c>
      <c r="O55" s="980">
        <v>1.43</v>
      </c>
      <c r="P55" s="981">
        <v>145.71</v>
      </c>
      <c r="Q55" s="978">
        <v>78814</v>
      </c>
      <c r="R55" s="980">
        <v>2.0299999999999998</v>
      </c>
      <c r="S55" s="981">
        <v>132.41</v>
      </c>
      <c r="T55" s="1087">
        <v>1.4252371279615428</v>
      </c>
      <c r="U55" s="1087">
        <v>1.4252371279615428</v>
      </c>
      <c r="V55" s="1087">
        <v>113.53203396022276</v>
      </c>
      <c r="W55" s="1089">
        <v>113.53203396022276</v>
      </c>
    </row>
    <row r="56" spans="1:26" ht="13.5" customHeight="1">
      <c r="A56" s="563"/>
      <c r="B56" s="501">
        <v>2017</v>
      </c>
      <c r="C56" s="527"/>
      <c r="D56" s="979">
        <v>112.34</v>
      </c>
      <c r="E56" s="978">
        <v>2182170</v>
      </c>
      <c r="F56" s="980">
        <v>2.13</v>
      </c>
      <c r="G56" s="981">
        <v>170.69</v>
      </c>
      <c r="H56" s="978">
        <v>66040</v>
      </c>
      <c r="I56" s="980">
        <v>0.6</v>
      </c>
      <c r="J56" s="981">
        <v>115.38</v>
      </c>
      <c r="K56" s="978">
        <v>27226</v>
      </c>
      <c r="L56" s="980">
        <v>0.43</v>
      </c>
      <c r="M56" s="981">
        <v>114.69</v>
      </c>
      <c r="N56" s="978">
        <v>33043</v>
      </c>
      <c r="O56" s="980">
        <v>1.53</v>
      </c>
      <c r="P56" s="981">
        <v>147.94</v>
      </c>
      <c r="Q56" s="978">
        <v>80150</v>
      </c>
      <c r="R56" s="980">
        <v>1.7</v>
      </c>
      <c r="S56" s="981">
        <v>134.66</v>
      </c>
      <c r="T56" s="1087">
        <v>1.528050989383134</v>
      </c>
      <c r="U56" s="1087">
        <v>1.528050989383134</v>
      </c>
      <c r="V56" s="1087">
        <v>115.26686132841874</v>
      </c>
      <c r="W56" s="1089">
        <v>115.26686132841874</v>
      </c>
    </row>
    <row r="57" spans="1:26" ht="13.5" customHeight="1">
      <c r="A57" s="563"/>
      <c r="B57" s="501">
        <v>2018</v>
      </c>
      <c r="C57" s="527"/>
      <c r="D57" s="979">
        <v>114.58</v>
      </c>
      <c r="E57" s="978">
        <v>2218196</v>
      </c>
      <c r="F57" s="980">
        <v>1.65</v>
      </c>
      <c r="G57" s="981">
        <v>173.51</v>
      </c>
      <c r="H57" s="978">
        <v>66436</v>
      </c>
      <c r="I57" s="980">
        <v>0.6</v>
      </c>
      <c r="J57" s="981">
        <v>116.07</v>
      </c>
      <c r="K57" s="978">
        <v>27576</v>
      </c>
      <c r="L57" s="980">
        <v>1.29</v>
      </c>
      <c r="M57" s="981">
        <v>116.17</v>
      </c>
      <c r="N57" s="978">
        <v>33389</v>
      </c>
      <c r="O57" s="980">
        <v>1.05</v>
      </c>
      <c r="P57" s="981">
        <v>149.49</v>
      </c>
      <c r="Q57" s="978">
        <v>80439</v>
      </c>
      <c r="R57" s="980">
        <v>0.36</v>
      </c>
      <c r="S57" s="981">
        <v>135.13999999999999</v>
      </c>
      <c r="T57" s="1087">
        <v>1.0459369258219109</v>
      </c>
      <c r="U57" s="1087">
        <v>1.0459369258219109</v>
      </c>
      <c r="V57" s="1087">
        <v>116.47247999428861</v>
      </c>
      <c r="W57" s="1089">
        <v>116.47247999428861</v>
      </c>
    </row>
    <row r="58" spans="1:26" ht="13.5" customHeight="1">
      <c r="A58" s="563"/>
      <c r="B58" s="501">
        <v>2019</v>
      </c>
      <c r="C58" s="527"/>
      <c r="D58" s="979">
        <v>116.89</v>
      </c>
      <c r="E58" s="978">
        <v>2255283</v>
      </c>
      <c r="F58" s="980">
        <v>1.67</v>
      </c>
      <c r="G58" s="981">
        <v>176.41</v>
      </c>
      <c r="H58" s="978">
        <v>66797</v>
      </c>
      <c r="I58" s="980">
        <v>0.54</v>
      </c>
      <c r="J58" s="981">
        <v>116.7</v>
      </c>
      <c r="K58" s="978">
        <v>27824</v>
      </c>
      <c r="L58" s="980">
        <v>0.9</v>
      </c>
      <c r="M58" s="981">
        <v>117.21</v>
      </c>
      <c r="N58" s="978">
        <v>33763</v>
      </c>
      <c r="O58" s="980">
        <v>1.1200000000000001</v>
      </c>
      <c r="P58" s="981">
        <v>151.16999999999999</v>
      </c>
      <c r="Q58" s="978">
        <v>81055</v>
      </c>
      <c r="R58" s="980">
        <v>0.77</v>
      </c>
      <c r="S58" s="981">
        <v>136.18</v>
      </c>
      <c r="T58" s="1087">
        <v>1.122158815848584</v>
      </c>
      <c r="U58" s="1087">
        <v>1.122158815848584</v>
      </c>
      <c r="V58" s="1087">
        <v>117.779486196582</v>
      </c>
      <c r="W58" s="1089">
        <v>117.779486196582</v>
      </c>
    </row>
    <row r="59" spans="1:26" ht="13.5" customHeight="1">
      <c r="A59" s="563"/>
      <c r="B59" s="501">
        <v>2020</v>
      </c>
      <c r="C59" s="527"/>
      <c r="D59" s="979">
        <v>123.41</v>
      </c>
      <c r="E59" s="978">
        <v>2043373</v>
      </c>
      <c r="F59" s="980">
        <v>-9.4</v>
      </c>
      <c r="G59" s="981">
        <v>159.84</v>
      </c>
      <c r="H59" s="978">
        <v>67081</v>
      </c>
      <c r="I59" s="980">
        <v>0.43</v>
      </c>
      <c r="J59" s="981">
        <v>117.2</v>
      </c>
      <c r="K59" s="978">
        <v>27921</v>
      </c>
      <c r="L59" s="980">
        <v>0.35</v>
      </c>
      <c r="M59" s="981">
        <v>117.62</v>
      </c>
      <c r="N59" s="978">
        <v>30461</v>
      </c>
      <c r="O59" s="980">
        <v>-9.7799999999999994</v>
      </c>
      <c r="P59" s="981">
        <v>136.38</v>
      </c>
      <c r="Q59" s="978">
        <v>73184</v>
      </c>
      <c r="R59" s="980">
        <v>-9.7100000000000009</v>
      </c>
      <c r="S59" s="981">
        <v>122.95</v>
      </c>
      <c r="T59" s="1087">
        <v>0.11341917088280751</v>
      </c>
      <c r="U59" s="1087">
        <v>0.11341917088280751</v>
      </c>
      <c r="V59" s="1087">
        <v>117.91307071329619</v>
      </c>
      <c r="W59" s="1089">
        <v>117.91307071329619</v>
      </c>
    </row>
    <row r="60" spans="1:26" ht="13.5" customHeight="1">
      <c r="A60" s="563"/>
      <c r="B60" s="501">
        <v>2021</v>
      </c>
      <c r="C60" s="527"/>
      <c r="D60" s="979">
        <v>123.4</v>
      </c>
      <c r="E60" s="978">
        <v>2195717</v>
      </c>
      <c r="F60" s="980">
        <v>7.46</v>
      </c>
      <c r="G60" s="981">
        <v>171.75</v>
      </c>
      <c r="H60" s="978" t="s">
        <v>478</v>
      </c>
      <c r="I60" s="980">
        <v>0.04</v>
      </c>
      <c r="J60" s="981">
        <v>117.24</v>
      </c>
      <c r="K60" s="978">
        <v>28081</v>
      </c>
      <c r="L60" s="980">
        <v>0.56999999999999995</v>
      </c>
      <c r="M60" s="981">
        <v>118.3</v>
      </c>
      <c r="N60" s="978" t="s">
        <v>478</v>
      </c>
      <c r="O60" s="980">
        <v>7.42</v>
      </c>
      <c r="P60" s="981">
        <v>146.5</v>
      </c>
      <c r="Q60" s="978">
        <v>78192</v>
      </c>
      <c r="R60" s="980">
        <v>6.84</v>
      </c>
      <c r="S60" s="981">
        <v>131.37</v>
      </c>
      <c r="T60" s="1087">
        <v>0.11329067753565905</v>
      </c>
      <c r="U60" s="1087">
        <v>0.11329067753565905</v>
      </c>
      <c r="V60" s="1087">
        <v>118.04665523001037</v>
      </c>
      <c r="W60" s="1089">
        <v>118.04665523001037</v>
      </c>
    </row>
    <row r="61" spans="1:26" ht="13.5" customHeight="1">
      <c r="A61" s="563"/>
      <c r="B61" s="501">
        <v>2022</v>
      </c>
      <c r="C61" s="527"/>
      <c r="D61" s="979">
        <v>126.92</v>
      </c>
      <c r="E61" s="978" t="s">
        <v>478</v>
      </c>
      <c r="F61" s="980">
        <v>3.78</v>
      </c>
      <c r="G61" s="981">
        <v>178.25</v>
      </c>
      <c r="H61" s="978" t="s">
        <v>478</v>
      </c>
      <c r="I61" s="980">
        <v>0.24</v>
      </c>
      <c r="J61" s="981">
        <v>117.52</v>
      </c>
      <c r="K61" s="978" t="s">
        <v>478</v>
      </c>
      <c r="L61" s="980">
        <v>0.98</v>
      </c>
      <c r="M61" s="981">
        <v>119.45</v>
      </c>
      <c r="N61" s="978" t="s">
        <v>478</v>
      </c>
      <c r="O61" s="980">
        <v>3.54</v>
      </c>
      <c r="P61" s="981">
        <v>151.68</v>
      </c>
      <c r="Q61" s="978" t="s">
        <v>478</v>
      </c>
      <c r="R61" s="980">
        <v>2.78</v>
      </c>
      <c r="S61" s="981">
        <v>135.02000000000001</v>
      </c>
      <c r="T61" s="1087">
        <v>0.11316247500101428</v>
      </c>
      <c r="U61" s="1087">
        <v>0.11316247500101428</v>
      </c>
      <c r="V61" s="1087">
        <v>118.18023974672457</v>
      </c>
      <c r="W61" s="1089">
        <v>118.18023974672457</v>
      </c>
    </row>
    <row r="62" spans="1:26" ht="13.5" customHeight="1">
      <c r="A62" s="563"/>
      <c r="B62" s="501">
        <v>2023</v>
      </c>
      <c r="C62" s="527"/>
      <c r="D62" s="979">
        <v>130.9</v>
      </c>
      <c r="E62" s="978" t="s">
        <v>478</v>
      </c>
      <c r="F62" s="980">
        <v>1.76</v>
      </c>
      <c r="G62" s="981">
        <v>181.39</v>
      </c>
      <c r="H62" s="978" t="s">
        <v>478</v>
      </c>
      <c r="I62" s="980">
        <v>0.25</v>
      </c>
      <c r="J62" s="981">
        <v>117.81</v>
      </c>
      <c r="K62" s="978" t="s">
        <v>478</v>
      </c>
      <c r="L62" s="980">
        <v>0.51</v>
      </c>
      <c r="M62" s="981">
        <v>120.06</v>
      </c>
      <c r="N62" s="978" t="s">
        <v>478</v>
      </c>
      <c r="O62" s="980">
        <v>1.51</v>
      </c>
      <c r="P62" s="981">
        <v>153.97</v>
      </c>
      <c r="Q62" s="978" t="s">
        <v>478</v>
      </c>
      <c r="R62" s="980">
        <v>1.25</v>
      </c>
      <c r="S62" s="981">
        <v>136.69999999999999</v>
      </c>
      <c r="T62" s="1087">
        <v>1.5</v>
      </c>
      <c r="U62" s="1087">
        <v>1.5</v>
      </c>
      <c r="V62" s="1087">
        <v>119.95294334292542</v>
      </c>
      <c r="W62" s="1089">
        <v>119.95294334292542</v>
      </c>
    </row>
    <row r="63" spans="1:26" ht="13.5" customHeight="1">
      <c r="A63" s="563"/>
      <c r="B63" s="501">
        <v>2024</v>
      </c>
      <c r="C63" s="527"/>
      <c r="D63" s="979">
        <v>133.34</v>
      </c>
      <c r="E63" s="978" t="s">
        <v>478</v>
      </c>
      <c r="F63" s="980">
        <v>2.12</v>
      </c>
      <c r="G63" s="981">
        <v>185.23</v>
      </c>
      <c r="H63" s="978" t="s">
        <v>478</v>
      </c>
      <c r="I63" s="980">
        <v>0.22</v>
      </c>
      <c r="J63" s="981">
        <v>118.07</v>
      </c>
      <c r="K63" s="978" t="s">
        <v>478</v>
      </c>
      <c r="L63" s="980">
        <v>0.49</v>
      </c>
      <c r="M63" s="981">
        <v>120.65</v>
      </c>
      <c r="N63" s="978" t="s">
        <v>478</v>
      </c>
      <c r="O63" s="980">
        <v>1.89</v>
      </c>
      <c r="P63" s="981">
        <v>156.88999999999999</v>
      </c>
      <c r="Q63" s="978" t="s">
        <v>478</v>
      </c>
      <c r="R63" s="980">
        <v>1.62</v>
      </c>
      <c r="S63" s="981">
        <v>138.91999999999999</v>
      </c>
      <c r="T63" s="1087">
        <v>1.5</v>
      </c>
      <c r="U63" s="1087">
        <v>1.5</v>
      </c>
      <c r="V63" s="1087">
        <v>121.75223749306929</v>
      </c>
      <c r="W63" s="1089">
        <v>121.75223749306929</v>
      </c>
    </row>
    <row r="64" spans="1:26" ht="13.5" customHeight="1">
      <c r="A64" s="563"/>
      <c r="B64" s="501">
        <v>2025</v>
      </c>
      <c r="C64" s="527"/>
      <c r="D64" s="979">
        <v>135.86000000000001</v>
      </c>
      <c r="E64" s="978" t="s">
        <v>478</v>
      </c>
      <c r="F64" s="980">
        <v>1.78</v>
      </c>
      <c r="G64" s="981">
        <v>188.53</v>
      </c>
      <c r="H64" s="978" t="s">
        <v>478</v>
      </c>
      <c r="I64" s="980">
        <v>0.2</v>
      </c>
      <c r="J64" s="981">
        <v>118.3</v>
      </c>
      <c r="K64" s="978" t="s">
        <v>478</v>
      </c>
      <c r="L64" s="980">
        <v>0.45</v>
      </c>
      <c r="M64" s="981">
        <v>121.19</v>
      </c>
      <c r="N64" s="978" t="s">
        <v>478</v>
      </c>
      <c r="O64" s="980">
        <v>1.58</v>
      </c>
      <c r="P64" s="981">
        <v>159.36000000000001</v>
      </c>
      <c r="Q64" s="978" t="s">
        <v>478</v>
      </c>
      <c r="R64" s="980">
        <v>1.32</v>
      </c>
      <c r="S64" s="981">
        <v>140.75</v>
      </c>
      <c r="T64" s="1087">
        <v>1.5</v>
      </c>
      <c r="U64" s="1087">
        <v>1.5</v>
      </c>
      <c r="V64" s="1087">
        <v>123.57852105546532</v>
      </c>
      <c r="W64" s="1089">
        <v>123.57852105546532</v>
      </c>
    </row>
    <row r="65" spans="1:23" ht="13.5" customHeight="1">
      <c r="A65" s="563"/>
      <c r="B65" s="501">
        <v>2026</v>
      </c>
      <c r="C65" s="527"/>
      <c r="D65" s="979">
        <v>138.58000000000001</v>
      </c>
      <c r="E65" s="978" t="s">
        <v>478</v>
      </c>
      <c r="F65" s="980">
        <v>1.65</v>
      </c>
      <c r="G65" s="981">
        <v>191.65</v>
      </c>
      <c r="H65" s="978" t="s">
        <v>478</v>
      </c>
      <c r="I65" s="980">
        <v>0.18</v>
      </c>
      <c r="J65" s="981">
        <v>118.52</v>
      </c>
      <c r="K65" s="978" t="s">
        <v>478</v>
      </c>
      <c r="L65" s="980">
        <v>0.44</v>
      </c>
      <c r="M65" s="981">
        <v>121.73</v>
      </c>
      <c r="N65" s="978" t="s">
        <v>478</v>
      </c>
      <c r="O65" s="980">
        <v>1.47</v>
      </c>
      <c r="P65" s="981">
        <v>161.69999999999999</v>
      </c>
      <c r="Q65" s="978" t="s">
        <v>478</v>
      </c>
      <c r="R65" s="980">
        <v>1.21</v>
      </c>
      <c r="S65" s="981">
        <v>142.46</v>
      </c>
      <c r="T65" s="1087">
        <v>1.5</v>
      </c>
      <c r="U65" s="1087">
        <v>1.5</v>
      </c>
      <c r="V65" s="1087">
        <v>125.43219887129729</v>
      </c>
      <c r="W65" s="1089">
        <v>125.43219887129729</v>
      </c>
    </row>
    <row r="66" spans="1:23" ht="13.5" customHeight="1">
      <c r="A66" s="563"/>
      <c r="B66" s="501">
        <v>2027</v>
      </c>
      <c r="C66" s="527"/>
      <c r="D66" s="979">
        <v>141.77000000000001</v>
      </c>
      <c r="E66" s="978" t="s">
        <v>478</v>
      </c>
      <c r="F66" s="980">
        <v>1.74</v>
      </c>
      <c r="G66" s="981">
        <v>194.99</v>
      </c>
      <c r="H66" s="978" t="s">
        <v>478</v>
      </c>
      <c r="I66" s="980">
        <v>0.26</v>
      </c>
      <c r="J66" s="981">
        <v>118.83</v>
      </c>
      <c r="K66" s="978" t="s">
        <v>478</v>
      </c>
      <c r="L66" s="980">
        <v>0.54</v>
      </c>
      <c r="M66" s="981">
        <v>122.38</v>
      </c>
      <c r="N66" s="978" t="s">
        <v>478</v>
      </c>
      <c r="O66" s="980">
        <v>1.48</v>
      </c>
      <c r="P66" s="981">
        <v>164.1</v>
      </c>
      <c r="Q66" s="978" t="s">
        <v>478</v>
      </c>
      <c r="R66" s="980">
        <v>1.2</v>
      </c>
      <c r="S66" s="981">
        <v>144.16</v>
      </c>
      <c r="T66" s="1087">
        <v>1.5</v>
      </c>
      <c r="U66" s="1087">
        <v>1.5</v>
      </c>
      <c r="V66" s="1087">
        <v>127.31368185436673</v>
      </c>
      <c r="W66" s="1089">
        <v>127.31368185436673</v>
      </c>
    </row>
    <row r="67" spans="1:23" ht="13.5" customHeight="1">
      <c r="A67" s="563"/>
      <c r="B67" s="501">
        <v>2028</v>
      </c>
      <c r="C67" s="527"/>
      <c r="D67" s="979">
        <v>145.03</v>
      </c>
      <c r="E67" s="978" t="s">
        <v>478</v>
      </c>
      <c r="F67" s="980">
        <v>1.73</v>
      </c>
      <c r="G67" s="981">
        <v>198.36</v>
      </c>
      <c r="H67" s="978" t="s">
        <v>478</v>
      </c>
      <c r="I67" s="980">
        <v>0.24</v>
      </c>
      <c r="J67" s="981">
        <v>119.12</v>
      </c>
      <c r="K67" s="978" t="s">
        <v>478</v>
      </c>
      <c r="L67" s="980">
        <v>0.52</v>
      </c>
      <c r="M67" s="981">
        <v>123.02</v>
      </c>
      <c r="N67" s="978" t="s">
        <v>478</v>
      </c>
      <c r="O67" s="980">
        <v>1.48</v>
      </c>
      <c r="P67" s="981">
        <v>166.52</v>
      </c>
      <c r="Q67" s="978" t="s">
        <v>478</v>
      </c>
      <c r="R67" s="980">
        <v>1.2</v>
      </c>
      <c r="S67" s="981">
        <v>145.9</v>
      </c>
      <c r="T67" s="1087">
        <v>1.5</v>
      </c>
      <c r="U67" s="1087">
        <v>1.5</v>
      </c>
      <c r="V67" s="1087">
        <v>129.22338708218223</v>
      </c>
      <c r="W67" s="1089">
        <v>129.22338708218223</v>
      </c>
    </row>
    <row r="68" spans="1:23" ht="13.5" customHeight="1">
      <c r="A68" s="563"/>
      <c r="B68" s="501">
        <v>2029</v>
      </c>
      <c r="C68" s="527"/>
      <c r="D68" s="979">
        <v>148.36000000000001</v>
      </c>
      <c r="E68" s="978" t="s">
        <v>478</v>
      </c>
      <c r="F68" s="980">
        <v>1.7</v>
      </c>
      <c r="G68" s="981">
        <v>201.73</v>
      </c>
      <c r="H68" s="978" t="s">
        <v>478</v>
      </c>
      <c r="I68" s="980">
        <v>0.23</v>
      </c>
      <c r="J68" s="981">
        <v>119.39</v>
      </c>
      <c r="K68" s="978" t="s">
        <v>478</v>
      </c>
      <c r="L68" s="980">
        <v>0.49</v>
      </c>
      <c r="M68" s="981">
        <v>123.62</v>
      </c>
      <c r="N68" s="978" t="s">
        <v>478</v>
      </c>
      <c r="O68" s="980">
        <v>1.46</v>
      </c>
      <c r="P68" s="981">
        <v>168.96</v>
      </c>
      <c r="Q68" s="978" t="s">
        <v>478</v>
      </c>
      <c r="R68" s="980">
        <v>1.2</v>
      </c>
      <c r="S68" s="981">
        <v>147.63999999999999</v>
      </c>
      <c r="T68" s="1087">
        <v>1.5</v>
      </c>
      <c r="U68" s="1087">
        <v>1.5</v>
      </c>
      <c r="V68" s="1087">
        <v>131.16173788841496</v>
      </c>
      <c r="W68" s="1089">
        <v>131.16173788841496</v>
      </c>
    </row>
    <row r="69" spans="1:23" ht="13.5" customHeight="1">
      <c r="A69" s="563"/>
      <c r="B69" s="501">
        <v>2030</v>
      </c>
      <c r="C69" s="527"/>
      <c r="D69" s="979">
        <v>151.78</v>
      </c>
      <c r="E69" s="978" t="s">
        <v>478</v>
      </c>
      <c r="F69" s="980">
        <v>1.66</v>
      </c>
      <c r="G69" s="981">
        <v>205.08</v>
      </c>
      <c r="H69" s="978" t="s">
        <v>478</v>
      </c>
      <c r="I69" s="980">
        <v>0.22</v>
      </c>
      <c r="J69" s="981">
        <v>119.65</v>
      </c>
      <c r="K69" s="978" t="s">
        <v>478</v>
      </c>
      <c r="L69" s="980">
        <v>0.47</v>
      </c>
      <c r="M69" s="981">
        <v>124.21</v>
      </c>
      <c r="N69" s="978" t="s">
        <v>478</v>
      </c>
      <c r="O69" s="980">
        <v>1.44</v>
      </c>
      <c r="P69" s="981">
        <v>171.39</v>
      </c>
      <c r="Q69" s="978" t="s">
        <v>478</v>
      </c>
      <c r="R69" s="980">
        <v>1.18</v>
      </c>
      <c r="S69" s="981">
        <v>149.38999999999999</v>
      </c>
      <c r="T69" s="1087">
        <v>1.5</v>
      </c>
      <c r="U69" s="1087">
        <v>1.5</v>
      </c>
      <c r="V69" s="1087">
        <v>133.12916395674117</v>
      </c>
      <c r="W69" s="1089">
        <v>133.12916395674117</v>
      </c>
    </row>
    <row r="70" spans="1:23" ht="13.5" customHeight="1">
      <c r="A70" s="563"/>
      <c r="B70" s="501">
        <v>2031</v>
      </c>
      <c r="C70" s="527"/>
      <c r="D70" s="979">
        <v>155.27000000000001</v>
      </c>
      <c r="E70" s="978" t="s">
        <v>478</v>
      </c>
      <c r="F70" s="980">
        <v>1.62</v>
      </c>
      <c r="G70" s="981">
        <v>208.41</v>
      </c>
      <c r="H70" s="978" t="s">
        <v>478</v>
      </c>
      <c r="I70" s="980">
        <v>0.21</v>
      </c>
      <c r="J70" s="981">
        <v>119.9</v>
      </c>
      <c r="K70" s="978" t="s">
        <v>478</v>
      </c>
      <c r="L70" s="980">
        <v>0.48</v>
      </c>
      <c r="M70" s="981">
        <v>124.8</v>
      </c>
      <c r="N70" s="978" t="s">
        <v>478</v>
      </c>
      <c r="O70" s="980">
        <v>1.41</v>
      </c>
      <c r="P70" s="981">
        <v>173.81</v>
      </c>
      <c r="Q70" s="978" t="s">
        <v>478</v>
      </c>
      <c r="R70" s="980">
        <v>1.1399999999999999</v>
      </c>
      <c r="S70" s="981">
        <v>151.1</v>
      </c>
      <c r="T70" s="1087">
        <v>1.5</v>
      </c>
      <c r="U70" s="1087">
        <v>1.5</v>
      </c>
      <c r="V70" s="1087">
        <v>135.12610141609227</v>
      </c>
      <c r="W70" s="1089">
        <v>135.12610141609227</v>
      </c>
    </row>
    <row r="71" spans="1:23" ht="13.5" customHeight="1">
      <c r="A71" s="563"/>
      <c r="B71" s="501">
        <v>2032</v>
      </c>
      <c r="C71" s="527"/>
      <c r="D71" s="979">
        <v>158.84</v>
      </c>
      <c r="E71" s="978" t="s">
        <v>478</v>
      </c>
      <c r="F71" s="980">
        <v>1.59</v>
      </c>
      <c r="G71" s="981">
        <v>211.72</v>
      </c>
      <c r="H71" s="978" t="s">
        <v>478</v>
      </c>
      <c r="I71" s="980">
        <v>0.2</v>
      </c>
      <c r="J71" s="981">
        <v>120.14</v>
      </c>
      <c r="K71" s="978" t="s">
        <v>478</v>
      </c>
      <c r="L71" s="980">
        <v>0.47</v>
      </c>
      <c r="M71" s="981">
        <v>125.38</v>
      </c>
      <c r="N71" s="978" t="s">
        <v>478</v>
      </c>
      <c r="O71" s="980">
        <v>1.39</v>
      </c>
      <c r="P71" s="981">
        <v>176.23</v>
      </c>
      <c r="Q71" s="978" t="s">
        <v>478</v>
      </c>
      <c r="R71" s="980">
        <v>1.1200000000000001</v>
      </c>
      <c r="S71" s="981">
        <v>152.79</v>
      </c>
      <c r="T71" s="1087">
        <v>1.5</v>
      </c>
      <c r="U71" s="1087">
        <v>1.5</v>
      </c>
      <c r="V71" s="1087">
        <v>137.15299293733364</v>
      </c>
      <c r="W71" s="1089">
        <v>137.15299293733364</v>
      </c>
    </row>
    <row r="72" spans="1:23" ht="13.5" customHeight="1">
      <c r="A72" s="563"/>
      <c r="B72" s="501">
        <v>2033</v>
      </c>
      <c r="C72" s="527"/>
      <c r="D72" s="979">
        <v>162.49</v>
      </c>
      <c r="E72" s="978" t="s">
        <v>478</v>
      </c>
      <c r="F72" s="980">
        <v>1.58</v>
      </c>
      <c r="G72" s="981">
        <v>215.06</v>
      </c>
      <c r="H72" s="978" t="s">
        <v>478</v>
      </c>
      <c r="I72" s="980">
        <v>0.19</v>
      </c>
      <c r="J72" s="981">
        <v>120.36</v>
      </c>
      <c r="K72" s="978" t="s">
        <v>478</v>
      </c>
      <c r="L72" s="980">
        <v>0.45</v>
      </c>
      <c r="M72" s="981">
        <v>125.95</v>
      </c>
      <c r="N72" s="978" t="s">
        <v>478</v>
      </c>
      <c r="O72" s="980">
        <v>1.39</v>
      </c>
      <c r="P72" s="981">
        <v>178.67</v>
      </c>
      <c r="Q72" s="978" t="s">
        <v>478</v>
      </c>
      <c r="R72" s="980">
        <v>1.1200000000000001</v>
      </c>
      <c r="S72" s="981">
        <v>154.5</v>
      </c>
      <c r="T72" s="1087">
        <v>1.5</v>
      </c>
      <c r="U72" s="1087">
        <v>1.5</v>
      </c>
      <c r="V72" s="1087">
        <v>139.21028783139363</v>
      </c>
      <c r="W72" s="1089">
        <v>139.21028783139363</v>
      </c>
    </row>
    <row r="73" spans="1:23" ht="13.5" customHeight="1">
      <c r="A73" s="563"/>
      <c r="B73" s="501">
        <v>2034</v>
      </c>
      <c r="C73" s="527"/>
      <c r="D73" s="979">
        <v>166.23</v>
      </c>
      <c r="E73" s="978" t="s">
        <v>478</v>
      </c>
      <c r="F73" s="980">
        <v>1.55</v>
      </c>
      <c r="G73" s="981">
        <v>218.4</v>
      </c>
      <c r="H73" s="978" t="s">
        <v>478</v>
      </c>
      <c r="I73" s="980">
        <v>0.18</v>
      </c>
      <c r="J73" s="981">
        <v>120.58</v>
      </c>
      <c r="K73" s="978" t="s">
        <v>478</v>
      </c>
      <c r="L73" s="980">
        <v>0.43</v>
      </c>
      <c r="M73" s="981">
        <v>126.49</v>
      </c>
      <c r="N73" s="978" t="s">
        <v>478</v>
      </c>
      <c r="O73" s="980">
        <v>1.37</v>
      </c>
      <c r="P73" s="981">
        <v>181.12</v>
      </c>
      <c r="Q73" s="978" t="s">
        <v>478</v>
      </c>
      <c r="R73" s="980">
        <v>1.1200000000000001</v>
      </c>
      <c r="S73" s="981">
        <v>156.22999999999999</v>
      </c>
      <c r="T73" s="1087">
        <v>1.5</v>
      </c>
      <c r="U73" s="1087">
        <v>1.5</v>
      </c>
      <c r="V73" s="1087">
        <v>141.29844214886452</v>
      </c>
      <c r="W73" s="1089">
        <v>141.29844214886452</v>
      </c>
    </row>
    <row r="74" spans="1:23" ht="13.5" customHeight="1">
      <c r="A74" s="563"/>
      <c r="B74" s="501">
        <v>2035</v>
      </c>
      <c r="C74" s="527"/>
      <c r="D74" s="979">
        <v>170.05</v>
      </c>
      <c r="E74" s="978" t="s">
        <v>478</v>
      </c>
      <c r="F74" s="980">
        <v>1.52</v>
      </c>
      <c r="G74" s="981">
        <v>221.72</v>
      </c>
      <c r="H74" s="978" t="s">
        <v>478</v>
      </c>
      <c r="I74" s="980">
        <v>0.17</v>
      </c>
      <c r="J74" s="981">
        <v>120.79</v>
      </c>
      <c r="K74" s="978" t="s">
        <v>478</v>
      </c>
      <c r="L74" s="980">
        <v>0.41</v>
      </c>
      <c r="M74" s="981">
        <v>127.01</v>
      </c>
      <c r="N74" s="978" t="s">
        <v>478</v>
      </c>
      <c r="O74" s="980">
        <v>1.35</v>
      </c>
      <c r="P74" s="981">
        <v>183.56</v>
      </c>
      <c r="Q74" s="978" t="s">
        <v>478</v>
      </c>
      <c r="R74" s="980">
        <v>1.1000000000000001</v>
      </c>
      <c r="S74" s="981">
        <v>157.94999999999999</v>
      </c>
      <c r="T74" s="1087">
        <v>1.5</v>
      </c>
      <c r="U74" s="1087">
        <v>1.5</v>
      </c>
      <c r="V74" s="1087">
        <v>143.41791878109748</v>
      </c>
      <c r="W74" s="1089">
        <v>143.41791878109748</v>
      </c>
    </row>
    <row r="75" spans="1:23" ht="13.5" customHeight="1">
      <c r="A75" s="563"/>
      <c r="B75" s="501">
        <v>2036</v>
      </c>
      <c r="C75" s="527"/>
      <c r="D75" s="979">
        <v>173.96</v>
      </c>
      <c r="E75" s="978" t="s">
        <v>478</v>
      </c>
      <c r="F75" s="980">
        <v>1.65</v>
      </c>
      <c r="G75" s="981">
        <v>225.37</v>
      </c>
      <c r="H75" s="978" t="s">
        <v>478</v>
      </c>
      <c r="I75" s="980">
        <v>0.17</v>
      </c>
      <c r="J75" s="981">
        <v>120.99</v>
      </c>
      <c r="K75" s="978" t="s">
        <v>478</v>
      </c>
      <c r="L75" s="980">
        <v>0.42</v>
      </c>
      <c r="M75" s="981">
        <v>127.54</v>
      </c>
      <c r="N75" s="978" t="s">
        <v>478</v>
      </c>
      <c r="O75" s="980">
        <v>1.48</v>
      </c>
      <c r="P75" s="981">
        <v>186.27</v>
      </c>
      <c r="Q75" s="978" t="s">
        <v>478</v>
      </c>
      <c r="R75" s="980">
        <v>1.23</v>
      </c>
      <c r="S75" s="981">
        <v>159.88999999999999</v>
      </c>
      <c r="T75" s="1087">
        <v>1.5</v>
      </c>
      <c r="U75" s="1087">
        <v>1.5</v>
      </c>
      <c r="V75" s="1087">
        <v>145.56918756281394</v>
      </c>
      <c r="W75" s="1089">
        <v>145.56918756281394</v>
      </c>
    </row>
    <row r="76" spans="1:23" ht="13.5" customHeight="1">
      <c r="A76" s="563"/>
      <c r="B76" s="501">
        <v>2037</v>
      </c>
      <c r="C76" s="527"/>
      <c r="D76" s="979">
        <v>177.96</v>
      </c>
      <c r="E76" s="978" t="s">
        <v>478</v>
      </c>
      <c r="F76" s="980">
        <v>1.64</v>
      </c>
      <c r="G76" s="981">
        <v>229.07</v>
      </c>
      <c r="H76" s="978" t="s">
        <v>478</v>
      </c>
      <c r="I76" s="980">
        <v>0.16</v>
      </c>
      <c r="J76" s="981">
        <v>121.19</v>
      </c>
      <c r="K76" s="978" t="s">
        <v>478</v>
      </c>
      <c r="L76" s="980">
        <v>0.4</v>
      </c>
      <c r="M76" s="981">
        <v>128.04</v>
      </c>
      <c r="N76" s="978" t="s">
        <v>478</v>
      </c>
      <c r="O76" s="980">
        <v>1.48</v>
      </c>
      <c r="P76" s="981">
        <v>189.02</v>
      </c>
      <c r="Q76" s="978" t="s">
        <v>478</v>
      </c>
      <c r="R76" s="980">
        <v>1.24</v>
      </c>
      <c r="S76" s="981">
        <v>161.87</v>
      </c>
      <c r="T76" s="1087">
        <v>1.5</v>
      </c>
      <c r="U76" s="1087">
        <v>1.5</v>
      </c>
      <c r="V76" s="1087">
        <v>147.75272537625614</v>
      </c>
      <c r="W76" s="1089">
        <v>147.75272537625614</v>
      </c>
    </row>
    <row r="77" spans="1:23" ht="13.5" customHeight="1">
      <c r="A77" s="563"/>
      <c r="B77" s="501">
        <v>2038</v>
      </c>
      <c r="C77" s="527"/>
      <c r="D77" s="979">
        <v>182.06</v>
      </c>
      <c r="E77" s="978" t="s">
        <v>478</v>
      </c>
      <c r="F77" s="980">
        <v>1.63</v>
      </c>
      <c r="G77" s="981">
        <v>232.81</v>
      </c>
      <c r="H77" s="978" t="s">
        <v>478</v>
      </c>
      <c r="I77" s="980">
        <v>0.16</v>
      </c>
      <c r="J77" s="981">
        <v>121.39</v>
      </c>
      <c r="K77" s="978" t="s">
        <v>478</v>
      </c>
      <c r="L77" s="980">
        <v>0.38</v>
      </c>
      <c r="M77" s="981">
        <v>128.53</v>
      </c>
      <c r="N77" s="978" t="s">
        <v>478</v>
      </c>
      <c r="O77" s="980">
        <v>1.47</v>
      </c>
      <c r="P77" s="981">
        <v>191.79</v>
      </c>
      <c r="Q77" s="978" t="s">
        <v>478</v>
      </c>
      <c r="R77" s="980">
        <v>1.25</v>
      </c>
      <c r="S77" s="981">
        <v>163.89</v>
      </c>
      <c r="T77" s="1087">
        <v>1.5</v>
      </c>
      <c r="U77" s="1087">
        <v>1.5</v>
      </c>
      <c r="V77" s="1087">
        <v>149.96901625689998</v>
      </c>
      <c r="W77" s="1089">
        <v>149.96901625689998</v>
      </c>
    </row>
    <row r="78" spans="1:23" ht="13.5" customHeight="1">
      <c r="A78" s="563"/>
      <c r="B78" s="501">
        <v>2039</v>
      </c>
      <c r="C78" s="527"/>
      <c r="D78" s="979">
        <v>186.24</v>
      </c>
      <c r="E78" s="978" t="s">
        <v>478</v>
      </c>
      <c r="F78" s="980">
        <v>1.61</v>
      </c>
      <c r="G78" s="981">
        <v>236.55</v>
      </c>
      <c r="H78" s="978" t="s">
        <v>478</v>
      </c>
      <c r="I78" s="980">
        <v>0.16</v>
      </c>
      <c r="J78" s="981">
        <v>121.58</v>
      </c>
      <c r="K78" s="978" t="s">
        <v>478</v>
      </c>
      <c r="L78" s="980">
        <v>0.35</v>
      </c>
      <c r="M78" s="981">
        <v>128.97999999999999</v>
      </c>
      <c r="N78" s="978" t="s">
        <v>478</v>
      </c>
      <c r="O78" s="980">
        <v>1.44</v>
      </c>
      <c r="P78" s="981">
        <v>194.56</v>
      </c>
      <c r="Q78" s="978" t="s">
        <v>478</v>
      </c>
      <c r="R78" s="980">
        <v>1.25</v>
      </c>
      <c r="S78" s="981">
        <v>165.94</v>
      </c>
      <c r="T78" s="1087">
        <v>1.5</v>
      </c>
      <c r="U78" s="1087">
        <v>1.5</v>
      </c>
      <c r="V78" s="1087">
        <v>152.21855150075345</v>
      </c>
      <c r="W78" s="1089">
        <v>152.21855150075345</v>
      </c>
    </row>
    <row r="79" spans="1:23" ht="13.5" customHeight="1">
      <c r="A79" s="563"/>
      <c r="B79" s="501">
        <v>2040</v>
      </c>
      <c r="C79" s="527"/>
      <c r="D79" s="979">
        <v>190.53</v>
      </c>
      <c r="E79" s="978" t="s">
        <v>478</v>
      </c>
      <c r="F79" s="980">
        <v>1.58</v>
      </c>
      <c r="G79" s="981">
        <v>240.28</v>
      </c>
      <c r="H79" s="978" t="s">
        <v>478</v>
      </c>
      <c r="I79" s="980">
        <v>0.16</v>
      </c>
      <c r="J79" s="981">
        <v>121.77</v>
      </c>
      <c r="K79" s="978" t="s">
        <v>478</v>
      </c>
      <c r="L79" s="980">
        <v>0.16</v>
      </c>
      <c r="M79" s="981">
        <v>129.18</v>
      </c>
      <c r="N79" s="978" t="s">
        <v>478</v>
      </c>
      <c r="O79" s="980">
        <v>1.42</v>
      </c>
      <c r="P79" s="981">
        <v>197.32</v>
      </c>
      <c r="Q79" s="978" t="s">
        <v>478</v>
      </c>
      <c r="R79" s="980">
        <v>1.42</v>
      </c>
      <c r="S79" s="981">
        <v>168.29</v>
      </c>
      <c r="T79" s="1087">
        <v>1.5</v>
      </c>
      <c r="U79" s="1087">
        <v>1.5</v>
      </c>
      <c r="V79" s="1087">
        <v>154.50182977326475</v>
      </c>
      <c r="W79" s="1089">
        <v>154.50182977326475</v>
      </c>
    </row>
    <row r="80" spans="1:23" ht="13.5" customHeight="1">
      <c r="A80" s="563"/>
      <c r="B80" s="501">
        <v>2041</v>
      </c>
      <c r="C80" s="527"/>
      <c r="D80" s="979">
        <v>194.91</v>
      </c>
      <c r="E80" s="978" t="s">
        <v>478</v>
      </c>
      <c r="F80" s="980">
        <v>1.56</v>
      </c>
      <c r="G80" s="981">
        <v>244.01</v>
      </c>
      <c r="H80" s="978" t="s">
        <v>478</v>
      </c>
      <c r="I80" s="980">
        <v>0.16</v>
      </c>
      <c r="J80" s="981">
        <v>121.96</v>
      </c>
      <c r="K80" s="978" t="s">
        <v>478</v>
      </c>
      <c r="L80" s="980">
        <v>0.16</v>
      </c>
      <c r="M80" s="981">
        <v>129.38</v>
      </c>
      <c r="N80" s="978" t="s">
        <v>478</v>
      </c>
      <c r="O80" s="980">
        <v>1.4</v>
      </c>
      <c r="P80" s="981">
        <v>200.07</v>
      </c>
      <c r="Q80" s="978" t="s">
        <v>478</v>
      </c>
      <c r="R80" s="980">
        <v>1.4</v>
      </c>
      <c r="S80" s="981">
        <v>170.64</v>
      </c>
      <c r="T80" s="1087">
        <v>1.5</v>
      </c>
      <c r="U80" s="1087">
        <v>1.5</v>
      </c>
      <c r="V80" s="1087">
        <v>156.81935721986369</v>
      </c>
      <c r="W80" s="1089">
        <v>156.81935721986369</v>
      </c>
    </row>
    <row r="81" spans="1:23" ht="13.5" customHeight="1">
      <c r="A81" s="563"/>
      <c r="B81" s="501">
        <v>2042</v>
      </c>
      <c r="C81" s="527"/>
      <c r="D81" s="979">
        <v>199.39</v>
      </c>
      <c r="E81" s="978" t="s">
        <v>478</v>
      </c>
      <c r="F81" s="980">
        <v>1.53</v>
      </c>
      <c r="G81" s="981">
        <v>247.75</v>
      </c>
      <c r="H81" s="978" t="s">
        <v>478</v>
      </c>
      <c r="I81" s="980">
        <v>0.15</v>
      </c>
      <c r="J81" s="981">
        <v>122.15</v>
      </c>
      <c r="K81" s="978" t="s">
        <v>478</v>
      </c>
      <c r="L81" s="980">
        <v>0.15</v>
      </c>
      <c r="M81" s="981">
        <v>129.58000000000001</v>
      </c>
      <c r="N81" s="978" t="s">
        <v>478</v>
      </c>
      <c r="O81" s="980">
        <v>1.37</v>
      </c>
      <c r="P81" s="981">
        <v>202.82</v>
      </c>
      <c r="Q81" s="978" t="s">
        <v>478</v>
      </c>
      <c r="R81" s="980">
        <v>1.37</v>
      </c>
      <c r="S81" s="981">
        <v>172.99</v>
      </c>
      <c r="T81" s="1087">
        <v>1.5</v>
      </c>
      <c r="U81" s="1087">
        <v>1.5</v>
      </c>
      <c r="V81" s="1087">
        <v>159.17164757816164</v>
      </c>
      <c r="W81" s="1089">
        <v>159.17164757816164</v>
      </c>
    </row>
    <row r="82" spans="1:23" ht="13.5" customHeight="1">
      <c r="A82" s="563"/>
      <c r="B82" s="501">
        <v>2043</v>
      </c>
      <c r="C82" s="527"/>
      <c r="D82" s="979">
        <v>203.98</v>
      </c>
      <c r="E82" s="978" t="s">
        <v>478</v>
      </c>
      <c r="F82" s="980">
        <v>1.5</v>
      </c>
      <c r="G82" s="981">
        <v>251.47</v>
      </c>
      <c r="H82" s="978" t="s">
        <v>478</v>
      </c>
      <c r="I82" s="980">
        <v>0.15</v>
      </c>
      <c r="J82" s="981">
        <v>122.33</v>
      </c>
      <c r="K82" s="978" t="s">
        <v>478</v>
      </c>
      <c r="L82" s="980">
        <v>0.15</v>
      </c>
      <c r="M82" s="981">
        <v>129.77000000000001</v>
      </c>
      <c r="N82" s="978" t="s">
        <v>478</v>
      </c>
      <c r="O82" s="980">
        <v>1.35</v>
      </c>
      <c r="P82" s="981">
        <v>205.56</v>
      </c>
      <c r="Q82" s="978" t="s">
        <v>478</v>
      </c>
      <c r="R82" s="980">
        <v>1.35</v>
      </c>
      <c r="S82" s="981">
        <v>175.32</v>
      </c>
      <c r="T82" s="1087">
        <v>1.5</v>
      </c>
      <c r="U82" s="1087">
        <v>1.5</v>
      </c>
      <c r="V82" s="1087">
        <v>161.55922229183406</v>
      </c>
      <c r="W82" s="1089">
        <v>161.55922229183406</v>
      </c>
    </row>
    <row r="83" spans="1:23" ht="13.5" customHeight="1">
      <c r="A83" s="563"/>
      <c r="B83" s="501">
        <v>2044</v>
      </c>
      <c r="C83" s="527"/>
      <c r="D83" s="979">
        <v>208.67</v>
      </c>
      <c r="E83" s="978" t="s">
        <v>478</v>
      </c>
      <c r="F83" s="980">
        <v>1.48</v>
      </c>
      <c r="G83" s="981">
        <v>255.18</v>
      </c>
      <c r="H83" s="978" t="s">
        <v>478</v>
      </c>
      <c r="I83" s="980">
        <v>0.14000000000000001</v>
      </c>
      <c r="J83" s="981">
        <v>122.5</v>
      </c>
      <c r="K83" s="978" t="s">
        <v>478</v>
      </c>
      <c r="L83" s="980">
        <v>0.14000000000000001</v>
      </c>
      <c r="M83" s="981">
        <v>129.96</v>
      </c>
      <c r="N83" s="978" t="s">
        <v>478</v>
      </c>
      <c r="O83" s="980">
        <v>1.33</v>
      </c>
      <c r="P83" s="981">
        <v>208.3</v>
      </c>
      <c r="Q83" s="978" t="s">
        <v>478</v>
      </c>
      <c r="R83" s="980">
        <v>1.33</v>
      </c>
      <c r="S83" s="981">
        <v>177.66</v>
      </c>
      <c r="T83" s="1087">
        <v>1.5</v>
      </c>
      <c r="U83" s="1087">
        <v>1.5</v>
      </c>
      <c r="V83" s="1087">
        <v>163.98261062621157</v>
      </c>
      <c r="W83" s="1089">
        <v>163.98261062621157</v>
      </c>
    </row>
    <row r="84" spans="1:23" ht="13.5" customHeight="1">
      <c r="A84" s="563"/>
      <c r="B84" s="501">
        <v>2045</v>
      </c>
      <c r="C84" s="527"/>
      <c r="D84" s="979">
        <v>213.47</v>
      </c>
      <c r="E84" s="978" t="s">
        <v>478</v>
      </c>
      <c r="F84" s="980">
        <v>1.46</v>
      </c>
      <c r="G84" s="981">
        <v>258.89</v>
      </c>
      <c r="H84" s="978" t="s">
        <v>478</v>
      </c>
      <c r="I84" s="980">
        <v>0.13</v>
      </c>
      <c r="J84" s="981">
        <v>122.67</v>
      </c>
      <c r="K84" s="978" t="s">
        <v>478</v>
      </c>
      <c r="L84" s="980">
        <v>0.13</v>
      </c>
      <c r="M84" s="981">
        <v>130.13</v>
      </c>
      <c r="N84" s="978" t="s">
        <v>478</v>
      </c>
      <c r="O84" s="980">
        <v>1.32</v>
      </c>
      <c r="P84" s="981">
        <v>211.05</v>
      </c>
      <c r="Q84" s="978" t="s">
        <v>478</v>
      </c>
      <c r="R84" s="980">
        <v>1.32</v>
      </c>
      <c r="S84" s="981">
        <v>180.01</v>
      </c>
      <c r="T84" s="1087">
        <v>1.5</v>
      </c>
      <c r="U84" s="1087">
        <v>1.5</v>
      </c>
      <c r="V84" s="1087">
        <v>166.44234978560473</v>
      </c>
      <c r="W84" s="1089">
        <v>166.44234978560473</v>
      </c>
    </row>
    <row r="85" spans="1:23" ht="13.5" customHeight="1">
      <c r="A85" s="563"/>
      <c r="B85" s="501">
        <v>2046</v>
      </c>
      <c r="C85" s="527"/>
      <c r="D85" s="979">
        <v>218.38</v>
      </c>
      <c r="E85" s="978" t="s">
        <v>478</v>
      </c>
      <c r="F85" s="980">
        <v>1.44</v>
      </c>
      <c r="G85" s="981">
        <v>262.61</v>
      </c>
      <c r="H85" s="978" t="s">
        <v>478</v>
      </c>
      <c r="I85" s="980">
        <v>0.12</v>
      </c>
      <c r="J85" s="981">
        <v>122.82</v>
      </c>
      <c r="K85" s="978" t="s">
        <v>478</v>
      </c>
      <c r="L85" s="980">
        <v>0.12</v>
      </c>
      <c r="M85" s="981">
        <v>130.29</v>
      </c>
      <c r="N85" s="978" t="s">
        <v>478</v>
      </c>
      <c r="O85" s="980">
        <v>1.31</v>
      </c>
      <c r="P85" s="981">
        <v>213.81</v>
      </c>
      <c r="Q85" s="978" t="s">
        <v>478</v>
      </c>
      <c r="R85" s="980">
        <v>1.31</v>
      </c>
      <c r="S85" s="981">
        <v>182.36</v>
      </c>
      <c r="T85" s="1087">
        <v>1.5</v>
      </c>
      <c r="U85" s="1087">
        <v>1.5</v>
      </c>
      <c r="V85" s="1087">
        <v>168.93898503238879</v>
      </c>
      <c r="W85" s="1089">
        <v>168.93898503238879</v>
      </c>
    </row>
    <row r="86" spans="1:23" ht="13.5" customHeight="1">
      <c r="A86" s="563"/>
      <c r="B86" s="501">
        <v>2047</v>
      </c>
      <c r="C86" s="527"/>
      <c r="D86" s="979">
        <v>223.4</v>
      </c>
      <c r="E86" s="978" t="s">
        <v>478</v>
      </c>
      <c r="F86" s="980">
        <v>1.41</v>
      </c>
      <c r="G86" s="981">
        <v>266.3</v>
      </c>
      <c r="H86" s="978" t="s">
        <v>478</v>
      </c>
      <c r="I86" s="980">
        <v>0.11</v>
      </c>
      <c r="J86" s="981">
        <v>122.96</v>
      </c>
      <c r="K86" s="978" t="s">
        <v>478</v>
      </c>
      <c r="L86" s="980">
        <v>0.11</v>
      </c>
      <c r="M86" s="981">
        <v>130.44</v>
      </c>
      <c r="N86" s="978" t="s">
        <v>478</v>
      </c>
      <c r="O86" s="980">
        <v>1.29</v>
      </c>
      <c r="P86" s="981">
        <v>216.58</v>
      </c>
      <c r="Q86" s="978" t="s">
        <v>478</v>
      </c>
      <c r="R86" s="980">
        <v>1.29</v>
      </c>
      <c r="S86" s="981">
        <v>184.72</v>
      </c>
      <c r="T86" s="1087">
        <v>1.5</v>
      </c>
      <c r="U86" s="1087">
        <v>1.5</v>
      </c>
      <c r="V86" s="1087">
        <v>171.47306980787459</v>
      </c>
      <c r="W86" s="1089">
        <v>171.47306980787459</v>
      </c>
    </row>
    <row r="87" spans="1:23" ht="13.5" customHeight="1">
      <c r="A87" s="563"/>
      <c r="B87" s="501">
        <v>2048</v>
      </c>
      <c r="C87" s="527"/>
      <c r="D87" s="979">
        <v>228.54</v>
      </c>
      <c r="E87" s="978" t="s">
        <v>478</v>
      </c>
      <c r="F87" s="980">
        <v>1.39</v>
      </c>
      <c r="G87" s="981">
        <v>269.99</v>
      </c>
      <c r="H87" s="978" t="s">
        <v>478</v>
      </c>
      <c r="I87" s="980">
        <v>0.1</v>
      </c>
      <c r="J87" s="981">
        <v>123.09</v>
      </c>
      <c r="K87" s="978" t="s">
        <v>478</v>
      </c>
      <c r="L87" s="980">
        <v>0.1</v>
      </c>
      <c r="M87" s="981">
        <v>130.58000000000001</v>
      </c>
      <c r="N87" s="978" t="s">
        <v>478</v>
      </c>
      <c r="O87" s="980">
        <v>1.28</v>
      </c>
      <c r="P87" s="981">
        <v>219.35</v>
      </c>
      <c r="Q87" s="978" t="s">
        <v>478</v>
      </c>
      <c r="R87" s="980">
        <v>1.28</v>
      </c>
      <c r="S87" s="981">
        <v>187.09</v>
      </c>
      <c r="T87" s="1087">
        <v>1.5</v>
      </c>
      <c r="U87" s="1087">
        <v>1.5</v>
      </c>
      <c r="V87" s="1087">
        <v>174.04516585499269</v>
      </c>
      <c r="W87" s="1089">
        <v>174.04516585499269</v>
      </c>
    </row>
    <row r="88" spans="1:23" ht="13.5" customHeight="1">
      <c r="A88" s="563"/>
      <c r="B88" s="501">
        <v>2049</v>
      </c>
      <c r="C88" s="527"/>
      <c r="D88" s="979">
        <v>233.8</v>
      </c>
      <c r="E88" s="978" t="s">
        <v>478</v>
      </c>
      <c r="F88" s="980">
        <v>1.37</v>
      </c>
      <c r="G88" s="981">
        <v>273.7</v>
      </c>
      <c r="H88" s="978" t="s">
        <v>478</v>
      </c>
      <c r="I88" s="980">
        <v>0.09</v>
      </c>
      <c r="J88" s="981">
        <v>123.2</v>
      </c>
      <c r="K88" s="978" t="s">
        <v>478</v>
      </c>
      <c r="L88" s="980">
        <v>0.09</v>
      </c>
      <c r="M88" s="981">
        <v>130.69</v>
      </c>
      <c r="N88" s="978" t="s">
        <v>478</v>
      </c>
      <c r="O88" s="980">
        <v>1.28</v>
      </c>
      <c r="P88" s="981">
        <v>222.16</v>
      </c>
      <c r="Q88" s="978" t="s">
        <v>478</v>
      </c>
      <c r="R88" s="980">
        <v>1.28</v>
      </c>
      <c r="S88" s="981">
        <v>189.48</v>
      </c>
      <c r="T88" s="1087">
        <v>1.5</v>
      </c>
      <c r="U88" s="1087">
        <v>1.5</v>
      </c>
      <c r="V88" s="1087">
        <v>176.65584334281758</v>
      </c>
      <c r="W88" s="1089">
        <v>176.65584334281758</v>
      </c>
    </row>
    <row r="89" spans="1:23" ht="13.5" customHeight="1">
      <c r="A89" s="563"/>
      <c r="B89" s="501">
        <v>2050</v>
      </c>
      <c r="C89" s="527"/>
      <c r="D89" s="979">
        <v>239.17</v>
      </c>
      <c r="E89" s="978" t="s">
        <v>478</v>
      </c>
      <c r="F89" s="980">
        <v>1.37</v>
      </c>
      <c r="G89" s="981">
        <v>277.44</v>
      </c>
      <c r="H89" s="978" t="s">
        <v>478</v>
      </c>
      <c r="I89" s="980">
        <v>0.08</v>
      </c>
      <c r="J89" s="981">
        <v>123.29</v>
      </c>
      <c r="K89" s="978" t="s">
        <v>478</v>
      </c>
      <c r="L89" s="980">
        <v>0.08</v>
      </c>
      <c r="M89" s="981">
        <v>130.79</v>
      </c>
      <c r="N89" s="978" t="s">
        <v>478</v>
      </c>
      <c r="O89" s="980">
        <v>1.29</v>
      </c>
      <c r="P89" s="981">
        <v>225.03</v>
      </c>
      <c r="Q89" s="978" t="s">
        <v>478</v>
      </c>
      <c r="R89" s="980">
        <v>1.29</v>
      </c>
      <c r="S89" s="981">
        <v>191.93</v>
      </c>
      <c r="T89" s="1087">
        <v>1.5</v>
      </c>
      <c r="U89" s="1087">
        <v>1.5</v>
      </c>
      <c r="V89" s="1087">
        <v>179.30568099295982</v>
      </c>
      <c r="W89" s="1089">
        <v>179.30568099295982</v>
      </c>
    </row>
    <row r="90" spans="1:23" ht="13.5" customHeight="1">
      <c r="A90" s="563"/>
      <c r="B90" s="501">
        <v>2051</v>
      </c>
      <c r="C90" s="527"/>
      <c r="D90" s="979">
        <v>244.68</v>
      </c>
      <c r="E90" s="978" t="s">
        <v>478</v>
      </c>
      <c r="F90" s="980">
        <v>1.37</v>
      </c>
      <c r="G90" s="981">
        <v>281.24</v>
      </c>
      <c r="H90" s="978" t="s">
        <v>478</v>
      </c>
      <c r="I90" s="980">
        <v>0.06</v>
      </c>
      <c r="J90" s="981">
        <v>123.37</v>
      </c>
      <c r="K90" s="978" t="s">
        <v>478</v>
      </c>
      <c r="L90" s="980">
        <v>0.06</v>
      </c>
      <c r="M90" s="981">
        <v>130.87</v>
      </c>
      <c r="N90" s="978" t="s">
        <v>478</v>
      </c>
      <c r="O90" s="980">
        <v>1.31</v>
      </c>
      <c r="P90" s="981">
        <v>227.97</v>
      </c>
      <c r="Q90" s="978" t="s">
        <v>478</v>
      </c>
      <c r="R90" s="980">
        <v>1.31</v>
      </c>
      <c r="S90" s="981">
        <v>194.44</v>
      </c>
      <c r="T90" s="1087">
        <v>1.5</v>
      </c>
      <c r="U90" s="1087">
        <v>1.5</v>
      </c>
      <c r="V90" s="1087">
        <v>181.9952662078542</v>
      </c>
      <c r="W90" s="1089">
        <v>181.9952662078542</v>
      </c>
    </row>
    <row r="91" spans="1:23" ht="13.5" customHeight="1">
      <c r="A91" s="563"/>
      <c r="B91" s="501">
        <v>2052</v>
      </c>
      <c r="C91" s="527"/>
      <c r="D91" s="979">
        <v>250.3</v>
      </c>
      <c r="E91" s="978" t="s">
        <v>478</v>
      </c>
      <c r="F91" s="980">
        <v>1.37</v>
      </c>
      <c r="G91" s="981">
        <v>285.10000000000002</v>
      </c>
      <c r="H91" s="978" t="s">
        <v>478</v>
      </c>
      <c r="I91" s="980">
        <v>0.05</v>
      </c>
      <c r="J91" s="981">
        <v>123.43</v>
      </c>
      <c r="K91" s="978" t="s">
        <v>478</v>
      </c>
      <c r="L91" s="980">
        <v>0.05</v>
      </c>
      <c r="M91" s="981">
        <v>130.94</v>
      </c>
      <c r="N91" s="978" t="s">
        <v>478</v>
      </c>
      <c r="O91" s="980">
        <v>1.32</v>
      </c>
      <c r="P91" s="981">
        <v>230.98</v>
      </c>
      <c r="Q91" s="978" t="s">
        <v>478</v>
      </c>
      <c r="R91" s="980">
        <v>1.32</v>
      </c>
      <c r="S91" s="981">
        <v>197.01</v>
      </c>
      <c r="T91" s="1087">
        <v>1.5</v>
      </c>
      <c r="U91" s="1087">
        <v>1.5</v>
      </c>
      <c r="V91" s="1087">
        <v>184.725195200972</v>
      </c>
      <c r="W91" s="1089">
        <v>184.725195200972</v>
      </c>
    </row>
    <row r="92" spans="1:23" ht="13.5" customHeight="1">
      <c r="A92" s="563"/>
      <c r="B92" s="501">
        <v>2053</v>
      </c>
      <c r="C92" s="527"/>
      <c r="D92" s="979">
        <v>256.06</v>
      </c>
      <c r="E92" s="978" t="s">
        <v>478</v>
      </c>
      <c r="F92" s="980">
        <v>1.37</v>
      </c>
      <c r="G92" s="981">
        <v>289</v>
      </c>
      <c r="H92" s="978" t="s">
        <v>478</v>
      </c>
      <c r="I92" s="980">
        <v>0.04</v>
      </c>
      <c r="J92" s="981">
        <v>123.47</v>
      </c>
      <c r="K92" s="978" t="s">
        <v>478</v>
      </c>
      <c r="L92" s="980">
        <v>0.04</v>
      </c>
      <c r="M92" s="981">
        <v>130.99</v>
      </c>
      <c r="N92" s="978" t="s">
        <v>478</v>
      </c>
      <c r="O92" s="980">
        <v>1.33</v>
      </c>
      <c r="P92" s="981">
        <v>234.06</v>
      </c>
      <c r="Q92" s="978" t="s">
        <v>478</v>
      </c>
      <c r="R92" s="980">
        <v>1.33</v>
      </c>
      <c r="S92" s="981">
        <v>199.63</v>
      </c>
      <c r="T92" s="1087">
        <v>1.5</v>
      </c>
      <c r="U92" s="1087">
        <v>1.5</v>
      </c>
      <c r="V92" s="1087">
        <v>187.49607312898655</v>
      </c>
      <c r="W92" s="1089">
        <v>187.49607312898655</v>
      </c>
    </row>
    <row r="93" spans="1:23" ht="13.5" customHeight="1">
      <c r="A93" s="563"/>
      <c r="B93" s="501">
        <v>2054</v>
      </c>
      <c r="C93" s="527"/>
      <c r="D93" s="979">
        <v>261.95</v>
      </c>
      <c r="E93" s="978" t="s">
        <v>478</v>
      </c>
      <c r="F93" s="980">
        <v>1.36</v>
      </c>
      <c r="G93" s="981">
        <v>292.95</v>
      </c>
      <c r="H93" s="978" t="s">
        <v>478</v>
      </c>
      <c r="I93" s="980">
        <v>0.03</v>
      </c>
      <c r="J93" s="981">
        <v>123.51</v>
      </c>
      <c r="K93" s="978" t="s">
        <v>478</v>
      </c>
      <c r="L93" s="980">
        <v>0.03</v>
      </c>
      <c r="M93" s="981">
        <v>131.02000000000001</v>
      </c>
      <c r="N93" s="978" t="s">
        <v>478</v>
      </c>
      <c r="O93" s="980">
        <v>1.34</v>
      </c>
      <c r="P93" s="981">
        <v>237.19</v>
      </c>
      <c r="Q93" s="978" t="s">
        <v>478</v>
      </c>
      <c r="R93" s="980">
        <v>1.34</v>
      </c>
      <c r="S93" s="981">
        <v>202.3</v>
      </c>
      <c r="T93" s="1087">
        <v>1.5</v>
      </c>
      <c r="U93" s="1087">
        <v>1.5</v>
      </c>
      <c r="V93" s="1087">
        <v>190.30851422592133</v>
      </c>
      <c r="W93" s="1089">
        <v>190.30851422592133</v>
      </c>
    </row>
    <row r="94" spans="1:23" ht="13.5" customHeight="1">
      <c r="A94" s="563"/>
      <c r="B94" s="501">
        <v>2055</v>
      </c>
      <c r="C94" s="527"/>
      <c r="D94" s="979">
        <v>267.97000000000003</v>
      </c>
      <c r="E94" s="978" t="s">
        <v>478</v>
      </c>
      <c r="F94" s="980">
        <v>1.37</v>
      </c>
      <c r="G94" s="981">
        <v>296.97000000000003</v>
      </c>
      <c r="H94" s="978" t="s">
        <v>478</v>
      </c>
      <c r="I94" s="980">
        <v>0.02</v>
      </c>
      <c r="J94" s="981">
        <v>123.53</v>
      </c>
      <c r="K94" s="978" t="s">
        <v>478</v>
      </c>
      <c r="L94" s="980">
        <v>0.02</v>
      </c>
      <c r="M94" s="981">
        <v>131.04</v>
      </c>
      <c r="N94" s="978" t="s">
        <v>478</v>
      </c>
      <c r="O94" s="980">
        <v>1.36</v>
      </c>
      <c r="P94" s="981">
        <v>240.41</v>
      </c>
      <c r="Q94" s="978" t="s">
        <v>478</v>
      </c>
      <c r="R94" s="980">
        <v>1.36</v>
      </c>
      <c r="S94" s="981">
        <v>205.05</v>
      </c>
      <c r="T94" s="1087">
        <v>1.5</v>
      </c>
      <c r="U94" s="1087">
        <v>1.5</v>
      </c>
      <c r="V94" s="1087">
        <v>193.16314193931012</v>
      </c>
      <c r="W94" s="1089">
        <v>193.16314193931012</v>
      </c>
    </row>
    <row r="95" spans="1:23" ht="13.5" customHeight="1">
      <c r="A95" s="563"/>
      <c r="B95" s="501">
        <v>2056</v>
      </c>
      <c r="C95" s="527"/>
      <c r="D95" s="979">
        <v>274.14</v>
      </c>
      <c r="E95" s="978" t="s">
        <v>478</v>
      </c>
      <c r="F95" s="980">
        <v>1.38</v>
      </c>
      <c r="G95" s="981">
        <v>301.07</v>
      </c>
      <c r="H95" s="978" t="s">
        <v>478</v>
      </c>
      <c r="I95" s="980">
        <v>0.01</v>
      </c>
      <c r="J95" s="981">
        <v>123.54</v>
      </c>
      <c r="K95" s="978" t="s">
        <v>478</v>
      </c>
      <c r="L95" s="980">
        <v>0.01</v>
      </c>
      <c r="M95" s="981">
        <v>131.06</v>
      </c>
      <c r="N95" s="978" t="s">
        <v>478</v>
      </c>
      <c r="O95" s="980">
        <v>1.37</v>
      </c>
      <c r="P95" s="981">
        <v>243.71</v>
      </c>
      <c r="Q95" s="978" t="s">
        <v>478</v>
      </c>
      <c r="R95" s="980">
        <v>1.37</v>
      </c>
      <c r="S95" s="981">
        <v>207.86</v>
      </c>
      <c r="T95" s="1087">
        <v>1.5</v>
      </c>
      <c r="U95" s="1087">
        <v>1.5</v>
      </c>
      <c r="V95" s="1087">
        <v>196.06058906839976</v>
      </c>
      <c r="W95" s="1089">
        <v>196.06058906839976</v>
      </c>
    </row>
    <row r="96" spans="1:23" ht="13.5" customHeight="1">
      <c r="A96" s="563"/>
      <c r="B96" s="501">
        <v>2057</v>
      </c>
      <c r="C96" s="527"/>
      <c r="D96" s="979">
        <v>280.44</v>
      </c>
      <c r="E96" s="978" t="s">
        <v>478</v>
      </c>
      <c r="F96" s="980">
        <v>1.39</v>
      </c>
      <c r="G96" s="981">
        <v>305.25</v>
      </c>
      <c r="H96" s="978" t="s">
        <v>478</v>
      </c>
      <c r="I96" s="980">
        <v>0</v>
      </c>
      <c r="J96" s="981">
        <v>123.54</v>
      </c>
      <c r="K96" s="978" t="s">
        <v>478</v>
      </c>
      <c r="L96" s="980">
        <v>0</v>
      </c>
      <c r="M96" s="981">
        <v>131.06</v>
      </c>
      <c r="N96" s="978" t="s">
        <v>478</v>
      </c>
      <c r="O96" s="980">
        <v>1.39</v>
      </c>
      <c r="P96" s="981">
        <v>247.08</v>
      </c>
      <c r="Q96" s="978" t="s">
        <v>478</v>
      </c>
      <c r="R96" s="980">
        <v>1.39</v>
      </c>
      <c r="S96" s="981">
        <v>210.74</v>
      </c>
      <c r="T96" s="1087">
        <v>1.5</v>
      </c>
      <c r="U96" s="1087">
        <v>1.5</v>
      </c>
      <c r="V96" s="1087">
        <v>199.00149790442575</v>
      </c>
      <c r="W96" s="1089">
        <v>199.00149790442575</v>
      </c>
    </row>
    <row r="97" spans="1:23" ht="13.5" customHeight="1">
      <c r="A97" s="563"/>
      <c r="B97" s="501">
        <v>2058</v>
      </c>
      <c r="C97" s="527"/>
      <c r="D97" s="979">
        <v>286.89</v>
      </c>
      <c r="E97" s="978" t="s">
        <v>478</v>
      </c>
      <c r="F97" s="980">
        <v>1.4</v>
      </c>
      <c r="G97" s="981">
        <v>309.51</v>
      </c>
      <c r="H97" s="978" t="s">
        <v>478</v>
      </c>
      <c r="I97" s="980">
        <v>0</v>
      </c>
      <c r="J97" s="981">
        <v>123.54</v>
      </c>
      <c r="K97" s="978" t="s">
        <v>478</v>
      </c>
      <c r="L97" s="980">
        <v>0</v>
      </c>
      <c r="M97" s="981">
        <v>131.06</v>
      </c>
      <c r="N97" s="978" t="s">
        <v>478</v>
      </c>
      <c r="O97" s="980">
        <v>1.4</v>
      </c>
      <c r="P97" s="981">
        <v>250.54</v>
      </c>
      <c r="Q97" s="978" t="s">
        <v>478</v>
      </c>
      <c r="R97" s="980">
        <v>1.4</v>
      </c>
      <c r="S97" s="981">
        <v>213.68</v>
      </c>
      <c r="T97" s="1087">
        <v>1.5</v>
      </c>
      <c r="U97" s="1087">
        <v>1.5</v>
      </c>
      <c r="V97" s="1087">
        <v>201.98652037299212</v>
      </c>
      <c r="W97" s="1089">
        <v>201.98652037299212</v>
      </c>
    </row>
    <row r="98" spans="1:23" ht="13.5" customHeight="1">
      <c r="A98" s="563"/>
      <c r="B98" s="501">
        <v>2059</v>
      </c>
      <c r="C98" s="527"/>
      <c r="D98" s="979">
        <v>293.49</v>
      </c>
      <c r="E98" s="978" t="s">
        <v>478</v>
      </c>
      <c r="F98" s="980">
        <v>1.4</v>
      </c>
      <c r="G98" s="981">
        <v>313.86</v>
      </c>
      <c r="H98" s="978" t="s">
        <v>478</v>
      </c>
      <c r="I98" s="980">
        <v>0</v>
      </c>
      <c r="J98" s="981">
        <v>123.54</v>
      </c>
      <c r="K98" s="978" t="s">
        <v>478</v>
      </c>
      <c r="L98" s="980">
        <v>0</v>
      </c>
      <c r="M98" s="981">
        <v>131.05000000000001</v>
      </c>
      <c r="N98" s="978" t="s">
        <v>478</v>
      </c>
      <c r="O98" s="980">
        <v>1.41</v>
      </c>
      <c r="P98" s="981">
        <v>254.06</v>
      </c>
      <c r="Q98" s="978" t="s">
        <v>478</v>
      </c>
      <c r="R98" s="980">
        <v>1.41</v>
      </c>
      <c r="S98" s="981">
        <v>216.69</v>
      </c>
      <c r="T98" s="1087">
        <v>1.5</v>
      </c>
      <c r="U98" s="1087">
        <v>1.5</v>
      </c>
      <c r="V98" s="1087">
        <v>205.01631817858697</v>
      </c>
      <c r="W98" s="1089">
        <v>205.01631817858697</v>
      </c>
    </row>
    <row r="99" spans="1:23" ht="13.5" customHeight="1">
      <c r="A99" s="563"/>
      <c r="B99" s="501">
        <v>2060</v>
      </c>
      <c r="C99" s="527"/>
      <c r="D99" s="979">
        <v>300.24</v>
      </c>
      <c r="E99" s="978" t="s">
        <v>478</v>
      </c>
      <c r="F99" s="980">
        <v>1.41</v>
      </c>
      <c r="G99" s="981">
        <v>318.3</v>
      </c>
      <c r="H99" s="978" t="s">
        <v>478</v>
      </c>
      <c r="I99" s="980">
        <v>0</v>
      </c>
      <c r="J99" s="981">
        <v>123.53</v>
      </c>
      <c r="K99" s="978" t="s">
        <v>478</v>
      </c>
      <c r="L99" s="980">
        <v>0</v>
      </c>
      <c r="M99" s="981">
        <v>131.05000000000001</v>
      </c>
      <c r="N99" s="978" t="s">
        <v>478</v>
      </c>
      <c r="O99" s="980">
        <v>1.42</v>
      </c>
      <c r="P99" s="981">
        <v>257.66000000000003</v>
      </c>
      <c r="Q99" s="978" t="s">
        <v>478</v>
      </c>
      <c r="R99" s="980">
        <v>1.42</v>
      </c>
      <c r="S99" s="981">
        <v>219.76</v>
      </c>
      <c r="T99" s="1087">
        <v>1.5</v>
      </c>
      <c r="U99" s="1087">
        <v>1.5</v>
      </c>
      <c r="V99" s="1087">
        <v>208.09156295126576</v>
      </c>
      <c r="W99" s="1089">
        <v>208.09156295126576</v>
      </c>
    </row>
    <row r="100" spans="1:23" ht="13.5" customHeight="1">
      <c r="A100" s="563"/>
      <c r="B100" s="501">
        <v>2061</v>
      </c>
      <c r="C100" s="527"/>
      <c r="D100" s="979">
        <v>307.14999999999998</v>
      </c>
      <c r="E100" s="978" t="s">
        <v>478</v>
      </c>
      <c r="F100" s="980">
        <v>1.44</v>
      </c>
      <c r="G100" s="981">
        <v>322.87</v>
      </c>
      <c r="H100" s="978" t="s">
        <v>478</v>
      </c>
      <c r="I100" s="980">
        <v>0</v>
      </c>
      <c r="J100" s="981">
        <v>123.53</v>
      </c>
      <c r="K100" s="978" t="s">
        <v>478</v>
      </c>
      <c r="L100" s="980">
        <v>0</v>
      </c>
      <c r="M100" s="981">
        <v>131.05000000000001</v>
      </c>
      <c r="N100" s="978" t="s">
        <v>478</v>
      </c>
      <c r="O100" s="980">
        <v>1.44</v>
      </c>
      <c r="P100" s="981">
        <v>261.36</v>
      </c>
      <c r="Q100" s="978" t="s">
        <v>478</v>
      </c>
      <c r="R100" s="980">
        <v>1.44</v>
      </c>
      <c r="S100" s="981">
        <v>222.92</v>
      </c>
      <c r="T100" s="1087">
        <v>1.5</v>
      </c>
      <c r="U100" s="1087">
        <v>1.5</v>
      </c>
      <c r="V100" s="1087">
        <v>211.21293639553471</v>
      </c>
      <c r="W100" s="1089">
        <v>211.21293639553471</v>
      </c>
    </row>
    <row r="101" spans="1:23" ht="13.5" customHeight="1">
      <c r="A101" s="563"/>
      <c r="B101" s="501">
        <v>2062</v>
      </c>
      <c r="C101" s="527"/>
      <c r="D101" s="979">
        <v>314.20999999999998</v>
      </c>
      <c r="E101" s="978" t="s">
        <v>478</v>
      </c>
      <c r="F101" s="980">
        <v>1.45</v>
      </c>
      <c r="G101" s="981">
        <v>327.54000000000002</v>
      </c>
      <c r="H101" s="978" t="s">
        <v>478</v>
      </c>
      <c r="I101" s="980">
        <v>0</v>
      </c>
      <c r="J101" s="981">
        <v>123.53</v>
      </c>
      <c r="K101" s="978" t="s">
        <v>478</v>
      </c>
      <c r="L101" s="980">
        <v>0</v>
      </c>
      <c r="M101" s="981">
        <v>131.05000000000001</v>
      </c>
      <c r="N101" s="978" t="s">
        <v>478</v>
      </c>
      <c r="O101" s="980">
        <v>1.44</v>
      </c>
      <c r="P101" s="981">
        <v>265.14</v>
      </c>
      <c r="Q101" s="978" t="s">
        <v>478</v>
      </c>
      <c r="R101" s="980">
        <v>1.44</v>
      </c>
      <c r="S101" s="981">
        <v>226.14</v>
      </c>
      <c r="T101" s="1087">
        <v>1.5</v>
      </c>
      <c r="U101" s="1087">
        <v>1.5</v>
      </c>
      <c r="V101" s="1087">
        <v>214.38113044146772</v>
      </c>
      <c r="W101" s="1089">
        <v>214.38113044146772</v>
      </c>
    </row>
    <row r="102" spans="1:23" ht="13.5" customHeight="1">
      <c r="A102" s="563"/>
      <c r="B102" s="501">
        <v>2063</v>
      </c>
      <c r="C102" s="527"/>
      <c r="D102" s="979">
        <v>321.44</v>
      </c>
      <c r="E102" s="978" t="s">
        <v>478</v>
      </c>
      <c r="F102" s="980">
        <v>1.46</v>
      </c>
      <c r="G102" s="981">
        <v>332.32</v>
      </c>
      <c r="H102" s="978" t="s">
        <v>478</v>
      </c>
      <c r="I102" s="980">
        <v>0.01</v>
      </c>
      <c r="J102" s="981">
        <v>123.54</v>
      </c>
      <c r="K102" s="978" t="s">
        <v>478</v>
      </c>
      <c r="L102" s="980">
        <v>0.01</v>
      </c>
      <c r="M102" s="981">
        <v>131.06</v>
      </c>
      <c r="N102" s="978" t="s">
        <v>478</v>
      </c>
      <c r="O102" s="980">
        <v>1.46</v>
      </c>
      <c r="P102" s="981">
        <v>269</v>
      </c>
      <c r="Q102" s="978" t="s">
        <v>478</v>
      </c>
      <c r="R102" s="980">
        <v>1.46</v>
      </c>
      <c r="S102" s="981">
        <v>229.43</v>
      </c>
      <c r="T102" s="1087">
        <v>1.5</v>
      </c>
      <c r="U102" s="1087">
        <v>1.5</v>
      </c>
      <c r="V102" s="1087">
        <v>217.59684739808972</v>
      </c>
      <c r="W102" s="1089">
        <v>217.59684739808972</v>
      </c>
    </row>
    <row r="103" spans="1:23" ht="13.5" customHeight="1">
      <c r="A103" s="563"/>
      <c r="B103" s="501">
        <v>2064</v>
      </c>
      <c r="C103" s="527"/>
      <c r="D103" s="979">
        <v>328.83</v>
      </c>
      <c r="E103" s="978" t="s">
        <v>478</v>
      </c>
      <c r="F103" s="980">
        <v>1.48</v>
      </c>
      <c r="G103" s="981">
        <v>337.23</v>
      </c>
      <c r="H103" s="978" t="s">
        <v>478</v>
      </c>
      <c r="I103" s="980">
        <v>0.01</v>
      </c>
      <c r="J103" s="981">
        <v>123.56</v>
      </c>
      <c r="K103" s="978" t="s">
        <v>478</v>
      </c>
      <c r="L103" s="980">
        <v>0.01</v>
      </c>
      <c r="M103" s="981">
        <v>131.07</v>
      </c>
      <c r="N103" s="978" t="s">
        <v>478</v>
      </c>
      <c r="O103" s="980">
        <v>1.47</v>
      </c>
      <c r="P103" s="981">
        <v>272.94</v>
      </c>
      <c r="Q103" s="978" t="s">
        <v>478</v>
      </c>
      <c r="R103" s="980">
        <v>1.47</v>
      </c>
      <c r="S103" s="981">
        <v>232.79</v>
      </c>
      <c r="T103" s="1087">
        <v>1.5</v>
      </c>
      <c r="U103" s="1087">
        <v>1.5</v>
      </c>
      <c r="V103" s="1087">
        <v>220.86080010906105</v>
      </c>
      <c r="W103" s="1089">
        <v>220.86080010906105</v>
      </c>
    </row>
    <row r="104" spans="1:23" ht="13.5" customHeight="1">
      <c r="A104" s="563"/>
      <c r="B104" s="501">
        <v>2065</v>
      </c>
      <c r="C104" s="527"/>
      <c r="D104" s="979">
        <v>336.39</v>
      </c>
      <c r="E104" s="978" t="s">
        <v>478</v>
      </c>
      <c r="F104" s="980">
        <v>1.5</v>
      </c>
      <c r="G104" s="981">
        <v>342.29</v>
      </c>
      <c r="H104" s="978" t="s">
        <v>478</v>
      </c>
      <c r="I104" s="980">
        <v>0.02</v>
      </c>
      <c r="J104" s="981">
        <v>123.58</v>
      </c>
      <c r="K104" s="978" t="s">
        <v>478</v>
      </c>
      <c r="L104" s="980">
        <v>0.02</v>
      </c>
      <c r="M104" s="981">
        <v>131.1</v>
      </c>
      <c r="N104" s="978" t="s">
        <v>478</v>
      </c>
      <c r="O104" s="980">
        <v>1.48</v>
      </c>
      <c r="P104" s="981">
        <v>276.99</v>
      </c>
      <c r="Q104" s="978" t="s">
        <v>478</v>
      </c>
      <c r="R104" s="980">
        <v>1.48</v>
      </c>
      <c r="S104" s="981">
        <v>236.24</v>
      </c>
      <c r="T104" s="1087">
        <v>1.5</v>
      </c>
      <c r="U104" s="1087">
        <v>1.5</v>
      </c>
      <c r="V104" s="1087">
        <v>224.17371211069695</v>
      </c>
      <c r="W104" s="1089">
        <v>224.17371211069695</v>
      </c>
    </row>
    <row r="105" spans="1:23" ht="13.5" customHeight="1">
      <c r="A105" s="563"/>
      <c r="B105" s="501">
        <v>2066</v>
      </c>
      <c r="C105" s="527"/>
      <c r="D105" s="979">
        <v>344.13</v>
      </c>
      <c r="E105" s="978" t="s">
        <v>478</v>
      </c>
      <c r="F105" s="980">
        <v>1.56</v>
      </c>
      <c r="G105" s="981">
        <v>347.64</v>
      </c>
      <c r="H105" s="978" t="s">
        <v>478</v>
      </c>
      <c r="I105" s="980">
        <v>0.02</v>
      </c>
      <c r="J105" s="981">
        <v>123.6</v>
      </c>
      <c r="K105" s="978" t="s">
        <v>478</v>
      </c>
      <c r="L105" s="980">
        <v>0.02</v>
      </c>
      <c r="M105" s="981">
        <v>131.13</v>
      </c>
      <c r="N105" s="978" t="s">
        <v>478</v>
      </c>
      <c r="O105" s="980">
        <v>1.54</v>
      </c>
      <c r="P105" s="981">
        <v>281.25</v>
      </c>
      <c r="Q105" s="978" t="s">
        <v>478</v>
      </c>
      <c r="R105" s="980">
        <v>1.54</v>
      </c>
      <c r="S105" s="981">
        <v>239.88</v>
      </c>
      <c r="T105" s="1087">
        <v>1.5</v>
      </c>
      <c r="U105" s="1087">
        <v>1.5</v>
      </c>
      <c r="V105" s="1087">
        <v>227.53631779235738</v>
      </c>
      <c r="W105" s="1089">
        <v>227.53631779235738</v>
      </c>
    </row>
    <row r="106" spans="1:23" ht="13.5" customHeight="1">
      <c r="A106" s="563"/>
      <c r="B106" s="501">
        <v>2067</v>
      </c>
      <c r="C106" s="527"/>
      <c r="D106" s="979">
        <v>352.05</v>
      </c>
      <c r="E106" s="978" t="s">
        <v>478</v>
      </c>
      <c r="F106" s="980">
        <v>1.64</v>
      </c>
      <c r="G106" s="981">
        <v>353.33</v>
      </c>
      <c r="H106" s="978" t="s">
        <v>478</v>
      </c>
      <c r="I106" s="980">
        <v>0.03</v>
      </c>
      <c r="J106" s="981">
        <v>123.64</v>
      </c>
      <c r="K106" s="978" t="s">
        <v>478</v>
      </c>
      <c r="L106" s="980">
        <v>0.03</v>
      </c>
      <c r="M106" s="981">
        <v>131.16</v>
      </c>
      <c r="N106" s="978" t="s">
        <v>478</v>
      </c>
      <c r="O106" s="980">
        <v>1.61</v>
      </c>
      <c r="P106" s="981">
        <v>285.77</v>
      </c>
      <c r="Q106" s="978" t="s">
        <v>478</v>
      </c>
      <c r="R106" s="980">
        <v>1.61</v>
      </c>
      <c r="S106" s="981">
        <v>243.74</v>
      </c>
      <c r="T106" s="1087">
        <v>1.5</v>
      </c>
      <c r="U106" s="1087">
        <v>1.5</v>
      </c>
      <c r="V106" s="1087">
        <v>230.94936255924273</v>
      </c>
      <c r="W106" s="1089">
        <v>230.94936255924273</v>
      </c>
    </row>
    <row r="107" spans="1:23" ht="13.5" customHeight="1">
      <c r="A107" s="563"/>
      <c r="B107" s="501">
        <v>2068</v>
      </c>
      <c r="C107" s="527"/>
      <c r="D107" s="979">
        <v>360.14</v>
      </c>
      <c r="E107" s="978" t="s">
        <v>478</v>
      </c>
      <c r="F107" s="980">
        <v>1.57</v>
      </c>
      <c r="G107" s="981">
        <v>358.86</v>
      </c>
      <c r="H107" s="978" t="s">
        <v>478</v>
      </c>
      <c r="I107" s="980">
        <v>0.03</v>
      </c>
      <c r="J107" s="981">
        <v>123.68</v>
      </c>
      <c r="K107" s="978" t="s">
        <v>478</v>
      </c>
      <c r="L107" s="980">
        <v>0.03</v>
      </c>
      <c r="M107" s="981">
        <v>131.21</v>
      </c>
      <c r="N107" s="978" t="s">
        <v>478</v>
      </c>
      <c r="O107" s="980">
        <v>1.53</v>
      </c>
      <c r="P107" s="981">
        <v>290.14999999999998</v>
      </c>
      <c r="Q107" s="978" t="s">
        <v>478</v>
      </c>
      <c r="R107" s="980">
        <v>1.53</v>
      </c>
      <c r="S107" s="981">
        <v>247.47</v>
      </c>
      <c r="T107" s="1087">
        <v>1.5</v>
      </c>
      <c r="U107" s="1087">
        <v>1.5</v>
      </c>
      <c r="V107" s="1087">
        <v>234.41360299763136</v>
      </c>
      <c r="W107" s="1089">
        <v>234.41360299763136</v>
      </c>
    </row>
    <row r="108" spans="1:23" ht="13.5" customHeight="1">
      <c r="A108" s="563"/>
      <c r="B108" s="501">
        <v>2069</v>
      </c>
      <c r="C108" s="527"/>
      <c r="D108" s="979">
        <v>368.43</v>
      </c>
      <c r="E108" s="978" t="s">
        <v>478</v>
      </c>
      <c r="F108" s="980">
        <v>1.56</v>
      </c>
      <c r="G108" s="981">
        <v>364.46</v>
      </c>
      <c r="H108" s="978" t="s">
        <v>478</v>
      </c>
      <c r="I108" s="980">
        <v>0.04</v>
      </c>
      <c r="J108" s="981">
        <v>123.73</v>
      </c>
      <c r="K108" s="978" t="s">
        <v>478</v>
      </c>
      <c r="L108" s="980">
        <v>0.04</v>
      </c>
      <c r="M108" s="981">
        <v>131.26</v>
      </c>
      <c r="N108" s="978" t="s">
        <v>478</v>
      </c>
      <c r="O108" s="980">
        <v>1.52</v>
      </c>
      <c r="P108" s="981">
        <v>294.56</v>
      </c>
      <c r="Q108" s="978" t="s">
        <v>478</v>
      </c>
      <c r="R108" s="980">
        <v>1.52</v>
      </c>
      <c r="S108" s="981">
        <v>251.23</v>
      </c>
      <c r="T108" s="1087">
        <v>1.5</v>
      </c>
      <c r="U108" s="1087">
        <v>1.5</v>
      </c>
      <c r="V108" s="1087">
        <v>237.9298070425958</v>
      </c>
      <c r="W108" s="1089">
        <v>237.9298070425958</v>
      </c>
    </row>
    <row r="109" spans="1:23" ht="13.5" customHeight="1">
      <c r="A109" s="563"/>
      <c r="B109" s="501">
        <v>2070</v>
      </c>
      <c r="C109" s="527"/>
      <c r="D109" s="979">
        <v>376.9</v>
      </c>
      <c r="E109" s="978" t="s">
        <v>478</v>
      </c>
      <c r="F109" s="980">
        <v>1.54</v>
      </c>
      <c r="G109" s="981">
        <v>370.07</v>
      </c>
      <c r="H109" s="978" t="s">
        <v>478</v>
      </c>
      <c r="I109" s="980">
        <v>0.04</v>
      </c>
      <c r="J109" s="981">
        <v>123.78</v>
      </c>
      <c r="K109" s="978" t="s">
        <v>478</v>
      </c>
      <c r="L109" s="980">
        <v>0.04</v>
      </c>
      <c r="M109" s="981">
        <v>131.32</v>
      </c>
      <c r="N109" s="978" t="s">
        <v>478</v>
      </c>
      <c r="O109" s="980">
        <v>1.49</v>
      </c>
      <c r="P109" s="981">
        <v>298.95999999999998</v>
      </c>
      <c r="Q109" s="978" t="s">
        <v>478</v>
      </c>
      <c r="R109" s="980">
        <v>1.49</v>
      </c>
      <c r="S109" s="981">
        <v>254.98</v>
      </c>
      <c r="T109" s="1087">
        <v>1.5</v>
      </c>
      <c r="U109" s="1087">
        <v>1.5</v>
      </c>
      <c r="V109" s="1087">
        <v>241.49875414823472</v>
      </c>
      <c r="W109" s="1089">
        <v>241.49875414823472</v>
      </c>
    </row>
    <row r="110" spans="1:23" ht="13.5" customHeight="1">
      <c r="A110" s="563"/>
      <c r="B110" s="501">
        <v>2071</v>
      </c>
      <c r="C110" s="527"/>
      <c r="D110" s="979">
        <v>385.57</v>
      </c>
      <c r="E110" s="978" t="s">
        <v>478</v>
      </c>
      <c r="F110" s="980">
        <v>1.56</v>
      </c>
      <c r="G110" s="981">
        <v>375.86</v>
      </c>
      <c r="H110" s="978" t="s">
        <v>478</v>
      </c>
      <c r="I110" s="980">
        <v>0.05</v>
      </c>
      <c r="J110" s="981">
        <v>123.84</v>
      </c>
      <c r="K110" s="978" t="s">
        <v>478</v>
      </c>
      <c r="L110" s="980">
        <v>0.05</v>
      </c>
      <c r="M110" s="981">
        <v>131.38</v>
      </c>
      <c r="N110" s="978" t="s">
        <v>478</v>
      </c>
      <c r="O110" s="980">
        <v>1.52</v>
      </c>
      <c r="P110" s="981">
        <v>303.5</v>
      </c>
      <c r="Q110" s="978" t="s">
        <v>478</v>
      </c>
      <c r="R110" s="980">
        <v>1.52</v>
      </c>
      <c r="S110" s="981">
        <v>258.85000000000002</v>
      </c>
      <c r="T110" s="1087">
        <v>1.5</v>
      </c>
      <c r="U110" s="1087">
        <v>1.5</v>
      </c>
      <c r="V110" s="1087">
        <v>245.12123546045822</v>
      </c>
      <c r="W110" s="1089">
        <v>245.12123546045822</v>
      </c>
    </row>
    <row r="111" spans="1:23" ht="13.5" customHeight="1">
      <c r="A111" s="563"/>
      <c r="B111" s="501">
        <v>2072</v>
      </c>
      <c r="C111" s="527"/>
      <c r="D111" s="979">
        <v>394.44</v>
      </c>
      <c r="E111" s="978" t="s">
        <v>478</v>
      </c>
      <c r="F111" s="980">
        <v>1.51</v>
      </c>
      <c r="G111" s="981">
        <v>381.54</v>
      </c>
      <c r="H111" s="978" t="s">
        <v>478</v>
      </c>
      <c r="I111" s="980">
        <v>0.05</v>
      </c>
      <c r="J111" s="981">
        <v>123.9</v>
      </c>
      <c r="K111" s="978" t="s">
        <v>478</v>
      </c>
      <c r="L111" s="980">
        <v>0.05</v>
      </c>
      <c r="M111" s="981">
        <v>131.44</v>
      </c>
      <c r="N111" s="978" t="s">
        <v>478</v>
      </c>
      <c r="O111" s="980">
        <v>1.46</v>
      </c>
      <c r="P111" s="981">
        <v>307.94</v>
      </c>
      <c r="Q111" s="978" t="s">
        <v>478</v>
      </c>
      <c r="R111" s="980">
        <v>1.46</v>
      </c>
      <c r="S111" s="981">
        <v>262.64</v>
      </c>
      <c r="T111" s="1087">
        <v>1.5</v>
      </c>
      <c r="U111" s="1087">
        <v>1.5</v>
      </c>
      <c r="V111" s="1087">
        <v>248.79805399236508</v>
      </c>
      <c r="W111" s="1089">
        <v>248.79805399236508</v>
      </c>
    </row>
    <row r="112" spans="1:23" ht="13.5" customHeight="1">
      <c r="A112" s="563"/>
      <c r="B112" s="501">
        <v>2073</v>
      </c>
      <c r="C112" s="527"/>
      <c r="D112" s="979">
        <v>403.51</v>
      </c>
      <c r="E112" s="978" t="s">
        <v>478</v>
      </c>
      <c r="F112" s="980">
        <v>1.48</v>
      </c>
      <c r="G112" s="981">
        <v>387.17</v>
      </c>
      <c r="H112" s="978" t="s">
        <v>478</v>
      </c>
      <c r="I112" s="980">
        <v>0.05</v>
      </c>
      <c r="J112" s="981">
        <v>123.96</v>
      </c>
      <c r="K112" s="978" t="s">
        <v>478</v>
      </c>
      <c r="L112" s="980">
        <v>0.05</v>
      </c>
      <c r="M112" s="981">
        <v>131.5</v>
      </c>
      <c r="N112" s="978" t="s">
        <v>478</v>
      </c>
      <c r="O112" s="980">
        <v>1.43</v>
      </c>
      <c r="P112" s="981">
        <v>312.33</v>
      </c>
      <c r="Q112" s="978" t="s">
        <v>478</v>
      </c>
      <c r="R112" s="980">
        <v>1.43</v>
      </c>
      <c r="S112" s="981">
        <v>266.39</v>
      </c>
      <c r="T112" s="1087">
        <v>1.5</v>
      </c>
      <c r="U112" s="1087">
        <v>1.5</v>
      </c>
      <c r="V112" s="1087">
        <v>252.53002480225052</v>
      </c>
      <c r="W112" s="1089">
        <v>252.53002480225052</v>
      </c>
    </row>
    <row r="113" spans="1:23" ht="13.5" customHeight="1">
      <c r="A113" s="563"/>
      <c r="B113" s="501">
        <v>2074</v>
      </c>
      <c r="C113" s="527"/>
      <c r="D113" s="979">
        <v>412.79</v>
      </c>
      <c r="E113" s="978" t="s">
        <v>478</v>
      </c>
      <c r="F113" s="980">
        <v>1.4</v>
      </c>
      <c r="G113" s="981">
        <v>392.61</v>
      </c>
      <c r="H113" s="978" t="s">
        <v>478</v>
      </c>
      <c r="I113" s="980">
        <v>0.05</v>
      </c>
      <c r="J113" s="981">
        <v>124.02</v>
      </c>
      <c r="K113" s="978" t="s">
        <v>478</v>
      </c>
      <c r="L113" s="980">
        <v>0.05</v>
      </c>
      <c r="M113" s="981">
        <v>131.57</v>
      </c>
      <c r="N113" s="978" t="s">
        <v>478</v>
      </c>
      <c r="O113" s="980">
        <v>1.36</v>
      </c>
      <c r="P113" s="981">
        <v>316.56</v>
      </c>
      <c r="Q113" s="978" t="s">
        <v>478</v>
      </c>
      <c r="R113" s="980">
        <v>1.36</v>
      </c>
      <c r="S113" s="981">
        <v>270</v>
      </c>
      <c r="T113" s="1087">
        <v>1.5</v>
      </c>
      <c r="U113" s="1087">
        <v>1.5</v>
      </c>
      <c r="V113" s="1087">
        <v>256.31797517428424</v>
      </c>
      <c r="W113" s="1089">
        <v>256.31797517428424</v>
      </c>
    </row>
    <row r="114" spans="1:23" ht="13.5" customHeight="1">
      <c r="A114" s="563"/>
      <c r="B114" s="501">
        <v>2075</v>
      </c>
      <c r="C114" s="527"/>
      <c r="D114" s="979">
        <v>422.28</v>
      </c>
      <c r="E114" s="978" t="s">
        <v>478</v>
      </c>
      <c r="F114" s="980">
        <v>1.36</v>
      </c>
      <c r="G114" s="981">
        <v>397.96</v>
      </c>
      <c r="H114" s="978" t="s">
        <v>478</v>
      </c>
      <c r="I114" s="980">
        <v>0.05</v>
      </c>
      <c r="J114" s="981">
        <v>124.08</v>
      </c>
      <c r="K114" s="978" t="s">
        <v>478</v>
      </c>
      <c r="L114" s="980">
        <v>0.05</v>
      </c>
      <c r="M114" s="981">
        <v>131.63</v>
      </c>
      <c r="N114" s="978" t="s">
        <v>478</v>
      </c>
      <c r="O114" s="980">
        <v>1.32</v>
      </c>
      <c r="P114" s="981">
        <v>320.73</v>
      </c>
      <c r="Q114" s="978" t="s">
        <v>478</v>
      </c>
      <c r="R114" s="980">
        <v>1.32</v>
      </c>
      <c r="S114" s="981">
        <v>273.55</v>
      </c>
      <c r="T114" s="1087">
        <v>1.5</v>
      </c>
      <c r="U114" s="1087">
        <v>1.5</v>
      </c>
      <c r="V114" s="1087">
        <v>260.1627448018985</v>
      </c>
      <c r="W114" s="1089">
        <v>260.1627448018985</v>
      </c>
    </row>
    <row r="115" spans="1:23" ht="13.5" customHeight="1">
      <c r="A115" s="563"/>
      <c r="B115" s="501">
        <v>2076</v>
      </c>
      <c r="C115" s="527"/>
      <c r="D115" s="979">
        <v>432</v>
      </c>
      <c r="E115" s="978" t="s">
        <v>478</v>
      </c>
      <c r="F115" s="980">
        <v>1.3</v>
      </c>
      <c r="G115" s="981">
        <v>403.14</v>
      </c>
      <c r="H115" s="978" t="s">
        <v>478</v>
      </c>
      <c r="I115" s="980">
        <v>0.04</v>
      </c>
      <c r="J115" s="981">
        <v>124.14</v>
      </c>
      <c r="K115" s="978" t="s">
        <v>478</v>
      </c>
      <c r="L115" s="980">
        <v>0.04</v>
      </c>
      <c r="M115" s="981">
        <v>131.69</v>
      </c>
      <c r="N115" s="978" t="s">
        <v>478</v>
      </c>
      <c r="O115" s="980">
        <v>1.26</v>
      </c>
      <c r="P115" s="981">
        <v>324.76</v>
      </c>
      <c r="Q115" s="978" t="s">
        <v>478</v>
      </c>
      <c r="R115" s="980">
        <v>1.26</v>
      </c>
      <c r="S115" s="981">
        <v>276.99</v>
      </c>
      <c r="T115" s="1087">
        <v>1.5</v>
      </c>
      <c r="U115" s="1087">
        <v>1.5</v>
      </c>
      <c r="V115" s="1087">
        <v>264.06518597392693</v>
      </c>
      <c r="W115" s="1089">
        <v>264.06518597392693</v>
      </c>
    </row>
    <row r="116" spans="1:23" ht="13.5" customHeight="1">
      <c r="A116" s="563"/>
      <c r="B116" s="501">
        <v>2077</v>
      </c>
      <c r="C116" s="527"/>
      <c r="D116" s="979">
        <v>441.93</v>
      </c>
      <c r="E116" s="978" t="s">
        <v>478</v>
      </c>
      <c r="F116" s="980">
        <v>1.31</v>
      </c>
      <c r="G116" s="981">
        <v>408.43</v>
      </c>
      <c r="H116" s="978" t="s">
        <v>478</v>
      </c>
      <c r="I116" s="980">
        <v>0.04</v>
      </c>
      <c r="J116" s="981">
        <v>124.19</v>
      </c>
      <c r="K116" s="978" t="s">
        <v>478</v>
      </c>
      <c r="L116" s="980">
        <v>0.04</v>
      </c>
      <c r="M116" s="981">
        <v>131.74</v>
      </c>
      <c r="N116" s="978" t="s">
        <v>478</v>
      </c>
      <c r="O116" s="980">
        <v>1.27</v>
      </c>
      <c r="P116" s="981">
        <v>328.88</v>
      </c>
      <c r="Q116" s="978" t="s">
        <v>478</v>
      </c>
      <c r="R116" s="980">
        <v>1.27</v>
      </c>
      <c r="S116" s="981">
        <v>280.51</v>
      </c>
      <c r="T116" s="1087">
        <v>1.5</v>
      </c>
      <c r="U116" s="1087">
        <v>1.5</v>
      </c>
      <c r="V116" s="1087">
        <v>268.02616376353581</v>
      </c>
      <c r="W116" s="1089">
        <v>268.02616376353581</v>
      </c>
    </row>
    <row r="117" spans="1:23" ht="13.5" customHeight="1">
      <c r="A117" s="563"/>
      <c r="B117" s="501">
        <v>2078</v>
      </c>
      <c r="C117" s="527"/>
      <c r="D117" s="979">
        <v>452.1</v>
      </c>
      <c r="E117" s="978" t="s">
        <v>478</v>
      </c>
      <c r="F117" s="980">
        <v>1.29</v>
      </c>
      <c r="G117" s="981">
        <v>413.7</v>
      </c>
      <c r="H117" s="978" t="s">
        <v>478</v>
      </c>
      <c r="I117" s="980">
        <v>0.04</v>
      </c>
      <c r="J117" s="981">
        <v>124.23</v>
      </c>
      <c r="K117" s="978" t="s">
        <v>478</v>
      </c>
      <c r="L117" s="980">
        <v>0.04</v>
      </c>
      <c r="M117" s="981">
        <v>131.79</v>
      </c>
      <c r="N117" s="978" t="s">
        <v>478</v>
      </c>
      <c r="O117" s="980">
        <v>1.25</v>
      </c>
      <c r="P117" s="981">
        <v>333</v>
      </c>
      <c r="Q117" s="978" t="s">
        <v>478</v>
      </c>
      <c r="R117" s="980">
        <v>1.25</v>
      </c>
      <c r="S117" s="981">
        <v>284.02</v>
      </c>
      <c r="T117" s="1087">
        <v>1.5</v>
      </c>
      <c r="U117" s="1087">
        <v>1.5</v>
      </c>
      <c r="V117" s="1087">
        <v>272.04655621998882</v>
      </c>
      <c r="W117" s="1089">
        <v>272.04655621998882</v>
      </c>
    </row>
    <row r="118" spans="1:23" ht="13.5" customHeight="1">
      <c r="A118" s="563"/>
      <c r="B118" s="501">
        <v>2079</v>
      </c>
      <c r="C118" s="527"/>
      <c r="D118" s="979">
        <v>462.5</v>
      </c>
      <c r="E118" s="978" t="s">
        <v>478</v>
      </c>
      <c r="F118" s="980">
        <v>1.25</v>
      </c>
      <c r="G118" s="981">
        <v>418.89</v>
      </c>
      <c r="H118" s="978" t="s">
        <v>478</v>
      </c>
      <c r="I118" s="980">
        <v>0.03</v>
      </c>
      <c r="J118" s="981">
        <v>124.27</v>
      </c>
      <c r="K118" s="978" t="s">
        <v>478</v>
      </c>
      <c r="L118" s="980">
        <v>0.03</v>
      </c>
      <c r="M118" s="981">
        <v>131.84</v>
      </c>
      <c r="N118" s="978" t="s">
        <v>478</v>
      </c>
      <c r="O118" s="980">
        <v>1.22</v>
      </c>
      <c r="P118" s="981">
        <v>337.06</v>
      </c>
      <c r="Q118" s="978" t="s">
        <v>478</v>
      </c>
      <c r="R118" s="980">
        <v>1.22</v>
      </c>
      <c r="S118" s="981">
        <v>287.48</v>
      </c>
      <c r="T118" s="1087">
        <v>1.5</v>
      </c>
      <c r="U118" s="1087">
        <v>1.5</v>
      </c>
      <c r="V118" s="1087">
        <v>276.1272545632886</v>
      </c>
      <c r="W118" s="1089">
        <v>276.1272545632886</v>
      </c>
    </row>
    <row r="119" spans="1:23" ht="13.5" customHeight="1">
      <c r="A119" s="563"/>
      <c r="B119" s="501">
        <v>2080</v>
      </c>
      <c r="C119" s="527"/>
      <c r="D119" s="979">
        <v>473.13</v>
      </c>
      <c r="E119" s="978" t="s">
        <v>478</v>
      </c>
      <c r="F119" s="980">
        <v>1.22</v>
      </c>
      <c r="G119" s="981">
        <v>424.01</v>
      </c>
      <c r="H119" s="978" t="s">
        <v>478</v>
      </c>
      <c r="I119" s="980">
        <v>0.03</v>
      </c>
      <c r="J119" s="981">
        <v>124.31</v>
      </c>
      <c r="K119" s="978" t="s">
        <v>478</v>
      </c>
      <c r="L119" s="980">
        <v>0.03</v>
      </c>
      <c r="M119" s="981">
        <v>131.88</v>
      </c>
      <c r="N119" s="978" t="s">
        <v>478</v>
      </c>
      <c r="O119" s="980">
        <v>1.19</v>
      </c>
      <c r="P119" s="981">
        <v>341.09</v>
      </c>
      <c r="Q119" s="978" t="s">
        <v>478</v>
      </c>
      <c r="R119" s="980">
        <v>1.19</v>
      </c>
      <c r="S119" s="981">
        <v>290.91000000000003</v>
      </c>
      <c r="T119" s="1087">
        <v>1.5</v>
      </c>
      <c r="U119" s="1087">
        <v>1.5</v>
      </c>
      <c r="V119" s="1087">
        <v>280.26916338173788</v>
      </c>
      <c r="W119" s="1089">
        <v>280.26916338173788</v>
      </c>
    </row>
    <row r="120" spans="1:23" ht="13.5" customHeight="1">
      <c r="A120" s="563"/>
      <c r="B120" s="501">
        <v>2081</v>
      </c>
      <c r="C120" s="527"/>
      <c r="D120" s="979">
        <v>484.02</v>
      </c>
      <c r="E120" s="978" t="s">
        <v>478</v>
      </c>
      <c r="F120" s="980">
        <v>1.28</v>
      </c>
      <c r="G120" s="981">
        <v>429.43</v>
      </c>
      <c r="H120" s="978" t="s">
        <v>478</v>
      </c>
      <c r="I120" s="980">
        <v>0.03</v>
      </c>
      <c r="J120" s="981">
        <v>124.34</v>
      </c>
      <c r="K120" s="978" t="s">
        <v>478</v>
      </c>
      <c r="L120" s="980">
        <v>0.03</v>
      </c>
      <c r="M120" s="981">
        <v>131.91</v>
      </c>
      <c r="N120" s="978" t="s">
        <v>478</v>
      </c>
      <c r="O120" s="980">
        <v>1.25</v>
      </c>
      <c r="P120" s="981">
        <v>345.35</v>
      </c>
      <c r="Q120" s="978" t="s">
        <v>478</v>
      </c>
      <c r="R120" s="980">
        <v>1.25</v>
      </c>
      <c r="S120" s="981">
        <v>294.55</v>
      </c>
      <c r="T120" s="1087">
        <v>1.5</v>
      </c>
      <c r="U120" s="1087">
        <v>1.5</v>
      </c>
      <c r="V120" s="1087">
        <v>284.47320083246393</v>
      </c>
      <c r="W120" s="1089">
        <v>284.47320083246393</v>
      </c>
    </row>
    <row r="121" spans="1:23" ht="13.5" customHeight="1">
      <c r="A121" s="563"/>
      <c r="B121" s="501">
        <v>2082</v>
      </c>
      <c r="C121" s="527"/>
      <c r="D121" s="979">
        <v>495.15</v>
      </c>
      <c r="E121" s="978" t="s">
        <v>478</v>
      </c>
      <c r="F121" s="980">
        <v>1.32</v>
      </c>
      <c r="G121" s="981">
        <v>435.08</v>
      </c>
      <c r="H121" s="978" t="s">
        <v>478</v>
      </c>
      <c r="I121" s="980">
        <v>0.02</v>
      </c>
      <c r="J121" s="981">
        <v>124.37</v>
      </c>
      <c r="K121" s="978" t="s">
        <v>478</v>
      </c>
      <c r="L121" s="980">
        <v>0.02</v>
      </c>
      <c r="M121" s="981">
        <v>131.94</v>
      </c>
      <c r="N121" s="978" t="s">
        <v>478</v>
      </c>
      <c r="O121" s="980">
        <v>1.29</v>
      </c>
      <c r="P121" s="981">
        <v>349.82</v>
      </c>
      <c r="Q121" s="978" t="s">
        <v>478</v>
      </c>
      <c r="R121" s="980">
        <v>1.29</v>
      </c>
      <c r="S121" s="981">
        <v>298.36</v>
      </c>
      <c r="T121" s="1087">
        <v>1.5</v>
      </c>
      <c r="U121" s="1087">
        <v>1.5</v>
      </c>
      <c r="V121" s="1087">
        <v>288.74029884495087</v>
      </c>
      <c r="W121" s="1089">
        <v>288.74029884495087</v>
      </c>
    </row>
    <row r="122" spans="1:23" ht="13.5" customHeight="1">
      <c r="A122" s="563"/>
      <c r="B122" s="501">
        <v>2083</v>
      </c>
      <c r="C122" s="527"/>
      <c r="D122" s="979">
        <v>506.54</v>
      </c>
      <c r="E122" s="978" t="s">
        <v>478</v>
      </c>
      <c r="F122" s="980">
        <v>1.33</v>
      </c>
      <c r="G122" s="981">
        <v>440.86</v>
      </c>
      <c r="H122" s="978" t="s">
        <v>478</v>
      </c>
      <c r="I122" s="980">
        <v>0.02</v>
      </c>
      <c r="J122" s="981">
        <v>124.4</v>
      </c>
      <c r="K122" s="978" t="s">
        <v>478</v>
      </c>
      <c r="L122" s="980">
        <v>0.02</v>
      </c>
      <c r="M122" s="981">
        <v>131.97</v>
      </c>
      <c r="N122" s="978" t="s">
        <v>478</v>
      </c>
      <c r="O122" s="980">
        <v>1.31</v>
      </c>
      <c r="P122" s="981">
        <v>354.4</v>
      </c>
      <c r="Q122" s="978" t="s">
        <v>478</v>
      </c>
      <c r="R122" s="980">
        <v>1.31</v>
      </c>
      <c r="S122" s="981">
        <v>302.27</v>
      </c>
      <c r="T122" s="1087">
        <v>1.5</v>
      </c>
      <c r="U122" s="1087">
        <v>1.5</v>
      </c>
      <c r="V122" s="1087">
        <v>293.07140332762509</v>
      </c>
      <c r="W122" s="1089">
        <v>293.07140332762509</v>
      </c>
    </row>
    <row r="123" spans="1:23" ht="13.5" customHeight="1">
      <c r="A123" s="563"/>
      <c r="B123" s="501">
        <v>2084</v>
      </c>
      <c r="C123" s="527"/>
      <c r="D123" s="979">
        <v>518.19000000000005</v>
      </c>
      <c r="E123" s="978" t="s">
        <v>478</v>
      </c>
      <c r="F123" s="980">
        <v>1.33</v>
      </c>
      <c r="G123" s="981">
        <v>446.72</v>
      </c>
      <c r="H123" s="978" t="s">
        <v>478</v>
      </c>
      <c r="I123" s="980">
        <v>0.02</v>
      </c>
      <c r="J123" s="981">
        <v>124.42</v>
      </c>
      <c r="K123" s="978" t="s">
        <v>478</v>
      </c>
      <c r="L123" s="980">
        <v>0.02</v>
      </c>
      <c r="M123" s="981">
        <v>131.99</v>
      </c>
      <c r="N123" s="978" t="s">
        <v>478</v>
      </c>
      <c r="O123" s="980">
        <v>1.31</v>
      </c>
      <c r="P123" s="981">
        <v>359.04</v>
      </c>
      <c r="Q123" s="978" t="s">
        <v>478</v>
      </c>
      <c r="R123" s="980">
        <v>1.31</v>
      </c>
      <c r="S123" s="981">
        <v>306.22000000000003</v>
      </c>
      <c r="T123" s="1087">
        <v>1.5</v>
      </c>
      <c r="U123" s="1087">
        <v>1.5</v>
      </c>
      <c r="V123" s="1087">
        <v>297.46747437753942</v>
      </c>
      <c r="W123" s="1089">
        <v>297.46747437753942</v>
      </c>
    </row>
    <row r="124" spans="1:23" ht="13.5" customHeight="1">
      <c r="A124" s="563"/>
      <c r="B124" s="501">
        <v>2085</v>
      </c>
      <c r="C124" s="527"/>
      <c r="D124" s="979">
        <v>530.1</v>
      </c>
      <c r="E124" s="978" t="s">
        <v>478</v>
      </c>
      <c r="F124" s="980">
        <v>1.38</v>
      </c>
      <c r="G124" s="981">
        <v>452.89</v>
      </c>
      <c r="H124" s="978" t="s">
        <v>478</v>
      </c>
      <c r="I124" s="980">
        <v>0.02</v>
      </c>
      <c r="J124" s="981">
        <v>124.44</v>
      </c>
      <c r="K124" s="978" t="s">
        <v>478</v>
      </c>
      <c r="L124" s="980">
        <v>0.02</v>
      </c>
      <c r="M124" s="981">
        <v>132.01</v>
      </c>
      <c r="N124" s="978" t="s">
        <v>478</v>
      </c>
      <c r="O124" s="980">
        <v>1.36</v>
      </c>
      <c r="P124" s="981">
        <v>363.94</v>
      </c>
      <c r="Q124" s="978" t="s">
        <v>478</v>
      </c>
      <c r="R124" s="980">
        <v>1.36</v>
      </c>
      <c r="S124" s="981">
        <v>310.39999999999998</v>
      </c>
      <c r="T124" s="1087">
        <v>1.5</v>
      </c>
      <c r="U124" s="1087">
        <v>1.5</v>
      </c>
      <c r="V124" s="1087">
        <v>301.92948649320249</v>
      </c>
      <c r="W124" s="1089">
        <v>301.92948649320249</v>
      </c>
    </row>
    <row r="125" spans="1:23" ht="13.5" customHeight="1">
      <c r="A125" s="563"/>
      <c r="B125" s="501">
        <v>2086</v>
      </c>
      <c r="C125" s="527"/>
      <c r="D125" s="979">
        <v>542.29999999999995</v>
      </c>
      <c r="E125" s="978" t="s">
        <v>478</v>
      </c>
      <c r="F125" s="980">
        <v>1.44</v>
      </c>
      <c r="G125" s="981">
        <v>459.4</v>
      </c>
      <c r="H125" s="978" t="s">
        <v>478</v>
      </c>
      <c r="I125" s="980">
        <v>0.02</v>
      </c>
      <c r="J125" s="981">
        <v>124.46</v>
      </c>
      <c r="K125" s="978" t="s">
        <v>478</v>
      </c>
      <c r="L125" s="980">
        <v>0.02</v>
      </c>
      <c r="M125" s="981">
        <v>132.03</v>
      </c>
      <c r="N125" s="978" t="s">
        <v>478</v>
      </c>
      <c r="O125" s="980">
        <v>1.42</v>
      </c>
      <c r="P125" s="981">
        <v>369.11</v>
      </c>
      <c r="Q125" s="978" t="s">
        <v>478</v>
      </c>
      <c r="R125" s="980">
        <v>1.42</v>
      </c>
      <c r="S125" s="981">
        <v>314.82</v>
      </c>
      <c r="T125" s="1087">
        <v>1.5</v>
      </c>
      <c r="U125" s="1087">
        <v>1.5</v>
      </c>
      <c r="V125" s="1087">
        <v>306.45842879060052</v>
      </c>
      <c r="W125" s="1089">
        <v>306.45842879060052</v>
      </c>
    </row>
    <row r="126" spans="1:23" ht="13.5" customHeight="1">
      <c r="A126" s="563"/>
      <c r="B126" s="501">
        <v>2087</v>
      </c>
      <c r="C126" s="527"/>
      <c r="D126" s="979">
        <v>554.77</v>
      </c>
      <c r="E126" s="978" t="s">
        <v>478</v>
      </c>
      <c r="F126" s="980">
        <v>1.51</v>
      </c>
      <c r="G126" s="981">
        <v>466.32</v>
      </c>
      <c r="H126" s="978" t="s">
        <v>478</v>
      </c>
      <c r="I126" s="980">
        <v>0.02</v>
      </c>
      <c r="J126" s="981">
        <v>124.48</v>
      </c>
      <c r="K126" s="978" t="s">
        <v>478</v>
      </c>
      <c r="L126" s="980">
        <v>0.02</v>
      </c>
      <c r="M126" s="981">
        <v>132.06</v>
      </c>
      <c r="N126" s="978" t="s">
        <v>478</v>
      </c>
      <c r="O126" s="980">
        <v>1.49</v>
      </c>
      <c r="P126" s="981">
        <v>374.61</v>
      </c>
      <c r="Q126" s="978" t="s">
        <v>478</v>
      </c>
      <c r="R126" s="980">
        <v>1.49</v>
      </c>
      <c r="S126" s="981">
        <v>319.5</v>
      </c>
      <c r="T126" s="1087">
        <v>1.5</v>
      </c>
      <c r="U126" s="1087">
        <v>1.5</v>
      </c>
      <c r="V126" s="1087">
        <v>311.05530522245948</v>
      </c>
      <c r="W126" s="1089">
        <v>311.05530522245948</v>
      </c>
    </row>
    <row r="127" spans="1:23" ht="13.5" customHeight="1">
      <c r="A127" s="563"/>
      <c r="B127" s="501">
        <v>2088</v>
      </c>
      <c r="C127" s="527"/>
      <c r="D127" s="979">
        <v>567.53</v>
      </c>
      <c r="E127" s="978" t="s">
        <v>478</v>
      </c>
      <c r="F127" s="980">
        <v>1.5</v>
      </c>
      <c r="G127" s="981">
        <v>473.33</v>
      </c>
      <c r="H127" s="978" t="s">
        <v>478</v>
      </c>
      <c r="I127" s="980">
        <v>0.02</v>
      </c>
      <c r="J127" s="981">
        <v>124.5</v>
      </c>
      <c r="K127" s="978" t="s">
        <v>478</v>
      </c>
      <c r="L127" s="980">
        <v>0.02</v>
      </c>
      <c r="M127" s="981">
        <v>132.08000000000001</v>
      </c>
      <c r="N127" s="978" t="s">
        <v>478</v>
      </c>
      <c r="O127" s="980">
        <v>1.49</v>
      </c>
      <c r="P127" s="981">
        <v>380.18</v>
      </c>
      <c r="Q127" s="978" t="s">
        <v>478</v>
      </c>
      <c r="R127" s="980">
        <v>1.49</v>
      </c>
      <c r="S127" s="981">
        <v>324.25</v>
      </c>
      <c r="T127" s="1087">
        <v>1.5</v>
      </c>
      <c r="U127" s="1087">
        <v>1.5</v>
      </c>
      <c r="V127" s="1087">
        <v>315.72113480079634</v>
      </c>
      <c r="W127" s="1089">
        <v>315.72113480079634</v>
      </c>
    </row>
    <row r="128" spans="1:23" ht="13.5" customHeight="1">
      <c r="A128" s="563"/>
      <c r="B128" s="501">
        <v>2089</v>
      </c>
      <c r="C128" s="527"/>
      <c r="D128" s="979">
        <v>580.58000000000004</v>
      </c>
      <c r="E128" s="978" t="s">
        <v>478</v>
      </c>
      <c r="F128" s="980">
        <v>1.52</v>
      </c>
      <c r="G128" s="981">
        <v>480.51</v>
      </c>
      <c r="H128" s="978" t="s">
        <v>478</v>
      </c>
      <c r="I128" s="980">
        <v>0.02</v>
      </c>
      <c r="J128" s="981">
        <v>124.53</v>
      </c>
      <c r="K128" s="978" t="s">
        <v>478</v>
      </c>
      <c r="L128" s="980">
        <v>0.02</v>
      </c>
      <c r="M128" s="981">
        <v>132.1</v>
      </c>
      <c r="N128" s="978" t="s">
        <v>478</v>
      </c>
      <c r="O128" s="980">
        <v>1.5</v>
      </c>
      <c r="P128" s="981">
        <v>385.87</v>
      </c>
      <c r="Q128" s="978" t="s">
        <v>478</v>
      </c>
      <c r="R128" s="980">
        <v>1.5</v>
      </c>
      <c r="S128" s="981">
        <v>329.11</v>
      </c>
      <c r="T128" s="1087">
        <v>1.5</v>
      </c>
      <c r="U128" s="1087">
        <v>1.5</v>
      </c>
      <c r="V128" s="1087">
        <v>320.45695182280826</v>
      </c>
      <c r="W128" s="1089">
        <v>320.45695182280826</v>
      </c>
    </row>
    <row r="129" spans="1:24" ht="13.5" customHeight="1">
      <c r="A129" s="563"/>
      <c r="B129" s="501">
        <v>2090</v>
      </c>
      <c r="C129" s="527"/>
      <c r="D129" s="979">
        <v>593.94000000000005</v>
      </c>
      <c r="E129" s="978" t="s">
        <v>478</v>
      </c>
      <c r="F129" s="980">
        <v>1.53</v>
      </c>
      <c r="G129" s="981">
        <v>487.86</v>
      </c>
      <c r="H129" s="978" t="s">
        <v>478</v>
      </c>
      <c r="I129" s="980">
        <v>0.02</v>
      </c>
      <c r="J129" s="981">
        <v>124.55</v>
      </c>
      <c r="K129" s="978" t="s">
        <v>478</v>
      </c>
      <c r="L129" s="980">
        <v>0.02</v>
      </c>
      <c r="M129" s="981">
        <v>132.13</v>
      </c>
      <c r="N129" s="978" t="s">
        <v>478</v>
      </c>
      <c r="O129" s="980">
        <v>1.51</v>
      </c>
      <c r="P129" s="981">
        <v>391.69</v>
      </c>
      <c r="Q129" s="978" t="s">
        <v>478</v>
      </c>
      <c r="R129" s="980">
        <v>1.51</v>
      </c>
      <c r="S129" s="981">
        <v>334.07</v>
      </c>
      <c r="T129" s="1087">
        <v>1.5</v>
      </c>
      <c r="U129" s="1087">
        <v>1.5</v>
      </c>
      <c r="V129" s="1087">
        <v>325.26380610015036</v>
      </c>
      <c r="W129" s="1089">
        <v>325.26380610015036</v>
      </c>
    </row>
    <row r="130" spans="1:24" ht="13.5" customHeight="1">
      <c r="A130" s="563"/>
      <c r="B130" s="501">
        <v>2091</v>
      </c>
      <c r="C130" s="527"/>
      <c r="D130" s="979">
        <v>607.6</v>
      </c>
      <c r="E130" s="978" t="s">
        <v>478</v>
      </c>
      <c r="F130" s="980">
        <v>1.54</v>
      </c>
      <c r="G130" s="981">
        <v>495.36</v>
      </c>
      <c r="H130" s="978" t="s">
        <v>478</v>
      </c>
      <c r="I130" s="980">
        <v>0.02</v>
      </c>
      <c r="J130" s="981">
        <v>124.58</v>
      </c>
      <c r="K130" s="978" t="s">
        <v>478</v>
      </c>
      <c r="L130" s="980">
        <v>0.02</v>
      </c>
      <c r="M130" s="981">
        <v>132.16</v>
      </c>
      <c r="N130" s="978" t="s">
        <v>478</v>
      </c>
      <c r="O130" s="980">
        <v>1.51</v>
      </c>
      <c r="P130" s="981">
        <v>397.62</v>
      </c>
      <c r="Q130" s="978" t="s">
        <v>478</v>
      </c>
      <c r="R130" s="980">
        <v>1.51</v>
      </c>
      <c r="S130" s="981">
        <v>339.13</v>
      </c>
      <c r="T130" s="1087">
        <v>1.5</v>
      </c>
      <c r="U130" s="1087">
        <v>1.5</v>
      </c>
      <c r="V130" s="1087">
        <v>330.14276319165259</v>
      </c>
      <c r="W130" s="1089">
        <v>330.14276319165259</v>
      </c>
    </row>
    <row r="131" spans="1:24" ht="13.5" customHeight="1">
      <c r="A131" s="563"/>
      <c r="B131" s="501">
        <v>2092</v>
      </c>
      <c r="C131" s="527"/>
      <c r="D131" s="979">
        <v>621.57000000000005</v>
      </c>
      <c r="E131" s="978" t="s">
        <v>478</v>
      </c>
      <c r="F131" s="980">
        <v>1.54</v>
      </c>
      <c r="G131" s="981">
        <v>502.99</v>
      </c>
      <c r="H131" s="978" t="s">
        <v>478</v>
      </c>
      <c r="I131" s="980">
        <v>0.03</v>
      </c>
      <c r="J131" s="981">
        <v>124.62</v>
      </c>
      <c r="K131" s="978" t="s">
        <v>478</v>
      </c>
      <c r="L131" s="980">
        <v>0.03</v>
      </c>
      <c r="M131" s="981">
        <v>132.19999999999999</v>
      </c>
      <c r="N131" s="978" t="s">
        <v>478</v>
      </c>
      <c r="O131" s="980">
        <v>1.51</v>
      </c>
      <c r="P131" s="981">
        <v>403.63</v>
      </c>
      <c r="Q131" s="978" t="s">
        <v>478</v>
      </c>
      <c r="R131" s="980">
        <v>1.51</v>
      </c>
      <c r="S131" s="981">
        <v>344.25</v>
      </c>
      <c r="T131" s="1087">
        <v>1.5</v>
      </c>
      <c r="U131" s="1087">
        <v>1.5</v>
      </c>
      <c r="V131" s="1087">
        <v>335.09490463952733</v>
      </c>
      <c r="W131" s="1089">
        <v>335.09490463952733</v>
      </c>
    </row>
    <row r="132" spans="1:24" ht="13.5" customHeight="1">
      <c r="A132" s="563"/>
      <c r="B132" s="501">
        <v>2093</v>
      </c>
      <c r="C132" s="527"/>
      <c r="D132" s="979">
        <v>635.87</v>
      </c>
      <c r="E132" s="978" t="s">
        <v>478</v>
      </c>
      <c r="F132" s="980">
        <v>1.54</v>
      </c>
      <c r="G132" s="981">
        <v>510.73</v>
      </c>
      <c r="H132" s="978" t="s">
        <v>478</v>
      </c>
      <c r="I132" s="980">
        <v>0.03</v>
      </c>
      <c r="J132" s="981">
        <v>124.66</v>
      </c>
      <c r="K132" s="978" t="s">
        <v>478</v>
      </c>
      <c r="L132" s="980">
        <v>0.03</v>
      </c>
      <c r="M132" s="981">
        <v>132.24</v>
      </c>
      <c r="N132" s="978" t="s">
        <v>478</v>
      </c>
      <c r="O132" s="980">
        <v>1.51</v>
      </c>
      <c r="P132" s="981">
        <v>409.71</v>
      </c>
      <c r="Q132" s="978" t="s">
        <v>478</v>
      </c>
      <c r="R132" s="980">
        <v>1.51</v>
      </c>
      <c r="S132" s="981">
        <v>349.45</v>
      </c>
      <c r="T132" s="1087">
        <v>1.5</v>
      </c>
      <c r="U132" s="1087">
        <v>1.5</v>
      </c>
      <c r="V132" s="1087">
        <v>340.12132820912018</v>
      </c>
      <c r="W132" s="1089">
        <v>340.12132820912018</v>
      </c>
    </row>
    <row r="133" spans="1:24" ht="13.5" customHeight="1">
      <c r="A133" s="563"/>
      <c r="B133" s="501">
        <v>2094</v>
      </c>
      <c r="C133" s="527"/>
      <c r="D133" s="979">
        <v>650.49</v>
      </c>
      <c r="E133" s="978" t="s">
        <v>478</v>
      </c>
      <c r="F133" s="980">
        <v>1.54</v>
      </c>
      <c r="G133" s="981">
        <v>518.6</v>
      </c>
      <c r="H133" s="978" t="s">
        <v>478</v>
      </c>
      <c r="I133" s="980">
        <v>0.03</v>
      </c>
      <c r="J133" s="981">
        <v>124.7</v>
      </c>
      <c r="K133" s="978" t="s">
        <v>478</v>
      </c>
      <c r="L133" s="980">
        <v>0.03</v>
      </c>
      <c r="M133" s="981">
        <v>132.29</v>
      </c>
      <c r="N133" s="978" t="s">
        <v>478</v>
      </c>
      <c r="O133" s="980">
        <v>1.5</v>
      </c>
      <c r="P133" s="981">
        <v>415.88</v>
      </c>
      <c r="Q133" s="978" t="s">
        <v>478</v>
      </c>
      <c r="R133" s="980">
        <v>1.5</v>
      </c>
      <c r="S133" s="981">
        <v>354.7</v>
      </c>
      <c r="T133" s="1087">
        <v>1.5</v>
      </c>
      <c r="U133" s="1087">
        <v>1.5</v>
      </c>
      <c r="V133" s="1087">
        <v>345.22314813225694</v>
      </c>
      <c r="W133" s="1089">
        <v>345.22314813225694</v>
      </c>
    </row>
    <row r="134" spans="1:24" ht="13.5" customHeight="1">
      <c r="A134" s="563"/>
      <c r="B134" s="501">
        <v>2095</v>
      </c>
      <c r="C134" s="527"/>
      <c r="D134" s="979">
        <v>665.45</v>
      </c>
      <c r="E134" s="978" t="s">
        <v>478</v>
      </c>
      <c r="F134" s="980">
        <v>1.54</v>
      </c>
      <c r="G134" s="981">
        <v>526.58000000000004</v>
      </c>
      <c r="H134" s="978" t="s">
        <v>478</v>
      </c>
      <c r="I134" s="980">
        <v>0.04</v>
      </c>
      <c r="J134" s="981">
        <v>124.75</v>
      </c>
      <c r="K134" s="978" t="s">
        <v>478</v>
      </c>
      <c r="L134" s="980">
        <v>0.04</v>
      </c>
      <c r="M134" s="981">
        <v>132.34</v>
      </c>
      <c r="N134" s="978" t="s">
        <v>478</v>
      </c>
      <c r="O134" s="980">
        <v>1.5</v>
      </c>
      <c r="P134" s="981">
        <v>422.12</v>
      </c>
      <c r="Q134" s="978" t="s">
        <v>478</v>
      </c>
      <c r="R134" s="980">
        <v>1.5</v>
      </c>
      <c r="S134" s="981">
        <v>360.03</v>
      </c>
      <c r="T134" s="1087">
        <v>1.5</v>
      </c>
      <c r="U134" s="1087">
        <v>1.5</v>
      </c>
      <c r="V134" s="1087">
        <v>350.40149535424075</v>
      </c>
      <c r="W134" s="1089">
        <v>350.40149535424075</v>
      </c>
    </row>
    <row r="135" spans="1:24" ht="13.5" customHeight="1">
      <c r="A135" s="563"/>
      <c r="B135" s="501">
        <v>2096</v>
      </c>
      <c r="C135" s="527"/>
      <c r="D135" s="979">
        <v>680.76</v>
      </c>
      <c r="E135" s="978" t="s">
        <v>478</v>
      </c>
      <c r="F135" s="980">
        <v>1.54</v>
      </c>
      <c r="G135" s="981">
        <v>534.67999999999995</v>
      </c>
      <c r="H135" s="978" t="s">
        <v>478</v>
      </c>
      <c r="I135" s="980">
        <v>0.04</v>
      </c>
      <c r="J135" s="981">
        <v>124.8</v>
      </c>
      <c r="K135" s="978" t="s">
        <v>478</v>
      </c>
      <c r="L135" s="980">
        <v>0.04</v>
      </c>
      <c r="M135" s="981">
        <v>132.38999999999999</v>
      </c>
      <c r="N135" s="978" t="s">
        <v>478</v>
      </c>
      <c r="O135" s="980">
        <v>1.5</v>
      </c>
      <c r="P135" s="981">
        <v>428.44</v>
      </c>
      <c r="Q135" s="978" t="s">
        <v>478</v>
      </c>
      <c r="R135" s="980">
        <v>1.5</v>
      </c>
      <c r="S135" s="981">
        <v>365.42</v>
      </c>
      <c r="T135" s="1087">
        <v>1.5</v>
      </c>
      <c r="U135" s="1087">
        <v>1.5</v>
      </c>
      <c r="V135" s="1087">
        <v>355.65751778455433</v>
      </c>
      <c r="W135" s="1089">
        <v>355.65751778455433</v>
      </c>
    </row>
    <row r="136" spans="1:24" ht="13.5" customHeight="1">
      <c r="A136" s="563"/>
      <c r="B136" s="501">
        <v>2097</v>
      </c>
      <c r="C136" s="527"/>
      <c r="D136" s="979">
        <v>696.42</v>
      </c>
      <c r="E136" s="978" t="s">
        <v>478</v>
      </c>
      <c r="F136" s="980">
        <v>1.54</v>
      </c>
      <c r="G136" s="981">
        <v>542.89</v>
      </c>
      <c r="H136" s="978" t="s">
        <v>478</v>
      </c>
      <c r="I136" s="980">
        <v>0.04</v>
      </c>
      <c r="J136" s="981">
        <v>124.85</v>
      </c>
      <c r="K136" s="978" t="s">
        <v>478</v>
      </c>
      <c r="L136" s="980">
        <v>0.04</v>
      </c>
      <c r="M136" s="981">
        <v>132.44999999999999</v>
      </c>
      <c r="N136" s="978" t="s">
        <v>478</v>
      </c>
      <c r="O136" s="980">
        <v>1.49</v>
      </c>
      <c r="P136" s="981">
        <v>434.83</v>
      </c>
      <c r="Q136" s="978" t="s">
        <v>478</v>
      </c>
      <c r="R136" s="980">
        <v>1.49</v>
      </c>
      <c r="S136" s="981">
        <v>370.87</v>
      </c>
      <c r="T136" s="1087">
        <v>1.5</v>
      </c>
      <c r="U136" s="1087">
        <v>1.5</v>
      </c>
      <c r="V136" s="1087">
        <v>360.99238055132258</v>
      </c>
      <c r="W136" s="1089">
        <v>360.99238055132258</v>
      </c>
    </row>
    <row r="137" spans="1:24" ht="13.5" customHeight="1">
      <c r="A137" s="563"/>
      <c r="B137" s="501">
        <v>2098</v>
      </c>
      <c r="C137" s="527"/>
      <c r="D137" s="979">
        <v>712.43</v>
      </c>
      <c r="E137" s="978" t="s">
        <v>478</v>
      </c>
      <c r="F137" s="980">
        <v>1.53</v>
      </c>
      <c r="G137" s="981">
        <v>551.20000000000005</v>
      </c>
      <c r="H137" s="978" t="s">
        <v>478</v>
      </c>
      <c r="I137" s="980">
        <v>0.05</v>
      </c>
      <c r="J137" s="981">
        <v>124.91</v>
      </c>
      <c r="K137" s="978" t="s">
        <v>478</v>
      </c>
      <c r="L137" s="980">
        <v>0.05</v>
      </c>
      <c r="M137" s="981">
        <v>132.51</v>
      </c>
      <c r="N137" s="978" t="s">
        <v>478</v>
      </c>
      <c r="O137" s="980">
        <v>1.48</v>
      </c>
      <c r="P137" s="981">
        <v>441.28</v>
      </c>
      <c r="Q137" s="978" t="s">
        <v>478</v>
      </c>
      <c r="R137" s="980">
        <v>1.48</v>
      </c>
      <c r="S137" s="981">
        <v>376.37</v>
      </c>
      <c r="T137" s="1087">
        <v>1.5</v>
      </c>
      <c r="U137" s="1087">
        <v>1.5</v>
      </c>
      <c r="V137" s="1087">
        <v>366.4072662595924</v>
      </c>
      <c r="W137" s="1089">
        <v>366.4072662595924</v>
      </c>
    </row>
    <row r="138" spans="1:24" ht="13.5" customHeight="1">
      <c r="A138" s="563"/>
      <c r="B138" s="501">
        <v>2099</v>
      </c>
      <c r="C138" s="527"/>
      <c r="D138" s="979">
        <v>728.82</v>
      </c>
      <c r="E138" s="978" t="s">
        <v>478</v>
      </c>
      <c r="F138" s="980">
        <v>1.52</v>
      </c>
      <c r="G138" s="981">
        <v>559.6</v>
      </c>
      <c r="H138" s="978" t="s">
        <v>478</v>
      </c>
      <c r="I138" s="980">
        <v>0.05</v>
      </c>
      <c r="J138" s="981">
        <v>124.97</v>
      </c>
      <c r="K138" s="978" t="s">
        <v>478</v>
      </c>
      <c r="L138" s="980">
        <v>0.05</v>
      </c>
      <c r="M138" s="981">
        <v>132.57</v>
      </c>
      <c r="N138" s="978" t="s">
        <v>478</v>
      </c>
      <c r="O138" s="980">
        <v>1.48</v>
      </c>
      <c r="P138" s="981">
        <v>447.79</v>
      </c>
      <c r="Q138" s="978" t="s">
        <v>478</v>
      </c>
      <c r="R138" s="980">
        <v>1.48</v>
      </c>
      <c r="S138" s="981">
        <v>381.92</v>
      </c>
      <c r="T138" s="1087">
        <v>1.5</v>
      </c>
      <c r="U138" s="1087">
        <v>1.5</v>
      </c>
      <c r="V138" s="1087">
        <v>371.90337525348627</v>
      </c>
      <c r="W138" s="1089">
        <v>371.90337525348627</v>
      </c>
    </row>
    <row r="139" spans="1:24" ht="13.5" customHeight="1">
      <c r="A139" s="563"/>
      <c r="B139" s="501">
        <v>2100</v>
      </c>
      <c r="C139" s="527"/>
      <c r="D139" s="979">
        <v>745.58</v>
      </c>
      <c r="E139" s="978" t="s">
        <v>478</v>
      </c>
      <c r="F139" s="980">
        <v>1.51</v>
      </c>
      <c r="G139" s="981">
        <v>568.08000000000004</v>
      </c>
      <c r="H139" s="978" t="s">
        <v>478</v>
      </c>
      <c r="I139" s="980">
        <v>0.05</v>
      </c>
      <c r="J139" s="981">
        <v>125.03</v>
      </c>
      <c r="K139" s="978" t="s">
        <v>478</v>
      </c>
      <c r="L139" s="980">
        <v>0.05</v>
      </c>
      <c r="M139" s="981">
        <v>132.63999999999999</v>
      </c>
      <c r="N139" s="978" t="s">
        <v>478</v>
      </c>
      <c r="O139" s="980">
        <v>1.47</v>
      </c>
      <c r="P139" s="981">
        <v>454.36</v>
      </c>
      <c r="Q139" s="978" t="s">
        <v>478</v>
      </c>
      <c r="R139" s="980">
        <v>1.47</v>
      </c>
      <c r="S139" s="981">
        <v>387.52</v>
      </c>
      <c r="T139" s="1087">
        <v>1.5</v>
      </c>
      <c r="U139" s="1087">
        <v>1.5</v>
      </c>
      <c r="V139" s="1087">
        <v>377.48192588228852</v>
      </c>
      <c r="W139" s="1089">
        <v>377.48192588228852</v>
      </c>
    </row>
    <row r="140" spans="1:24" ht="13.5" customHeight="1" thickBot="1">
      <c r="A140" s="567"/>
      <c r="B140" s="530"/>
      <c r="C140" s="531"/>
      <c r="D140" s="568"/>
      <c r="E140" s="569"/>
      <c r="F140" s="569"/>
      <c r="G140" s="570"/>
      <c r="H140" s="569"/>
      <c r="I140" s="569"/>
      <c r="J140" s="570"/>
      <c r="K140" s="569"/>
      <c r="L140" s="569"/>
      <c r="M140" s="570"/>
      <c r="N140" s="569"/>
      <c r="O140" s="569"/>
      <c r="P140" s="570"/>
      <c r="Q140" s="569"/>
      <c r="R140" s="569"/>
      <c r="S140" s="570"/>
      <c r="T140" s="569"/>
      <c r="U140" s="569"/>
      <c r="V140" s="517"/>
      <c r="W140" s="571"/>
      <c r="X140" s="572"/>
    </row>
    <row r="141" spans="1:24" ht="13.5" customHeight="1" thickTop="1" thickBot="1">
      <c r="A141" s="501"/>
      <c r="B141" s="501"/>
      <c r="D141" s="572"/>
      <c r="E141" s="564"/>
      <c r="F141" s="564"/>
      <c r="G141" s="565"/>
      <c r="H141" s="564"/>
      <c r="I141" s="564"/>
      <c r="J141" s="565"/>
      <c r="K141" s="564"/>
      <c r="L141" s="564"/>
      <c r="M141" s="565"/>
      <c r="N141" s="564"/>
      <c r="O141" s="564"/>
      <c r="P141" s="565"/>
      <c r="Q141" s="564"/>
      <c r="R141" s="564"/>
      <c r="S141" s="565"/>
      <c r="T141" s="564"/>
      <c r="U141" s="564"/>
      <c r="V141" s="500"/>
      <c r="W141" s="501"/>
      <c r="X141" s="572"/>
    </row>
    <row r="142" spans="1:24" ht="13.5" customHeight="1" thickBot="1">
      <c r="D142" s="573" t="s">
        <v>479</v>
      </c>
    </row>
  </sheetData>
  <mergeCells count="9">
    <mergeCell ref="A13:B13"/>
    <mergeCell ref="A18:B18"/>
    <mergeCell ref="A19:B19"/>
    <mergeCell ref="E6:S6"/>
    <mergeCell ref="A7:B7"/>
    <mergeCell ref="A8:B8"/>
    <mergeCell ref="A10:B10"/>
    <mergeCell ref="A11:B11"/>
    <mergeCell ref="A12:B12"/>
  </mergeCells>
  <hyperlinks>
    <hyperlink ref="A11" location="Contents!A1" display="Contents" xr:uid="{00000000-0004-0000-1000-000000000000}"/>
    <hyperlink ref="D142" location="'Annual Parameters'!D29" tooltip="Top of Annual Parameters" display="Top" xr:uid="{00000000-0004-0000-1000-000001000000}"/>
    <hyperlink ref="A12:B12" r:id="rId1" tooltip="Unit A1.3 User &amp; Provider Impacts" display="WebTAG Unit A 1.3" xr:uid="{00000000-0004-0000-1000-000002000000}"/>
    <hyperlink ref="A10" location="Contents!A1" display="Contents" xr:uid="{00000000-0004-0000-1000-000003000000}"/>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6"/>
  </sheetPr>
  <dimension ref="B1:V87"/>
  <sheetViews>
    <sheetView topLeftCell="D1" workbookViewId="0">
      <selection activeCell="I3" sqref="I3"/>
    </sheetView>
  </sheetViews>
  <sheetFormatPr defaultRowHeight="14.5"/>
  <cols>
    <col min="2" max="2" width="13.7265625" customWidth="1"/>
    <col min="3" max="3" width="17.54296875" customWidth="1"/>
    <col min="4" max="4" width="8.81640625" style="1018"/>
    <col min="13" max="13" width="23" customWidth="1"/>
    <col min="14" max="14" width="19.7265625" customWidth="1"/>
  </cols>
  <sheetData>
    <row r="1" spans="2:22" ht="19.5">
      <c r="B1" s="577" t="s">
        <v>480</v>
      </c>
      <c r="M1" s="577" t="s">
        <v>480</v>
      </c>
    </row>
    <row r="2" spans="2:22" ht="18.5">
      <c r="C2" s="578" t="s">
        <v>481</v>
      </c>
      <c r="I2" t="s">
        <v>482</v>
      </c>
      <c r="N2" s="578" t="s">
        <v>483</v>
      </c>
      <c r="S2" t="s">
        <v>482</v>
      </c>
    </row>
    <row r="4" spans="2:22">
      <c r="B4" t="s">
        <v>484</v>
      </c>
      <c r="C4" t="s">
        <v>485</v>
      </c>
      <c r="M4" t="s">
        <v>484</v>
      </c>
      <c r="N4" t="s">
        <v>485</v>
      </c>
    </row>
    <row r="6" spans="2:22">
      <c r="D6" s="1018" t="s">
        <v>474</v>
      </c>
      <c r="O6" t="s">
        <v>474</v>
      </c>
    </row>
    <row r="7" spans="2:22">
      <c r="B7" t="s">
        <v>486</v>
      </c>
      <c r="C7" t="s">
        <v>487</v>
      </c>
      <c r="D7" s="1018">
        <v>2010</v>
      </c>
      <c r="E7">
        <v>2015</v>
      </c>
      <c r="F7">
        <v>2020</v>
      </c>
      <c r="G7">
        <v>2025</v>
      </c>
      <c r="H7">
        <v>2030</v>
      </c>
      <c r="I7">
        <v>2035</v>
      </c>
      <c r="J7">
        <v>2040</v>
      </c>
      <c r="K7">
        <v>2045</v>
      </c>
      <c r="L7">
        <v>2050</v>
      </c>
      <c r="M7" t="s">
        <v>486</v>
      </c>
      <c r="N7" t="s">
        <v>487</v>
      </c>
      <c r="O7">
        <v>2015</v>
      </c>
      <c r="P7">
        <v>2020</v>
      </c>
      <c r="Q7">
        <v>2025</v>
      </c>
      <c r="R7">
        <v>2030</v>
      </c>
      <c r="S7">
        <v>2035</v>
      </c>
      <c r="T7">
        <v>2040</v>
      </c>
      <c r="U7">
        <v>2045</v>
      </c>
      <c r="V7">
        <v>2050</v>
      </c>
    </row>
    <row r="8" spans="2:22">
      <c r="B8" s="579" t="s">
        <v>488</v>
      </c>
      <c r="D8" s="1017"/>
      <c r="E8" s="580"/>
      <c r="F8" s="580"/>
      <c r="G8" s="580"/>
      <c r="H8" s="580"/>
      <c r="I8" s="580"/>
      <c r="J8" s="580"/>
      <c r="M8" s="579" t="s">
        <v>488</v>
      </c>
      <c r="O8" s="580"/>
      <c r="P8" s="580"/>
      <c r="Q8" s="580"/>
      <c r="R8" s="580"/>
      <c r="S8" s="580"/>
      <c r="T8" s="580"/>
    </row>
    <row r="9" spans="2:22">
      <c r="C9" s="579" t="s">
        <v>424</v>
      </c>
      <c r="D9" s="1017"/>
      <c r="E9" s="580"/>
      <c r="F9" s="580"/>
      <c r="G9" s="580"/>
      <c r="H9" s="580"/>
      <c r="I9" s="580"/>
      <c r="J9" s="580"/>
      <c r="N9" s="579" t="s">
        <v>424</v>
      </c>
      <c r="O9" s="580"/>
      <c r="P9" s="580"/>
      <c r="Q9" s="580"/>
      <c r="R9" s="580"/>
      <c r="S9" s="580"/>
      <c r="T9" s="580"/>
    </row>
    <row r="10" spans="2:22">
      <c r="C10" s="581" t="s">
        <v>489</v>
      </c>
      <c r="D10" s="1017">
        <v>38.807516750196186</v>
      </c>
      <c r="E10" s="1042">
        <v>45.608107329944957</v>
      </c>
      <c r="F10" s="1042">
        <v>50.114091499235776</v>
      </c>
      <c r="G10" s="1042">
        <v>53.317898236454475</v>
      </c>
      <c r="H10" s="1042">
        <v>56.179043399160605</v>
      </c>
      <c r="I10" s="1042">
        <v>59.34907250614885</v>
      </c>
      <c r="J10" s="1042">
        <v>61.884312124719472</v>
      </c>
      <c r="K10" s="1042">
        <v>63.96519287547752</v>
      </c>
      <c r="L10" s="1042">
        <v>65.73229516289615</v>
      </c>
      <c r="N10" s="581" t="s">
        <v>489</v>
      </c>
      <c r="O10" s="585">
        <f>(E10-$D10)/$D10</f>
        <v>0.17523900391576566</v>
      </c>
      <c r="P10" s="585">
        <f t="shared" ref="P10:S11" si="0">(F10-$D10)/$D10</f>
        <v>0.29135012224100715</v>
      </c>
      <c r="Q10" s="585">
        <f t="shared" si="0"/>
        <v>0.37390646713268338</v>
      </c>
      <c r="R10" s="585">
        <f t="shared" si="0"/>
        <v>0.44763303874310895</v>
      </c>
      <c r="S10" s="585">
        <f t="shared" si="0"/>
        <v>0.52931899477564026</v>
      </c>
      <c r="T10" s="585">
        <f>(J10-$D10)/$D10</f>
        <v>0.59464756591019508</v>
      </c>
      <c r="U10" s="585">
        <f t="shared" ref="U10:V20" si="1">(K10-$D10)/$D10</f>
        <v>0.6482681251475374</v>
      </c>
      <c r="V10" s="585">
        <f t="shared" si="1"/>
        <v>0.69380317699827698</v>
      </c>
    </row>
    <row r="11" spans="2:22">
      <c r="C11" s="581" t="s">
        <v>490</v>
      </c>
      <c r="D11" s="1017">
        <v>6.579914453920316</v>
      </c>
      <c r="E11" s="1042">
        <v>8.7291927342538376</v>
      </c>
      <c r="F11" s="1042">
        <v>9.5045840371049959</v>
      </c>
      <c r="G11" s="1042">
        <v>9.8929925405540668</v>
      </c>
      <c r="H11" s="1042">
        <v>10.402772553439739</v>
      </c>
      <c r="I11" s="1042">
        <v>11.130900753249229</v>
      </c>
      <c r="J11" s="1042">
        <v>11.849441561666978</v>
      </c>
      <c r="K11" s="1042">
        <v>12.450464157820623</v>
      </c>
      <c r="L11" s="1042">
        <v>12.923147423990736</v>
      </c>
      <c r="N11" s="581" t="s">
        <v>490</v>
      </c>
      <c r="O11" s="585">
        <f>(E11-$D11)/$D11</f>
        <v>0.32664228317633837</v>
      </c>
      <c r="P11" s="585">
        <f t="shared" si="0"/>
        <v>0.44448443876685362</v>
      </c>
      <c r="Q11" s="585">
        <f>(G11-$D11)/$D11</f>
        <v>0.50351385414438288</v>
      </c>
      <c r="R11" s="585">
        <f t="shared" si="0"/>
        <v>0.58098902748526804</v>
      </c>
      <c r="S11" s="585">
        <f t="shared" si="0"/>
        <v>0.69164824728343288</v>
      </c>
      <c r="T11" s="585">
        <f>(J11-$D11)/$D11</f>
        <v>0.800850397774864</v>
      </c>
      <c r="U11" s="585">
        <f t="shared" si="1"/>
        <v>0.89219240538950018</v>
      </c>
      <c r="V11" s="585">
        <f t="shared" si="1"/>
        <v>0.96402970198056581</v>
      </c>
    </row>
    <row r="12" spans="2:22">
      <c r="B12" s="583">
        <f>'National Traffic Model'!E45</f>
        <v>34.099444186366746</v>
      </c>
      <c r="C12" s="581" t="s">
        <v>491</v>
      </c>
      <c r="D12" s="1017">
        <v>2.6206869426662918</v>
      </c>
      <c r="E12" s="1014">
        <v>2.5629445721983481</v>
      </c>
      <c r="F12" s="1014">
        <v>2.6673573572711673</v>
      </c>
      <c r="G12" s="1014">
        <v>2.7206837692577701</v>
      </c>
      <c r="H12" s="1014">
        <v>2.7983925007419099</v>
      </c>
      <c r="I12" s="1014">
        <v>2.8540375842207459</v>
      </c>
      <c r="J12" s="1014">
        <v>2.910511256513963</v>
      </c>
      <c r="N12" s="581" t="s">
        <v>491</v>
      </c>
      <c r="O12" s="585">
        <f t="shared" ref="O12:O20" si="2">(E12-$D12)/$D12</f>
        <v>-2.2033295746952675E-2</v>
      </c>
      <c r="P12" s="585">
        <f t="shared" ref="P12:P20" si="3">(F12-$D12)/$D12</f>
        <v>1.780846611056602E-2</v>
      </c>
      <c r="Q12" s="585">
        <f t="shared" ref="Q12:Q20" si="4">(G12-$D12)/$D12</f>
        <v>3.8156723324511775E-2</v>
      </c>
      <c r="R12" s="585">
        <f t="shared" ref="R12:R20" si="5">(H12-$D12)/$D12</f>
        <v>6.780876997647807E-2</v>
      </c>
      <c r="S12" s="585">
        <f t="shared" ref="S12:S20" si="6">(I12-$D12)/$D12</f>
        <v>8.9041784333478147E-2</v>
      </c>
      <c r="T12" s="585">
        <f t="shared" ref="T12:T20" si="7">(J12-$D12)/$D12</f>
        <v>0.11059097106532055</v>
      </c>
      <c r="U12" s="585">
        <f t="shared" si="1"/>
        <v>-1</v>
      </c>
      <c r="V12" s="585">
        <f t="shared" si="1"/>
        <v>-1</v>
      </c>
    </row>
    <row r="13" spans="2:22">
      <c r="C13" s="581" t="s">
        <v>492</v>
      </c>
      <c r="D13" s="1017">
        <v>3.4821175415523022</v>
      </c>
      <c r="E13" s="1014">
        <v>3.6068627626659926</v>
      </c>
      <c r="F13" s="1014">
        <v>3.7920632915875641</v>
      </c>
      <c r="G13" s="1014">
        <v>4.0053549490966205</v>
      </c>
      <c r="H13" s="1014">
        <v>4.2120642241507591</v>
      </c>
      <c r="I13" s="1014">
        <v>4.4797324989842942</v>
      </c>
      <c r="J13" s="1014">
        <v>4.7641919767351748</v>
      </c>
      <c r="N13" s="581" t="s">
        <v>492</v>
      </c>
      <c r="O13" s="585">
        <f t="shared" si="2"/>
        <v>3.5824529076086228E-2</v>
      </c>
      <c r="P13" s="585">
        <f t="shared" si="3"/>
        <v>8.9010708666971153E-2</v>
      </c>
      <c r="Q13" s="585">
        <f t="shared" si="4"/>
        <v>0.15026414280979811</v>
      </c>
      <c r="R13" s="585">
        <f t="shared" si="5"/>
        <v>0.2096272379918146</v>
      </c>
      <c r="S13" s="585">
        <f t="shared" si="6"/>
        <v>0.28649663474233628</v>
      </c>
      <c r="T13" s="585">
        <f t="shared" si="7"/>
        <v>0.36818815559320073</v>
      </c>
      <c r="U13" s="585">
        <f t="shared" si="1"/>
        <v>-1</v>
      </c>
      <c r="V13" s="585">
        <f t="shared" si="1"/>
        <v>-1</v>
      </c>
    </row>
    <row r="14" spans="2:22">
      <c r="C14" s="581" t="s">
        <v>493</v>
      </c>
      <c r="D14" s="1017">
        <v>0.23030596862954236</v>
      </c>
      <c r="E14" s="1043">
        <v>0.19868374634658464</v>
      </c>
      <c r="F14" s="1043">
        <v>0.1789124671304545</v>
      </c>
      <c r="G14" s="1043">
        <v>0.1789124671304545</v>
      </c>
      <c r="H14" s="1043">
        <v>0.1789124671304545</v>
      </c>
      <c r="I14" s="1043">
        <v>0.1789124671304545</v>
      </c>
      <c r="J14" s="1043">
        <v>0.1789124671304545</v>
      </c>
      <c r="K14" s="1043">
        <v>0.1789124671304545</v>
      </c>
      <c r="L14" s="1043">
        <v>0.1789124671304545</v>
      </c>
      <c r="N14" s="581" t="s">
        <v>493</v>
      </c>
      <c r="O14" s="585">
        <f t="shared" si="2"/>
        <v>-0.13730526599518358</v>
      </c>
      <c r="P14" s="585">
        <f t="shared" si="3"/>
        <v>-0.22315314624675078</v>
      </c>
      <c r="Q14" s="585">
        <f t="shared" si="4"/>
        <v>-0.22315314624675078</v>
      </c>
      <c r="R14" s="585">
        <f t="shared" si="5"/>
        <v>-0.22315314624675078</v>
      </c>
      <c r="S14" s="585">
        <f t="shared" si="6"/>
        <v>-0.22315314624675078</v>
      </c>
      <c r="T14" s="585">
        <f t="shared" si="7"/>
        <v>-0.22315314624675078</v>
      </c>
      <c r="U14" s="585">
        <f t="shared" si="1"/>
        <v>-0.22315314624675078</v>
      </c>
      <c r="V14" s="585">
        <f t="shared" si="1"/>
        <v>-0.22315314624675078</v>
      </c>
    </row>
    <row r="15" spans="2:22">
      <c r="C15" s="581" t="s">
        <v>494</v>
      </c>
      <c r="D15" s="1017">
        <v>51.720541656964606</v>
      </c>
      <c r="E15" s="1048">
        <v>61.639020060988223</v>
      </c>
      <c r="F15" s="1048">
        <v>66.988634341178468</v>
      </c>
      <c r="G15" s="1048">
        <v>70.612843092316496</v>
      </c>
      <c r="H15" s="1048">
        <v>74.07182825508346</v>
      </c>
      <c r="I15" s="1048">
        <v>78.154840543969897</v>
      </c>
      <c r="J15" s="1048">
        <v>81.608376584085633</v>
      </c>
      <c r="K15" s="1048">
        <v>84.481210873108253</v>
      </c>
      <c r="L15" s="1048">
        <v>86.900431130957983</v>
      </c>
      <c r="M15" s="1045"/>
      <c r="N15" s="581" t="s">
        <v>494</v>
      </c>
      <c r="O15" s="585">
        <f t="shared" si="2"/>
        <v>0.19177058256287635</v>
      </c>
      <c r="P15" s="585">
        <f t="shared" si="3"/>
        <v>0.29520365013729288</v>
      </c>
      <c r="Q15" s="585">
        <f t="shared" si="4"/>
        <v>0.36527655801933934</v>
      </c>
      <c r="R15" s="585">
        <f t="shared" si="5"/>
        <v>0.43215492108267711</v>
      </c>
      <c r="S15" s="585">
        <f t="shared" si="6"/>
        <v>0.51109864746448741</v>
      </c>
      <c r="T15" s="585">
        <f t="shared" si="7"/>
        <v>0.57787165349797487</v>
      </c>
      <c r="U15" s="585">
        <f t="shared" si="1"/>
        <v>0.63341697837250222</v>
      </c>
      <c r="V15" s="585">
        <f t="shared" si="1"/>
        <v>0.68019182218398344</v>
      </c>
    </row>
    <row r="16" spans="2:22">
      <c r="C16" s="581" t="s">
        <v>495</v>
      </c>
      <c r="D16" s="1019">
        <v>21124.88124176229</v>
      </c>
      <c r="E16" s="1046">
        <v>25272.018359208851</v>
      </c>
      <c r="F16" s="1046">
        <v>23606.007917637231</v>
      </c>
      <c r="G16" s="1046">
        <v>22261.103976194092</v>
      </c>
      <c r="H16" s="1046">
        <v>21289.101441026742</v>
      </c>
      <c r="I16" s="1046">
        <v>20887.209247916871</v>
      </c>
      <c r="J16" s="1046">
        <v>20674.638865900044</v>
      </c>
      <c r="K16" s="1046">
        <v>20459.151023768798</v>
      </c>
      <c r="L16" s="1046">
        <v>20358.123293914708</v>
      </c>
      <c r="N16" s="581" t="s">
        <v>495</v>
      </c>
      <c r="O16" s="585">
        <f t="shared" si="2"/>
        <v>0.19631528669841627</v>
      </c>
      <c r="P16" s="585">
        <f t="shared" si="3"/>
        <v>0.11745044374355777</v>
      </c>
      <c r="Q16" s="585">
        <f t="shared" si="4"/>
        <v>5.3785993939013267E-2</v>
      </c>
      <c r="R16" s="585">
        <f t="shared" si="5"/>
        <v>7.7737809450876567E-3</v>
      </c>
      <c r="S16" s="585">
        <f t="shared" si="6"/>
        <v>-1.1250808519366225E-2</v>
      </c>
      <c r="T16" s="585">
        <f t="shared" si="7"/>
        <v>-2.1313368378713116E-2</v>
      </c>
      <c r="U16" s="585">
        <f t="shared" si="1"/>
        <v>-3.1514033635246859E-2</v>
      </c>
      <c r="V16" s="585">
        <f t="shared" si="1"/>
        <v>-3.6296438265023684E-2</v>
      </c>
    </row>
    <row r="17" spans="3:22">
      <c r="C17" s="581" t="s">
        <v>496</v>
      </c>
      <c r="D17" s="1017">
        <v>81.678554167673596</v>
      </c>
      <c r="E17" s="1047">
        <v>68.967364253134022</v>
      </c>
      <c r="F17" s="1047">
        <v>41.684729983893405</v>
      </c>
      <c r="G17" s="1047">
        <v>30.177980579367194</v>
      </c>
      <c r="H17" s="1047">
        <v>25.907340206526371</v>
      </c>
      <c r="I17" s="1047">
        <v>25.032016192182414</v>
      </c>
      <c r="J17" s="1047">
        <v>24.623541246438958</v>
      </c>
      <c r="K17" s="1047">
        <v>24.064073956268484</v>
      </c>
      <c r="L17" s="1047">
        <v>23.644951816175407</v>
      </c>
      <c r="N17" s="581" t="s">
        <v>496</v>
      </c>
      <c r="O17" s="585">
        <f t="shared" si="2"/>
        <v>-0.15562457053837464</v>
      </c>
      <c r="P17" s="585">
        <f t="shared" si="3"/>
        <v>-0.48964902221064027</v>
      </c>
      <c r="Q17" s="585">
        <f>(G17-$D17)/$D17</f>
        <v>-0.63052748806722991</v>
      </c>
      <c r="R17" s="585">
        <f t="shared" si="5"/>
        <v>-0.68281343284624552</v>
      </c>
      <c r="S17" s="585">
        <f t="shared" si="6"/>
        <v>-0.69353012614797871</v>
      </c>
      <c r="T17" s="585">
        <f t="shared" si="7"/>
        <v>-0.69853113222486052</v>
      </c>
      <c r="U17" s="585">
        <f t="shared" si="1"/>
        <v>-0.70538075506492659</v>
      </c>
      <c r="V17" s="585">
        <f t="shared" si="1"/>
        <v>-0.7105121159755603</v>
      </c>
    </row>
    <row r="18" spans="3:22">
      <c r="C18" s="581" t="s">
        <v>497</v>
      </c>
      <c r="D18" s="1017">
        <v>2.4842583697673479</v>
      </c>
      <c r="E18" s="1044">
        <v>1.4785674872393388</v>
      </c>
      <c r="F18" s="1044">
        <v>0.48798972115749617</v>
      </c>
      <c r="G18" s="1044">
        <v>0.23971777359802859</v>
      </c>
      <c r="H18" s="1044">
        <v>0.20931974113824958</v>
      </c>
      <c r="I18" s="1044">
        <v>0.20784901890824822</v>
      </c>
      <c r="J18" s="1044">
        <v>0.20682508046244333</v>
      </c>
      <c r="K18" s="1044">
        <v>0.20400464247560979</v>
      </c>
      <c r="L18" s="1044">
        <v>0.20271961804047248</v>
      </c>
      <c r="N18" s="581" t="s">
        <v>497</v>
      </c>
      <c r="O18" s="585">
        <f t="shared" si="2"/>
        <v>-0.40482539769894893</v>
      </c>
      <c r="P18" s="585">
        <f t="shared" si="3"/>
        <v>-0.80356724280526559</v>
      </c>
      <c r="Q18" s="585">
        <f t="shared" si="4"/>
        <v>-0.90350529698709314</v>
      </c>
      <c r="R18" s="585">
        <f t="shared" si="5"/>
        <v>-0.91574155744603469</v>
      </c>
      <c r="S18" s="585">
        <f t="shared" si="6"/>
        <v>-0.91633357406069105</v>
      </c>
      <c r="T18" s="585">
        <f t="shared" si="7"/>
        <v>-0.916745744734348</v>
      </c>
      <c r="U18" s="585">
        <f t="shared" si="1"/>
        <v>-0.91788106866891017</v>
      </c>
      <c r="V18" s="585">
        <f t="shared" si="1"/>
        <v>-0.91839833549219063</v>
      </c>
    </row>
    <row r="19" spans="3:22">
      <c r="C19" s="581" t="s">
        <v>498</v>
      </c>
      <c r="D19" s="1017">
        <v>2.4474328838655248</v>
      </c>
      <c r="E19" s="1048">
        <v>4.1077837071626249</v>
      </c>
      <c r="F19" s="1048">
        <v>4.3576015131171806</v>
      </c>
      <c r="G19" s="1048">
        <v>4.394731769363891</v>
      </c>
      <c r="H19" s="1048">
        <v>5.0878445524247455</v>
      </c>
      <c r="I19" s="1048">
        <v>6.1269799398339959</v>
      </c>
      <c r="J19" s="1048">
        <v>7.186825572918317</v>
      </c>
      <c r="K19" s="1048">
        <v>8.1963602770319888</v>
      </c>
      <c r="L19" s="1048">
        <v>9.100354757472136</v>
      </c>
      <c r="N19" s="581" t="s">
        <v>498</v>
      </c>
      <c r="O19" s="585">
        <f t="shared" si="2"/>
        <v>0.67840504809868718</v>
      </c>
      <c r="P19" s="585">
        <f t="shared" si="3"/>
        <v>0.78047845227718637</v>
      </c>
      <c r="Q19" s="585">
        <f t="shared" si="4"/>
        <v>0.79564955522815528</v>
      </c>
      <c r="R19" s="585">
        <f t="shared" si="5"/>
        <v>1.078849469567027</v>
      </c>
      <c r="S19" s="585">
        <f t="shared" si="6"/>
        <v>1.5034312402295258</v>
      </c>
      <c r="T19" s="585">
        <f t="shared" si="7"/>
        <v>1.9364750389262155</v>
      </c>
      <c r="U19" s="585">
        <f t="shared" si="1"/>
        <v>2.3489622253038016</v>
      </c>
      <c r="V19" s="585">
        <f t="shared" si="1"/>
        <v>2.7183265851600606</v>
      </c>
    </row>
    <row r="20" spans="3:22">
      <c r="C20" s="581" t="s">
        <v>499</v>
      </c>
      <c r="D20" s="1020">
        <v>64.538560411711529</v>
      </c>
      <c r="E20" s="1048">
        <v>64.280220620228519</v>
      </c>
      <c r="F20" s="1048">
        <v>64.095946963148805</v>
      </c>
      <c r="G20" s="1048">
        <v>64.154688973221667</v>
      </c>
      <c r="H20" s="1048">
        <v>63.441908409769809</v>
      </c>
      <c r="I20" s="1048">
        <v>62.340454510362676</v>
      </c>
      <c r="J20" s="1048">
        <v>61.233713266333751</v>
      </c>
      <c r="K20" s="1048">
        <v>60.207510178491567</v>
      </c>
      <c r="L20" s="1048">
        <v>59.314078342517995</v>
      </c>
      <c r="N20" s="581" t="s">
        <v>499</v>
      </c>
      <c r="O20" s="585">
        <f t="shared" si="2"/>
        <v>-4.0028750228542492E-3</v>
      </c>
      <c r="P20" s="585">
        <f t="shared" si="3"/>
        <v>-6.8581239764127951E-3</v>
      </c>
      <c r="Q20" s="585">
        <f t="shared" si="4"/>
        <v>-5.9479392791073598E-3</v>
      </c>
      <c r="R20" s="585">
        <f t="shared" si="5"/>
        <v>-1.6992198074234015E-2</v>
      </c>
      <c r="S20" s="585">
        <f t="shared" si="6"/>
        <v>-3.4058799690083769E-2</v>
      </c>
      <c r="T20" s="585">
        <f t="shared" si="7"/>
        <v>-5.1207326663240259E-2</v>
      </c>
      <c r="U20" s="585">
        <f t="shared" si="1"/>
        <v>-6.7107946095959478E-2</v>
      </c>
      <c r="V20" s="585">
        <f t="shared" si="1"/>
        <v>-8.095132639874425E-2</v>
      </c>
    </row>
    <row r="21" spans="3:22">
      <c r="C21" s="579" t="s">
        <v>425</v>
      </c>
      <c r="D21" s="1017"/>
      <c r="E21" s="1014"/>
      <c r="F21" s="1014"/>
      <c r="G21" s="1014"/>
      <c r="H21" s="1014"/>
      <c r="I21" s="1014"/>
      <c r="J21" s="1014"/>
      <c r="N21" s="579" t="s">
        <v>425</v>
      </c>
      <c r="O21" s="585"/>
      <c r="P21" s="580"/>
      <c r="Q21" s="580"/>
      <c r="R21" s="580"/>
      <c r="S21" s="580"/>
      <c r="T21" s="580"/>
      <c r="U21" s="580"/>
      <c r="V21" s="580"/>
    </row>
    <row r="22" spans="3:22">
      <c r="C22" s="581" t="s">
        <v>489</v>
      </c>
      <c r="D22" s="1017">
        <v>25.172841676741253</v>
      </c>
      <c r="E22" s="1048">
        <v>26.423620575954864</v>
      </c>
      <c r="F22" s="1048">
        <v>29.065806661493344</v>
      </c>
      <c r="G22" s="1048">
        <v>30.603862467326223</v>
      </c>
      <c r="H22" s="1048">
        <v>31.941102416487606</v>
      </c>
      <c r="I22" s="1048">
        <v>33.387810629877841</v>
      </c>
      <c r="J22" s="1048">
        <v>34.670769770534932</v>
      </c>
      <c r="K22" s="1048">
        <v>35.781562642704834</v>
      </c>
      <c r="L22" s="1048">
        <v>36.76319195155142</v>
      </c>
      <c r="N22" s="581" t="s">
        <v>489</v>
      </c>
      <c r="O22" s="585">
        <f t="shared" ref="O22:T22" si="8">(E22-$D22)/$D22</f>
        <v>4.9687632221883105E-2</v>
      </c>
      <c r="P22" s="585">
        <f t="shared" si="8"/>
        <v>0.15464940489213985</v>
      </c>
      <c r="Q22" s="585">
        <f t="shared" si="8"/>
        <v>0.21574921339147127</v>
      </c>
      <c r="R22" s="585">
        <f t="shared" si="8"/>
        <v>0.26887154126901641</v>
      </c>
      <c r="S22" s="585">
        <f t="shared" si="8"/>
        <v>0.32634253449132467</v>
      </c>
      <c r="T22" s="585">
        <f t="shared" si="8"/>
        <v>0.37730853813653475</v>
      </c>
      <c r="U22" s="585">
        <f t="shared" ref="U22:U32" si="9">(K22-$D22)/$D22</f>
        <v>0.42143517613927695</v>
      </c>
      <c r="V22" s="585">
        <f t="shared" ref="V22:V32" si="10">(L22-$D22)/$D22</f>
        <v>0.46043074610520468</v>
      </c>
    </row>
    <row r="23" spans="3:22">
      <c r="C23" s="581" t="s">
        <v>490</v>
      </c>
      <c r="D23" s="1017">
        <v>4.2044144331279538</v>
      </c>
      <c r="E23" s="1048">
        <v>5.251199332428893</v>
      </c>
      <c r="F23" s="1048">
        <v>5.7635727237941188</v>
      </c>
      <c r="G23" s="1048">
        <v>5.9982667764818318</v>
      </c>
      <c r="H23" s="1048">
        <v>6.2974183252112113</v>
      </c>
      <c r="I23" s="1048">
        <v>6.7208346243528236</v>
      </c>
      <c r="J23" s="1048">
        <v>7.151418598017707</v>
      </c>
      <c r="K23" s="1048">
        <v>7.5133166411616283</v>
      </c>
      <c r="L23" s="1048">
        <v>7.7999645895386776</v>
      </c>
      <c r="N23" s="581" t="s">
        <v>490</v>
      </c>
      <c r="O23" s="585">
        <f t="shared" ref="O23:O35" si="11">(E23-$D23)/$D23</f>
        <v>0.24897281558472906</v>
      </c>
      <c r="P23" s="585">
        <f t="shared" ref="P23:P32" si="12">(F23-$D23)/$D23</f>
        <v>0.37083839270958824</v>
      </c>
      <c r="Q23" s="585">
        <f t="shared" ref="Q23:Q32" si="13">(G23-$D23)/$D23</f>
        <v>0.42665925823570811</v>
      </c>
      <c r="R23" s="585">
        <f t="shared" ref="R23:R32" si="14">(H23-$D23)/$D23</f>
        <v>0.49781103299232266</v>
      </c>
      <c r="S23" s="585">
        <f t="shared" ref="S23:S32" si="15">(I23-$D23)/$D23</f>
        <v>0.59851858831926119</v>
      </c>
      <c r="T23" s="585">
        <f t="shared" ref="T23:T32" si="16">(J23-$D23)/$D23</f>
        <v>0.70093094098177988</v>
      </c>
      <c r="U23" s="585">
        <f t="shared" si="9"/>
        <v>0.78700667135992919</v>
      </c>
      <c r="V23" s="585">
        <f t="shared" si="10"/>
        <v>0.85518452417064561</v>
      </c>
    </row>
    <row r="24" spans="3:22">
      <c r="C24" s="581" t="s">
        <v>491</v>
      </c>
      <c r="D24" s="1017">
        <v>1.4472440275676464</v>
      </c>
      <c r="E24" s="1014">
        <v>1.4224378537323106</v>
      </c>
      <c r="F24" s="1014">
        <v>1.4770986302464459</v>
      </c>
      <c r="G24" s="1014">
        <v>1.5069047345770856</v>
      </c>
      <c r="H24" s="1014">
        <v>1.5463439158882204</v>
      </c>
      <c r="I24" s="1014">
        <v>1.5762943808088956</v>
      </c>
      <c r="J24" s="1014">
        <v>1.6067566201516243</v>
      </c>
      <c r="N24" s="581" t="s">
        <v>491</v>
      </c>
      <c r="O24" s="585">
        <f t="shared" si="11"/>
        <v>-1.71402841281902E-2</v>
      </c>
      <c r="P24" s="585">
        <f t="shared" si="12"/>
        <v>2.0628589311904505E-2</v>
      </c>
      <c r="Q24" s="585">
        <f t="shared" si="13"/>
        <v>4.1223667794096759E-2</v>
      </c>
      <c r="R24" s="585">
        <f t="shared" si="14"/>
        <v>6.8474898795836944E-2</v>
      </c>
      <c r="S24" s="585">
        <f t="shared" si="15"/>
        <v>8.9169725894907681E-2</v>
      </c>
      <c r="T24" s="585">
        <f t="shared" si="16"/>
        <v>0.11021817298639508</v>
      </c>
      <c r="U24" s="585">
        <f t="shared" si="9"/>
        <v>-1</v>
      </c>
      <c r="V24" s="585">
        <f t="shared" si="10"/>
        <v>-1</v>
      </c>
    </row>
    <row r="25" spans="3:22">
      <c r="C25" s="581" t="s">
        <v>492</v>
      </c>
      <c r="D25" s="1017">
        <v>1.4888400509851529</v>
      </c>
      <c r="E25" s="1014">
        <v>1.5160819555521281</v>
      </c>
      <c r="F25" s="1014">
        <v>1.6083836093657777</v>
      </c>
      <c r="G25" s="1014">
        <v>1.6936988992550712</v>
      </c>
      <c r="H25" s="1014">
        <v>1.7819915659702226</v>
      </c>
      <c r="I25" s="1014">
        <v>1.8924251920054083</v>
      </c>
      <c r="J25" s="1014">
        <v>2.0098292550243726</v>
      </c>
      <c r="N25" s="581" t="s">
        <v>492</v>
      </c>
      <c r="O25" s="585">
        <f t="shared" si="11"/>
        <v>1.829740175846924E-2</v>
      </c>
      <c r="P25" s="585">
        <f t="shared" si="12"/>
        <v>8.0293083398397191E-2</v>
      </c>
      <c r="Q25" s="585">
        <f t="shared" si="13"/>
        <v>0.13759627713827616</v>
      </c>
      <c r="R25" s="585">
        <f t="shared" si="14"/>
        <v>0.1968992671785621</v>
      </c>
      <c r="S25" s="585">
        <f t="shared" si="15"/>
        <v>0.27107353859348854</v>
      </c>
      <c r="T25" s="585">
        <f t="shared" si="16"/>
        <v>0.34992960035867215</v>
      </c>
      <c r="U25" s="585">
        <f t="shared" si="9"/>
        <v>-1</v>
      </c>
      <c r="V25" s="585">
        <f t="shared" si="10"/>
        <v>-1</v>
      </c>
    </row>
    <row r="26" spans="3:22">
      <c r="C26" s="581" t="s">
        <v>500</v>
      </c>
      <c r="D26" s="1017">
        <f>D24+D25</f>
        <v>2.9360840785527991</v>
      </c>
      <c r="E26" s="1048">
        <v>3.043700667649532</v>
      </c>
      <c r="F26" s="1048">
        <v>3.0630504992840017</v>
      </c>
      <c r="G26" s="1048">
        <v>3.0717173849616461</v>
      </c>
      <c r="H26" s="1048">
        <v>3.1032645456917138</v>
      </c>
      <c r="I26" s="1048">
        <v>3.1652913403081238</v>
      </c>
      <c r="J26" s="1048">
        <v>3.235549714673891</v>
      </c>
      <c r="K26" s="1048">
        <v>3.3039433673791789</v>
      </c>
      <c r="L26" s="1048">
        <v>3.3665887945958359</v>
      </c>
      <c r="N26" s="581" t="s">
        <v>493</v>
      </c>
      <c r="O26" s="585">
        <f t="shared" si="11"/>
        <v>3.6653101960818946E-2</v>
      </c>
      <c r="P26" s="585">
        <f t="shared" si="12"/>
        <v>4.3243455341982116E-2</v>
      </c>
      <c r="Q26" s="585">
        <f t="shared" si="13"/>
        <v>4.6195307348180906E-2</v>
      </c>
      <c r="R26" s="585">
        <f t="shared" si="14"/>
        <v>5.6939945405554707E-2</v>
      </c>
      <c r="S26" s="585">
        <f t="shared" si="15"/>
        <v>7.8065632871215776E-2</v>
      </c>
      <c r="T26" s="585">
        <f t="shared" si="16"/>
        <v>0.10199491162688332</v>
      </c>
      <c r="U26" s="585">
        <f t="shared" si="9"/>
        <v>0.12528908538875982</v>
      </c>
      <c r="V26" s="585">
        <f t="shared" si="10"/>
        <v>0.14662547274709972</v>
      </c>
    </row>
    <row r="27" spans="3:22">
      <c r="C27" s="581" t="s">
        <v>493</v>
      </c>
      <c r="D27" s="1017">
        <v>0.14627345729270999</v>
      </c>
      <c r="E27" s="1045">
        <v>0.14001398837109938</v>
      </c>
      <c r="F27" s="1045">
        <v>0.1258727152597342</v>
      </c>
      <c r="G27" s="1045">
        <v>0.1258727152597342</v>
      </c>
      <c r="H27" s="1045">
        <v>0.1258727152597342</v>
      </c>
      <c r="I27" s="1045">
        <v>0.1258727152597342</v>
      </c>
      <c r="J27" s="1045">
        <v>0.1258727152597342</v>
      </c>
      <c r="K27" s="1045">
        <v>0.1258727152597342</v>
      </c>
      <c r="L27" s="1045">
        <v>0.1258727152597342</v>
      </c>
      <c r="N27" s="581" t="s">
        <v>494</v>
      </c>
      <c r="O27" s="585">
        <f t="shared" si="11"/>
        <v>-4.2792923866458527E-2</v>
      </c>
      <c r="P27" s="585">
        <f t="shared" si="12"/>
        <v>-0.13946988339895158</v>
      </c>
      <c r="Q27" s="585">
        <f t="shared" si="13"/>
        <v>-0.13946988339895158</v>
      </c>
      <c r="R27" s="585">
        <f t="shared" si="14"/>
        <v>-0.13946988339895158</v>
      </c>
      <c r="S27" s="585">
        <f t="shared" si="15"/>
        <v>-0.13946988339895158</v>
      </c>
      <c r="T27" s="585">
        <f t="shared" si="16"/>
        <v>-0.13946988339895158</v>
      </c>
      <c r="U27" s="585">
        <f t="shared" si="9"/>
        <v>-0.13946988339895158</v>
      </c>
      <c r="V27" s="585">
        <f t="shared" si="10"/>
        <v>-0.13946988339895158</v>
      </c>
    </row>
    <row r="28" spans="3:22">
      <c r="C28" s="581" t="s">
        <v>494</v>
      </c>
      <c r="D28" s="1017">
        <v>32.459613645714704</v>
      </c>
      <c r="E28" s="1048">
        <v>34.858534564404387</v>
      </c>
      <c r="F28" s="1048">
        <v>38.018302599831195</v>
      </c>
      <c r="G28" s="1048">
        <v>39.79971934402942</v>
      </c>
      <c r="H28" s="1048">
        <v>41.467658002650268</v>
      </c>
      <c r="I28" s="1048">
        <v>43.399809309798528</v>
      </c>
      <c r="J28" s="1048">
        <v>45.183610798486285</v>
      </c>
      <c r="K28" s="1048">
        <v>46.724695366505394</v>
      </c>
      <c r="L28" s="1048">
        <v>48.055618050945675</v>
      </c>
      <c r="N28" s="581" t="s">
        <v>495</v>
      </c>
      <c r="O28" s="585">
        <f t="shared" si="11"/>
        <v>7.3904789652552955E-2</v>
      </c>
      <c r="P28" s="585">
        <f t="shared" si="12"/>
        <v>0.17124938746306814</v>
      </c>
      <c r="Q28" s="585">
        <f t="shared" si="13"/>
        <v>0.22613040864963441</v>
      </c>
      <c r="R28" s="585">
        <f t="shared" si="14"/>
        <v>0.27751545213246243</v>
      </c>
      <c r="S28" s="585">
        <f t="shared" si="15"/>
        <v>0.33704023046892123</v>
      </c>
      <c r="T28" s="585">
        <f t="shared" si="16"/>
        <v>0.39199471970460109</v>
      </c>
      <c r="U28" s="585">
        <f t="shared" si="9"/>
        <v>0.43947170402239077</v>
      </c>
      <c r="V28" s="585">
        <f t="shared" si="10"/>
        <v>0.48047412318137511</v>
      </c>
    </row>
    <row r="29" spans="3:22">
      <c r="C29" s="581" t="s">
        <v>495</v>
      </c>
      <c r="D29" s="1019">
        <v>11662.872825491026</v>
      </c>
      <c r="E29" s="1046">
        <v>12598.832273409449</v>
      </c>
      <c r="F29" s="1046">
        <v>11883.624815147774</v>
      </c>
      <c r="G29" s="1046">
        <v>11110.179978820901</v>
      </c>
      <c r="H29" s="1046">
        <v>10592.830159908397</v>
      </c>
      <c r="I29" s="1046">
        <v>10382.396083740574</v>
      </c>
      <c r="J29" s="1046">
        <v>10310.88691968563</v>
      </c>
      <c r="K29" s="1046">
        <v>10239.999429719157</v>
      </c>
      <c r="L29" s="1046">
        <v>10220.044385394198</v>
      </c>
      <c r="N29" s="581" t="s">
        <v>496</v>
      </c>
      <c r="O29" s="585">
        <f t="shared" si="11"/>
        <v>8.0251192131044952E-2</v>
      </c>
      <c r="P29" s="585">
        <f t="shared" si="12"/>
        <v>1.8927754161415563E-2</v>
      </c>
      <c r="Q29" s="585">
        <f t="shared" si="13"/>
        <v>-4.7389082856337798E-2</v>
      </c>
      <c r="R29" s="585">
        <f t="shared" si="14"/>
        <v>-9.1747777892586091E-2</v>
      </c>
      <c r="S29" s="585">
        <f t="shared" si="15"/>
        <v>-0.1097908517832562</v>
      </c>
      <c r="T29" s="585">
        <f t="shared" si="16"/>
        <v>-0.11592220253404628</v>
      </c>
      <c r="U29" s="585">
        <f t="shared" si="9"/>
        <v>-0.12200024960076365</v>
      </c>
      <c r="V29" s="585">
        <f t="shared" si="10"/>
        <v>-0.12371123836172691</v>
      </c>
    </row>
    <row r="30" spans="3:22">
      <c r="C30" s="581" t="s">
        <v>496</v>
      </c>
      <c r="D30" s="1017">
        <v>42.715941401865358</v>
      </c>
      <c r="E30" s="1047">
        <v>34.890306875475837</v>
      </c>
      <c r="F30" s="1047">
        <v>21.076730927137852</v>
      </c>
      <c r="G30" s="1047">
        <v>15.09100321576887</v>
      </c>
      <c r="H30" s="1047">
        <v>13.097330013530915</v>
      </c>
      <c r="I30" s="1047">
        <v>12.798130500694793</v>
      </c>
      <c r="J30" s="1047">
        <v>12.763583692810073</v>
      </c>
      <c r="K30" s="1047">
        <v>12.636712576589263</v>
      </c>
      <c r="L30" s="1047">
        <v>12.554811398251664</v>
      </c>
      <c r="N30" s="581" t="s">
        <v>497</v>
      </c>
      <c r="O30" s="585">
        <f t="shared" si="11"/>
        <v>-0.18320173381565188</v>
      </c>
      <c r="P30" s="585">
        <f t="shared" si="12"/>
        <v>-0.50658395354439145</v>
      </c>
      <c r="Q30" s="585">
        <f t="shared" si="13"/>
        <v>-0.64671261546608771</v>
      </c>
      <c r="R30" s="585">
        <f t="shared" si="14"/>
        <v>-0.6933854298021167</v>
      </c>
      <c r="S30" s="585">
        <f t="shared" si="15"/>
        <v>-0.7003898291672459</v>
      </c>
      <c r="T30" s="585">
        <f t="shared" si="16"/>
        <v>-0.70119858596274076</v>
      </c>
      <c r="U30" s="585">
        <f t="shared" si="9"/>
        <v>-0.704168697636676</v>
      </c>
      <c r="V30" s="585">
        <f t="shared" si="10"/>
        <v>-0.70608604220757243</v>
      </c>
    </row>
    <row r="31" spans="3:22">
      <c r="C31" s="581" t="s">
        <v>497</v>
      </c>
      <c r="D31" s="1017">
        <v>1.2103886505327992</v>
      </c>
      <c r="E31" s="1044">
        <v>0.73362214718797369</v>
      </c>
      <c r="F31" s="1044">
        <v>0.24469682032614884</v>
      </c>
      <c r="G31" s="1044">
        <v>0.11567286698493316</v>
      </c>
      <c r="H31" s="1044">
        <v>9.9858948006436465E-2</v>
      </c>
      <c r="I31" s="1044">
        <v>9.9147335923941302E-2</v>
      </c>
      <c r="J31" s="1044">
        <v>9.9271650992029184E-2</v>
      </c>
      <c r="K31" s="1044">
        <v>9.8590048028596916E-2</v>
      </c>
      <c r="L31" s="1044">
        <v>9.8567545307286814E-2</v>
      </c>
      <c r="N31" s="581" t="s">
        <v>498</v>
      </c>
      <c r="O31" s="585">
        <f t="shared" si="11"/>
        <v>-0.3938953848707672</v>
      </c>
      <c r="P31" s="585">
        <f t="shared" si="12"/>
        <v>-0.79783615765197724</v>
      </c>
      <c r="Q31" s="585">
        <f t="shared" si="13"/>
        <v>-0.90443328518156929</v>
      </c>
      <c r="R31" s="585">
        <f t="shared" si="14"/>
        <v>-0.91749844319634055</v>
      </c>
      <c r="S31" s="585">
        <f t="shared" si="15"/>
        <v>-0.91808636351613371</v>
      </c>
      <c r="T31" s="585">
        <f t="shared" si="16"/>
        <v>-0.91798365677972027</v>
      </c>
      <c r="U31" s="585">
        <f t="shared" si="9"/>
        <v>-0.91854678413813728</v>
      </c>
      <c r="V31" s="585">
        <f t="shared" si="10"/>
        <v>-0.91856537545696715</v>
      </c>
    </row>
    <row r="32" spans="3:22">
      <c r="C32" s="581" t="s">
        <v>498</v>
      </c>
      <c r="D32" s="1017">
        <v>10.290605243264254</v>
      </c>
      <c r="E32" s="1048">
        <v>13.266872731182136</v>
      </c>
      <c r="F32" s="1048">
        <v>12.905883534336946</v>
      </c>
      <c r="G32" s="1048">
        <v>12.768735978053728</v>
      </c>
      <c r="H32" s="1048">
        <v>13.527282683079184</v>
      </c>
      <c r="I32" s="1048">
        <v>14.46687214343039</v>
      </c>
      <c r="J32" s="1048">
        <v>15.46098135029545</v>
      </c>
      <c r="K32" s="1048">
        <v>16.359175070043751</v>
      </c>
      <c r="L32" s="1048">
        <v>17.226417703981621</v>
      </c>
      <c r="N32" s="581" t="s">
        <v>499</v>
      </c>
      <c r="O32" s="585">
        <f t="shared" si="11"/>
        <v>0.28922181130852403</v>
      </c>
      <c r="P32" s="585">
        <f t="shared" si="12"/>
        <v>0.25414232003355969</v>
      </c>
      <c r="Q32" s="585">
        <f t="shared" si="13"/>
        <v>0.24081486717329301</v>
      </c>
      <c r="R32" s="585">
        <f t="shared" si="14"/>
        <v>0.31452741246036098</v>
      </c>
      <c r="S32" s="585">
        <f t="shared" si="15"/>
        <v>0.4058329710878496</v>
      </c>
      <c r="T32" s="585">
        <f t="shared" si="16"/>
        <v>0.50243654137014737</v>
      </c>
      <c r="U32" s="585">
        <f t="shared" si="9"/>
        <v>0.58971942692600099</v>
      </c>
      <c r="V32" s="585">
        <f t="shared" si="10"/>
        <v>0.67399460933138244</v>
      </c>
    </row>
    <row r="33" spans="3:22">
      <c r="C33" s="581" t="s">
        <v>499</v>
      </c>
      <c r="D33" s="1020">
        <v>44.613523629199612</v>
      </c>
      <c r="E33" s="1048">
        <v>45.905585142699024</v>
      </c>
      <c r="F33" s="1048">
        <v>46.173689474133035</v>
      </c>
      <c r="G33" s="1048">
        <v>46.293755789908658</v>
      </c>
      <c r="H33" s="1048">
        <v>45.891768084576761</v>
      </c>
      <c r="I33" s="1048">
        <v>45.394837433958585</v>
      </c>
      <c r="J33" s="1048">
        <v>44.859989522665941</v>
      </c>
      <c r="K33" s="1048">
        <v>44.379192575946192</v>
      </c>
      <c r="L33" s="1048">
        <v>43.919370237868151</v>
      </c>
      <c r="O33" s="585"/>
    </row>
    <row r="34" spans="3:22">
      <c r="C34" s="579" t="s">
        <v>501</v>
      </c>
      <c r="D34" s="1017"/>
      <c r="E34" s="1014"/>
      <c r="F34" s="1014"/>
      <c r="G34" s="1014"/>
      <c r="H34" s="1014"/>
      <c r="I34" s="1014"/>
      <c r="J34" s="1014"/>
      <c r="N34" s="579" t="s">
        <v>501</v>
      </c>
      <c r="O34" s="585"/>
      <c r="P34" s="580"/>
      <c r="Q34" s="580"/>
      <c r="R34" s="580"/>
      <c r="S34" s="580"/>
      <c r="T34" s="580"/>
      <c r="U34" s="580"/>
      <c r="V34" s="580"/>
    </row>
    <row r="35" spans="3:22">
      <c r="C35" s="581" t="s">
        <v>489</v>
      </c>
      <c r="D35" s="1017">
        <v>67.060145124289335</v>
      </c>
      <c r="E35" s="1048">
        <v>73.196431618772408</v>
      </c>
      <c r="F35" s="1048">
        <v>77.443983885523551</v>
      </c>
      <c r="G35" s="1048">
        <v>80.848848086870319</v>
      </c>
      <c r="H35" s="1048">
        <v>83.948270230495723</v>
      </c>
      <c r="I35" s="1048">
        <v>87.187299083780246</v>
      </c>
      <c r="J35" s="1048">
        <v>90.085632084977178</v>
      </c>
      <c r="K35" s="1048">
        <v>92.744157354518748</v>
      </c>
      <c r="L35" s="1048">
        <v>95.203702041366569</v>
      </c>
      <c r="N35" s="581" t="s">
        <v>489</v>
      </c>
      <c r="O35" s="585">
        <f t="shared" si="11"/>
        <v>9.1504223307451463E-2</v>
      </c>
      <c r="P35" s="585">
        <f>(F35-$D35)/$D35</f>
        <v>0.15484366671126046</v>
      </c>
      <c r="Q35" s="585">
        <f>(G35-$D35)/$D35</f>
        <v>0.20561695679341269</v>
      </c>
      <c r="R35" s="585">
        <f>(H35-$D35)/$D35</f>
        <v>0.25183549893764651</v>
      </c>
      <c r="S35" s="585">
        <f>(I35-$D35)/$D35</f>
        <v>0.30013585449579966</v>
      </c>
      <c r="T35" s="585">
        <f>(J35-$D35)/$D35</f>
        <v>0.34335575799921675</v>
      </c>
      <c r="U35" s="585">
        <f t="shared" ref="U35:V45" si="17">(K35-$D35)/$D35</f>
        <v>0.38299965176971568</v>
      </c>
      <c r="V35" s="585">
        <f t="shared" si="17"/>
        <v>0.41967634971436374</v>
      </c>
    </row>
    <row r="36" spans="3:22">
      <c r="C36" s="581" t="s">
        <v>490</v>
      </c>
      <c r="D36" s="1017">
        <v>10.631626822299159</v>
      </c>
      <c r="E36" s="1048">
        <v>13.36146966795493</v>
      </c>
      <c r="F36" s="1048">
        <v>14.633046247224321</v>
      </c>
      <c r="G36" s="1048">
        <v>15.332994013167166</v>
      </c>
      <c r="H36" s="1048">
        <v>16.136028199536732</v>
      </c>
      <c r="I36" s="1048">
        <v>17.239085345758909</v>
      </c>
      <c r="J36" s="1048">
        <v>18.339283047841462</v>
      </c>
      <c r="K36" s="1048">
        <v>19.257934422528834</v>
      </c>
      <c r="L36" s="1048">
        <v>19.982313458086931</v>
      </c>
      <c r="N36" s="581" t="s">
        <v>490</v>
      </c>
      <c r="O36" s="585">
        <f t="shared" ref="O36:O47" si="18">(E36-$D36)/$D36</f>
        <v>0.25676624013270477</v>
      </c>
      <c r="P36" s="585">
        <f t="shared" ref="P36:P45" si="19">(F36-$D36)/$D36</f>
        <v>0.37636943920308036</v>
      </c>
      <c r="Q36" s="585">
        <f t="shared" ref="Q36:Q45" si="20">(G36-$D36)/$D36</f>
        <v>0.44220581379015195</v>
      </c>
      <c r="R36" s="585">
        <f t="shared" ref="R36:R45" si="21">(H36-$D36)/$D36</f>
        <v>0.51773839218024864</v>
      </c>
      <c r="S36" s="585">
        <f t="shared" ref="S36:S45" si="22">(I36-$D36)/$D36</f>
        <v>0.62149082486614626</v>
      </c>
      <c r="T36" s="585">
        <f t="shared" ref="T36:T45" si="23">(J36-$D36)/$D36</f>
        <v>0.72497430114608474</v>
      </c>
      <c r="U36" s="585">
        <f t="shared" si="17"/>
        <v>0.81138171461554165</v>
      </c>
      <c r="V36" s="585">
        <f t="shared" si="17"/>
        <v>0.87951606956099171</v>
      </c>
    </row>
    <row r="37" spans="3:22">
      <c r="C37" s="581" t="s">
        <v>491</v>
      </c>
      <c r="D37" s="1017">
        <v>2.5192997188552355</v>
      </c>
      <c r="E37" s="1014">
        <v>2.4828062059912961</v>
      </c>
      <c r="F37" s="1014">
        <v>2.5542916056511928</v>
      </c>
      <c r="G37" s="1014">
        <v>2.5918089852774489</v>
      </c>
      <c r="H37" s="1014">
        <v>2.6473485756184636</v>
      </c>
      <c r="I37" s="1014">
        <v>2.6889652954806773</v>
      </c>
      <c r="J37" s="1014">
        <v>2.7312661430208331</v>
      </c>
      <c r="N37" s="581" t="s">
        <v>491</v>
      </c>
      <c r="O37" s="585">
        <f t="shared" si="18"/>
        <v>-1.4485578111572212E-2</v>
      </c>
      <c r="P37" s="585">
        <f t="shared" si="19"/>
        <v>1.3889529115597873E-2</v>
      </c>
      <c r="Q37" s="585">
        <f t="shared" si="20"/>
        <v>2.8781516498228084E-2</v>
      </c>
      <c r="R37" s="585">
        <f t="shared" si="21"/>
        <v>5.0827162724970738E-2</v>
      </c>
      <c r="S37" s="585">
        <f t="shared" si="22"/>
        <v>6.73463245979075E-2</v>
      </c>
      <c r="T37" s="585">
        <f t="shared" si="23"/>
        <v>8.4137041170279939E-2</v>
      </c>
      <c r="U37" s="585">
        <f t="shared" si="17"/>
        <v>-1</v>
      </c>
      <c r="V37" s="585">
        <f t="shared" si="17"/>
        <v>-1</v>
      </c>
    </row>
    <row r="38" spans="3:22">
      <c r="C38" s="581" t="s">
        <v>492</v>
      </c>
      <c r="D38" s="1017">
        <v>0.94562830144406029</v>
      </c>
      <c r="E38" s="1014">
        <v>0.95113711590850081</v>
      </c>
      <c r="F38" s="1014">
        <v>1.0217226067218159</v>
      </c>
      <c r="G38" s="1014">
        <v>1.0917476170833107</v>
      </c>
      <c r="H38" s="1014">
        <v>1.1685282349455235</v>
      </c>
      <c r="I38" s="1014">
        <v>1.2559903108705779</v>
      </c>
      <c r="J38" s="1014">
        <v>1.3472944898506085</v>
      </c>
      <c r="N38" s="581" t="s">
        <v>492</v>
      </c>
      <c r="O38" s="585">
        <f t="shared" si="18"/>
        <v>5.825560059939042E-3</v>
      </c>
      <c r="P38" s="585">
        <f t="shared" si="19"/>
        <v>8.0469572623358146E-2</v>
      </c>
      <c r="Q38" s="585">
        <f t="shared" si="20"/>
        <v>0.15452087825217681</v>
      </c>
      <c r="R38" s="585">
        <f t="shared" si="21"/>
        <v>0.23571622503374187</v>
      </c>
      <c r="S38" s="585">
        <f t="shared" si="22"/>
        <v>0.32820719193002856</v>
      </c>
      <c r="T38" s="585">
        <f t="shared" si="23"/>
        <v>0.42476117497030014</v>
      </c>
      <c r="U38" s="585">
        <f t="shared" si="17"/>
        <v>-1</v>
      </c>
      <c r="V38" s="585">
        <f t="shared" si="17"/>
        <v>-1</v>
      </c>
    </row>
    <row r="39" spans="3:22">
      <c r="C39" s="581" t="s">
        <v>493</v>
      </c>
      <c r="D39" s="1017">
        <v>0.88394588656889295</v>
      </c>
      <c r="E39" s="1045">
        <v>0.98067493297914543</v>
      </c>
      <c r="F39" s="1045">
        <v>0.90672146960953071</v>
      </c>
      <c r="G39" s="1045">
        <v>0.90672146960953071</v>
      </c>
      <c r="H39" s="1045">
        <v>0.90672146960953071</v>
      </c>
      <c r="I39" s="1045">
        <v>0.90672146960953071</v>
      </c>
      <c r="J39" s="1045">
        <v>0.90672146960953071</v>
      </c>
      <c r="K39" s="1045">
        <v>0.90672146960953071</v>
      </c>
      <c r="L39" s="1045">
        <v>0.90672146960953071</v>
      </c>
      <c r="N39" s="581" t="s">
        <v>493</v>
      </c>
      <c r="O39" s="585">
        <f t="shared" si="18"/>
        <v>0.10942869680146831</v>
      </c>
      <c r="P39" s="585">
        <f t="shared" si="19"/>
        <v>2.5765811444683585E-2</v>
      </c>
      <c r="Q39" s="585">
        <f t="shared" si="20"/>
        <v>2.5765811444683585E-2</v>
      </c>
      <c r="R39" s="585">
        <f t="shared" si="21"/>
        <v>2.5765811444683585E-2</v>
      </c>
      <c r="S39" s="585">
        <f t="shared" si="22"/>
        <v>2.5765811444683585E-2</v>
      </c>
      <c r="T39" s="585">
        <f t="shared" si="23"/>
        <v>2.5765811444683585E-2</v>
      </c>
      <c r="U39" s="585">
        <f t="shared" si="17"/>
        <v>2.5765811444683585E-2</v>
      </c>
      <c r="V39" s="585">
        <f t="shared" si="17"/>
        <v>2.5765811444683585E-2</v>
      </c>
    </row>
    <row r="40" spans="3:22">
      <c r="C40" s="581" t="s">
        <v>494</v>
      </c>
      <c r="D40" s="1017">
        <v>82.040645853456653</v>
      </c>
      <c r="E40" s="1048">
        <v>91.170341320178196</v>
      </c>
      <c r="F40" s="1048">
        <v>96.52934797615012</v>
      </c>
      <c r="G40" s="1048">
        <v>100.64487834330468</v>
      </c>
      <c r="H40" s="1048">
        <v>104.57380704530622</v>
      </c>
      <c r="I40" s="1048">
        <v>108.94364506384943</v>
      </c>
      <c r="J40" s="1048">
        <v>112.97555612221147</v>
      </c>
      <c r="K40" s="1048">
        <v>116.5868461585676</v>
      </c>
      <c r="L40" s="1048">
        <v>119.80746891364083</v>
      </c>
      <c r="N40" s="581" t="s">
        <v>494</v>
      </c>
      <c r="O40" s="585">
        <f t="shared" si="18"/>
        <v>0.11128258891366197</v>
      </c>
      <c r="P40" s="585">
        <f t="shared" si="19"/>
        <v>0.17660395005389892</v>
      </c>
      <c r="Q40" s="585">
        <f t="shared" si="20"/>
        <v>0.22676847916433326</v>
      </c>
      <c r="R40" s="585">
        <f t="shared" si="21"/>
        <v>0.27465850563998423</v>
      </c>
      <c r="S40" s="585">
        <f t="shared" si="22"/>
        <v>0.32792281107157156</v>
      </c>
      <c r="T40" s="585">
        <f t="shared" si="23"/>
        <v>0.37706809773306321</v>
      </c>
      <c r="U40" s="585">
        <f t="shared" si="17"/>
        <v>0.42108640108487633</v>
      </c>
      <c r="V40" s="585">
        <f t="shared" si="17"/>
        <v>0.46034282967060447</v>
      </c>
    </row>
    <row r="41" spans="3:22">
      <c r="C41" s="581" t="s">
        <v>495</v>
      </c>
      <c r="D41" s="1019">
        <v>25591.472763693237</v>
      </c>
      <c r="E41" s="1046">
        <v>28136.73012169998</v>
      </c>
      <c r="F41" s="1046">
        <v>26135.870758611818</v>
      </c>
      <c r="G41" s="1046">
        <v>24231.05155226944</v>
      </c>
      <c r="H41" s="1046">
        <v>22869.399940281739</v>
      </c>
      <c r="I41" s="1046">
        <v>22249.214465404282</v>
      </c>
      <c r="J41" s="1046">
        <v>21996.360647362508</v>
      </c>
      <c r="K41" s="1046">
        <v>21774.518050566898</v>
      </c>
      <c r="L41" s="1046">
        <v>21674.726064802428</v>
      </c>
      <c r="N41" s="581" t="s">
        <v>495</v>
      </c>
      <c r="O41" s="585">
        <f t="shared" si="18"/>
        <v>9.9457244274652079E-2</v>
      </c>
      <c r="P41" s="585">
        <f t="shared" si="19"/>
        <v>2.12726324876043E-2</v>
      </c>
      <c r="Q41" s="585">
        <f t="shared" si="20"/>
        <v>-5.3159160630795475E-2</v>
      </c>
      <c r="R41" s="585">
        <f t="shared" si="21"/>
        <v>-0.10636639979834679</v>
      </c>
      <c r="S41" s="585">
        <f t="shared" si="22"/>
        <v>-0.13060046716149273</v>
      </c>
      <c r="T41" s="585">
        <f t="shared" si="23"/>
        <v>-0.14048086054004419</v>
      </c>
      <c r="U41" s="585">
        <f t="shared" si="17"/>
        <v>-0.14914947445078164</v>
      </c>
      <c r="V41" s="585">
        <f t="shared" si="17"/>
        <v>-0.15304889777377406</v>
      </c>
    </row>
    <row r="42" spans="3:22">
      <c r="C42" s="581" t="s">
        <v>496</v>
      </c>
      <c r="D42" s="1017">
        <v>86.258818177450379</v>
      </c>
      <c r="E42" s="1047">
        <v>80.388490155105941</v>
      </c>
      <c r="F42" s="1047">
        <v>50.644281930410102</v>
      </c>
      <c r="G42" s="1047">
        <v>35.693085125936264</v>
      </c>
      <c r="H42" s="1047">
        <v>30.371205357932439</v>
      </c>
      <c r="I42" s="1047">
        <v>29.665115718264879</v>
      </c>
      <c r="J42" s="1047">
        <v>29.592905739872801</v>
      </c>
      <c r="K42" s="1047">
        <v>29.328244061726963</v>
      </c>
      <c r="L42" s="1047">
        <v>29.189580894367701</v>
      </c>
      <c r="N42" s="581" t="s">
        <v>496</v>
      </c>
      <c r="O42" s="585">
        <f t="shared" si="18"/>
        <v>-6.8054816265487025E-2</v>
      </c>
      <c r="P42" s="585">
        <f t="shared" si="19"/>
        <v>-0.41287994664817429</v>
      </c>
      <c r="Q42" s="585">
        <f t="shared" si="20"/>
        <v>-0.58620943481385324</v>
      </c>
      <c r="R42" s="585">
        <f t="shared" si="21"/>
        <v>-0.64790608079682654</v>
      </c>
      <c r="S42" s="585">
        <f t="shared" si="22"/>
        <v>-0.65609179043888322</v>
      </c>
      <c r="T42" s="585">
        <f t="shared" si="23"/>
        <v>-0.65692892199154973</v>
      </c>
      <c r="U42" s="585">
        <f t="shared" si="17"/>
        <v>-0.65999714949266608</v>
      </c>
      <c r="V42" s="585">
        <f t="shared" si="17"/>
        <v>-0.66160467403669587</v>
      </c>
    </row>
    <row r="43" spans="3:22">
      <c r="C43" s="581" t="s">
        <v>497</v>
      </c>
      <c r="D43" s="1017">
        <v>2.4386138545058098</v>
      </c>
      <c r="E43" s="1044">
        <v>1.5933617887078417</v>
      </c>
      <c r="F43" s="1044">
        <v>0.55690510423115369</v>
      </c>
      <c r="G43" s="1044">
        <v>0.25428446112421393</v>
      </c>
      <c r="H43" s="1044">
        <v>0.21051628137347855</v>
      </c>
      <c r="I43" s="1044">
        <v>0.20752208456101179</v>
      </c>
      <c r="J43" s="1044">
        <v>0.20684082891118966</v>
      </c>
      <c r="K43" s="1044">
        <v>0.20480017357571947</v>
      </c>
      <c r="L43" s="1044">
        <v>0.20437465935671451</v>
      </c>
      <c r="N43" s="581" t="s">
        <v>497</v>
      </c>
      <c r="O43" s="585">
        <f t="shared" si="18"/>
        <v>-0.34661168853617463</v>
      </c>
      <c r="P43" s="585">
        <f t="shared" si="19"/>
        <v>-0.77163046818496339</v>
      </c>
      <c r="Q43" s="585">
        <f t="shared" si="20"/>
        <v>-0.895725819545241</v>
      </c>
      <c r="R43" s="585">
        <f t="shared" si="21"/>
        <v>-0.91367379423990847</v>
      </c>
      <c r="S43" s="585">
        <f t="shared" si="22"/>
        <v>-0.91490162160049449</v>
      </c>
      <c r="T43" s="585">
        <f t="shared" si="23"/>
        <v>-0.91518098343900933</v>
      </c>
      <c r="U43" s="585">
        <f t="shared" si="17"/>
        <v>-0.91601779297804287</v>
      </c>
      <c r="V43" s="585">
        <f t="shared" si="17"/>
        <v>-0.91619228317796486</v>
      </c>
    </row>
    <row r="44" spans="3:22">
      <c r="C44" s="581" t="s">
        <v>498</v>
      </c>
      <c r="D44" s="1017">
        <v>24.401594453196978</v>
      </c>
      <c r="E44" s="1048">
        <v>20.441496328667071</v>
      </c>
      <c r="F44" s="1048">
        <v>22.176105295958649</v>
      </c>
      <c r="G44" s="1048">
        <v>23.692236426628568</v>
      </c>
      <c r="H44" s="1048">
        <v>25.224835398803847</v>
      </c>
      <c r="I44" s="1048">
        <v>27.135949573713873</v>
      </c>
      <c r="J44" s="1048">
        <v>28.953133514699545</v>
      </c>
      <c r="K44" s="1048">
        <v>30.61326416537878</v>
      </c>
      <c r="L44" s="1048">
        <v>32.121516597774253</v>
      </c>
      <c r="N44" s="581" t="s">
        <v>498</v>
      </c>
      <c r="O44" s="585">
        <f t="shared" si="18"/>
        <v>-0.1622884984883057</v>
      </c>
      <c r="P44" s="585">
        <f t="shared" si="19"/>
        <v>-9.1202612251707019E-2</v>
      </c>
      <c r="Q44" s="585">
        <f t="shared" si="20"/>
        <v>-2.9070150638269992E-2</v>
      </c>
      <c r="R44" s="585">
        <f t="shared" si="21"/>
        <v>3.3737178412085789E-2</v>
      </c>
      <c r="S44" s="585">
        <f t="shared" si="22"/>
        <v>0.11205641195953296</v>
      </c>
      <c r="T44" s="585">
        <f t="shared" si="23"/>
        <v>0.18652629729719347</v>
      </c>
      <c r="U44" s="585">
        <f t="shared" si="17"/>
        <v>0.25455999295849208</v>
      </c>
      <c r="V44" s="585">
        <f t="shared" si="17"/>
        <v>0.31636957820048717</v>
      </c>
    </row>
    <row r="45" spans="3:22">
      <c r="C45" s="581" t="s">
        <v>499</v>
      </c>
      <c r="D45" s="1020">
        <v>32.197447734001955</v>
      </c>
      <c r="E45" s="1048">
        <v>34.099444186366746</v>
      </c>
      <c r="F45" s="1048">
        <v>33.539286004215164</v>
      </c>
      <c r="G45" s="1048">
        <v>33.065862985253673</v>
      </c>
      <c r="H45" s="1048">
        <v>32.609066948251439</v>
      </c>
      <c r="I45" s="1048">
        <v>32.059823600691722</v>
      </c>
      <c r="J45" s="1048">
        <v>31.556452392207646</v>
      </c>
      <c r="K45" s="1048">
        <v>31.111333961392489</v>
      </c>
      <c r="L45" s="1048">
        <v>30.716657047703457</v>
      </c>
      <c r="N45" s="581" t="s">
        <v>499</v>
      </c>
      <c r="O45" s="585">
        <f t="shared" si="18"/>
        <v>5.9072895096470568E-2</v>
      </c>
      <c r="P45" s="585">
        <f t="shared" si="19"/>
        <v>4.1675299275233162E-2</v>
      </c>
      <c r="Q45" s="585">
        <f t="shared" si="20"/>
        <v>2.6971555584967472E-2</v>
      </c>
      <c r="R45" s="585">
        <f t="shared" si="21"/>
        <v>1.2784218725970489E-2</v>
      </c>
      <c r="S45" s="585">
        <f t="shared" si="22"/>
        <v>-4.2743802070030392E-3</v>
      </c>
      <c r="T45" s="585">
        <f t="shared" si="23"/>
        <v>-1.9908265620612799E-2</v>
      </c>
      <c r="U45" s="585">
        <f t="shared" si="17"/>
        <v>-3.3732915154715208E-2</v>
      </c>
      <c r="V45" s="585">
        <f t="shared" si="17"/>
        <v>-4.5990933770030357E-2</v>
      </c>
    </row>
    <row r="46" spans="3:22">
      <c r="C46" s="579" t="s">
        <v>427</v>
      </c>
      <c r="D46" s="1017"/>
      <c r="E46" s="1014"/>
      <c r="F46" s="1014"/>
      <c r="G46" s="1014"/>
      <c r="H46" s="1014"/>
      <c r="I46" s="1014"/>
      <c r="J46" s="1014"/>
      <c r="N46" s="579" t="s">
        <v>427</v>
      </c>
      <c r="O46" s="585"/>
      <c r="P46" s="580"/>
      <c r="Q46" s="580"/>
      <c r="R46" s="580"/>
      <c r="S46" s="580"/>
      <c r="T46" s="580"/>
      <c r="U46" s="580"/>
      <c r="V46" s="580"/>
    </row>
    <row r="47" spans="3:22">
      <c r="C47" s="581" t="s">
        <v>489</v>
      </c>
      <c r="D47" s="1017">
        <v>75.702103283332576</v>
      </c>
      <c r="E47" s="1048">
        <v>80.937718117372839</v>
      </c>
      <c r="F47" s="1048">
        <v>85.483438894442727</v>
      </c>
      <c r="G47" s="1048">
        <v>89.259919074547597</v>
      </c>
      <c r="H47" s="1048">
        <v>92.737863341062422</v>
      </c>
      <c r="I47" s="1048">
        <v>96.363768515127092</v>
      </c>
      <c r="J47" s="1048">
        <v>99.732706445523988</v>
      </c>
      <c r="K47" s="1048">
        <v>102.91348806522001</v>
      </c>
      <c r="L47" s="1048">
        <v>105.8842745122365</v>
      </c>
      <c r="N47" s="581" t="s">
        <v>489</v>
      </c>
      <c r="O47" s="585">
        <f t="shared" si="18"/>
        <v>6.9160757851664534E-2</v>
      </c>
      <c r="P47" s="585">
        <f>(F47-$D47)/$D47</f>
        <v>0.12920824107754639</v>
      </c>
      <c r="Q47" s="585">
        <f>(G47-$D47)/$D47</f>
        <v>0.17909430786185385</v>
      </c>
      <c r="R47" s="585">
        <f>(H47-$D47)/$D47</f>
        <v>0.22503681296633973</v>
      </c>
      <c r="S47" s="585">
        <f>(I47-$D47)/$D47</f>
        <v>0.27293383321812698</v>
      </c>
      <c r="T47" s="585">
        <f>(J47-$D47)/$D47</f>
        <v>0.31743640031045556</v>
      </c>
      <c r="U47" s="585">
        <f t="shared" ref="U47:V57" si="24">(K47-$D47)/$D47</f>
        <v>0.3594534841395694</v>
      </c>
      <c r="V47" s="585">
        <f t="shared" si="24"/>
        <v>0.39869660048863093</v>
      </c>
    </row>
    <row r="48" spans="3:22">
      <c r="C48" s="581" t="s">
        <v>490</v>
      </c>
      <c r="D48" s="1017">
        <v>13.658896997254114</v>
      </c>
      <c r="E48" s="1048">
        <v>15.227558646558872</v>
      </c>
      <c r="F48" s="1048">
        <v>16.980931329381558</v>
      </c>
      <c r="G48" s="1048">
        <v>18.137880639249438</v>
      </c>
      <c r="H48" s="1048">
        <v>19.220168092385055</v>
      </c>
      <c r="I48" s="1048">
        <v>20.603226316374226</v>
      </c>
      <c r="J48" s="1048">
        <v>21.968383020275414</v>
      </c>
      <c r="K48" s="1048">
        <v>23.112544949981135</v>
      </c>
      <c r="L48" s="1048">
        <v>24.023350813147353</v>
      </c>
      <c r="N48" s="581" t="s">
        <v>490</v>
      </c>
      <c r="O48" s="585">
        <f t="shared" ref="O48:O57" si="25">(E48-$D48)/$D48</f>
        <v>0.11484541172102772</v>
      </c>
      <c r="P48" s="585">
        <f t="shared" ref="P48:P57" si="26">(F48-$D48)/$D48</f>
        <v>0.24321395298575588</v>
      </c>
      <c r="Q48" s="585">
        <f t="shared" ref="Q48:Q57" si="27">(G48-$D48)/$D48</f>
        <v>0.32791693523245297</v>
      </c>
      <c r="R48" s="585">
        <f t="shared" ref="R48:R57" si="28">(H48-$D48)/$D48</f>
        <v>0.40715374720586434</v>
      </c>
      <c r="S48" s="585">
        <f t="shared" ref="S48:S57" si="29">(I48-$D48)/$D48</f>
        <v>0.50841069527913929</v>
      </c>
      <c r="T48" s="585">
        <f t="shared" ref="T48:T57" si="30">(J48-$D48)/$D48</f>
        <v>0.60835703092949445</v>
      </c>
      <c r="U48" s="585">
        <f t="shared" si="24"/>
        <v>0.69212381897509834</v>
      </c>
      <c r="V48" s="585">
        <f t="shared" si="24"/>
        <v>0.75880606010696416</v>
      </c>
    </row>
    <row r="49" spans="3:22">
      <c r="C49" s="581" t="s">
        <v>491</v>
      </c>
      <c r="D49" s="1017">
        <v>1.6970380015261255</v>
      </c>
      <c r="E49" s="1014">
        <v>1.6765726510800221</v>
      </c>
      <c r="F49" s="1014">
        <v>1.7149677253673037</v>
      </c>
      <c r="G49" s="1014">
        <v>1.7384189203630878</v>
      </c>
      <c r="H49" s="1014">
        <v>1.7708327762403013</v>
      </c>
      <c r="I49" s="1014">
        <v>1.7974291789670127</v>
      </c>
      <c r="J49" s="1014">
        <v>1.824642811246638</v>
      </c>
      <c r="N49" s="581" t="s">
        <v>491</v>
      </c>
      <c r="O49" s="585">
        <f t="shared" si="25"/>
        <v>-1.2059453251900774E-2</v>
      </c>
      <c r="P49" s="585">
        <f t="shared" si="26"/>
        <v>1.0565304857672137E-2</v>
      </c>
      <c r="Q49" s="585">
        <f t="shared" si="27"/>
        <v>2.438420282854533E-2</v>
      </c>
      <c r="R49" s="585">
        <f t="shared" si="28"/>
        <v>4.3484456239526223E-2</v>
      </c>
      <c r="S49" s="585">
        <f t="shared" si="29"/>
        <v>5.9156705595635843E-2</v>
      </c>
      <c r="T49" s="585">
        <f t="shared" si="30"/>
        <v>7.5192664870061265E-2</v>
      </c>
      <c r="U49" s="585">
        <f t="shared" si="24"/>
        <v>-1</v>
      </c>
      <c r="V49" s="585">
        <f t="shared" si="24"/>
        <v>-1</v>
      </c>
    </row>
    <row r="50" spans="3:22">
      <c r="C50" s="581" t="s">
        <v>492</v>
      </c>
      <c r="D50" s="1017">
        <v>0.10860429775696459</v>
      </c>
      <c r="E50" s="1014">
        <v>0.10489444901638134</v>
      </c>
      <c r="F50" s="1014">
        <v>0.13086670170621817</v>
      </c>
      <c r="G50" s="1014">
        <v>0.14556028517241459</v>
      </c>
      <c r="H50" s="1014">
        <v>0.16875765213039329</v>
      </c>
      <c r="I50" s="1014">
        <v>0.19620266804338662</v>
      </c>
      <c r="J50" s="1014">
        <v>0.22707796071886702</v>
      </c>
      <c r="N50" s="581" t="s">
        <v>492</v>
      </c>
      <c r="O50" s="585">
        <f t="shared" si="25"/>
        <v>-3.4159317975474349E-2</v>
      </c>
      <c r="P50" s="585">
        <f t="shared" si="26"/>
        <v>0.20498639933267218</v>
      </c>
      <c r="Q50" s="585">
        <f t="shared" si="27"/>
        <v>0.34028107707256994</v>
      </c>
      <c r="R50" s="585">
        <f t="shared" si="28"/>
        <v>0.55387637152297842</v>
      </c>
      <c r="S50" s="585">
        <f t="shared" si="29"/>
        <v>0.80658290781871489</v>
      </c>
      <c r="T50" s="585">
        <f t="shared" si="30"/>
        <v>1.0908745363560433</v>
      </c>
      <c r="U50" s="585">
        <f t="shared" si="24"/>
        <v>-1</v>
      </c>
      <c r="V50" s="585">
        <f t="shared" si="24"/>
        <v>-1</v>
      </c>
    </row>
    <row r="51" spans="3:22">
      <c r="C51" s="581" t="s">
        <v>493</v>
      </c>
      <c r="D51" s="1017">
        <v>1.2997604626588228</v>
      </c>
      <c r="E51" s="1045">
        <v>0.98949678304873889</v>
      </c>
      <c r="F51" s="1045">
        <v>0.89293637240029866</v>
      </c>
      <c r="G51" s="1045">
        <v>0.89293637240029866</v>
      </c>
      <c r="H51" s="1045">
        <v>0.89293637240029866</v>
      </c>
      <c r="I51" s="1045">
        <v>0.89293637240029866</v>
      </c>
      <c r="J51" s="1045">
        <v>0.89293637240029866</v>
      </c>
      <c r="K51" s="1045">
        <v>0.89293637240029866</v>
      </c>
      <c r="L51" s="1045">
        <v>0.89293637240029866</v>
      </c>
      <c r="N51" s="581" t="s">
        <v>493</v>
      </c>
      <c r="O51" s="585">
        <f t="shared" si="25"/>
        <v>-0.23870835321102221</v>
      </c>
      <c r="P51" s="585">
        <f t="shared" si="26"/>
        <v>-0.31299928098006191</v>
      </c>
      <c r="Q51" s="585">
        <f t="shared" si="27"/>
        <v>-0.31299928098006191</v>
      </c>
      <c r="R51" s="585">
        <f>(H51-$D51)/$D51</f>
        <v>-0.31299928098006191</v>
      </c>
      <c r="S51" s="585">
        <f t="shared" si="29"/>
        <v>-0.31299928098006191</v>
      </c>
      <c r="T51" s="585">
        <f t="shared" si="30"/>
        <v>-0.31299928098006191</v>
      </c>
      <c r="U51" s="585">
        <f t="shared" si="24"/>
        <v>-0.31299928098006191</v>
      </c>
      <c r="V51" s="585">
        <f t="shared" si="24"/>
        <v>-0.31299928098006191</v>
      </c>
    </row>
    <row r="52" spans="3:22">
      <c r="C52" s="581" t="s">
        <v>494</v>
      </c>
      <c r="D52" s="1017">
        <v>92.466403042528569</v>
      </c>
      <c r="E52" s="1048">
        <v>98.488259319347335</v>
      </c>
      <c r="F52" s="1048">
        <v>104.65215822625268</v>
      </c>
      <c r="G52" s="1048">
        <v>109.5770692218323</v>
      </c>
      <c r="H52" s="1048">
        <v>114.13795882177016</v>
      </c>
      <c r="I52" s="1048">
        <v>119.14811255340342</v>
      </c>
      <c r="J52" s="1048">
        <v>123.88549890747726</v>
      </c>
      <c r="K52" s="1048">
        <v>128.2139162509838</v>
      </c>
      <c r="L52" s="1048">
        <v>132.10035626498936</v>
      </c>
      <c r="N52" s="581" t="s">
        <v>494</v>
      </c>
      <c r="O52" s="585">
        <f t="shared" si="25"/>
        <v>6.5124802941119081E-2</v>
      </c>
      <c r="P52" s="585">
        <f t="shared" si="26"/>
        <v>0.13178575983018884</v>
      </c>
      <c r="Q52" s="585">
        <f t="shared" si="27"/>
        <v>0.18504738603743387</v>
      </c>
      <c r="R52" s="585">
        <f t="shared" si="28"/>
        <v>0.23437221592013341</v>
      </c>
      <c r="S52" s="585">
        <f t="shared" si="29"/>
        <v>0.28855572005545616</v>
      </c>
      <c r="T52" s="585">
        <f t="shared" si="30"/>
        <v>0.33978931623952036</v>
      </c>
      <c r="U52" s="585">
        <f t="shared" si="24"/>
        <v>0.38660001938232297</v>
      </c>
      <c r="V52" s="585">
        <f t="shared" si="24"/>
        <v>0.42863085313518395</v>
      </c>
    </row>
    <row r="53" spans="3:22">
      <c r="C53" s="581" t="s">
        <v>495</v>
      </c>
      <c r="D53" s="1019">
        <v>29080.345605956729</v>
      </c>
      <c r="E53" s="1046">
        <v>30159.477882709136</v>
      </c>
      <c r="F53" s="1046">
        <v>28178.962282403125</v>
      </c>
      <c r="G53" s="1046">
        <v>26027.94021749586</v>
      </c>
      <c r="H53" s="1046">
        <v>24390.234115858584</v>
      </c>
      <c r="I53" s="1046">
        <v>23628.94815344091</v>
      </c>
      <c r="J53" s="1046">
        <v>23324.851271050735</v>
      </c>
      <c r="K53" s="1046">
        <v>23054.188001518964</v>
      </c>
      <c r="L53" s="1046">
        <v>22897.03818984548</v>
      </c>
      <c r="N53" s="581" t="s">
        <v>495</v>
      </c>
      <c r="O53" s="585">
        <f t="shared" si="25"/>
        <v>3.7108646897626996E-2</v>
      </c>
      <c r="P53" s="585">
        <f t="shared" si="26"/>
        <v>-3.0996307119849614E-2</v>
      </c>
      <c r="Q53" s="585">
        <f t="shared" si="27"/>
        <v>-0.10496454993422169</v>
      </c>
      <c r="R53" s="585">
        <f t="shared" si="28"/>
        <v>-0.16128114684914324</v>
      </c>
      <c r="S53" s="585">
        <f t="shared" si="29"/>
        <v>-0.18745985781541646</v>
      </c>
      <c r="T53" s="585">
        <f t="shared" si="30"/>
        <v>-0.19791698533758334</v>
      </c>
      <c r="U53" s="585">
        <f t="shared" si="24"/>
        <v>-0.20722441493966928</v>
      </c>
      <c r="V53" s="585">
        <f t="shared" si="24"/>
        <v>-0.21262840201062394</v>
      </c>
    </row>
    <row r="54" spans="3:22">
      <c r="C54" s="581" t="s">
        <v>496</v>
      </c>
      <c r="D54" s="1017">
        <v>95.750858239120461</v>
      </c>
      <c r="E54" s="1047">
        <v>89.028057295545707</v>
      </c>
      <c r="F54" s="1047">
        <v>59.916232972670564</v>
      </c>
      <c r="G54" s="1047">
        <v>42.941469743522887</v>
      </c>
      <c r="H54" s="1047">
        <v>36.637786240588618</v>
      </c>
      <c r="I54" s="1047">
        <v>35.575532680243967</v>
      </c>
      <c r="J54" s="1047">
        <v>35.352175590303958</v>
      </c>
      <c r="K54" s="1047">
        <v>34.912438742373304</v>
      </c>
      <c r="L54" s="1047">
        <v>34.63049431572253</v>
      </c>
      <c r="N54" s="581" t="s">
        <v>496</v>
      </c>
      <c r="O54" s="585">
        <f t="shared" si="25"/>
        <v>-7.0211390970363663E-2</v>
      </c>
      <c r="P54" s="585">
        <f t="shared" si="26"/>
        <v>-0.37424860649248071</v>
      </c>
      <c r="Q54" s="585">
        <f t="shared" si="27"/>
        <v>-0.5515291399656771</v>
      </c>
      <c r="R54" s="585">
        <f t="shared" si="28"/>
        <v>-0.61736336452366447</v>
      </c>
      <c r="S54" s="585">
        <f t="shared" si="29"/>
        <v>-0.62845729704687858</v>
      </c>
      <c r="T54" s="585">
        <f t="shared" si="30"/>
        <v>-0.63078998726028868</v>
      </c>
      <c r="U54" s="585">
        <f t="shared" si="24"/>
        <v>-0.63538249803269853</v>
      </c>
      <c r="V54" s="585">
        <f t="shared" si="24"/>
        <v>-0.63832706095188063</v>
      </c>
    </row>
    <row r="55" spans="3:22">
      <c r="C55" s="581" t="s">
        <v>497</v>
      </c>
      <c r="D55" s="1017">
        <v>2.7917742365329734</v>
      </c>
      <c r="E55" s="1044">
        <v>1.6956074201550768</v>
      </c>
      <c r="F55" s="1044">
        <v>0.5923713337977542</v>
      </c>
      <c r="G55" s="1044">
        <v>0.26129233240990235</v>
      </c>
      <c r="H55" s="1044">
        <v>0.21419726689387261</v>
      </c>
      <c r="I55" s="1044">
        <v>0.20994975737765501</v>
      </c>
      <c r="J55" s="1044">
        <v>0.20898420871924267</v>
      </c>
      <c r="K55" s="1044">
        <v>0.20663411842553306</v>
      </c>
      <c r="L55" s="1044">
        <v>0.20592795820151219</v>
      </c>
      <c r="N55" s="581" t="s">
        <v>497</v>
      </c>
      <c r="O55" s="585">
        <f t="shared" si="25"/>
        <v>-0.39264164058595069</v>
      </c>
      <c r="P55" s="585">
        <f t="shared" si="26"/>
        <v>-0.78781545941429576</v>
      </c>
      <c r="Q55" s="585">
        <f t="shared" si="27"/>
        <v>-0.9064063529956512</v>
      </c>
      <c r="R55" s="585">
        <f t="shared" si="28"/>
        <v>-0.92327557719714526</v>
      </c>
      <c r="S55" s="585">
        <f t="shared" si="29"/>
        <v>-0.92479701451848562</v>
      </c>
      <c r="T55" s="585">
        <f t="shared" si="30"/>
        <v>-0.92514286936798495</v>
      </c>
      <c r="U55" s="585">
        <f t="shared" si="24"/>
        <v>-0.92598466032047555</v>
      </c>
      <c r="V55" s="585">
        <f t="shared" si="24"/>
        <v>-0.92623760349001272</v>
      </c>
    </row>
    <row r="56" spans="3:22">
      <c r="C56" s="581" t="s">
        <v>498</v>
      </c>
      <c r="D56" s="1017">
        <v>24.621888032380784</v>
      </c>
      <c r="E56" s="1048">
        <v>21.372414936023187</v>
      </c>
      <c r="F56" s="1048">
        <v>22.434558912963666</v>
      </c>
      <c r="G56" s="1048">
        <v>23.245455980781603</v>
      </c>
      <c r="H56" s="1048">
        <v>23.942256832132575</v>
      </c>
      <c r="I56" s="1048">
        <v>24.721381348613324</v>
      </c>
      <c r="J56" s="1048">
        <v>25.35826949165401</v>
      </c>
      <c r="K56" s="1048">
        <v>25.890630030775423</v>
      </c>
      <c r="L56" s="1048">
        <v>26.354388557941476</v>
      </c>
      <c r="N56" s="581" t="s">
        <v>498</v>
      </c>
      <c r="O56" s="585">
        <f t="shared" si="25"/>
        <v>-0.13197497657710669</v>
      </c>
      <c r="P56" s="585">
        <f t="shared" si="26"/>
        <v>-8.8836774683586958E-2</v>
      </c>
      <c r="Q56" s="585">
        <f t="shared" si="27"/>
        <v>-5.5902782507539849E-2</v>
      </c>
      <c r="R56" s="585">
        <f t="shared" si="28"/>
        <v>-2.7602724833871869E-2</v>
      </c>
      <c r="S56" s="585">
        <f t="shared" si="29"/>
        <v>4.0408483744907662E-3</v>
      </c>
      <c r="T56" s="585">
        <f t="shared" si="30"/>
        <v>2.9907595156991779E-2</v>
      </c>
      <c r="U56" s="585">
        <f t="shared" si="24"/>
        <v>5.1529029647364492E-2</v>
      </c>
      <c r="V56" s="585">
        <f t="shared" si="24"/>
        <v>7.0364243525201736E-2</v>
      </c>
    </row>
    <row r="57" spans="3:22">
      <c r="C57" s="581" t="s">
        <v>499</v>
      </c>
      <c r="D57" s="1020">
        <v>23.203577245500352</v>
      </c>
      <c r="E57" s="1048">
        <v>24.043174498233707</v>
      </c>
      <c r="F57" s="1048">
        <v>23.873267198283379</v>
      </c>
      <c r="G57" s="1048">
        <v>23.742304957227876</v>
      </c>
      <c r="H57" s="1048">
        <v>23.63101264746108</v>
      </c>
      <c r="I57" s="1048">
        <v>23.51039915489563</v>
      </c>
      <c r="J57" s="1048">
        <v>23.416333617462957</v>
      </c>
      <c r="K57" s="1048">
        <v>23.33932080191644</v>
      </c>
      <c r="L57" s="1048">
        <v>23.270727460844782</v>
      </c>
      <c r="N57" s="581" t="s">
        <v>499</v>
      </c>
      <c r="O57" s="585">
        <f t="shared" si="25"/>
        <v>3.6183957492854711E-2</v>
      </c>
      <c r="P57" s="585">
        <f t="shared" si="26"/>
        <v>2.8861496039921782E-2</v>
      </c>
      <c r="Q57" s="585">
        <f t="shared" si="27"/>
        <v>2.3217442122291508E-2</v>
      </c>
      <c r="R57" s="585">
        <f t="shared" si="28"/>
        <v>1.8421099360600407E-2</v>
      </c>
      <c r="S57" s="585">
        <f t="shared" si="29"/>
        <v>1.3223043419082179E-2</v>
      </c>
      <c r="T57" s="585">
        <f t="shared" si="30"/>
        <v>9.1691194728977903E-3</v>
      </c>
      <c r="U57" s="585">
        <f t="shared" si="24"/>
        <v>5.8501133243328458E-3</v>
      </c>
      <c r="V57" s="585">
        <f t="shared" si="24"/>
        <v>2.8939596095016733E-3</v>
      </c>
    </row>
    <row r="58" spans="3:22">
      <c r="C58" s="581" t="s">
        <v>77</v>
      </c>
      <c r="D58" s="1020"/>
      <c r="E58" s="1015"/>
      <c r="F58" s="1015"/>
      <c r="G58" s="1015"/>
      <c r="H58" s="1015"/>
      <c r="I58" s="1015"/>
      <c r="J58" s="1015"/>
    </row>
    <row r="59" spans="3:22">
      <c r="C59" s="579" t="s">
        <v>502</v>
      </c>
      <c r="D59" s="1017" t="s">
        <v>503</v>
      </c>
      <c r="E59" s="1017">
        <f>IFERROR(1+O59,"")</f>
        <v>1</v>
      </c>
      <c r="F59" s="1017">
        <f t="shared" ref="F59:J70" si="31">IFERROR(1+P59,"")</f>
        <v>1.0704856252625385</v>
      </c>
      <c r="G59" s="1017">
        <f t="shared" si="31"/>
        <v>1.1232044838667272</v>
      </c>
      <c r="H59" s="1017">
        <f t="shared" si="31"/>
        <v>1.1708498299921166</v>
      </c>
      <c r="I59" s="1017">
        <f t="shared" si="31"/>
        <v>1.2216164242610357</v>
      </c>
      <c r="J59" s="1017">
        <f t="shared" si="31"/>
        <v>1.2662096661592848</v>
      </c>
      <c r="K59" s="1017">
        <f t="shared" ref="K59" si="32">IFERROR(1+U59,"")</f>
        <v>1.3061404488499389</v>
      </c>
      <c r="L59" s="1017">
        <f t="shared" ref="L59" si="33">IFERROR(1+V59,"")</f>
        <v>1.3423044485452182</v>
      </c>
      <c r="M59" s="579"/>
      <c r="N59" s="579" t="s">
        <v>504</v>
      </c>
      <c r="O59" s="1021">
        <v>0</v>
      </c>
      <c r="P59" s="1049">
        <v>7.0485625262538529E-2</v>
      </c>
      <c r="Q59" s="1049">
        <v>0.12320448386672724</v>
      </c>
      <c r="R59" s="1049">
        <v>0.1708498299921167</v>
      </c>
      <c r="S59" s="1049">
        <v>0.2216164242610357</v>
      </c>
      <c r="T59" s="1049">
        <v>0.26620966615928482</v>
      </c>
      <c r="U59" s="1049">
        <v>0.30614044884993891</v>
      </c>
      <c r="V59" s="1049">
        <v>0.34230444854521835</v>
      </c>
    </row>
    <row r="60" spans="3:22">
      <c r="C60" s="579" t="s">
        <v>505</v>
      </c>
      <c r="D60" s="1017" t="s">
        <v>503</v>
      </c>
      <c r="E60" s="1017">
        <f t="shared" ref="E60:E70" si="34">IFERROR(1+O60,"")</f>
        <v>1</v>
      </c>
      <c r="F60" s="1017">
        <f t="shared" si="31"/>
        <v>1.1013101404174495</v>
      </c>
      <c r="G60" s="1017">
        <f t="shared" si="31"/>
        <v>1.1595679134794232</v>
      </c>
      <c r="H60" s="1017">
        <f t="shared" si="31"/>
        <v>1.222858725921641</v>
      </c>
      <c r="I60" s="1017">
        <f t="shared" si="31"/>
        <v>1.3083111430931291</v>
      </c>
      <c r="J60" s="1017">
        <f t="shared" ref="J60:J70" si="35">IFERROR(1+T60,"")</f>
        <v>1.3932190219343203</v>
      </c>
      <c r="K60" s="1017">
        <f t="shared" ref="K60:K70" si="36">IFERROR(1+U60,"")</f>
        <v>1.4642966620947009</v>
      </c>
      <c r="L60" s="1017">
        <f t="shared" ref="L60:L70" si="37">IFERROR(1+V60,"")</f>
        <v>1.5205463383136695</v>
      </c>
      <c r="M60" s="579"/>
      <c r="N60" s="579" t="s">
        <v>506</v>
      </c>
      <c r="O60" s="1021">
        <v>0</v>
      </c>
      <c r="P60" s="1049">
        <v>0.1013101404174494</v>
      </c>
      <c r="Q60" s="1049">
        <v>0.15956791347942328</v>
      </c>
      <c r="R60" s="1049">
        <v>0.22285872592164091</v>
      </c>
      <c r="S60" s="1049">
        <v>0.30831114309312907</v>
      </c>
      <c r="T60" s="1049">
        <v>0.39321902193432035</v>
      </c>
      <c r="U60" s="1049">
        <v>0.46429666209470077</v>
      </c>
      <c r="V60" s="1049">
        <v>0.52054633831366959</v>
      </c>
    </row>
    <row r="61" spans="3:22">
      <c r="C61" s="579" t="s">
        <v>507</v>
      </c>
      <c r="D61" s="1017" t="s">
        <v>503</v>
      </c>
      <c r="E61" s="1017">
        <f t="shared" si="34"/>
        <v>1</v>
      </c>
      <c r="F61" s="1017" t="str">
        <f t="shared" si="31"/>
        <v/>
      </c>
      <c r="G61" s="1017" t="str">
        <f t="shared" si="31"/>
        <v/>
      </c>
      <c r="H61" s="1017" t="str">
        <f t="shared" si="31"/>
        <v/>
      </c>
      <c r="I61" s="1017" t="str">
        <f t="shared" si="31"/>
        <v/>
      </c>
      <c r="J61" s="1017" t="str">
        <f t="shared" si="35"/>
        <v/>
      </c>
      <c r="K61" s="1017" t="str">
        <f t="shared" si="36"/>
        <v/>
      </c>
      <c r="L61" s="1017" t="str">
        <f t="shared" si="37"/>
        <v/>
      </c>
      <c r="M61" s="579"/>
      <c r="N61" s="579" t="s">
        <v>508</v>
      </c>
      <c r="O61" s="1021">
        <v>0</v>
      </c>
      <c r="P61" s="1050" t="s">
        <v>503</v>
      </c>
      <c r="Q61" s="1050" t="s">
        <v>503</v>
      </c>
      <c r="R61" s="1050" t="s">
        <v>503</v>
      </c>
      <c r="S61" s="1050" t="s">
        <v>503</v>
      </c>
      <c r="T61" s="1050" t="s">
        <v>503</v>
      </c>
      <c r="U61" s="1050" t="s">
        <v>503</v>
      </c>
      <c r="V61" s="1050" t="s">
        <v>503</v>
      </c>
    </row>
    <row r="62" spans="3:22">
      <c r="C62" s="579" t="s">
        <v>509</v>
      </c>
      <c r="D62" s="1017" t="s">
        <v>503</v>
      </c>
      <c r="E62" s="1017">
        <f t="shared" si="34"/>
        <v>1</v>
      </c>
      <c r="F62" s="1017" t="str">
        <f t="shared" si="31"/>
        <v/>
      </c>
      <c r="G62" s="1017" t="str">
        <f t="shared" si="31"/>
        <v/>
      </c>
      <c r="H62" s="1017" t="str">
        <f t="shared" si="31"/>
        <v/>
      </c>
      <c r="I62" s="1017" t="str">
        <f t="shared" si="31"/>
        <v/>
      </c>
      <c r="J62" s="1017" t="str">
        <f t="shared" si="35"/>
        <v/>
      </c>
      <c r="K62" s="1017" t="str">
        <f t="shared" si="36"/>
        <v/>
      </c>
      <c r="L62" s="1017" t="str">
        <f t="shared" si="37"/>
        <v/>
      </c>
      <c r="M62" s="579"/>
      <c r="N62" s="579" t="s">
        <v>510</v>
      </c>
      <c r="O62" s="1021">
        <v>0</v>
      </c>
      <c r="P62" s="1050" t="s">
        <v>503</v>
      </c>
      <c r="Q62" s="1050" t="s">
        <v>503</v>
      </c>
      <c r="R62" s="1050" t="s">
        <v>503</v>
      </c>
      <c r="S62" s="1050" t="s">
        <v>503</v>
      </c>
      <c r="T62" s="1050" t="s">
        <v>503</v>
      </c>
      <c r="U62" s="1050" t="s">
        <v>503</v>
      </c>
      <c r="V62" s="1050" t="s">
        <v>503</v>
      </c>
    </row>
    <row r="63" spans="3:22">
      <c r="C63" s="579" t="s">
        <v>511</v>
      </c>
      <c r="D63" s="1017" t="s">
        <v>503</v>
      </c>
      <c r="E63" s="1017">
        <f t="shared" si="34"/>
        <v>1</v>
      </c>
      <c r="F63" s="1017">
        <f t="shared" si="31"/>
        <v>0.91146037889689346</v>
      </c>
      <c r="G63" s="1017">
        <f t="shared" si="31"/>
        <v>0.91146037889689346</v>
      </c>
      <c r="H63" s="1017">
        <f t="shared" si="31"/>
        <v>0.91146037889689346</v>
      </c>
      <c r="I63" s="1017">
        <f t="shared" si="31"/>
        <v>0.91146037889689346</v>
      </c>
      <c r="J63" s="1017">
        <f t="shared" si="35"/>
        <v>0.91146037889689346</v>
      </c>
      <c r="K63" s="1017">
        <f t="shared" si="36"/>
        <v>0.91146037889689346</v>
      </c>
      <c r="L63" s="1017">
        <f t="shared" si="37"/>
        <v>0.91146037889689346</v>
      </c>
      <c r="M63" s="579"/>
      <c r="N63" s="579" t="s">
        <v>512</v>
      </c>
      <c r="O63" s="1021">
        <v>0</v>
      </c>
      <c r="P63" s="1049">
        <v>-8.8539621103106578E-2</v>
      </c>
      <c r="Q63" s="1049">
        <v>-8.8539621103106578E-2</v>
      </c>
      <c r="R63" s="1049">
        <v>-8.8539621103106578E-2</v>
      </c>
      <c r="S63" s="1049">
        <v>-8.8539621103106578E-2</v>
      </c>
      <c r="T63" s="1049">
        <v>-8.8539621103106578E-2</v>
      </c>
      <c r="U63" s="1049">
        <v>-8.8539621103106578E-2</v>
      </c>
      <c r="V63" s="1049">
        <v>-8.8539621103106578E-2</v>
      </c>
    </row>
    <row r="64" spans="3:22">
      <c r="C64" s="579" t="s">
        <v>500</v>
      </c>
      <c r="D64" s="1017" t="s">
        <v>503</v>
      </c>
      <c r="E64" s="1017">
        <f t="shared" si="34"/>
        <v>1</v>
      </c>
      <c r="F64" s="1017">
        <f t="shared" si="31"/>
        <v>0.99884575408872178</v>
      </c>
      <c r="G64" s="1017">
        <f t="shared" si="31"/>
        <v>1.0016819330357063</v>
      </c>
      <c r="H64" s="1017">
        <f t="shared" si="31"/>
        <v>1.0113919329529517</v>
      </c>
      <c r="I64" s="1017">
        <f t="shared" si="31"/>
        <v>1.0296439414336944</v>
      </c>
      <c r="J64" s="1017">
        <f t="shared" si="35"/>
        <v>1.0499381652376352</v>
      </c>
      <c r="K64" s="1017">
        <f t="shared" si="36"/>
        <v>1.0695855991262619</v>
      </c>
      <c r="L64" s="1017">
        <f t="shared" si="37"/>
        <v>1.0883539353565326</v>
      </c>
      <c r="M64" s="579"/>
      <c r="N64" s="579" t="s">
        <v>513</v>
      </c>
      <c r="O64" s="1021">
        <v>0</v>
      </c>
      <c r="P64" s="1049">
        <v>-1.1542459112782203E-3</v>
      </c>
      <c r="Q64" s="1049">
        <v>1.6819330357062913E-3</v>
      </c>
      <c r="R64" s="1049">
        <v>1.1391932952951659E-2</v>
      </c>
      <c r="S64" s="1049">
        <v>2.9643941433694365E-2</v>
      </c>
      <c r="T64" s="1049">
        <v>4.9938165237635224E-2</v>
      </c>
      <c r="U64" s="1049">
        <v>6.958559912626186E-2</v>
      </c>
      <c r="V64" s="1049">
        <v>8.8353935356532479E-2</v>
      </c>
    </row>
    <row r="65" spans="3:22">
      <c r="C65" s="579" t="s">
        <v>514</v>
      </c>
      <c r="D65" s="1017" t="s">
        <v>503</v>
      </c>
      <c r="E65" s="1017">
        <f t="shared" si="34"/>
        <v>1</v>
      </c>
      <c r="F65" s="1017">
        <f t="shared" si="31"/>
        <v>1.0700047422008057</v>
      </c>
      <c r="G65" s="1017">
        <f t="shared" si="31"/>
        <v>1.1204879018053808</v>
      </c>
      <c r="H65" s="1017">
        <f t="shared" si="31"/>
        <v>1.1680729069600702</v>
      </c>
      <c r="I65" s="1017">
        <f t="shared" si="31"/>
        <v>1.2218727468829913</v>
      </c>
      <c r="J65" s="1017">
        <f t="shared" si="35"/>
        <v>1.2708202697076263</v>
      </c>
      <c r="K65" s="1017">
        <f t="shared" si="36"/>
        <v>1.3139911958247583</v>
      </c>
      <c r="L65" s="1017">
        <f t="shared" si="37"/>
        <v>1.3519327375725407</v>
      </c>
      <c r="M65" s="579"/>
      <c r="N65" s="579" t="s">
        <v>515</v>
      </c>
      <c r="O65" s="1021">
        <v>0</v>
      </c>
      <c r="P65" s="1049">
        <v>7.0004742200805631E-2</v>
      </c>
      <c r="Q65" s="1049">
        <v>0.12048790180538076</v>
      </c>
      <c r="R65" s="1049">
        <v>0.16807290696007027</v>
      </c>
      <c r="S65" s="1049">
        <v>0.22187274688299125</v>
      </c>
      <c r="T65" s="1049">
        <v>0.27082026970762624</v>
      </c>
      <c r="U65" s="1049">
        <v>0.31399119582475832</v>
      </c>
      <c r="V65" s="1049">
        <v>0.35193273757254079</v>
      </c>
    </row>
    <row r="66" spans="3:22">
      <c r="C66" s="579" t="s">
        <v>516</v>
      </c>
      <c r="D66" s="1017" t="s">
        <v>503</v>
      </c>
      <c r="E66" s="1017">
        <f t="shared" si="34"/>
        <v>1</v>
      </c>
      <c r="F66" s="1017">
        <f t="shared" si="31"/>
        <v>0.93383812551403489</v>
      </c>
      <c r="G66" s="1017">
        <f t="shared" si="31"/>
        <v>0.86963537109348532</v>
      </c>
      <c r="H66" s="1017">
        <f t="shared" si="31"/>
        <v>0.8229592001538395</v>
      </c>
      <c r="I66" s="1017">
        <f t="shared" si="31"/>
        <v>0.80222655287491818</v>
      </c>
      <c r="J66" s="1017">
        <f t="shared" si="35"/>
        <v>0.79348104003066988</v>
      </c>
      <c r="K66" s="1017">
        <f t="shared" si="36"/>
        <v>0.78538178848378715</v>
      </c>
      <c r="L66" s="1017">
        <f t="shared" si="37"/>
        <v>0.78145191294248106</v>
      </c>
      <c r="M66" s="579"/>
      <c r="N66" s="579" t="s">
        <v>517</v>
      </c>
      <c r="O66" s="1021">
        <v>0</v>
      </c>
      <c r="P66" s="1049">
        <v>-6.6161874485965153E-2</v>
      </c>
      <c r="Q66" s="1049">
        <v>-0.13036462890651468</v>
      </c>
      <c r="R66" s="1049">
        <v>-0.17704079984616045</v>
      </c>
      <c r="S66" s="1049">
        <v>-0.19777344712508177</v>
      </c>
      <c r="T66" s="1049">
        <v>-0.20651895996933015</v>
      </c>
      <c r="U66" s="1049">
        <v>-0.21461821151621288</v>
      </c>
      <c r="V66" s="1049">
        <v>-0.21854808705751891</v>
      </c>
    </row>
    <row r="67" spans="3:22">
      <c r="C67" s="579" t="s">
        <v>518</v>
      </c>
      <c r="D67" s="1017" t="s">
        <v>503</v>
      </c>
      <c r="E67" s="1017">
        <f t="shared" si="34"/>
        <v>1</v>
      </c>
      <c r="F67" s="1017">
        <f t="shared" si="31"/>
        <v>0.63424195928618465</v>
      </c>
      <c r="G67" s="1017">
        <f t="shared" si="31"/>
        <v>0.45340368845902579</v>
      </c>
      <c r="H67" s="1017">
        <f t="shared" si="31"/>
        <v>0.38793876118185555</v>
      </c>
      <c r="I67" s="1017">
        <f t="shared" si="31"/>
        <v>0.37716984656381336</v>
      </c>
      <c r="J67" s="1017">
        <f t="shared" si="35"/>
        <v>0.37446710780638448</v>
      </c>
      <c r="K67" s="1017">
        <f t="shared" si="36"/>
        <v>0.36937794520737244</v>
      </c>
      <c r="L67" s="1017">
        <f t="shared" si="37"/>
        <v>0.36600539540288601</v>
      </c>
      <c r="M67" s="579"/>
      <c r="N67" s="579" t="s">
        <v>519</v>
      </c>
      <c r="O67" s="1021">
        <v>0</v>
      </c>
      <c r="P67" s="1049">
        <v>-0.36575804071381535</v>
      </c>
      <c r="Q67" s="1049">
        <v>-0.54659631154097421</v>
      </c>
      <c r="R67" s="1049">
        <v>-0.61206123881814445</v>
      </c>
      <c r="S67" s="1049">
        <v>-0.62283015343618664</v>
      </c>
      <c r="T67" s="1049">
        <v>-0.62553289219361552</v>
      </c>
      <c r="U67" s="1049">
        <v>-0.63062205479262756</v>
      </c>
      <c r="V67" s="1049">
        <v>-0.63399460459711399</v>
      </c>
    </row>
    <row r="68" spans="3:22">
      <c r="C68" s="579" t="s">
        <v>520</v>
      </c>
      <c r="D68" s="1017" t="s">
        <v>503</v>
      </c>
      <c r="E68" s="1017">
        <f t="shared" si="34"/>
        <v>1</v>
      </c>
      <c r="F68" s="1017">
        <f t="shared" si="31"/>
        <v>0.34210300649798264</v>
      </c>
      <c r="G68" s="1017">
        <f t="shared" si="31"/>
        <v>0.15832435654523913</v>
      </c>
      <c r="H68" s="1017">
        <f t="shared" si="31"/>
        <v>0.13340684359753885</v>
      </c>
      <c r="I68" s="1017">
        <f t="shared" si="31"/>
        <v>0.13169374261106659</v>
      </c>
      <c r="J68" s="1017">
        <f t="shared" si="35"/>
        <v>0.13123085328929085</v>
      </c>
      <c r="K68" s="1017">
        <f t="shared" si="36"/>
        <v>0.12979610348397064</v>
      </c>
      <c r="L68" s="1017">
        <f t="shared" si="37"/>
        <v>0.12935270570743707</v>
      </c>
      <c r="M68" s="579"/>
      <c r="N68" s="579" t="s">
        <v>521</v>
      </c>
      <c r="O68" s="1021">
        <v>0</v>
      </c>
      <c r="P68" s="1049">
        <v>-0.65789699350201736</v>
      </c>
      <c r="Q68" s="1049">
        <v>-0.84167564345476087</v>
      </c>
      <c r="R68" s="1049">
        <v>-0.86659315640246115</v>
      </c>
      <c r="S68" s="1049">
        <v>-0.86830625738893341</v>
      </c>
      <c r="T68" s="1049">
        <v>-0.86876914671070915</v>
      </c>
      <c r="U68" s="1049">
        <v>-0.87020389651602936</v>
      </c>
      <c r="V68" s="1049">
        <v>-0.87064729429256293</v>
      </c>
    </row>
    <row r="69" spans="3:22">
      <c r="C69" s="579" t="s">
        <v>522</v>
      </c>
      <c r="D69" s="1017" t="s">
        <v>503</v>
      </c>
      <c r="E69" s="1017">
        <f t="shared" si="34"/>
        <v>1</v>
      </c>
      <c r="F69" s="1017" t="str">
        <f t="shared" si="31"/>
        <v/>
      </c>
      <c r="G69" s="1017" t="str">
        <f t="shared" si="31"/>
        <v/>
      </c>
      <c r="H69" s="1017" t="str">
        <f t="shared" si="31"/>
        <v/>
      </c>
      <c r="I69" s="1017" t="str">
        <f t="shared" si="31"/>
        <v/>
      </c>
      <c r="J69" s="1017" t="str">
        <f t="shared" si="35"/>
        <v/>
      </c>
      <c r="K69" s="1017" t="str">
        <f t="shared" si="36"/>
        <v/>
      </c>
      <c r="L69" s="1017" t="str">
        <f t="shared" si="37"/>
        <v/>
      </c>
      <c r="M69" s="579"/>
      <c r="N69" s="579" t="s">
        <v>523</v>
      </c>
      <c r="O69" s="1021">
        <v>0</v>
      </c>
      <c r="P69" s="1051" t="s">
        <v>503</v>
      </c>
      <c r="Q69" s="1051" t="s">
        <v>503</v>
      </c>
      <c r="R69" s="1051" t="s">
        <v>503</v>
      </c>
      <c r="S69" s="1051" t="s">
        <v>503</v>
      </c>
      <c r="T69" s="1051" t="s">
        <v>503</v>
      </c>
      <c r="U69" s="1051" t="s">
        <v>503</v>
      </c>
      <c r="V69" s="1051" t="s">
        <v>503</v>
      </c>
    </row>
    <row r="70" spans="3:22">
      <c r="C70" s="579" t="s">
        <v>524</v>
      </c>
      <c r="D70" s="1017" t="s">
        <v>503</v>
      </c>
      <c r="E70" s="1017">
        <f t="shared" si="34"/>
        <v>1</v>
      </c>
      <c r="F70" s="1017">
        <f t="shared" si="31"/>
        <v>0.99476363468114859</v>
      </c>
      <c r="G70" s="1017">
        <f t="shared" si="31"/>
        <v>0.98872483114220422</v>
      </c>
      <c r="H70" s="1017">
        <f t="shared" si="31"/>
        <v>0.98088888897717841</v>
      </c>
      <c r="I70" s="1017">
        <f t="shared" si="31"/>
        <v>0.97150414921250405</v>
      </c>
      <c r="J70" s="1017">
        <f t="shared" si="35"/>
        <v>0.96221437942846633</v>
      </c>
      <c r="K70" s="1017">
        <f t="shared" si="36"/>
        <v>0.95354023096618057</v>
      </c>
      <c r="L70" s="1017">
        <f t="shared" si="37"/>
        <v>0.94554955286737186</v>
      </c>
      <c r="M70" s="579"/>
      <c r="N70" s="579" t="s">
        <v>525</v>
      </c>
      <c r="O70" s="1021">
        <v>0</v>
      </c>
      <c r="P70" s="1049">
        <v>-5.236365318851458E-3</v>
      </c>
      <c r="Q70" s="1049">
        <v>-1.1275168857795802E-2</v>
      </c>
      <c r="R70" s="1049">
        <v>-1.911111102282163E-2</v>
      </c>
      <c r="S70" s="1049">
        <v>-2.8495850787495971E-2</v>
      </c>
      <c r="T70" s="1049">
        <v>-3.7785620571533653E-2</v>
      </c>
      <c r="U70" s="1049">
        <v>-4.6459769033819404E-2</v>
      </c>
      <c r="V70" s="1049">
        <v>-5.4450447132628192E-2</v>
      </c>
    </row>
    <row r="71" spans="3:22">
      <c r="E71" s="1016"/>
      <c r="F71" s="1016"/>
      <c r="G71" s="1016"/>
      <c r="H71" s="1016"/>
      <c r="I71" s="1016"/>
      <c r="J71" s="1016"/>
    </row>
    <row r="72" spans="3:22">
      <c r="E72" s="1016"/>
      <c r="F72" s="1016"/>
      <c r="G72" s="1016"/>
      <c r="H72" s="1016"/>
      <c r="I72" s="1016"/>
      <c r="J72" s="1016"/>
    </row>
    <row r="73" spans="3:22">
      <c r="E73" s="1016"/>
      <c r="F73" s="1016"/>
      <c r="G73" s="1016"/>
      <c r="H73" s="1016"/>
      <c r="I73" s="1016"/>
      <c r="J73" s="1016"/>
    </row>
    <row r="74" spans="3:22">
      <c r="E74" s="1016"/>
      <c r="F74" s="1016"/>
      <c r="G74" s="1016"/>
      <c r="H74" s="1016"/>
      <c r="I74" s="1016"/>
      <c r="J74" s="1016"/>
    </row>
    <row r="75" spans="3:22">
      <c r="E75" s="1016"/>
      <c r="F75" s="1016"/>
      <c r="G75" s="1016"/>
      <c r="H75" s="1016"/>
      <c r="I75" s="1016"/>
      <c r="J75" s="1016"/>
    </row>
    <row r="76" spans="3:22">
      <c r="C76" s="579" t="s">
        <v>502</v>
      </c>
      <c r="D76" s="1017">
        <v>206.7426068345595</v>
      </c>
      <c r="E76" s="1048">
        <v>226.16587764204507</v>
      </c>
      <c r="F76" s="1048">
        <v>242.10732094069542</v>
      </c>
      <c r="G76" s="1048">
        <v>254.03052786519862</v>
      </c>
      <c r="H76" s="1048">
        <v>264.80627938720636</v>
      </c>
      <c r="I76" s="1048">
        <v>276.28795073493404</v>
      </c>
      <c r="J76" s="1048">
        <v>286.37342042575557</v>
      </c>
      <c r="K76" s="1048">
        <v>295.40440093792114</v>
      </c>
      <c r="L76" s="1048">
        <v>303.58346366805063</v>
      </c>
      <c r="O76" s="585"/>
      <c r="P76" s="585"/>
      <c r="Q76" s="585"/>
      <c r="R76" s="585"/>
      <c r="S76" s="585"/>
      <c r="T76" s="585"/>
    </row>
    <row r="77" spans="3:22">
      <c r="C77" s="579" t="s">
        <v>505</v>
      </c>
      <c r="D77" s="1017">
        <v>35.074852706601511</v>
      </c>
      <c r="E77" s="1048">
        <v>42.569420381196537</v>
      </c>
      <c r="F77" s="1048">
        <v>46.882134337504993</v>
      </c>
      <c r="G77" s="1048">
        <v>49.362133969452508</v>
      </c>
      <c r="H77" s="1048">
        <v>52.056387170572734</v>
      </c>
      <c r="I77" s="1048">
        <v>55.694047039735189</v>
      </c>
      <c r="J77" s="1048">
        <v>59.308526227801565</v>
      </c>
      <c r="K77" s="1048">
        <v>62.334260171492211</v>
      </c>
      <c r="L77" s="1048">
        <v>64.728776284763697</v>
      </c>
      <c r="O77" s="585"/>
      <c r="P77" s="585"/>
      <c r="Q77" s="585"/>
      <c r="R77" s="585"/>
      <c r="S77" s="585"/>
      <c r="T77" s="585"/>
    </row>
    <row r="78" spans="3:22">
      <c r="C78" s="579" t="s">
        <v>507</v>
      </c>
      <c r="D78" s="1017">
        <v>8.2842686906152849</v>
      </c>
      <c r="E78" s="1014">
        <v>8.1447612830019711</v>
      </c>
      <c r="F78" s="1014">
        <v>8.4137153185361218</v>
      </c>
      <c r="G78" s="1014">
        <v>8.5578164094753966</v>
      </c>
      <c r="H78" s="1014">
        <v>8.7629177684888866</v>
      </c>
      <c r="I78" s="1014">
        <v>8.9167264394773351</v>
      </c>
      <c r="J78" s="1014">
        <v>9.0731768309330558</v>
      </c>
      <c r="O78" s="585"/>
      <c r="P78" s="585"/>
      <c r="Q78" s="585"/>
      <c r="R78" s="585"/>
      <c r="S78" s="585"/>
      <c r="T78" s="585"/>
    </row>
    <row r="79" spans="3:22">
      <c r="C79" s="579" t="s">
        <v>509</v>
      </c>
      <c r="D79" s="1017">
        <v>6.0251901917384831</v>
      </c>
      <c r="E79" s="1014">
        <v>6.1789762831429913</v>
      </c>
      <c r="F79" s="1014">
        <v>6.5530362093813652</v>
      </c>
      <c r="G79" s="1014">
        <v>6.9363617506074222</v>
      </c>
      <c r="H79" s="1014">
        <v>7.3313416771968996</v>
      </c>
      <c r="I79" s="1014">
        <v>7.824350669903664</v>
      </c>
      <c r="J79" s="1014">
        <v>8.3483936823290197</v>
      </c>
      <c r="O79" s="585"/>
      <c r="P79" s="585"/>
      <c r="Q79" s="585"/>
      <c r="R79" s="585"/>
      <c r="S79" s="585"/>
      <c r="T79" s="585"/>
    </row>
    <row r="80" spans="3:22">
      <c r="C80" s="579" t="s">
        <v>511</v>
      </c>
      <c r="D80" s="1017">
        <v>2.5602857751499672</v>
      </c>
      <c r="E80" s="1045">
        <v>2.3088694507455685</v>
      </c>
      <c r="F80" s="1045">
        <v>2.1044430244000178</v>
      </c>
      <c r="G80" s="1045">
        <v>2.1044430244000178</v>
      </c>
      <c r="H80" s="1045">
        <v>2.1044430244000178</v>
      </c>
      <c r="I80" s="1045">
        <v>2.1044430244000178</v>
      </c>
      <c r="J80" s="1045">
        <v>2.1044430244000178</v>
      </c>
      <c r="K80" s="1045">
        <v>2.1044430244000178</v>
      </c>
      <c r="L80" s="1045">
        <v>2.1044430244000178</v>
      </c>
      <c r="O80" s="585"/>
      <c r="P80" s="585"/>
      <c r="Q80" s="585"/>
      <c r="R80" s="585"/>
      <c r="S80" s="585"/>
      <c r="T80" s="585"/>
    </row>
    <row r="81" spans="3:20">
      <c r="C81" s="579" t="s">
        <v>500</v>
      </c>
      <c r="D81" s="1017">
        <f>D79+D78</f>
        <v>14.309458882353768</v>
      </c>
      <c r="E81" s="1048">
        <v>15.111987790930929</v>
      </c>
      <c r="F81" s="1048">
        <v>15.09454484081196</v>
      </c>
      <c r="G81" s="1048">
        <v>15.137405142431685</v>
      </c>
      <c r="H81" s="1048">
        <v>15.284142542631038</v>
      </c>
      <c r="I81" s="1048">
        <v>15.559966671951988</v>
      </c>
      <c r="J81" s="1048">
        <v>15.866652734303562</v>
      </c>
      <c r="K81" s="1048">
        <v>16.163564515351613</v>
      </c>
      <c r="L81" s="1048">
        <v>16.447191383319549</v>
      </c>
      <c r="O81" s="585"/>
      <c r="P81" s="585"/>
      <c r="Q81" s="585"/>
      <c r="R81" s="585"/>
      <c r="S81" s="585"/>
      <c r="T81" s="585"/>
    </row>
    <row r="82" spans="3:20">
      <c r="C82" s="579" t="s">
        <v>514</v>
      </c>
      <c r="D82" s="1017">
        <v>258.68720419866446</v>
      </c>
      <c r="E82" s="1048">
        <v>286.15615526491814</v>
      </c>
      <c r="F82" s="1048">
        <v>306.18844314341248</v>
      </c>
      <c r="G82" s="1048">
        <v>320.63451000148291</v>
      </c>
      <c r="H82" s="1048">
        <v>334.25125212481015</v>
      </c>
      <c r="I82" s="1048">
        <v>349.64640747102129</v>
      </c>
      <c r="J82" s="1048">
        <v>363.65304241226067</v>
      </c>
      <c r="K82" s="1048">
        <v>376.00666864916502</v>
      </c>
      <c r="L82" s="1048">
        <v>386.86387436053383</v>
      </c>
      <c r="O82" s="585"/>
      <c r="P82" s="585"/>
      <c r="Q82" s="585"/>
      <c r="R82" s="585"/>
      <c r="S82" s="585"/>
      <c r="T82" s="585"/>
    </row>
    <row r="83" spans="3:20">
      <c r="C83" s="579" t="s">
        <v>516</v>
      </c>
      <c r="D83" s="1019">
        <v>87459.572436903283</v>
      </c>
      <c r="E83" s="1046">
        <v>96167.05863702741</v>
      </c>
      <c r="F83" s="1046">
        <v>89804.465773799951</v>
      </c>
      <c r="G83" s="1046">
        <v>83630.275724780295</v>
      </c>
      <c r="H83" s="1046">
        <v>79141.565657075465</v>
      </c>
      <c r="I83" s="1046">
        <v>77147.767950502632</v>
      </c>
      <c r="J83" s="1046">
        <v>76306.737703998922</v>
      </c>
      <c r="K83" s="1046">
        <v>75527.856505573815</v>
      </c>
      <c r="L83" s="1046">
        <v>75149.931933956817</v>
      </c>
      <c r="O83" s="585"/>
      <c r="P83" s="585"/>
      <c r="Q83" s="585"/>
      <c r="R83" s="585"/>
      <c r="S83" s="585"/>
      <c r="T83" s="585"/>
    </row>
    <row r="84" spans="3:20">
      <c r="C84" s="579" t="s">
        <v>518</v>
      </c>
      <c r="D84" s="1017">
        <v>306.40417198610982</v>
      </c>
      <c r="E84" s="1047">
        <v>273.27421857926151</v>
      </c>
      <c r="F84" s="1047">
        <v>173.32197581411191</v>
      </c>
      <c r="G84" s="1047">
        <v>123.90353866459522</v>
      </c>
      <c r="H84" s="1047">
        <v>106.01366181857834</v>
      </c>
      <c r="I84" s="1047">
        <v>103.07079509138606</v>
      </c>
      <c r="J84" s="1047">
        <v>102.3322062694258</v>
      </c>
      <c r="K84" s="1047">
        <v>100.94146933695801</v>
      </c>
      <c r="L84" s="1047">
        <v>100.0198384245173</v>
      </c>
      <c r="O84" s="585"/>
      <c r="P84" s="585"/>
      <c r="Q84" s="585"/>
      <c r="R84" s="585"/>
      <c r="S84" s="585"/>
      <c r="T84" s="585"/>
    </row>
    <row r="85" spans="3:20">
      <c r="C85" s="579" t="s">
        <v>520</v>
      </c>
      <c r="D85" s="1017">
        <v>8.9250351113389303</v>
      </c>
      <c r="E85" s="1044">
        <v>5.5011588432902316</v>
      </c>
      <c r="F85" s="1044">
        <v>1.881962979512553</v>
      </c>
      <c r="G85" s="1044">
        <v>0.870967434117078</v>
      </c>
      <c r="H85" s="1044">
        <v>0.73389223741203724</v>
      </c>
      <c r="I85" s="1044">
        <v>0.72446819677085628</v>
      </c>
      <c r="J85" s="1044">
        <v>0.7219217690849048</v>
      </c>
      <c r="O85" s="585"/>
      <c r="P85" s="585"/>
      <c r="Q85" s="585"/>
      <c r="R85" s="585"/>
      <c r="S85" s="585"/>
      <c r="T85" s="585"/>
    </row>
    <row r="86" spans="3:20">
      <c r="C86" s="579" t="s">
        <v>522</v>
      </c>
      <c r="D86" s="1017">
        <v>18.320317120998602</v>
      </c>
      <c r="E86" s="1048">
        <v>16.369571507334371</v>
      </c>
      <c r="F86" s="1048">
        <v>17.215017979596066</v>
      </c>
      <c r="G86" s="1048">
        <v>17.933777013206946</v>
      </c>
      <c r="H86" s="1048">
        <v>18.873192049188255</v>
      </c>
      <c r="I86" s="1048">
        <v>20.04455835673987</v>
      </c>
      <c r="J86" s="1048">
        <v>21.167446608832137</v>
      </c>
      <c r="K86" s="1048">
        <v>22.194975777010637</v>
      </c>
      <c r="L86" s="1048">
        <v>23.130804433796808</v>
      </c>
      <c r="O86" s="585"/>
      <c r="P86" s="585"/>
      <c r="Q86" s="585"/>
      <c r="R86" s="585"/>
      <c r="S86" s="585"/>
      <c r="T86" s="585"/>
    </row>
    <row r="87" spans="3:20">
      <c r="C87" s="579" t="s">
        <v>524</v>
      </c>
      <c r="D87" s="1020">
        <v>32.08715427611822</v>
      </c>
      <c r="E87" s="1048">
        <v>33.712099310471366</v>
      </c>
      <c r="F87" s="1048">
        <v>33.535570442816336</v>
      </c>
      <c r="G87" s="1048">
        <v>33.331989698195017</v>
      </c>
      <c r="H87" s="1048">
        <v>33.067823637736559</v>
      </c>
      <c r="I87" s="1048">
        <v>32.751444358786927</v>
      </c>
      <c r="J87" s="1048">
        <v>32.438266717256035</v>
      </c>
      <c r="K87" s="1048">
        <v>32.145842962861686</v>
      </c>
      <c r="L87" s="1048">
        <v>31.876460429236634</v>
      </c>
      <c r="O87" s="585"/>
      <c r="P87" s="585"/>
      <c r="Q87" s="585"/>
      <c r="R87" s="585"/>
      <c r="S87" s="585"/>
      <c r="T87" s="585"/>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6"/>
  </sheetPr>
  <dimension ref="A1:S34"/>
  <sheetViews>
    <sheetView zoomScale="55" zoomScaleNormal="55" workbookViewId="0">
      <selection activeCell="G27" sqref="G27"/>
    </sheetView>
  </sheetViews>
  <sheetFormatPr defaultColWidth="12.81640625" defaultRowHeight="13.5" customHeight="1"/>
  <cols>
    <col min="1" max="16384" width="12.81640625" style="6"/>
  </cols>
  <sheetData>
    <row r="1" spans="1:19" ht="13">
      <c r="A1" s="4"/>
      <c r="B1" s="4"/>
      <c r="C1" s="5"/>
      <c r="D1" s="5"/>
      <c r="E1" s="5"/>
    </row>
    <row r="2" spans="1:19" s="8" customFormat="1" ht="18">
      <c r="A2" s="7"/>
      <c r="B2" s="7"/>
      <c r="C2" s="7"/>
      <c r="D2" s="7"/>
      <c r="E2" s="7"/>
      <c r="F2" s="7"/>
    </row>
    <row r="3" spans="1:19" s="8" customFormat="1" ht="18">
      <c r="A3" s="9" t="s">
        <v>526</v>
      </c>
      <c r="B3" s="7"/>
      <c r="C3" s="7"/>
      <c r="D3" s="10"/>
      <c r="E3" s="7"/>
      <c r="F3" s="11"/>
    </row>
    <row r="4" spans="1:19" ht="18.5" thickBot="1">
      <c r="A4" s="12" t="s">
        <v>527</v>
      </c>
      <c r="B4" s="13"/>
      <c r="C4" s="13"/>
      <c r="D4" s="14"/>
      <c r="E4" s="15"/>
      <c r="F4" s="15"/>
      <c r="G4" s="16"/>
      <c r="H4" s="16"/>
      <c r="I4" s="16"/>
      <c r="J4" s="16"/>
      <c r="K4" s="16"/>
      <c r="L4" s="16"/>
      <c r="M4" s="16"/>
      <c r="N4" s="16"/>
      <c r="O4" s="16"/>
      <c r="P4" s="16"/>
      <c r="Q4" s="16"/>
      <c r="R4" s="16"/>
      <c r="S4" s="16"/>
    </row>
    <row r="5" spans="1:19" ht="14" thickTop="1" thickBot="1">
      <c r="A5" s="17"/>
      <c r="B5" s="18"/>
      <c r="E5" s="19"/>
      <c r="F5" s="5"/>
    </row>
    <row r="6" spans="1:19" s="5" customFormat="1" thickTop="1">
      <c r="A6" s="20" t="s">
        <v>430</v>
      </c>
      <c r="B6" s="20"/>
      <c r="E6" s="1167" t="s">
        <v>142</v>
      </c>
      <c r="F6" s="1181"/>
      <c r="G6" s="1181"/>
      <c r="H6" s="1181"/>
      <c r="I6" s="1181"/>
      <c r="J6" s="1181"/>
      <c r="K6" s="1181"/>
      <c r="L6" s="1181"/>
      <c r="M6" s="1181"/>
      <c r="N6" s="1181"/>
      <c r="O6" s="1181"/>
      <c r="P6" s="1181"/>
      <c r="Q6" s="1181"/>
      <c r="R6" s="1181"/>
      <c r="S6" s="1182"/>
    </row>
    <row r="7" spans="1:19" s="5" customFormat="1" ht="13">
      <c r="A7" s="1183" t="s">
        <v>528</v>
      </c>
      <c r="B7" s="1184"/>
      <c r="E7" s="21" t="s">
        <v>529</v>
      </c>
      <c r="F7" s="977" t="s">
        <v>530</v>
      </c>
      <c r="S7" s="22"/>
    </row>
    <row r="8" spans="1:19" s="5" customFormat="1" ht="13">
      <c r="A8" s="1171">
        <v>43983</v>
      </c>
      <c r="B8" s="1172"/>
      <c r="C8" s="18"/>
      <c r="D8" s="18"/>
      <c r="E8" s="23"/>
      <c r="F8" s="24"/>
      <c r="S8" s="22"/>
    </row>
    <row r="9" spans="1:19" s="5" customFormat="1" thickBot="1">
      <c r="A9" s="20" t="s">
        <v>435</v>
      </c>
      <c r="B9" s="25"/>
      <c r="D9" s="18"/>
      <c r="E9" s="23"/>
      <c r="K9" s="24"/>
      <c r="S9" s="22"/>
    </row>
    <row r="10" spans="1:19" s="5" customFormat="1" thickBot="1">
      <c r="A10" s="1176" t="s">
        <v>438</v>
      </c>
      <c r="B10" s="1185"/>
      <c r="D10" s="18"/>
      <c r="E10" s="23"/>
      <c r="S10" s="22"/>
    </row>
    <row r="11" spans="1:19" s="5" customFormat="1" thickBot="1">
      <c r="A11" s="1176" t="s">
        <v>531</v>
      </c>
      <c r="B11" s="1186"/>
      <c r="D11" s="18"/>
      <c r="E11" s="23"/>
      <c r="S11" s="22"/>
    </row>
    <row r="12" spans="1:19" s="5" customFormat="1" thickBot="1">
      <c r="A12" s="1176" t="s">
        <v>532</v>
      </c>
      <c r="B12" s="1186"/>
      <c r="D12" s="18"/>
      <c r="E12" s="23"/>
      <c r="F12" s="26"/>
      <c r="G12" s="26"/>
      <c r="H12" s="26"/>
      <c r="I12" s="26"/>
      <c r="J12" s="26"/>
      <c r="K12" s="26"/>
      <c r="L12" s="26"/>
      <c r="M12" s="26"/>
      <c r="N12" s="26"/>
      <c r="O12" s="26"/>
      <c r="P12" s="26"/>
      <c r="Q12" s="26"/>
      <c r="R12" s="26"/>
      <c r="S12" s="27"/>
    </row>
    <row r="13" spans="1:19" s="5" customFormat="1" ht="13">
      <c r="A13" s="20" t="s">
        <v>444</v>
      </c>
      <c r="B13" s="28"/>
      <c r="D13" s="18"/>
      <c r="E13" s="23"/>
      <c r="S13" s="22"/>
    </row>
    <row r="14" spans="1:19" s="5" customFormat="1" ht="13">
      <c r="B14" s="29"/>
      <c r="C14" s="18"/>
      <c r="D14" s="18"/>
      <c r="E14" s="23"/>
      <c r="S14" s="22"/>
    </row>
    <row r="15" spans="1:19" s="5" customFormat="1" ht="13">
      <c r="A15" s="30"/>
      <c r="B15" s="31"/>
      <c r="C15" s="18"/>
      <c r="D15" s="18"/>
      <c r="E15" s="23"/>
      <c r="S15" s="22"/>
    </row>
    <row r="16" spans="1:19" s="5" customFormat="1" ht="13">
      <c r="B16" s="32"/>
      <c r="C16" s="18"/>
      <c r="D16" s="18"/>
      <c r="E16" s="23"/>
      <c r="S16" s="22"/>
    </row>
    <row r="17" spans="1:19" s="5" customFormat="1" ht="13">
      <c r="A17" s="20" t="s">
        <v>451</v>
      </c>
      <c r="B17" s="25"/>
      <c r="C17" s="18"/>
      <c r="D17" s="18"/>
      <c r="E17" s="33"/>
      <c r="S17" s="22"/>
    </row>
    <row r="18" spans="1:19" s="5" customFormat="1" ht="13">
      <c r="A18" s="1178"/>
      <c r="B18" s="1178"/>
      <c r="C18" s="18"/>
      <c r="D18" s="18"/>
      <c r="E18" s="23"/>
      <c r="S18" s="22"/>
    </row>
    <row r="19" spans="1:19" s="5" customFormat="1" ht="13">
      <c r="A19" s="1178"/>
      <c r="B19" s="1178"/>
      <c r="C19" s="18"/>
      <c r="D19" s="18"/>
      <c r="E19" s="23" t="s">
        <v>533</v>
      </c>
      <c r="S19" s="22"/>
    </row>
    <row r="20" spans="1:19" s="5" customFormat="1" thickBot="1">
      <c r="A20" s="1178"/>
      <c r="B20" s="1178"/>
      <c r="C20" s="18"/>
      <c r="D20" s="34"/>
      <c r="E20" s="35" t="s">
        <v>534</v>
      </c>
      <c r="F20" s="36"/>
      <c r="G20" s="36"/>
      <c r="H20" s="36"/>
      <c r="I20" s="36"/>
      <c r="J20" s="36"/>
      <c r="K20" s="36"/>
      <c r="L20" s="36"/>
      <c r="M20" s="36"/>
      <c r="N20" s="36"/>
      <c r="O20" s="36"/>
      <c r="P20" s="36"/>
      <c r="Q20" s="36"/>
      <c r="R20" s="36"/>
      <c r="S20" s="37"/>
    </row>
    <row r="21" spans="1:19" thickTop="1">
      <c r="A21" s="38"/>
      <c r="B21" s="39"/>
      <c r="C21" s="18"/>
      <c r="D21" s="31"/>
      <c r="E21" s="19"/>
      <c r="F21" s="5"/>
    </row>
    <row r="22" spans="1:19" thickBot="1">
      <c r="A22" s="40"/>
      <c r="B22" s="18"/>
      <c r="C22" s="18"/>
      <c r="D22" s="31"/>
      <c r="E22" s="19"/>
      <c r="F22" s="5"/>
    </row>
    <row r="23" spans="1:19" ht="14" thickTop="1" thickBot="1">
      <c r="A23" s="1077" t="s">
        <v>535</v>
      </c>
      <c r="B23" s="41"/>
      <c r="C23" s="42"/>
      <c r="D23" s="43"/>
      <c r="E23" s="44"/>
      <c r="F23" s="5"/>
    </row>
    <row r="24" spans="1:19" ht="15.5" thickTop="1" thickBot="1">
      <c r="A24" s="45" t="s">
        <v>536</v>
      </c>
      <c r="B24" s="46"/>
      <c r="C24" s="47"/>
      <c r="D24" s="1179" t="s">
        <v>537</v>
      </c>
      <c r="E24" s="1180"/>
      <c r="F24" s="5"/>
    </row>
    <row r="25" spans="1:19" ht="13" thickTop="1">
      <c r="A25" s="48"/>
      <c r="B25" s="49" t="s">
        <v>538</v>
      </c>
      <c r="C25" s="50"/>
      <c r="D25" s="51">
        <v>3.5000000000000003E-2</v>
      </c>
      <c r="E25" s="22"/>
      <c r="F25" s="5"/>
    </row>
    <row r="26" spans="1:19" ht="12.5">
      <c r="A26" s="52"/>
      <c r="B26" s="5" t="s">
        <v>539</v>
      </c>
      <c r="C26" s="53"/>
      <c r="D26" s="51">
        <v>0.03</v>
      </c>
      <c r="E26" s="22"/>
      <c r="F26" s="5"/>
    </row>
    <row r="27" spans="1:19" ht="12.5">
      <c r="A27" s="52"/>
      <c r="B27" s="5" t="s">
        <v>540</v>
      </c>
      <c r="C27" s="53"/>
      <c r="D27" s="51">
        <v>2.5000000000000001E-2</v>
      </c>
      <c r="E27" s="22"/>
      <c r="F27" s="5"/>
    </row>
    <row r="28" spans="1:19" ht="12.5">
      <c r="A28" s="52"/>
      <c r="B28" s="5" t="s">
        <v>541</v>
      </c>
      <c r="C28" s="53"/>
      <c r="D28" s="51">
        <v>0.02</v>
      </c>
      <c r="E28" s="22"/>
      <c r="F28" s="5"/>
    </row>
    <row r="29" spans="1:19" ht="12.5">
      <c r="A29" s="52"/>
      <c r="B29" s="5" t="s">
        <v>542</v>
      </c>
      <c r="C29" s="53"/>
      <c r="D29" s="51">
        <v>1.4999999999999999E-2</v>
      </c>
      <c r="E29" s="22"/>
      <c r="F29" s="5"/>
    </row>
    <row r="30" spans="1:19" ht="13" thickBot="1">
      <c r="A30" s="54"/>
      <c r="B30" s="55" t="s">
        <v>543</v>
      </c>
      <c r="C30" s="56"/>
      <c r="D30" s="57">
        <v>0.01</v>
      </c>
      <c r="E30" s="58"/>
      <c r="F30" s="5"/>
    </row>
    <row r="31" spans="1:19" ht="13" thickTop="1">
      <c r="F31" s="5"/>
    </row>
    <row r="32" spans="1:19" ht="12.5">
      <c r="F32" s="5"/>
    </row>
    <row r="34" spans="2:2" ht="13.5" customHeight="1">
      <c r="B34" s="495"/>
    </row>
  </sheetData>
  <mergeCells count="10">
    <mergeCell ref="A18:B18"/>
    <mergeCell ref="A19:B19"/>
    <mergeCell ref="A20:B20"/>
    <mergeCell ref="D24:E24"/>
    <mergeCell ref="E6:S6"/>
    <mergeCell ref="A7:B7"/>
    <mergeCell ref="A8:B8"/>
    <mergeCell ref="A10:B10"/>
    <mergeCell ref="A11:B11"/>
    <mergeCell ref="A12:B12"/>
  </mergeCells>
  <hyperlinks>
    <hyperlink ref="F7" r:id="rId1" xr:uid="{00000000-0004-0000-1200-000000000000}"/>
    <hyperlink ref="A11" location="Contents!A1" display="Contents" xr:uid="{00000000-0004-0000-1200-000001000000}"/>
    <hyperlink ref="A11:B11" r:id="rId2" display="WebTAG Unit 3.5.4" xr:uid="{00000000-0004-0000-1200-000002000000}"/>
    <hyperlink ref="A10" location="Contents!A1" display="Contents" xr:uid="{00000000-0004-0000-1200-000003000000}"/>
    <hyperlink ref="A10:B10" location="Contents!A1" tooltip="Contents page" display="Contents" xr:uid="{00000000-0004-0000-1200-000004000000}"/>
    <hyperlink ref="A12:B12" r:id="rId3" tooltip="Unit A1.1 Cost Benefit Analysis" display="WebTAG Unit A 1.1" xr:uid="{00000000-0004-0000-12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sheetPr>
  <dimension ref="B2:E40"/>
  <sheetViews>
    <sheetView workbookViewId="0"/>
  </sheetViews>
  <sheetFormatPr defaultColWidth="9.26953125" defaultRowHeight="14"/>
  <cols>
    <col min="1" max="1" width="9.26953125" style="370"/>
    <col min="2" max="2" width="51" style="370" bestFit="1" customWidth="1"/>
    <col min="3" max="3" width="59.54296875" style="370" customWidth="1"/>
    <col min="4" max="4" width="10.26953125" style="370" bestFit="1" customWidth="1"/>
    <col min="5" max="16384" width="9.26953125" style="370"/>
  </cols>
  <sheetData>
    <row r="2" spans="2:5" ht="18">
      <c r="B2" s="945" t="s">
        <v>5</v>
      </c>
    </row>
    <row r="3" spans="2:5" ht="16" thickBot="1">
      <c r="B3" s="941" t="s">
        <v>833</v>
      </c>
      <c r="C3" s="378"/>
    </row>
    <row r="4" spans="2:5" ht="15.5">
      <c r="B4" s="942" t="s">
        <v>6</v>
      </c>
      <c r="C4" s="931" t="s">
        <v>7</v>
      </c>
      <c r="E4" s="378" t="s">
        <v>8</v>
      </c>
    </row>
    <row r="5" spans="2:5" ht="15.5">
      <c r="B5" s="943"/>
      <c r="C5" s="932" t="s">
        <v>9</v>
      </c>
    </row>
    <row r="6" spans="2:5" ht="15.5">
      <c r="B6" s="943"/>
      <c r="C6" s="933" t="s">
        <v>10</v>
      </c>
    </row>
    <row r="7" spans="2:5" ht="31">
      <c r="B7" s="943"/>
      <c r="C7" s="933" t="s">
        <v>11</v>
      </c>
    </row>
    <row r="8" spans="2:5" ht="15.5">
      <c r="B8" s="943"/>
      <c r="C8" s="932" t="s">
        <v>12</v>
      </c>
    </row>
    <row r="9" spans="2:5" ht="15.5">
      <c r="B9" s="943"/>
      <c r="C9" s="932" t="s">
        <v>13</v>
      </c>
    </row>
    <row r="10" spans="2:5" ht="16" thickBot="1">
      <c r="B10" s="944"/>
      <c r="C10" s="934" t="s">
        <v>14</v>
      </c>
    </row>
    <row r="11" spans="2:5" ht="15.5">
      <c r="B11" s="942" t="s">
        <v>15</v>
      </c>
      <c r="C11" s="931" t="s">
        <v>16</v>
      </c>
    </row>
    <row r="12" spans="2:5" ht="16" thickBot="1">
      <c r="B12" s="944"/>
      <c r="C12" s="935" t="s">
        <v>17</v>
      </c>
    </row>
    <row r="13" spans="2:5" ht="15.5">
      <c r="B13" s="942" t="s">
        <v>18</v>
      </c>
      <c r="C13" s="931" t="s">
        <v>19</v>
      </c>
    </row>
    <row r="14" spans="2:5" ht="16" thickBot="1">
      <c r="B14" s="944"/>
      <c r="C14" s="936" t="s">
        <v>20</v>
      </c>
    </row>
    <row r="15" spans="2:5" ht="31">
      <c r="B15" s="942" t="s">
        <v>21</v>
      </c>
      <c r="C15" s="937" t="s">
        <v>22</v>
      </c>
    </row>
    <row r="16" spans="2:5" ht="31.5" thickBot="1">
      <c r="B16" s="944"/>
      <c r="C16" s="934" t="s">
        <v>23</v>
      </c>
    </row>
    <row r="17" spans="2:3" ht="31">
      <c r="B17" s="942" t="s">
        <v>24</v>
      </c>
      <c r="C17" s="938" t="s">
        <v>25</v>
      </c>
    </row>
    <row r="18" spans="2:3" ht="31">
      <c r="B18" s="943"/>
      <c r="C18" s="939" t="s">
        <v>26</v>
      </c>
    </row>
    <row r="19" spans="2:3" ht="15.5">
      <c r="B19" s="943"/>
      <c r="C19" s="1035" t="s">
        <v>27</v>
      </c>
    </row>
    <row r="20" spans="2:3" ht="16" thickBot="1">
      <c r="B20" s="944"/>
      <c r="C20" s="936" t="s">
        <v>28</v>
      </c>
    </row>
    <row r="21" spans="2:3" ht="15.5">
      <c r="B21" s="943" t="s">
        <v>29</v>
      </c>
      <c r="C21" s="940" t="s">
        <v>30</v>
      </c>
    </row>
    <row r="22" spans="2:3" ht="16" thickBot="1">
      <c r="B22" s="944"/>
      <c r="C22" s="934" t="s">
        <v>31</v>
      </c>
    </row>
    <row r="23" spans="2:3" ht="15.5">
      <c r="B23" s="941"/>
      <c r="C23" s="378"/>
    </row>
    <row r="24" spans="2:3" ht="14.5" thickBot="1"/>
    <row r="25" spans="2:3" ht="14.5" thickBot="1">
      <c r="B25" s="946" t="s">
        <v>32</v>
      </c>
      <c r="C25" s="946" t="s">
        <v>33</v>
      </c>
    </row>
    <row r="26" spans="2:3" ht="14.5" thickBot="1">
      <c r="B26" s="947" t="s">
        <v>34</v>
      </c>
      <c r="C26" s="947" t="s">
        <v>35</v>
      </c>
    </row>
    <row r="27" spans="2:3" ht="14.5" thickBot="1">
      <c r="B27" s="948" t="s">
        <v>36</v>
      </c>
      <c r="C27" s="947" t="s">
        <v>37</v>
      </c>
    </row>
    <row r="28" spans="2:3" ht="14.5" thickBot="1">
      <c r="B28" s="947" t="s">
        <v>38</v>
      </c>
      <c r="C28" s="947" t="s">
        <v>39</v>
      </c>
    </row>
    <row r="29" spans="2:3" ht="14.5" thickBot="1">
      <c r="B29" s="948" t="s">
        <v>40</v>
      </c>
      <c r="C29" s="947" t="s">
        <v>41</v>
      </c>
    </row>
    <row r="30" spans="2:3" ht="28.5" thickBot="1">
      <c r="B30" s="947" t="s">
        <v>42</v>
      </c>
      <c r="C30" s="947" t="s">
        <v>43</v>
      </c>
    </row>
    <row r="31" spans="2:3" ht="14.5" thickBot="1">
      <c r="B31" s="947" t="s">
        <v>44</v>
      </c>
      <c r="C31" s="947" t="s">
        <v>45</v>
      </c>
    </row>
    <row r="32" spans="2:3" ht="14.5" thickBot="1">
      <c r="B32" s="947" t="s">
        <v>46</v>
      </c>
      <c r="C32" s="947" t="s">
        <v>47</v>
      </c>
    </row>
    <row r="33" spans="2:3" ht="14.5" thickBot="1">
      <c r="B33" s="947" t="s">
        <v>48</v>
      </c>
      <c r="C33" s="947" t="s">
        <v>49</v>
      </c>
    </row>
    <row r="34" spans="2:3" ht="28.5" thickBot="1">
      <c r="B34" s="947" t="s">
        <v>50</v>
      </c>
      <c r="C34" s="947" t="s">
        <v>51</v>
      </c>
    </row>
    <row r="35" spans="2:3" ht="14.5" thickBot="1">
      <c r="B35" s="947"/>
      <c r="C35" s="947" t="s">
        <v>52</v>
      </c>
    </row>
    <row r="36" spans="2:3" ht="14.5" thickBot="1">
      <c r="B36" s="947" t="s">
        <v>53</v>
      </c>
      <c r="C36" s="947" t="s">
        <v>54</v>
      </c>
    </row>
    <row r="37" spans="2:3" ht="14.5" thickBot="1">
      <c r="B37" s="947" t="s">
        <v>55</v>
      </c>
      <c r="C37" s="947" t="s">
        <v>56</v>
      </c>
    </row>
    <row r="38" spans="2:3" ht="14.5" thickBot="1">
      <c r="B38" s="947" t="s">
        <v>57</v>
      </c>
      <c r="C38" s="947" t="s">
        <v>58</v>
      </c>
    </row>
    <row r="39" spans="2:3" ht="14.5" thickBot="1">
      <c r="B39" s="947" t="s">
        <v>59</v>
      </c>
      <c r="C39" s="947" t="s">
        <v>60</v>
      </c>
    </row>
    <row r="40" spans="2:3" ht="14.5" thickBot="1">
      <c r="B40" s="947" t="s">
        <v>61</v>
      </c>
      <c r="C40" s="947" t="s">
        <v>62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6"/>
  </sheetPr>
  <dimension ref="A1:S50"/>
  <sheetViews>
    <sheetView zoomScale="55" zoomScaleNormal="55" workbookViewId="0">
      <selection activeCell="D5" sqref="D5:H5"/>
    </sheetView>
  </sheetViews>
  <sheetFormatPr defaultColWidth="12.81640625" defaultRowHeight="13.5" customHeight="1"/>
  <cols>
    <col min="1" max="16384" width="12.81640625" style="5"/>
  </cols>
  <sheetData>
    <row r="1" spans="1:19" ht="13">
      <c r="A1" s="4"/>
      <c r="D1" s="4"/>
    </row>
    <row r="2" spans="1:19" s="7" customFormat="1" ht="18"/>
    <row r="3" spans="1:19" s="7" customFormat="1" ht="18">
      <c r="A3" s="9" t="s">
        <v>544</v>
      </c>
      <c r="D3" s="10"/>
      <c r="F3" s="11"/>
      <c r="G3" s="10"/>
      <c r="J3" s="11"/>
    </row>
    <row r="4" spans="1:19" ht="18.5" thickBot="1">
      <c r="A4" s="59" t="s">
        <v>545</v>
      </c>
      <c r="B4" s="15"/>
      <c r="C4" s="15"/>
      <c r="D4" s="60"/>
      <c r="E4" s="61"/>
      <c r="F4" s="15"/>
      <c r="G4" s="62"/>
      <c r="H4" s="15"/>
      <c r="I4" s="61"/>
      <c r="J4" s="14"/>
      <c r="K4" s="15"/>
      <c r="L4" s="15"/>
      <c r="M4" s="15"/>
      <c r="N4" s="15"/>
      <c r="O4" s="15"/>
      <c r="P4" s="15"/>
      <c r="Q4" s="15"/>
      <c r="R4" s="15"/>
      <c r="S4" s="15"/>
    </row>
    <row r="5" spans="1:19" ht="14" thickTop="1" thickBot="1">
      <c r="E5" s="4"/>
      <c r="G5" s="976"/>
      <c r="I5" s="4"/>
      <c r="J5" s="31"/>
    </row>
    <row r="6" spans="1:19" thickTop="1">
      <c r="A6" s="20" t="s">
        <v>430</v>
      </c>
      <c r="B6" s="20"/>
      <c r="E6" s="1167" t="s">
        <v>142</v>
      </c>
      <c r="F6" s="1181"/>
      <c r="G6" s="1181"/>
      <c r="H6" s="1181"/>
      <c r="I6" s="1181"/>
      <c r="J6" s="1181"/>
      <c r="K6" s="1181"/>
      <c r="L6" s="1181"/>
      <c r="M6" s="1181"/>
      <c r="N6" s="1181"/>
      <c r="O6" s="1181"/>
      <c r="P6" s="1181"/>
      <c r="Q6" s="1181"/>
      <c r="R6" s="1181"/>
      <c r="S6" s="1182"/>
    </row>
    <row r="7" spans="1:19" ht="13">
      <c r="A7" s="1183" t="s">
        <v>528</v>
      </c>
      <c r="B7" s="1184"/>
      <c r="E7" s="23" t="s">
        <v>546</v>
      </c>
      <c r="F7" s="4"/>
      <c r="S7" s="22"/>
    </row>
    <row r="8" spans="1:19" ht="13">
      <c r="A8" s="1187">
        <v>43983</v>
      </c>
      <c r="B8" s="1188"/>
      <c r="C8" s="18"/>
      <c r="D8" s="18"/>
      <c r="E8" s="23" t="s">
        <v>547</v>
      </c>
      <c r="F8" s="24"/>
      <c r="S8" s="22"/>
    </row>
    <row r="9" spans="1:19" thickBot="1">
      <c r="A9" s="20" t="s">
        <v>435</v>
      </c>
      <c r="B9" s="25"/>
      <c r="D9" s="18"/>
      <c r="E9" s="23"/>
      <c r="S9" s="22"/>
    </row>
    <row r="10" spans="1:19" thickBot="1">
      <c r="A10" s="1176" t="s">
        <v>438</v>
      </c>
      <c r="B10" s="1185"/>
      <c r="D10" s="18"/>
      <c r="E10" s="23"/>
      <c r="S10" s="22"/>
    </row>
    <row r="11" spans="1:19" thickBot="1">
      <c r="A11" s="1176" t="s">
        <v>440</v>
      </c>
      <c r="B11" s="1186"/>
      <c r="D11" s="18"/>
      <c r="E11" s="23"/>
      <c r="F11" s="26"/>
      <c r="G11" s="26"/>
      <c r="H11" s="26"/>
      <c r="I11" s="26"/>
      <c r="J11" s="26"/>
      <c r="K11" s="26"/>
      <c r="L11" s="26"/>
      <c r="M11" s="26"/>
      <c r="N11" s="26"/>
      <c r="O11" s="26"/>
      <c r="P11" s="26"/>
      <c r="Q11" s="26"/>
      <c r="R11" s="26"/>
      <c r="S11" s="27"/>
    </row>
    <row r="12" spans="1:19" thickBot="1">
      <c r="A12" s="1176" t="s">
        <v>441</v>
      </c>
      <c r="B12" s="1186"/>
      <c r="D12" s="18"/>
      <c r="E12" s="23"/>
      <c r="S12" s="22"/>
    </row>
    <row r="13" spans="1:19" ht="13">
      <c r="A13" s="20" t="s">
        <v>444</v>
      </c>
      <c r="B13" s="28"/>
      <c r="C13" s="18"/>
      <c r="D13" s="18"/>
      <c r="E13" s="63"/>
      <c r="S13" s="22"/>
    </row>
    <row r="14" spans="1:19" ht="12.5">
      <c r="C14" s="18"/>
      <c r="D14" s="18"/>
      <c r="E14" s="23"/>
      <c r="S14" s="22"/>
    </row>
    <row r="15" spans="1:19" ht="13">
      <c r="A15" s="30"/>
      <c r="B15" s="31"/>
      <c r="C15" s="18"/>
      <c r="D15" s="18"/>
      <c r="E15" s="23"/>
      <c r="S15" s="22"/>
    </row>
    <row r="16" spans="1:19" ht="13">
      <c r="A16" s="5" t="s">
        <v>548</v>
      </c>
      <c r="B16" s="64">
        <v>2010</v>
      </c>
      <c r="D16" s="18"/>
      <c r="E16" s="23"/>
      <c r="S16" s="22"/>
    </row>
    <row r="17" spans="1:19" ht="13">
      <c r="A17" s="20" t="s">
        <v>451</v>
      </c>
      <c r="B17" s="25"/>
      <c r="C17" s="18"/>
      <c r="D17" s="34"/>
      <c r="S17" s="22"/>
    </row>
    <row r="18" spans="1:19" ht="13">
      <c r="A18" s="1178"/>
      <c r="B18" s="1178"/>
      <c r="C18" s="18"/>
      <c r="D18" s="34"/>
      <c r="E18" s="5" t="s">
        <v>549</v>
      </c>
      <c r="S18" s="22"/>
    </row>
    <row r="19" spans="1:19" ht="13">
      <c r="A19" s="1178"/>
      <c r="B19" s="1178"/>
      <c r="C19" s="18"/>
      <c r="D19" s="34"/>
      <c r="E19" s="5" t="s">
        <v>550</v>
      </c>
      <c r="S19" s="22"/>
    </row>
    <row r="20" spans="1:19" thickBot="1">
      <c r="A20" s="1178"/>
      <c r="B20" s="1178"/>
      <c r="C20" s="18"/>
      <c r="D20" s="34"/>
      <c r="E20" s="35" t="s">
        <v>551</v>
      </c>
      <c r="F20" s="36"/>
      <c r="G20" s="36"/>
      <c r="H20" s="36"/>
      <c r="I20" s="36"/>
      <c r="J20" s="36"/>
      <c r="K20" s="36"/>
      <c r="L20" s="36"/>
      <c r="M20" s="36"/>
      <c r="N20" s="36"/>
      <c r="O20" s="36"/>
      <c r="P20" s="36"/>
      <c r="Q20" s="36"/>
      <c r="R20" s="36"/>
      <c r="S20" s="37"/>
    </row>
    <row r="21" spans="1:19" thickTop="1">
      <c r="A21" s="38"/>
      <c r="B21" s="39"/>
      <c r="C21" s="18"/>
      <c r="D21" s="31"/>
      <c r="E21" s="4"/>
      <c r="G21" s="976"/>
      <c r="I21" s="4"/>
      <c r="J21" s="31"/>
    </row>
    <row r="22" spans="1:19" ht="13" thickBot="1">
      <c r="B22" s="55"/>
      <c r="C22" s="55"/>
      <c r="Q22" s="55"/>
    </row>
    <row r="23" spans="1:19" ht="14" thickTop="1" thickBot="1">
      <c r="A23" s="1077" t="s">
        <v>552</v>
      </c>
      <c r="B23" s="43"/>
      <c r="C23" s="43"/>
      <c r="D23" s="65" t="s">
        <v>553</v>
      </c>
      <c r="E23" s="65"/>
      <c r="F23" s="65"/>
      <c r="G23" s="65"/>
      <c r="H23" s="65"/>
      <c r="I23" s="65"/>
      <c r="J23" s="66"/>
      <c r="K23" s="65" t="s">
        <v>554</v>
      </c>
      <c r="L23" s="42"/>
      <c r="M23" s="42"/>
      <c r="N23" s="42"/>
      <c r="O23" s="42"/>
      <c r="P23" s="42"/>
      <c r="Q23" s="67"/>
    </row>
    <row r="24" spans="1:19" ht="14" thickTop="1" thickBot="1">
      <c r="A24" s="68"/>
      <c r="B24" s="69"/>
      <c r="C24" s="70"/>
      <c r="D24" s="71" t="s">
        <v>555</v>
      </c>
      <c r="E24" s="71"/>
      <c r="F24" s="71"/>
      <c r="G24" s="71"/>
      <c r="H24" s="72"/>
      <c r="I24" s="73" t="s">
        <v>556</v>
      </c>
      <c r="J24" s="1078" t="s">
        <v>557</v>
      </c>
      <c r="K24" s="45" t="s">
        <v>555</v>
      </c>
      <c r="L24" s="71"/>
      <c r="M24" s="71"/>
      <c r="N24" s="71"/>
      <c r="O24" s="72"/>
      <c r="P24" s="74" t="s">
        <v>556</v>
      </c>
      <c r="Q24" s="1078" t="s">
        <v>557</v>
      </c>
    </row>
    <row r="25" spans="1:19" ht="14" thickTop="1" thickBot="1">
      <c r="A25" s="75" t="s">
        <v>558</v>
      </c>
      <c r="B25" s="25"/>
      <c r="C25" s="76"/>
      <c r="D25" s="77" t="s">
        <v>559</v>
      </c>
      <c r="E25" s="78" t="s">
        <v>560</v>
      </c>
      <c r="F25" s="78" t="s">
        <v>561</v>
      </c>
      <c r="G25" s="78" t="s">
        <v>562</v>
      </c>
      <c r="H25" s="79" t="s">
        <v>563</v>
      </c>
      <c r="I25" s="80" t="s">
        <v>563</v>
      </c>
      <c r="J25" s="81" t="s">
        <v>563</v>
      </c>
      <c r="K25" s="82" t="s">
        <v>559</v>
      </c>
      <c r="L25" s="83" t="s">
        <v>560</v>
      </c>
      <c r="M25" s="83" t="s">
        <v>561</v>
      </c>
      <c r="N25" s="83" t="s">
        <v>562</v>
      </c>
      <c r="O25" s="84" t="s">
        <v>563</v>
      </c>
      <c r="P25" s="85" t="s">
        <v>563</v>
      </c>
      <c r="Q25" s="81" t="s">
        <v>563</v>
      </c>
    </row>
    <row r="26" spans="1:19" ht="14" thickTop="1" thickBot="1">
      <c r="A26" s="86" t="s">
        <v>564</v>
      </c>
      <c r="B26" s="87"/>
      <c r="C26" s="88"/>
      <c r="D26" s="89" t="s">
        <v>565</v>
      </c>
      <c r="E26" s="89"/>
      <c r="F26" s="89"/>
      <c r="G26" s="89"/>
      <c r="H26" s="89"/>
      <c r="I26" s="89"/>
      <c r="J26" s="90"/>
      <c r="K26" s="91" t="s">
        <v>566</v>
      </c>
      <c r="L26" s="92"/>
      <c r="M26" s="92"/>
      <c r="N26" s="92"/>
      <c r="O26" s="89"/>
      <c r="P26" s="89"/>
      <c r="Q26" s="72"/>
    </row>
    <row r="27" spans="1:19" thickTop="1">
      <c r="A27" s="93" t="s">
        <v>249</v>
      </c>
      <c r="B27" s="94" t="s">
        <v>567</v>
      </c>
      <c r="C27" s="95"/>
      <c r="D27" s="96">
        <v>16.459385289942354</v>
      </c>
      <c r="E27" s="96">
        <v>16.469988489431714</v>
      </c>
      <c r="F27" s="96">
        <v>11.806951255862748</v>
      </c>
      <c r="G27" s="97">
        <v>12.87839002123401</v>
      </c>
      <c r="H27" s="98">
        <v>14.849800189287379</v>
      </c>
      <c r="I27" s="99">
        <v>3.4734156577865827</v>
      </c>
      <c r="J27" s="98">
        <v>12.059245195845831</v>
      </c>
      <c r="K27" s="100">
        <v>6.9515649524418661</v>
      </c>
      <c r="L27" s="100">
        <v>7.1900684892442879</v>
      </c>
      <c r="M27" s="100">
        <v>5.1143393605159027</v>
      </c>
      <c r="N27" s="97">
        <v>4.3088671199828381</v>
      </c>
      <c r="O27" s="101">
        <v>6.2432133338518145</v>
      </c>
      <c r="P27" s="97">
        <v>2.0480225695361778</v>
      </c>
      <c r="Q27" s="101">
        <v>5.2842550876349348</v>
      </c>
    </row>
    <row r="28" spans="1:19" ht="12.5">
      <c r="A28" s="23"/>
      <c r="B28" s="94" t="s">
        <v>568</v>
      </c>
      <c r="C28" s="22"/>
      <c r="D28" s="100">
        <v>44.0642044603279</v>
      </c>
      <c r="E28" s="100">
        <v>11.805618519478546</v>
      </c>
      <c r="F28" s="100">
        <v>41.265765973847898</v>
      </c>
      <c r="G28" s="102">
        <v>38.544312764290439</v>
      </c>
      <c r="H28" s="103">
        <v>31.208976947723109</v>
      </c>
      <c r="I28" s="104">
        <v>7.8885077503504997</v>
      </c>
      <c r="J28" s="103">
        <v>25.488591248387817</v>
      </c>
      <c r="K28" s="100">
        <v>38.301883054042669</v>
      </c>
      <c r="L28" s="100">
        <v>11.281736317334822</v>
      </c>
      <c r="M28" s="100">
        <v>32.577420727763638</v>
      </c>
      <c r="N28" s="102">
        <v>28.755829192894218</v>
      </c>
      <c r="O28" s="105">
        <v>25.157566816563381</v>
      </c>
      <c r="P28" s="102">
        <v>8.3873910932897324</v>
      </c>
      <c r="Q28" s="105">
        <v>21.324153938862427</v>
      </c>
    </row>
    <row r="29" spans="1:19" ht="12.5">
      <c r="A29" s="106"/>
      <c r="B29" s="107" t="s">
        <v>569</v>
      </c>
      <c r="C29" s="108"/>
      <c r="D29" s="109">
        <v>39.476410249729753</v>
      </c>
      <c r="E29" s="109">
        <v>71.724392991089715</v>
      </c>
      <c r="F29" s="109">
        <v>46.927282770289352</v>
      </c>
      <c r="G29" s="110">
        <v>48.577297214475557</v>
      </c>
      <c r="H29" s="111">
        <v>53.941222862989513</v>
      </c>
      <c r="I29" s="112">
        <v>88.638076591862927</v>
      </c>
      <c r="J29" s="111">
        <v>62.452163555766383</v>
      </c>
      <c r="K29" s="113">
        <v>54.746551993515482</v>
      </c>
      <c r="L29" s="109">
        <v>81.528195193420871</v>
      </c>
      <c r="M29" s="109">
        <v>62.308239911720442</v>
      </c>
      <c r="N29" s="110">
        <v>66.935303687122939</v>
      </c>
      <c r="O29" s="114">
        <v>68.599219849584813</v>
      </c>
      <c r="P29" s="110">
        <v>89.564586337174106</v>
      </c>
      <c r="Q29" s="114">
        <v>73.391590973502645</v>
      </c>
    </row>
    <row r="30" spans="1:19" ht="13">
      <c r="A30" s="93" t="s">
        <v>89</v>
      </c>
      <c r="B30" s="94" t="s">
        <v>570</v>
      </c>
      <c r="C30" s="22"/>
      <c r="D30" s="100">
        <v>88</v>
      </c>
      <c r="E30" s="100">
        <v>88</v>
      </c>
      <c r="F30" s="100">
        <v>88</v>
      </c>
      <c r="G30" s="102">
        <v>88</v>
      </c>
      <c r="H30" s="103">
        <v>88</v>
      </c>
      <c r="I30" s="104">
        <v>88</v>
      </c>
      <c r="J30" s="103">
        <v>88</v>
      </c>
      <c r="K30" s="100">
        <v>88</v>
      </c>
      <c r="L30" s="100">
        <v>88</v>
      </c>
      <c r="M30" s="100">
        <v>88</v>
      </c>
      <c r="N30" s="102">
        <v>88</v>
      </c>
      <c r="O30" s="105">
        <v>88</v>
      </c>
      <c r="P30" s="102">
        <v>88</v>
      </c>
      <c r="Q30" s="105">
        <v>88</v>
      </c>
    </row>
    <row r="31" spans="1:19" ht="12.5">
      <c r="A31" s="106"/>
      <c r="B31" s="107" t="s">
        <v>571</v>
      </c>
      <c r="C31" s="108"/>
      <c r="D31" s="109">
        <v>12</v>
      </c>
      <c r="E31" s="109">
        <v>12</v>
      </c>
      <c r="F31" s="109">
        <v>12</v>
      </c>
      <c r="G31" s="110">
        <v>12</v>
      </c>
      <c r="H31" s="111">
        <v>12</v>
      </c>
      <c r="I31" s="112">
        <v>12</v>
      </c>
      <c r="J31" s="111">
        <v>12</v>
      </c>
      <c r="K31" s="113">
        <v>12</v>
      </c>
      <c r="L31" s="109">
        <v>12</v>
      </c>
      <c r="M31" s="109">
        <v>12</v>
      </c>
      <c r="N31" s="110">
        <v>12</v>
      </c>
      <c r="O31" s="114">
        <v>12</v>
      </c>
      <c r="P31" s="110">
        <v>12</v>
      </c>
      <c r="Q31" s="114">
        <v>12</v>
      </c>
    </row>
    <row r="32" spans="1:19" ht="13">
      <c r="A32" s="93" t="s">
        <v>572</v>
      </c>
      <c r="B32" s="94" t="s">
        <v>567</v>
      </c>
      <c r="C32" s="22"/>
      <c r="D32" s="100">
        <v>100</v>
      </c>
      <c r="E32" s="100">
        <v>100</v>
      </c>
      <c r="F32" s="100">
        <v>100</v>
      </c>
      <c r="G32" s="102">
        <v>100</v>
      </c>
      <c r="H32" s="103">
        <v>100</v>
      </c>
      <c r="I32" s="104">
        <v>100</v>
      </c>
      <c r="J32" s="103">
        <v>100</v>
      </c>
      <c r="K32" s="100">
        <v>100</v>
      </c>
      <c r="L32" s="100">
        <v>100</v>
      </c>
      <c r="M32" s="100">
        <v>100</v>
      </c>
      <c r="N32" s="102">
        <v>100</v>
      </c>
      <c r="O32" s="105">
        <v>100</v>
      </c>
      <c r="P32" s="102">
        <v>100</v>
      </c>
      <c r="Q32" s="105">
        <v>100</v>
      </c>
    </row>
    <row r="33" spans="1:17" thickBot="1">
      <c r="A33" s="93" t="s">
        <v>573</v>
      </c>
      <c r="B33" s="94" t="s">
        <v>567</v>
      </c>
      <c r="C33" s="58"/>
      <c r="D33" s="115">
        <v>100</v>
      </c>
      <c r="E33" s="115">
        <v>100</v>
      </c>
      <c r="F33" s="115">
        <v>100</v>
      </c>
      <c r="G33" s="116">
        <v>100</v>
      </c>
      <c r="H33" s="117">
        <v>100</v>
      </c>
      <c r="I33" s="118">
        <v>100</v>
      </c>
      <c r="J33" s="117">
        <v>100</v>
      </c>
      <c r="K33" s="100">
        <v>100</v>
      </c>
      <c r="L33" s="100">
        <v>100</v>
      </c>
      <c r="M33" s="100">
        <v>100</v>
      </c>
      <c r="N33" s="116">
        <v>100</v>
      </c>
      <c r="O33" s="119">
        <v>100</v>
      </c>
      <c r="P33" s="116">
        <v>100</v>
      </c>
      <c r="Q33" s="119">
        <v>100</v>
      </c>
    </row>
    <row r="34" spans="1:17" ht="14" thickTop="1" thickBot="1">
      <c r="A34" s="120"/>
      <c r="B34" s="121"/>
      <c r="C34" s="122"/>
      <c r="D34" s="123" t="s">
        <v>574</v>
      </c>
      <c r="E34" s="123"/>
      <c r="F34" s="123"/>
      <c r="G34" s="123"/>
      <c r="H34" s="123"/>
      <c r="I34" s="123"/>
      <c r="J34" s="124"/>
      <c r="K34" s="125" t="s">
        <v>575</v>
      </c>
      <c r="L34" s="126"/>
      <c r="M34" s="126"/>
      <c r="N34" s="126"/>
      <c r="O34" s="126"/>
      <c r="P34" s="126"/>
      <c r="Q34" s="127"/>
    </row>
    <row r="35" spans="1:17" thickTop="1">
      <c r="A35" s="93" t="s">
        <v>249</v>
      </c>
      <c r="B35" s="94" t="s">
        <v>567</v>
      </c>
      <c r="C35" s="22"/>
      <c r="D35" s="96">
        <v>13.707109449031424</v>
      </c>
      <c r="E35" s="96">
        <v>11.710206944296946</v>
      </c>
      <c r="F35" s="96">
        <v>9.4299458510915066</v>
      </c>
      <c r="G35" s="97">
        <v>10.398251832525704</v>
      </c>
      <c r="H35" s="101">
        <v>11.485345199364792</v>
      </c>
      <c r="I35" s="97">
        <v>2.2040849409950423</v>
      </c>
      <c r="J35" s="101">
        <v>8.6480052616501482</v>
      </c>
      <c r="K35" s="100">
        <v>5.3489439523393312</v>
      </c>
      <c r="L35" s="100">
        <v>5.096653185807388</v>
      </c>
      <c r="M35" s="100">
        <v>3.9052898141362329</v>
      </c>
      <c r="N35" s="102">
        <v>3.4216248543363461</v>
      </c>
      <c r="O35" s="101">
        <v>4.6540517356340283</v>
      </c>
      <c r="P35" s="102">
        <v>1.3414680228859601</v>
      </c>
      <c r="Q35" s="101">
        <v>3.7834758750926478</v>
      </c>
    </row>
    <row r="36" spans="1:17" ht="12.5">
      <c r="A36" s="23"/>
      <c r="B36" s="94" t="s">
        <v>568</v>
      </c>
      <c r="C36" s="22"/>
      <c r="D36" s="100">
        <v>36.073485614974651</v>
      </c>
      <c r="E36" s="100">
        <v>8.1261077675954354</v>
      </c>
      <c r="F36" s="100">
        <v>32.060324375697427</v>
      </c>
      <c r="G36" s="102">
        <v>30.113600843965006</v>
      </c>
      <c r="H36" s="105">
        <v>23.504141644346408</v>
      </c>
      <c r="I36" s="102">
        <v>4.4335642053449007</v>
      </c>
      <c r="J36" s="105">
        <v>17.674138095978513</v>
      </c>
      <c r="K36" s="100">
        <v>31.006276852149849</v>
      </c>
      <c r="L36" s="100">
        <v>8.4039563677917908</v>
      </c>
      <c r="M36" s="100">
        <v>25.792590539002507</v>
      </c>
      <c r="N36" s="102">
        <v>23.742440586135078</v>
      </c>
      <c r="O36" s="105">
        <v>19.747044079467098</v>
      </c>
      <c r="P36" s="102">
        <v>5.9648569465853427</v>
      </c>
      <c r="Q36" s="105">
        <v>16.124965223866759</v>
      </c>
    </row>
    <row r="37" spans="1:17" ht="12.5">
      <c r="A37" s="106"/>
      <c r="B37" s="107" t="s">
        <v>569</v>
      </c>
      <c r="C37" s="108"/>
      <c r="D37" s="109">
        <v>50.219404935993929</v>
      </c>
      <c r="E37" s="109">
        <v>80.163685288107629</v>
      </c>
      <c r="F37" s="109">
        <v>58.509729773211063</v>
      </c>
      <c r="G37" s="110">
        <v>59.488147323509295</v>
      </c>
      <c r="H37" s="114">
        <v>65.010513156288823</v>
      </c>
      <c r="I37" s="110">
        <v>93.362350853660061</v>
      </c>
      <c r="J37" s="114">
        <v>73.677856642371339</v>
      </c>
      <c r="K37" s="109">
        <v>63.644779195510814</v>
      </c>
      <c r="L37" s="109">
        <v>86.499390446400824</v>
      </c>
      <c r="M37" s="109">
        <v>70.302119646861257</v>
      </c>
      <c r="N37" s="110">
        <v>72.835934559528567</v>
      </c>
      <c r="O37" s="114">
        <v>75.598904184898871</v>
      </c>
      <c r="P37" s="110">
        <v>92.693675030528695</v>
      </c>
      <c r="Q37" s="114">
        <v>80.091558901040614</v>
      </c>
    </row>
    <row r="38" spans="1:17" ht="13">
      <c r="A38" s="93" t="s">
        <v>93</v>
      </c>
      <c r="B38" s="94" t="s">
        <v>255</v>
      </c>
      <c r="C38" s="22"/>
      <c r="D38" s="100">
        <v>1.3835381428658444</v>
      </c>
      <c r="E38" s="100">
        <v>1.6564763011460604</v>
      </c>
      <c r="F38" s="100">
        <v>2.2880691135519755</v>
      </c>
      <c r="G38" s="102">
        <v>2.2765239177919931</v>
      </c>
      <c r="H38" s="105">
        <v>1.7657061929367741</v>
      </c>
      <c r="I38" s="102">
        <v>0.53791427908036671</v>
      </c>
      <c r="J38" s="105">
        <v>1.4625141523936813</v>
      </c>
      <c r="K38" s="100">
        <v>2.0620311603752706</v>
      </c>
      <c r="L38" s="100">
        <v>1.6971566002284895</v>
      </c>
      <c r="M38" s="100">
        <v>2.5522125273356004</v>
      </c>
      <c r="N38" s="102">
        <v>3.0542035378127141</v>
      </c>
      <c r="O38" s="105">
        <v>2.0425526970517467</v>
      </c>
      <c r="P38" s="102">
        <v>1.0351145668376249</v>
      </c>
      <c r="Q38" s="105">
        <v>1.8634978515394973</v>
      </c>
    </row>
    <row r="39" spans="1:17" ht="12.5">
      <c r="A39" s="23"/>
      <c r="B39" s="94" t="s">
        <v>568</v>
      </c>
      <c r="C39" s="22"/>
      <c r="D39" s="100">
        <v>18.435993097170936</v>
      </c>
      <c r="E39" s="100">
        <v>6.4612289194085237</v>
      </c>
      <c r="F39" s="100">
        <v>25.92796645541091</v>
      </c>
      <c r="G39" s="102">
        <v>35.442886105889464</v>
      </c>
      <c r="H39" s="105">
        <v>16.000106181879431</v>
      </c>
      <c r="I39" s="102">
        <v>6.0614576256284254</v>
      </c>
      <c r="J39" s="105">
        <v>13.545374398079296</v>
      </c>
      <c r="K39" s="100">
        <v>25.623264775499742</v>
      </c>
      <c r="L39" s="100">
        <v>7.1975731902045395</v>
      </c>
      <c r="M39" s="100">
        <v>33.495222288334006</v>
      </c>
      <c r="N39" s="102">
        <v>46.344935501346981</v>
      </c>
      <c r="O39" s="105">
        <v>19.606410626116272</v>
      </c>
      <c r="P39" s="102">
        <v>10.564070540514182</v>
      </c>
      <c r="Q39" s="105">
        <v>17.999289793045776</v>
      </c>
    </row>
    <row r="40" spans="1:17" ht="12.5">
      <c r="A40" s="106"/>
      <c r="B40" s="107" t="s">
        <v>576</v>
      </c>
      <c r="C40" s="108"/>
      <c r="D40" s="109">
        <v>80.180468759963233</v>
      </c>
      <c r="E40" s="109">
        <v>91.882294779445417</v>
      </c>
      <c r="F40" s="109">
        <v>71.783964431037106</v>
      </c>
      <c r="G40" s="110">
        <v>62.280589976318538</v>
      </c>
      <c r="H40" s="114">
        <v>82.234187625183793</v>
      </c>
      <c r="I40" s="110">
        <v>93.400628095291225</v>
      </c>
      <c r="J40" s="114">
        <v>84.992111449527002</v>
      </c>
      <c r="K40" s="109">
        <v>72.314704064124996</v>
      </c>
      <c r="L40" s="109">
        <v>91.105270209566996</v>
      </c>
      <c r="M40" s="109">
        <v>63.952565184330403</v>
      </c>
      <c r="N40" s="110">
        <v>50.600860960840315</v>
      </c>
      <c r="O40" s="114">
        <v>78.351036676831981</v>
      </c>
      <c r="P40" s="110">
        <v>88.400814892648171</v>
      </c>
      <c r="Q40" s="114">
        <v>80.137212355414718</v>
      </c>
    </row>
    <row r="41" spans="1:17" ht="13">
      <c r="A41" s="93" t="s">
        <v>577</v>
      </c>
      <c r="B41" s="94" t="s">
        <v>255</v>
      </c>
      <c r="C41" s="22"/>
      <c r="D41" s="100">
        <v>17.095763351895148</v>
      </c>
      <c r="E41" s="100">
        <v>15.761291414217771</v>
      </c>
      <c r="F41" s="100">
        <v>15.721088702465865</v>
      </c>
      <c r="G41" s="102">
        <v>17.717640128986556</v>
      </c>
      <c r="H41" s="105">
        <v>16.44148885167294</v>
      </c>
      <c r="I41" s="102">
        <v>1.8492375471835516</v>
      </c>
      <c r="J41" s="105">
        <v>12.179493858306254</v>
      </c>
      <c r="K41" s="100">
        <v>9.0268728217372605</v>
      </c>
      <c r="L41" s="100">
        <v>11.135963461038441</v>
      </c>
      <c r="M41" s="100">
        <v>7.7729247010364686</v>
      </c>
      <c r="N41" s="102">
        <v>8.1026517319291074</v>
      </c>
      <c r="O41" s="105">
        <v>8.9517958945516174</v>
      </c>
      <c r="P41" s="102">
        <v>2.2603582152230248</v>
      </c>
      <c r="Q41" s="105">
        <v>7.8384787304505457</v>
      </c>
    </row>
    <row r="42" spans="1:17" ht="12.5">
      <c r="A42" s="23"/>
      <c r="B42" s="94" t="s">
        <v>578</v>
      </c>
      <c r="C42" s="22"/>
      <c r="D42" s="100">
        <v>31.240592139668948</v>
      </c>
      <c r="E42" s="100">
        <v>5.4870791527197555</v>
      </c>
      <c r="F42" s="100">
        <v>38.148455568347032</v>
      </c>
      <c r="G42" s="102">
        <v>38.550056446297575</v>
      </c>
      <c r="H42" s="105">
        <v>27.236732211776136</v>
      </c>
      <c r="I42" s="102">
        <v>2.7903948162008922</v>
      </c>
      <c r="J42" s="105">
        <v>20.096601909304603</v>
      </c>
      <c r="K42" s="100">
        <v>60.518630692255329</v>
      </c>
      <c r="L42" s="100">
        <v>13.697403581896934</v>
      </c>
      <c r="M42" s="100">
        <v>60.74338277824728</v>
      </c>
      <c r="N42" s="102">
        <v>59.55748319014279</v>
      </c>
      <c r="O42" s="105">
        <v>49.968167233959306</v>
      </c>
      <c r="P42" s="102">
        <v>10.686962187466062</v>
      </c>
      <c r="Q42" s="105">
        <v>43.432585210990496</v>
      </c>
    </row>
    <row r="43" spans="1:17" ht="12.5">
      <c r="A43" s="106"/>
      <c r="B43" s="107" t="s">
        <v>576</v>
      </c>
      <c r="C43" s="108"/>
      <c r="D43" s="109">
        <v>51.663644508435894</v>
      </c>
      <c r="E43" s="109">
        <v>78.751629433062462</v>
      </c>
      <c r="F43" s="109">
        <v>46.130455729187105</v>
      </c>
      <c r="G43" s="110">
        <v>43.732303424715866</v>
      </c>
      <c r="H43" s="114">
        <v>56.321778936550935</v>
      </c>
      <c r="I43" s="110">
        <v>95.36036763661555</v>
      </c>
      <c r="J43" s="114">
        <v>67.723904232389145</v>
      </c>
      <c r="K43" s="109">
        <v>30.454496486007411</v>
      </c>
      <c r="L43" s="109">
        <v>75.166632957064621</v>
      </c>
      <c r="M43" s="109">
        <v>31.483692520716247</v>
      </c>
      <c r="N43" s="110">
        <v>32.339865077928096</v>
      </c>
      <c r="O43" s="114">
        <v>41.080036871489071</v>
      </c>
      <c r="P43" s="110">
        <v>87.052679597310913</v>
      </c>
      <c r="Q43" s="114">
        <v>48.728936058558951</v>
      </c>
    </row>
    <row r="44" spans="1:17" ht="13">
      <c r="A44" s="93" t="s">
        <v>579</v>
      </c>
      <c r="B44" s="94" t="s">
        <v>255</v>
      </c>
      <c r="C44" s="22"/>
      <c r="D44" s="128">
        <v>4.5008390781006646</v>
      </c>
      <c r="E44" s="128">
        <v>3.2169908590276095</v>
      </c>
      <c r="F44" s="128">
        <v>5.2139820322458004</v>
      </c>
      <c r="G44" s="129">
        <v>2.4938726123871469</v>
      </c>
      <c r="H44" s="130">
        <v>3.9317225935534537</v>
      </c>
      <c r="I44" s="129">
        <v>0.70816836393730676</v>
      </c>
      <c r="J44" s="130">
        <v>3.0634255554530738</v>
      </c>
      <c r="K44" s="128">
        <v>3.7863186661884214</v>
      </c>
      <c r="L44" s="128">
        <v>3.5032089256733219</v>
      </c>
      <c r="M44" s="128">
        <v>4.4548951366615386</v>
      </c>
      <c r="N44" s="129">
        <v>0.59299205326845184</v>
      </c>
      <c r="O44" s="130">
        <v>3.4648699159114247</v>
      </c>
      <c r="P44" s="129">
        <v>0.98220081224650002</v>
      </c>
      <c r="Q44" s="130">
        <v>2.9611340750221973</v>
      </c>
    </row>
    <row r="45" spans="1:17" ht="13">
      <c r="A45" s="23"/>
      <c r="B45" s="94" t="s">
        <v>578</v>
      </c>
      <c r="C45" s="22"/>
      <c r="D45" s="128">
        <v>50.081493196827211</v>
      </c>
      <c r="E45" s="128">
        <v>10.74492752850948</v>
      </c>
      <c r="F45" s="128">
        <v>45.856382354256567</v>
      </c>
      <c r="G45" s="129">
        <v>54.706195642057139</v>
      </c>
      <c r="H45" s="130">
        <v>34.473255631310224</v>
      </c>
      <c r="I45" s="129">
        <v>7.5870535223892785</v>
      </c>
      <c r="J45" s="130">
        <v>27.209783429130745</v>
      </c>
      <c r="K45" s="128">
        <v>55.027631543558641</v>
      </c>
      <c r="L45" s="128">
        <v>15.010141939553231</v>
      </c>
      <c r="M45" s="128">
        <v>50.164851544861698</v>
      </c>
      <c r="N45" s="129">
        <v>60.077717233172343</v>
      </c>
      <c r="O45" s="130">
        <v>40.548040409691566</v>
      </c>
      <c r="P45" s="129">
        <v>12.769996064470817</v>
      </c>
      <c r="Q45" s="130">
        <v>34.911849704356776</v>
      </c>
    </row>
    <row r="46" spans="1:17" ht="13">
      <c r="A46" s="23"/>
      <c r="B46" s="131" t="s">
        <v>576</v>
      </c>
      <c r="C46" s="22"/>
      <c r="D46" s="128">
        <v>45.417667725072128</v>
      </c>
      <c r="E46" s="128">
        <v>86.038081612462918</v>
      </c>
      <c r="F46" s="128">
        <v>48.929635613497602</v>
      </c>
      <c r="G46" s="129">
        <v>42.799931745555703</v>
      </c>
      <c r="H46" s="130">
        <v>61.595021775136296</v>
      </c>
      <c r="I46" s="129">
        <v>91.704778113673413</v>
      </c>
      <c r="J46" s="130">
        <v>69.726791015416183</v>
      </c>
      <c r="K46" s="128">
        <v>41.186049790252952</v>
      </c>
      <c r="L46" s="128">
        <v>81.486649134773444</v>
      </c>
      <c r="M46" s="128">
        <v>45.380253318476761</v>
      </c>
      <c r="N46" s="129">
        <v>39.329290713559203</v>
      </c>
      <c r="O46" s="130">
        <v>55.987089674397019</v>
      </c>
      <c r="P46" s="129">
        <v>86.247803123282665</v>
      </c>
      <c r="Q46" s="130">
        <v>62.12701622062103</v>
      </c>
    </row>
    <row r="47" spans="1:17" ht="13" thickBot="1">
      <c r="A47" s="35"/>
      <c r="B47" s="132"/>
      <c r="C47" s="58"/>
      <c r="D47" s="133"/>
      <c r="E47" s="133"/>
      <c r="F47" s="133"/>
      <c r="G47" s="133"/>
      <c r="H47" s="134"/>
      <c r="I47" s="135"/>
      <c r="J47" s="136"/>
      <c r="K47" s="137"/>
      <c r="L47" s="133"/>
      <c r="M47" s="133"/>
      <c r="N47" s="135"/>
      <c r="O47" s="134"/>
      <c r="P47" s="135"/>
      <c r="Q47" s="136"/>
    </row>
    <row r="48" spans="1:17" ht="13" thickTop="1"/>
    <row r="49" spans="1:4" ht="13">
      <c r="B49" s="4"/>
    </row>
    <row r="50" spans="1:4" ht="13">
      <c r="A50" s="138"/>
      <c r="B50" s="139"/>
      <c r="C50" s="139"/>
      <c r="D50" s="139"/>
    </row>
  </sheetData>
  <mergeCells count="9">
    <mergeCell ref="A18:B18"/>
    <mergeCell ref="A19:B19"/>
    <mergeCell ref="A20:B20"/>
    <mergeCell ref="E6:S6"/>
    <mergeCell ref="A7:B7"/>
    <mergeCell ref="A8:B8"/>
    <mergeCell ref="A10:B10"/>
    <mergeCell ref="A11:B11"/>
    <mergeCell ref="A12:B12"/>
  </mergeCells>
  <hyperlinks>
    <hyperlink ref="A11" location="Contents!A1" display="Contents" xr:uid="{00000000-0004-0000-1300-000000000000}"/>
    <hyperlink ref="A11:B11" r:id="rId1" display="WebTAG Unit 3.5.6" xr:uid="{00000000-0004-0000-1300-000001000000}"/>
    <hyperlink ref="A10" location="Contents!A1" display="Contents" xr:uid="{00000000-0004-0000-1300-000002000000}"/>
    <hyperlink ref="A10:B10" location="Contents!A1" tooltip="Contents page" display="Contents" xr:uid="{00000000-0004-0000-1300-000003000000}"/>
    <hyperlink ref="A12:B12" r:id="rId2" tooltip="Unit A1.3 User &amp; Provider Impacts" display="WebTAG Unit A 1.3" xr:uid="{00000000-0004-0000-1300-000004000000}"/>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6"/>
  </sheetPr>
  <dimension ref="A1:CY120"/>
  <sheetViews>
    <sheetView zoomScale="70" zoomScaleNormal="70" workbookViewId="0">
      <selection activeCell="F32" sqref="F32"/>
    </sheetView>
  </sheetViews>
  <sheetFormatPr defaultColWidth="12.81640625" defaultRowHeight="13.5" customHeight="1"/>
  <cols>
    <col min="1" max="16384" width="12.81640625" style="5"/>
  </cols>
  <sheetData>
    <row r="1" spans="1:100" ht="55" customHeight="1" thickBot="1">
      <c r="A1" s="4"/>
      <c r="C1" s="4"/>
      <c r="D1" s="1201"/>
      <c r="E1" s="1204"/>
      <c r="F1" s="1204"/>
      <c r="G1" s="1204"/>
      <c r="H1" s="1204"/>
      <c r="I1" s="1204"/>
      <c r="J1" s="1204"/>
      <c r="K1" s="1204"/>
      <c r="L1" s="1204"/>
      <c r="M1" s="1204"/>
      <c r="N1" s="1204"/>
      <c r="O1" s="1204"/>
      <c r="P1" s="1204"/>
      <c r="Q1" s="1201"/>
      <c r="R1" s="1204"/>
      <c r="S1" s="1204"/>
      <c r="T1" s="1204"/>
      <c r="U1" s="1204"/>
      <c r="V1" s="1204"/>
      <c r="W1" s="1204"/>
      <c r="X1" s="1204"/>
      <c r="Y1" s="1204"/>
      <c r="Z1" s="1204"/>
      <c r="AA1" s="1204"/>
      <c r="AB1" s="1204"/>
      <c r="AC1" s="1204"/>
      <c r="AD1" s="1201"/>
      <c r="AE1" s="1201"/>
      <c r="AF1" s="1201"/>
      <c r="AG1" s="1201"/>
      <c r="AH1" s="1201"/>
      <c r="AI1" s="1201"/>
      <c r="AJ1" s="1201"/>
      <c r="AK1" s="1201"/>
      <c r="AL1" s="1201"/>
      <c r="AM1" s="1201"/>
      <c r="AN1" s="1201"/>
      <c r="AO1" s="1201"/>
      <c r="AP1" s="1201"/>
      <c r="AQ1" s="1201"/>
      <c r="AR1" s="1204"/>
      <c r="AS1" s="1204"/>
      <c r="AT1" s="1204"/>
      <c r="AU1" s="1204"/>
      <c r="AV1" s="1204"/>
      <c r="AW1" s="1204"/>
      <c r="AX1" s="1204"/>
      <c r="AY1" s="1204"/>
      <c r="AZ1" s="1204"/>
      <c r="BA1" s="1204"/>
      <c r="BB1" s="1204"/>
      <c r="BC1" s="1204"/>
      <c r="BD1" s="1201"/>
      <c r="BE1" s="1204"/>
      <c r="BF1" s="1204"/>
      <c r="BG1" s="1204"/>
      <c r="BH1" s="1204"/>
      <c r="BI1" s="1204"/>
      <c r="BJ1" s="1204"/>
      <c r="BK1" s="1204"/>
      <c r="BL1" s="1204"/>
      <c r="BM1" s="1204"/>
      <c r="BN1" s="1204"/>
      <c r="BO1" s="1204"/>
      <c r="BP1" s="1204"/>
      <c r="BQ1" s="1201"/>
      <c r="BR1" s="1204"/>
      <c r="BS1" s="1204"/>
      <c r="BT1" s="1204"/>
      <c r="BU1" s="1204"/>
      <c r="BV1" s="1204"/>
      <c r="BW1" s="1204"/>
      <c r="BX1" s="1204"/>
      <c r="BY1" s="1204"/>
      <c r="BZ1" s="1204"/>
      <c r="CA1" s="1204"/>
      <c r="CB1" s="1204"/>
      <c r="CC1" s="1204"/>
      <c r="CD1" s="1201"/>
      <c r="CE1" s="1201"/>
      <c r="CF1" s="1201"/>
      <c r="CG1" s="1201"/>
      <c r="CH1" s="1201"/>
      <c r="CI1" s="1201"/>
      <c r="CJ1" s="1201"/>
      <c r="CK1" s="1201"/>
      <c r="CL1" s="1201"/>
      <c r="CM1" s="1201"/>
      <c r="CN1" s="1201"/>
      <c r="CO1" s="1201"/>
      <c r="CP1" s="1201"/>
    </row>
    <row r="2" spans="1:100" s="7" customFormat="1" ht="5.15" customHeight="1">
      <c r="M2" s="976"/>
      <c r="N2" s="40"/>
      <c r="O2" s="40"/>
      <c r="P2" s="40"/>
      <c r="Q2" s="976"/>
      <c r="R2" s="31"/>
      <c r="U2" s="140"/>
      <c r="V2" s="140"/>
      <c r="W2" s="140"/>
      <c r="X2" s="140"/>
      <c r="AF2" s="976"/>
      <c r="AG2" s="40"/>
      <c r="AH2" s="40"/>
      <c r="AI2" s="40"/>
      <c r="AP2" s="140"/>
      <c r="AS2" s="976"/>
      <c r="AT2" s="40"/>
      <c r="AU2" s="40"/>
      <c r="AV2" s="40"/>
      <c r="AW2" s="976"/>
      <c r="AX2" s="31"/>
      <c r="BC2" s="140"/>
      <c r="BD2" s="140"/>
      <c r="BE2" s="140"/>
      <c r="BF2" s="976"/>
      <c r="BG2" s="40"/>
      <c r="BH2" s="40"/>
      <c r="BI2" s="40"/>
      <c r="BJ2" s="976"/>
      <c r="BK2" s="31"/>
      <c r="BP2" s="140"/>
      <c r="BQ2" s="140"/>
      <c r="BR2" s="140"/>
      <c r="BS2" s="976"/>
      <c r="BT2" s="40"/>
      <c r="BU2" s="40"/>
      <c r="BV2" s="40"/>
      <c r="BW2" s="976"/>
      <c r="BX2" s="31"/>
      <c r="CC2" s="140"/>
      <c r="CD2" s="140"/>
      <c r="CE2" s="140"/>
      <c r="CQ2" s="10"/>
      <c r="CR2" s="141" t="s">
        <v>580</v>
      </c>
      <c r="CS2" s="140"/>
      <c r="CT2" s="140"/>
      <c r="CU2" s="10"/>
      <c r="CV2" s="11"/>
    </row>
    <row r="3" spans="1:100" s="7" customFormat="1" ht="20.149999999999999" customHeight="1" thickBot="1">
      <c r="A3" s="9" t="s">
        <v>581</v>
      </c>
      <c r="D3" s="10"/>
      <c r="E3" s="140"/>
      <c r="F3" s="11"/>
      <c r="G3" s="140"/>
      <c r="H3" s="10"/>
      <c r="K3" s="140"/>
      <c r="L3" s="140"/>
      <c r="M3" s="976"/>
      <c r="N3" s="4"/>
      <c r="O3" s="31"/>
      <c r="P3" s="4"/>
      <c r="Q3" s="976"/>
      <c r="R3" s="31"/>
      <c r="AG3" s="4"/>
      <c r="AH3" s="31"/>
      <c r="AI3" s="4"/>
      <c r="AS3" s="976"/>
      <c r="AT3" s="4"/>
      <c r="AU3" s="31"/>
      <c r="AV3" s="4"/>
      <c r="AW3" s="976"/>
      <c r="AX3" s="31"/>
      <c r="BF3" s="976"/>
      <c r="BG3" s="4"/>
      <c r="BH3" s="31"/>
      <c r="BI3" s="4"/>
      <c r="BJ3" s="976"/>
      <c r="BK3" s="31"/>
      <c r="BS3" s="976"/>
      <c r="BT3" s="4"/>
      <c r="BU3" s="31"/>
      <c r="BV3" s="4"/>
      <c r="BW3" s="976"/>
      <c r="BX3" s="31"/>
      <c r="CQ3" s="10"/>
      <c r="CR3" s="142" t="s">
        <v>582</v>
      </c>
      <c r="CS3" s="11"/>
      <c r="CU3" s="10"/>
      <c r="CV3" s="11"/>
    </row>
    <row r="4" spans="1:100" ht="20.149999999999999" customHeight="1" thickBot="1">
      <c r="A4" s="12" t="s">
        <v>583</v>
      </c>
      <c r="B4" s="13"/>
      <c r="C4" s="15"/>
      <c r="D4" s="15"/>
      <c r="E4" s="15"/>
      <c r="F4" s="15"/>
      <c r="G4" s="15"/>
      <c r="H4" s="15"/>
      <c r="I4" s="15"/>
      <c r="J4" s="15"/>
      <c r="K4" s="15"/>
      <c r="L4" s="15"/>
      <c r="M4" s="62"/>
      <c r="N4" s="15"/>
      <c r="O4" s="14"/>
      <c r="P4" s="15"/>
      <c r="Q4" s="62"/>
      <c r="R4" s="14"/>
      <c r="S4" s="15"/>
      <c r="T4" s="15"/>
      <c r="U4" s="15"/>
      <c r="V4" s="15"/>
      <c r="W4" s="15"/>
      <c r="X4" s="15"/>
      <c r="Y4" s="15"/>
      <c r="Z4" s="15"/>
      <c r="AA4" s="15"/>
      <c r="AB4" s="15"/>
      <c r="AC4" s="15"/>
      <c r="AD4" s="15"/>
      <c r="AE4" s="15"/>
      <c r="AF4" s="15"/>
      <c r="AG4" s="61"/>
      <c r="AH4" s="14"/>
      <c r="AI4" s="61"/>
      <c r="AJ4" s="15"/>
      <c r="AK4" s="15"/>
      <c r="AL4" s="15"/>
      <c r="AM4" s="15"/>
      <c r="AN4" s="15"/>
      <c r="AO4" s="15"/>
      <c r="AP4" s="15"/>
      <c r="AQ4" s="15"/>
      <c r="AR4" s="15"/>
      <c r="AS4" s="62"/>
      <c r="AT4" s="61"/>
      <c r="AU4" s="14"/>
      <c r="AV4" s="61"/>
      <c r="AW4" s="62"/>
      <c r="AX4" s="14"/>
      <c r="AY4" s="15"/>
      <c r="AZ4" s="15"/>
      <c r="BA4" s="15"/>
      <c r="BB4" s="15"/>
      <c r="BC4" s="15"/>
      <c r="BD4" s="15"/>
      <c r="BE4" s="15"/>
      <c r="BF4" s="62"/>
      <c r="BG4" s="61"/>
      <c r="BH4" s="14"/>
      <c r="BI4" s="61"/>
      <c r="BJ4" s="62"/>
      <c r="BK4" s="14"/>
      <c r="BL4" s="15"/>
      <c r="BM4" s="15"/>
      <c r="BN4" s="15"/>
      <c r="BO4" s="15"/>
      <c r="BP4" s="15"/>
      <c r="BQ4" s="15"/>
      <c r="BR4" s="15"/>
      <c r="BS4" s="62"/>
      <c r="BT4" s="61"/>
      <c r="BU4" s="14"/>
      <c r="BV4" s="61"/>
      <c r="BW4" s="62"/>
      <c r="BX4" s="14"/>
      <c r="BY4" s="15"/>
      <c r="BZ4" s="15"/>
      <c r="CA4" s="15"/>
      <c r="CB4" s="15"/>
      <c r="CC4" s="15"/>
      <c r="CD4" s="15"/>
      <c r="CE4" s="15"/>
      <c r="CF4" s="15"/>
      <c r="CG4" s="15"/>
      <c r="CH4" s="15"/>
      <c r="CI4" s="15"/>
      <c r="CJ4" s="15"/>
      <c r="CK4" s="15"/>
      <c r="CL4" s="15"/>
      <c r="CM4" s="15"/>
      <c r="CN4" s="15"/>
      <c r="CO4" s="15"/>
      <c r="CP4" s="15"/>
      <c r="CQ4" s="976"/>
      <c r="CS4" s="31"/>
      <c r="CT4" s="4"/>
      <c r="CU4" s="976"/>
      <c r="CV4" s="31"/>
    </row>
    <row r="5" spans="1:100" ht="10" customHeight="1" thickTop="1" thickBot="1">
      <c r="C5" s="40"/>
      <c r="D5" s="18"/>
      <c r="O5" s="31"/>
      <c r="Q5" s="143"/>
      <c r="AG5" s="144"/>
      <c r="AH5" s="4"/>
      <c r="AI5" s="4"/>
      <c r="AJ5" s="976"/>
      <c r="AS5" s="976"/>
      <c r="AT5" s="144"/>
      <c r="AU5" s="4"/>
      <c r="AV5" s="4"/>
      <c r="AW5" s="976"/>
      <c r="BF5" s="976"/>
      <c r="BG5" s="144"/>
      <c r="BH5" s="31"/>
      <c r="BI5" s="4"/>
      <c r="BJ5" s="976"/>
      <c r="BS5" s="976"/>
      <c r="BT5" s="144"/>
      <c r="BU5" s="31"/>
      <c r="BV5" s="4"/>
      <c r="BW5" s="976"/>
      <c r="CP5" s="4"/>
      <c r="CQ5" s="976"/>
      <c r="CR5" s="145">
        <f>IF(E21="£ per hour",1,10/6)</f>
        <v>1</v>
      </c>
      <c r="CS5" s="31"/>
      <c r="CT5" s="4"/>
      <c r="CU5" s="976"/>
    </row>
    <row r="6" spans="1:100" ht="13.5" customHeight="1" thickTop="1">
      <c r="A6" s="20" t="s">
        <v>430</v>
      </c>
      <c r="B6" s="20"/>
      <c r="E6" s="1167" t="s">
        <v>142</v>
      </c>
      <c r="F6" s="1181"/>
      <c r="G6" s="1181"/>
      <c r="H6" s="1181"/>
      <c r="I6" s="1181"/>
      <c r="J6" s="1181"/>
      <c r="K6" s="1181"/>
      <c r="L6" s="1181"/>
      <c r="M6" s="1181"/>
      <c r="N6" s="1181"/>
      <c r="O6" s="1181"/>
      <c r="P6" s="1181"/>
      <c r="Q6" s="1202"/>
      <c r="R6" s="1181"/>
      <c r="S6" s="1182"/>
    </row>
    <row r="7" spans="1:100" ht="13.5" customHeight="1">
      <c r="A7" s="1183" t="s">
        <v>584</v>
      </c>
      <c r="B7" s="1184"/>
      <c r="D7" s="22"/>
      <c r="E7" s="23" t="s">
        <v>585</v>
      </c>
      <c r="F7" s="4"/>
      <c r="S7" s="22"/>
    </row>
    <row r="8" spans="1:100" ht="13.5" customHeight="1">
      <c r="A8" s="1171">
        <v>44682</v>
      </c>
      <c r="B8" s="1172"/>
      <c r="C8" s="18"/>
      <c r="D8" s="18"/>
      <c r="E8" s="23" t="s">
        <v>586</v>
      </c>
      <c r="F8" s="24"/>
      <c r="S8" s="22"/>
    </row>
    <row r="9" spans="1:100" ht="13.5" customHeight="1" thickBot="1">
      <c r="A9" s="20" t="s">
        <v>435</v>
      </c>
      <c r="B9" s="25"/>
      <c r="D9" s="18"/>
      <c r="E9" s="23" t="s">
        <v>587</v>
      </c>
      <c r="K9" s="24"/>
      <c r="S9" s="22"/>
    </row>
    <row r="10" spans="1:100" ht="13.5" customHeight="1" thickBot="1">
      <c r="A10" s="1176" t="s">
        <v>438</v>
      </c>
      <c r="B10" s="1185"/>
      <c r="D10" s="18"/>
      <c r="E10" s="23" t="s">
        <v>588</v>
      </c>
      <c r="S10" s="22"/>
    </row>
    <row r="11" spans="1:100" ht="13.5" customHeight="1" thickBot="1">
      <c r="A11" s="1176" t="s">
        <v>440</v>
      </c>
      <c r="B11" s="1203"/>
      <c r="D11" s="18"/>
      <c r="E11" s="23"/>
      <c r="S11" s="22"/>
    </row>
    <row r="12" spans="1:100" ht="13.5" customHeight="1" thickBot="1">
      <c r="A12" s="1176" t="s">
        <v>441</v>
      </c>
      <c r="B12" s="1177"/>
      <c r="D12" s="18"/>
      <c r="E12" s="23"/>
      <c r="F12" s="26"/>
      <c r="G12" s="26"/>
      <c r="H12" s="26"/>
      <c r="I12" s="26"/>
      <c r="J12" s="26"/>
      <c r="K12" s="26"/>
      <c r="L12" s="26"/>
      <c r="M12" s="26"/>
      <c r="N12" s="26"/>
      <c r="O12" s="26"/>
      <c r="P12" s="26"/>
      <c r="Q12" s="26"/>
      <c r="R12" s="26"/>
      <c r="S12" s="27"/>
    </row>
    <row r="13" spans="1:100" ht="13.5" customHeight="1">
      <c r="A13" s="20" t="s">
        <v>444</v>
      </c>
      <c r="B13" s="28"/>
      <c r="C13" s="18"/>
      <c r="D13" s="18"/>
      <c r="E13" s="146"/>
      <c r="S13" s="22"/>
    </row>
    <row r="14" spans="1:100" ht="13.5" customHeight="1">
      <c r="A14" s="30" t="s">
        <v>446</v>
      </c>
      <c r="B14" s="147">
        <v>2010</v>
      </c>
      <c r="C14" s="18"/>
      <c r="D14" s="18"/>
      <c r="E14" s="23"/>
      <c r="S14" s="22"/>
    </row>
    <row r="15" spans="1:100" ht="13.5" customHeight="1">
      <c r="A15" s="5" t="s">
        <v>589</v>
      </c>
      <c r="B15" s="147">
        <v>2010</v>
      </c>
      <c r="C15" s="18"/>
      <c r="D15" s="18"/>
      <c r="E15" s="23"/>
      <c r="S15" s="22"/>
    </row>
    <row r="16" spans="1:100" ht="13.5" customHeight="1">
      <c r="A16" s="20" t="s">
        <v>451</v>
      </c>
      <c r="B16" s="25"/>
      <c r="C16" s="18"/>
      <c r="D16" s="18"/>
      <c r="E16" s="23"/>
      <c r="S16" s="22"/>
    </row>
    <row r="17" spans="1:103" ht="13.5" customHeight="1">
      <c r="A17" s="148" t="s">
        <v>590</v>
      </c>
      <c r="B17" s="148" t="s">
        <v>591</v>
      </c>
      <c r="C17" s="18"/>
      <c r="D17" s="34"/>
      <c r="S17" s="22"/>
    </row>
    <row r="18" spans="1:103" ht="13.5" customHeight="1">
      <c r="A18" s="148" t="s">
        <v>592</v>
      </c>
      <c r="B18" s="148" t="s">
        <v>593</v>
      </c>
      <c r="C18" s="18"/>
      <c r="D18" s="34"/>
      <c r="E18" s="5" t="s">
        <v>594</v>
      </c>
      <c r="S18" s="22"/>
    </row>
    <row r="19" spans="1:103" ht="13.5" customHeight="1" thickBot="1">
      <c r="A19" s="1189" t="s">
        <v>595</v>
      </c>
      <c r="B19" s="1190"/>
      <c r="C19" s="18"/>
      <c r="D19" s="34"/>
      <c r="E19" s="35" t="s">
        <v>596</v>
      </c>
      <c r="F19" s="55"/>
      <c r="G19" s="55"/>
      <c r="H19" s="55"/>
      <c r="I19" s="55"/>
      <c r="J19" s="55"/>
      <c r="K19" s="55"/>
      <c r="L19" s="55"/>
      <c r="M19" s="55"/>
      <c r="N19" s="55"/>
      <c r="O19" s="55"/>
      <c r="P19" s="55"/>
      <c r="Q19" s="55"/>
      <c r="R19" s="55"/>
      <c r="S19" s="58"/>
    </row>
    <row r="20" spans="1:103" ht="13.5" customHeight="1" thickTop="1" thickBot="1">
      <c r="A20" s="1189" t="s">
        <v>597</v>
      </c>
      <c r="B20" s="1190"/>
      <c r="C20" s="18"/>
      <c r="D20" s="18"/>
      <c r="F20" s="4"/>
      <c r="G20" s="4"/>
      <c r="H20" s="4"/>
      <c r="I20" s="4"/>
      <c r="J20" s="4"/>
      <c r="K20" s="4"/>
      <c r="L20" s="4"/>
      <c r="M20" s="4"/>
      <c r="N20" s="4"/>
      <c r="O20" s="4"/>
      <c r="P20" s="4"/>
      <c r="Q20" s="4"/>
      <c r="R20" s="4"/>
      <c r="S20" s="149"/>
    </row>
    <row r="21" spans="1:103" ht="13.5" customHeight="1" thickBot="1">
      <c r="A21" s="1189" t="s">
        <v>598</v>
      </c>
      <c r="B21" s="1190"/>
      <c r="C21" s="40"/>
      <c r="D21" s="18"/>
      <c r="E21" s="150" t="s">
        <v>580</v>
      </c>
      <c r="F21" s="151" t="s">
        <v>599</v>
      </c>
      <c r="G21" s="4" t="s">
        <v>600</v>
      </c>
      <c r="O21" s="31"/>
      <c r="Q21" s="976"/>
      <c r="AF21" s="976"/>
      <c r="AG21" s="144"/>
      <c r="AH21" s="4"/>
      <c r="AI21" s="4"/>
      <c r="AJ21" s="976"/>
      <c r="AS21" s="976"/>
      <c r="AT21" s="144"/>
      <c r="AU21" s="4"/>
      <c r="AV21" s="4"/>
      <c r="AW21" s="976"/>
      <c r="BF21" s="976"/>
      <c r="BG21" s="144"/>
      <c r="BH21" s="31"/>
      <c r="BI21" s="4"/>
      <c r="BJ21" s="976"/>
      <c r="BS21" s="976"/>
      <c r="BT21" s="144"/>
      <c r="BU21" s="31"/>
      <c r="BV21" s="4"/>
      <c r="BW21" s="976"/>
      <c r="CP21" s="4"/>
      <c r="CQ21" s="976"/>
      <c r="CR21" s="144"/>
      <c r="CS21" s="31"/>
      <c r="CT21" s="4"/>
      <c r="CU21" s="976"/>
      <c r="CY21" s="144"/>
    </row>
    <row r="22" spans="1:103" ht="13.5" customHeight="1" thickBot="1">
      <c r="C22" s="40"/>
      <c r="D22" s="152"/>
      <c r="H22" s="1072"/>
      <c r="I22" s="1072"/>
      <c r="K22" s="153"/>
      <c r="N22" s="144"/>
      <c r="Q22" s="976"/>
      <c r="AF22" s="976"/>
      <c r="AG22" s="144"/>
      <c r="AJ22" s="976"/>
      <c r="AS22" s="976"/>
      <c r="AT22" s="144"/>
      <c r="AW22" s="976"/>
      <c r="BF22" s="976"/>
      <c r="BG22" s="144"/>
      <c r="BH22" s="31"/>
      <c r="BJ22" s="976"/>
      <c r="BS22" s="976"/>
      <c r="BT22" s="144"/>
      <c r="BU22" s="31"/>
      <c r="BW22" s="976"/>
      <c r="CP22" s="4"/>
      <c r="CQ22" s="976"/>
      <c r="CR22" s="144"/>
      <c r="CS22" s="31"/>
      <c r="CU22" s="976"/>
    </row>
    <row r="23" spans="1:103" ht="13.5" customHeight="1" thickTop="1" thickBot="1">
      <c r="A23" s="154" t="str">
        <f>CONCATENATE("Table A 1.3.6:  Market Price Values of Time per Vehicle based on distance travelled (",E21,", ",B14," prices)")</f>
        <v>Table A 1.3.6:  Market Price Values of Time per Vehicle based on distance travelled (£ per hour, 2010 prices)</v>
      </c>
      <c r="B23" s="155"/>
      <c r="C23" s="43"/>
      <c r="D23" s="43"/>
      <c r="E23" s="43"/>
      <c r="F23" s="43"/>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c r="CF23" s="156"/>
      <c r="CG23" s="156"/>
      <c r="CH23" s="156"/>
      <c r="CI23" s="156"/>
      <c r="CJ23" s="156"/>
      <c r="CK23" s="156"/>
      <c r="CL23" s="156"/>
      <c r="CM23" s="156"/>
      <c r="CN23" s="156"/>
      <c r="CO23" s="156"/>
      <c r="CP23" s="44"/>
    </row>
    <row r="24" spans="1:103" ht="13.5" customHeight="1" thickTop="1" thickBot="1">
      <c r="A24" s="157"/>
      <c r="B24" s="25"/>
      <c r="C24" s="25"/>
      <c r="D24" s="158" t="s">
        <v>601</v>
      </c>
      <c r="E24" s="159"/>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1"/>
      <c r="BQ24" s="1191" t="s">
        <v>597</v>
      </c>
      <c r="BR24" s="1192"/>
      <c r="BS24" s="1192"/>
      <c r="BT24" s="1192"/>
      <c r="BU24" s="1192"/>
      <c r="BV24" s="1192"/>
      <c r="BW24" s="1192"/>
      <c r="BX24" s="1192"/>
      <c r="BY24" s="1192"/>
      <c r="BZ24" s="1192"/>
      <c r="CA24" s="1192"/>
      <c r="CB24" s="1192"/>
      <c r="CC24" s="1193"/>
      <c r="CD24" s="1191" t="s">
        <v>557</v>
      </c>
      <c r="CE24" s="1199"/>
      <c r="CF24" s="1199"/>
      <c r="CG24" s="1199"/>
      <c r="CH24" s="1199"/>
      <c r="CI24" s="1199"/>
      <c r="CJ24" s="1199"/>
      <c r="CK24" s="1199"/>
      <c r="CL24" s="1199"/>
      <c r="CM24" s="1199"/>
      <c r="CN24" s="1199"/>
      <c r="CO24" s="1199"/>
      <c r="CP24" s="1200"/>
      <c r="CQ24" s="31"/>
    </row>
    <row r="25" spans="1:103" ht="13.5" customHeight="1" thickBot="1">
      <c r="A25" s="157"/>
      <c r="B25" s="25"/>
      <c r="C25" s="25"/>
      <c r="D25" s="1194" t="s">
        <v>602</v>
      </c>
      <c r="E25" s="1195"/>
      <c r="F25" s="1195"/>
      <c r="G25" s="1195"/>
      <c r="H25" s="1195"/>
      <c r="I25" s="1195"/>
      <c r="J25" s="1195"/>
      <c r="K25" s="1195"/>
      <c r="L25" s="1195"/>
      <c r="M25" s="1195"/>
      <c r="N25" s="1195"/>
      <c r="O25" s="1195"/>
      <c r="P25" s="1196"/>
      <c r="Q25" s="1194" t="s">
        <v>603</v>
      </c>
      <c r="R25" s="1195"/>
      <c r="S25" s="1195"/>
      <c r="T25" s="1195"/>
      <c r="U25" s="1195"/>
      <c r="V25" s="1195"/>
      <c r="W25" s="1195"/>
      <c r="X25" s="1195"/>
      <c r="Y25" s="1195"/>
      <c r="Z25" s="1195"/>
      <c r="AA25" s="1195"/>
      <c r="AB25" s="1195"/>
      <c r="AC25" s="1196"/>
      <c r="AD25" s="1194" t="s">
        <v>604</v>
      </c>
      <c r="AE25" s="1195"/>
      <c r="AF25" s="1195"/>
      <c r="AG25" s="1195"/>
      <c r="AH25" s="1195"/>
      <c r="AI25" s="1195"/>
      <c r="AJ25" s="1195"/>
      <c r="AK25" s="1195"/>
      <c r="AL25" s="1195"/>
      <c r="AM25" s="1195"/>
      <c r="AN25" s="1195"/>
      <c r="AO25" s="1195"/>
      <c r="AP25" s="1196"/>
      <c r="AQ25" s="1197" t="s">
        <v>605</v>
      </c>
      <c r="AR25" s="1195"/>
      <c r="AS25" s="1195"/>
      <c r="AT25" s="1195"/>
      <c r="AU25" s="1195"/>
      <c r="AV25" s="1195"/>
      <c r="AW25" s="1195"/>
      <c r="AX25" s="1195"/>
      <c r="AY25" s="1195"/>
      <c r="AZ25" s="1195"/>
      <c r="BA25" s="1195"/>
      <c r="BB25" s="1195"/>
      <c r="BC25" s="1196"/>
      <c r="BD25" s="1198" t="s">
        <v>606</v>
      </c>
      <c r="BE25" s="1195"/>
      <c r="BF25" s="1195"/>
      <c r="BG25" s="1195"/>
      <c r="BH25" s="1195"/>
      <c r="BI25" s="1195"/>
      <c r="BJ25" s="1195"/>
      <c r="BK25" s="1195"/>
      <c r="BL25" s="1195"/>
      <c r="BM25" s="1195"/>
      <c r="BN25" s="1195"/>
      <c r="BO25" s="1195"/>
      <c r="BP25" s="1196"/>
      <c r="BQ25" s="162"/>
      <c r="BR25" s="162"/>
      <c r="BS25" s="162"/>
      <c r="BT25" s="162"/>
      <c r="BU25" s="162"/>
      <c r="BV25" s="162"/>
      <c r="BW25" s="162"/>
      <c r="BX25" s="162"/>
      <c r="BY25" s="162"/>
      <c r="BZ25" s="162"/>
      <c r="CA25" s="162"/>
      <c r="CB25" s="162"/>
      <c r="CC25" s="163"/>
      <c r="CD25" s="164"/>
      <c r="CE25" s="164"/>
      <c r="CF25" s="164"/>
      <c r="CG25" s="164"/>
      <c r="CH25" s="164"/>
      <c r="CI25" s="164"/>
      <c r="CJ25" s="164"/>
      <c r="CK25" s="164"/>
      <c r="CL25" s="164"/>
      <c r="CM25" s="164"/>
      <c r="CN25" s="164"/>
      <c r="CO25" s="164"/>
      <c r="CP25" s="165"/>
    </row>
    <row r="26" spans="1:103" ht="13.5" customHeight="1">
      <c r="A26" s="157"/>
      <c r="B26" s="25"/>
      <c r="C26" s="25"/>
      <c r="D26" s="166" t="s">
        <v>249</v>
      </c>
      <c r="E26" s="167"/>
      <c r="F26" s="167"/>
      <c r="G26" s="168"/>
      <c r="H26" s="167" t="s">
        <v>89</v>
      </c>
      <c r="I26" s="167"/>
      <c r="J26" s="169"/>
      <c r="K26" s="169" t="s">
        <v>572</v>
      </c>
      <c r="L26" s="170" t="s">
        <v>573</v>
      </c>
      <c r="M26" s="171" t="s">
        <v>607</v>
      </c>
      <c r="N26" s="172"/>
      <c r="O26" s="172"/>
      <c r="P26" s="173"/>
      <c r="Q26" s="174" t="s">
        <v>249</v>
      </c>
      <c r="R26" s="172"/>
      <c r="S26" s="172"/>
      <c r="T26" s="168"/>
      <c r="U26" s="175" t="s">
        <v>89</v>
      </c>
      <c r="V26" s="172"/>
      <c r="W26" s="168"/>
      <c r="X26" s="168" t="s">
        <v>572</v>
      </c>
      <c r="Y26" s="176" t="s">
        <v>573</v>
      </c>
      <c r="Z26" s="171" t="s">
        <v>607</v>
      </c>
      <c r="AA26" s="172"/>
      <c r="AB26" s="172"/>
      <c r="AC26" s="177"/>
      <c r="AD26" s="174" t="s">
        <v>249</v>
      </c>
      <c r="AE26" s="167"/>
      <c r="AF26" s="167"/>
      <c r="AG26" s="168"/>
      <c r="AH26" s="175" t="s">
        <v>89</v>
      </c>
      <c r="AI26" s="167"/>
      <c r="AJ26" s="168"/>
      <c r="AK26" s="168" t="s">
        <v>572</v>
      </c>
      <c r="AL26" s="176" t="s">
        <v>573</v>
      </c>
      <c r="AM26" s="171" t="s">
        <v>607</v>
      </c>
      <c r="AN26" s="172"/>
      <c r="AO26" s="172"/>
      <c r="AP26" s="177"/>
      <c r="AQ26" s="174" t="s">
        <v>249</v>
      </c>
      <c r="AR26" s="172"/>
      <c r="AS26" s="172"/>
      <c r="AT26" s="168"/>
      <c r="AU26" s="175" t="s">
        <v>89</v>
      </c>
      <c r="AV26" s="172"/>
      <c r="AW26" s="168"/>
      <c r="AX26" s="168" t="s">
        <v>572</v>
      </c>
      <c r="AY26" s="176" t="s">
        <v>573</v>
      </c>
      <c r="AZ26" s="171" t="s">
        <v>607</v>
      </c>
      <c r="BA26" s="172"/>
      <c r="BB26" s="172"/>
      <c r="BC26" s="177"/>
      <c r="BD26" s="172" t="s">
        <v>249</v>
      </c>
      <c r="BE26" s="172"/>
      <c r="BF26" s="172"/>
      <c r="BG26" s="168"/>
      <c r="BH26" s="175" t="s">
        <v>89</v>
      </c>
      <c r="BI26" s="172"/>
      <c r="BJ26" s="168"/>
      <c r="BK26" s="168" t="s">
        <v>572</v>
      </c>
      <c r="BL26" s="176" t="s">
        <v>573</v>
      </c>
      <c r="BM26" s="171" t="s">
        <v>607</v>
      </c>
      <c r="BN26" s="172"/>
      <c r="BO26" s="172"/>
      <c r="BP26" s="177"/>
      <c r="BQ26" s="167" t="s">
        <v>249</v>
      </c>
      <c r="BR26" s="167"/>
      <c r="BS26" s="167"/>
      <c r="BT26" s="169"/>
      <c r="BU26" s="178" t="s">
        <v>89</v>
      </c>
      <c r="BV26" s="167"/>
      <c r="BW26" s="169"/>
      <c r="BX26" s="169" t="s">
        <v>572</v>
      </c>
      <c r="BY26" s="170" t="s">
        <v>573</v>
      </c>
      <c r="BZ26" s="171" t="s">
        <v>607</v>
      </c>
      <c r="CA26" s="167"/>
      <c r="CB26" s="167"/>
      <c r="CC26" s="179"/>
      <c r="CD26" s="167" t="s">
        <v>249</v>
      </c>
      <c r="CE26" s="167"/>
      <c r="CF26" s="167"/>
      <c r="CG26" s="169"/>
      <c r="CH26" s="178" t="s">
        <v>89</v>
      </c>
      <c r="CI26" s="167"/>
      <c r="CJ26" s="169"/>
      <c r="CK26" s="169" t="s">
        <v>572</v>
      </c>
      <c r="CL26" s="170" t="s">
        <v>573</v>
      </c>
      <c r="CM26" s="171" t="s">
        <v>607</v>
      </c>
      <c r="CN26" s="167"/>
      <c r="CO26" s="167"/>
      <c r="CP26" s="179"/>
    </row>
    <row r="27" spans="1:103" ht="13.5" customHeight="1" thickBot="1">
      <c r="A27" s="157"/>
      <c r="B27" s="180" t="s">
        <v>474</v>
      </c>
      <c r="C27" s="25"/>
      <c r="D27" s="181" t="s">
        <v>255</v>
      </c>
      <c r="E27" s="182" t="s">
        <v>578</v>
      </c>
      <c r="F27" s="182" t="s">
        <v>576</v>
      </c>
      <c r="G27" s="183" t="s">
        <v>563</v>
      </c>
      <c r="H27" s="184" t="s">
        <v>255</v>
      </c>
      <c r="I27" s="182" t="s">
        <v>468</v>
      </c>
      <c r="J27" s="185" t="s">
        <v>563</v>
      </c>
      <c r="K27" s="185" t="s">
        <v>255</v>
      </c>
      <c r="L27" s="186" t="s">
        <v>255</v>
      </c>
      <c r="M27" s="187" t="s">
        <v>255</v>
      </c>
      <c r="N27" s="188" t="s">
        <v>578</v>
      </c>
      <c r="O27" s="188" t="s">
        <v>576</v>
      </c>
      <c r="P27" s="189" t="s">
        <v>77</v>
      </c>
      <c r="Q27" s="190" t="s">
        <v>255</v>
      </c>
      <c r="R27" s="188" t="s">
        <v>578</v>
      </c>
      <c r="S27" s="188" t="s">
        <v>576</v>
      </c>
      <c r="T27" s="185" t="s">
        <v>563</v>
      </c>
      <c r="U27" s="191" t="s">
        <v>255</v>
      </c>
      <c r="V27" s="188" t="s">
        <v>468</v>
      </c>
      <c r="W27" s="185" t="s">
        <v>563</v>
      </c>
      <c r="X27" s="185" t="s">
        <v>255</v>
      </c>
      <c r="Y27" s="191" t="s">
        <v>255</v>
      </c>
      <c r="Z27" s="191" t="s">
        <v>255</v>
      </c>
      <c r="AA27" s="188" t="s">
        <v>578</v>
      </c>
      <c r="AB27" s="188" t="s">
        <v>576</v>
      </c>
      <c r="AC27" s="192" t="s">
        <v>77</v>
      </c>
      <c r="AD27" s="190" t="s">
        <v>255</v>
      </c>
      <c r="AE27" s="182" t="s">
        <v>578</v>
      </c>
      <c r="AF27" s="182" t="s">
        <v>576</v>
      </c>
      <c r="AG27" s="185" t="s">
        <v>563</v>
      </c>
      <c r="AH27" s="191" t="s">
        <v>255</v>
      </c>
      <c r="AI27" s="182" t="s">
        <v>468</v>
      </c>
      <c r="AJ27" s="185" t="s">
        <v>563</v>
      </c>
      <c r="AK27" s="185" t="s">
        <v>255</v>
      </c>
      <c r="AL27" s="191" t="s">
        <v>255</v>
      </c>
      <c r="AM27" s="191" t="s">
        <v>255</v>
      </c>
      <c r="AN27" s="188" t="s">
        <v>578</v>
      </c>
      <c r="AO27" s="188" t="s">
        <v>576</v>
      </c>
      <c r="AP27" s="192" t="s">
        <v>77</v>
      </c>
      <c r="AQ27" s="190" t="s">
        <v>255</v>
      </c>
      <c r="AR27" s="182" t="s">
        <v>578</v>
      </c>
      <c r="AS27" s="182" t="s">
        <v>576</v>
      </c>
      <c r="AT27" s="185" t="s">
        <v>563</v>
      </c>
      <c r="AU27" s="187" t="s">
        <v>255</v>
      </c>
      <c r="AV27" s="182" t="s">
        <v>468</v>
      </c>
      <c r="AW27" s="185" t="s">
        <v>563</v>
      </c>
      <c r="AX27" s="185" t="s">
        <v>255</v>
      </c>
      <c r="AY27" s="191" t="s">
        <v>255</v>
      </c>
      <c r="AZ27" s="191" t="s">
        <v>255</v>
      </c>
      <c r="BA27" s="188" t="s">
        <v>578</v>
      </c>
      <c r="BB27" s="188" t="s">
        <v>576</v>
      </c>
      <c r="BC27" s="192" t="s">
        <v>77</v>
      </c>
      <c r="BD27" s="187" t="s">
        <v>255</v>
      </c>
      <c r="BE27" s="182" t="s">
        <v>578</v>
      </c>
      <c r="BF27" s="182" t="s">
        <v>576</v>
      </c>
      <c r="BG27" s="185" t="s">
        <v>563</v>
      </c>
      <c r="BH27" s="191" t="s">
        <v>255</v>
      </c>
      <c r="BI27" s="182" t="s">
        <v>468</v>
      </c>
      <c r="BJ27" s="185" t="s">
        <v>563</v>
      </c>
      <c r="BK27" s="185" t="s">
        <v>255</v>
      </c>
      <c r="BL27" s="191" t="s">
        <v>255</v>
      </c>
      <c r="BM27" s="191" t="s">
        <v>255</v>
      </c>
      <c r="BN27" s="188" t="s">
        <v>578</v>
      </c>
      <c r="BO27" s="188" t="s">
        <v>576</v>
      </c>
      <c r="BP27" s="192" t="s">
        <v>77</v>
      </c>
      <c r="BQ27" s="187" t="s">
        <v>255</v>
      </c>
      <c r="BR27" s="182" t="s">
        <v>578</v>
      </c>
      <c r="BS27" s="182" t="s">
        <v>576</v>
      </c>
      <c r="BT27" s="185" t="s">
        <v>563</v>
      </c>
      <c r="BU27" s="191" t="s">
        <v>255</v>
      </c>
      <c r="BV27" s="182" t="s">
        <v>468</v>
      </c>
      <c r="BW27" s="185" t="s">
        <v>563</v>
      </c>
      <c r="BX27" s="185" t="s">
        <v>255</v>
      </c>
      <c r="BY27" s="191" t="s">
        <v>255</v>
      </c>
      <c r="BZ27" s="191" t="s">
        <v>255</v>
      </c>
      <c r="CA27" s="188" t="s">
        <v>578</v>
      </c>
      <c r="CB27" s="188" t="s">
        <v>576</v>
      </c>
      <c r="CC27" s="192" t="s">
        <v>77</v>
      </c>
      <c r="CD27" s="187" t="s">
        <v>255</v>
      </c>
      <c r="CE27" s="182" t="s">
        <v>578</v>
      </c>
      <c r="CF27" s="182" t="s">
        <v>576</v>
      </c>
      <c r="CG27" s="185" t="s">
        <v>563</v>
      </c>
      <c r="CH27" s="191" t="s">
        <v>255</v>
      </c>
      <c r="CI27" s="182" t="s">
        <v>468</v>
      </c>
      <c r="CJ27" s="185" t="s">
        <v>563</v>
      </c>
      <c r="CK27" s="185" t="s">
        <v>255</v>
      </c>
      <c r="CL27" s="191" t="s">
        <v>255</v>
      </c>
      <c r="CM27" s="191" t="s">
        <v>255</v>
      </c>
      <c r="CN27" s="188" t="s">
        <v>578</v>
      </c>
      <c r="CO27" s="188" t="s">
        <v>576</v>
      </c>
      <c r="CP27" s="189" t="s">
        <v>77</v>
      </c>
    </row>
    <row r="28" spans="1:103" ht="13.5" customHeight="1" thickTop="1">
      <c r="A28" s="157"/>
      <c r="B28" s="180">
        <v>1</v>
      </c>
      <c r="C28" s="25">
        <v>2</v>
      </c>
      <c r="D28" s="180">
        <v>3</v>
      </c>
      <c r="E28" s="25">
        <v>4</v>
      </c>
      <c r="F28" s="180">
        <v>5</v>
      </c>
      <c r="G28" s="25">
        <v>6</v>
      </c>
      <c r="H28" s="180">
        <v>7</v>
      </c>
      <c r="I28" s="25">
        <v>8</v>
      </c>
      <c r="J28" s="180">
        <v>9</v>
      </c>
      <c r="K28" s="25">
        <v>10</v>
      </c>
      <c r="L28" s="180">
        <v>11</v>
      </c>
      <c r="M28" s="25">
        <v>12</v>
      </c>
      <c r="N28" s="180">
        <v>13</v>
      </c>
      <c r="O28" s="25">
        <v>14</v>
      </c>
      <c r="P28" s="180">
        <v>15</v>
      </c>
      <c r="Q28" s="25">
        <v>16</v>
      </c>
      <c r="R28" s="180">
        <v>17</v>
      </c>
      <c r="S28" s="25">
        <v>18</v>
      </c>
      <c r="T28" s="180">
        <v>19</v>
      </c>
      <c r="U28" s="25">
        <v>20</v>
      </c>
      <c r="V28" s="180">
        <v>21</v>
      </c>
      <c r="W28" s="25">
        <v>22</v>
      </c>
      <c r="X28" s="180">
        <v>23</v>
      </c>
      <c r="Y28" s="25">
        <v>24</v>
      </c>
      <c r="Z28" s="180">
        <v>25</v>
      </c>
      <c r="AA28" s="25">
        <v>26</v>
      </c>
      <c r="AB28" s="180">
        <v>27</v>
      </c>
      <c r="AC28" s="25">
        <v>28</v>
      </c>
      <c r="AD28" s="180">
        <v>29</v>
      </c>
      <c r="AE28" s="25">
        <v>30</v>
      </c>
      <c r="AF28" s="180">
        <v>31</v>
      </c>
      <c r="AG28" s="25">
        <v>32</v>
      </c>
      <c r="AH28" s="180">
        <v>33</v>
      </c>
      <c r="AI28" s="25">
        <v>34</v>
      </c>
      <c r="AJ28" s="180">
        <v>35</v>
      </c>
      <c r="AK28" s="25">
        <v>36</v>
      </c>
      <c r="AL28" s="180">
        <v>37</v>
      </c>
      <c r="AM28" s="25">
        <v>38</v>
      </c>
      <c r="AN28" s="180">
        <v>39</v>
      </c>
      <c r="AO28" s="25">
        <v>40</v>
      </c>
      <c r="AP28" s="180">
        <v>41</v>
      </c>
      <c r="AQ28" s="25">
        <v>42</v>
      </c>
      <c r="AR28" s="180">
        <v>43</v>
      </c>
      <c r="AS28" s="25">
        <v>44</v>
      </c>
      <c r="AT28" s="180">
        <v>45</v>
      </c>
      <c r="AU28" s="25">
        <v>46</v>
      </c>
      <c r="AV28" s="180">
        <v>47</v>
      </c>
      <c r="AW28" s="25">
        <v>48</v>
      </c>
      <c r="AX28" s="180">
        <v>49</v>
      </c>
      <c r="AY28" s="25">
        <v>50</v>
      </c>
      <c r="AZ28" s="180">
        <v>51</v>
      </c>
      <c r="BA28" s="25">
        <v>52</v>
      </c>
      <c r="BB28" s="180">
        <v>53</v>
      </c>
      <c r="BC28" s="25">
        <v>54</v>
      </c>
      <c r="BD28" s="180">
        <v>55</v>
      </c>
      <c r="BE28" s="25">
        <v>56</v>
      </c>
      <c r="BF28" s="180">
        <v>57</v>
      </c>
      <c r="BG28" s="25">
        <v>58</v>
      </c>
      <c r="BH28" s="180">
        <v>59</v>
      </c>
      <c r="BI28" s="25">
        <v>60</v>
      </c>
      <c r="BJ28" s="180">
        <v>61</v>
      </c>
      <c r="BK28" s="25">
        <v>62</v>
      </c>
      <c r="BL28" s="180">
        <v>63</v>
      </c>
      <c r="BM28" s="25">
        <v>64</v>
      </c>
      <c r="BN28" s="180">
        <v>65</v>
      </c>
      <c r="BO28" s="25">
        <v>66</v>
      </c>
      <c r="BP28" s="180">
        <v>67</v>
      </c>
      <c r="BQ28" s="25">
        <v>68</v>
      </c>
      <c r="BR28" s="180">
        <v>69</v>
      </c>
      <c r="BS28" s="25">
        <v>70</v>
      </c>
      <c r="BT28" s="180">
        <v>71</v>
      </c>
      <c r="BU28" s="25">
        <v>72</v>
      </c>
      <c r="BV28" s="180">
        <v>73</v>
      </c>
      <c r="BW28" s="25">
        <v>74</v>
      </c>
      <c r="BX28" s="180">
        <v>75</v>
      </c>
      <c r="BY28" s="25">
        <v>76</v>
      </c>
      <c r="BZ28" s="180">
        <v>77</v>
      </c>
      <c r="CA28" s="25">
        <v>78</v>
      </c>
      <c r="CB28" s="180">
        <v>79</v>
      </c>
      <c r="CC28" s="25">
        <v>80</v>
      </c>
      <c r="CD28" s="180">
        <v>81</v>
      </c>
      <c r="CE28" s="25">
        <v>82</v>
      </c>
      <c r="CF28" s="180">
        <v>83</v>
      </c>
      <c r="CG28" s="25">
        <v>84</v>
      </c>
      <c r="CH28" s="180">
        <v>85</v>
      </c>
      <c r="CI28" s="25">
        <v>86</v>
      </c>
      <c r="CJ28" s="180">
        <v>87</v>
      </c>
      <c r="CK28" s="25">
        <v>88</v>
      </c>
      <c r="CL28" s="180">
        <v>89</v>
      </c>
      <c r="CM28" s="25">
        <v>90</v>
      </c>
      <c r="CN28" s="180">
        <v>91</v>
      </c>
      <c r="CO28" s="25">
        <v>92</v>
      </c>
      <c r="CP28" s="180">
        <v>93</v>
      </c>
    </row>
    <row r="29" spans="1:103" ht="13.5" customHeight="1">
      <c r="A29" s="23"/>
      <c r="B29" s="193">
        <v>2010</v>
      </c>
      <c r="D29" s="194">
        <v>20</v>
      </c>
      <c r="E29" s="195">
        <v>11.27</v>
      </c>
      <c r="F29" s="195">
        <v>7.78</v>
      </c>
      <c r="G29" s="196">
        <v>11.33</v>
      </c>
      <c r="H29" s="195">
        <v>15.02</v>
      </c>
      <c r="I29" s="195">
        <v>8.92</v>
      </c>
      <c r="J29" s="196">
        <v>14.29</v>
      </c>
      <c r="K29" s="196">
        <v>14.43</v>
      </c>
      <c r="L29" s="196">
        <v>14.43</v>
      </c>
      <c r="M29" s="195">
        <v>15.9</v>
      </c>
      <c r="N29" s="195">
        <v>22.39</v>
      </c>
      <c r="O29" s="195">
        <v>44.44</v>
      </c>
      <c r="P29" s="197">
        <v>82.72</v>
      </c>
      <c r="Q29" s="194">
        <v>20.49</v>
      </c>
      <c r="R29" s="195">
        <v>11.45</v>
      </c>
      <c r="S29" s="195">
        <v>8.2799999999999994</v>
      </c>
      <c r="T29" s="196">
        <v>10.67</v>
      </c>
      <c r="U29" s="195">
        <v>15.02</v>
      </c>
      <c r="V29" s="195">
        <v>8.92</v>
      </c>
      <c r="W29" s="196">
        <v>14.29</v>
      </c>
      <c r="X29" s="196">
        <v>14.43</v>
      </c>
      <c r="Y29" s="196">
        <v>14.43</v>
      </c>
      <c r="Z29" s="195">
        <v>16.23</v>
      </c>
      <c r="AA29" s="195">
        <v>7.85</v>
      </c>
      <c r="AB29" s="195">
        <v>50.92</v>
      </c>
      <c r="AC29" s="197">
        <v>75</v>
      </c>
      <c r="AD29" s="194">
        <v>20.29</v>
      </c>
      <c r="AE29" s="195">
        <v>11.31</v>
      </c>
      <c r="AF29" s="195">
        <v>8.14</v>
      </c>
      <c r="AG29" s="196">
        <v>10.88</v>
      </c>
      <c r="AH29" s="195">
        <v>15.02</v>
      </c>
      <c r="AI29" s="195">
        <v>8.92</v>
      </c>
      <c r="AJ29" s="196">
        <v>14.29</v>
      </c>
      <c r="AK29" s="196">
        <v>14.43</v>
      </c>
      <c r="AL29" s="196">
        <v>14.43</v>
      </c>
      <c r="AM29" s="195">
        <v>17.010000000000002</v>
      </c>
      <c r="AN29" s="195">
        <v>31.48</v>
      </c>
      <c r="AO29" s="195">
        <v>39.78</v>
      </c>
      <c r="AP29" s="197">
        <v>88.27</v>
      </c>
      <c r="AQ29" s="194">
        <v>20.67</v>
      </c>
      <c r="AR29" s="195">
        <v>11.48</v>
      </c>
      <c r="AS29" s="195">
        <v>8.11</v>
      </c>
      <c r="AT29" s="196">
        <v>11.03</v>
      </c>
      <c r="AU29" s="195">
        <v>15.02</v>
      </c>
      <c r="AV29" s="195">
        <v>8.92</v>
      </c>
      <c r="AW29" s="196">
        <v>14.29</v>
      </c>
      <c r="AX29" s="196">
        <v>14.43</v>
      </c>
      <c r="AY29" s="196">
        <v>14.43</v>
      </c>
      <c r="AZ29" s="195">
        <v>16.989999999999998</v>
      </c>
      <c r="BA29" s="195">
        <v>43.04</v>
      </c>
      <c r="BB29" s="195">
        <v>34.520000000000003</v>
      </c>
      <c r="BC29" s="197">
        <v>94.55</v>
      </c>
      <c r="BD29" s="195">
        <v>20.32</v>
      </c>
      <c r="BE29" s="195">
        <v>11.35</v>
      </c>
      <c r="BF29" s="195">
        <v>8.1300000000000008</v>
      </c>
      <c r="BG29" s="196">
        <v>10.95</v>
      </c>
      <c r="BH29" s="195">
        <v>15.02</v>
      </c>
      <c r="BI29" s="195">
        <v>8.92</v>
      </c>
      <c r="BJ29" s="196">
        <v>14.29</v>
      </c>
      <c r="BK29" s="196">
        <v>14.43</v>
      </c>
      <c r="BL29" s="196">
        <v>14.43</v>
      </c>
      <c r="BM29" s="195">
        <v>16.37</v>
      </c>
      <c r="BN29" s="195">
        <v>19.43</v>
      </c>
      <c r="BO29" s="195">
        <v>45.58</v>
      </c>
      <c r="BP29" s="197">
        <v>81.37</v>
      </c>
      <c r="BQ29" s="195">
        <v>23.23</v>
      </c>
      <c r="BR29" s="195">
        <v>12.01</v>
      </c>
      <c r="BS29" s="195">
        <v>9.6300000000000008</v>
      </c>
      <c r="BT29" s="196">
        <v>10.29</v>
      </c>
      <c r="BU29" s="195">
        <v>15.77</v>
      </c>
      <c r="BV29" s="195">
        <v>12.41</v>
      </c>
      <c r="BW29" s="196">
        <v>15.37</v>
      </c>
      <c r="BX29" s="196">
        <v>14.43</v>
      </c>
      <c r="BY29" s="196">
        <v>14.43</v>
      </c>
      <c r="BZ29" s="195">
        <v>14.87</v>
      </c>
      <c r="CA29" s="195">
        <v>7.36</v>
      </c>
      <c r="CB29" s="195">
        <v>51.76</v>
      </c>
      <c r="CC29" s="197">
        <v>73.989999999999995</v>
      </c>
      <c r="CD29" s="195">
        <v>20.53</v>
      </c>
      <c r="CE29" s="195">
        <v>11.4</v>
      </c>
      <c r="CF29" s="195">
        <v>8.66</v>
      </c>
      <c r="CG29" s="196">
        <v>10.79</v>
      </c>
      <c r="CH29" s="195">
        <v>15.02</v>
      </c>
      <c r="CI29" s="195">
        <v>9.7200000000000006</v>
      </c>
      <c r="CJ29" s="196">
        <v>14.39</v>
      </c>
      <c r="CK29" s="196">
        <v>14.43</v>
      </c>
      <c r="CL29" s="196">
        <v>14.43</v>
      </c>
      <c r="CM29" s="195">
        <v>16</v>
      </c>
      <c r="CN29" s="195">
        <v>16.45</v>
      </c>
      <c r="CO29" s="195">
        <v>47.1</v>
      </c>
      <c r="CP29" s="197">
        <v>79.55</v>
      </c>
      <c r="CR29" s="26"/>
      <c r="CS29" s="26"/>
      <c r="CT29" s="26"/>
      <c r="CU29" s="26"/>
      <c r="CV29" s="26"/>
      <c r="CW29" s="26"/>
      <c r="CX29" s="26"/>
    </row>
    <row r="30" spans="1:103" ht="13.5" customHeight="1">
      <c r="A30" s="23"/>
      <c r="B30" s="198">
        <v>2011</v>
      </c>
      <c r="D30" s="194">
        <v>20.12</v>
      </c>
      <c r="E30" s="195">
        <v>11.34</v>
      </c>
      <c r="F30" s="195">
        <v>7.82</v>
      </c>
      <c r="G30" s="196">
        <v>11.4</v>
      </c>
      <c r="H30" s="195">
        <v>15.11</v>
      </c>
      <c r="I30" s="195">
        <v>8.98</v>
      </c>
      <c r="J30" s="196">
        <v>14.38</v>
      </c>
      <c r="K30" s="196">
        <v>14.52</v>
      </c>
      <c r="L30" s="196">
        <v>14.52</v>
      </c>
      <c r="M30" s="195">
        <v>16</v>
      </c>
      <c r="N30" s="195">
        <v>22.52</v>
      </c>
      <c r="O30" s="195">
        <v>44.71</v>
      </c>
      <c r="P30" s="197">
        <v>83.23</v>
      </c>
      <c r="Q30" s="194">
        <v>20.62</v>
      </c>
      <c r="R30" s="195">
        <v>11.52</v>
      </c>
      <c r="S30" s="195">
        <v>8.33</v>
      </c>
      <c r="T30" s="196">
        <v>10.73</v>
      </c>
      <c r="U30" s="195">
        <v>15.11</v>
      </c>
      <c r="V30" s="195">
        <v>8.98</v>
      </c>
      <c r="W30" s="196">
        <v>14.38</v>
      </c>
      <c r="X30" s="196">
        <v>14.52</v>
      </c>
      <c r="Y30" s="196">
        <v>14.52</v>
      </c>
      <c r="Z30" s="195">
        <v>16.329999999999998</v>
      </c>
      <c r="AA30" s="195">
        <v>7.89</v>
      </c>
      <c r="AB30" s="195">
        <v>51.24</v>
      </c>
      <c r="AC30" s="197">
        <v>75.459999999999994</v>
      </c>
      <c r="AD30" s="194">
        <v>20.41</v>
      </c>
      <c r="AE30" s="195">
        <v>11.38</v>
      </c>
      <c r="AF30" s="195">
        <v>8.19</v>
      </c>
      <c r="AG30" s="196">
        <v>10.95</v>
      </c>
      <c r="AH30" s="195">
        <v>15.11</v>
      </c>
      <c r="AI30" s="195">
        <v>8.98</v>
      </c>
      <c r="AJ30" s="196">
        <v>14.38</v>
      </c>
      <c r="AK30" s="196">
        <v>14.52</v>
      </c>
      <c r="AL30" s="196">
        <v>14.52</v>
      </c>
      <c r="AM30" s="195">
        <v>17.11</v>
      </c>
      <c r="AN30" s="195">
        <v>31.68</v>
      </c>
      <c r="AO30" s="195">
        <v>40.03</v>
      </c>
      <c r="AP30" s="197">
        <v>88.82</v>
      </c>
      <c r="AQ30" s="194">
        <v>20.8</v>
      </c>
      <c r="AR30" s="195">
        <v>11.55</v>
      </c>
      <c r="AS30" s="195">
        <v>8.16</v>
      </c>
      <c r="AT30" s="196">
        <v>11.09</v>
      </c>
      <c r="AU30" s="195">
        <v>15.11</v>
      </c>
      <c r="AV30" s="195">
        <v>8.98</v>
      </c>
      <c r="AW30" s="196">
        <v>14.38</v>
      </c>
      <c r="AX30" s="196">
        <v>14.52</v>
      </c>
      <c r="AY30" s="196">
        <v>14.52</v>
      </c>
      <c r="AZ30" s="195">
        <v>17.100000000000001</v>
      </c>
      <c r="BA30" s="195">
        <v>43.3</v>
      </c>
      <c r="BB30" s="195">
        <v>34.729999999999997</v>
      </c>
      <c r="BC30" s="197">
        <v>95.13</v>
      </c>
      <c r="BD30" s="195">
        <v>20.45</v>
      </c>
      <c r="BE30" s="195">
        <v>11.42</v>
      </c>
      <c r="BF30" s="195">
        <v>8.18</v>
      </c>
      <c r="BG30" s="196">
        <v>11.01</v>
      </c>
      <c r="BH30" s="195">
        <v>15.11</v>
      </c>
      <c r="BI30" s="195">
        <v>8.98</v>
      </c>
      <c r="BJ30" s="196">
        <v>14.38</v>
      </c>
      <c r="BK30" s="196">
        <v>14.52</v>
      </c>
      <c r="BL30" s="196">
        <v>14.52</v>
      </c>
      <c r="BM30" s="195">
        <v>16.47</v>
      </c>
      <c r="BN30" s="195">
        <v>19.55</v>
      </c>
      <c r="BO30" s="195">
        <v>45.86</v>
      </c>
      <c r="BP30" s="197">
        <v>81.87</v>
      </c>
      <c r="BQ30" s="195">
        <v>23.37</v>
      </c>
      <c r="BR30" s="195">
        <v>12.09</v>
      </c>
      <c r="BS30" s="195">
        <v>9.69</v>
      </c>
      <c r="BT30" s="196">
        <v>10.35</v>
      </c>
      <c r="BU30" s="195">
        <v>15.87</v>
      </c>
      <c r="BV30" s="195">
        <v>12.48</v>
      </c>
      <c r="BW30" s="196">
        <v>15.46</v>
      </c>
      <c r="BX30" s="196">
        <v>14.52</v>
      </c>
      <c r="BY30" s="196">
        <v>14.52</v>
      </c>
      <c r="BZ30" s="195">
        <v>14.96</v>
      </c>
      <c r="CA30" s="195">
        <v>7.41</v>
      </c>
      <c r="CB30" s="195">
        <v>52.08</v>
      </c>
      <c r="CC30" s="197">
        <v>74.45</v>
      </c>
      <c r="CD30" s="195">
        <v>20.66</v>
      </c>
      <c r="CE30" s="195">
        <v>11.47</v>
      </c>
      <c r="CF30" s="195">
        <v>8.7200000000000006</v>
      </c>
      <c r="CG30" s="196">
        <v>10.86</v>
      </c>
      <c r="CH30" s="195">
        <v>15.11</v>
      </c>
      <c r="CI30" s="195">
        <v>9.7799999999999994</v>
      </c>
      <c r="CJ30" s="196">
        <v>14.47</v>
      </c>
      <c r="CK30" s="196">
        <v>14.52</v>
      </c>
      <c r="CL30" s="196">
        <v>14.52</v>
      </c>
      <c r="CM30" s="195">
        <v>16.100000000000001</v>
      </c>
      <c r="CN30" s="195">
        <v>16.55</v>
      </c>
      <c r="CO30" s="195">
        <v>47.39</v>
      </c>
      <c r="CP30" s="197">
        <v>80.040000000000006</v>
      </c>
      <c r="CQ30" s="26"/>
      <c r="CR30" s="26"/>
      <c r="CS30" s="26"/>
      <c r="CT30" s="26"/>
      <c r="CU30" s="26"/>
      <c r="CV30" s="26"/>
      <c r="CW30" s="26"/>
      <c r="CX30" s="26"/>
    </row>
    <row r="31" spans="1:103" ht="13.5" customHeight="1">
      <c r="A31" s="23"/>
      <c r="B31" s="198">
        <v>2012</v>
      </c>
      <c r="D31" s="194">
        <v>20.28</v>
      </c>
      <c r="E31" s="195">
        <v>11.43</v>
      </c>
      <c r="F31" s="195">
        <v>7.89</v>
      </c>
      <c r="G31" s="196">
        <v>11.49</v>
      </c>
      <c r="H31" s="195">
        <v>15.24</v>
      </c>
      <c r="I31" s="195">
        <v>9.0500000000000007</v>
      </c>
      <c r="J31" s="196">
        <v>14.49</v>
      </c>
      <c r="K31" s="196">
        <v>14.64</v>
      </c>
      <c r="L31" s="196">
        <v>14.64</v>
      </c>
      <c r="M31" s="195">
        <v>16.13</v>
      </c>
      <c r="N31" s="195">
        <v>22.7</v>
      </c>
      <c r="O31" s="195">
        <v>45.07</v>
      </c>
      <c r="P31" s="197">
        <v>83.9</v>
      </c>
      <c r="Q31" s="194">
        <v>20.79</v>
      </c>
      <c r="R31" s="195">
        <v>11.62</v>
      </c>
      <c r="S31" s="195">
        <v>8.4</v>
      </c>
      <c r="T31" s="196">
        <v>10.82</v>
      </c>
      <c r="U31" s="195">
        <v>15.24</v>
      </c>
      <c r="V31" s="195">
        <v>9.0500000000000007</v>
      </c>
      <c r="W31" s="196">
        <v>14.49</v>
      </c>
      <c r="X31" s="196">
        <v>14.64</v>
      </c>
      <c r="Y31" s="196">
        <v>14.64</v>
      </c>
      <c r="Z31" s="195">
        <v>16.47</v>
      </c>
      <c r="AA31" s="195">
        <v>7.96</v>
      </c>
      <c r="AB31" s="195">
        <v>51.65</v>
      </c>
      <c r="AC31" s="197">
        <v>76.069999999999993</v>
      </c>
      <c r="AD31" s="194">
        <v>20.58</v>
      </c>
      <c r="AE31" s="195">
        <v>11.47</v>
      </c>
      <c r="AF31" s="195">
        <v>8.26</v>
      </c>
      <c r="AG31" s="196">
        <v>11.04</v>
      </c>
      <c r="AH31" s="195">
        <v>15.24</v>
      </c>
      <c r="AI31" s="195">
        <v>9.0500000000000007</v>
      </c>
      <c r="AJ31" s="196">
        <v>14.49</v>
      </c>
      <c r="AK31" s="196">
        <v>14.64</v>
      </c>
      <c r="AL31" s="196">
        <v>14.64</v>
      </c>
      <c r="AM31" s="195">
        <v>17.25</v>
      </c>
      <c r="AN31" s="195">
        <v>31.93</v>
      </c>
      <c r="AO31" s="195">
        <v>40.35</v>
      </c>
      <c r="AP31" s="197">
        <v>89.53</v>
      </c>
      <c r="AQ31" s="194">
        <v>20.97</v>
      </c>
      <c r="AR31" s="195">
        <v>11.64</v>
      </c>
      <c r="AS31" s="195">
        <v>8.23</v>
      </c>
      <c r="AT31" s="196">
        <v>11.18</v>
      </c>
      <c r="AU31" s="195">
        <v>15.24</v>
      </c>
      <c r="AV31" s="195">
        <v>9.0500000000000007</v>
      </c>
      <c r="AW31" s="196">
        <v>14.49</v>
      </c>
      <c r="AX31" s="196">
        <v>14.64</v>
      </c>
      <c r="AY31" s="196">
        <v>14.64</v>
      </c>
      <c r="AZ31" s="195">
        <v>17.23</v>
      </c>
      <c r="BA31" s="195">
        <v>43.65</v>
      </c>
      <c r="BB31" s="195">
        <v>35.01</v>
      </c>
      <c r="BC31" s="197">
        <v>95.89</v>
      </c>
      <c r="BD31" s="195">
        <v>20.61</v>
      </c>
      <c r="BE31" s="195">
        <v>11.51</v>
      </c>
      <c r="BF31" s="195">
        <v>8.25</v>
      </c>
      <c r="BG31" s="196">
        <v>11.1</v>
      </c>
      <c r="BH31" s="195">
        <v>15.24</v>
      </c>
      <c r="BI31" s="195">
        <v>9.0500000000000007</v>
      </c>
      <c r="BJ31" s="196">
        <v>14.49</v>
      </c>
      <c r="BK31" s="196">
        <v>14.64</v>
      </c>
      <c r="BL31" s="196">
        <v>14.64</v>
      </c>
      <c r="BM31" s="195">
        <v>16.600000000000001</v>
      </c>
      <c r="BN31" s="195">
        <v>19.7</v>
      </c>
      <c r="BO31" s="195">
        <v>46.22</v>
      </c>
      <c r="BP31" s="197">
        <v>82.53</v>
      </c>
      <c r="BQ31" s="195">
        <v>23.56</v>
      </c>
      <c r="BR31" s="195">
        <v>12.19</v>
      </c>
      <c r="BS31" s="195">
        <v>9.77</v>
      </c>
      <c r="BT31" s="196">
        <v>10.44</v>
      </c>
      <c r="BU31" s="195">
        <v>16</v>
      </c>
      <c r="BV31" s="195">
        <v>12.58</v>
      </c>
      <c r="BW31" s="196">
        <v>15.59</v>
      </c>
      <c r="BX31" s="196">
        <v>14.64</v>
      </c>
      <c r="BY31" s="196">
        <v>14.64</v>
      </c>
      <c r="BZ31" s="195">
        <v>15.08</v>
      </c>
      <c r="CA31" s="195">
        <v>7.46</v>
      </c>
      <c r="CB31" s="195">
        <v>52.5</v>
      </c>
      <c r="CC31" s="197">
        <v>75.040000000000006</v>
      </c>
      <c r="CD31" s="195">
        <v>20.82</v>
      </c>
      <c r="CE31" s="195">
        <v>11.56</v>
      </c>
      <c r="CF31" s="195">
        <v>8.7899999999999991</v>
      </c>
      <c r="CG31" s="196">
        <v>10.95</v>
      </c>
      <c r="CH31" s="195">
        <v>15.24</v>
      </c>
      <c r="CI31" s="195">
        <v>9.85</v>
      </c>
      <c r="CJ31" s="196">
        <v>14.59</v>
      </c>
      <c r="CK31" s="196">
        <v>14.64</v>
      </c>
      <c r="CL31" s="196">
        <v>14.64</v>
      </c>
      <c r="CM31" s="195">
        <v>16.22</v>
      </c>
      <c r="CN31" s="195">
        <v>16.68</v>
      </c>
      <c r="CO31" s="195">
        <v>47.77</v>
      </c>
      <c r="CP31" s="197">
        <v>80.680000000000007</v>
      </c>
      <c r="CQ31" s="26"/>
      <c r="CR31" s="26"/>
      <c r="CS31" s="26"/>
      <c r="CT31" s="26"/>
      <c r="CU31" s="26"/>
      <c r="CV31" s="26"/>
      <c r="CW31" s="26"/>
      <c r="CX31" s="26"/>
    </row>
    <row r="32" spans="1:103" ht="13.5" customHeight="1">
      <c r="A32" s="23"/>
      <c r="B32" s="198">
        <v>2013</v>
      </c>
      <c r="D32" s="194">
        <v>20.54</v>
      </c>
      <c r="E32" s="195">
        <v>11.57</v>
      </c>
      <c r="F32" s="195">
        <v>7.99</v>
      </c>
      <c r="G32" s="196">
        <v>11.63</v>
      </c>
      <c r="H32" s="195">
        <v>15.43</v>
      </c>
      <c r="I32" s="195">
        <v>9.16</v>
      </c>
      <c r="J32" s="196">
        <v>14.68</v>
      </c>
      <c r="K32" s="196">
        <v>14.82</v>
      </c>
      <c r="L32" s="196">
        <v>14.82</v>
      </c>
      <c r="M32" s="195">
        <v>16.329999999999998</v>
      </c>
      <c r="N32" s="195">
        <v>22.99</v>
      </c>
      <c r="O32" s="195">
        <v>45.63</v>
      </c>
      <c r="P32" s="197">
        <v>84.95</v>
      </c>
      <c r="Q32" s="194">
        <v>21.05</v>
      </c>
      <c r="R32" s="195">
        <v>11.76</v>
      </c>
      <c r="S32" s="195">
        <v>8.51</v>
      </c>
      <c r="T32" s="196">
        <v>10.96</v>
      </c>
      <c r="U32" s="195">
        <v>15.43</v>
      </c>
      <c r="V32" s="195">
        <v>9.16</v>
      </c>
      <c r="W32" s="196">
        <v>14.68</v>
      </c>
      <c r="X32" s="196">
        <v>14.82</v>
      </c>
      <c r="Y32" s="196">
        <v>14.82</v>
      </c>
      <c r="Z32" s="195">
        <v>16.670000000000002</v>
      </c>
      <c r="AA32" s="195">
        <v>8.06</v>
      </c>
      <c r="AB32" s="195">
        <v>52.29</v>
      </c>
      <c r="AC32" s="197">
        <v>77.02</v>
      </c>
      <c r="AD32" s="194">
        <v>20.83</v>
      </c>
      <c r="AE32" s="195">
        <v>11.61</v>
      </c>
      <c r="AF32" s="195">
        <v>8.36</v>
      </c>
      <c r="AG32" s="196">
        <v>11.18</v>
      </c>
      <c r="AH32" s="195">
        <v>15.43</v>
      </c>
      <c r="AI32" s="195">
        <v>9.16</v>
      </c>
      <c r="AJ32" s="196">
        <v>14.68</v>
      </c>
      <c r="AK32" s="196">
        <v>14.82</v>
      </c>
      <c r="AL32" s="196">
        <v>14.82</v>
      </c>
      <c r="AM32" s="195">
        <v>17.46</v>
      </c>
      <c r="AN32" s="195">
        <v>32.33</v>
      </c>
      <c r="AO32" s="195">
        <v>40.86</v>
      </c>
      <c r="AP32" s="197">
        <v>90.65</v>
      </c>
      <c r="AQ32" s="194">
        <v>21.23</v>
      </c>
      <c r="AR32" s="195">
        <v>11.78</v>
      </c>
      <c r="AS32" s="195">
        <v>8.33</v>
      </c>
      <c r="AT32" s="196">
        <v>11.32</v>
      </c>
      <c r="AU32" s="195">
        <v>15.43</v>
      </c>
      <c r="AV32" s="195">
        <v>9.16</v>
      </c>
      <c r="AW32" s="196">
        <v>14.68</v>
      </c>
      <c r="AX32" s="196">
        <v>14.82</v>
      </c>
      <c r="AY32" s="196">
        <v>14.82</v>
      </c>
      <c r="AZ32" s="195">
        <v>17.45</v>
      </c>
      <c r="BA32" s="195">
        <v>44.2</v>
      </c>
      <c r="BB32" s="195">
        <v>35.450000000000003</v>
      </c>
      <c r="BC32" s="197">
        <v>97.09</v>
      </c>
      <c r="BD32" s="195">
        <v>20.87</v>
      </c>
      <c r="BE32" s="195">
        <v>11.65</v>
      </c>
      <c r="BF32" s="195">
        <v>8.35</v>
      </c>
      <c r="BG32" s="196">
        <v>11.24</v>
      </c>
      <c r="BH32" s="195">
        <v>15.43</v>
      </c>
      <c r="BI32" s="195">
        <v>9.16</v>
      </c>
      <c r="BJ32" s="196">
        <v>14.68</v>
      </c>
      <c r="BK32" s="196">
        <v>14.82</v>
      </c>
      <c r="BL32" s="196">
        <v>14.82</v>
      </c>
      <c r="BM32" s="195">
        <v>16.809999999999999</v>
      </c>
      <c r="BN32" s="195">
        <v>19.95</v>
      </c>
      <c r="BO32" s="195">
        <v>46.8</v>
      </c>
      <c r="BP32" s="197">
        <v>83.56</v>
      </c>
      <c r="BQ32" s="195">
        <v>23.85</v>
      </c>
      <c r="BR32" s="195">
        <v>12.34</v>
      </c>
      <c r="BS32" s="195">
        <v>9.89</v>
      </c>
      <c r="BT32" s="196">
        <v>10.57</v>
      </c>
      <c r="BU32" s="195">
        <v>16.2</v>
      </c>
      <c r="BV32" s="195">
        <v>12.74</v>
      </c>
      <c r="BW32" s="196">
        <v>15.78</v>
      </c>
      <c r="BX32" s="196">
        <v>14.82</v>
      </c>
      <c r="BY32" s="196">
        <v>14.82</v>
      </c>
      <c r="BZ32" s="195">
        <v>15.27</v>
      </c>
      <c r="CA32" s="195">
        <v>7.56</v>
      </c>
      <c r="CB32" s="195">
        <v>53.16</v>
      </c>
      <c r="CC32" s="197">
        <v>75.98</v>
      </c>
      <c r="CD32" s="195">
        <v>21.08</v>
      </c>
      <c r="CE32" s="195">
        <v>11.71</v>
      </c>
      <c r="CF32" s="195">
        <v>8.9</v>
      </c>
      <c r="CG32" s="196">
        <v>11.08</v>
      </c>
      <c r="CH32" s="195">
        <v>15.43</v>
      </c>
      <c r="CI32" s="195">
        <v>9.98</v>
      </c>
      <c r="CJ32" s="196">
        <v>14.77</v>
      </c>
      <c r="CK32" s="196">
        <v>14.82</v>
      </c>
      <c r="CL32" s="196">
        <v>14.82</v>
      </c>
      <c r="CM32" s="195">
        <v>16.43</v>
      </c>
      <c r="CN32" s="195">
        <v>16.89</v>
      </c>
      <c r="CO32" s="195">
        <v>48.37</v>
      </c>
      <c r="CP32" s="197">
        <v>81.69</v>
      </c>
      <c r="CQ32" s="199"/>
      <c r="CR32" s="200"/>
      <c r="CS32" s="200"/>
      <c r="CT32" s="200"/>
      <c r="CU32" s="200"/>
      <c r="CV32" s="201"/>
      <c r="CW32" s="200"/>
    </row>
    <row r="33" spans="1:94" ht="13.5" customHeight="1">
      <c r="A33" s="23"/>
      <c r="B33" s="198">
        <v>2014</v>
      </c>
      <c r="D33" s="194">
        <v>20.99</v>
      </c>
      <c r="E33" s="195">
        <v>11.83</v>
      </c>
      <c r="F33" s="195">
        <v>8.16</v>
      </c>
      <c r="G33" s="196">
        <v>11.89</v>
      </c>
      <c r="H33" s="195">
        <v>15.77</v>
      </c>
      <c r="I33" s="195">
        <v>9.36</v>
      </c>
      <c r="J33" s="196">
        <v>15</v>
      </c>
      <c r="K33" s="196">
        <v>15.15</v>
      </c>
      <c r="L33" s="196">
        <v>15.15</v>
      </c>
      <c r="M33" s="195">
        <v>16.690000000000001</v>
      </c>
      <c r="N33" s="195">
        <v>23.5</v>
      </c>
      <c r="O33" s="195">
        <v>46.64</v>
      </c>
      <c r="P33" s="197">
        <v>86.83</v>
      </c>
      <c r="Q33" s="194">
        <v>21.51</v>
      </c>
      <c r="R33" s="195">
        <v>12.02</v>
      </c>
      <c r="S33" s="195">
        <v>8.69</v>
      </c>
      <c r="T33" s="196">
        <v>11.2</v>
      </c>
      <c r="U33" s="195">
        <v>15.77</v>
      </c>
      <c r="V33" s="195">
        <v>9.36</v>
      </c>
      <c r="W33" s="196">
        <v>15</v>
      </c>
      <c r="X33" s="196">
        <v>15.15</v>
      </c>
      <c r="Y33" s="196">
        <v>15.15</v>
      </c>
      <c r="Z33" s="195">
        <v>17.04</v>
      </c>
      <c r="AA33" s="195">
        <v>8.23</v>
      </c>
      <c r="AB33" s="195">
        <v>53.45</v>
      </c>
      <c r="AC33" s="197">
        <v>78.72</v>
      </c>
      <c r="AD33" s="194">
        <v>21.29</v>
      </c>
      <c r="AE33" s="195">
        <v>11.87</v>
      </c>
      <c r="AF33" s="195">
        <v>8.5500000000000007</v>
      </c>
      <c r="AG33" s="196">
        <v>11.42</v>
      </c>
      <c r="AH33" s="195">
        <v>15.77</v>
      </c>
      <c r="AI33" s="195">
        <v>9.36</v>
      </c>
      <c r="AJ33" s="196">
        <v>15</v>
      </c>
      <c r="AK33" s="196">
        <v>15.15</v>
      </c>
      <c r="AL33" s="196">
        <v>15.15</v>
      </c>
      <c r="AM33" s="195">
        <v>17.850000000000001</v>
      </c>
      <c r="AN33" s="195">
        <v>33.04</v>
      </c>
      <c r="AO33" s="195">
        <v>41.76</v>
      </c>
      <c r="AP33" s="197">
        <v>92.65</v>
      </c>
      <c r="AQ33" s="194">
        <v>21.7</v>
      </c>
      <c r="AR33" s="195">
        <v>12.04</v>
      </c>
      <c r="AS33" s="195">
        <v>8.52</v>
      </c>
      <c r="AT33" s="196">
        <v>11.57</v>
      </c>
      <c r="AU33" s="195">
        <v>15.77</v>
      </c>
      <c r="AV33" s="195">
        <v>9.36</v>
      </c>
      <c r="AW33" s="196">
        <v>15</v>
      </c>
      <c r="AX33" s="196">
        <v>15.15</v>
      </c>
      <c r="AY33" s="196">
        <v>15.15</v>
      </c>
      <c r="AZ33" s="195">
        <v>17.84</v>
      </c>
      <c r="BA33" s="195">
        <v>45.17</v>
      </c>
      <c r="BB33" s="195">
        <v>36.229999999999997</v>
      </c>
      <c r="BC33" s="197">
        <v>99.24</v>
      </c>
      <c r="BD33" s="195">
        <v>21.33</v>
      </c>
      <c r="BE33" s="195">
        <v>11.91</v>
      </c>
      <c r="BF33" s="195">
        <v>8.5399999999999991</v>
      </c>
      <c r="BG33" s="196">
        <v>11.49</v>
      </c>
      <c r="BH33" s="195">
        <v>15.77</v>
      </c>
      <c r="BI33" s="195">
        <v>9.36</v>
      </c>
      <c r="BJ33" s="196">
        <v>15</v>
      </c>
      <c r="BK33" s="196">
        <v>15.15</v>
      </c>
      <c r="BL33" s="196">
        <v>15.15</v>
      </c>
      <c r="BM33" s="195">
        <v>17.18</v>
      </c>
      <c r="BN33" s="195">
        <v>20.39</v>
      </c>
      <c r="BO33" s="195">
        <v>47.84</v>
      </c>
      <c r="BP33" s="197">
        <v>85.41</v>
      </c>
      <c r="BQ33" s="195">
        <v>24.38</v>
      </c>
      <c r="BR33" s="195">
        <v>12.61</v>
      </c>
      <c r="BS33" s="195">
        <v>10.11</v>
      </c>
      <c r="BT33" s="196">
        <v>10.8</v>
      </c>
      <c r="BU33" s="195">
        <v>16.559999999999999</v>
      </c>
      <c r="BV33" s="195">
        <v>13.02</v>
      </c>
      <c r="BW33" s="196">
        <v>16.13</v>
      </c>
      <c r="BX33" s="196">
        <v>15.15</v>
      </c>
      <c r="BY33" s="196">
        <v>15.15</v>
      </c>
      <c r="BZ33" s="195">
        <v>15.6</v>
      </c>
      <c r="CA33" s="195">
        <v>7.73</v>
      </c>
      <c r="CB33" s="195">
        <v>54.33</v>
      </c>
      <c r="CC33" s="197">
        <v>77.66</v>
      </c>
      <c r="CD33" s="195">
        <v>21.55</v>
      </c>
      <c r="CE33" s="195">
        <v>11.97</v>
      </c>
      <c r="CF33" s="195">
        <v>9.09</v>
      </c>
      <c r="CG33" s="196">
        <v>11.33</v>
      </c>
      <c r="CH33" s="195">
        <v>15.77</v>
      </c>
      <c r="CI33" s="195">
        <v>10.199999999999999</v>
      </c>
      <c r="CJ33" s="196">
        <v>15.1</v>
      </c>
      <c r="CK33" s="196">
        <v>15.15</v>
      </c>
      <c r="CL33" s="196">
        <v>15.15</v>
      </c>
      <c r="CM33" s="195">
        <v>16.79</v>
      </c>
      <c r="CN33" s="195">
        <v>17.260000000000002</v>
      </c>
      <c r="CO33" s="195">
        <v>49.44</v>
      </c>
      <c r="CP33" s="197">
        <v>83.49</v>
      </c>
    </row>
    <row r="34" spans="1:94" ht="13.5" customHeight="1">
      <c r="A34" s="23"/>
      <c r="B34" s="198">
        <v>2015</v>
      </c>
      <c r="D34" s="194">
        <v>21.37</v>
      </c>
      <c r="E34" s="195">
        <v>12.04</v>
      </c>
      <c r="F34" s="195">
        <v>8.31</v>
      </c>
      <c r="G34" s="196">
        <v>12.11</v>
      </c>
      <c r="H34" s="195">
        <v>16.05</v>
      </c>
      <c r="I34" s="195">
        <v>9.5299999999999994</v>
      </c>
      <c r="J34" s="196">
        <v>15.27</v>
      </c>
      <c r="K34" s="196">
        <v>15.43</v>
      </c>
      <c r="L34" s="196">
        <v>15.43</v>
      </c>
      <c r="M34" s="195">
        <v>16.989999999999998</v>
      </c>
      <c r="N34" s="195">
        <v>23.92</v>
      </c>
      <c r="O34" s="195">
        <v>47.49</v>
      </c>
      <c r="P34" s="197">
        <v>88.4</v>
      </c>
      <c r="Q34" s="194">
        <v>21.9</v>
      </c>
      <c r="R34" s="195">
        <v>12.24</v>
      </c>
      <c r="S34" s="195">
        <v>8.85</v>
      </c>
      <c r="T34" s="196">
        <v>11.4</v>
      </c>
      <c r="U34" s="195">
        <v>16.05</v>
      </c>
      <c r="V34" s="195">
        <v>9.5299999999999994</v>
      </c>
      <c r="W34" s="196">
        <v>15.27</v>
      </c>
      <c r="X34" s="196">
        <v>15.43</v>
      </c>
      <c r="Y34" s="196">
        <v>15.43</v>
      </c>
      <c r="Z34" s="195">
        <v>17.350000000000001</v>
      </c>
      <c r="AA34" s="195">
        <v>8.3800000000000008</v>
      </c>
      <c r="AB34" s="195">
        <v>54.42</v>
      </c>
      <c r="AC34" s="197">
        <v>80.150000000000006</v>
      </c>
      <c r="AD34" s="194">
        <v>21.68</v>
      </c>
      <c r="AE34" s="195">
        <v>12.09</v>
      </c>
      <c r="AF34" s="195">
        <v>8.6999999999999993</v>
      </c>
      <c r="AG34" s="196">
        <v>11.63</v>
      </c>
      <c r="AH34" s="195">
        <v>16.05</v>
      </c>
      <c r="AI34" s="195">
        <v>9.5299999999999994</v>
      </c>
      <c r="AJ34" s="196">
        <v>15.27</v>
      </c>
      <c r="AK34" s="196">
        <v>15.43</v>
      </c>
      <c r="AL34" s="196">
        <v>15.43</v>
      </c>
      <c r="AM34" s="195">
        <v>18.170000000000002</v>
      </c>
      <c r="AN34" s="195">
        <v>33.64</v>
      </c>
      <c r="AO34" s="195">
        <v>42.51</v>
      </c>
      <c r="AP34" s="197">
        <v>94.33</v>
      </c>
      <c r="AQ34" s="194">
        <v>22.09</v>
      </c>
      <c r="AR34" s="195">
        <v>12.26</v>
      </c>
      <c r="AS34" s="195">
        <v>8.67</v>
      </c>
      <c r="AT34" s="196">
        <v>11.78</v>
      </c>
      <c r="AU34" s="195">
        <v>16.05</v>
      </c>
      <c r="AV34" s="195">
        <v>9.5299999999999994</v>
      </c>
      <c r="AW34" s="196">
        <v>15.27</v>
      </c>
      <c r="AX34" s="196">
        <v>15.43</v>
      </c>
      <c r="AY34" s="196">
        <v>15.43</v>
      </c>
      <c r="AZ34" s="195">
        <v>18.16</v>
      </c>
      <c r="BA34" s="195">
        <v>45.99</v>
      </c>
      <c r="BB34" s="195">
        <v>36.89</v>
      </c>
      <c r="BC34" s="197">
        <v>101.04</v>
      </c>
      <c r="BD34" s="195">
        <v>21.72</v>
      </c>
      <c r="BE34" s="195">
        <v>12.13</v>
      </c>
      <c r="BF34" s="195">
        <v>8.69</v>
      </c>
      <c r="BG34" s="196">
        <v>11.7</v>
      </c>
      <c r="BH34" s="195">
        <v>16.05</v>
      </c>
      <c r="BI34" s="195">
        <v>9.5299999999999994</v>
      </c>
      <c r="BJ34" s="196">
        <v>15.27</v>
      </c>
      <c r="BK34" s="196">
        <v>15.43</v>
      </c>
      <c r="BL34" s="196">
        <v>15.43</v>
      </c>
      <c r="BM34" s="195">
        <v>17.489999999999998</v>
      </c>
      <c r="BN34" s="195">
        <v>20.76</v>
      </c>
      <c r="BO34" s="195">
        <v>48.7</v>
      </c>
      <c r="BP34" s="197">
        <v>86.96</v>
      </c>
      <c r="BQ34" s="195">
        <v>24.82</v>
      </c>
      <c r="BR34" s="195">
        <v>12.84</v>
      </c>
      <c r="BS34" s="195">
        <v>10.29</v>
      </c>
      <c r="BT34" s="196">
        <v>11</v>
      </c>
      <c r="BU34" s="195">
        <v>16.86</v>
      </c>
      <c r="BV34" s="195">
        <v>13.26</v>
      </c>
      <c r="BW34" s="196">
        <v>16.420000000000002</v>
      </c>
      <c r="BX34" s="196">
        <v>15.43</v>
      </c>
      <c r="BY34" s="196">
        <v>15.43</v>
      </c>
      <c r="BZ34" s="195">
        <v>15.89</v>
      </c>
      <c r="CA34" s="195">
        <v>7.87</v>
      </c>
      <c r="CB34" s="195">
        <v>55.32</v>
      </c>
      <c r="CC34" s="197">
        <v>79.069999999999993</v>
      </c>
      <c r="CD34" s="195">
        <v>21.94</v>
      </c>
      <c r="CE34" s="195">
        <v>12.18</v>
      </c>
      <c r="CF34" s="195">
        <v>9.26</v>
      </c>
      <c r="CG34" s="196">
        <v>11.53</v>
      </c>
      <c r="CH34" s="195">
        <v>16.05</v>
      </c>
      <c r="CI34" s="195">
        <v>10.38</v>
      </c>
      <c r="CJ34" s="196">
        <v>15.37</v>
      </c>
      <c r="CK34" s="196">
        <v>15.43</v>
      </c>
      <c r="CL34" s="196">
        <v>15.43</v>
      </c>
      <c r="CM34" s="195">
        <v>17.100000000000001</v>
      </c>
      <c r="CN34" s="195">
        <v>17.579999999999998</v>
      </c>
      <c r="CO34" s="195">
        <v>50.34</v>
      </c>
      <c r="CP34" s="197">
        <v>85.01</v>
      </c>
    </row>
    <row r="35" spans="1:94" ht="13.5" customHeight="1">
      <c r="A35" s="23"/>
      <c r="B35" s="198">
        <v>2016</v>
      </c>
      <c r="D35" s="194">
        <v>21.68</v>
      </c>
      <c r="E35" s="195">
        <v>12.22</v>
      </c>
      <c r="F35" s="195">
        <v>8.43</v>
      </c>
      <c r="G35" s="196">
        <v>12.28</v>
      </c>
      <c r="H35" s="195">
        <v>16.28</v>
      </c>
      <c r="I35" s="195">
        <v>9.67</v>
      </c>
      <c r="J35" s="196">
        <v>15.49</v>
      </c>
      <c r="K35" s="196">
        <v>15.65</v>
      </c>
      <c r="L35" s="196">
        <v>15.65</v>
      </c>
      <c r="M35" s="195">
        <v>17.23</v>
      </c>
      <c r="N35" s="195">
        <v>24.26</v>
      </c>
      <c r="O35" s="195">
        <v>48.16</v>
      </c>
      <c r="P35" s="197">
        <v>89.66</v>
      </c>
      <c r="Q35" s="194">
        <v>22.21</v>
      </c>
      <c r="R35" s="195">
        <v>12.41</v>
      </c>
      <c r="S35" s="195">
        <v>8.98</v>
      </c>
      <c r="T35" s="196">
        <v>11.56</v>
      </c>
      <c r="U35" s="195">
        <v>16.28</v>
      </c>
      <c r="V35" s="195">
        <v>9.67</v>
      </c>
      <c r="W35" s="196">
        <v>15.49</v>
      </c>
      <c r="X35" s="196">
        <v>15.65</v>
      </c>
      <c r="Y35" s="196">
        <v>15.65</v>
      </c>
      <c r="Z35" s="195">
        <v>17.600000000000001</v>
      </c>
      <c r="AA35" s="195">
        <v>8.5</v>
      </c>
      <c r="AB35" s="195">
        <v>55.19</v>
      </c>
      <c r="AC35" s="197">
        <v>81.290000000000006</v>
      </c>
      <c r="AD35" s="194">
        <v>21.99</v>
      </c>
      <c r="AE35" s="195">
        <v>12.26</v>
      </c>
      <c r="AF35" s="195">
        <v>8.83</v>
      </c>
      <c r="AG35" s="196">
        <v>11.8</v>
      </c>
      <c r="AH35" s="195">
        <v>16.28</v>
      </c>
      <c r="AI35" s="195">
        <v>9.67</v>
      </c>
      <c r="AJ35" s="196">
        <v>15.49</v>
      </c>
      <c r="AK35" s="196">
        <v>15.65</v>
      </c>
      <c r="AL35" s="196">
        <v>15.65</v>
      </c>
      <c r="AM35" s="195">
        <v>18.43</v>
      </c>
      <c r="AN35" s="195">
        <v>34.119999999999997</v>
      </c>
      <c r="AO35" s="195">
        <v>43.12</v>
      </c>
      <c r="AP35" s="197">
        <v>95.68</v>
      </c>
      <c r="AQ35" s="194">
        <v>22.41</v>
      </c>
      <c r="AR35" s="195">
        <v>12.44</v>
      </c>
      <c r="AS35" s="195">
        <v>8.7899999999999991</v>
      </c>
      <c r="AT35" s="196">
        <v>11.95</v>
      </c>
      <c r="AU35" s="195">
        <v>16.28</v>
      </c>
      <c r="AV35" s="195">
        <v>9.67</v>
      </c>
      <c r="AW35" s="196">
        <v>15.49</v>
      </c>
      <c r="AX35" s="196">
        <v>15.65</v>
      </c>
      <c r="AY35" s="196">
        <v>15.65</v>
      </c>
      <c r="AZ35" s="195">
        <v>18.420000000000002</v>
      </c>
      <c r="BA35" s="195">
        <v>46.65</v>
      </c>
      <c r="BB35" s="195">
        <v>37.409999999999997</v>
      </c>
      <c r="BC35" s="197">
        <v>102.48</v>
      </c>
      <c r="BD35" s="195">
        <v>22.03</v>
      </c>
      <c r="BE35" s="195">
        <v>12.3</v>
      </c>
      <c r="BF35" s="195">
        <v>8.82</v>
      </c>
      <c r="BG35" s="196">
        <v>11.87</v>
      </c>
      <c r="BH35" s="195">
        <v>16.28</v>
      </c>
      <c r="BI35" s="195">
        <v>9.67</v>
      </c>
      <c r="BJ35" s="196">
        <v>15.49</v>
      </c>
      <c r="BK35" s="196">
        <v>15.65</v>
      </c>
      <c r="BL35" s="196">
        <v>15.65</v>
      </c>
      <c r="BM35" s="195">
        <v>17.739999999999998</v>
      </c>
      <c r="BN35" s="195">
        <v>21.06</v>
      </c>
      <c r="BO35" s="195">
        <v>49.4</v>
      </c>
      <c r="BP35" s="197">
        <v>88.2</v>
      </c>
      <c r="BQ35" s="195">
        <v>25.18</v>
      </c>
      <c r="BR35" s="195">
        <v>13.02</v>
      </c>
      <c r="BS35" s="195">
        <v>10.44</v>
      </c>
      <c r="BT35" s="196">
        <v>11.15</v>
      </c>
      <c r="BU35" s="195">
        <v>17.100000000000001</v>
      </c>
      <c r="BV35" s="195">
        <v>13.45</v>
      </c>
      <c r="BW35" s="196">
        <v>16.66</v>
      </c>
      <c r="BX35" s="196">
        <v>15.65</v>
      </c>
      <c r="BY35" s="196">
        <v>15.65</v>
      </c>
      <c r="BZ35" s="195">
        <v>16.11</v>
      </c>
      <c r="CA35" s="195">
        <v>7.98</v>
      </c>
      <c r="CB35" s="195">
        <v>56.11</v>
      </c>
      <c r="CC35" s="197">
        <v>80.2</v>
      </c>
      <c r="CD35" s="195">
        <v>22.25</v>
      </c>
      <c r="CE35" s="195">
        <v>12.36</v>
      </c>
      <c r="CF35" s="195">
        <v>9.39</v>
      </c>
      <c r="CG35" s="196">
        <v>11.7</v>
      </c>
      <c r="CH35" s="195">
        <v>16.28</v>
      </c>
      <c r="CI35" s="195">
        <v>10.53</v>
      </c>
      <c r="CJ35" s="196">
        <v>15.59</v>
      </c>
      <c r="CK35" s="196">
        <v>15.65</v>
      </c>
      <c r="CL35" s="196">
        <v>15.65</v>
      </c>
      <c r="CM35" s="195">
        <v>17.34</v>
      </c>
      <c r="CN35" s="195">
        <v>17.829999999999998</v>
      </c>
      <c r="CO35" s="195">
        <v>51.06</v>
      </c>
      <c r="CP35" s="197">
        <v>86.22</v>
      </c>
    </row>
    <row r="36" spans="1:94" ht="13.5" customHeight="1">
      <c r="A36" s="23"/>
      <c r="B36" s="198">
        <v>2017</v>
      </c>
      <c r="D36" s="194">
        <v>22.01</v>
      </c>
      <c r="E36" s="195">
        <v>12.4</v>
      </c>
      <c r="F36" s="195">
        <v>8.56</v>
      </c>
      <c r="G36" s="196">
        <v>12.47</v>
      </c>
      <c r="H36" s="195">
        <v>16.53</v>
      </c>
      <c r="I36" s="195">
        <v>9.82</v>
      </c>
      <c r="J36" s="196">
        <v>15.73</v>
      </c>
      <c r="K36" s="196">
        <v>15.88</v>
      </c>
      <c r="L36" s="196">
        <v>15.88</v>
      </c>
      <c r="M36" s="195">
        <v>17.5</v>
      </c>
      <c r="N36" s="195">
        <v>24.63</v>
      </c>
      <c r="O36" s="195">
        <v>48.9</v>
      </c>
      <c r="P36" s="197">
        <v>91.03</v>
      </c>
      <c r="Q36" s="194">
        <v>22.55</v>
      </c>
      <c r="R36" s="195">
        <v>12.6</v>
      </c>
      <c r="S36" s="195">
        <v>9.1199999999999992</v>
      </c>
      <c r="T36" s="196">
        <v>11.74</v>
      </c>
      <c r="U36" s="195">
        <v>16.53</v>
      </c>
      <c r="V36" s="195">
        <v>9.82</v>
      </c>
      <c r="W36" s="196">
        <v>15.73</v>
      </c>
      <c r="X36" s="196">
        <v>15.88</v>
      </c>
      <c r="Y36" s="196">
        <v>15.88</v>
      </c>
      <c r="Z36" s="195">
        <v>17.86</v>
      </c>
      <c r="AA36" s="195">
        <v>8.6300000000000008</v>
      </c>
      <c r="AB36" s="195">
        <v>56.04</v>
      </c>
      <c r="AC36" s="197">
        <v>82.54</v>
      </c>
      <c r="AD36" s="194">
        <v>22.33</v>
      </c>
      <c r="AE36" s="195">
        <v>12.45</v>
      </c>
      <c r="AF36" s="195">
        <v>8.9600000000000009</v>
      </c>
      <c r="AG36" s="196">
        <v>11.98</v>
      </c>
      <c r="AH36" s="195">
        <v>16.53</v>
      </c>
      <c r="AI36" s="195">
        <v>9.82</v>
      </c>
      <c r="AJ36" s="196">
        <v>15.73</v>
      </c>
      <c r="AK36" s="196">
        <v>15.88</v>
      </c>
      <c r="AL36" s="196">
        <v>15.88</v>
      </c>
      <c r="AM36" s="195">
        <v>18.71</v>
      </c>
      <c r="AN36" s="195">
        <v>34.64</v>
      </c>
      <c r="AO36" s="195">
        <v>43.78</v>
      </c>
      <c r="AP36" s="197">
        <v>97.14</v>
      </c>
      <c r="AQ36" s="194">
        <v>22.75</v>
      </c>
      <c r="AR36" s="195">
        <v>12.63</v>
      </c>
      <c r="AS36" s="195">
        <v>8.93</v>
      </c>
      <c r="AT36" s="196">
        <v>12.13</v>
      </c>
      <c r="AU36" s="195">
        <v>16.53</v>
      </c>
      <c r="AV36" s="195">
        <v>9.82</v>
      </c>
      <c r="AW36" s="196">
        <v>15.73</v>
      </c>
      <c r="AX36" s="196">
        <v>15.88</v>
      </c>
      <c r="AY36" s="196">
        <v>15.88</v>
      </c>
      <c r="AZ36" s="195">
        <v>18.7</v>
      </c>
      <c r="BA36" s="195">
        <v>47.36</v>
      </c>
      <c r="BB36" s="195">
        <v>37.979999999999997</v>
      </c>
      <c r="BC36" s="197">
        <v>104.04</v>
      </c>
      <c r="BD36" s="195">
        <v>22.37</v>
      </c>
      <c r="BE36" s="195">
        <v>12.49</v>
      </c>
      <c r="BF36" s="195">
        <v>8.9499999999999993</v>
      </c>
      <c r="BG36" s="196">
        <v>12.05</v>
      </c>
      <c r="BH36" s="195">
        <v>16.53</v>
      </c>
      <c r="BI36" s="195">
        <v>9.82</v>
      </c>
      <c r="BJ36" s="196">
        <v>15.73</v>
      </c>
      <c r="BK36" s="196">
        <v>15.88</v>
      </c>
      <c r="BL36" s="196">
        <v>15.88</v>
      </c>
      <c r="BM36" s="195">
        <v>18.010000000000002</v>
      </c>
      <c r="BN36" s="195">
        <v>21.38</v>
      </c>
      <c r="BO36" s="195">
        <v>50.15</v>
      </c>
      <c r="BP36" s="197">
        <v>89.54</v>
      </c>
      <c r="BQ36" s="195">
        <v>25.56</v>
      </c>
      <c r="BR36" s="195">
        <v>13.22</v>
      </c>
      <c r="BS36" s="195">
        <v>10.6</v>
      </c>
      <c r="BT36" s="196">
        <v>11.32</v>
      </c>
      <c r="BU36" s="195">
        <v>17.36</v>
      </c>
      <c r="BV36" s="195">
        <v>13.65</v>
      </c>
      <c r="BW36" s="196">
        <v>16.91</v>
      </c>
      <c r="BX36" s="196">
        <v>15.88</v>
      </c>
      <c r="BY36" s="196">
        <v>15.88</v>
      </c>
      <c r="BZ36" s="195">
        <v>16.36</v>
      </c>
      <c r="CA36" s="195">
        <v>8.1</v>
      </c>
      <c r="CB36" s="195">
        <v>56.96</v>
      </c>
      <c r="CC36" s="197">
        <v>81.42</v>
      </c>
      <c r="CD36" s="195">
        <v>22.59</v>
      </c>
      <c r="CE36" s="195">
        <v>12.55</v>
      </c>
      <c r="CF36" s="195">
        <v>9.5299999999999994</v>
      </c>
      <c r="CG36" s="196">
        <v>11.88</v>
      </c>
      <c r="CH36" s="195">
        <v>16.53</v>
      </c>
      <c r="CI36" s="195">
        <v>10.69</v>
      </c>
      <c r="CJ36" s="196">
        <v>15.83</v>
      </c>
      <c r="CK36" s="196">
        <v>15.88</v>
      </c>
      <c r="CL36" s="196">
        <v>15.88</v>
      </c>
      <c r="CM36" s="195">
        <v>17.600000000000001</v>
      </c>
      <c r="CN36" s="195">
        <v>18.100000000000001</v>
      </c>
      <c r="CO36" s="195">
        <v>51.84</v>
      </c>
      <c r="CP36" s="197">
        <v>87.54</v>
      </c>
    </row>
    <row r="37" spans="1:94" ht="13.5" customHeight="1">
      <c r="A37" s="23"/>
      <c r="B37" s="198">
        <v>2018</v>
      </c>
      <c r="D37" s="194">
        <v>22.24</v>
      </c>
      <c r="E37" s="195">
        <v>12.53</v>
      </c>
      <c r="F37" s="195">
        <v>8.65</v>
      </c>
      <c r="G37" s="196">
        <v>12.6</v>
      </c>
      <c r="H37" s="195">
        <v>16.7</v>
      </c>
      <c r="I37" s="195">
        <v>9.92</v>
      </c>
      <c r="J37" s="196">
        <v>15.89</v>
      </c>
      <c r="K37" s="196">
        <v>16.05</v>
      </c>
      <c r="L37" s="196">
        <v>16.05</v>
      </c>
      <c r="M37" s="195">
        <v>17.68</v>
      </c>
      <c r="N37" s="195">
        <v>24.89</v>
      </c>
      <c r="O37" s="195">
        <v>49.41</v>
      </c>
      <c r="P37" s="197">
        <v>91.98</v>
      </c>
      <c r="Q37" s="194">
        <v>22.79</v>
      </c>
      <c r="R37" s="195">
        <v>12.74</v>
      </c>
      <c r="S37" s="195">
        <v>9.2100000000000009</v>
      </c>
      <c r="T37" s="196">
        <v>11.86</v>
      </c>
      <c r="U37" s="195">
        <v>16.7</v>
      </c>
      <c r="V37" s="195">
        <v>9.92</v>
      </c>
      <c r="W37" s="196">
        <v>15.89</v>
      </c>
      <c r="X37" s="196">
        <v>16.05</v>
      </c>
      <c r="Y37" s="196">
        <v>16.05</v>
      </c>
      <c r="Z37" s="195">
        <v>18.05</v>
      </c>
      <c r="AA37" s="195">
        <v>8.7200000000000006</v>
      </c>
      <c r="AB37" s="195">
        <v>56.62</v>
      </c>
      <c r="AC37" s="197">
        <v>83.4</v>
      </c>
      <c r="AD37" s="194">
        <v>22.56</v>
      </c>
      <c r="AE37" s="195">
        <v>12.58</v>
      </c>
      <c r="AF37" s="195">
        <v>9.0500000000000007</v>
      </c>
      <c r="AG37" s="196">
        <v>12.1</v>
      </c>
      <c r="AH37" s="195">
        <v>16.7</v>
      </c>
      <c r="AI37" s="195">
        <v>9.92</v>
      </c>
      <c r="AJ37" s="196">
        <v>15.89</v>
      </c>
      <c r="AK37" s="196">
        <v>16.05</v>
      </c>
      <c r="AL37" s="196">
        <v>16.05</v>
      </c>
      <c r="AM37" s="195">
        <v>18.91</v>
      </c>
      <c r="AN37" s="195">
        <v>35.01</v>
      </c>
      <c r="AO37" s="195">
        <v>44.24</v>
      </c>
      <c r="AP37" s="197">
        <v>98.16</v>
      </c>
      <c r="AQ37" s="194">
        <v>22.99</v>
      </c>
      <c r="AR37" s="195">
        <v>12.76</v>
      </c>
      <c r="AS37" s="195">
        <v>9.02</v>
      </c>
      <c r="AT37" s="196">
        <v>12.26</v>
      </c>
      <c r="AU37" s="195">
        <v>16.7</v>
      </c>
      <c r="AV37" s="195">
        <v>9.92</v>
      </c>
      <c r="AW37" s="196">
        <v>15.89</v>
      </c>
      <c r="AX37" s="196">
        <v>16.05</v>
      </c>
      <c r="AY37" s="196">
        <v>16.05</v>
      </c>
      <c r="AZ37" s="195">
        <v>18.89</v>
      </c>
      <c r="BA37" s="195">
        <v>47.85</v>
      </c>
      <c r="BB37" s="195">
        <v>38.380000000000003</v>
      </c>
      <c r="BC37" s="197">
        <v>105.13</v>
      </c>
      <c r="BD37" s="195">
        <v>22.6</v>
      </c>
      <c r="BE37" s="195">
        <v>12.62</v>
      </c>
      <c r="BF37" s="195">
        <v>9.0399999999999991</v>
      </c>
      <c r="BG37" s="196">
        <v>12.17</v>
      </c>
      <c r="BH37" s="195">
        <v>16.7</v>
      </c>
      <c r="BI37" s="195">
        <v>9.92</v>
      </c>
      <c r="BJ37" s="196">
        <v>15.89</v>
      </c>
      <c r="BK37" s="196">
        <v>16.05</v>
      </c>
      <c r="BL37" s="196">
        <v>16.05</v>
      </c>
      <c r="BM37" s="195">
        <v>18.2</v>
      </c>
      <c r="BN37" s="195">
        <v>21.6</v>
      </c>
      <c r="BO37" s="195">
        <v>50.68</v>
      </c>
      <c r="BP37" s="197">
        <v>90.48</v>
      </c>
      <c r="BQ37" s="195">
        <v>25.83</v>
      </c>
      <c r="BR37" s="195">
        <v>13.36</v>
      </c>
      <c r="BS37" s="195">
        <v>10.71</v>
      </c>
      <c r="BT37" s="196">
        <v>11.44</v>
      </c>
      <c r="BU37" s="195">
        <v>17.54</v>
      </c>
      <c r="BV37" s="195">
        <v>13.79</v>
      </c>
      <c r="BW37" s="196">
        <v>17.09</v>
      </c>
      <c r="BX37" s="196">
        <v>16.05</v>
      </c>
      <c r="BY37" s="196">
        <v>16.05</v>
      </c>
      <c r="BZ37" s="195">
        <v>16.53</v>
      </c>
      <c r="CA37" s="195">
        <v>8.18</v>
      </c>
      <c r="CB37" s="195">
        <v>57.56</v>
      </c>
      <c r="CC37" s="197">
        <v>82.27</v>
      </c>
      <c r="CD37" s="195">
        <v>22.83</v>
      </c>
      <c r="CE37" s="195">
        <v>12.68</v>
      </c>
      <c r="CF37" s="195">
        <v>9.6300000000000008</v>
      </c>
      <c r="CG37" s="196">
        <v>12</v>
      </c>
      <c r="CH37" s="195">
        <v>16.7</v>
      </c>
      <c r="CI37" s="195">
        <v>10.8</v>
      </c>
      <c r="CJ37" s="196">
        <v>16</v>
      </c>
      <c r="CK37" s="196">
        <v>16.05</v>
      </c>
      <c r="CL37" s="196">
        <v>16.05</v>
      </c>
      <c r="CM37" s="195">
        <v>17.79</v>
      </c>
      <c r="CN37" s="195">
        <v>18.29</v>
      </c>
      <c r="CO37" s="195">
        <v>52.38</v>
      </c>
      <c r="CP37" s="197">
        <v>88.45</v>
      </c>
    </row>
    <row r="38" spans="1:94" ht="13.5" customHeight="1">
      <c r="A38" s="23"/>
      <c r="B38" s="198">
        <v>2019</v>
      </c>
      <c r="D38" s="194">
        <v>22.49</v>
      </c>
      <c r="E38" s="195">
        <v>12.67</v>
      </c>
      <c r="F38" s="195">
        <v>8.74</v>
      </c>
      <c r="G38" s="196">
        <v>12.74</v>
      </c>
      <c r="H38" s="195">
        <v>16.89</v>
      </c>
      <c r="I38" s="195">
        <v>10.029999999999999</v>
      </c>
      <c r="J38" s="196">
        <v>16.07</v>
      </c>
      <c r="K38" s="196">
        <v>16.23</v>
      </c>
      <c r="L38" s="196">
        <v>16.23</v>
      </c>
      <c r="M38" s="195">
        <v>17.88</v>
      </c>
      <c r="N38" s="195">
        <v>25.17</v>
      </c>
      <c r="O38" s="195">
        <v>49.97</v>
      </c>
      <c r="P38" s="197">
        <v>93.02</v>
      </c>
      <c r="Q38" s="194">
        <v>23.04</v>
      </c>
      <c r="R38" s="195">
        <v>12.88</v>
      </c>
      <c r="S38" s="195">
        <v>9.31</v>
      </c>
      <c r="T38" s="196">
        <v>12</v>
      </c>
      <c r="U38" s="195">
        <v>16.89</v>
      </c>
      <c r="V38" s="195">
        <v>10.029999999999999</v>
      </c>
      <c r="W38" s="196">
        <v>16.07</v>
      </c>
      <c r="X38" s="196">
        <v>16.23</v>
      </c>
      <c r="Y38" s="196">
        <v>16.23</v>
      </c>
      <c r="Z38" s="195">
        <v>18.25</v>
      </c>
      <c r="AA38" s="195">
        <v>8.82</v>
      </c>
      <c r="AB38" s="195">
        <v>57.26</v>
      </c>
      <c r="AC38" s="197">
        <v>84.33</v>
      </c>
      <c r="AD38" s="194">
        <v>22.81</v>
      </c>
      <c r="AE38" s="195">
        <v>12.72</v>
      </c>
      <c r="AF38" s="195">
        <v>9.16</v>
      </c>
      <c r="AG38" s="196">
        <v>12.24</v>
      </c>
      <c r="AH38" s="195">
        <v>16.89</v>
      </c>
      <c r="AI38" s="195">
        <v>10.029999999999999</v>
      </c>
      <c r="AJ38" s="196">
        <v>16.07</v>
      </c>
      <c r="AK38" s="196">
        <v>16.23</v>
      </c>
      <c r="AL38" s="196">
        <v>16.23</v>
      </c>
      <c r="AM38" s="195">
        <v>19.12</v>
      </c>
      <c r="AN38" s="195">
        <v>35.4</v>
      </c>
      <c r="AO38" s="195">
        <v>44.73</v>
      </c>
      <c r="AP38" s="197">
        <v>99.26</v>
      </c>
      <c r="AQ38" s="194">
        <v>23.24</v>
      </c>
      <c r="AR38" s="195">
        <v>12.9</v>
      </c>
      <c r="AS38" s="195">
        <v>9.1199999999999992</v>
      </c>
      <c r="AT38" s="196">
        <v>12.4</v>
      </c>
      <c r="AU38" s="195">
        <v>16.89</v>
      </c>
      <c r="AV38" s="195">
        <v>10.029999999999999</v>
      </c>
      <c r="AW38" s="196">
        <v>16.07</v>
      </c>
      <c r="AX38" s="196">
        <v>16.23</v>
      </c>
      <c r="AY38" s="196">
        <v>16.23</v>
      </c>
      <c r="AZ38" s="195">
        <v>19.11</v>
      </c>
      <c r="BA38" s="195">
        <v>48.39</v>
      </c>
      <c r="BB38" s="195">
        <v>38.81</v>
      </c>
      <c r="BC38" s="197">
        <v>106.31</v>
      </c>
      <c r="BD38" s="195">
        <v>22.85</v>
      </c>
      <c r="BE38" s="195">
        <v>12.76</v>
      </c>
      <c r="BF38" s="195">
        <v>9.15</v>
      </c>
      <c r="BG38" s="196">
        <v>12.31</v>
      </c>
      <c r="BH38" s="195">
        <v>16.89</v>
      </c>
      <c r="BI38" s="195">
        <v>10.029999999999999</v>
      </c>
      <c r="BJ38" s="196">
        <v>16.07</v>
      </c>
      <c r="BK38" s="196">
        <v>16.23</v>
      </c>
      <c r="BL38" s="196">
        <v>16.23</v>
      </c>
      <c r="BM38" s="195">
        <v>18.399999999999999</v>
      </c>
      <c r="BN38" s="195">
        <v>21.85</v>
      </c>
      <c r="BO38" s="195">
        <v>51.25</v>
      </c>
      <c r="BP38" s="197">
        <v>91.5</v>
      </c>
      <c r="BQ38" s="195">
        <v>26.12</v>
      </c>
      <c r="BR38" s="195">
        <v>13.51</v>
      </c>
      <c r="BS38" s="195">
        <v>10.83</v>
      </c>
      <c r="BT38" s="196">
        <v>11.57</v>
      </c>
      <c r="BU38" s="195">
        <v>17.739999999999998</v>
      </c>
      <c r="BV38" s="195">
        <v>13.95</v>
      </c>
      <c r="BW38" s="196">
        <v>17.28</v>
      </c>
      <c r="BX38" s="196">
        <v>16.23</v>
      </c>
      <c r="BY38" s="196">
        <v>16.23</v>
      </c>
      <c r="BZ38" s="195">
        <v>16.72</v>
      </c>
      <c r="CA38" s="195">
        <v>8.2799999999999994</v>
      </c>
      <c r="CB38" s="195">
        <v>58.21</v>
      </c>
      <c r="CC38" s="197">
        <v>83.2</v>
      </c>
      <c r="CD38" s="195">
        <v>23.08</v>
      </c>
      <c r="CE38" s="195">
        <v>12.82</v>
      </c>
      <c r="CF38" s="195">
        <v>9.74</v>
      </c>
      <c r="CG38" s="196">
        <v>12.13</v>
      </c>
      <c r="CH38" s="195">
        <v>16.89</v>
      </c>
      <c r="CI38" s="195">
        <v>10.93</v>
      </c>
      <c r="CJ38" s="196">
        <v>16.18</v>
      </c>
      <c r="CK38" s="196">
        <v>16.23</v>
      </c>
      <c r="CL38" s="196">
        <v>16.23</v>
      </c>
      <c r="CM38" s="195">
        <v>17.989999999999998</v>
      </c>
      <c r="CN38" s="195">
        <v>18.489999999999998</v>
      </c>
      <c r="CO38" s="195">
        <v>52.97</v>
      </c>
      <c r="CP38" s="197">
        <v>89.45</v>
      </c>
    </row>
    <row r="39" spans="1:94" ht="13.5" customHeight="1">
      <c r="A39" s="23"/>
      <c r="B39" s="198">
        <v>2020</v>
      </c>
      <c r="D39" s="194">
        <v>22.51</v>
      </c>
      <c r="E39" s="195">
        <v>12.69</v>
      </c>
      <c r="F39" s="195">
        <v>8.75</v>
      </c>
      <c r="G39" s="196">
        <v>12.75</v>
      </c>
      <c r="H39" s="195">
        <v>16.91</v>
      </c>
      <c r="I39" s="195">
        <v>10.039999999999999</v>
      </c>
      <c r="J39" s="196">
        <v>16.09</v>
      </c>
      <c r="K39" s="196">
        <v>16.25</v>
      </c>
      <c r="L39" s="196">
        <v>16.25</v>
      </c>
      <c r="M39" s="195">
        <v>17.899999999999999</v>
      </c>
      <c r="N39" s="195">
        <v>25.2</v>
      </c>
      <c r="O39" s="195">
        <v>50.02</v>
      </c>
      <c r="P39" s="197">
        <v>93.12</v>
      </c>
      <c r="Q39" s="194">
        <v>23.07</v>
      </c>
      <c r="R39" s="195">
        <v>12.89</v>
      </c>
      <c r="S39" s="195">
        <v>9.32</v>
      </c>
      <c r="T39" s="196">
        <v>12.01</v>
      </c>
      <c r="U39" s="195">
        <v>16.91</v>
      </c>
      <c r="V39" s="195">
        <v>10.039999999999999</v>
      </c>
      <c r="W39" s="196">
        <v>16.09</v>
      </c>
      <c r="X39" s="196">
        <v>16.25</v>
      </c>
      <c r="Y39" s="196">
        <v>16.25</v>
      </c>
      <c r="Z39" s="195">
        <v>18.27</v>
      </c>
      <c r="AA39" s="195">
        <v>8.83</v>
      </c>
      <c r="AB39" s="195">
        <v>57.32</v>
      </c>
      <c r="AC39" s="197">
        <v>84.43</v>
      </c>
      <c r="AD39" s="194">
        <v>22.84</v>
      </c>
      <c r="AE39" s="195">
        <v>12.73</v>
      </c>
      <c r="AF39" s="195">
        <v>9.17</v>
      </c>
      <c r="AG39" s="196">
        <v>12.25</v>
      </c>
      <c r="AH39" s="195">
        <v>16.91</v>
      </c>
      <c r="AI39" s="195">
        <v>10.039999999999999</v>
      </c>
      <c r="AJ39" s="196">
        <v>16.09</v>
      </c>
      <c r="AK39" s="196">
        <v>16.25</v>
      </c>
      <c r="AL39" s="196">
        <v>16.25</v>
      </c>
      <c r="AM39" s="195">
        <v>19.14</v>
      </c>
      <c r="AN39" s="195">
        <v>35.44</v>
      </c>
      <c r="AO39" s="195">
        <v>44.78</v>
      </c>
      <c r="AP39" s="197">
        <v>99.37</v>
      </c>
      <c r="AQ39" s="194">
        <v>23.27</v>
      </c>
      <c r="AR39" s="195">
        <v>12.92</v>
      </c>
      <c r="AS39" s="195">
        <v>9.1300000000000008</v>
      </c>
      <c r="AT39" s="196">
        <v>12.41</v>
      </c>
      <c r="AU39" s="195">
        <v>16.91</v>
      </c>
      <c r="AV39" s="195">
        <v>10.039999999999999</v>
      </c>
      <c r="AW39" s="196">
        <v>16.09</v>
      </c>
      <c r="AX39" s="196">
        <v>16.25</v>
      </c>
      <c r="AY39" s="196">
        <v>16.25</v>
      </c>
      <c r="AZ39" s="195">
        <v>19.13</v>
      </c>
      <c r="BA39" s="195">
        <v>48.45</v>
      </c>
      <c r="BB39" s="195">
        <v>38.86</v>
      </c>
      <c r="BC39" s="197">
        <v>106.43</v>
      </c>
      <c r="BD39" s="195">
        <v>22.88</v>
      </c>
      <c r="BE39" s="195">
        <v>12.77</v>
      </c>
      <c r="BF39" s="195">
        <v>9.16</v>
      </c>
      <c r="BG39" s="196">
        <v>12.32</v>
      </c>
      <c r="BH39" s="195">
        <v>16.91</v>
      </c>
      <c r="BI39" s="195">
        <v>10.039999999999999</v>
      </c>
      <c r="BJ39" s="196">
        <v>16.09</v>
      </c>
      <c r="BK39" s="196">
        <v>16.25</v>
      </c>
      <c r="BL39" s="196">
        <v>16.25</v>
      </c>
      <c r="BM39" s="195">
        <v>18.43</v>
      </c>
      <c r="BN39" s="195">
        <v>21.87</v>
      </c>
      <c r="BO39" s="195">
        <v>51.3</v>
      </c>
      <c r="BP39" s="197">
        <v>91.6</v>
      </c>
      <c r="BQ39" s="195">
        <v>26.15</v>
      </c>
      <c r="BR39" s="195">
        <v>13.53</v>
      </c>
      <c r="BS39" s="195">
        <v>10.84</v>
      </c>
      <c r="BT39" s="196">
        <v>11.58</v>
      </c>
      <c r="BU39" s="195">
        <v>17.760000000000002</v>
      </c>
      <c r="BV39" s="195">
        <v>13.96</v>
      </c>
      <c r="BW39" s="196">
        <v>17.3</v>
      </c>
      <c r="BX39" s="196">
        <v>16.25</v>
      </c>
      <c r="BY39" s="196">
        <v>16.25</v>
      </c>
      <c r="BZ39" s="195">
        <v>16.73</v>
      </c>
      <c r="CA39" s="195">
        <v>8.2899999999999991</v>
      </c>
      <c r="CB39" s="195">
        <v>58.27</v>
      </c>
      <c r="CC39" s="197">
        <v>83.29</v>
      </c>
      <c r="CD39" s="195">
        <v>23.11</v>
      </c>
      <c r="CE39" s="195">
        <v>12.84</v>
      </c>
      <c r="CF39" s="195">
        <v>9.75</v>
      </c>
      <c r="CG39" s="196">
        <v>12.15</v>
      </c>
      <c r="CH39" s="195">
        <v>16.91</v>
      </c>
      <c r="CI39" s="195">
        <v>10.94</v>
      </c>
      <c r="CJ39" s="196">
        <v>16.190000000000001</v>
      </c>
      <c r="CK39" s="196">
        <v>16.25</v>
      </c>
      <c r="CL39" s="196">
        <v>16.25</v>
      </c>
      <c r="CM39" s="195">
        <v>18.010000000000002</v>
      </c>
      <c r="CN39" s="195">
        <v>18.510000000000002</v>
      </c>
      <c r="CO39" s="195">
        <v>53.03</v>
      </c>
      <c r="CP39" s="197">
        <v>89.55</v>
      </c>
    </row>
    <row r="40" spans="1:94" ht="13.5" customHeight="1">
      <c r="A40" s="23"/>
      <c r="B40" s="198">
        <v>2021</v>
      </c>
      <c r="D40" s="194">
        <v>22.54</v>
      </c>
      <c r="E40" s="195">
        <v>12.7</v>
      </c>
      <c r="F40" s="195">
        <v>8.76</v>
      </c>
      <c r="G40" s="196">
        <v>12.77</v>
      </c>
      <c r="H40" s="195">
        <v>16.93</v>
      </c>
      <c r="I40" s="195">
        <v>10.050000000000001</v>
      </c>
      <c r="J40" s="196">
        <v>16.100000000000001</v>
      </c>
      <c r="K40" s="196">
        <v>16.27</v>
      </c>
      <c r="L40" s="196">
        <v>16.27</v>
      </c>
      <c r="M40" s="195">
        <v>17.920000000000002</v>
      </c>
      <c r="N40" s="195">
        <v>25.23</v>
      </c>
      <c r="O40" s="195">
        <v>50.08</v>
      </c>
      <c r="P40" s="197">
        <v>93.23</v>
      </c>
      <c r="Q40" s="194">
        <v>23.1</v>
      </c>
      <c r="R40" s="195">
        <v>12.91</v>
      </c>
      <c r="S40" s="195">
        <v>9.33</v>
      </c>
      <c r="T40" s="196">
        <v>12.02</v>
      </c>
      <c r="U40" s="195">
        <v>16.93</v>
      </c>
      <c r="V40" s="195">
        <v>10.050000000000001</v>
      </c>
      <c r="W40" s="196">
        <v>16.100000000000001</v>
      </c>
      <c r="X40" s="196">
        <v>16.27</v>
      </c>
      <c r="Y40" s="196">
        <v>16.27</v>
      </c>
      <c r="Z40" s="195">
        <v>18.3</v>
      </c>
      <c r="AA40" s="195">
        <v>8.84</v>
      </c>
      <c r="AB40" s="195">
        <v>57.39</v>
      </c>
      <c r="AC40" s="197">
        <v>84.53</v>
      </c>
      <c r="AD40" s="194">
        <v>22.86</v>
      </c>
      <c r="AE40" s="195">
        <v>12.75</v>
      </c>
      <c r="AF40" s="195">
        <v>9.18</v>
      </c>
      <c r="AG40" s="196">
        <v>12.27</v>
      </c>
      <c r="AH40" s="195">
        <v>16.93</v>
      </c>
      <c r="AI40" s="195">
        <v>10.050000000000001</v>
      </c>
      <c r="AJ40" s="196">
        <v>16.100000000000001</v>
      </c>
      <c r="AK40" s="196">
        <v>16.27</v>
      </c>
      <c r="AL40" s="196">
        <v>16.27</v>
      </c>
      <c r="AM40" s="195">
        <v>19.170000000000002</v>
      </c>
      <c r="AN40" s="195">
        <v>35.479999999999997</v>
      </c>
      <c r="AO40" s="195">
        <v>44.84</v>
      </c>
      <c r="AP40" s="197">
        <v>99.48</v>
      </c>
      <c r="AQ40" s="194">
        <v>23.3</v>
      </c>
      <c r="AR40" s="195">
        <v>12.93</v>
      </c>
      <c r="AS40" s="195">
        <v>9.14</v>
      </c>
      <c r="AT40" s="196">
        <v>12.43</v>
      </c>
      <c r="AU40" s="195">
        <v>16.93</v>
      </c>
      <c r="AV40" s="195">
        <v>10.050000000000001</v>
      </c>
      <c r="AW40" s="196">
        <v>16.100000000000001</v>
      </c>
      <c r="AX40" s="196">
        <v>16.27</v>
      </c>
      <c r="AY40" s="196">
        <v>16.27</v>
      </c>
      <c r="AZ40" s="195">
        <v>19.149999999999999</v>
      </c>
      <c r="BA40" s="195">
        <v>48.5</v>
      </c>
      <c r="BB40" s="195">
        <v>38.9</v>
      </c>
      <c r="BC40" s="197">
        <v>106.55</v>
      </c>
      <c r="BD40" s="195">
        <v>22.9</v>
      </c>
      <c r="BE40" s="195">
        <v>12.79</v>
      </c>
      <c r="BF40" s="195">
        <v>9.17</v>
      </c>
      <c r="BG40" s="196">
        <v>12.34</v>
      </c>
      <c r="BH40" s="195">
        <v>16.93</v>
      </c>
      <c r="BI40" s="195">
        <v>10.050000000000001</v>
      </c>
      <c r="BJ40" s="196">
        <v>16.100000000000001</v>
      </c>
      <c r="BK40" s="196">
        <v>16.27</v>
      </c>
      <c r="BL40" s="196">
        <v>16.27</v>
      </c>
      <c r="BM40" s="195">
        <v>18.45</v>
      </c>
      <c r="BN40" s="195">
        <v>21.89</v>
      </c>
      <c r="BO40" s="195">
        <v>51.36</v>
      </c>
      <c r="BP40" s="197">
        <v>91.7</v>
      </c>
      <c r="BQ40" s="195">
        <v>26.18</v>
      </c>
      <c r="BR40" s="195">
        <v>13.54</v>
      </c>
      <c r="BS40" s="195">
        <v>10.85</v>
      </c>
      <c r="BT40" s="196">
        <v>11.6</v>
      </c>
      <c r="BU40" s="195">
        <v>17.78</v>
      </c>
      <c r="BV40" s="195">
        <v>13.98</v>
      </c>
      <c r="BW40" s="196">
        <v>17.32</v>
      </c>
      <c r="BX40" s="196">
        <v>16.27</v>
      </c>
      <c r="BY40" s="196">
        <v>16.27</v>
      </c>
      <c r="BZ40" s="195">
        <v>16.75</v>
      </c>
      <c r="CA40" s="195">
        <v>8.2899999999999991</v>
      </c>
      <c r="CB40" s="195">
        <v>58.34</v>
      </c>
      <c r="CC40" s="197">
        <v>83.39</v>
      </c>
      <c r="CD40" s="195">
        <v>23.14</v>
      </c>
      <c r="CE40" s="195">
        <v>12.85</v>
      </c>
      <c r="CF40" s="195">
        <v>9.76</v>
      </c>
      <c r="CG40" s="196">
        <v>12.16</v>
      </c>
      <c r="CH40" s="195">
        <v>16.93</v>
      </c>
      <c r="CI40" s="195">
        <v>10.95</v>
      </c>
      <c r="CJ40" s="196">
        <v>16.21</v>
      </c>
      <c r="CK40" s="196">
        <v>16.27</v>
      </c>
      <c r="CL40" s="196">
        <v>16.27</v>
      </c>
      <c r="CM40" s="195">
        <v>18.03</v>
      </c>
      <c r="CN40" s="195">
        <v>18.54</v>
      </c>
      <c r="CO40" s="195">
        <v>53.09</v>
      </c>
      <c r="CP40" s="197">
        <v>89.65</v>
      </c>
    </row>
    <row r="41" spans="1:94" ht="13.5" customHeight="1">
      <c r="A41" s="23"/>
      <c r="B41" s="198">
        <v>2022</v>
      </c>
      <c r="D41" s="194">
        <v>22.56</v>
      </c>
      <c r="E41" s="195">
        <v>12.72</v>
      </c>
      <c r="F41" s="195">
        <v>8.77</v>
      </c>
      <c r="G41" s="196">
        <v>12.78</v>
      </c>
      <c r="H41" s="195">
        <v>16.95</v>
      </c>
      <c r="I41" s="195">
        <v>10.07</v>
      </c>
      <c r="J41" s="196">
        <v>16.12</v>
      </c>
      <c r="K41" s="196">
        <v>16.29</v>
      </c>
      <c r="L41" s="196">
        <v>16.29</v>
      </c>
      <c r="M41" s="195">
        <v>17.940000000000001</v>
      </c>
      <c r="N41" s="195">
        <v>25.26</v>
      </c>
      <c r="O41" s="195">
        <v>50.14</v>
      </c>
      <c r="P41" s="197">
        <v>93.33</v>
      </c>
      <c r="Q41" s="194">
        <v>23.12</v>
      </c>
      <c r="R41" s="195">
        <v>12.92</v>
      </c>
      <c r="S41" s="195">
        <v>9.35</v>
      </c>
      <c r="T41" s="196">
        <v>12.04</v>
      </c>
      <c r="U41" s="195">
        <v>16.95</v>
      </c>
      <c r="V41" s="195">
        <v>10.07</v>
      </c>
      <c r="W41" s="196">
        <v>16.12</v>
      </c>
      <c r="X41" s="196">
        <v>16.29</v>
      </c>
      <c r="Y41" s="196">
        <v>16.29</v>
      </c>
      <c r="Z41" s="195">
        <v>18.32</v>
      </c>
      <c r="AA41" s="195">
        <v>8.85</v>
      </c>
      <c r="AB41" s="195">
        <v>57.45</v>
      </c>
      <c r="AC41" s="197">
        <v>84.62</v>
      </c>
      <c r="AD41" s="194">
        <v>22.89</v>
      </c>
      <c r="AE41" s="195">
        <v>12.76</v>
      </c>
      <c r="AF41" s="195">
        <v>9.19</v>
      </c>
      <c r="AG41" s="196">
        <v>12.28</v>
      </c>
      <c r="AH41" s="195">
        <v>16.95</v>
      </c>
      <c r="AI41" s="195">
        <v>10.07</v>
      </c>
      <c r="AJ41" s="196">
        <v>16.12</v>
      </c>
      <c r="AK41" s="196">
        <v>16.29</v>
      </c>
      <c r="AL41" s="196">
        <v>16.29</v>
      </c>
      <c r="AM41" s="195">
        <v>19.190000000000001</v>
      </c>
      <c r="AN41" s="195">
        <v>35.520000000000003</v>
      </c>
      <c r="AO41" s="195">
        <v>44.89</v>
      </c>
      <c r="AP41" s="197">
        <v>99.59</v>
      </c>
      <c r="AQ41" s="194">
        <v>23.32</v>
      </c>
      <c r="AR41" s="195">
        <v>12.95</v>
      </c>
      <c r="AS41" s="195">
        <v>9.15</v>
      </c>
      <c r="AT41" s="196">
        <v>12.44</v>
      </c>
      <c r="AU41" s="195">
        <v>16.95</v>
      </c>
      <c r="AV41" s="195">
        <v>10.07</v>
      </c>
      <c r="AW41" s="196">
        <v>16.12</v>
      </c>
      <c r="AX41" s="196">
        <v>16.29</v>
      </c>
      <c r="AY41" s="196">
        <v>16.29</v>
      </c>
      <c r="AZ41" s="195">
        <v>19.170000000000002</v>
      </c>
      <c r="BA41" s="195">
        <v>48.56</v>
      </c>
      <c r="BB41" s="195">
        <v>38.94</v>
      </c>
      <c r="BC41" s="197">
        <v>106.67</v>
      </c>
      <c r="BD41" s="195">
        <v>22.93</v>
      </c>
      <c r="BE41" s="195">
        <v>12.8</v>
      </c>
      <c r="BF41" s="195">
        <v>9.18</v>
      </c>
      <c r="BG41" s="196">
        <v>12.35</v>
      </c>
      <c r="BH41" s="195">
        <v>16.95</v>
      </c>
      <c r="BI41" s="195">
        <v>10.07</v>
      </c>
      <c r="BJ41" s="196">
        <v>16.12</v>
      </c>
      <c r="BK41" s="196">
        <v>16.29</v>
      </c>
      <c r="BL41" s="196">
        <v>16.29</v>
      </c>
      <c r="BM41" s="195">
        <v>18.47</v>
      </c>
      <c r="BN41" s="195">
        <v>21.92</v>
      </c>
      <c r="BO41" s="195">
        <v>51.42</v>
      </c>
      <c r="BP41" s="197">
        <v>91.81</v>
      </c>
      <c r="BQ41" s="195">
        <v>26.21</v>
      </c>
      <c r="BR41" s="195">
        <v>13.56</v>
      </c>
      <c r="BS41" s="195">
        <v>10.87</v>
      </c>
      <c r="BT41" s="196">
        <v>11.61</v>
      </c>
      <c r="BU41" s="195">
        <v>17.8</v>
      </c>
      <c r="BV41" s="195">
        <v>14</v>
      </c>
      <c r="BW41" s="196">
        <v>17.34</v>
      </c>
      <c r="BX41" s="196">
        <v>16.29</v>
      </c>
      <c r="BY41" s="196">
        <v>16.29</v>
      </c>
      <c r="BZ41" s="195">
        <v>16.77</v>
      </c>
      <c r="CA41" s="195">
        <v>8.3000000000000007</v>
      </c>
      <c r="CB41" s="195">
        <v>58.4</v>
      </c>
      <c r="CC41" s="197">
        <v>83.48</v>
      </c>
      <c r="CD41" s="195">
        <v>23.16</v>
      </c>
      <c r="CE41" s="195">
        <v>12.86</v>
      </c>
      <c r="CF41" s="195">
        <v>9.77</v>
      </c>
      <c r="CG41" s="196">
        <v>12.18</v>
      </c>
      <c r="CH41" s="195">
        <v>16.95</v>
      </c>
      <c r="CI41" s="195">
        <v>10.96</v>
      </c>
      <c r="CJ41" s="196">
        <v>16.23</v>
      </c>
      <c r="CK41" s="196">
        <v>16.29</v>
      </c>
      <c r="CL41" s="196">
        <v>16.29</v>
      </c>
      <c r="CM41" s="195">
        <v>18.05</v>
      </c>
      <c r="CN41" s="195">
        <v>18.559999999999999</v>
      </c>
      <c r="CO41" s="195">
        <v>53.15</v>
      </c>
      <c r="CP41" s="197">
        <v>89.75</v>
      </c>
    </row>
    <row r="42" spans="1:94" ht="13.5" customHeight="1">
      <c r="A42" s="23"/>
      <c r="B42" s="198">
        <v>2023</v>
      </c>
      <c r="D42" s="194">
        <v>22.9</v>
      </c>
      <c r="E42" s="195">
        <v>12.91</v>
      </c>
      <c r="F42" s="195">
        <v>8.91</v>
      </c>
      <c r="G42" s="196">
        <v>12.97</v>
      </c>
      <c r="H42" s="195">
        <v>17.2</v>
      </c>
      <c r="I42" s="195">
        <v>10.220000000000001</v>
      </c>
      <c r="J42" s="196">
        <v>16.37</v>
      </c>
      <c r="K42" s="196">
        <v>16.53</v>
      </c>
      <c r="L42" s="196">
        <v>16.53</v>
      </c>
      <c r="M42" s="195">
        <v>18.21</v>
      </c>
      <c r="N42" s="195">
        <v>25.64</v>
      </c>
      <c r="O42" s="195">
        <v>50.89</v>
      </c>
      <c r="P42" s="197">
        <v>94.74</v>
      </c>
      <c r="Q42" s="194">
        <v>23.47</v>
      </c>
      <c r="R42" s="195">
        <v>13.12</v>
      </c>
      <c r="S42" s="195">
        <v>9.49</v>
      </c>
      <c r="T42" s="196">
        <v>12.22</v>
      </c>
      <c r="U42" s="195">
        <v>17.2</v>
      </c>
      <c r="V42" s="195">
        <v>10.220000000000001</v>
      </c>
      <c r="W42" s="196">
        <v>16.37</v>
      </c>
      <c r="X42" s="196">
        <v>16.53</v>
      </c>
      <c r="Y42" s="196">
        <v>16.53</v>
      </c>
      <c r="Z42" s="195">
        <v>18.59</v>
      </c>
      <c r="AA42" s="195">
        <v>8.99</v>
      </c>
      <c r="AB42" s="195">
        <v>58.32</v>
      </c>
      <c r="AC42" s="197">
        <v>85.9</v>
      </c>
      <c r="AD42" s="194">
        <v>23.24</v>
      </c>
      <c r="AE42" s="195">
        <v>12.95</v>
      </c>
      <c r="AF42" s="195">
        <v>9.33</v>
      </c>
      <c r="AG42" s="196">
        <v>12.46</v>
      </c>
      <c r="AH42" s="195">
        <v>17.2</v>
      </c>
      <c r="AI42" s="195">
        <v>10.220000000000001</v>
      </c>
      <c r="AJ42" s="196">
        <v>16.37</v>
      </c>
      <c r="AK42" s="196">
        <v>16.53</v>
      </c>
      <c r="AL42" s="196">
        <v>16.53</v>
      </c>
      <c r="AM42" s="195">
        <v>19.48</v>
      </c>
      <c r="AN42" s="195">
        <v>36.06</v>
      </c>
      <c r="AO42" s="195">
        <v>45.56</v>
      </c>
      <c r="AP42" s="197">
        <v>101.1</v>
      </c>
      <c r="AQ42" s="194">
        <v>23.68</v>
      </c>
      <c r="AR42" s="195">
        <v>13.14</v>
      </c>
      <c r="AS42" s="195">
        <v>9.2899999999999991</v>
      </c>
      <c r="AT42" s="196">
        <v>12.63</v>
      </c>
      <c r="AU42" s="195">
        <v>17.2</v>
      </c>
      <c r="AV42" s="195">
        <v>10.220000000000001</v>
      </c>
      <c r="AW42" s="196">
        <v>16.37</v>
      </c>
      <c r="AX42" s="196">
        <v>16.53</v>
      </c>
      <c r="AY42" s="196">
        <v>16.53</v>
      </c>
      <c r="AZ42" s="195">
        <v>19.46</v>
      </c>
      <c r="BA42" s="195">
        <v>49.29</v>
      </c>
      <c r="BB42" s="195">
        <v>39.53</v>
      </c>
      <c r="BC42" s="197">
        <v>108.28</v>
      </c>
      <c r="BD42" s="195">
        <v>23.28</v>
      </c>
      <c r="BE42" s="195">
        <v>13</v>
      </c>
      <c r="BF42" s="195">
        <v>9.32</v>
      </c>
      <c r="BG42" s="196">
        <v>12.54</v>
      </c>
      <c r="BH42" s="195">
        <v>17.2</v>
      </c>
      <c r="BI42" s="195">
        <v>10.220000000000001</v>
      </c>
      <c r="BJ42" s="196">
        <v>16.37</v>
      </c>
      <c r="BK42" s="196">
        <v>16.53</v>
      </c>
      <c r="BL42" s="196">
        <v>16.53</v>
      </c>
      <c r="BM42" s="195">
        <v>18.75</v>
      </c>
      <c r="BN42" s="195">
        <v>22.25</v>
      </c>
      <c r="BO42" s="195">
        <v>52.2</v>
      </c>
      <c r="BP42" s="197">
        <v>93.19</v>
      </c>
      <c r="BQ42" s="195">
        <v>26.6</v>
      </c>
      <c r="BR42" s="195">
        <v>13.76</v>
      </c>
      <c r="BS42" s="195">
        <v>11.03</v>
      </c>
      <c r="BT42" s="196">
        <v>11.79</v>
      </c>
      <c r="BU42" s="195">
        <v>18.07</v>
      </c>
      <c r="BV42" s="195">
        <v>14.21</v>
      </c>
      <c r="BW42" s="196">
        <v>17.600000000000001</v>
      </c>
      <c r="BX42" s="196">
        <v>16.53</v>
      </c>
      <c r="BY42" s="196">
        <v>16.53</v>
      </c>
      <c r="BZ42" s="195">
        <v>17.03</v>
      </c>
      <c r="CA42" s="195">
        <v>8.43</v>
      </c>
      <c r="CB42" s="195">
        <v>59.28</v>
      </c>
      <c r="CC42" s="197">
        <v>84.74</v>
      </c>
      <c r="CD42" s="195">
        <v>23.51</v>
      </c>
      <c r="CE42" s="195">
        <v>13.06</v>
      </c>
      <c r="CF42" s="195">
        <v>9.92</v>
      </c>
      <c r="CG42" s="196">
        <v>12.36</v>
      </c>
      <c r="CH42" s="195">
        <v>17.2</v>
      </c>
      <c r="CI42" s="195">
        <v>11.13</v>
      </c>
      <c r="CJ42" s="196">
        <v>16.48</v>
      </c>
      <c r="CK42" s="196">
        <v>16.53</v>
      </c>
      <c r="CL42" s="196">
        <v>16.53</v>
      </c>
      <c r="CM42" s="195">
        <v>18.32</v>
      </c>
      <c r="CN42" s="195">
        <v>18.84</v>
      </c>
      <c r="CO42" s="195">
        <v>53.95</v>
      </c>
      <c r="CP42" s="197">
        <v>91.11</v>
      </c>
    </row>
    <row r="43" spans="1:94" ht="13.5" customHeight="1">
      <c r="A43" s="23"/>
      <c r="B43" s="198">
        <v>2024</v>
      </c>
      <c r="D43" s="194">
        <v>23.34</v>
      </c>
      <c r="E43" s="195">
        <v>13.15</v>
      </c>
      <c r="F43" s="195">
        <v>9.07</v>
      </c>
      <c r="G43" s="196">
        <v>13.22</v>
      </c>
      <c r="H43" s="195">
        <v>17.53</v>
      </c>
      <c r="I43" s="195">
        <v>10.41</v>
      </c>
      <c r="J43" s="196">
        <v>16.68</v>
      </c>
      <c r="K43" s="196">
        <v>16.84</v>
      </c>
      <c r="L43" s="196">
        <v>16.84</v>
      </c>
      <c r="M43" s="195">
        <v>18.559999999999999</v>
      </c>
      <c r="N43" s="195">
        <v>26.12</v>
      </c>
      <c r="O43" s="195">
        <v>51.86</v>
      </c>
      <c r="P43" s="197">
        <v>96.54</v>
      </c>
      <c r="Q43" s="194">
        <v>23.92</v>
      </c>
      <c r="R43" s="195">
        <v>13.37</v>
      </c>
      <c r="S43" s="195">
        <v>9.67</v>
      </c>
      <c r="T43" s="196">
        <v>12.45</v>
      </c>
      <c r="U43" s="195">
        <v>17.53</v>
      </c>
      <c r="V43" s="195">
        <v>10.41</v>
      </c>
      <c r="W43" s="196">
        <v>16.68</v>
      </c>
      <c r="X43" s="196">
        <v>16.84</v>
      </c>
      <c r="Y43" s="196">
        <v>16.84</v>
      </c>
      <c r="Z43" s="195">
        <v>18.940000000000001</v>
      </c>
      <c r="AA43" s="195">
        <v>9.16</v>
      </c>
      <c r="AB43" s="195">
        <v>59.43</v>
      </c>
      <c r="AC43" s="197">
        <v>87.53</v>
      </c>
      <c r="AD43" s="194">
        <v>23.68</v>
      </c>
      <c r="AE43" s="195">
        <v>13.2</v>
      </c>
      <c r="AF43" s="195">
        <v>9.5</v>
      </c>
      <c r="AG43" s="196">
        <v>12.7</v>
      </c>
      <c r="AH43" s="195">
        <v>17.53</v>
      </c>
      <c r="AI43" s="195">
        <v>10.41</v>
      </c>
      <c r="AJ43" s="196">
        <v>16.68</v>
      </c>
      <c r="AK43" s="196">
        <v>16.84</v>
      </c>
      <c r="AL43" s="196">
        <v>16.84</v>
      </c>
      <c r="AM43" s="195">
        <v>19.850000000000001</v>
      </c>
      <c r="AN43" s="195">
        <v>36.74</v>
      </c>
      <c r="AO43" s="195">
        <v>46.43</v>
      </c>
      <c r="AP43" s="197">
        <v>103.01</v>
      </c>
      <c r="AQ43" s="194">
        <v>24.12</v>
      </c>
      <c r="AR43" s="195">
        <v>13.39</v>
      </c>
      <c r="AS43" s="195">
        <v>9.4700000000000006</v>
      </c>
      <c r="AT43" s="196">
        <v>12.87</v>
      </c>
      <c r="AU43" s="195">
        <v>17.53</v>
      </c>
      <c r="AV43" s="195">
        <v>10.41</v>
      </c>
      <c r="AW43" s="196">
        <v>16.68</v>
      </c>
      <c r="AX43" s="196">
        <v>16.84</v>
      </c>
      <c r="AY43" s="196">
        <v>16.84</v>
      </c>
      <c r="AZ43" s="195">
        <v>19.829999999999998</v>
      </c>
      <c r="BA43" s="195">
        <v>50.22</v>
      </c>
      <c r="BB43" s="195">
        <v>40.28</v>
      </c>
      <c r="BC43" s="197">
        <v>110.33</v>
      </c>
      <c r="BD43" s="195">
        <v>23.72</v>
      </c>
      <c r="BE43" s="195">
        <v>13.24</v>
      </c>
      <c r="BF43" s="195">
        <v>9.49</v>
      </c>
      <c r="BG43" s="196">
        <v>12.78</v>
      </c>
      <c r="BH43" s="195">
        <v>17.53</v>
      </c>
      <c r="BI43" s="195">
        <v>10.41</v>
      </c>
      <c r="BJ43" s="196">
        <v>16.68</v>
      </c>
      <c r="BK43" s="196">
        <v>16.84</v>
      </c>
      <c r="BL43" s="196">
        <v>16.84</v>
      </c>
      <c r="BM43" s="195">
        <v>19.100000000000001</v>
      </c>
      <c r="BN43" s="195">
        <v>22.67</v>
      </c>
      <c r="BO43" s="195">
        <v>53.19</v>
      </c>
      <c r="BP43" s="197">
        <v>94.96</v>
      </c>
      <c r="BQ43" s="195">
        <v>27.11</v>
      </c>
      <c r="BR43" s="195">
        <v>14.02</v>
      </c>
      <c r="BS43" s="195">
        <v>11.24</v>
      </c>
      <c r="BT43" s="196">
        <v>12.01</v>
      </c>
      <c r="BU43" s="195">
        <v>18.41</v>
      </c>
      <c r="BV43" s="195">
        <v>14.48</v>
      </c>
      <c r="BW43" s="196">
        <v>17.940000000000001</v>
      </c>
      <c r="BX43" s="196">
        <v>16.84</v>
      </c>
      <c r="BY43" s="196">
        <v>16.84</v>
      </c>
      <c r="BZ43" s="195">
        <v>17.350000000000001</v>
      </c>
      <c r="CA43" s="195">
        <v>8.59</v>
      </c>
      <c r="CB43" s="195">
        <v>60.41</v>
      </c>
      <c r="CC43" s="197">
        <v>86.35</v>
      </c>
      <c r="CD43" s="195">
        <v>23.96</v>
      </c>
      <c r="CE43" s="195">
        <v>13.31</v>
      </c>
      <c r="CF43" s="195">
        <v>10.11</v>
      </c>
      <c r="CG43" s="196">
        <v>12.59</v>
      </c>
      <c r="CH43" s="195">
        <v>17.53</v>
      </c>
      <c r="CI43" s="195">
        <v>11.34</v>
      </c>
      <c r="CJ43" s="196">
        <v>16.79</v>
      </c>
      <c r="CK43" s="196">
        <v>16.84</v>
      </c>
      <c r="CL43" s="196">
        <v>16.84</v>
      </c>
      <c r="CM43" s="195">
        <v>18.670000000000002</v>
      </c>
      <c r="CN43" s="195">
        <v>19.190000000000001</v>
      </c>
      <c r="CO43" s="195">
        <v>54.97</v>
      </c>
      <c r="CP43" s="197">
        <v>92.83</v>
      </c>
    </row>
    <row r="44" spans="1:94" ht="13.5" customHeight="1">
      <c r="A44" s="23"/>
      <c r="B44" s="198">
        <v>2025</v>
      </c>
      <c r="D44" s="194">
        <v>23.71</v>
      </c>
      <c r="E44" s="195">
        <v>13.36</v>
      </c>
      <c r="F44" s="195">
        <v>9.2200000000000006</v>
      </c>
      <c r="G44" s="196">
        <v>13.43</v>
      </c>
      <c r="H44" s="195">
        <v>17.809999999999999</v>
      </c>
      <c r="I44" s="195">
        <v>10.58</v>
      </c>
      <c r="J44" s="196">
        <v>16.940000000000001</v>
      </c>
      <c r="K44" s="196">
        <v>17.11</v>
      </c>
      <c r="L44" s="196">
        <v>17.11</v>
      </c>
      <c r="M44" s="195">
        <v>18.850000000000001</v>
      </c>
      <c r="N44" s="195">
        <v>26.54</v>
      </c>
      <c r="O44" s="195">
        <v>52.68</v>
      </c>
      <c r="P44" s="197">
        <v>98.06</v>
      </c>
      <c r="Q44" s="194">
        <v>24.29</v>
      </c>
      <c r="R44" s="195">
        <v>13.58</v>
      </c>
      <c r="S44" s="195">
        <v>9.82</v>
      </c>
      <c r="T44" s="196">
        <v>12.65</v>
      </c>
      <c r="U44" s="195">
        <v>17.809999999999999</v>
      </c>
      <c r="V44" s="195">
        <v>10.58</v>
      </c>
      <c r="W44" s="196">
        <v>16.940000000000001</v>
      </c>
      <c r="X44" s="196">
        <v>17.11</v>
      </c>
      <c r="Y44" s="196">
        <v>17.11</v>
      </c>
      <c r="Z44" s="195">
        <v>19.239999999999998</v>
      </c>
      <c r="AA44" s="195">
        <v>9.3000000000000007</v>
      </c>
      <c r="AB44" s="195">
        <v>60.36</v>
      </c>
      <c r="AC44" s="197">
        <v>88.91</v>
      </c>
      <c r="AD44" s="194">
        <v>24.05</v>
      </c>
      <c r="AE44" s="195">
        <v>13.41</v>
      </c>
      <c r="AF44" s="195">
        <v>9.65</v>
      </c>
      <c r="AG44" s="196">
        <v>12.9</v>
      </c>
      <c r="AH44" s="195">
        <v>17.809999999999999</v>
      </c>
      <c r="AI44" s="195">
        <v>10.58</v>
      </c>
      <c r="AJ44" s="196">
        <v>16.940000000000001</v>
      </c>
      <c r="AK44" s="196">
        <v>17.11</v>
      </c>
      <c r="AL44" s="196">
        <v>17.11</v>
      </c>
      <c r="AM44" s="195">
        <v>20.16</v>
      </c>
      <c r="AN44" s="195">
        <v>37.32</v>
      </c>
      <c r="AO44" s="195">
        <v>47.16</v>
      </c>
      <c r="AP44" s="197">
        <v>104.64</v>
      </c>
      <c r="AQ44" s="194">
        <v>24.5</v>
      </c>
      <c r="AR44" s="195">
        <v>13.6</v>
      </c>
      <c r="AS44" s="195">
        <v>9.6199999999999992</v>
      </c>
      <c r="AT44" s="196">
        <v>13.07</v>
      </c>
      <c r="AU44" s="195">
        <v>17.809999999999999</v>
      </c>
      <c r="AV44" s="195">
        <v>10.58</v>
      </c>
      <c r="AW44" s="196">
        <v>16.940000000000001</v>
      </c>
      <c r="AX44" s="196">
        <v>17.11</v>
      </c>
      <c r="AY44" s="196">
        <v>17.11</v>
      </c>
      <c r="AZ44" s="195">
        <v>20.14</v>
      </c>
      <c r="BA44" s="195">
        <v>51.01</v>
      </c>
      <c r="BB44" s="195">
        <v>40.92</v>
      </c>
      <c r="BC44" s="197">
        <v>112.07</v>
      </c>
      <c r="BD44" s="195">
        <v>24.09</v>
      </c>
      <c r="BE44" s="195">
        <v>13.45</v>
      </c>
      <c r="BF44" s="195">
        <v>9.64</v>
      </c>
      <c r="BG44" s="196">
        <v>12.98</v>
      </c>
      <c r="BH44" s="195">
        <v>17.809999999999999</v>
      </c>
      <c r="BI44" s="195">
        <v>10.58</v>
      </c>
      <c r="BJ44" s="196">
        <v>16.940000000000001</v>
      </c>
      <c r="BK44" s="196">
        <v>17.11</v>
      </c>
      <c r="BL44" s="196">
        <v>17.11</v>
      </c>
      <c r="BM44" s="195">
        <v>19.399999999999999</v>
      </c>
      <c r="BN44" s="195">
        <v>23.03</v>
      </c>
      <c r="BO44" s="195">
        <v>54.02</v>
      </c>
      <c r="BP44" s="197">
        <v>96.46</v>
      </c>
      <c r="BQ44" s="195">
        <v>27.53</v>
      </c>
      <c r="BR44" s="195">
        <v>14.24</v>
      </c>
      <c r="BS44" s="195">
        <v>11.42</v>
      </c>
      <c r="BT44" s="196">
        <v>12.2</v>
      </c>
      <c r="BU44" s="195">
        <v>18.7</v>
      </c>
      <c r="BV44" s="195">
        <v>14.7</v>
      </c>
      <c r="BW44" s="196">
        <v>18.22</v>
      </c>
      <c r="BX44" s="196">
        <v>17.11</v>
      </c>
      <c r="BY44" s="196">
        <v>17.11</v>
      </c>
      <c r="BZ44" s="195">
        <v>17.62</v>
      </c>
      <c r="CA44" s="195">
        <v>8.7200000000000006</v>
      </c>
      <c r="CB44" s="195">
        <v>61.36</v>
      </c>
      <c r="CC44" s="197">
        <v>87.71</v>
      </c>
      <c r="CD44" s="195">
        <v>24.34</v>
      </c>
      <c r="CE44" s="195">
        <v>13.52</v>
      </c>
      <c r="CF44" s="195">
        <v>10.27</v>
      </c>
      <c r="CG44" s="196">
        <v>12.79</v>
      </c>
      <c r="CH44" s="195">
        <v>17.809999999999999</v>
      </c>
      <c r="CI44" s="195">
        <v>11.52</v>
      </c>
      <c r="CJ44" s="196">
        <v>17.05</v>
      </c>
      <c r="CK44" s="196">
        <v>17.11</v>
      </c>
      <c r="CL44" s="196">
        <v>17.11</v>
      </c>
      <c r="CM44" s="195">
        <v>18.96</v>
      </c>
      <c r="CN44" s="195">
        <v>19.5</v>
      </c>
      <c r="CO44" s="195">
        <v>55.84</v>
      </c>
      <c r="CP44" s="197">
        <v>94.3</v>
      </c>
    </row>
    <row r="45" spans="1:94" ht="13.5" customHeight="1">
      <c r="A45" s="23"/>
      <c r="B45" s="198">
        <v>2026</v>
      </c>
      <c r="D45" s="194">
        <v>24.06</v>
      </c>
      <c r="E45" s="195">
        <v>13.56</v>
      </c>
      <c r="F45" s="195">
        <v>9.35</v>
      </c>
      <c r="G45" s="196">
        <v>13.63</v>
      </c>
      <c r="H45" s="195">
        <v>18.07</v>
      </c>
      <c r="I45" s="195">
        <v>10.73</v>
      </c>
      <c r="J45" s="196">
        <v>17.190000000000001</v>
      </c>
      <c r="K45" s="196">
        <v>17.36</v>
      </c>
      <c r="L45" s="196">
        <v>17.36</v>
      </c>
      <c r="M45" s="195">
        <v>19.12</v>
      </c>
      <c r="N45" s="195">
        <v>26.93</v>
      </c>
      <c r="O45" s="195">
        <v>53.45</v>
      </c>
      <c r="P45" s="197">
        <v>99.5</v>
      </c>
      <c r="Q45" s="194">
        <v>24.65</v>
      </c>
      <c r="R45" s="195">
        <v>13.78</v>
      </c>
      <c r="S45" s="195">
        <v>9.9600000000000009</v>
      </c>
      <c r="T45" s="196">
        <v>12.83</v>
      </c>
      <c r="U45" s="195">
        <v>18.07</v>
      </c>
      <c r="V45" s="195">
        <v>10.73</v>
      </c>
      <c r="W45" s="196">
        <v>17.190000000000001</v>
      </c>
      <c r="X45" s="196">
        <v>17.36</v>
      </c>
      <c r="Y45" s="196">
        <v>17.36</v>
      </c>
      <c r="Z45" s="195">
        <v>19.53</v>
      </c>
      <c r="AA45" s="195">
        <v>9.44</v>
      </c>
      <c r="AB45" s="195">
        <v>61.25</v>
      </c>
      <c r="AC45" s="197">
        <v>90.21</v>
      </c>
      <c r="AD45" s="194">
        <v>24.4</v>
      </c>
      <c r="AE45" s="195">
        <v>13.6</v>
      </c>
      <c r="AF45" s="195">
        <v>9.7899999999999991</v>
      </c>
      <c r="AG45" s="196">
        <v>13.09</v>
      </c>
      <c r="AH45" s="195">
        <v>18.07</v>
      </c>
      <c r="AI45" s="195">
        <v>10.73</v>
      </c>
      <c r="AJ45" s="196">
        <v>17.190000000000001</v>
      </c>
      <c r="AK45" s="196">
        <v>17.36</v>
      </c>
      <c r="AL45" s="196">
        <v>17.36</v>
      </c>
      <c r="AM45" s="195">
        <v>20.46</v>
      </c>
      <c r="AN45" s="195">
        <v>37.869999999999997</v>
      </c>
      <c r="AO45" s="195">
        <v>47.85</v>
      </c>
      <c r="AP45" s="197">
        <v>106.18</v>
      </c>
      <c r="AQ45" s="194">
        <v>24.86</v>
      </c>
      <c r="AR45" s="195">
        <v>13.8</v>
      </c>
      <c r="AS45" s="195">
        <v>9.76</v>
      </c>
      <c r="AT45" s="196">
        <v>13.26</v>
      </c>
      <c r="AU45" s="195">
        <v>18.07</v>
      </c>
      <c r="AV45" s="195">
        <v>10.73</v>
      </c>
      <c r="AW45" s="196">
        <v>17.190000000000001</v>
      </c>
      <c r="AX45" s="196">
        <v>17.36</v>
      </c>
      <c r="AY45" s="196">
        <v>17.36</v>
      </c>
      <c r="AZ45" s="195">
        <v>20.440000000000001</v>
      </c>
      <c r="BA45" s="195">
        <v>51.76</v>
      </c>
      <c r="BB45" s="195">
        <v>41.52</v>
      </c>
      <c r="BC45" s="197">
        <v>113.72</v>
      </c>
      <c r="BD45" s="195">
        <v>24.45</v>
      </c>
      <c r="BE45" s="195">
        <v>13.65</v>
      </c>
      <c r="BF45" s="195">
        <v>9.7799999999999994</v>
      </c>
      <c r="BG45" s="196">
        <v>13.17</v>
      </c>
      <c r="BH45" s="195">
        <v>18.07</v>
      </c>
      <c r="BI45" s="195">
        <v>10.73</v>
      </c>
      <c r="BJ45" s="196">
        <v>17.190000000000001</v>
      </c>
      <c r="BK45" s="196">
        <v>17.36</v>
      </c>
      <c r="BL45" s="196">
        <v>17.36</v>
      </c>
      <c r="BM45" s="195">
        <v>19.690000000000001</v>
      </c>
      <c r="BN45" s="195">
        <v>23.37</v>
      </c>
      <c r="BO45" s="195">
        <v>54.82</v>
      </c>
      <c r="BP45" s="197">
        <v>97.87</v>
      </c>
      <c r="BQ45" s="195">
        <v>27.94</v>
      </c>
      <c r="BR45" s="195">
        <v>14.45</v>
      </c>
      <c r="BS45" s="195">
        <v>11.58</v>
      </c>
      <c r="BT45" s="196">
        <v>12.38</v>
      </c>
      <c r="BU45" s="195">
        <v>18.97</v>
      </c>
      <c r="BV45" s="195">
        <v>14.92</v>
      </c>
      <c r="BW45" s="196">
        <v>18.489999999999998</v>
      </c>
      <c r="BX45" s="196">
        <v>17.36</v>
      </c>
      <c r="BY45" s="196">
        <v>17.36</v>
      </c>
      <c r="BZ45" s="195">
        <v>17.88</v>
      </c>
      <c r="CA45" s="195">
        <v>8.85</v>
      </c>
      <c r="CB45" s="195">
        <v>62.26</v>
      </c>
      <c r="CC45" s="197">
        <v>89</v>
      </c>
      <c r="CD45" s="195">
        <v>24.69</v>
      </c>
      <c r="CE45" s="195">
        <v>13.71</v>
      </c>
      <c r="CF45" s="195">
        <v>10.42</v>
      </c>
      <c r="CG45" s="196">
        <v>12.98</v>
      </c>
      <c r="CH45" s="195">
        <v>18.07</v>
      </c>
      <c r="CI45" s="195">
        <v>11.69</v>
      </c>
      <c r="CJ45" s="196">
        <v>17.3</v>
      </c>
      <c r="CK45" s="196">
        <v>17.36</v>
      </c>
      <c r="CL45" s="196">
        <v>17.36</v>
      </c>
      <c r="CM45" s="195">
        <v>19.239999999999998</v>
      </c>
      <c r="CN45" s="195">
        <v>19.78</v>
      </c>
      <c r="CO45" s="195">
        <v>56.66</v>
      </c>
      <c r="CP45" s="197">
        <v>95.68</v>
      </c>
    </row>
    <row r="46" spans="1:94" ht="13.5" customHeight="1">
      <c r="A46" s="23"/>
      <c r="B46" s="198">
        <v>2027</v>
      </c>
      <c r="D46" s="194">
        <v>24.41</v>
      </c>
      <c r="E46" s="195">
        <v>13.76</v>
      </c>
      <c r="F46" s="195">
        <v>9.49</v>
      </c>
      <c r="G46" s="196">
        <v>13.83</v>
      </c>
      <c r="H46" s="195">
        <v>18.34</v>
      </c>
      <c r="I46" s="195">
        <v>10.89</v>
      </c>
      <c r="J46" s="196">
        <v>17.440000000000001</v>
      </c>
      <c r="K46" s="196">
        <v>17.62</v>
      </c>
      <c r="L46" s="196">
        <v>17.62</v>
      </c>
      <c r="M46" s="195">
        <v>19.41</v>
      </c>
      <c r="N46" s="195">
        <v>27.32</v>
      </c>
      <c r="O46" s="195">
        <v>54.24</v>
      </c>
      <c r="P46" s="197">
        <v>100.97</v>
      </c>
      <c r="Q46" s="194">
        <v>25.01</v>
      </c>
      <c r="R46" s="195">
        <v>13.98</v>
      </c>
      <c r="S46" s="195">
        <v>10.11</v>
      </c>
      <c r="T46" s="196">
        <v>13.02</v>
      </c>
      <c r="U46" s="195">
        <v>18.34</v>
      </c>
      <c r="V46" s="195">
        <v>10.89</v>
      </c>
      <c r="W46" s="196">
        <v>17.440000000000001</v>
      </c>
      <c r="X46" s="196">
        <v>17.62</v>
      </c>
      <c r="Y46" s="196">
        <v>17.62</v>
      </c>
      <c r="Z46" s="195">
        <v>19.82</v>
      </c>
      <c r="AA46" s="195">
        <v>9.58</v>
      </c>
      <c r="AB46" s="195">
        <v>62.16</v>
      </c>
      <c r="AC46" s="197">
        <v>91.55</v>
      </c>
      <c r="AD46" s="194">
        <v>24.76</v>
      </c>
      <c r="AE46" s="195">
        <v>13.8</v>
      </c>
      <c r="AF46" s="195">
        <v>9.94</v>
      </c>
      <c r="AG46" s="196">
        <v>13.28</v>
      </c>
      <c r="AH46" s="195">
        <v>18.34</v>
      </c>
      <c r="AI46" s="195">
        <v>10.89</v>
      </c>
      <c r="AJ46" s="196">
        <v>17.440000000000001</v>
      </c>
      <c r="AK46" s="196">
        <v>17.62</v>
      </c>
      <c r="AL46" s="196">
        <v>17.62</v>
      </c>
      <c r="AM46" s="195">
        <v>20.76</v>
      </c>
      <c r="AN46" s="195">
        <v>38.43</v>
      </c>
      <c r="AO46" s="195">
        <v>48.56</v>
      </c>
      <c r="AP46" s="197">
        <v>107.75</v>
      </c>
      <c r="AQ46" s="194">
        <v>25.23</v>
      </c>
      <c r="AR46" s="195">
        <v>14.01</v>
      </c>
      <c r="AS46" s="195">
        <v>9.9</v>
      </c>
      <c r="AT46" s="196">
        <v>13.46</v>
      </c>
      <c r="AU46" s="195">
        <v>18.34</v>
      </c>
      <c r="AV46" s="195">
        <v>10.89</v>
      </c>
      <c r="AW46" s="196">
        <v>17.440000000000001</v>
      </c>
      <c r="AX46" s="196">
        <v>17.62</v>
      </c>
      <c r="AY46" s="196">
        <v>17.62</v>
      </c>
      <c r="AZ46" s="195">
        <v>20.74</v>
      </c>
      <c r="BA46" s="195">
        <v>52.53</v>
      </c>
      <c r="BB46" s="195">
        <v>42.13</v>
      </c>
      <c r="BC46" s="197">
        <v>115.4</v>
      </c>
      <c r="BD46" s="195">
        <v>24.81</v>
      </c>
      <c r="BE46" s="195">
        <v>13.85</v>
      </c>
      <c r="BF46" s="195">
        <v>9.93</v>
      </c>
      <c r="BG46" s="196">
        <v>13.36</v>
      </c>
      <c r="BH46" s="195">
        <v>18.34</v>
      </c>
      <c r="BI46" s="195">
        <v>10.89</v>
      </c>
      <c r="BJ46" s="196">
        <v>17.440000000000001</v>
      </c>
      <c r="BK46" s="196">
        <v>17.62</v>
      </c>
      <c r="BL46" s="196">
        <v>17.62</v>
      </c>
      <c r="BM46" s="195">
        <v>19.98</v>
      </c>
      <c r="BN46" s="195">
        <v>23.71</v>
      </c>
      <c r="BO46" s="195">
        <v>55.63</v>
      </c>
      <c r="BP46" s="197">
        <v>99.32</v>
      </c>
      <c r="BQ46" s="195">
        <v>28.35</v>
      </c>
      <c r="BR46" s="195">
        <v>14.67</v>
      </c>
      <c r="BS46" s="195">
        <v>11.76</v>
      </c>
      <c r="BT46" s="196">
        <v>12.56</v>
      </c>
      <c r="BU46" s="195">
        <v>19.25</v>
      </c>
      <c r="BV46" s="195">
        <v>15.14</v>
      </c>
      <c r="BW46" s="196">
        <v>18.760000000000002</v>
      </c>
      <c r="BX46" s="196">
        <v>17.62</v>
      </c>
      <c r="BY46" s="196">
        <v>17.62</v>
      </c>
      <c r="BZ46" s="195">
        <v>18.149999999999999</v>
      </c>
      <c r="CA46" s="195">
        <v>8.98</v>
      </c>
      <c r="CB46" s="195">
        <v>63.18</v>
      </c>
      <c r="CC46" s="197">
        <v>90.31</v>
      </c>
      <c r="CD46" s="195">
        <v>25.06</v>
      </c>
      <c r="CE46" s="195">
        <v>13.92</v>
      </c>
      <c r="CF46" s="195">
        <v>10.57</v>
      </c>
      <c r="CG46" s="196">
        <v>13.17</v>
      </c>
      <c r="CH46" s="195">
        <v>18.34</v>
      </c>
      <c r="CI46" s="195">
        <v>11.86</v>
      </c>
      <c r="CJ46" s="196">
        <v>17.559999999999999</v>
      </c>
      <c r="CK46" s="196">
        <v>17.62</v>
      </c>
      <c r="CL46" s="196">
        <v>17.62</v>
      </c>
      <c r="CM46" s="195">
        <v>19.53</v>
      </c>
      <c r="CN46" s="195">
        <v>20.079999999999998</v>
      </c>
      <c r="CO46" s="195">
        <v>57.5</v>
      </c>
      <c r="CP46" s="197">
        <v>97.1</v>
      </c>
    </row>
    <row r="47" spans="1:94" ht="13.5" customHeight="1">
      <c r="A47" s="23"/>
      <c r="B47" s="198">
        <v>2028</v>
      </c>
      <c r="D47" s="194">
        <v>24.77</v>
      </c>
      <c r="E47" s="195">
        <v>13.96</v>
      </c>
      <c r="F47" s="195">
        <v>9.6300000000000008</v>
      </c>
      <c r="G47" s="196">
        <v>14.03</v>
      </c>
      <c r="H47" s="195">
        <v>18.61</v>
      </c>
      <c r="I47" s="195">
        <v>11.05</v>
      </c>
      <c r="J47" s="196">
        <v>17.7</v>
      </c>
      <c r="K47" s="196">
        <v>17.88</v>
      </c>
      <c r="L47" s="196">
        <v>17.88</v>
      </c>
      <c r="M47" s="195">
        <v>19.7</v>
      </c>
      <c r="N47" s="195">
        <v>27.73</v>
      </c>
      <c r="O47" s="195">
        <v>55.04</v>
      </c>
      <c r="P47" s="197">
        <v>102.47</v>
      </c>
      <c r="Q47" s="194">
        <v>25.39</v>
      </c>
      <c r="R47" s="195">
        <v>14.19</v>
      </c>
      <c r="S47" s="195">
        <v>10.26</v>
      </c>
      <c r="T47" s="196">
        <v>13.21</v>
      </c>
      <c r="U47" s="195">
        <v>18.61</v>
      </c>
      <c r="V47" s="195">
        <v>11.05</v>
      </c>
      <c r="W47" s="196">
        <v>17.7</v>
      </c>
      <c r="X47" s="196">
        <v>17.88</v>
      </c>
      <c r="Y47" s="196">
        <v>17.88</v>
      </c>
      <c r="Z47" s="195">
        <v>20.11</v>
      </c>
      <c r="AA47" s="195">
        <v>9.7200000000000006</v>
      </c>
      <c r="AB47" s="195">
        <v>63.08</v>
      </c>
      <c r="AC47" s="197">
        <v>92.9</v>
      </c>
      <c r="AD47" s="194">
        <v>25.13</v>
      </c>
      <c r="AE47" s="195">
        <v>14.01</v>
      </c>
      <c r="AF47" s="195">
        <v>10.09</v>
      </c>
      <c r="AG47" s="196">
        <v>13.48</v>
      </c>
      <c r="AH47" s="195">
        <v>18.61</v>
      </c>
      <c r="AI47" s="195">
        <v>11.05</v>
      </c>
      <c r="AJ47" s="196">
        <v>17.7</v>
      </c>
      <c r="AK47" s="196">
        <v>17.88</v>
      </c>
      <c r="AL47" s="196">
        <v>17.88</v>
      </c>
      <c r="AM47" s="195">
        <v>21.07</v>
      </c>
      <c r="AN47" s="195">
        <v>39</v>
      </c>
      <c r="AO47" s="195">
        <v>49.28</v>
      </c>
      <c r="AP47" s="197">
        <v>109.34</v>
      </c>
      <c r="AQ47" s="194">
        <v>25.61</v>
      </c>
      <c r="AR47" s="195">
        <v>14.21</v>
      </c>
      <c r="AS47" s="195">
        <v>10.050000000000001</v>
      </c>
      <c r="AT47" s="196">
        <v>13.66</v>
      </c>
      <c r="AU47" s="195">
        <v>18.61</v>
      </c>
      <c r="AV47" s="195">
        <v>11.05</v>
      </c>
      <c r="AW47" s="196">
        <v>17.7</v>
      </c>
      <c r="AX47" s="196">
        <v>17.88</v>
      </c>
      <c r="AY47" s="196">
        <v>17.88</v>
      </c>
      <c r="AZ47" s="195">
        <v>21.05</v>
      </c>
      <c r="BA47" s="195">
        <v>53.31</v>
      </c>
      <c r="BB47" s="195">
        <v>42.75</v>
      </c>
      <c r="BC47" s="197">
        <v>117.11</v>
      </c>
      <c r="BD47" s="195">
        <v>25.17</v>
      </c>
      <c r="BE47" s="195">
        <v>14.06</v>
      </c>
      <c r="BF47" s="195">
        <v>10.08</v>
      </c>
      <c r="BG47" s="196">
        <v>13.56</v>
      </c>
      <c r="BH47" s="195">
        <v>18.61</v>
      </c>
      <c r="BI47" s="195">
        <v>11.05</v>
      </c>
      <c r="BJ47" s="196">
        <v>17.7</v>
      </c>
      <c r="BK47" s="196">
        <v>17.88</v>
      </c>
      <c r="BL47" s="196">
        <v>17.88</v>
      </c>
      <c r="BM47" s="195">
        <v>20.27</v>
      </c>
      <c r="BN47" s="195">
        <v>24.06</v>
      </c>
      <c r="BO47" s="195">
        <v>56.45</v>
      </c>
      <c r="BP47" s="197">
        <v>100.79</v>
      </c>
      <c r="BQ47" s="195">
        <v>28.77</v>
      </c>
      <c r="BR47" s="195">
        <v>14.88</v>
      </c>
      <c r="BS47" s="195">
        <v>11.93</v>
      </c>
      <c r="BT47" s="196">
        <v>12.75</v>
      </c>
      <c r="BU47" s="195">
        <v>19.54</v>
      </c>
      <c r="BV47" s="195">
        <v>15.37</v>
      </c>
      <c r="BW47" s="196">
        <v>19.04</v>
      </c>
      <c r="BX47" s="196">
        <v>17.88</v>
      </c>
      <c r="BY47" s="196">
        <v>17.88</v>
      </c>
      <c r="BZ47" s="195">
        <v>18.41</v>
      </c>
      <c r="CA47" s="195">
        <v>9.1199999999999992</v>
      </c>
      <c r="CB47" s="195">
        <v>64.12</v>
      </c>
      <c r="CC47" s="197">
        <v>91.65</v>
      </c>
      <c r="CD47" s="195">
        <v>25.43</v>
      </c>
      <c r="CE47" s="195">
        <v>14.12</v>
      </c>
      <c r="CF47" s="195">
        <v>10.73</v>
      </c>
      <c r="CG47" s="196">
        <v>13.37</v>
      </c>
      <c r="CH47" s="195">
        <v>18.61</v>
      </c>
      <c r="CI47" s="195">
        <v>12.04</v>
      </c>
      <c r="CJ47" s="196">
        <v>17.82</v>
      </c>
      <c r="CK47" s="196">
        <v>17.88</v>
      </c>
      <c r="CL47" s="196">
        <v>17.88</v>
      </c>
      <c r="CM47" s="195">
        <v>19.809999999999999</v>
      </c>
      <c r="CN47" s="195">
        <v>20.37</v>
      </c>
      <c r="CO47" s="195">
        <v>58.35</v>
      </c>
      <c r="CP47" s="197">
        <v>98.53</v>
      </c>
    </row>
    <row r="48" spans="1:94" ht="13.5" customHeight="1">
      <c r="A48" s="23"/>
      <c r="B48" s="198">
        <v>2029</v>
      </c>
      <c r="D48" s="194">
        <v>25.14</v>
      </c>
      <c r="E48" s="195">
        <v>14.16</v>
      </c>
      <c r="F48" s="195">
        <v>9.77</v>
      </c>
      <c r="G48" s="196">
        <v>14.24</v>
      </c>
      <c r="H48" s="195">
        <v>18.88</v>
      </c>
      <c r="I48" s="195">
        <v>11.21</v>
      </c>
      <c r="J48" s="196">
        <v>17.96</v>
      </c>
      <c r="K48" s="196">
        <v>18.14</v>
      </c>
      <c r="L48" s="196">
        <v>18.14</v>
      </c>
      <c r="M48" s="195">
        <v>19.98</v>
      </c>
      <c r="N48" s="195">
        <v>28.13</v>
      </c>
      <c r="O48" s="195">
        <v>55.85</v>
      </c>
      <c r="P48" s="197">
        <v>103.97</v>
      </c>
      <c r="Q48" s="194">
        <v>25.76</v>
      </c>
      <c r="R48" s="195">
        <v>14.4</v>
      </c>
      <c r="S48" s="195">
        <v>10.41</v>
      </c>
      <c r="T48" s="196">
        <v>13.41</v>
      </c>
      <c r="U48" s="195">
        <v>18.88</v>
      </c>
      <c r="V48" s="195">
        <v>11.21</v>
      </c>
      <c r="W48" s="196">
        <v>17.96</v>
      </c>
      <c r="X48" s="196">
        <v>18.14</v>
      </c>
      <c r="Y48" s="196">
        <v>18.14</v>
      </c>
      <c r="Z48" s="195">
        <v>20.399999999999999</v>
      </c>
      <c r="AA48" s="195">
        <v>9.86</v>
      </c>
      <c r="AB48" s="195">
        <v>64</v>
      </c>
      <c r="AC48" s="197">
        <v>94.26</v>
      </c>
      <c r="AD48" s="194">
        <v>25.5</v>
      </c>
      <c r="AE48" s="195">
        <v>14.21</v>
      </c>
      <c r="AF48" s="195">
        <v>10.23</v>
      </c>
      <c r="AG48" s="196">
        <v>13.68</v>
      </c>
      <c r="AH48" s="195">
        <v>18.88</v>
      </c>
      <c r="AI48" s="195">
        <v>11.21</v>
      </c>
      <c r="AJ48" s="196">
        <v>17.96</v>
      </c>
      <c r="AK48" s="196">
        <v>18.14</v>
      </c>
      <c r="AL48" s="196">
        <v>18.14</v>
      </c>
      <c r="AM48" s="195">
        <v>21.37</v>
      </c>
      <c r="AN48" s="195">
        <v>39.57</v>
      </c>
      <c r="AO48" s="195">
        <v>50</v>
      </c>
      <c r="AP48" s="197">
        <v>110.94</v>
      </c>
      <c r="AQ48" s="194">
        <v>25.98</v>
      </c>
      <c r="AR48" s="195">
        <v>14.42</v>
      </c>
      <c r="AS48" s="195">
        <v>10.199999999999999</v>
      </c>
      <c r="AT48" s="196">
        <v>13.86</v>
      </c>
      <c r="AU48" s="195">
        <v>18.88</v>
      </c>
      <c r="AV48" s="195">
        <v>11.21</v>
      </c>
      <c r="AW48" s="196">
        <v>17.96</v>
      </c>
      <c r="AX48" s="196">
        <v>18.14</v>
      </c>
      <c r="AY48" s="196">
        <v>18.14</v>
      </c>
      <c r="AZ48" s="195">
        <v>21.36</v>
      </c>
      <c r="BA48" s="195">
        <v>54.09</v>
      </c>
      <c r="BB48" s="195">
        <v>43.38</v>
      </c>
      <c r="BC48" s="197">
        <v>118.82</v>
      </c>
      <c r="BD48" s="195">
        <v>25.54</v>
      </c>
      <c r="BE48" s="195">
        <v>14.26</v>
      </c>
      <c r="BF48" s="195">
        <v>10.220000000000001</v>
      </c>
      <c r="BG48" s="196">
        <v>13.76</v>
      </c>
      <c r="BH48" s="195">
        <v>18.88</v>
      </c>
      <c r="BI48" s="195">
        <v>11.21</v>
      </c>
      <c r="BJ48" s="196">
        <v>17.96</v>
      </c>
      <c r="BK48" s="196">
        <v>18.14</v>
      </c>
      <c r="BL48" s="196">
        <v>18.14</v>
      </c>
      <c r="BM48" s="195">
        <v>20.57</v>
      </c>
      <c r="BN48" s="195">
        <v>24.42</v>
      </c>
      <c r="BO48" s="195">
        <v>57.28</v>
      </c>
      <c r="BP48" s="197">
        <v>102.27</v>
      </c>
      <c r="BQ48" s="195">
        <v>29.19</v>
      </c>
      <c r="BR48" s="195">
        <v>15.1</v>
      </c>
      <c r="BS48" s="195">
        <v>12.1</v>
      </c>
      <c r="BT48" s="196">
        <v>12.93</v>
      </c>
      <c r="BU48" s="195">
        <v>19.82</v>
      </c>
      <c r="BV48" s="195">
        <v>15.59</v>
      </c>
      <c r="BW48" s="196">
        <v>19.32</v>
      </c>
      <c r="BX48" s="196">
        <v>18.14</v>
      </c>
      <c r="BY48" s="196">
        <v>18.14</v>
      </c>
      <c r="BZ48" s="195">
        <v>18.68</v>
      </c>
      <c r="CA48" s="195">
        <v>9.25</v>
      </c>
      <c r="CB48" s="195">
        <v>65.06</v>
      </c>
      <c r="CC48" s="197">
        <v>92.99</v>
      </c>
      <c r="CD48" s="195">
        <v>25.8</v>
      </c>
      <c r="CE48" s="195">
        <v>14.33</v>
      </c>
      <c r="CF48" s="195">
        <v>10.89</v>
      </c>
      <c r="CG48" s="196">
        <v>13.56</v>
      </c>
      <c r="CH48" s="195">
        <v>18.88</v>
      </c>
      <c r="CI48" s="195">
        <v>12.21</v>
      </c>
      <c r="CJ48" s="196">
        <v>18.079999999999998</v>
      </c>
      <c r="CK48" s="196">
        <v>18.14</v>
      </c>
      <c r="CL48" s="196">
        <v>18.14</v>
      </c>
      <c r="CM48" s="195">
        <v>20.100000000000001</v>
      </c>
      <c r="CN48" s="195">
        <v>20.67</v>
      </c>
      <c r="CO48" s="195">
        <v>59.2</v>
      </c>
      <c r="CP48" s="197">
        <v>99.98</v>
      </c>
    </row>
    <row r="49" spans="1:94" ht="13.5" customHeight="1">
      <c r="A49" s="23"/>
      <c r="B49" s="198">
        <v>2030</v>
      </c>
      <c r="D49" s="194">
        <v>25.5</v>
      </c>
      <c r="E49" s="195">
        <v>14.37</v>
      </c>
      <c r="F49" s="195">
        <v>9.91</v>
      </c>
      <c r="G49" s="196">
        <v>14.44</v>
      </c>
      <c r="H49" s="195">
        <v>19.149999999999999</v>
      </c>
      <c r="I49" s="195">
        <v>11.37</v>
      </c>
      <c r="J49" s="196">
        <v>18.22</v>
      </c>
      <c r="K49" s="196">
        <v>18.399999999999999</v>
      </c>
      <c r="L49" s="196">
        <v>18.399999999999999</v>
      </c>
      <c r="M49" s="195">
        <v>20.27</v>
      </c>
      <c r="N49" s="195">
        <v>28.54</v>
      </c>
      <c r="O49" s="195">
        <v>56.65</v>
      </c>
      <c r="P49" s="197">
        <v>105.46</v>
      </c>
      <c r="Q49" s="194">
        <v>26.13</v>
      </c>
      <c r="R49" s="195">
        <v>14.6</v>
      </c>
      <c r="S49" s="195">
        <v>10.56</v>
      </c>
      <c r="T49" s="196">
        <v>13.6</v>
      </c>
      <c r="U49" s="195">
        <v>19.149999999999999</v>
      </c>
      <c r="V49" s="195">
        <v>11.37</v>
      </c>
      <c r="W49" s="196">
        <v>18.22</v>
      </c>
      <c r="X49" s="196">
        <v>18.399999999999999</v>
      </c>
      <c r="Y49" s="196">
        <v>18.399999999999999</v>
      </c>
      <c r="Z49" s="195">
        <v>20.7</v>
      </c>
      <c r="AA49" s="195">
        <v>10</v>
      </c>
      <c r="AB49" s="195">
        <v>64.92</v>
      </c>
      <c r="AC49" s="197">
        <v>95.62</v>
      </c>
      <c r="AD49" s="194">
        <v>25.86</v>
      </c>
      <c r="AE49" s="195">
        <v>14.42</v>
      </c>
      <c r="AF49" s="195">
        <v>10.38</v>
      </c>
      <c r="AG49" s="196">
        <v>13.88</v>
      </c>
      <c r="AH49" s="195">
        <v>19.149999999999999</v>
      </c>
      <c r="AI49" s="195">
        <v>11.37</v>
      </c>
      <c r="AJ49" s="196">
        <v>18.22</v>
      </c>
      <c r="AK49" s="196">
        <v>18.399999999999999</v>
      </c>
      <c r="AL49" s="196">
        <v>18.399999999999999</v>
      </c>
      <c r="AM49" s="195">
        <v>21.68</v>
      </c>
      <c r="AN49" s="195">
        <v>40.14</v>
      </c>
      <c r="AO49" s="195">
        <v>50.72</v>
      </c>
      <c r="AP49" s="197">
        <v>112.54</v>
      </c>
      <c r="AQ49" s="194">
        <v>26.35</v>
      </c>
      <c r="AR49" s="195">
        <v>14.63</v>
      </c>
      <c r="AS49" s="195">
        <v>10.34</v>
      </c>
      <c r="AT49" s="196">
        <v>14.06</v>
      </c>
      <c r="AU49" s="195">
        <v>19.149999999999999</v>
      </c>
      <c r="AV49" s="195">
        <v>11.37</v>
      </c>
      <c r="AW49" s="196">
        <v>18.22</v>
      </c>
      <c r="AX49" s="196">
        <v>18.399999999999999</v>
      </c>
      <c r="AY49" s="196">
        <v>18.399999999999999</v>
      </c>
      <c r="AZ49" s="195">
        <v>21.66</v>
      </c>
      <c r="BA49" s="195">
        <v>54.87</v>
      </c>
      <c r="BB49" s="195">
        <v>44.01</v>
      </c>
      <c r="BC49" s="197">
        <v>120.53</v>
      </c>
      <c r="BD49" s="195">
        <v>25.91</v>
      </c>
      <c r="BE49" s="195">
        <v>14.47</v>
      </c>
      <c r="BF49" s="195">
        <v>10.37</v>
      </c>
      <c r="BG49" s="196">
        <v>13.96</v>
      </c>
      <c r="BH49" s="195">
        <v>19.149999999999999</v>
      </c>
      <c r="BI49" s="195">
        <v>11.37</v>
      </c>
      <c r="BJ49" s="196">
        <v>18.22</v>
      </c>
      <c r="BK49" s="196">
        <v>18.399999999999999</v>
      </c>
      <c r="BL49" s="196">
        <v>18.399999999999999</v>
      </c>
      <c r="BM49" s="195">
        <v>20.87</v>
      </c>
      <c r="BN49" s="195">
        <v>24.77</v>
      </c>
      <c r="BO49" s="195">
        <v>58.1</v>
      </c>
      <c r="BP49" s="197">
        <v>103.74</v>
      </c>
      <c r="BQ49" s="195">
        <v>29.61</v>
      </c>
      <c r="BR49" s="195">
        <v>15.32</v>
      </c>
      <c r="BS49" s="195">
        <v>12.28</v>
      </c>
      <c r="BT49" s="196">
        <v>13.12</v>
      </c>
      <c r="BU49" s="195">
        <v>20.11</v>
      </c>
      <c r="BV49" s="195">
        <v>15.81</v>
      </c>
      <c r="BW49" s="196">
        <v>19.59</v>
      </c>
      <c r="BX49" s="196">
        <v>18.399999999999999</v>
      </c>
      <c r="BY49" s="196">
        <v>18.399999999999999</v>
      </c>
      <c r="BZ49" s="195">
        <v>18.95</v>
      </c>
      <c r="CA49" s="195">
        <v>9.3800000000000008</v>
      </c>
      <c r="CB49" s="195">
        <v>65.989999999999995</v>
      </c>
      <c r="CC49" s="197">
        <v>94.33</v>
      </c>
      <c r="CD49" s="195">
        <v>26.17</v>
      </c>
      <c r="CE49" s="195">
        <v>14.54</v>
      </c>
      <c r="CF49" s="195">
        <v>11.04</v>
      </c>
      <c r="CG49" s="196">
        <v>13.76</v>
      </c>
      <c r="CH49" s="195">
        <v>19.149999999999999</v>
      </c>
      <c r="CI49" s="195">
        <v>12.39</v>
      </c>
      <c r="CJ49" s="196">
        <v>18.34</v>
      </c>
      <c r="CK49" s="196">
        <v>18.399999999999999</v>
      </c>
      <c r="CL49" s="196">
        <v>18.399999999999999</v>
      </c>
      <c r="CM49" s="195">
        <v>20.39</v>
      </c>
      <c r="CN49" s="195">
        <v>20.97</v>
      </c>
      <c r="CO49" s="195">
        <v>60.05</v>
      </c>
      <c r="CP49" s="197">
        <v>101.41</v>
      </c>
    </row>
    <row r="50" spans="1:94" ht="13.5" customHeight="1">
      <c r="A50" s="23"/>
      <c r="B50" s="198">
        <v>2031</v>
      </c>
      <c r="D50" s="194">
        <v>25.86</v>
      </c>
      <c r="E50" s="195">
        <v>14.57</v>
      </c>
      <c r="F50" s="195">
        <v>10.050000000000001</v>
      </c>
      <c r="G50" s="196">
        <v>14.65</v>
      </c>
      <c r="H50" s="195">
        <v>19.420000000000002</v>
      </c>
      <c r="I50" s="195">
        <v>11.53</v>
      </c>
      <c r="J50" s="196">
        <v>18.48</v>
      </c>
      <c r="K50" s="196">
        <v>18.66</v>
      </c>
      <c r="L50" s="196">
        <v>18.66</v>
      </c>
      <c r="M50" s="195">
        <v>20.56</v>
      </c>
      <c r="N50" s="195">
        <v>28.94</v>
      </c>
      <c r="O50" s="195">
        <v>57.45</v>
      </c>
      <c r="P50" s="197">
        <v>106.95</v>
      </c>
      <c r="Q50" s="194">
        <v>26.5</v>
      </c>
      <c r="R50" s="195">
        <v>14.81</v>
      </c>
      <c r="S50" s="195">
        <v>10.71</v>
      </c>
      <c r="T50" s="196">
        <v>13.79</v>
      </c>
      <c r="U50" s="195">
        <v>19.420000000000002</v>
      </c>
      <c r="V50" s="195">
        <v>11.53</v>
      </c>
      <c r="W50" s="196">
        <v>18.48</v>
      </c>
      <c r="X50" s="196">
        <v>18.66</v>
      </c>
      <c r="Y50" s="196">
        <v>18.66</v>
      </c>
      <c r="Z50" s="195">
        <v>20.99</v>
      </c>
      <c r="AA50" s="195">
        <v>10.14</v>
      </c>
      <c r="AB50" s="195">
        <v>65.84</v>
      </c>
      <c r="AC50" s="197">
        <v>96.97</v>
      </c>
      <c r="AD50" s="194">
        <v>26.23</v>
      </c>
      <c r="AE50" s="195">
        <v>14.62</v>
      </c>
      <c r="AF50" s="195">
        <v>10.53</v>
      </c>
      <c r="AG50" s="196">
        <v>14.07</v>
      </c>
      <c r="AH50" s="195">
        <v>19.420000000000002</v>
      </c>
      <c r="AI50" s="195">
        <v>11.53</v>
      </c>
      <c r="AJ50" s="196">
        <v>18.48</v>
      </c>
      <c r="AK50" s="196">
        <v>18.66</v>
      </c>
      <c r="AL50" s="196">
        <v>18.66</v>
      </c>
      <c r="AM50" s="195">
        <v>21.99</v>
      </c>
      <c r="AN50" s="195">
        <v>40.700000000000003</v>
      </c>
      <c r="AO50" s="195">
        <v>51.44</v>
      </c>
      <c r="AP50" s="197">
        <v>114.13</v>
      </c>
      <c r="AQ50" s="194">
        <v>26.73</v>
      </c>
      <c r="AR50" s="195">
        <v>14.84</v>
      </c>
      <c r="AS50" s="195">
        <v>10.49</v>
      </c>
      <c r="AT50" s="196">
        <v>14.26</v>
      </c>
      <c r="AU50" s="195">
        <v>19.420000000000002</v>
      </c>
      <c r="AV50" s="195">
        <v>11.53</v>
      </c>
      <c r="AW50" s="196">
        <v>18.48</v>
      </c>
      <c r="AX50" s="196">
        <v>18.66</v>
      </c>
      <c r="AY50" s="196">
        <v>18.66</v>
      </c>
      <c r="AZ50" s="195">
        <v>21.97</v>
      </c>
      <c r="BA50" s="195">
        <v>55.64</v>
      </c>
      <c r="BB50" s="195">
        <v>44.63</v>
      </c>
      <c r="BC50" s="197">
        <v>122.24</v>
      </c>
      <c r="BD50" s="195">
        <v>26.28</v>
      </c>
      <c r="BE50" s="195">
        <v>14.67</v>
      </c>
      <c r="BF50" s="195">
        <v>10.52</v>
      </c>
      <c r="BG50" s="196">
        <v>14.15</v>
      </c>
      <c r="BH50" s="195">
        <v>19.420000000000002</v>
      </c>
      <c r="BI50" s="195">
        <v>11.53</v>
      </c>
      <c r="BJ50" s="196">
        <v>18.48</v>
      </c>
      <c r="BK50" s="196">
        <v>18.66</v>
      </c>
      <c r="BL50" s="196">
        <v>18.66</v>
      </c>
      <c r="BM50" s="195">
        <v>21.16</v>
      </c>
      <c r="BN50" s="195">
        <v>25.12</v>
      </c>
      <c r="BO50" s="195">
        <v>58.92</v>
      </c>
      <c r="BP50" s="197">
        <v>105.2</v>
      </c>
      <c r="BQ50" s="195">
        <v>30.03</v>
      </c>
      <c r="BR50" s="195">
        <v>15.53</v>
      </c>
      <c r="BS50" s="195">
        <v>12.45</v>
      </c>
      <c r="BT50" s="196">
        <v>13.31</v>
      </c>
      <c r="BU50" s="195">
        <v>20.39</v>
      </c>
      <c r="BV50" s="195">
        <v>16.04</v>
      </c>
      <c r="BW50" s="196">
        <v>19.87</v>
      </c>
      <c r="BX50" s="196">
        <v>18.66</v>
      </c>
      <c r="BY50" s="196">
        <v>18.66</v>
      </c>
      <c r="BZ50" s="195">
        <v>19.22</v>
      </c>
      <c r="CA50" s="195">
        <v>9.52</v>
      </c>
      <c r="CB50" s="195">
        <v>66.930000000000007</v>
      </c>
      <c r="CC50" s="197">
        <v>95.66</v>
      </c>
      <c r="CD50" s="195">
        <v>26.54</v>
      </c>
      <c r="CE50" s="195">
        <v>14.74</v>
      </c>
      <c r="CF50" s="195">
        <v>11.2</v>
      </c>
      <c r="CG50" s="196">
        <v>13.95</v>
      </c>
      <c r="CH50" s="195">
        <v>19.420000000000002</v>
      </c>
      <c r="CI50" s="195">
        <v>12.56</v>
      </c>
      <c r="CJ50" s="196">
        <v>18.600000000000001</v>
      </c>
      <c r="CK50" s="196">
        <v>18.66</v>
      </c>
      <c r="CL50" s="196">
        <v>18.66</v>
      </c>
      <c r="CM50" s="195">
        <v>20.68</v>
      </c>
      <c r="CN50" s="195">
        <v>21.26</v>
      </c>
      <c r="CO50" s="195">
        <v>60.9</v>
      </c>
      <c r="CP50" s="197">
        <v>102.85</v>
      </c>
    </row>
    <row r="51" spans="1:94" ht="13.5" customHeight="1">
      <c r="A51" s="23"/>
      <c r="B51" s="198">
        <v>2032</v>
      </c>
      <c r="D51" s="194">
        <v>26.22</v>
      </c>
      <c r="E51" s="195">
        <v>14.77</v>
      </c>
      <c r="F51" s="195">
        <v>10.19</v>
      </c>
      <c r="G51" s="196">
        <v>14.85</v>
      </c>
      <c r="H51" s="195">
        <v>19.690000000000001</v>
      </c>
      <c r="I51" s="195">
        <v>11.7</v>
      </c>
      <c r="J51" s="196">
        <v>18.73</v>
      </c>
      <c r="K51" s="196">
        <v>18.920000000000002</v>
      </c>
      <c r="L51" s="196">
        <v>18.920000000000002</v>
      </c>
      <c r="M51" s="195">
        <v>20.84</v>
      </c>
      <c r="N51" s="195">
        <v>29.34</v>
      </c>
      <c r="O51" s="195">
        <v>58.25</v>
      </c>
      <c r="P51" s="197">
        <v>108.44</v>
      </c>
      <c r="Q51" s="194">
        <v>26.86</v>
      </c>
      <c r="R51" s="195">
        <v>15.01</v>
      </c>
      <c r="S51" s="195">
        <v>10.86</v>
      </c>
      <c r="T51" s="196">
        <v>13.99</v>
      </c>
      <c r="U51" s="195">
        <v>19.690000000000001</v>
      </c>
      <c r="V51" s="195">
        <v>11.7</v>
      </c>
      <c r="W51" s="196">
        <v>18.73</v>
      </c>
      <c r="X51" s="196">
        <v>18.920000000000002</v>
      </c>
      <c r="Y51" s="196">
        <v>18.920000000000002</v>
      </c>
      <c r="Z51" s="195">
        <v>21.28</v>
      </c>
      <c r="AA51" s="195">
        <v>10.28</v>
      </c>
      <c r="AB51" s="195">
        <v>66.75</v>
      </c>
      <c r="AC51" s="197">
        <v>98.32</v>
      </c>
      <c r="AD51" s="194">
        <v>26.59</v>
      </c>
      <c r="AE51" s="195">
        <v>14.83</v>
      </c>
      <c r="AF51" s="195">
        <v>10.67</v>
      </c>
      <c r="AG51" s="196">
        <v>14.27</v>
      </c>
      <c r="AH51" s="195">
        <v>19.690000000000001</v>
      </c>
      <c r="AI51" s="195">
        <v>11.7</v>
      </c>
      <c r="AJ51" s="196">
        <v>18.73</v>
      </c>
      <c r="AK51" s="196">
        <v>18.920000000000002</v>
      </c>
      <c r="AL51" s="196">
        <v>18.920000000000002</v>
      </c>
      <c r="AM51" s="195">
        <v>22.29</v>
      </c>
      <c r="AN51" s="195">
        <v>41.27</v>
      </c>
      <c r="AO51" s="195">
        <v>52.15</v>
      </c>
      <c r="AP51" s="197">
        <v>115.71</v>
      </c>
      <c r="AQ51" s="194">
        <v>27.1</v>
      </c>
      <c r="AR51" s="195">
        <v>15.04</v>
      </c>
      <c r="AS51" s="195">
        <v>10.64</v>
      </c>
      <c r="AT51" s="196">
        <v>14.45</v>
      </c>
      <c r="AU51" s="195">
        <v>19.690000000000001</v>
      </c>
      <c r="AV51" s="195">
        <v>11.7</v>
      </c>
      <c r="AW51" s="196">
        <v>18.73</v>
      </c>
      <c r="AX51" s="196">
        <v>18.920000000000002</v>
      </c>
      <c r="AY51" s="196">
        <v>18.920000000000002</v>
      </c>
      <c r="AZ51" s="195">
        <v>22.27</v>
      </c>
      <c r="BA51" s="195">
        <v>56.41</v>
      </c>
      <c r="BB51" s="195">
        <v>45.25</v>
      </c>
      <c r="BC51" s="197">
        <v>123.94</v>
      </c>
      <c r="BD51" s="195">
        <v>26.64</v>
      </c>
      <c r="BE51" s="195">
        <v>14.88</v>
      </c>
      <c r="BF51" s="195">
        <v>10.66</v>
      </c>
      <c r="BG51" s="196">
        <v>14.35</v>
      </c>
      <c r="BH51" s="195">
        <v>19.690000000000001</v>
      </c>
      <c r="BI51" s="195">
        <v>11.7</v>
      </c>
      <c r="BJ51" s="196">
        <v>18.73</v>
      </c>
      <c r="BK51" s="196">
        <v>18.920000000000002</v>
      </c>
      <c r="BL51" s="196">
        <v>18.920000000000002</v>
      </c>
      <c r="BM51" s="195">
        <v>21.46</v>
      </c>
      <c r="BN51" s="195">
        <v>25.47</v>
      </c>
      <c r="BO51" s="195">
        <v>59.74</v>
      </c>
      <c r="BP51" s="197">
        <v>106.67</v>
      </c>
      <c r="BQ51" s="195">
        <v>30.45</v>
      </c>
      <c r="BR51" s="195">
        <v>15.75</v>
      </c>
      <c r="BS51" s="195">
        <v>12.62</v>
      </c>
      <c r="BT51" s="196">
        <v>13.49</v>
      </c>
      <c r="BU51" s="195">
        <v>20.68</v>
      </c>
      <c r="BV51" s="195">
        <v>16.260000000000002</v>
      </c>
      <c r="BW51" s="196">
        <v>20.149999999999999</v>
      </c>
      <c r="BX51" s="196">
        <v>18.920000000000002</v>
      </c>
      <c r="BY51" s="196">
        <v>18.920000000000002</v>
      </c>
      <c r="BZ51" s="195">
        <v>19.489999999999998</v>
      </c>
      <c r="CA51" s="195">
        <v>9.65</v>
      </c>
      <c r="CB51" s="195">
        <v>67.86</v>
      </c>
      <c r="CC51" s="197">
        <v>96.99</v>
      </c>
      <c r="CD51" s="195">
        <v>26.91</v>
      </c>
      <c r="CE51" s="195">
        <v>14.95</v>
      </c>
      <c r="CF51" s="195">
        <v>11.36</v>
      </c>
      <c r="CG51" s="196">
        <v>14.15</v>
      </c>
      <c r="CH51" s="195">
        <v>19.690000000000001</v>
      </c>
      <c r="CI51" s="195">
        <v>12.74</v>
      </c>
      <c r="CJ51" s="196">
        <v>18.86</v>
      </c>
      <c r="CK51" s="196">
        <v>18.920000000000002</v>
      </c>
      <c r="CL51" s="196">
        <v>18.920000000000002</v>
      </c>
      <c r="CM51" s="195">
        <v>20.97</v>
      </c>
      <c r="CN51" s="195">
        <v>21.56</v>
      </c>
      <c r="CO51" s="195">
        <v>61.75</v>
      </c>
      <c r="CP51" s="197">
        <v>104.28</v>
      </c>
    </row>
    <row r="52" spans="1:94" ht="13.5" customHeight="1">
      <c r="A52" s="23"/>
      <c r="B52" s="198">
        <v>2033</v>
      </c>
      <c r="D52" s="194">
        <v>26.58</v>
      </c>
      <c r="E52" s="195">
        <v>14.98</v>
      </c>
      <c r="F52" s="195">
        <v>10.33</v>
      </c>
      <c r="G52" s="196">
        <v>15.06</v>
      </c>
      <c r="H52" s="195">
        <v>19.97</v>
      </c>
      <c r="I52" s="195">
        <v>11.86</v>
      </c>
      <c r="J52" s="196">
        <v>18.989999999999998</v>
      </c>
      <c r="K52" s="196">
        <v>19.18</v>
      </c>
      <c r="L52" s="196">
        <v>19.18</v>
      </c>
      <c r="M52" s="195">
        <v>21.13</v>
      </c>
      <c r="N52" s="195">
        <v>29.75</v>
      </c>
      <c r="O52" s="195">
        <v>59.06</v>
      </c>
      <c r="P52" s="197">
        <v>109.94</v>
      </c>
      <c r="Q52" s="194">
        <v>27.24</v>
      </c>
      <c r="R52" s="195">
        <v>15.22</v>
      </c>
      <c r="S52" s="195">
        <v>11.01</v>
      </c>
      <c r="T52" s="196">
        <v>14.18</v>
      </c>
      <c r="U52" s="195">
        <v>19.97</v>
      </c>
      <c r="V52" s="195">
        <v>11.86</v>
      </c>
      <c r="W52" s="196">
        <v>18.989999999999998</v>
      </c>
      <c r="X52" s="196">
        <v>19.18</v>
      </c>
      <c r="Y52" s="196">
        <v>19.18</v>
      </c>
      <c r="Z52" s="195">
        <v>21.58</v>
      </c>
      <c r="AA52" s="195">
        <v>10.43</v>
      </c>
      <c r="AB52" s="195">
        <v>67.680000000000007</v>
      </c>
      <c r="AC52" s="197">
        <v>99.68</v>
      </c>
      <c r="AD52" s="194">
        <v>26.96</v>
      </c>
      <c r="AE52" s="195">
        <v>15.03</v>
      </c>
      <c r="AF52" s="195">
        <v>10.82</v>
      </c>
      <c r="AG52" s="196">
        <v>14.46</v>
      </c>
      <c r="AH52" s="195">
        <v>19.97</v>
      </c>
      <c r="AI52" s="195">
        <v>11.86</v>
      </c>
      <c r="AJ52" s="196">
        <v>18.989999999999998</v>
      </c>
      <c r="AK52" s="196">
        <v>19.18</v>
      </c>
      <c r="AL52" s="196">
        <v>19.18</v>
      </c>
      <c r="AM52" s="195">
        <v>22.6</v>
      </c>
      <c r="AN52" s="195">
        <v>41.84</v>
      </c>
      <c r="AO52" s="195">
        <v>52.87</v>
      </c>
      <c r="AP52" s="197">
        <v>117.32</v>
      </c>
      <c r="AQ52" s="194">
        <v>27.47</v>
      </c>
      <c r="AR52" s="195">
        <v>15.25</v>
      </c>
      <c r="AS52" s="195">
        <v>10.78</v>
      </c>
      <c r="AT52" s="196">
        <v>14.66</v>
      </c>
      <c r="AU52" s="195">
        <v>19.97</v>
      </c>
      <c r="AV52" s="195">
        <v>11.86</v>
      </c>
      <c r="AW52" s="196">
        <v>18.989999999999998</v>
      </c>
      <c r="AX52" s="196">
        <v>19.18</v>
      </c>
      <c r="AY52" s="196">
        <v>19.18</v>
      </c>
      <c r="AZ52" s="195">
        <v>22.58</v>
      </c>
      <c r="BA52" s="195">
        <v>57.2</v>
      </c>
      <c r="BB52" s="195">
        <v>45.87</v>
      </c>
      <c r="BC52" s="197">
        <v>125.66</v>
      </c>
      <c r="BD52" s="195">
        <v>27.01</v>
      </c>
      <c r="BE52" s="195">
        <v>15.08</v>
      </c>
      <c r="BF52" s="195">
        <v>10.81</v>
      </c>
      <c r="BG52" s="196">
        <v>14.55</v>
      </c>
      <c r="BH52" s="195">
        <v>19.97</v>
      </c>
      <c r="BI52" s="195">
        <v>11.86</v>
      </c>
      <c r="BJ52" s="196">
        <v>18.989999999999998</v>
      </c>
      <c r="BK52" s="196">
        <v>19.18</v>
      </c>
      <c r="BL52" s="196">
        <v>19.18</v>
      </c>
      <c r="BM52" s="195">
        <v>21.75</v>
      </c>
      <c r="BN52" s="195">
        <v>25.82</v>
      </c>
      <c r="BO52" s="195">
        <v>60.57</v>
      </c>
      <c r="BP52" s="197">
        <v>108.15</v>
      </c>
      <c r="BQ52" s="195">
        <v>30.87</v>
      </c>
      <c r="BR52" s="195">
        <v>15.97</v>
      </c>
      <c r="BS52" s="195">
        <v>12.8</v>
      </c>
      <c r="BT52" s="196">
        <v>13.68</v>
      </c>
      <c r="BU52" s="195">
        <v>20.96</v>
      </c>
      <c r="BV52" s="195">
        <v>16.489999999999998</v>
      </c>
      <c r="BW52" s="196">
        <v>20.43</v>
      </c>
      <c r="BX52" s="196">
        <v>19.18</v>
      </c>
      <c r="BY52" s="196">
        <v>19.18</v>
      </c>
      <c r="BZ52" s="195">
        <v>19.760000000000002</v>
      </c>
      <c r="CA52" s="195">
        <v>9.7799999999999994</v>
      </c>
      <c r="CB52" s="195">
        <v>68.8</v>
      </c>
      <c r="CC52" s="197">
        <v>98.34</v>
      </c>
      <c r="CD52" s="195">
        <v>27.29</v>
      </c>
      <c r="CE52" s="195">
        <v>15.15</v>
      </c>
      <c r="CF52" s="195">
        <v>11.51</v>
      </c>
      <c r="CG52" s="196">
        <v>14.34</v>
      </c>
      <c r="CH52" s="195">
        <v>19.97</v>
      </c>
      <c r="CI52" s="195">
        <v>12.91</v>
      </c>
      <c r="CJ52" s="196">
        <v>19.12</v>
      </c>
      <c r="CK52" s="196">
        <v>19.18</v>
      </c>
      <c r="CL52" s="196">
        <v>19.18</v>
      </c>
      <c r="CM52" s="195">
        <v>21.26</v>
      </c>
      <c r="CN52" s="195">
        <v>21.86</v>
      </c>
      <c r="CO52" s="195">
        <v>62.6</v>
      </c>
      <c r="CP52" s="197">
        <v>105.72</v>
      </c>
    </row>
    <row r="53" spans="1:94" ht="13.5" customHeight="1">
      <c r="A53" s="23"/>
      <c r="B53" s="198">
        <v>2034</v>
      </c>
      <c r="D53" s="194">
        <v>26.94</v>
      </c>
      <c r="E53" s="195">
        <v>15.18</v>
      </c>
      <c r="F53" s="195">
        <v>10.48</v>
      </c>
      <c r="G53" s="196">
        <v>15.26</v>
      </c>
      <c r="H53" s="195">
        <v>20.239999999999998</v>
      </c>
      <c r="I53" s="195">
        <v>12.02</v>
      </c>
      <c r="J53" s="196">
        <v>19.25</v>
      </c>
      <c r="K53" s="196">
        <v>19.45</v>
      </c>
      <c r="L53" s="196">
        <v>19.45</v>
      </c>
      <c r="M53" s="195">
        <v>21.42</v>
      </c>
      <c r="N53" s="195">
        <v>30.16</v>
      </c>
      <c r="O53" s="195">
        <v>59.87</v>
      </c>
      <c r="P53" s="197">
        <v>111.45</v>
      </c>
      <c r="Q53" s="194">
        <v>27.61</v>
      </c>
      <c r="R53" s="195">
        <v>15.43</v>
      </c>
      <c r="S53" s="195">
        <v>11.16</v>
      </c>
      <c r="T53" s="196">
        <v>14.37</v>
      </c>
      <c r="U53" s="195">
        <v>20.239999999999998</v>
      </c>
      <c r="V53" s="195">
        <v>12.02</v>
      </c>
      <c r="W53" s="196">
        <v>19.25</v>
      </c>
      <c r="X53" s="196">
        <v>19.45</v>
      </c>
      <c r="Y53" s="196">
        <v>19.45</v>
      </c>
      <c r="Z53" s="195">
        <v>21.87</v>
      </c>
      <c r="AA53" s="195">
        <v>10.57</v>
      </c>
      <c r="AB53" s="195">
        <v>68.61</v>
      </c>
      <c r="AC53" s="197">
        <v>101.05</v>
      </c>
      <c r="AD53" s="194">
        <v>27.33</v>
      </c>
      <c r="AE53" s="195">
        <v>15.24</v>
      </c>
      <c r="AF53" s="195">
        <v>10.97</v>
      </c>
      <c r="AG53" s="196">
        <v>14.66</v>
      </c>
      <c r="AH53" s="195">
        <v>20.239999999999998</v>
      </c>
      <c r="AI53" s="195">
        <v>12.02</v>
      </c>
      <c r="AJ53" s="196">
        <v>19.25</v>
      </c>
      <c r="AK53" s="196">
        <v>19.45</v>
      </c>
      <c r="AL53" s="196">
        <v>19.45</v>
      </c>
      <c r="AM53" s="195">
        <v>22.91</v>
      </c>
      <c r="AN53" s="195">
        <v>42.42</v>
      </c>
      <c r="AO53" s="195">
        <v>53.6</v>
      </c>
      <c r="AP53" s="197">
        <v>118.93</v>
      </c>
      <c r="AQ53" s="194">
        <v>27.85</v>
      </c>
      <c r="AR53" s="195">
        <v>15.46</v>
      </c>
      <c r="AS53" s="195">
        <v>10.93</v>
      </c>
      <c r="AT53" s="196">
        <v>14.86</v>
      </c>
      <c r="AU53" s="195">
        <v>20.239999999999998</v>
      </c>
      <c r="AV53" s="195">
        <v>12.02</v>
      </c>
      <c r="AW53" s="196">
        <v>19.25</v>
      </c>
      <c r="AX53" s="196">
        <v>19.45</v>
      </c>
      <c r="AY53" s="196">
        <v>19.45</v>
      </c>
      <c r="AZ53" s="195">
        <v>22.89</v>
      </c>
      <c r="BA53" s="195">
        <v>57.98</v>
      </c>
      <c r="BB53" s="195">
        <v>46.5</v>
      </c>
      <c r="BC53" s="197">
        <v>127.38</v>
      </c>
      <c r="BD53" s="195">
        <v>27.38</v>
      </c>
      <c r="BE53" s="195">
        <v>15.29</v>
      </c>
      <c r="BF53" s="195">
        <v>10.96</v>
      </c>
      <c r="BG53" s="196">
        <v>14.75</v>
      </c>
      <c r="BH53" s="195">
        <v>20.239999999999998</v>
      </c>
      <c r="BI53" s="195">
        <v>12.02</v>
      </c>
      <c r="BJ53" s="196">
        <v>19.25</v>
      </c>
      <c r="BK53" s="196">
        <v>19.45</v>
      </c>
      <c r="BL53" s="196">
        <v>19.45</v>
      </c>
      <c r="BM53" s="195">
        <v>22.05</v>
      </c>
      <c r="BN53" s="195">
        <v>26.17</v>
      </c>
      <c r="BO53" s="195">
        <v>61.4</v>
      </c>
      <c r="BP53" s="197">
        <v>109.63</v>
      </c>
      <c r="BQ53" s="195">
        <v>31.29</v>
      </c>
      <c r="BR53" s="195">
        <v>16.190000000000001</v>
      </c>
      <c r="BS53" s="195">
        <v>12.98</v>
      </c>
      <c r="BT53" s="196">
        <v>13.87</v>
      </c>
      <c r="BU53" s="195">
        <v>21.25</v>
      </c>
      <c r="BV53" s="195">
        <v>16.71</v>
      </c>
      <c r="BW53" s="196">
        <v>20.71</v>
      </c>
      <c r="BX53" s="196">
        <v>19.45</v>
      </c>
      <c r="BY53" s="196">
        <v>19.45</v>
      </c>
      <c r="BZ53" s="195">
        <v>20.03</v>
      </c>
      <c r="CA53" s="195">
        <v>9.92</v>
      </c>
      <c r="CB53" s="195">
        <v>69.739999999999995</v>
      </c>
      <c r="CC53" s="197">
        <v>99.69</v>
      </c>
      <c r="CD53" s="195">
        <v>27.66</v>
      </c>
      <c r="CE53" s="195">
        <v>15.36</v>
      </c>
      <c r="CF53" s="195">
        <v>11.67</v>
      </c>
      <c r="CG53" s="196">
        <v>14.54</v>
      </c>
      <c r="CH53" s="195">
        <v>20.239999999999998</v>
      </c>
      <c r="CI53" s="195">
        <v>13.09</v>
      </c>
      <c r="CJ53" s="196">
        <v>19.38</v>
      </c>
      <c r="CK53" s="196">
        <v>19.45</v>
      </c>
      <c r="CL53" s="196">
        <v>19.45</v>
      </c>
      <c r="CM53" s="195">
        <v>21.55</v>
      </c>
      <c r="CN53" s="195">
        <v>22.16</v>
      </c>
      <c r="CO53" s="195">
        <v>63.46</v>
      </c>
      <c r="CP53" s="197">
        <v>107.17</v>
      </c>
    </row>
    <row r="54" spans="1:94" ht="13.5" customHeight="1">
      <c r="A54" s="23"/>
      <c r="B54" s="198">
        <v>2035</v>
      </c>
      <c r="D54" s="194">
        <v>27.31</v>
      </c>
      <c r="E54" s="195">
        <v>15.39</v>
      </c>
      <c r="F54" s="195">
        <v>10.62</v>
      </c>
      <c r="G54" s="196">
        <v>15.47</v>
      </c>
      <c r="H54" s="195">
        <v>20.51</v>
      </c>
      <c r="I54" s="195">
        <v>12.18</v>
      </c>
      <c r="J54" s="196">
        <v>19.510000000000002</v>
      </c>
      <c r="K54" s="196">
        <v>19.71</v>
      </c>
      <c r="L54" s="196">
        <v>19.71</v>
      </c>
      <c r="M54" s="195">
        <v>21.71</v>
      </c>
      <c r="N54" s="195">
        <v>30.57</v>
      </c>
      <c r="O54" s="195">
        <v>60.67</v>
      </c>
      <c r="P54" s="197">
        <v>112.95</v>
      </c>
      <c r="Q54" s="194">
        <v>27.98</v>
      </c>
      <c r="R54" s="195">
        <v>15.64</v>
      </c>
      <c r="S54" s="195">
        <v>11.31</v>
      </c>
      <c r="T54" s="196">
        <v>14.57</v>
      </c>
      <c r="U54" s="195">
        <v>20.51</v>
      </c>
      <c r="V54" s="195">
        <v>12.18</v>
      </c>
      <c r="W54" s="196">
        <v>19.510000000000002</v>
      </c>
      <c r="X54" s="196">
        <v>19.71</v>
      </c>
      <c r="Y54" s="196">
        <v>19.71</v>
      </c>
      <c r="Z54" s="195">
        <v>22.17</v>
      </c>
      <c r="AA54" s="195">
        <v>10.71</v>
      </c>
      <c r="AB54" s="195">
        <v>69.53</v>
      </c>
      <c r="AC54" s="197">
        <v>102.41</v>
      </c>
      <c r="AD54" s="194">
        <v>27.7</v>
      </c>
      <c r="AE54" s="195">
        <v>15.44</v>
      </c>
      <c r="AF54" s="195">
        <v>11.12</v>
      </c>
      <c r="AG54" s="196">
        <v>14.86</v>
      </c>
      <c r="AH54" s="195">
        <v>20.51</v>
      </c>
      <c r="AI54" s="195">
        <v>12.18</v>
      </c>
      <c r="AJ54" s="196">
        <v>19.510000000000002</v>
      </c>
      <c r="AK54" s="196">
        <v>19.71</v>
      </c>
      <c r="AL54" s="196">
        <v>19.71</v>
      </c>
      <c r="AM54" s="195">
        <v>23.22</v>
      </c>
      <c r="AN54" s="195">
        <v>42.99</v>
      </c>
      <c r="AO54" s="195">
        <v>54.32</v>
      </c>
      <c r="AP54" s="197">
        <v>120.53</v>
      </c>
      <c r="AQ54" s="194">
        <v>28.23</v>
      </c>
      <c r="AR54" s="195">
        <v>15.67</v>
      </c>
      <c r="AS54" s="195">
        <v>11.08</v>
      </c>
      <c r="AT54" s="196">
        <v>15.06</v>
      </c>
      <c r="AU54" s="195">
        <v>20.51</v>
      </c>
      <c r="AV54" s="195">
        <v>12.18</v>
      </c>
      <c r="AW54" s="196">
        <v>19.510000000000002</v>
      </c>
      <c r="AX54" s="196">
        <v>19.71</v>
      </c>
      <c r="AY54" s="196">
        <v>19.71</v>
      </c>
      <c r="AZ54" s="195">
        <v>23.2</v>
      </c>
      <c r="BA54" s="195">
        <v>58.76</v>
      </c>
      <c r="BB54" s="195">
        <v>47.13</v>
      </c>
      <c r="BC54" s="197">
        <v>129.09</v>
      </c>
      <c r="BD54" s="195">
        <v>27.75</v>
      </c>
      <c r="BE54" s="195">
        <v>15.49</v>
      </c>
      <c r="BF54" s="195">
        <v>11.11</v>
      </c>
      <c r="BG54" s="196">
        <v>14.95</v>
      </c>
      <c r="BH54" s="195">
        <v>20.51</v>
      </c>
      <c r="BI54" s="195">
        <v>12.18</v>
      </c>
      <c r="BJ54" s="196">
        <v>19.510000000000002</v>
      </c>
      <c r="BK54" s="196">
        <v>19.71</v>
      </c>
      <c r="BL54" s="196">
        <v>19.71</v>
      </c>
      <c r="BM54" s="195">
        <v>22.35</v>
      </c>
      <c r="BN54" s="195">
        <v>26.53</v>
      </c>
      <c r="BO54" s="195">
        <v>62.23</v>
      </c>
      <c r="BP54" s="197">
        <v>111.1</v>
      </c>
      <c r="BQ54" s="195">
        <v>31.72</v>
      </c>
      <c r="BR54" s="195">
        <v>16.399999999999999</v>
      </c>
      <c r="BS54" s="195">
        <v>13.15</v>
      </c>
      <c r="BT54" s="196">
        <v>14.05</v>
      </c>
      <c r="BU54" s="195">
        <v>21.54</v>
      </c>
      <c r="BV54" s="195">
        <v>16.940000000000001</v>
      </c>
      <c r="BW54" s="196">
        <v>20.99</v>
      </c>
      <c r="BX54" s="196">
        <v>19.71</v>
      </c>
      <c r="BY54" s="196">
        <v>19.71</v>
      </c>
      <c r="BZ54" s="195">
        <v>20.3</v>
      </c>
      <c r="CA54" s="195">
        <v>10.050000000000001</v>
      </c>
      <c r="CB54" s="195">
        <v>70.680000000000007</v>
      </c>
      <c r="CC54" s="197">
        <v>101.03</v>
      </c>
      <c r="CD54" s="195">
        <v>28.03</v>
      </c>
      <c r="CE54" s="195">
        <v>15.57</v>
      </c>
      <c r="CF54" s="195">
        <v>11.83</v>
      </c>
      <c r="CG54" s="196">
        <v>14.74</v>
      </c>
      <c r="CH54" s="195">
        <v>20.51</v>
      </c>
      <c r="CI54" s="195">
        <v>13.27</v>
      </c>
      <c r="CJ54" s="196">
        <v>19.64</v>
      </c>
      <c r="CK54" s="196">
        <v>19.71</v>
      </c>
      <c r="CL54" s="196">
        <v>19.71</v>
      </c>
      <c r="CM54" s="195">
        <v>21.84</v>
      </c>
      <c r="CN54" s="195">
        <v>22.46</v>
      </c>
      <c r="CO54" s="195">
        <v>64.319999999999993</v>
      </c>
      <c r="CP54" s="197">
        <v>108.62</v>
      </c>
    </row>
    <row r="55" spans="1:94" ht="13.5" customHeight="1">
      <c r="A55" s="23"/>
      <c r="B55" s="198">
        <v>2036</v>
      </c>
      <c r="D55" s="194">
        <v>27.71</v>
      </c>
      <c r="E55" s="195">
        <v>15.62</v>
      </c>
      <c r="F55" s="195">
        <v>10.77</v>
      </c>
      <c r="G55" s="196">
        <v>15.7</v>
      </c>
      <c r="H55" s="195">
        <v>20.81</v>
      </c>
      <c r="I55" s="195">
        <v>12.36</v>
      </c>
      <c r="J55" s="196">
        <v>19.8</v>
      </c>
      <c r="K55" s="196">
        <v>20</v>
      </c>
      <c r="L55" s="196">
        <v>20</v>
      </c>
      <c r="M55" s="195">
        <v>22.03</v>
      </c>
      <c r="N55" s="195">
        <v>31.02</v>
      </c>
      <c r="O55" s="195">
        <v>61.57</v>
      </c>
      <c r="P55" s="197">
        <v>114.62</v>
      </c>
      <c r="Q55" s="194">
        <v>28.4</v>
      </c>
      <c r="R55" s="195">
        <v>15.87</v>
      </c>
      <c r="S55" s="195">
        <v>11.48</v>
      </c>
      <c r="T55" s="196">
        <v>14.78</v>
      </c>
      <c r="U55" s="195">
        <v>20.81</v>
      </c>
      <c r="V55" s="195">
        <v>12.36</v>
      </c>
      <c r="W55" s="196">
        <v>19.8</v>
      </c>
      <c r="X55" s="196">
        <v>20</v>
      </c>
      <c r="Y55" s="196">
        <v>20</v>
      </c>
      <c r="Z55" s="195">
        <v>22.49</v>
      </c>
      <c r="AA55" s="195">
        <v>10.87</v>
      </c>
      <c r="AB55" s="195">
        <v>70.56</v>
      </c>
      <c r="AC55" s="197">
        <v>103.92</v>
      </c>
      <c r="AD55" s="194">
        <v>28.11</v>
      </c>
      <c r="AE55" s="195">
        <v>15.67</v>
      </c>
      <c r="AF55" s="195">
        <v>11.28</v>
      </c>
      <c r="AG55" s="196">
        <v>15.08</v>
      </c>
      <c r="AH55" s="195">
        <v>20.81</v>
      </c>
      <c r="AI55" s="195">
        <v>12.36</v>
      </c>
      <c r="AJ55" s="196">
        <v>19.8</v>
      </c>
      <c r="AK55" s="196">
        <v>20</v>
      </c>
      <c r="AL55" s="196">
        <v>20</v>
      </c>
      <c r="AM55" s="195">
        <v>23.56</v>
      </c>
      <c r="AN55" s="195">
        <v>43.62</v>
      </c>
      <c r="AO55" s="195">
        <v>55.12</v>
      </c>
      <c r="AP55" s="197">
        <v>122.31</v>
      </c>
      <c r="AQ55" s="194">
        <v>28.64</v>
      </c>
      <c r="AR55" s="195">
        <v>15.9</v>
      </c>
      <c r="AS55" s="195">
        <v>11.24</v>
      </c>
      <c r="AT55" s="196">
        <v>15.28</v>
      </c>
      <c r="AU55" s="195">
        <v>20.81</v>
      </c>
      <c r="AV55" s="195">
        <v>12.36</v>
      </c>
      <c r="AW55" s="196">
        <v>19.8</v>
      </c>
      <c r="AX55" s="196">
        <v>20</v>
      </c>
      <c r="AY55" s="196">
        <v>20</v>
      </c>
      <c r="AZ55" s="195">
        <v>23.54</v>
      </c>
      <c r="BA55" s="195">
        <v>59.63</v>
      </c>
      <c r="BB55" s="195">
        <v>47.83</v>
      </c>
      <c r="BC55" s="197">
        <v>131</v>
      </c>
      <c r="BD55" s="195">
        <v>28.16</v>
      </c>
      <c r="BE55" s="195">
        <v>15.72</v>
      </c>
      <c r="BF55" s="195">
        <v>11.27</v>
      </c>
      <c r="BG55" s="196">
        <v>15.17</v>
      </c>
      <c r="BH55" s="195">
        <v>20.81</v>
      </c>
      <c r="BI55" s="195">
        <v>12.36</v>
      </c>
      <c r="BJ55" s="196">
        <v>19.8</v>
      </c>
      <c r="BK55" s="196">
        <v>20</v>
      </c>
      <c r="BL55" s="196">
        <v>20</v>
      </c>
      <c r="BM55" s="195">
        <v>22.68</v>
      </c>
      <c r="BN55" s="195">
        <v>26.92</v>
      </c>
      <c r="BO55" s="195">
        <v>63.15</v>
      </c>
      <c r="BP55" s="197">
        <v>112.75</v>
      </c>
      <c r="BQ55" s="195">
        <v>32.18</v>
      </c>
      <c r="BR55" s="195">
        <v>16.649999999999999</v>
      </c>
      <c r="BS55" s="195">
        <v>13.34</v>
      </c>
      <c r="BT55" s="196">
        <v>14.26</v>
      </c>
      <c r="BU55" s="195">
        <v>21.86</v>
      </c>
      <c r="BV55" s="195">
        <v>17.190000000000001</v>
      </c>
      <c r="BW55" s="196">
        <v>21.3</v>
      </c>
      <c r="BX55" s="196">
        <v>20</v>
      </c>
      <c r="BY55" s="196">
        <v>20</v>
      </c>
      <c r="BZ55" s="195">
        <v>20.6</v>
      </c>
      <c r="CA55" s="195">
        <v>10.199999999999999</v>
      </c>
      <c r="CB55" s="195">
        <v>71.72</v>
      </c>
      <c r="CC55" s="197">
        <v>102.52</v>
      </c>
      <c r="CD55" s="195">
        <v>28.45</v>
      </c>
      <c r="CE55" s="195">
        <v>15.8</v>
      </c>
      <c r="CF55" s="195">
        <v>12</v>
      </c>
      <c r="CG55" s="196">
        <v>14.95</v>
      </c>
      <c r="CH55" s="195">
        <v>20.81</v>
      </c>
      <c r="CI55" s="195">
        <v>13.46</v>
      </c>
      <c r="CJ55" s="196">
        <v>19.93</v>
      </c>
      <c r="CK55" s="196">
        <v>20</v>
      </c>
      <c r="CL55" s="196">
        <v>20</v>
      </c>
      <c r="CM55" s="195">
        <v>22.16</v>
      </c>
      <c r="CN55" s="195">
        <v>22.79</v>
      </c>
      <c r="CO55" s="195">
        <v>65.27</v>
      </c>
      <c r="CP55" s="197">
        <v>110.22</v>
      </c>
    </row>
    <row r="56" spans="1:94" ht="13.5" customHeight="1">
      <c r="A56" s="23"/>
      <c r="B56" s="198">
        <v>2037</v>
      </c>
      <c r="D56" s="194">
        <v>28.12</v>
      </c>
      <c r="E56" s="195">
        <v>15.85</v>
      </c>
      <c r="F56" s="195">
        <v>10.93</v>
      </c>
      <c r="G56" s="196">
        <v>15.93</v>
      </c>
      <c r="H56" s="195">
        <v>21.12</v>
      </c>
      <c r="I56" s="195">
        <v>12.54</v>
      </c>
      <c r="J56" s="196">
        <v>20.09</v>
      </c>
      <c r="K56" s="196">
        <v>20.3</v>
      </c>
      <c r="L56" s="196">
        <v>20.3</v>
      </c>
      <c r="M56" s="195">
        <v>22.36</v>
      </c>
      <c r="N56" s="195">
        <v>31.47</v>
      </c>
      <c r="O56" s="195">
        <v>62.48</v>
      </c>
      <c r="P56" s="197">
        <v>116.31</v>
      </c>
      <c r="Q56" s="194">
        <v>28.81</v>
      </c>
      <c r="R56" s="195">
        <v>16.100000000000001</v>
      </c>
      <c r="S56" s="195">
        <v>11.65</v>
      </c>
      <c r="T56" s="196">
        <v>15</v>
      </c>
      <c r="U56" s="195">
        <v>21.12</v>
      </c>
      <c r="V56" s="195">
        <v>12.54</v>
      </c>
      <c r="W56" s="196">
        <v>20.09</v>
      </c>
      <c r="X56" s="196">
        <v>20.3</v>
      </c>
      <c r="Y56" s="196">
        <v>20.3</v>
      </c>
      <c r="Z56" s="195">
        <v>22.83</v>
      </c>
      <c r="AA56" s="195">
        <v>11.03</v>
      </c>
      <c r="AB56" s="195">
        <v>71.599999999999994</v>
      </c>
      <c r="AC56" s="197">
        <v>105.45</v>
      </c>
      <c r="AD56" s="194">
        <v>28.53</v>
      </c>
      <c r="AE56" s="195">
        <v>15.9</v>
      </c>
      <c r="AF56" s="195">
        <v>11.45</v>
      </c>
      <c r="AG56" s="196">
        <v>15.3</v>
      </c>
      <c r="AH56" s="195">
        <v>21.12</v>
      </c>
      <c r="AI56" s="195">
        <v>12.54</v>
      </c>
      <c r="AJ56" s="196">
        <v>20.09</v>
      </c>
      <c r="AK56" s="196">
        <v>20.3</v>
      </c>
      <c r="AL56" s="196">
        <v>20.3</v>
      </c>
      <c r="AM56" s="195">
        <v>23.91</v>
      </c>
      <c r="AN56" s="195">
        <v>44.27</v>
      </c>
      <c r="AO56" s="195">
        <v>55.94</v>
      </c>
      <c r="AP56" s="197">
        <v>124.11</v>
      </c>
      <c r="AQ56" s="194">
        <v>29.06</v>
      </c>
      <c r="AR56" s="195">
        <v>16.13</v>
      </c>
      <c r="AS56" s="195">
        <v>11.41</v>
      </c>
      <c r="AT56" s="196">
        <v>15.5</v>
      </c>
      <c r="AU56" s="195">
        <v>21.12</v>
      </c>
      <c r="AV56" s="195">
        <v>12.54</v>
      </c>
      <c r="AW56" s="196">
        <v>20.09</v>
      </c>
      <c r="AX56" s="196">
        <v>20.3</v>
      </c>
      <c r="AY56" s="196">
        <v>20.3</v>
      </c>
      <c r="AZ56" s="195">
        <v>23.89</v>
      </c>
      <c r="BA56" s="195">
        <v>60.51</v>
      </c>
      <c r="BB56" s="195">
        <v>48.53</v>
      </c>
      <c r="BC56" s="197">
        <v>132.93</v>
      </c>
      <c r="BD56" s="195">
        <v>28.58</v>
      </c>
      <c r="BE56" s="195">
        <v>15.96</v>
      </c>
      <c r="BF56" s="195">
        <v>11.44</v>
      </c>
      <c r="BG56" s="196">
        <v>15.39</v>
      </c>
      <c r="BH56" s="195">
        <v>21.12</v>
      </c>
      <c r="BI56" s="195">
        <v>12.54</v>
      </c>
      <c r="BJ56" s="196">
        <v>20.09</v>
      </c>
      <c r="BK56" s="196">
        <v>20.3</v>
      </c>
      <c r="BL56" s="196">
        <v>20.3</v>
      </c>
      <c r="BM56" s="195">
        <v>23.01</v>
      </c>
      <c r="BN56" s="195">
        <v>27.32</v>
      </c>
      <c r="BO56" s="195">
        <v>64.08</v>
      </c>
      <c r="BP56" s="197">
        <v>114.41</v>
      </c>
      <c r="BQ56" s="195">
        <v>32.659999999999997</v>
      </c>
      <c r="BR56" s="195">
        <v>16.89</v>
      </c>
      <c r="BS56" s="195">
        <v>13.54</v>
      </c>
      <c r="BT56" s="196">
        <v>14.47</v>
      </c>
      <c r="BU56" s="195">
        <v>22.18</v>
      </c>
      <c r="BV56" s="195">
        <v>17.440000000000001</v>
      </c>
      <c r="BW56" s="196">
        <v>21.61</v>
      </c>
      <c r="BX56" s="196">
        <v>20.3</v>
      </c>
      <c r="BY56" s="196">
        <v>20.3</v>
      </c>
      <c r="BZ56" s="195">
        <v>20.9</v>
      </c>
      <c r="CA56" s="195">
        <v>10.35</v>
      </c>
      <c r="CB56" s="195">
        <v>72.78</v>
      </c>
      <c r="CC56" s="197">
        <v>104.03</v>
      </c>
      <c r="CD56" s="195">
        <v>28.87</v>
      </c>
      <c r="CE56" s="195">
        <v>16.03</v>
      </c>
      <c r="CF56" s="195">
        <v>12.18</v>
      </c>
      <c r="CG56" s="196">
        <v>15.17</v>
      </c>
      <c r="CH56" s="195">
        <v>21.12</v>
      </c>
      <c r="CI56" s="195">
        <v>13.66</v>
      </c>
      <c r="CJ56" s="196">
        <v>20.23</v>
      </c>
      <c r="CK56" s="196">
        <v>20.3</v>
      </c>
      <c r="CL56" s="196">
        <v>20.3</v>
      </c>
      <c r="CM56" s="195">
        <v>22.49</v>
      </c>
      <c r="CN56" s="195">
        <v>23.13</v>
      </c>
      <c r="CO56" s="195">
        <v>66.23</v>
      </c>
      <c r="CP56" s="197">
        <v>111.85</v>
      </c>
    </row>
    <row r="57" spans="1:94" ht="13.5" customHeight="1">
      <c r="A57" s="23"/>
      <c r="B57" s="198">
        <v>2038</v>
      </c>
      <c r="D57" s="194">
        <v>28.53</v>
      </c>
      <c r="E57" s="195">
        <v>16.079999999999998</v>
      </c>
      <c r="F57" s="195">
        <v>11.09</v>
      </c>
      <c r="G57" s="196">
        <v>16.16</v>
      </c>
      <c r="H57" s="195">
        <v>21.43</v>
      </c>
      <c r="I57" s="195">
        <v>12.73</v>
      </c>
      <c r="J57" s="196">
        <v>20.39</v>
      </c>
      <c r="K57" s="196">
        <v>20.59</v>
      </c>
      <c r="L57" s="196">
        <v>20.59</v>
      </c>
      <c r="M57" s="195">
        <v>22.68</v>
      </c>
      <c r="N57" s="195">
        <v>31.94</v>
      </c>
      <c r="O57" s="195">
        <v>63.4</v>
      </c>
      <c r="P57" s="197">
        <v>118.02</v>
      </c>
      <c r="Q57" s="194">
        <v>29.24</v>
      </c>
      <c r="R57" s="195">
        <v>16.34</v>
      </c>
      <c r="S57" s="195">
        <v>11.82</v>
      </c>
      <c r="T57" s="196">
        <v>15.22</v>
      </c>
      <c r="U57" s="195">
        <v>21.43</v>
      </c>
      <c r="V57" s="195">
        <v>12.73</v>
      </c>
      <c r="W57" s="196">
        <v>20.39</v>
      </c>
      <c r="X57" s="196">
        <v>20.59</v>
      </c>
      <c r="Y57" s="196">
        <v>20.59</v>
      </c>
      <c r="Z57" s="195">
        <v>23.16</v>
      </c>
      <c r="AA57" s="195">
        <v>11.19</v>
      </c>
      <c r="AB57" s="195">
        <v>72.650000000000006</v>
      </c>
      <c r="AC57" s="197">
        <v>107</v>
      </c>
      <c r="AD57" s="194">
        <v>28.94</v>
      </c>
      <c r="AE57" s="195">
        <v>16.13</v>
      </c>
      <c r="AF57" s="195">
        <v>11.62</v>
      </c>
      <c r="AG57" s="196">
        <v>15.53</v>
      </c>
      <c r="AH57" s="195">
        <v>21.43</v>
      </c>
      <c r="AI57" s="195">
        <v>12.73</v>
      </c>
      <c r="AJ57" s="196">
        <v>20.39</v>
      </c>
      <c r="AK57" s="196">
        <v>20.59</v>
      </c>
      <c r="AL57" s="196">
        <v>20.59</v>
      </c>
      <c r="AM57" s="195">
        <v>24.26</v>
      </c>
      <c r="AN57" s="195">
        <v>44.91</v>
      </c>
      <c r="AO57" s="195">
        <v>56.76</v>
      </c>
      <c r="AP57" s="197">
        <v>125.93</v>
      </c>
      <c r="AQ57" s="194">
        <v>29.49</v>
      </c>
      <c r="AR57" s="195">
        <v>16.37</v>
      </c>
      <c r="AS57" s="195">
        <v>11.58</v>
      </c>
      <c r="AT57" s="196">
        <v>15.73</v>
      </c>
      <c r="AU57" s="195">
        <v>21.43</v>
      </c>
      <c r="AV57" s="195">
        <v>12.73</v>
      </c>
      <c r="AW57" s="196">
        <v>20.39</v>
      </c>
      <c r="AX57" s="196">
        <v>20.59</v>
      </c>
      <c r="AY57" s="196">
        <v>20.59</v>
      </c>
      <c r="AZ57" s="195">
        <v>24.24</v>
      </c>
      <c r="BA57" s="195">
        <v>61.4</v>
      </c>
      <c r="BB57" s="195">
        <v>49.24</v>
      </c>
      <c r="BC57" s="197">
        <v>134.88</v>
      </c>
      <c r="BD57" s="195">
        <v>29</v>
      </c>
      <c r="BE57" s="195">
        <v>16.190000000000001</v>
      </c>
      <c r="BF57" s="195">
        <v>11.6</v>
      </c>
      <c r="BG57" s="196">
        <v>15.62</v>
      </c>
      <c r="BH57" s="195">
        <v>21.43</v>
      </c>
      <c r="BI57" s="195">
        <v>12.73</v>
      </c>
      <c r="BJ57" s="196">
        <v>20.39</v>
      </c>
      <c r="BK57" s="196">
        <v>20.59</v>
      </c>
      <c r="BL57" s="196">
        <v>20.59</v>
      </c>
      <c r="BM57" s="195">
        <v>23.35</v>
      </c>
      <c r="BN57" s="195">
        <v>27.72</v>
      </c>
      <c r="BO57" s="195">
        <v>65.02</v>
      </c>
      <c r="BP57" s="197">
        <v>116.09</v>
      </c>
      <c r="BQ57" s="195">
        <v>33.14</v>
      </c>
      <c r="BR57" s="195">
        <v>17.14</v>
      </c>
      <c r="BS57" s="195">
        <v>13.74</v>
      </c>
      <c r="BT57" s="196">
        <v>14.68</v>
      </c>
      <c r="BU57" s="195">
        <v>22.5</v>
      </c>
      <c r="BV57" s="195">
        <v>17.7</v>
      </c>
      <c r="BW57" s="196">
        <v>21.93</v>
      </c>
      <c r="BX57" s="196">
        <v>20.59</v>
      </c>
      <c r="BY57" s="196">
        <v>20.59</v>
      </c>
      <c r="BZ57" s="195">
        <v>21.21</v>
      </c>
      <c r="CA57" s="195">
        <v>10.5</v>
      </c>
      <c r="CB57" s="195">
        <v>73.849999999999994</v>
      </c>
      <c r="CC57" s="197">
        <v>105.56</v>
      </c>
      <c r="CD57" s="195">
        <v>29.29</v>
      </c>
      <c r="CE57" s="195">
        <v>16.27</v>
      </c>
      <c r="CF57" s="195">
        <v>12.36</v>
      </c>
      <c r="CG57" s="196">
        <v>15.4</v>
      </c>
      <c r="CH57" s="195">
        <v>21.43</v>
      </c>
      <c r="CI57" s="195">
        <v>13.86</v>
      </c>
      <c r="CJ57" s="196">
        <v>20.52</v>
      </c>
      <c r="CK57" s="196">
        <v>20.59</v>
      </c>
      <c r="CL57" s="196">
        <v>20.59</v>
      </c>
      <c r="CM57" s="195">
        <v>22.82</v>
      </c>
      <c r="CN57" s="195">
        <v>23.46</v>
      </c>
      <c r="CO57" s="195">
        <v>67.2</v>
      </c>
      <c r="CP57" s="197">
        <v>113.49</v>
      </c>
    </row>
    <row r="58" spans="1:94" ht="13.5" customHeight="1">
      <c r="A58" s="23"/>
      <c r="B58" s="198">
        <v>2039</v>
      </c>
      <c r="D58" s="194">
        <v>28.94</v>
      </c>
      <c r="E58" s="195">
        <v>16.309999999999999</v>
      </c>
      <c r="F58" s="195">
        <v>11.25</v>
      </c>
      <c r="G58" s="196">
        <v>16.39</v>
      </c>
      <c r="H58" s="195">
        <v>21.74</v>
      </c>
      <c r="I58" s="195">
        <v>12.91</v>
      </c>
      <c r="J58" s="196">
        <v>20.68</v>
      </c>
      <c r="K58" s="196">
        <v>20.89</v>
      </c>
      <c r="L58" s="196">
        <v>20.89</v>
      </c>
      <c r="M58" s="195">
        <v>23.01</v>
      </c>
      <c r="N58" s="195">
        <v>32.4</v>
      </c>
      <c r="O58" s="195">
        <v>64.31</v>
      </c>
      <c r="P58" s="197">
        <v>119.72</v>
      </c>
      <c r="Q58" s="194">
        <v>29.66</v>
      </c>
      <c r="R58" s="195">
        <v>16.579999999999998</v>
      </c>
      <c r="S58" s="195">
        <v>11.99</v>
      </c>
      <c r="T58" s="196">
        <v>15.44</v>
      </c>
      <c r="U58" s="195">
        <v>21.74</v>
      </c>
      <c r="V58" s="195">
        <v>12.91</v>
      </c>
      <c r="W58" s="196">
        <v>20.68</v>
      </c>
      <c r="X58" s="196">
        <v>20.89</v>
      </c>
      <c r="Y58" s="196">
        <v>20.89</v>
      </c>
      <c r="Z58" s="195">
        <v>23.49</v>
      </c>
      <c r="AA58" s="195">
        <v>11.35</v>
      </c>
      <c r="AB58" s="195">
        <v>73.7</v>
      </c>
      <c r="AC58" s="197">
        <v>108.54</v>
      </c>
      <c r="AD58" s="194">
        <v>29.36</v>
      </c>
      <c r="AE58" s="195">
        <v>16.37</v>
      </c>
      <c r="AF58" s="195">
        <v>11.78</v>
      </c>
      <c r="AG58" s="196">
        <v>15.75</v>
      </c>
      <c r="AH58" s="195">
        <v>21.74</v>
      </c>
      <c r="AI58" s="195">
        <v>12.91</v>
      </c>
      <c r="AJ58" s="196">
        <v>20.68</v>
      </c>
      <c r="AK58" s="196">
        <v>20.89</v>
      </c>
      <c r="AL58" s="196">
        <v>20.89</v>
      </c>
      <c r="AM58" s="195">
        <v>24.61</v>
      </c>
      <c r="AN58" s="195">
        <v>45.56</v>
      </c>
      <c r="AO58" s="195">
        <v>57.58</v>
      </c>
      <c r="AP58" s="197">
        <v>127.75</v>
      </c>
      <c r="AQ58" s="194">
        <v>29.92</v>
      </c>
      <c r="AR58" s="195">
        <v>16.61</v>
      </c>
      <c r="AS58" s="195">
        <v>11.74</v>
      </c>
      <c r="AT58" s="196">
        <v>15.96</v>
      </c>
      <c r="AU58" s="195">
        <v>21.74</v>
      </c>
      <c r="AV58" s="195">
        <v>12.91</v>
      </c>
      <c r="AW58" s="196">
        <v>20.68</v>
      </c>
      <c r="AX58" s="196">
        <v>20.89</v>
      </c>
      <c r="AY58" s="196">
        <v>20.89</v>
      </c>
      <c r="AZ58" s="195">
        <v>24.59</v>
      </c>
      <c r="BA58" s="195">
        <v>62.28</v>
      </c>
      <c r="BB58" s="195">
        <v>49.95</v>
      </c>
      <c r="BC58" s="197">
        <v>136.83000000000001</v>
      </c>
      <c r="BD58" s="195">
        <v>29.41</v>
      </c>
      <c r="BE58" s="195">
        <v>16.420000000000002</v>
      </c>
      <c r="BF58" s="195">
        <v>11.77</v>
      </c>
      <c r="BG58" s="196">
        <v>15.84</v>
      </c>
      <c r="BH58" s="195">
        <v>21.74</v>
      </c>
      <c r="BI58" s="195">
        <v>12.91</v>
      </c>
      <c r="BJ58" s="196">
        <v>20.68</v>
      </c>
      <c r="BK58" s="196">
        <v>20.89</v>
      </c>
      <c r="BL58" s="196">
        <v>20.89</v>
      </c>
      <c r="BM58" s="195">
        <v>23.69</v>
      </c>
      <c r="BN58" s="195">
        <v>28.12</v>
      </c>
      <c r="BO58" s="195">
        <v>65.959999999999994</v>
      </c>
      <c r="BP58" s="197">
        <v>117.76</v>
      </c>
      <c r="BQ58" s="195">
        <v>33.619999999999997</v>
      </c>
      <c r="BR58" s="195">
        <v>17.39</v>
      </c>
      <c r="BS58" s="195">
        <v>13.94</v>
      </c>
      <c r="BT58" s="196">
        <v>14.89</v>
      </c>
      <c r="BU58" s="195">
        <v>22.83</v>
      </c>
      <c r="BV58" s="195">
        <v>17.95</v>
      </c>
      <c r="BW58" s="196">
        <v>22.24</v>
      </c>
      <c r="BX58" s="196">
        <v>20.89</v>
      </c>
      <c r="BY58" s="196">
        <v>20.89</v>
      </c>
      <c r="BZ58" s="195">
        <v>21.51</v>
      </c>
      <c r="CA58" s="195">
        <v>10.65</v>
      </c>
      <c r="CB58" s="195">
        <v>74.91</v>
      </c>
      <c r="CC58" s="197">
        <v>107.08</v>
      </c>
      <c r="CD58" s="195">
        <v>29.71</v>
      </c>
      <c r="CE58" s="195">
        <v>16.5</v>
      </c>
      <c r="CF58" s="195">
        <v>12.54</v>
      </c>
      <c r="CG58" s="196">
        <v>15.62</v>
      </c>
      <c r="CH58" s="195">
        <v>21.74</v>
      </c>
      <c r="CI58" s="195">
        <v>14.06</v>
      </c>
      <c r="CJ58" s="196">
        <v>20.82</v>
      </c>
      <c r="CK58" s="196">
        <v>20.89</v>
      </c>
      <c r="CL58" s="196">
        <v>20.89</v>
      </c>
      <c r="CM58" s="195">
        <v>23.15</v>
      </c>
      <c r="CN58" s="195">
        <v>23.8</v>
      </c>
      <c r="CO58" s="195">
        <v>68.17</v>
      </c>
      <c r="CP58" s="197">
        <v>115.12</v>
      </c>
    </row>
    <row r="59" spans="1:94" ht="13.5" customHeight="1">
      <c r="A59" s="23"/>
      <c r="B59" s="198">
        <v>2040</v>
      </c>
      <c r="D59" s="194">
        <v>29.35</v>
      </c>
      <c r="E59" s="195">
        <v>16.54</v>
      </c>
      <c r="F59" s="195">
        <v>11.41</v>
      </c>
      <c r="G59" s="196">
        <v>16.63</v>
      </c>
      <c r="H59" s="195">
        <v>22.05</v>
      </c>
      <c r="I59" s="195">
        <v>13.09</v>
      </c>
      <c r="J59" s="196">
        <v>20.97</v>
      </c>
      <c r="K59" s="196">
        <v>21.19</v>
      </c>
      <c r="L59" s="196">
        <v>21.19</v>
      </c>
      <c r="M59" s="195">
        <v>23.34</v>
      </c>
      <c r="N59" s="195">
        <v>32.86</v>
      </c>
      <c r="O59" s="195">
        <v>65.22</v>
      </c>
      <c r="P59" s="197">
        <v>121.41</v>
      </c>
      <c r="Q59" s="194">
        <v>30.08</v>
      </c>
      <c r="R59" s="195">
        <v>16.809999999999999</v>
      </c>
      <c r="S59" s="195">
        <v>12.16</v>
      </c>
      <c r="T59" s="196">
        <v>15.66</v>
      </c>
      <c r="U59" s="195">
        <v>22.05</v>
      </c>
      <c r="V59" s="195">
        <v>13.09</v>
      </c>
      <c r="W59" s="196">
        <v>20.97</v>
      </c>
      <c r="X59" s="196">
        <v>21.19</v>
      </c>
      <c r="Y59" s="196">
        <v>21.19</v>
      </c>
      <c r="Z59" s="195">
        <v>23.83</v>
      </c>
      <c r="AA59" s="195">
        <v>11.51</v>
      </c>
      <c r="AB59" s="195">
        <v>74.739999999999995</v>
      </c>
      <c r="AC59" s="197">
        <v>110.08</v>
      </c>
      <c r="AD59" s="194">
        <v>29.78</v>
      </c>
      <c r="AE59" s="195">
        <v>16.600000000000001</v>
      </c>
      <c r="AF59" s="195">
        <v>11.95</v>
      </c>
      <c r="AG59" s="196">
        <v>15.97</v>
      </c>
      <c r="AH59" s="195">
        <v>22.05</v>
      </c>
      <c r="AI59" s="195">
        <v>13.09</v>
      </c>
      <c r="AJ59" s="196">
        <v>20.97</v>
      </c>
      <c r="AK59" s="196">
        <v>21.19</v>
      </c>
      <c r="AL59" s="196">
        <v>21.19</v>
      </c>
      <c r="AM59" s="195">
        <v>24.96</v>
      </c>
      <c r="AN59" s="195">
        <v>46.21</v>
      </c>
      <c r="AO59" s="195">
        <v>58.39</v>
      </c>
      <c r="AP59" s="197">
        <v>129.56</v>
      </c>
      <c r="AQ59" s="194">
        <v>30.34</v>
      </c>
      <c r="AR59" s="195">
        <v>16.84</v>
      </c>
      <c r="AS59" s="195">
        <v>11.91</v>
      </c>
      <c r="AT59" s="196">
        <v>16.18</v>
      </c>
      <c r="AU59" s="195">
        <v>22.05</v>
      </c>
      <c r="AV59" s="195">
        <v>13.09</v>
      </c>
      <c r="AW59" s="196">
        <v>20.97</v>
      </c>
      <c r="AX59" s="196">
        <v>21.19</v>
      </c>
      <c r="AY59" s="196">
        <v>21.19</v>
      </c>
      <c r="AZ59" s="195">
        <v>24.94</v>
      </c>
      <c r="BA59" s="195">
        <v>63.16</v>
      </c>
      <c r="BB59" s="195">
        <v>50.66</v>
      </c>
      <c r="BC59" s="197">
        <v>138.77000000000001</v>
      </c>
      <c r="BD59" s="195">
        <v>29.83</v>
      </c>
      <c r="BE59" s="195">
        <v>16.66</v>
      </c>
      <c r="BF59" s="195">
        <v>11.94</v>
      </c>
      <c r="BG59" s="196">
        <v>16.07</v>
      </c>
      <c r="BH59" s="195">
        <v>22.05</v>
      </c>
      <c r="BI59" s="195">
        <v>13.09</v>
      </c>
      <c r="BJ59" s="196">
        <v>20.97</v>
      </c>
      <c r="BK59" s="196">
        <v>21.19</v>
      </c>
      <c r="BL59" s="196">
        <v>21.19</v>
      </c>
      <c r="BM59" s="195">
        <v>24.02</v>
      </c>
      <c r="BN59" s="195">
        <v>28.51</v>
      </c>
      <c r="BO59" s="195">
        <v>66.89</v>
      </c>
      <c r="BP59" s="197">
        <v>119.43</v>
      </c>
      <c r="BQ59" s="195">
        <v>34.090000000000003</v>
      </c>
      <c r="BR59" s="195">
        <v>17.63</v>
      </c>
      <c r="BS59" s="195">
        <v>14.14</v>
      </c>
      <c r="BT59" s="196">
        <v>15.1</v>
      </c>
      <c r="BU59" s="195">
        <v>23.15</v>
      </c>
      <c r="BV59" s="195">
        <v>18.21</v>
      </c>
      <c r="BW59" s="196">
        <v>22.56</v>
      </c>
      <c r="BX59" s="196">
        <v>21.19</v>
      </c>
      <c r="BY59" s="196">
        <v>21.19</v>
      </c>
      <c r="BZ59" s="195">
        <v>21.82</v>
      </c>
      <c r="CA59" s="195">
        <v>10.8</v>
      </c>
      <c r="CB59" s="195">
        <v>75.97</v>
      </c>
      <c r="CC59" s="197">
        <v>108.6</v>
      </c>
      <c r="CD59" s="195">
        <v>30.13</v>
      </c>
      <c r="CE59" s="195">
        <v>16.73</v>
      </c>
      <c r="CF59" s="195">
        <v>12.71</v>
      </c>
      <c r="CG59" s="196">
        <v>15.84</v>
      </c>
      <c r="CH59" s="195">
        <v>22.05</v>
      </c>
      <c r="CI59" s="195">
        <v>14.26</v>
      </c>
      <c r="CJ59" s="196">
        <v>21.11</v>
      </c>
      <c r="CK59" s="196">
        <v>21.19</v>
      </c>
      <c r="CL59" s="196">
        <v>21.19</v>
      </c>
      <c r="CM59" s="195">
        <v>23.48</v>
      </c>
      <c r="CN59" s="195">
        <v>24.14</v>
      </c>
      <c r="CO59" s="195">
        <v>69.13</v>
      </c>
      <c r="CP59" s="197">
        <v>116.75</v>
      </c>
    </row>
    <row r="60" spans="1:94" ht="13.5" customHeight="1">
      <c r="A60" s="23"/>
      <c r="B60" s="198">
        <v>2041</v>
      </c>
      <c r="D60" s="194">
        <v>29.76</v>
      </c>
      <c r="E60" s="195">
        <v>16.77</v>
      </c>
      <c r="F60" s="195">
        <v>11.57</v>
      </c>
      <c r="G60" s="196">
        <v>16.86</v>
      </c>
      <c r="H60" s="195">
        <v>22.36</v>
      </c>
      <c r="I60" s="195">
        <v>13.28</v>
      </c>
      <c r="J60" s="196">
        <v>21.27</v>
      </c>
      <c r="K60" s="196">
        <v>21.48</v>
      </c>
      <c r="L60" s="196">
        <v>21.48</v>
      </c>
      <c r="M60" s="195">
        <v>23.66</v>
      </c>
      <c r="N60" s="195">
        <v>33.31</v>
      </c>
      <c r="O60" s="195">
        <v>66.13</v>
      </c>
      <c r="P60" s="197">
        <v>123.11</v>
      </c>
      <c r="Q60" s="194">
        <v>30.5</v>
      </c>
      <c r="R60" s="195">
        <v>17.05</v>
      </c>
      <c r="S60" s="195">
        <v>12.33</v>
      </c>
      <c r="T60" s="196">
        <v>15.88</v>
      </c>
      <c r="U60" s="195">
        <v>22.36</v>
      </c>
      <c r="V60" s="195">
        <v>13.28</v>
      </c>
      <c r="W60" s="196">
        <v>21.27</v>
      </c>
      <c r="X60" s="196">
        <v>21.48</v>
      </c>
      <c r="Y60" s="196">
        <v>21.48</v>
      </c>
      <c r="Z60" s="195">
        <v>24.16</v>
      </c>
      <c r="AA60" s="195">
        <v>11.68</v>
      </c>
      <c r="AB60" s="195">
        <v>75.78</v>
      </c>
      <c r="AC60" s="197">
        <v>111.62</v>
      </c>
      <c r="AD60" s="194">
        <v>30.19</v>
      </c>
      <c r="AE60" s="195">
        <v>16.829999999999998</v>
      </c>
      <c r="AF60" s="195">
        <v>12.12</v>
      </c>
      <c r="AG60" s="196">
        <v>16.2</v>
      </c>
      <c r="AH60" s="195">
        <v>22.36</v>
      </c>
      <c r="AI60" s="195">
        <v>13.28</v>
      </c>
      <c r="AJ60" s="196">
        <v>21.27</v>
      </c>
      <c r="AK60" s="196">
        <v>21.48</v>
      </c>
      <c r="AL60" s="196">
        <v>21.48</v>
      </c>
      <c r="AM60" s="195">
        <v>25.31</v>
      </c>
      <c r="AN60" s="195">
        <v>46.85</v>
      </c>
      <c r="AO60" s="195">
        <v>59.21</v>
      </c>
      <c r="AP60" s="197">
        <v>131.37</v>
      </c>
      <c r="AQ60" s="194">
        <v>30.76</v>
      </c>
      <c r="AR60" s="195">
        <v>17.079999999999998</v>
      </c>
      <c r="AS60" s="195">
        <v>12.08</v>
      </c>
      <c r="AT60" s="196">
        <v>16.41</v>
      </c>
      <c r="AU60" s="195">
        <v>22.36</v>
      </c>
      <c r="AV60" s="195">
        <v>13.28</v>
      </c>
      <c r="AW60" s="196">
        <v>21.27</v>
      </c>
      <c r="AX60" s="196">
        <v>21.48</v>
      </c>
      <c r="AY60" s="196">
        <v>21.48</v>
      </c>
      <c r="AZ60" s="195">
        <v>25.29</v>
      </c>
      <c r="BA60" s="195">
        <v>64.05</v>
      </c>
      <c r="BB60" s="195">
        <v>51.37</v>
      </c>
      <c r="BC60" s="197">
        <v>140.69999999999999</v>
      </c>
      <c r="BD60" s="195">
        <v>30.25</v>
      </c>
      <c r="BE60" s="195">
        <v>16.89</v>
      </c>
      <c r="BF60" s="195">
        <v>12.11</v>
      </c>
      <c r="BG60" s="196">
        <v>16.29</v>
      </c>
      <c r="BH60" s="195">
        <v>22.36</v>
      </c>
      <c r="BI60" s="195">
        <v>13.28</v>
      </c>
      <c r="BJ60" s="196">
        <v>21.27</v>
      </c>
      <c r="BK60" s="196">
        <v>21.48</v>
      </c>
      <c r="BL60" s="196">
        <v>21.48</v>
      </c>
      <c r="BM60" s="195">
        <v>24.36</v>
      </c>
      <c r="BN60" s="195">
        <v>28.91</v>
      </c>
      <c r="BO60" s="195">
        <v>67.83</v>
      </c>
      <c r="BP60" s="197">
        <v>121.1</v>
      </c>
      <c r="BQ60" s="195">
        <v>34.57</v>
      </c>
      <c r="BR60" s="195">
        <v>17.88</v>
      </c>
      <c r="BS60" s="195">
        <v>14.33</v>
      </c>
      <c r="BT60" s="196">
        <v>15.32</v>
      </c>
      <c r="BU60" s="195">
        <v>23.47</v>
      </c>
      <c r="BV60" s="195">
        <v>18.46</v>
      </c>
      <c r="BW60" s="196">
        <v>22.87</v>
      </c>
      <c r="BX60" s="196">
        <v>21.48</v>
      </c>
      <c r="BY60" s="196">
        <v>21.48</v>
      </c>
      <c r="BZ60" s="195">
        <v>22.12</v>
      </c>
      <c r="CA60" s="195">
        <v>10.95</v>
      </c>
      <c r="CB60" s="195">
        <v>77.040000000000006</v>
      </c>
      <c r="CC60" s="197">
        <v>110.11</v>
      </c>
      <c r="CD60" s="195">
        <v>30.55</v>
      </c>
      <c r="CE60" s="195">
        <v>16.97</v>
      </c>
      <c r="CF60" s="195">
        <v>12.89</v>
      </c>
      <c r="CG60" s="196">
        <v>16.059999999999999</v>
      </c>
      <c r="CH60" s="195">
        <v>22.36</v>
      </c>
      <c r="CI60" s="195">
        <v>14.46</v>
      </c>
      <c r="CJ60" s="196">
        <v>21.41</v>
      </c>
      <c r="CK60" s="196">
        <v>21.48</v>
      </c>
      <c r="CL60" s="196">
        <v>21.48</v>
      </c>
      <c r="CM60" s="195">
        <v>23.81</v>
      </c>
      <c r="CN60" s="195">
        <v>24.48</v>
      </c>
      <c r="CO60" s="195">
        <v>70.099999999999994</v>
      </c>
      <c r="CP60" s="197">
        <v>118.39</v>
      </c>
    </row>
    <row r="61" spans="1:94" ht="13.5" customHeight="1">
      <c r="A61" s="23"/>
      <c r="B61" s="198">
        <v>2042</v>
      </c>
      <c r="D61" s="194">
        <v>30.17</v>
      </c>
      <c r="E61" s="195">
        <v>17</v>
      </c>
      <c r="F61" s="195">
        <v>11.73</v>
      </c>
      <c r="G61" s="196">
        <v>17.09</v>
      </c>
      <c r="H61" s="195">
        <v>22.66</v>
      </c>
      <c r="I61" s="195">
        <v>13.46</v>
      </c>
      <c r="J61" s="196">
        <v>21.56</v>
      </c>
      <c r="K61" s="196">
        <v>21.78</v>
      </c>
      <c r="L61" s="196">
        <v>21.78</v>
      </c>
      <c r="M61" s="195">
        <v>23.99</v>
      </c>
      <c r="N61" s="195">
        <v>33.770000000000003</v>
      </c>
      <c r="O61" s="195">
        <v>67.040000000000006</v>
      </c>
      <c r="P61" s="197">
        <v>124.8</v>
      </c>
      <c r="Q61" s="194">
        <v>30.92</v>
      </c>
      <c r="R61" s="195">
        <v>17.28</v>
      </c>
      <c r="S61" s="195">
        <v>12.5</v>
      </c>
      <c r="T61" s="196">
        <v>16.100000000000001</v>
      </c>
      <c r="U61" s="195">
        <v>22.66</v>
      </c>
      <c r="V61" s="195">
        <v>13.46</v>
      </c>
      <c r="W61" s="196">
        <v>21.56</v>
      </c>
      <c r="X61" s="196">
        <v>21.78</v>
      </c>
      <c r="Y61" s="196">
        <v>21.78</v>
      </c>
      <c r="Z61" s="195">
        <v>24.49</v>
      </c>
      <c r="AA61" s="195">
        <v>11.84</v>
      </c>
      <c r="AB61" s="195">
        <v>76.83</v>
      </c>
      <c r="AC61" s="197">
        <v>113.15</v>
      </c>
      <c r="AD61" s="194">
        <v>30.61</v>
      </c>
      <c r="AE61" s="195">
        <v>17.059999999999999</v>
      </c>
      <c r="AF61" s="195">
        <v>12.29</v>
      </c>
      <c r="AG61" s="196">
        <v>16.420000000000002</v>
      </c>
      <c r="AH61" s="195">
        <v>22.66</v>
      </c>
      <c r="AI61" s="195">
        <v>13.46</v>
      </c>
      <c r="AJ61" s="196">
        <v>21.56</v>
      </c>
      <c r="AK61" s="196">
        <v>21.78</v>
      </c>
      <c r="AL61" s="196">
        <v>21.78</v>
      </c>
      <c r="AM61" s="195">
        <v>25.66</v>
      </c>
      <c r="AN61" s="195">
        <v>47.5</v>
      </c>
      <c r="AO61" s="195">
        <v>60.02</v>
      </c>
      <c r="AP61" s="197">
        <v>133.18</v>
      </c>
      <c r="AQ61" s="194">
        <v>31.19</v>
      </c>
      <c r="AR61" s="195">
        <v>17.309999999999999</v>
      </c>
      <c r="AS61" s="195">
        <v>12.24</v>
      </c>
      <c r="AT61" s="196">
        <v>16.64</v>
      </c>
      <c r="AU61" s="195">
        <v>22.66</v>
      </c>
      <c r="AV61" s="195">
        <v>13.46</v>
      </c>
      <c r="AW61" s="196">
        <v>21.56</v>
      </c>
      <c r="AX61" s="196">
        <v>21.78</v>
      </c>
      <c r="AY61" s="196">
        <v>21.78</v>
      </c>
      <c r="AZ61" s="195">
        <v>25.64</v>
      </c>
      <c r="BA61" s="195">
        <v>64.930000000000007</v>
      </c>
      <c r="BB61" s="195">
        <v>52.07</v>
      </c>
      <c r="BC61" s="197">
        <v>142.63999999999999</v>
      </c>
      <c r="BD61" s="195">
        <v>30.66</v>
      </c>
      <c r="BE61" s="195">
        <v>17.12</v>
      </c>
      <c r="BF61" s="195">
        <v>12.27</v>
      </c>
      <c r="BG61" s="196">
        <v>16.52</v>
      </c>
      <c r="BH61" s="195">
        <v>22.66</v>
      </c>
      <c r="BI61" s="195">
        <v>13.46</v>
      </c>
      <c r="BJ61" s="196">
        <v>21.56</v>
      </c>
      <c r="BK61" s="196">
        <v>21.78</v>
      </c>
      <c r="BL61" s="196">
        <v>21.78</v>
      </c>
      <c r="BM61" s="195">
        <v>24.69</v>
      </c>
      <c r="BN61" s="195">
        <v>29.31</v>
      </c>
      <c r="BO61" s="195">
        <v>68.760000000000005</v>
      </c>
      <c r="BP61" s="197">
        <v>122.76</v>
      </c>
      <c r="BQ61" s="195">
        <v>35.04</v>
      </c>
      <c r="BR61" s="195">
        <v>18.13</v>
      </c>
      <c r="BS61" s="195">
        <v>14.53</v>
      </c>
      <c r="BT61" s="196">
        <v>15.53</v>
      </c>
      <c r="BU61" s="195">
        <v>23.8</v>
      </c>
      <c r="BV61" s="195">
        <v>18.72</v>
      </c>
      <c r="BW61" s="196">
        <v>23.19</v>
      </c>
      <c r="BX61" s="196">
        <v>21.78</v>
      </c>
      <c r="BY61" s="196">
        <v>21.78</v>
      </c>
      <c r="BZ61" s="195">
        <v>22.43</v>
      </c>
      <c r="CA61" s="195">
        <v>11.1</v>
      </c>
      <c r="CB61" s="195">
        <v>78.099999999999994</v>
      </c>
      <c r="CC61" s="197">
        <v>111.63</v>
      </c>
      <c r="CD61" s="195">
        <v>30.97</v>
      </c>
      <c r="CE61" s="195">
        <v>17.2</v>
      </c>
      <c r="CF61" s="195">
        <v>13.07</v>
      </c>
      <c r="CG61" s="196">
        <v>16.28</v>
      </c>
      <c r="CH61" s="195">
        <v>22.66</v>
      </c>
      <c r="CI61" s="195">
        <v>14.66</v>
      </c>
      <c r="CJ61" s="196">
        <v>21.7</v>
      </c>
      <c r="CK61" s="196">
        <v>21.78</v>
      </c>
      <c r="CL61" s="196">
        <v>21.78</v>
      </c>
      <c r="CM61" s="195">
        <v>24.13</v>
      </c>
      <c r="CN61" s="195">
        <v>24.81</v>
      </c>
      <c r="CO61" s="195">
        <v>71.06</v>
      </c>
      <c r="CP61" s="197">
        <v>120.01</v>
      </c>
    </row>
    <row r="62" spans="1:94" ht="13.5" customHeight="1">
      <c r="A62" s="23"/>
      <c r="B62" s="198">
        <v>2043</v>
      </c>
      <c r="D62" s="194">
        <v>30.58</v>
      </c>
      <c r="E62" s="195">
        <v>17.23</v>
      </c>
      <c r="F62" s="195">
        <v>11.89</v>
      </c>
      <c r="G62" s="196">
        <v>17.32</v>
      </c>
      <c r="H62" s="195">
        <v>22.97</v>
      </c>
      <c r="I62" s="195">
        <v>13.64</v>
      </c>
      <c r="J62" s="196">
        <v>21.85</v>
      </c>
      <c r="K62" s="196">
        <v>22.07</v>
      </c>
      <c r="L62" s="196">
        <v>22.07</v>
      </c>
      <c r="M62" s="195">
        <v>24.31</v>
      </c>
      <c r="N62" s="195">
        <v>34.229999999999997</v>
      </c>
      <c r="O62" s="195">
        <v>67.95</v>
      </c>
      <c r="P62" s="197">
        <v>126.49</v>
      </c>
      <c r="Q62" s="194">
        <v>31.34</v>
      </c>
      <c r="R62" s="195">
        <v>17.510000000000002</v>
      </c>
      <c r="S62" s="195">
        <v>12.67</v>
      </c>
      <c r="T62" s="196">
        <v>16.309999999999999</v>
      </c>
      <c r="U62" s="195">
        <v>22.97</v>
      </c>
      <c r="V62" s="195">
        <v>13.64</v>
      </c>
      <c r="W62" s="196">
        <v>21.85</v>
      </c>
      <c r="X62" s="196">
        <v>22.07</v>
      </c>
      <c r="Y62" s="196">
        <v>22.07</v>
      </c>
      <c r="Z62" s="195">
        <v>24.82</v>
      </c>
      <c r="AA62" s="195">
        <v>12</v>
      </c>
      <c r="AB62" s="195">
        <v>77.86</v>
      </c>
      <c r="AC62" s="197">
        <v>114.68</v>
      </c>
      <c r="AD62" s="194">
        <v>31.02</v>
      </c>
      <c r="AE62" s="195">
        <v>17.29</v>
      </c>
      <c r="AF62" s="195">
        <v>12.45</v>
      </c>
      <c r="AG62" s="196">
        <v>16.64</v>
      </c>
      <c r="AH62" s="195">
        <v>22.97</v>
      </c>
      <c r="AI62" s="195">
        <v>13.64</v>
      </c>
      <c r="AJ62" s="196">
        <v>21.85</v>
      </c>
      <c r="AK62" s="196">
        <v>22.07</v>
      </c>
      <c r="AL62" s="196">
        <v>22.07</v>
      </c>
      <c r="AM62" s="195">
        <v>26</v>
      </c>
      <c r="AN62" s="195">
        <v>48.14</v>
      </c>
      <c r="AO62" s="195">
        <v>60.83</v>
      </c>
      <c r="AP62" s="197">
        <v>134.97</v>
      </c>
      <c r="AQ62" s="194">
        <v>31.61</v>
      </c>
      <c r="AR62" s="195">
        <v>17.55</v>
      </c>
      <c r="AS62" s="195">
        <v>12.41</v>
      </c>
      <c r="AT62" s="196">
        <v>16.86</v>
      </c>
      <c r="AU62" s="195">
        <v>22.97</v>
      </c>
      <c r="AV62" s="195">
        <v>13.64</v>
      </c>
      <c r="AW62" s="196">
        <v>21.85</v>
      </c>
      <c r="AX62" s="196">
        <v>22.07</v>
      </c>
      <c r="AY62" s="196">
        <v>22.07</v>
      </c>
      <c r="AZ62" s="195">
        <v>25.98</v>
      </c>
      <c r="BA62" s="195">
        <v>65.8</v>
      </c>
      <c r="BB62" s="195">
        <v>52.78</v>
      </c>
      <c r="BC62" s="197">
        <v>144.57</v>
      </c>
      <c r="BD62" s="195">
        <v>31.08</v>
      </c>
      <c r="BE62" s="195">
        <v>17.350000000000001</v>
      </c>
      <c r="BF62" s="195">
        <v>12.44</v>
      </c>
      <c r="BG62" s="196">
        <v>16.739999999999998</v>
      </c>
      <c r="BH62" s="195">
        <v>22.97</v>
      </c>
      <c r="BI62" s="195">
        <v>13.64</v>
      </c>
      <c r="BJ62" s="196">
        <v>21.85</v>
      </c>
      <c r="BK62" s="196">
        <v>22.07</v>
      </c>
      <c r="BL62" s="196">
        <v>22.07</v>
      </c>
      <c r="BM62" s="195">
        <v>25.03</v>
      </c>
      <c r="BN62" s="195">
        <v>29.71</v>
      </c>
      <c r="BO62" s="195">
        <v>69.69</v>
      </c>
      <c r="BP62" s="197">
        <v>124.42</v>
      </c>
      <c r="BQ62" s="195">
        <v>35.520000000000003</v>
      </c>
      <c r="BR62" s="195">
        <v>18.37</v>
      </c>
      <c r="BS62" s="195">
        <v>14.73</v>
      </c>
      <c r="BT62" s="196">
        <v>15.74</v>
      </c>
      <c r="BU62" s="195">
        <v>24.12</v>
      </c>
      <c r="BV62" s="195">
        <v>18.97</v>
      </c>
      <c r="BW62" s="196">
        <v>23.5</v>
      </c>
      <c r="BX62" s="196">
        <v>22.07</v>
      </c>
      <c r="BY62" s="196">
        <v>22.07</v>
      </c>
      <c r="BZ62" s="195">
        <v>22.73</v>
      </c>
      <c r="CA62" s="195">
        <v>11.25</v>
      </c>
      <c r="CB62" s="195">
        <v>79.150000000000006</v>
      </c>
      <c r="CC62" s="197">
        <v>113.14</v>
      </c>
      <c r="CD62" s="195">
        <v>31.39</v>
      </c>
      <c r="CE62" s="195">
        <v>17.43</v>
      </c>
      <c r="CF62" s="195">
        <v>13.25</v>
      </c>
      <c r="CG62" s="196">
        <v>16.5</v>
      </c>
      <c r="CH62" s="195">
        <v>22.97</v>
      </c>
      <c r="CI62" s="195">
        <v>14.86</v>
      </c>
      <c r="CJ62" s="196">
        <v>22</v>
      </c>
      <c r="CK62" s="196">
        <v>22.07</v>
      </c>
      <c r="CL62" s="196">
        <v>22.07</v>
      </c>
      <c r="CM62" s="195">
        <v>24.46</v>
      </c>
      <c r="CN62" s="195">
        <v>25.15</v>
      </c>
      <c r="CO62" s="195">
        <v>72.02</v>
      </c>
      <c r="CP62" s="197">
        <v>121.63</v>
      </c>
    </row>
    <row r="63" spans="1:94" ht="13.5" customHeight="1">
      <c r="A63" s="23"/>
      <c r="B63" s="198">
        <v>2044</v>
      </c>
      <c r="D63" s="194">
        <v>30.99</v>
      </c>
      <c r="E63" s="195">
        <v>17.46</v>
      </c>
      <c r="F63" s="195">
        <v>12.05</v>
      </c>
      <c r="G63" s="196">
        <v>17.55</v>
      </c>
      <c r="H63" s="195">
        <v>23.28</v>
      </c>
      <c r="I63" s="195">
        <v>13.82</v>
      </c>
      <c r="J63" s="196">
        <v>22.14</v>
      </c>
      <c r="K63" s="196">
        <v>22.37</v>
      </c>
      <c r="L63" s="196">
        <v>22.37</v>
      </c>
      <c r="M63" s="195">
        <v>24.64</v>
      </c>
      <c r="N63" s="195">
        <v>34.68</v>
      </c>
      <c r="O63" s="195">
        <v>68.849999999999994</v>
      </c>
      <c r="P63" s="197">
        <v>128.16999999999999</v>
      </c>
      <c r="Q63" s="194">
        <v>31.75</v>
      </c>
      <c r="R63" s="195">
        <v>17.75</v>
      </c>
      <c r="S63" s="195">
        <v>12.83</v>
      </c>
      <c r="T63" s="196">
        <v>16.53</v>
      </c>
      <c r="U63" s="195">
        <v>23.28</v>
      </c>
      <c r="V63" s="195">
        <v>13.82</v>
      </c>
      <c r="W63" s="196">
        <v>22.14</v>
      </c>
      <c r="X63" s="196">
        <v>22.37</v>
      </c>
      <c r="Y63" s="196">
        <v>22.37</v>
      </c>
      <c r="Z63" s="195">
        <v>25.15</v>
      </c>
      <c r="AA63" s="195">
        <v>12.16</v>
      </c>
      <c r="AB63" s="195">
        <v>78.900000000000006</v>
      </c>
      <c r="AC63" s="197">
        <v>116.21</v>
      </c>
      <c r="AD63" s="194">
        <v>31.43</v>
      </c>
      <c r="AE63" s="195">
        <v>17.52</v>
      </c>
      <c r="AF63" s="195">
        <v>12.62</v>
      </c>
      <c r="AG63" s="196">
        <v>16.86</v>
      </c>
      <c r="AH63" s="195">
        <v>23.28</v>
      </c>
      <c r="AI63" s="195">
        <v>13.82</v>
      </c>
      <c r="AJ63" s="196">
        <v>22.14</v>
      </c>
      <c r="AK63" s="196">
        <v>22.37</v>
      </c>
      <c r="AL63" s="196">
        <v>22.37</v>
      </c>
      <c r="AM63" s="195">
        <v>26.35</v>
      </c>
      <c r="AN63" s="195">
        <v>48.78</v>
      </c>
      <c r="AO63" s="195">
        <v>61.64</v>
      </c>
      <c r="AP63" s="197">
        <v>136.77000000000001</v>
      </c>
      <c r="AQ63" s="194">
        <v>32.03</v>
      </c>
      <c r="AR63" s="195">
        <v>17.78</v>
      </c>
      <c r="AS63" s="195">
        <v>12.57</v>
      </c>
      <c r="AT63" s="196">
        <v>17.09</v>
      </c>
      <c r="AU63" s="195">
        <v>23.28</v>
      </c>
      <c r="AV63" s="195">
        <v>13.82</v>
      </c>
      <c r="AW63" s="196">
        <v>22.14</v>
      </c>
      <c r="AX63" s="196">
        <v>22.37</v>
      </c>
      <c r="AY63" s="196">
        <v>22.37</v>
      </c>
      <c r="AZ63" s="195">
        <v>26.33</v>
      </c>
      <c r="BA63" s="195">
        <v>66.680000000000007</v>
      </c>
      <c r="BB63" s="195">
        <v>53.48</v>
      </c>
      <c r="BC63" s="197">
        <v>146.49</v>
      </c>
      <c r="BD63" s="195">
        <v>31.49</v>
      </c>
      <c r="BE63" s="195">
        <v>17.579999999999998</v>
      </c>
      <c r="BF63" s="195">
        <v>12.6</v>
      </c>
      <c r="BG63" s="196">
        <v>16.96</v>
      </c>
      <c r="BH63" s="195">
        <v>23.28</v>
      </c>
      <c r="BI63" s="195">
        <v>13.82</v>
      </c>
      <c r="BJ63" s="196">
        <v>22.14</v>
      </c>
      <c r="BK63" s="196">
        <v>22.37</v>
      </c>
      <c r="BL63" s="196">
        <v>22.37</v>
      </c>
      <c r="BM63" s="195">
        <v>25.36</v>
      </c>
      <c r="BN63" s="195">
        <v>30.1</v>
      </c>
      <c r="BO63" s="195">
        <v>70.62</v>
      </c>
      <c r="BP63" s="197">
        <v>126.08</v>
      </c>
      <c r="BQ63" s="195">
        <v>35.99</v>
      </c>
      <c r="BR63" s="195">
        <v>18.62</v>
      </c>
      <c r="BS63" s="195">
        <v>14.92</v>
      </c>
      <c r="BT63" s="196">
        <v>15.95</v>
      </c>
      <c r="BU63" s="195">
        <v>24.44</v>
      </c>
      <c r="BV63" s="195">
        <v>19.22</v>
      </c>
      <c r="BW63" s="196">
        <v>23.81</v>
      </c>
      <c r="BX63" s="196">
        <v>22.37</v>
      </c>
      <c r="BY63" s="196">
        <v>22.37</v>
      </c>
      <c r="BZ63" s="195">
        <v>23.03</v>
      </c>
      <c r="CA63" s="195">
        <v>11.4</v>
      </c>
      <c r="CB63" s="195">
        <v>80.2</v>
      </c>
      <c r="CC63" s="197">
        <v>114.64</v>
      </c>
      <c r="CD63" s="195">
        <v>31.81</v>
      </c>
      <c r="CE63" s="195">
        <v>17.670000000000002</v>
      </c>
      <c r="CF63" s="195">
        <v>13.42</v>
      </c>
      <c r="CG63" s="196">
        <v>16.72</v>
      </c>
      <c r="CH63" s="195">
        <v>23.28</v>
      </c>
      <c r="CI63" s="195">
        <v>15.05</v>
      </c>
      <c r="CJ63" s="196">
        <v>22.29</v>
      </c>
      <c r="CK63" s="196">
        <v>22.37</v>
      </c>
      <c r="CL63" s="196">
        <v>22.37</v>
      </c>
      <c r="CM63" s="195">
        <v>24.79</v>
      </c>
      <c r="CN63" s="195">
        <v>25.48</v>
      </c>
      <c r="CO63" s="195">
        <v>72.98</v>
      </c>
      <c r="CP63" s="197">
        <v>123.25</v>
      </c>
    </row>
    <row r="64" spans="1:94" ht="13.5" customHeight="1">
      <c r="A64" s="23"/>
      <c r="B64" s="198">
        <v>2045</v>
      </c>
      <c r="D64" s="194">
        <v>31.4</v>
      </c>
      <c r="E64" s="195">
        <v>17.690000000000001</v>
      </c>
      <c r="F64" s="195">
        <v>12.21</v>
      </c>
      <c r="G64" s="196">
        <v>17.78</v>
      </c>
      <c r="H64" s="195">
        <v>23.58</v>
      </c>
      <c r="I64" s="195">
        <v>14.01</v>
      </c>
      <c r="J64" s="196">
        <v>22.43</v>
      </c>
      <c r="K64" s="196">
        <v>22.66</v>
      </c>
      <c r="L64" s="196">
        <v>22.66</v>
      </c>
      <c r="M64" s="195">
        <v>24.96</v>
      </c>
      <c r="N64" s="195">
        <v>35.14</v>
      </c>
      <c r="O64" s="195">
        <v>69.760000000000005</v>
      </c>
      <c r="P64" s="197">
        <v>129.87</v>
      </c>
      <c r="Q64" s="194">
        <v>32.17</v>
      </c>
      <c r="R64" s="195">
        <v>17.98</v>
      </c>
      <c r="S64" s="195">
        <v>13</v>
      </c>
      <c r="T64" s="196">
        <v>16.75</v>
      </c>
      <c r="U64" s="195">
        <v>23.58</v>
      </c>
      <c r="V64" s="195">
        <v>14.01</v>
      </c>
      <c r="W64" s="196">
        <v>22.43</v>
      </c>
      <c r="X64" s="196">
        <v>22.66</v>
      </c>
      <c r="Y64" s="196">
        <v>22.66</v>
      </c>
      <c r="Z64" s="195">
        <v>25.49</v>
      </c>
      <c r="AA64" s="195">
        <v>12.32</v>
      </c>
      <c r="AB64" s="195">
        <v>79.94</v>
      </c>
      <c r="AC64" s="197">
        <v>117.74</v>
      </c>
      <c r="AD64" s="194">
        <v>31.85</v>
      </c>
      <c r="AE64" s="195">
        <v>17.75</v>
      </c>
      <c r="AF64" s="195">
        <v>12.78</v>
      </c>
      <c r="AG64" s="196">
        <v>17.09</v>
      </c>
      <c r="AH64" s="195">
        <v>23.58</v>
      </c>
      <c r="AI64" s="195">
        <v>14.01</v>
      </c>
      <c r="AJ64" s="196">
        <v>22.43</v>
      </c>
      <c r="AK64" s="196">
        <v>22.66</v>
      </c>
      <c r="AL64" s="196">
        <v>22.66</v>
      </c>
      <c r="AM64" s="195">
        <v>26.7</v>
      </c>
      <c r="AN64" s="195">
        <v>49.42</v>
      </c>
      <c r="AO64" s="195">
        <v>62.46</v>
      </c>
      <c r="AP64" s="197">
        <v>138.58000000000001</v>
      </c>
      <c r="AQ64" s="194">
        <v>32.450000000000003</v>
      </c>
      <c r="AR64" s="195">
        <v>18.010000000000002</v>
      </c>
      <c r="AS64" s="195">
        <v>12.74</v>
      </c>
      <c r="AT64" s="196">
        <v>17.309999999999999</v>
      </c>
      <c r="AU64" s="195">
        <v>23.58</v>
      </c>
      <c r="AV64" s="195">
        <v>14.01</v>
      </c>
      <c r="AW64" s="196">
        <v>22.43</v>
      </c>
      <c r="AX64" s="196">
        <v>22.66</v>
      </c>
      <c r="AY64" s="196">
        <v>22.66</v>
      </c>
      <c r="AZ64" s="195">
        <v>26.68</v>
      </c>
      <c r="BA64" s="195">
        <v>67.56</v>
      </c>
      <c r="BB64" s="195">
        <v>54.19</v>
      </c>
      <c r="BC64" s="197">
        <v>148.41999999999999</v>
      </c>
      <c r="BD64" s="195">
        <v>31.91</v>
      </c>
      <c r="BE64" s="195">
        <v>17.809999999999999</v>
      </c>
      <c r="BF64" s="195">
        <v>12.77</v>
      </c>
      <c r="BG64" s="196">
        <v>17.190000000000001</v>
      </c>
      <c r="BH64" s="195">
        <v>23.58</v>
      </c>
      <c r="BI64" s="195">
        <v>14.01</v>
      </c>
      <c r="BJ64" s="196">
        <v>22.43</v>
      </c>
      <c r="BK64" s="196">
        <v>22.66</v>
      </c>
      <c r="BL64" s="196">
        <v>22.66</v>
      </c>
      <c r="BM64" s="195">
        <v>25.7</v>
      </c>
      <c r="BN64" s="195">
        <v>30.5</v>
      </c>
      <c r="BO64" s="195">
        <v>71.55</v>
      </c>
      <c r="BP64" s="197">
        <v>127.74</v>
      </c>
      <c r="BQ64" s="195">
        <v>36.46</v>
      </c>
      <c r="BR64" s="195">
        <v>18.86</v>
      </c>
      <c r="BS64" s="195">
        <v>15.12</v>
      </c>
      <c r="BT64" s="196">
        <v>16.16</v>
      </c>
      <c r="BU64" s="195">
        <v>24.76</v>
      </c>
      <c r="BV64" s="195">
        <v>19.47</v>
      </c>
      <c r="BW64" s="196">
        <v>24.13</v>
      </c>
      <c r="BX64" s="196">
        <v>22.66</v>
      </c>
      <c r="BY64" s="196">
        <v>22.66</v>
      </c>
      <c r="BZ64" s="195">
        <v>23.34</v>
      </c>
      <c r="CA64" s="195">
        <v>11.55</v>
      </c>
      <c r="CB64" s="195">
        <v>81.260000000000005</v>
      </c>
      <c r="CC64" s="197">
        <v>116.16</v>
      </c>
      <c r="CD64" s="195">
        <v>32.229999999999997</v>
      </c>
      <c r="CE64" s="195">
        <v>17.899999999999999</v>
      </c>
      <c r="CF64" s="195">
        <v>13.6</v>
      </c>
      <c r="CG64" s="196">
        <v>16.940000000000001</v>
      </c>
      <c r="CH64" s="195">
        <v>23.58</v>
      </c>
      <c r="CI64" s="195">
        <v>15.25</v>
      </c>
      <c r="CJ64" s="196">
        <v>22.58</v>
      </c>
      <c r="CK64" s="196">
        <v>22.66</v>
      </c>
      <c r="CL64" s="196">
        <v>22.66</v>
      </c>
      <c r="CM64" s="195">
        <v>25.11</v>
      </c>
      <c r="CN64" s="195">
        <v>25.82</v>
      </c>
      <c r="CO64" s="195">
        <v>73.95</v>
      </c>
      <c r="CP64" s="197">
        <v>124.88</v>
      </c>
    </row>
    <row r="65" spans="1:94" ht="13.5" customHeight="1">
      <c r="A65" s="23"/>
      <c r="B65" s="198">
        <v>2046</v>
      </c>
      <c r="D65" s="194">
        <v>31.81</v>
      </c>
      <c r="E65" s="195">
        <v>17.93</v>
      </c>
      <c r="F65" s="195">
        <v>12.37</v>
      </c>
      <c r="G65" s="196">
        <v>18.02</v>
      </c>
      <c r="H65" s="195">
        <v>23.89</v>
      </c>
      <c r="I65" s="195">
        <v>14.19</v>
      </c>
      <c r="J65" s="196">
        <v>22.73</v>
      </c>
      <c r="K65" s="196">
        <v>22.96</v>
      </c>
      <c r="L65" s="196">
        <v>22.96</v>
      </c>
      <c r="M65" s="195">
        <v>25.29</v>
      </c>
      <c r="N65" s="195">
        <v>35.6</v>
      </c>
      <c r="O65" s="195">
        <v>70.67</v>
      </c>
      <c r="P65" s="197">
        <v>131.57</v>
      </c>
      <c r="Q65" s="194">
        <v>32.590000000000003</v>
      </c>
      <c r="R65" s="195">
        <v>18.22</v>
      </c>
      <c r="S65" s="195">
        <v>13.17</v>
      </c>
      <c r="T65" s="196">
        <v>16.97</v>
      </c>
      <c r="U65" s="195">
        <v>23.89</v>
      </c>
      <c r="V65" s="195">
        <v>14.19</v>
      </c>
      <c r="W65" s="196">
        <v>22.73</v>
      </c>
      <c r="X65" s="196">
        <v>22.96</v>
      </c>
      <c r="Y65" s="196">
        <v>22.96</v>
      </c>
      <c r="Z65" s="195">
        <v>25.82</v>
      </c>
      <c r="AA65" s="195">
        <v>12.48</v>
      </c>
      <c r="AB65" s="195">
        <v>80.989999999999995</v>
      </c>
      <c r="AC65" s="197">
        <v>119.29</v>
      </c>
      <c r="AD65" s="194">
        <v>32.270000000000003</v>
      </c>
      <c r="AE65" s="195">
        <v>17.989999999999998</v>
      </c>
      <c r="AF65" s="195">
        <v>12.95</v>
      </c>
      <c r="AG65" s="196">
        <v>17.309999999999999</v>
      </c>
      <c r="AH65" s="195">
        <v>23.89</v>
      </c>
      <c r="AI65" s="195">
        <v>14.19</v>
      </c>
      <c r="AJ65" s="196">
        <v>22.73</v>
      </c>
      <c r="AK65" s="196">
        <v>22.96</v>
      </c>
      <c r="AL65" s="196">
        <v>22.96</v>
      </c>
      <c r="AM65" s="195">
        <v>27.05</v>
      </c>
      <c r="AN65" s="195">
        <v>50.07</v>
      </c>
      <c r="AO65" s="195">
        <v>63.27</v>
      </c>
      <c r="AP65" s="197">
        <v>140.38999999999999</v>
      </c>
      <c r="AQ65" s="194">
        <v>32.880000000000003</v>
      </c>
      <c r="AR65" s="195">
        <v>18.25</v>
      </c>
      <c r="AS65" s="195">
        <v>12.9</v>
      </c>
      <c r="AT65" s="196">
        <v>17.54</v>
      </c>
      <c r="AU65" s="195">
        <v>23.89</v>
      </c>
      <c r="AV65" s="195">
        <v>14.19</v>
      </c>
      <c r="AW65" s="196">
        <v>22.73</v>
      </c>
      <c r="AX65" s="196">
        <v>22.96</v>
      </c>
      <c r="AY65" s="196">
        <v>22.96</v>
      </c>
      <c r="AZ65" s="195">
        <v>27.03</v>
      </c>
      <c r="BA65" s="195">
        <v>68.45</v>
      </c>
      <c r="BB65" s="195">
        <v>54.9</v>
      </c>
      <c r="BC65" s="197">
        <v>150.37</v>
      </c>
      <c r="BD65" s="195">
        <v>32.32</v>
      </c>
      <c r="BE65" s="195">
        <v>18.05</v>
      </c>
      <c r="BF65" s="195">
        <v>12.94</v>
      </c>
      <c r="BG65" s="196">
        <v>17.41</v>
      </c>
      <c r="BH65" s="195">
        <v>23.89</v>
      </c>
      <c r="BI65" s="195">
        <v>14.19</v>
      </c>
      <c r="BJ65" s="196">
        <v>22.73</v>
      </c>
      <c r="BK65" s="196">
        <v>22.96</v>
      </c>
      <c r="BL65" s="196">
        <v>22.96</v>
      </c>
      <c r="BM65" s="195">
        <v>26.03</v>
      </c>
      <c r="BN65" s="195">
        <v>30.9</v>
      </c>
      <c r="BO65" s="195">
        <v>72.48</v>
      </c>
      <c r="BP65" s="197">
        <v>129.41999999999999</v>
      </c>
      <c r="BQ65" s="195">
        <v>36.94</v>
      </c>
      <c r="BR65" s="195">
        <v>19.11</v>
      </c>
      <c r="BS65" s="195">
        <v>15.32</v>
      </c>
      <c r="BT65" s="196">
        <v>16.37</v>
      </c>
      <c r="BU65" s="195">
        <v>25.09</v>
      </c>
      <c r="BV65" s="195">
        <v>19.73</v>
      </c>
      <c r="BW65" s="196">
        <v>24.44</v>
      </c>
      <c r="BX65" s="196">
        <v>22.96</v>
      </c>
      <c r="BY65" s="196">
        <v>22.96</v>
      </c>
      <c r="BZ65" s="195">
        <v>23.64</v>
      </c>
      <c r="CA65" s="195">
        <v>11.71</v>
      </c>
      <c r="CB65" s="195">
        <v>82.33</v>
      </c>
      <c r="CC65" s="197">
        <v>117.68</v>
      </c>
      <c r="CD65" s="195">
        <v>32.65</v>
      </c>
      <c r="CE65" s="195">
        <v>18.13</v>
      </c>
      <c r="CF65" s="195">
        <v>13.78</v>
      </c>
      <c r="CG65" s="196">
        <v>17.16</v>
      </c>
      <c r="CH65" s="195">
        <v>23.89</v>
      </c>
      <c r="CI65" s="195">
        <v>15.45</v>
      </c>
      <c r="CJ65" s="196">
        <v>22.88</v>
      </c>
      <c r="CK65" s="196">
        <v>22.96</v>
      </c>
      <c r="CL65" s="196">
        <v>22.96</v>
      </c>
      <c r="CM65" s="195">
        <v>25.44</v>
      </c>
      <c r="CN65" s="195">
        <v>26.16</v>
      </c>
      <c r="CO65" s="195">
        <v>74.92</v>
      </c>
      <c r="CP65" s="197">
        <v>126.52</v>
      </c>
    </row>
    <row r="66" spans="1:94" ht="13.5" customHeight="1">
      <c r="A66" s="23"/>
      <c r="B66" s="198">
        <v>2047</v>
      </c>
      <c r="D66" s="194">
        <v>32.22</v>
      </c>
      <c r="E66" s="195">
        <v>18.16</v>
      </c>
      <c r="F66" s="195">
        <v>12.53</v>
      </c>
      <c r="G66" s="196">
        <v>18.25</v>
      </c>
      <c r="H66" s="195">
        <v>24.2</v>
      </c>
      <c r="I66" s="195">
        <v>14.37</v>
      </c>
      <c r="J66" s="196">
        <v>23.02</v>
      </c>
      <c r="K66" s="196">
        <v>23.25</v>
      </c>
      <c r="L66" s="196">
        <v>23.25</v>
      </c>
      <c r="M66" s="195">
        <v>25.62</v>
      </c>
      <c r="N66" s="195">
        <v>36.06</v>
      </c>
      <c r="O66" s="195">
        <v>71.59</v>
      </c>
      <c r="P66" s="197">
        <v>133.27000000000001</v>
      </c>
      <c r="Q66" s="194">
        <v>33.020000000000003</v>
      </c>
      <c r="R66" s="195">
        <v>18.45</v>
      </c>
      <c r="S66" s="195">
        <v>13.34</v>
      </c>
      <c r="T66" s="196">
        <v>17.190000000000001</v>
      </c>
      <c r="U66" s="195">
        <v>24.2</v>
      </c>
      <c r="V66" s="195">
        <v>14.37</v>
      </c>
      <c r="W66" s="196">
        <v>23.02</v>
      </c>
      <c r="X66" s="196">
        <v>23.25</v>
      </c>
      <c r="Y66" s="196">
        <v>23.25</v>
      </c>
      <c r="Z66" s="195">
        <v>26.15</v>
      </c>
      <c r="AA66" s="195">
        <v>12.64</v>
      </c>
      <c r="AB66" s="195">
        <v>82.04</v>
      </c>
      <c r="AC66" s="197">
        <v>120.83</v>
      </c>
      <c r="AD66" s="194">
        <v>32.68</v>
      </c>
      <c r="AE66" s="195">
        <v>18.22</v>
      </c>
      <c r="AF66" s="195">
        <v>13.12</v>
      </c>
      <c r="AG66" s="196">
        <v>17.53</v>
      </c>
      <c r="AH66" s="195">
        <v>24.2</v>
      </c>
      <c r="AI66" s="195">
        <v>14.37</v>
      </c>
      <c r="AJ66" s="196">
        <v>23.02</v>
      </c>
      <c r="AK66" s="196">
        <v>23.25</v>
      </c>
      <c r="AL66" s="196">
        <v>23.25</v>
      </c>
      <c r="AM66" s="195">
        <v>27.4</v>
      </c>
      <c r="AN66" s="195">
        <v>50.72</v>
      </c>
      <c r="AO66" s="195">
        <v>64.09</v>
      </c>
      <c r="AP66" s="197">
        <v>142.21</v>
      </c>
      <c r="AQ66" s="194">
        <v>33.299999999999997</v>
      </c>
      <c r="AR66" s="195">
        <v>18.489999999999998</v>
      </c>
      <c r="AS66" s="195">
        <v>13.07</v>
      </c>
      <c r="AT66" s="196">
        <v>17.760000000000002</v>
      </c>
      <c r="AU66" s="195">
        <v>24.2</v>
      </c>
      <c r="AV66" s="195">
        <v>14.37</v>
      </c>
      <c r="AW66" s="196">
        <v>23.02</v>
      </c>
      <c r="AX66" s="196">
        <v>23.25</v>
      </c>
      <c r="AY66" s="196">
        <v>23.25</v>
      </c>
      <c r="AZ66" s="195">
        <v>27.37</v>
      </c>
      <c r="BA66" s="195">
        <v>69.33</v>
      </c>
      <c r="BB66" s="195">
        <v>55.61</v>
      </c>
      <c r="BC66" s="197">
        <v>152.31</v>
      </c>
      <c r="BD66" s="195">
        <v>32.74</v>
      </c>
      <c r="BE66" s="195">
        <v>18.28</v>
      </c>
      <c r="BF66" s="195">
        <v>13.1</v>
      </c>
      <c r="BG66" s="196">
        <v>17.64</v>
      </c>
      <c r="BH66" s="195">
        <v>24.2</v>
      </c>
      <c r="BI66" s="195">
        <v>14.37</v>
      </c>
      <c r="BJ66" s="196">
        <v>23.02</v>
      </c>
      <c r="BK66" s="196">
        <v>23.25</v>
      </c>
      <c r="BL66" s="196">
        <v>23.25</v>
      </c>
      <c r="BM66" s="195">
        <v>26.37</v>
      </c>
      <c r="BN66" s="195">
        <v>31.3</v>
      </c>
      <c r="BO66" s="195">
        <v>73.42</v>
      </c>
      <c r="BP66" s="197">
        <v>131.09</v>
      </c>
      <c r="BQ66" s="195">
        <v>37.42</v>
      </c>
      <c r="BR66" s="195">
        <v>19.36</v>
      </c>
      <c r="BS66" s="195">
        <v>15.52</v>
      </c>
      <c r="BT66" s="196">
        <v>16.579999999999998</v>
      </c>
      <c r="BU66" s="195">
        <v>25.41</v>
      </c>
      <c r="BV66" s="195">
        <v>19.98</v>
      </c>
      <c r="BW66" s="196">
        <v>24.76</v>
      </c>
      <c r="BX66" s="196">
        <v>23.25</v>
      </c>
      <c r="BY66" s="196">
        <v>23.25</v>
      </c>
      <c r="BZ66" s="195">
        <v>23.95</v>
      </c>
      <c r="CA66" s="195">
        <v>11.86</v>
      </c>
      <c r="CB66" s="195">
        <v>83.39</v>
      </c>
      <c r="CC66" s="197">
        <v>119.2</v>
      </c>
      <c r="CD66" s="195">
        <v>33.07</v>
      </c>
      <c r="CE66" s="195">
        <v>18.37</v>
      </c>
      <c r="CF66" s="195">
        <v>13.95</v>
      </c>
      <c r="CG66" s="196">
        <v>17.39</v>
      </c>
      <c r="CH66" s="195">
        <v>24.2</v>
      </c>
      <c r="CI66" s="195">
        <v>15.65</v>
      </c>
      <c r="CJ66" s="196">
        <v>23.17</v>
      </c>
      <c r="CK66" s="196">
        <v>23.25</v>
      </c>
      <c r="CL66" s="196">
        <v>23.25</v>
      </c>
      <c r="CM66" s="195">
        <v>25.77</v>
      </c>
      <c r="CN66" s="195">
        <v>26.5</v>
      </c>
      <c r="CO66" s="195">
        <v>75.88</v>
      </c>
      <c r="CP66" s="197">
        <v>128.15</v>
      </c>
    </row>
    <row r="67" spans="1:94" ht="13.5" customHeight="1">
      <c r="A67" s="23"/>
      <c r="B67" s="198">
        <v>2048</v>
      </c>
      <c r="D67" s="194">
        <v>32.630000000000003</v>
      </c>
      <c r="E67" s="195">
        <v>18.39</v>
      </c>
      <c r="F67" s="195">
        <v>12.69</v>
      </c>
      <c r="G67" s="196">
        <v>18.48</v>
      </c>
      <c r="H67" s="195">
        <v>24.51</v>
      </c>
      <c r="I67" s="195">
        <v>14.56</v>
      </c>
      <c r="J67" s="196">
        <v>23.32</v>
      </c>
      <c r="K67" s="196">
        <v>23.55</v>
      </c>
      <c r="L67" s="196">
        <v>23.55</v>
      </c>
      <c r="M67" s="195">
        <v>25.94</v>
      </c>
      <c r="N67" s="195">
        <v>36.53</v>
      </c>
      <c r="O67" s="195">
        <v>72.510000000000005</v>
      </c>
      <c r="P67" s="197">
        <v>134.97</v>
      </c>
      <c r="Q67" s="194">
        <v>33.44</v>
      </c>
      <c r="R67" s="195">
        <v>18.690000000000001</v>
      </c>
      <c r="S67" s="195">
        <v>13.52</v>
      </c>
      <c r="T67" s="196">
        <v>17.41</v>
      </c>
      <c r="U67" s="195">
        <v>24.51</v>
      </c>
      <c r="V67" s="195">
        <v>14.56</v>
      </c>
      <c r="W67" s="196">
        <v>23.32</v>
      </c>
      <c r="X67" s="196">
        <v>23.55</v>
      </c>
      <c r="Y67" s="196">
        <v>23.55</v>
      </c>
      <c r="Z67" s="195">
        <v>26.49</v>
      </c>
      <c r="AA67" s="195">
        <v>12.8</v>
      </c>
      <c r="AB67" s="195">
        <v>83.09</v>
      </c>
      <c r="AC67" s="197">
        <v>122.38</v>
      </c>
      <c r="AD67" s="194">
        <v>33.1</v>
      </c>
      <c r="AE67" s="195">
        <v>18.45</v>
      </c>
      <c r="AF67" s="195">
        <v>13.29</v>
      </c>
      <c r="AG67" s="196">
        <v>17.760000000000002</v>
      </c>
      <c r="AH67" s="195">
        <v>24.51</v>
      </c>
      <c r="AI67" s="195">
        <v>14.56</v>
      </c>
      <c r="AJ67" s="196">
        <v>23.32</v>
      </c>
      <c r="AK67" s="196">
        <v>23.55</v>
      </c>
      <c r="AL67" s="196">
        <v>23.55</v>
      </c>
      <c r="AM67" s="195">
        <v>27.75</v>
      </c>
      <c r="AN67" s="195">
        <v>51.37</v>
      </c>
      <c r="AO67" s="195">
        <v>64.91</v>
      </c>
      <c r="AP67" s="197">
        <v>144.03</v>
      </c>
      <c r="AQ67" s="194">
        <v>33.729999999999997</v>
      </c>
      <c r="AR67" s="195">
        <v>18.72</v>
      </c>
      <c r="AS67" s="195">
        <v>13.24</v>
      </c>
      <c r="AT67" s="196">
        <v>17.989999999999998</v>
      </c>
      <c r="AU67" s="195">
        <v>24.51</v>
      </c>
      <c r="AV67" s="195">
        <v>14.56</v>
      </c>
      <c r="AW67" s="196">
        <v>23.32</v>
      </c>
      <c r="AX67" s="196">
        <v>23.55</v>
      </c>
      <c r="AY67" s="196">
        <v>23.55</v>
      </c>
      <c r="AZ67" s="195">
        <v>27.73</v>
      </c>
      <c r="BA67" s="195">
        <v>70.22</v>
      </c>
      <c r="BB67" s="195">
        <v>56.32</v>
      </c>
      <c r="BC67" s="197">
        <v>154.26</v>
      </c>
      <c r="BD67" s="195">
        <v>33.159999999999997</v>
      </c>
      <c r="BE67" s="195">
        <v>18.52</v>
      </c>
      <c r="BF67" s="195">
        <v>13.27</v>
      </c>
      <c r="BG67" s="196">
        <v>17.86</v>
      </c>
      <c r="BH67" s="195">
        <v>24.51</v>
      </c>
      <c r="BI67" s="195">
        <v>14.56</v>
      </c>
      <c r="BJ67" s="196">
        <v>23.32</v>
      </c>
      <c r="BK67" s="196">
        <v>23.55</v>
      </c>
      <c r="BL67" s="196">
        <v>23.55</v>
      </c>
      <c r="BM67" s="195">
        <v>26.71</v>
      </c>
      <c r="BN67" s="195">
        <v>31.7</v>
      </c>
      <c r="BO67" s="195">
        <v>74.36</v>
      </c>
      <c r="BP67" s="197">
        <v>132.77000000000001</v>
      </c>
      <c r="BQ67" s="195">
        <v>37.9</v>
      </c>
      <c r="BR67" s="195">
        <v>19.600000000000001</v>
      </c>
      <c r="BS67" s="195">
        <v>15.71</v>
      </c>
      <c r="BT67" s="196">
        <v>16.79</v>
      </c>
      <c r="BU67" s="195">
        <v>25.74</v>
      </c>
      <c r="BV67" s="195">
        <v>20.239999999999998</v>
      </c>
      <c r="BW67" s="196">
        <v>25.08</v>
      </c>
      <c r="BX67" s="196">
        <v>23.55</v>
      </c>
      <c r="BY67" s="196">
        <v>23.55</v>
      </c>
      <c r="BZ67" s="195">
        <v>24.26</v>
      </c>
      <c r="CA67" s="195">
        <v>12.01</v>
      </c>
      <c r="CB67" s="195">
        <v>84.46</v>
      </c>
      <c r="CC67" s="197">
        <v>120.73</v>
      </c>
      <c r="CD67" s="195">
        <v>33.5</v>
      </c>
      <c r="CE67" s="195">
        <v>18.600000000000001</v>
      </c>
      <c r="CF67" s="195">
        <v>14.13</v>
      </c>
      <c r="CG67" s="196">
        <v>17.61</v>
      </c>
      <c r="CH67" s="195">
        <v>24.51</v>
      </c>
      <c r="CI67" s="195">
        <v>15.85</v>
      </c>
      <c r="CJ67" s="196">
        <v>23.47</v>
      </c>
      <c r="CK67" s="196">
        <v>23.55</v>
      </c>
      <c r="CL67" s="196">
        <v>23.55</v>
      </c>
      <c r="CM67" s="195">
        <v>26.1</v>
      </c>
      <c r="CN67" s="195">
        <v>26.84</v>
      </c>
      <c r="CO67" s="195">
        <v>76.86</v>
      </c>
      <c r="CP67" s="197">
        <v>129.79</v>
      </c>
    </row>
    <row r="68" spans="1:94" ht="13.5" customHeight="1">
      <c r="A68" s="23"/>
      <c r="B68" s="198">
        <v>2049</v>
      </c>
      <c r="D68" s="194">
        <v>33.049999999999997</v>
      </c>
      <c r="E68" s="195">
        <v>18.63</v>
      </c>
      <c r="F68" s="195">
        <v>12.85</v>
      </c>
      <c r="G68" s="196">
        <v>18.72</v>
      </c>
      <c r="H68" s="195">
        <v>24.82</v>
      </c>
      <c r="I68" s="195">
        <v>14.74</v>
      </c>
      <c r="J68" s="196">
        <v>23.62</v>
      </c>
      <c r="K68" s="196">
        <v>23.85</v>
      </c>
      <c r="L68" s="196">
        <v>23.85</v>
      </c>
      <c r="M68" s="195">
        <v>26.28</v>
      </c>
      <c r="N68" s="195">
        <v>36.99</v>
      </c>
      <c r="O68" s="195">
        <v>73.430000000000007</v>
      </c>
      <c r="P68" s="197">
        <v>136.69999999999999</v>
      </c>
      <c r="Q68" s="194">
        <v>33.869999999999997</v>
      </c>
      <c r="R68" s="195">
        <v>18.93</v>
      </c>
      <c r="S68" s="195">
        <v>13.69</v>
      </c>
      <c r="T68" s="196">
        <v>17.63</v>
      </c>
      <c r="U68" s="195">
        <v>24.82</v>
      </c>
      <c r="V68" s="195">
        <v>14.74</v>
      </c>
      <c r="W68" s="196">
        <v>23.62</v>
      </c>
      <c r="X68" s="196">
        <v>23.85</v>
      </c>
      <c r="Y68" s="196">
        <v>23.85</v>
      </c>
      <c r="Z68" s="195">
        <v>26.83</v>
      </c>
      <c r="AA68" s="195">
        <v>12.96</v>
      </c>
      <c r="AB68" s="195">
        <v>84.15</v>
      </c>
      <c r="AC68" s="197">
        <v>123.94</v>
      </c>
      <c r="AD68" s="194">
        <v>33.53</v>
      </c>
      <c r="AE68" s="195">
        <v>18.690000000000001</v>
      </c>
      <c r="AF68" s="195">
        <v>13.46</v>
      </c>
      <c r="AG68" s="196">
        <v>17.989999999999998</v>
      </c>
      <c r="AH68" s="195">
        <v>24.82</v>
      </c>
      <c r="AI68" s="195">
        <v>14.74</v>
      </c>
      <c r="AJ68" s="196">
        <v>23.62</v>
      </c>
      <c r="AK68" s="196">
        <v>23.85</v>
      </c>
      <c r="AL68" s="196">
        <v>23.85</v>
      </c>
      <c r="AM68" s="195">
        <v>28.1</v>
      </c>
      <c r="AN68" s="195">
        <v>52.03</v>
      </c>
      <c r="AO68" s="195">
        <v>65.739999999999995</v>
      </c>
      <c r="AP68" s="197">
        <v>145.87</v>
      </c>
      <c r="AQ68" s="194">
        <v>34.159999999999997</v>
      </c>
      <c r="AR68" s="195">
        <v>18.96</v>
      </c>
      <c r="AS68" s="195">
        <v>13.41</v>
      </c>
      <c r="AT68" s="196">
        <v>18.22</v>
      </c>
      <c r="AU68" s="195">
        <v>24.82</v>
      </c>
      <c r="AV68" s="195">
        <v>14.74</v>
      </c>
      <c r="AW68" s="196">
        <v>23.62</v>
      </c>
      <c r="AX68" s="196">
        <v>23.85</v>
      </c>
      <c r="AY68" s="196">
        <v>23.85</v>
      </c>
      <c r="AZ68" s="195">
        <v>28.08</v>
      </c>
      <c r="BA68" s="195">
        <v>71.12</v>
      </c>
      <c r="BB68" s="195">
        <v>57.04</v>
      </c>
      <c r="BC68" s="197">
        <v>156.24</v>
      </c>
      <c r="BD68" s="195">
        <v>33.590000000000003</v>
      </c>
      <c r="BE68" s="195">
        <v>18.75</v>
      </c>
      <c r="BF68" s="195">
        <v>13.44</v>
      </c>
      <c r="BG68" s="196">
        <v>18.09</v>
      </c>
      <c r="BH68" s="195">
        <v>24.82</v>
      </c>
      <c r="BI68" s="195">
        <v>14.74</v>
      </c>
      <c r="BJ68" s="196">
        <v>23.62</v>
      </c>
      <c r="BK68" s="196">
        <v>23.85</v>
      </c>
      <c r="BL68" s="196">
        <v>23.85</v>
      </c>
      <c r="BM68" s="195">
        <v>27.05</v>
      </c>
      <c r="BN68" s="195">
        <v>32.11</v>
      </c>
      <c r="BO68" s="195">
        <v>75.319999999999993</v>
      </c>
      <c r="BP68" s="197">
        <v>134.47</v>
      </c>
      <c r="BQ68" s="195">
        <v>38.39</v>
      </c>
      <c r="BR68" s="195">
        <v>19.850000000000001</v>
      </c>
      <c r="BS68" s="195">
        <v>15.92</v>
      </c>
      <c r="BT68" s="196">
        <v>17.010000000000002</v>
      </c>
      <c r="BU68" s="195">
        <v>26.07</v>
      </c>
      <c r="BV68" s="195">
        <v>20.5</v>
      </c>
      <c r="BW68" s="196">
        <v>25.4</v>
      </c>
      <c r="BX68" s="196">
        <v>23.85</v>
      </c>
      <c r="BY68" s="196">
        <v>23.85</v>
      </c>
      <c r="BZ68" s="195">
        <v>24.57</v>
      </c>
      <c r="CA68" s="195">
        <v>12.16</v>
      </c>
      <c r="CB68" s="195">
        <v>85.54</v>
      </c>
      <c r="CC68" s="197">
        <v>122.27</v>
      </c>
      <c r="CD68" s="195">
        <v>33.93</v>
      </c>
      <c r="CE68" s="195">
        <v>18.84</v>
      </c>
      <c r="CF68" s="195">
        <v>14.31</v>
      </c>
      <c r="CG68" s="196">
        <v>17.829999999999998</v>
      </c>
      <c r="CH68" s="195">
        <v>24.82</v>
      </c>
      <c r="CI68" s="195">
        <v>16.059999999999999</v>
      </c>
      <c r="CJ68" s="196">
        <v>23.77</v>
      </c>
      <c r="CK68" s="196">
        <v>23.85</v>
      </c>
      <c r="CL68" s="196">
        <v>23.85</v>
      </c>
      <c r="CM68" s="195">
        <v>26.44</v>
      </c>
      <c r="CN68" s="195">
        <v>27.18</v>
      </c>
      <c r="CO68" s="195">
        <v>77.84</v>
      </c>
      <c r="CP68" s="197">
        <v>131.46</v>
      </c>
    </row>
    <row r="69" spans="1:94" ht="13.5" customHeight="1">
      <c r="A69" s="23"/>
      <c r="B69" s="198">
        <v>2050</v>
      </c>
      <c r="D69" s="194">
        <v>33.479999999999997</v>
      </c>
      <c r="E69" s="195">
        <v>18.87</v>
      </c>
      <c r="F69" s="195">
        <v>13.02</v>
      </c>
      <c r="G69" s="196">
        <v>18.96</v>
      </c>
      <c r="H69" s="195">
        <v>25.15</v>
      </c>
      <c r="I69" s="195">
        <v>14.93</v>
      </c>
      <c r="J69" s="196">
        <v>23.92</v>
      </c>
      <c r="K69" s="196">
        <v>24.16</v>
      </c>
      <c r="L69" s="196">
        <v>24.16</v>
      </c>
      <c r="M69" s="195">
        <v>26.62</v>
      </c>
      <c r="N69" s="195">
        <v>37.47</v>
      </c>
      <c r="O69" s="195">
        <v>74.38</v>
      </c>
      <c r="P69" s="197">
        <v>138.47</v>
      </c>
      <c r="Q69" s="194">
        <v>34.299999999999997</v>
      </c>
      <c r="R69" s="195">
        <v>19.170000000000002</v>
      </c>
      <c r="S69" s="195">
        <v>13.86</v>
      </c>
      <c r="T69" s="196">
        <v>17.86</v>
      </c>
      <c r="U69" s="195">
        <v>25.15</v>
      </c>
      <c r="V69" s="195">
        <v>14.93</v>
      </c>
      <c r="W69" s="196">
        <v>23.92</v>
      </c>
      <c r="X69" s="196">
        <v>24.16</v>
      </c>
      <c r="Y69" s="196">
        <v>24.16</v>
      </c>
      <c r="Z69" s="195">
        <v>27.17</v>
      </c>
      <c r="AA69" s="195">
        <v>13.13</v>
      </c>
      <c r="AB69" s="195">
        <v>85.24</v>
      </c>
      <c r="AC69" s="197">
        <v>125.54</v>
      </c>
      <c r="AD69" s="194">
        <v>33.96</v>
      </c>
      <c r="AE69" s="195">
        <v>18.93</v>
      </c>
      <c r="AF69" s="195">
        <v>13.63</v>
      </c>
      <c r="AG69" s="196">
        <v>18.22</v>
      </c>
      <c r="AH69" s="195">
        <v>25.15</v>
      </c>
      <c r="AI69" s="195">
        <v>14.93</v>
      </c>
      <c r="AJ69" s="196">
        <v>23.92</v>
      </c>
      <c r="AK69" s="196">
        <v>24.16</v>
      </c>
      <c r="AL69" s="196">
        <v>24.16</v>
      </c>
      <c r="AM69" s="195">
        <v>28.47</v>
      </c>
      <c r="AN69" s="195">
        <v>52.7</v>
      </c>
      <c r="AO69" s="195">
        <v>66.59</v>
      </c>
      <c r="AP69" s="197">
        <v>147.76</v>
      </c>
      <c r="AQ69" s="194">
        <v>34.6</v>
      </c>
      <c r="AR69" s="195">
        <v>19.21</v>
      </c>
      <c r="AS69" s="195">
        <v>13.58</v>
      </c>
      <c r="AT69" s="196">
        <v>18.46</v>
      </c>
      <c r="AU69" s="195">
        <v>25.15</v>
      </c>
      <c r="AV69" s="195">
        <v>14.93</v>
      </c>
      <c r="AW69" s="196">
        <v>23.92</v>
      </c>
      <c r="AX69" s="196">
        <v>24.16</v>
      </c>
      <c r="AY69" s="196">
        <v>24.16</v>
      </c>
      <c r="AZ69" s="195">
        <v>28.44</v>
      </c>
      <c r="BA69" s="195">
        <v>72.040000000000006</v>
      </c>
      <c r="BB69" s="195">
        <v>57.78</v>
      </c>
      <c r="BC69" s="197">
        <v>158.26</v>
      </c>
      <c r="BD69" s="195">
        <v>34.020000000000003</v>
      </c>
      <c r="BE69" s="195">
        <v>19</v>
      </c>
      <c r="BF69" s="195">
        <v>13.62</v>
      </c>
      <c r="BG69" s="196">
        <v>18.32</v>
      </c>
      <c r="BH69" s="195">
        <v>25.15</v>
      </c>
      <c r="BI69" s="195">
        <v>14.93</v>
      </c>
      <c r="BJ69" s="196">
        <v>23.92</v>
      </c>
      <c r="BK69" s="196">
        <v>24.16</v>
      </c>
      <c r="BL69" s="196">
        <v>24.16</v>
      </c>
      <c r="BM69" s="195">
        <v>27.4</v>
      </c>
      <c r="BN69" s="195">
        <v>32.520000000000003</v>
      </c>
      <c r="BO69" s="195">
        <v>76.290000000000006</v>
      </c>
      <c r="BP69" s="197">
        <v>136.19999999999999</v>
      </c>
      <c r="BQ69" s="195">
        <v>38.880000000000003</v>
      </c>
      <c r="BR69" s="195">
        <v>20.11</v>
      </c>
      <c r="BS69" s="195">
        <v>16.12</v>
      </c>
      <c r="BT69" s="196">
        <v>17.23</v>
      </c>
      <c r="BU69" s="195">
        <v>26.4</v>
      </c>
      <c r="BV69" s="195">
        <v>20.76</v>
      </c>
      <c r="BW69" s="196">
        <v>25.73</v>
      </c>
      <c r="BX69" s="196">
        <v>24.16</v>
      </c>
      <c r="BY69" s="196">
        <v>24.16</v>
      </c>
      <c r="BZ69" s="195">
        <v>24.88</v>
      </c>
      <c r="CA69" s="195">
        <v>12.32</v>
      </c>
      <c r="CB69" s="195">
        <v>86.65</v>
      </c>
      <c r="CC69" s="197">
        <v>123.85</v>
      </c>
      <c r="CD69" s="195">
        <v>34.369999999999997</v>
      </c>
      <c r="CE69" s="195">
        <v>19.09</v>
      </c>
      <c r="CF69" s="195">
        <v>14.5</v>
      </c>
      <c r="CG69" s="196">
        <v>18.059999999999999</v>
      </c>
      <c r="CH69" s="195">
        <v>25.15</v>
      </c>
      <c r="CI69" s="195">
        <v>16.260000000000002</v>
      </c>
      <c r="CJ69" s="196">
        <v>24.08</v>
      </c>
      <c r="CK69" s="196">
        <v>24.16</v>
      </c>
      <c r="CL69" s="196">
        <v>24.16</v>
      </c>
      <c r="CM69" s="195">
        <v>26.78</v>
      </c>
      <c r="CN69" s="195">
        <v>27.53</v>
      </c>
      <c r="CO69" s="195">
        <v>78.849999999999994</v>
      </c>
      <c r="CP69" s="197">
        <v>133.15</v>
      </c>
    </row>
    <row r="70" spans="1:94" ht="13.5" customHeight="1">
      <c r="A70" s="23"/>
      <c r="B70" s="198">
        <v>2051</v>
      </c>
      <c r="D70" s="194">
        <v>33.909999999999997</v>
      </c>
      <c r="E70" s="195">
        <v>19.11</v>
      </c>
      <c r="F70" s="195">
        <v>13.19</v>
      </c>
      <c r="G70" s="196">
        <v>19.21</v>
      </c>
      <c r="H70" s="195">
        <v>25.47</v>
      </c>
      <c r="I70" s="195">
        <v>15.13</v>
      </c>
      <c r="J70" s="196">
        <v>24.23</v>
      </c>
      <c r="K70" s="196">
        <v>24.48</v>
      </c>
      <c r="L70" s="196">
        <v>24.48</v>
      </c>
      <c r="M70" s="195">
        <v>26.96</v>
      </c>
      <c r="N70" s="195">
        <v>37.96</v>
      </c>
      <c r="O70" s="195">
        <v>75.349999999999994</v>
      </c>
      <c r="P70" s="197">
        <v>140.28</v>
      </c>
      <c r="Q70" s="194">
        <v>34.75</v>
      </c>
      <c r="R70" s="195">
        <v>19.420000000000002</v>
      </c>
      <c r="S70" s="195">
        <v>14.05</v>
      </c>
      <c r="T70" s="196">
        <v>18.09</v>
      </c>
      <c r="U70" s="195">
        <v>25.47</v>
      </c>
      <c r="V70" s="195">
        <v>15.13</v>
      </c>
      <c r="W70" s="196">
        <v>24.23</v>
      </c>
      <c r="X70" s="196">
        <v>24.48</v>
      </c>
      <c r="Y70" s="196">
        <v>24.48</v>
      </c>
      <c r="Z70" s="195">
        <v>27.53</v>
      </c>
      <c r="AA70" s="195">
        <v>13.3</v>
      </c>
      <c r="AB70" s="195">
        <v>86.35</v>
      </c>
      <c r="AC70" s="197">
        <v>127.18</v>
      </c>
      <c r="AD70" s="194">
        <v>34.4</v>
      </c>
      <c r="AE70" s="195">
        <v>19.18</v>
      </c>
      <c r="AF70" s="195">
        <v>13.81</v>
      </c>
      <c r="AG70" s="196">
        <v>18.46</v>
      </c>
      <c r="AH70" s="195">
        <v>25.47</v>
      </c>
      <c r="AI70" s="195">
        <v>15.13</v>
      </c>
      <c r="AJ70" s="196">
        <v>24.23</v>
      </c>
      <c r="AK70" s="196">
        <v>24.48</v>
      </c>
      <c r="AL70" s="196">
        <v>24.48</v>
      </c>
      <c r="AM70" s="195">
        <v>28.84</v>
      </c>
      <c r="AN70" s="195">
        <v>53.39</v>
      </c>
      <c r="AO70" s="195">
        <v>67.459999999999994</v>
      </c>
      <c r="AP70" s="197">
        <v>149.69</v>
      </c>
      <c r="AQ70" s="194">
        <v>35.049999999999997</v>
      </c>
      <c r="AR70" s="195">
        <v>19.46</v>
      </c>
      <c r="AS70" s="195">
        <v>13.76</v>
      </c>
      <c r="AT70" s="196">
        <v>18.7</v>
      </c>
      <c r="AU70" s="195">
        <v>25.47</v>
      </c>
      <c r="AV70" s="195">
        <v>15.13</v>
      </c>
      <c r="AW70" s="196">
        <v>24.23</v>
      </c>
      <c r="AX70" s="196">
        <v>24.48</v>
      </c>
      <c r="AY70" s="196">
        <v>24.48</v>
      </c>
      <c r="AZ70" s="195">
        <v>28.81</v>
      </c>
      <c r="BA70" s="195">
        <v>72.98</v>
      </c>
      <c r="BB70" s="195">
        <v>58.53</v>
      </c>
      <c r="BC70" s="197">
        <v>160.32</v>
      </c>
      <c r="BD70" s="195">
        <v>34.46</v>
      </c>
      <c r="BE70" s="195">
        <v>19.239999999999998</v>
      </c>
      <c r="BF70" s="195">
        <v>13.79</v>
      </c>
      <c r="BG70" s="196">
        <v>18.559999999999999</v>
      </c>
      <c r="BH70" s="195">
        <v>25.47</v>
      </c>
      <c r="BI70" s="195">
        <v>15.13</v>
      </c>
      <c r="BJ70" s="196">
        <v>24.23</v>
      </c>
      <c r="BK70" s="196">
        <v>24.48</v>
      </c>
      <c r="BL70" s="196">
        <v>24.48</v>
      </c>
      <c r="BM70" s="195">
        <v>27.76</v>
      </c>
      <c r="BN70" s="195">
        <v>32.94</v>
      </c>
      <c r="BO70" s="195">
        <v>77.28</v>
      </c>
      <c r="BP70" s="197">
        <v>137.97999999999999</v>
      </c>
      <c r="BQ70" s="195">
        <v>39.39</v>
      </c>
      <c r="BR70" s="195">
        <v>20.37</v>
      </c>
      <c r="BS70" s="195">
        <v>16.329999999999998</v>
      </c>
      <c r="BT70" s="196">
        <v>17.45</v>
      </c>
      <c r="BU70" s="195">
        <v>26.75</v>
      </c>
      <c r="BV70" s="195">
        <v>21.04</v>
      </c>
      <c r="BW70" s="196">
        <v>26.06</v>
      </c>
      <c r="BX70" s="196">
        <v>24.48</v>
      </c>
      <c r="BY70" s="196">
        <v>24.48</v>
      </c>
      <c r="BZ70" s="195">
        <v>25.21</v>
      </c>
      <c r="CA70" s="195">
        <v>12.48</v>
      </c>
      <c r="CB70" s="195">
        <v>87.78</v>
      </c>
      <c r="CC70" s="197">
        <v>125.47</v>
      </c>
      <c r="CD70" s="195">
        <v>34.81</v>
      </c>
      <c r="CE70" s="195">
        <v>19.329999999999998</v>
      </c>
      <c r="CF70" s="195">
        <v>14.69</v>
      </c>
      <c r="CG70" s="196">
        <v>18.3</v>
      </c>
      <c r="CH70" s="195">
        <v>25.47</v>
      </c>
      <c r="CI70" s="195">
        <v>16.48</v>
      </c>
      <c r="CJ70" s="196">
        <v>24.39</v>
      </c>
      <c r="CK70" s="196">
        <v>24.48</v>
      </c>
      <c r="CL70" s="196">
        <v>24.48</v>
      </c>
      <c r="CM70" s="195">
        <v>27.13</v>
      </c>
      <c r="CN70" s="195">
        <v>27.89</v>
      </c>
      <c r="CO70" s="195">
        <v>79.88</v>
      </c>
      <c r="CP70" s="197">
        <v>134.88999999999999</v>
      </c>
    </row>
    <row r="71" spans="1:94" ht="13.5" customHeight="1">
      <c r="A71" s="23"/>
      <c r="B71" s="198">
        <v>2052</v>
      </c>
      <c r="D71" s="194">
        <v>34.36</v>
      </c>
      <c r="E71" s="195">
        <v>19.36</v>
      </c>
      <c r="F71" s="195">
        <v>13.36</v>
      </c>
      <c r="G71" s="196">
        <v>19.46</v>
      </c>
      <c r="H71" s="195">
        <v>25.81</v>
      </c>
      <c r="I71" s="195">
        <v>15.33</v>
      </c>
      <c r="J71" s="196">
        <v>24.55</v>
      </c>
      <c r="K71" s="196">
        <v>24.8</v>
      </c>
      <c r="L71" s="196">
        <v>24.8</v>
      </c>
      <c r="M71" s="195">
        <v>27.32</v>
      </c>
      <c r="N71" s="195">
        <v>38.46</v>
      </c>
      <c r="O71" s="195">
        <v>76.349999999999994</v>
      </c>
      <c r="P71" s="197">
        <v>142.13</v>
      </c>
      <c r="Q71" s="194">
        <v>35.21</v>
      </c>
      <c r="R71" s="195">
        <v>19.68</v>
      </c>
      <c r="S71" s="195">
        <v>14.23</v>
      </c>
      <c r="T71" s="196">
        <v>18.329999999999998</v>
      </c>
      <c r="U71" s="195">
        <v>25.81</v>
      </c>
      <c r="V71" s="195">
        <v>15.33</v>
      </c>
      <c r="W71" s="196">
        <v>24.55</v>
      </c>
      <c r="X71" s="196">
        <v>24.8</v>
      </c>
      <c r="Y71" s="196">
        <v>24.8</v>
      </c>
      <c r="Z71" s="195">
        <v>27.89</v>
      </c>
      <c r="AA71" s="195">
        <v>13.48</v>
      </c>
      <c r="AB71" s="195">
        <v>87.49</v>
      </c>
      <c r="AC71" s="197">
        <v>128.86000000000001</v>
      </c>
      <c r="AD71" s="194">
        <v>34.86</v>
      </c>
      <c r="AE71" s="195">
        <v>19.43</v>
      </c>
      <c r="AF71" s="195">
        <v>13.99</v>
      </c>
      <c r="AG71" s="196">
        <v>18.7</v>
      </c>
      <c r="AH71" s="195">
        <v>25.81</v>
      </c>
      <c r="AI71" s="195">
        <v>15.33</v>
      </c>
      <c r="AJ71" s="196">
        <v>24.55</v>
      </c>
      <c r="AK71" s="196">
        <v>24.8</v>
      </c>
      <c r="AL71" s="196">
        <v>24.8</v>
      </c>
      <c r="AM71" s="195">
        <v>29.22</v>
      </c>
      <c r="AN71" s="195">
        <v>54.09</v>
      </c>
      <c r="AO71" s="195">
        <v>68.349999999999994</v>
      </c>
      <c r="AP71" s="197">
        <v>151.66999999999999</v>
      </c>
      <c r="AQ71" s="194">
        <v>35.520000000000003</v>
      </c>
      <c r="AR71" s="195">
        <v>19.72</v>
      </c>
      <c r="AS71" s="195">
        <v>13.94</v>
      </c>
      <c r="AT71" s="196">
        <v>18.95</v>
      </c>
      <c r="AU71" s="195">
        <v>25.81</v>
      </c>
      <c r="AV71" s="195">
        <v>15.33</v>
      </c>
      <c r="AW71" s="196">
        <v>24.55</v>
      </c>
      <c r="AX71" s="196">
        <v>24.8</v>
      </c>
      <c r="AY71" s="196">
        <v>24.8</v>
      </c>
      <c r="AZ71" s="195">
        <v>29.2</v>
      </c>
      <c r="BA71" s="195">
        <v>73.94</v>
      </c>
      <c r="BB71" s="195">
        <v>59.3</v>
      </c>
      <c r="BC71" s="197">
        <v>162.44</v>
      </c>
      <c r="BD71" s="195">
        <v>34.92</v>
      </c>
      <c r="BE71" s="195">
        <v>19.5</v>
      </c>
      <c r="BF71" s="195">
        <v>13.98</v>
      </c>
      <c r="BG71" s="196">
        <v>18.809999999999999</v>
      </c>
      <c r="BH71" s="195">
        <v>25.81</v>
      </c>
      <c r="BI71" s="195">
        <v>15.33</v>
      </c>
      <c r="BJ71" s="196">
        <v>24.55</v>
      </c>
      <c r="BK71" s="196">
        <v>24.8</v>
      </c>
      <c r="BL71" s="196">
        <v>24.8</v>
      </c>
      <c r="BM71" s="195">
        <v>28.12</v>
      </c>
      <c r="BN71" s="195">
        <v>33.380000000000003</v>
      </c>
      <c r="BO71" s="195">
        <v>78.3</v>
      </c>
      <c r="BP71" s="197">
        <v>139.81</v>
      </c>
      <c r="BQ71" s="195">
        <v>39.909999999999997</v>
      </c>
      <c r="BR71" s="195">
        <v>20.64</v>
      </c>
      <c r="BS71" s="195">
        <v>16.55</v>
      </c>
      <c r="BT71" s="196">
        <v>17.68</v>
      </c>
      <c r="BU71" s="195">
        <v>27.1</v>
      </c>
      <c r="BV71" s="195">
        <v>21.31</v>
      </c>
      <c r="BW71" s="196">
        <v>26.41</v>
      </c>
      <c r="BX71" s="196">
        <v>24.8</v>
      </c>
      <c r="BY71" s="196">
        <v>24.8</v>
      </c>
      <c r="BZ71" s="195">
        <v>25.54</v>
      </c>
      <c r="CA71" s="195">
        <v>12.65</v>
      </c>
      <c r="CB71" s="195">
        <v>88.94</v>
      </c>
      <c r="CC71" s="197">
        <v>127.13</v>
      </c>
      <c r="CD71" s="195">
        <v>35.270000000000003</v>
      </c>
      <c r="CE71" s="195">
        <v>19.59</v>
      </c>
      <c r="CF71" s="195">
        <v>14.88</v>
      </c>
      <c r="CG71" s="196">
        <v>18.54</v>
      </c>
      <c r="CH71" s="195">
        <v>25.81</v>
      </c>
      <c r="CI71" s="195">
        <v>16.690000000000001</v>
      </c>
      <c r="CJ71" s="196">
        <v>24.72</v>
      </c>
      <c r="CK71" s="196">
        <v>24.8</v>
      </c>
      <c r="CL71" s="196">
        <v>24.8</v>
      </c>
      <c r="CM71" s="195">
        <v>27.48</v>
      </c>
      <c r="CN71" s="195">
        <v>28.26</v>
      </c>
      <c r="CO71" s="195">
        <v>80.930000000000007</v>
      </c>
      <c r="CP71" s="197">
        <v>136.66999999999999</v>
      </c>
    </row>
    <row r="72" spans="1:94" ht="13.5" customHeight="1">
      <c r="A72" s="23"/>
      <c r="B72" s="198">
        <v>2053</v>
      </c>
      <c r="D72" s="194">
        <v>34.82</v>
      </c>
      <c r="E72" s="195">
        <v>19.62</v>
      </c>
      <c r="F72" s="195">
        <v>13.54</v>
      </c>
      <c r="G72" s="196">
        <v>19.72</v>
      </c>
      <c r="H72" s="195">
        <v>26.15</v>
      </c>
      <c r="I72" s="195">
        <v>15.53</v>
      </c>
      <c r="J72" s="196">
        <v>24.88</v>
      </c>
      <c r="K72" s="196">
        <v>25.13</v>
      </c>
      <c r="L72" s="196">
        <v>25.13</v>
      </c>
      <c r="M72" s="195">
        <v>27.68</v>
      </c>
      <c r="N72" s="195">
        <v>38.97</v>
      </c>
      <c r="O72" s="195">
        <v>77.37</v>
      </c>
      <c r="P72" s="197">
        <v>144.02000000000001</v>
      </c>
      <c r="Q72" s="194">
        <v>35.68</v>
      </c>
      <c r="R72" s="195">
        <v>19.940000000000001</v>
      </c>
      <c r="S72" s="195">
        <v>14.42</v>
      </c>
      <c r="T72" s="196">
        <v>18.57</v>
      </c>
      <c r="U72" s="195">
        <v>26.15</v>
      </c>
      <c r="V72" s="195">
        <v>15.53</v>
      </c>
      <c r="W72" s="196">
        <v>24.88</v>
      </c>
      <c r="X72" s="196">
        <v>25.13</v>
      </c>
      <c r="Y72" s="196">
        <v>25.13</v>
      </c>
      <c r="Z72" s="195">
        <v>28.26</v>
      </c>
      <c r="AA72" s="195">
        <v>13.66</v>
      </c>
      <c r="AB72" s="195">
        <v>88.66</v>
      </c>
      <c r="AC72" s="197">
        <v>130.58000000000001</v>
      </c>
      <c r="AD72" s="194">
        <v>35.32</v>
      </c>
      <c r="AE72" s="195">
        <v>19.690000000000001</v>
      </c>
      <c r="AF72" s="195">
        <v>14.18</v>
      </c>
      <c r="AG72" s="196">
        <v>18.95</v>
      </c>
      <c r="AH72" s="195">
        <v>26.15</v>
      </c>
      <c r="AI72" s="195">
        <v>15.53</v>
      </c>
      <c r="AJ72" s="196">
        <v>24.88</v>
      </c>
      <c r="AK72" s="196">
        <v>25.13</v>
      </c>
      <c r="AL72" s="196">
        <v>25.13</v>
      </c>
      <c r="AM72" s="195">
        <v>29.61</v>
      </c>
      <c r="AN72" s="195">
        <v>54.81</v>
      </c>
      <c r="AO72" s="195">
        <v>69.260000000000005</v>
      </c>
      <c r="AP72" s="197">
        <v>153.69</v>
      </c>
      <c r="AQ72" s="194">
        <v>35.99</v>
      </c>
      <c r="AR72" s="195">
        <v>19.98</v>
      </c>
      <c r="AS72" s="195">
        <v>14.13</v>
      </c>
      <c r="AT72" s="196">
        <v>19.2</v>
      </c>
      <c r="AU72" s="195">
        <v>26.15</v>
      </c>
      <c r="AV72" s="195">
        <v>15.53</v>
      </c>
      <c r="AW72" s="196">
        <v>24.88</v>
      </c>
      <c r="AX72" s="196">
        <v>25.13</v>
      </c>
      <c r="AY72" s="196">
        <v>25.13</v>
      </c>
      <c r="AZ72" s="195">
        <v>29.58</v>
      </c>
      <c r="BA72" s="195">
        <v>74.930000000000007</v>
      </c>
      <c r="BB72" s="195">
        <v>60.09</v>
      </c>
      <c r="BC72" s="197">
        <v>164.61</v>
      </c>
      <c r="BD72" s="195">
        <v>35.380000000000003</v>
      </c>
      <c r="BE72" s="195">
        <v>19.760000000000002</v>
      </c>
      <c r="BF72" s="195">
        <v>14.16</v>
      </c>
      <c r="BG72" s="196">
        <v>19.059999999999999</v>
      </c>
      <c r="BH72" s="195">
        <v>26.15</v>
      </c>
      <c r="BI72" s="195">
        <v>15.53</v>
      </c>
      <c r="BJ72" s="196">
        <v>24.88</v>
      </c>
      <c r="BK72" s="196">
        <v>25.13</v>
      </c>
      <c r="BL72" s="196">
        <v>25.13</v>
      </c>
      <c r="BM72" s="195">
        <v>28.5</v>
      </c>
      <c r="BN72" s="195">
        <v>33.82</v>
      </c>
      <c r="BO72" s="195">
        <v>79.349999999999994</v>
      </c>
      <c r="BP72" s="197">
        <v>141.66999999999999</v>
      </c>
      <c r="BQ72" s="195">
        <v>40.44</v>
      </c>
      <c r="BR72" s="195">
        <v>20.92</v>
      </c>
      <c r="BS72" s="195">
        <v>16.77</v>
      </c>
      <c r="BT72" s="196">
        <v>17.920000000000002</v>
      </c>
      <c r="BU72" s="195">
        <v>27.46</v>
      </c>
      <c r="BV72" s="195">
        <v>21.6</v>
      </c>
      <c r="BW72" s="196">
        <v>26.76</v>
      </c>
      <c r="BX72" s="196">
        <v>25.13</v>
      </c>
      <c r="BY72" s="196">
        <v>25.13</v>
      </c>
      <c r="BZ72" s="195">
        <v>25.88</v>
      </c>
      <c r="CA72" s="195">
        <v>12.81</v>
      </c>
      <c r="CB72" s="195">
        <v>90.12</v>
      </c>
      <c r="CC72" s="197">
        <v>128.82</v>
      </c>
      <c r="CD72" s="195">
        <v>35.74</v>
      </c>
      <c r="CE72" s="195">
        <v>19.850000000000001</v>
      </c>
      <c r="CF72" s="195">
        <v>15.08</v>
      </c>
      <c r="CG72" s="196">
        <v>18.79</v>
      </c>
      <c r="CH72" s="195">
        <v>26.15</v>
      </c>
      <c r="CI72" s="195">
        <v>16.920000000000002</v>
      </c>
      <c r="CJ72" s="196">
        <v>25.05</v>
      </c>
      <c r="CK72" s="196">
        <v>25.13</v>
      </c>
      <c r="CL72" s="196">
        <v>25.13</v>
      </c>
      <c r="CM72" s="195">
        <v>27.85</v>
      </c>
      <c r="CN72" s="195">
        <v>28.64</v>
      </c>
      <c r="CO72" s="195">
        <v>82.01</v>
      </c>
      <c r="CP72" s="197">
        <v>138.5</v>
      </c>
    </row>
    <row r="73" spans="1:94" ht="13.5" customHeight="1">
      <c r="A73" s="23"/>
      <c r="B73" s="198">
        <v>2054</v>
      </c>
      <c r="D73" s="194">
        <v>35.29</v>
      </c>
      <c r="E73" s="195">
        <v>19.89</v>
      </c>
      <c r="F73" s="195">
        <v>13.72</v>
      </c>
      <c r="G73" s="196">
        <v>19.989999999999998</v>
      </c>
      <c r="H73" s="195">
        <v>26.5</v>
      </c>
      <c r="I73" s="195">
        <v>15.74</v>
      </c>
      <c r="J73" s="196">
        <v>25.21</v>
      </c>
      <c r="K73" s="196">
        <v>25.47</v>
      </c>
      <c r="L73" s="196">
        <v>25.47</v>
      </c>
      <c r="M73" s="195">
        <v>28.05</v>
      </c>
      <c r="N73" s="195">
        <v>39.5</v>
      </c>
      <c r="O73" s="195">
        <v>78.400000000000006</v>
      </c>
      <c r="P73" s="197">
        <v>145.94999999999999</v>
      </c>
      <c r="Q73" s="194">
        <v>36.159999999999997</v>
      </c>
      <c r="R73" s="195">
        <v>20.21</v>
      </c>
      <c r="S73" s="195">
        <v>14.61</v>
      </c>
      <c r="T73" s="196">
        <v>18.82</v>
      </c>
      <c r="U73" s="195">
        <v>26.5</v>
      </c>
      <c r="V73" s="195">
        <v>15.74</v>
      </c>
      <c r="W73" s="196">
        <v>25.21</v>
      </c>
      <c r="X73" s="196">
        <v>25.47</v>
      </c>
      <c r="Y73" s="196">
        <v>25.47</v>
      </c>
      <c r="Z73" s="195">
        <v>28.64</v>
      </c>
      <c r="AA73" s="195">
        <v>13.84</v>
      </c>
      <c r="AB73" s="195">
        <v>89.84</v>
      </c>
      <c r="AC73" s="197">
        <v>132.33000000000001</v>
      </c>
      <c r="AD73" s="194">
        <v>35.79</v>
      </c>
      <c r="AE73" s="195">
        <v>19.95</v>
      </c>
      <c r="AF73" s="195">
        <v>14.37</v>
      </c>
      <c r="AG73" s="196">
        <v>19.2</v>
      </c>
      <c r="AH73" s="195">
        <v>26.5</v>
      </c>
      <c r="AI73" s="195">
        <v>15.74</v>
      </c>
      <c r="AJ73" s="196">
        <v>25.21</v>
      </c>
      <c r="AK73" s="196">
        <v>25.47</v>
      </c>
      <c r="AL73" s="196">
        <v>25.47</v>
      </c>
      <c r="AM73" s="195">
        <v>30</v>
      </c>
      <c r="AN73" s="195">
        <v>55.55</v>
      </c>
      <c r="AO73" s="195">
        <v>70.19</v>
      </c>
      <c r="AP73" s="197">
        <v>155.74</v>
      </c>
      <c r="AQ73" s="194">
        <v>36.47</v>
      </c>
      <c r="AR73" s="195">
        <v>20.25</v>
      </c>
      <c r="AS73" s="195">
        <v>14.32</v>
      </c>
      <c r="AT73" s="196">
        <v>19.45</v>
      </c>
      <c r="AU73" s="195">
        <v>26.5</v>
      </c>
      <c r="AV73" s="195">
        <v>15.74</v>
      </c>
      <c r="AW73" s="196">
        <v>25.21</v>
      </c>
      <c r="AX73" s="196">
        <v>25.47</v>
      </c>
      <c r="AY73" s="196">
        <v>25.47</v>
      </c>
      <c r="AZ73" s="195">
        <v>29.98</v>
      </c>
      <c r="BA73" s="195">
        <v>75.930000000000007</v>
      </c>
      <c r="BB73" s="195">
        <v>60.9</v>
      </c>
      <c r="BC73" s="197">
        <v>166.81</v>
      </c>
      <c r="BD73" s="195">
        <v>35.86</v>
      </c>
      <c r="BE73" s="195">
        <v>20.02</v>
      </c>
      <c r="BF73" s="195">
        <v>14.35</v>
      </c>
      <c r="BG73" s="196">
        <v>19.309999999999999</v>
      </c>
      <c r="BH73" s="195">
        <v>26.5</v>
      </c>
      <c r="BI73" s="195">
        <v>15.74</v>
      </c>
      <c r="BJ73" s="196">
        <v>25.21</v>
      </c>
      <c r="BK73" s="196">
        <v>25.47</v>
      </c>
      <c r="BL73" s="196">
        <v>25.47</v>
      </c>
      <c r="BM73" s="195">
        <v>28.88</v>
      </c>
      <c r="BN73" s="195">
        <v>34.28</v>
      </c>
      <c r="BO73" s="195">
        <v>80.41</v>
      </c>
      <c r="BP73" s="197">
        <v>143.56</v>
      </c>
      <c r="BQ73" s="195">
        <v>40.98</v>
      </c>
      <c r="BR73" s="195">
        <v>21.2</v>
      </c>
      <c r="BS73" s="195">
        <v>16.989999999999998</v>
      </c>
      <c r="BT73" s="196">
        <v>18.16</v>
      </c>
      <c r="BU73" s="195">
        <v>27.83</v>
      </c>
      <c r="BV73" s="195">
        <v>21.89</v>
      </c>
      <c r="BW73" s="196">
        <v>27.12</v>
      </c>
      <c r="BX73" s="196">
        <v>25.47</v>
      </c>
      <c r="BY73" s="196">
        <v>25.47</v>
      </c>
      <c r="BZ73" s="195">
        <v>26.23</v>
      </c>
      <c r="CA73" s="195">
        <v>12.99</v>
      </c>
      <c r="CB73" s="195">
        <v>91.33</v>
      </c>
      <c r="CC73" s="197">
        <v>130.54</v>
      </c>
      <c r="CD73" s="195">
        <v>36.22</v>
      </c>
      <c r="CE73" s="195">
        <v>20.12</v>
      </c>
      <c r="CF73" s="195">
        <v>15.28</v>
      </c>
      <c r="CG73" s="196">
        <v>19.04</v>
      </c>
      <c r="CH73" s="195">
        <v>26.5</v>
      </c>
      <c r="CI73" s="195">
        <v>17.14</v>
      </c>
      <c r="CJ73" s="196">
        <v>25.38</v>
      </c>
      <c r="CK73" s="196">
        <v>25.47</v>
      </c>
      <c r="CL73" s="196">
        <v>25.47</v>
      </c>
      <c r="CM73" s="195">
        <v>28.22</v>
      </c>
      <c r="CN73" s="195">
        <v>29.02</v>
      </c>
      <c r="CO73" s="195">
        <v>83.11</v>
      </c>
      <c r="CP73" s="197">
        <v>140.35</v>
      </c>
    </row>
    <row r="74" spans="1:94" ht="13.5" customHeight="1">
      <c r="A74" s="23"/>
      <c r="B74" s="198">
        <v>2055</v>
      </c>
      <c r="D74" s="194">
        <v>35.76</v>
      </c>
      <c r="E74" s="195">
        <v>20.16</v>
      </c>
      <c r="F74" s="195">
        <v>13.91</v>
      </c>
      <c r="G74" s="196">
        <v>20.260000000000002</v>
      </c>
      <c r="H74" s="195">
        <v>26.86</v>
      </c>
      <c r="I74" s="195">
        <v>15.95</v>
      </c>
      <c r="J74" s="196">
        <v>25.55</v>
      </c>
      <c r="K74" s="196">
        <v>25.81</v>
      </c>
      <c r="L74" s="196">
        <v>25.81</v>
      </c>
      <c r="M74" s="195">
        <v>28.43</v>
      </c>
      <c r="N74" s="195">
        <v>40.03</v>
      </c>
      <c r="O74" s="195">
        <v>79.47</v>
      </c>
      <c r="P74" s="197">
        <v>147.93</v>
      </c>
      <c r="Q74" s="194">
        <v>36.65</v>
      </c>
      <c r="R74" s="195">
        <v>20.48</v>
      </c>
      <c r="S74" s="195">
        <v>14.81</v>
      </c>
      <c r="T74" s="196">
        <v>19.079999999999998</v>
      </c>
      <c r="U74" s="195">
        <v>26.86</v>
      </c>
      <c r="V74" s="195">
        <v>15.95</v>
      </c>
      <c r="W74" s="196">
        <v>25.55</v>
      </c>
      <c r="X74" s="196">
        <v>25.81</v>
      </c>
      <c r="Y74" s="196">
        <v>25.81</v>
      </c>
      <c r="Z74" s="195">
        <v>29.03</v>
      </c>
      <c r="AA74" s="195">
        <v>14.03</v>
      </c>
      <c r="AB74" s="195">
        <v>91.06</v>
      </c>
      <c r="AC74" s="197">
        <v>134.12</v>
      </c>
      <c r="AD74" s="194">
        <v>36.28</v>
      </c>
      <c r="AE74" s="195">
        <v>20.22</v>
      </c>
      <c r="AF74" s="195">
        <v>14.56</v>
      </c>
      <c r="AG74" s="196">
        <v>19.46</v>
      </c>
      <c r="AH74" s="195">
        <v>26.86</v>
      </c>
      <c r="AI74" s="195">
        <v>15.95</v>
      </c>
      <c r="AJ74" s="196">
        <v>25.55</v>
      </c>
      <c r="AK74" s="196">
        <v>25.81</v>
      </c>
      <c r="AL74" s="196">
        <v>25.81</v>
      </c>
      <c r="AM74" s="195">
        <v>30.41</v>
      </c>
      <c r="AN74" s="195">
        <v>56.3</v>
      </c>
      <c r="AO74" s="195">
        <v>71.14</v>
      </c>
      <c r="AP74" s="197">
        <v>157.86000000000001</v>
      </c>
      <c r="AQ74" s="194">
        <v>36.97</v>
      </c>
      <c r="AR74" s="195">
        <v>20.52</v>
      </c>
      <c r="AS74" s="195">
        <v>14.51</v>
      </c>
      <c r="AT74" s="196">
        <v>19.72</v>
      </c>
      <c r="AU74" s="195">
        <v>26.86</v>
      </c>
      <c r="AV74" s="195">
        <v>15.95</v>
      </c>
      <c r="AW74" s="196">
        <v>25.55</v>
      </c>
      <c r="AX74" s="196">
        <v>25.81</v>
      </c>
      <c r="AY74" s="196">
        <v>25.81</v>
      </c>
      <c r="AZ74" s="195">
        <v>30.39</v>
      </c>
      <c r="BA74" s="195">
        <v>76.959999999999994</v>
      </c>
      <c r="BB74" s="195">
        <v>61.73</v>
      </c>
      <c r="BC74" s="197">
        <v>169.07</v>
      </c>
      <c r="BD74" s="195">
        <v>36.35</v>
      </c>
      <c r="BE74" s="195">
        <v>20.29</v>
      </c>
      <c r="BF74" s="195">
        <v>14.55</v>
      </c>
      <c r="BG74" s="196">
        <v>19.579999999999998</v>
      </c>
      <c r="BH74" s="195">
        <v>26.86</v>
      </c>
      <c r="BI74" s="195">
        <v>15.95</v>
      </c>
      <c r="BJ74" s="196">
        <v>25.55</v>
      </c>
      <c r="BK74" s="196">
        <v>25.81</v>
      </c>
      <c r="BL74" s="196">
        <v>25.81</v>
      </c>
      <c r="BM74" s="195">
        <v>29.27</v>
      </c>
      <c r="BN74" s="195">
        <v>34.74</v>
      </c>
      <c r="BO74" s="195">
        <v>81.5</v>
      </c>
      <c r="BP74" s="197">
        <v>145.51</v>
      </c>
      <c r="BQ74" s="195">
        <v>41.54</v>
      </c>
      <c r="BR74" s="195">
        <v>21.49</v>
      </c>
      <c r="BS74" s="195">
        <v>17.22</v>
      </c>
      <c r="BT74" s="196">
        <v>18.399999999999999</v>
      </c>
      <c r="BU74" s="195">
        <v>28.21</v>
      </c>
      <c r="BV74" s="195">
        <v>22.18</v>
      </c>
      <c r="BW74" s="196">
        <v>27.48</v>
      </c>
      <c r="BX74" s="196">
        <v>25.81</v>
      </c>
      <c r="BY74" s="196">
        <v>25.81</v>
      </c>
      <c r="BZ74" s="195">
        <v>26.58</v>
      </c>
      <c r="CA74" s="195">
        <v>13.16</v>
      </c>
      <c r="CB74" s="195">
        <v>92.57</v>
      </c>
      <c r="CC74" s="197">
        <v>132.32</v>
      </c>
      <c r="CD74" s="195">
        <v>36.71</v>
      </c>
      <c r="CE74" s="195">
        <v>20.39</v>
      </c>
      <c r="CF74" s="195">
        <v>15.49</v>
      </c>
      <c r="CG74" s="196">
        <v>19.3</v>
      </c>
      <c r="CH74" s="195">
        <v>26.86</v>
      </c>
      <c r="CI74" s="195">
        <v>17.38</v>
      </c>
      <c r="CJ74" s="196">
        <v>25.73</v>
      </c>
      <c r="CK74" s="196">
        <v>25.81</v>
      </c>
      <c r="CL74" s="196">
        <v>25.81</v>
      </c>
      <c r="CM74" s="195">
        <v>28.61</v>
      </c>
      <c r="CN74" s="195">
        <v>29.41</v>
      </c>
      <c r="CO74" s="195">
        <v>84.23</v>
      </c>
      <c r="CP74" s="197">
        <v>142.25</v>
      </c>
    </row>
    <row r="75" spans="1:94" ht="13.5" customHeight="1">
      <c r="A75" s="23"/>
      <c r="B75" s="198">
        <v>2056</v>
      </c>
      <c r="D75" s="194">
        <v>36.25</v>
      </c>
      <c r="E75" s="195">
        <v>20.43</v>
      </c>
      <c r="F75" s="195">
        <v>14.1</v>
      </c>
      <c r="G75" s="196">
        <v>20.53</v>
      </c>
      <c r="H75" s="195">
        <v>27.23</v>
      </c>
      <c r="I75" s="195">
        <v>16.170000000000002</v>
      </c>
      <c r="J75" s="196">
        <v>25.9</v>
      </c>
      <c r="K75" s="196">
        <v>26.17</v>
      </c>
      <c r="L75" s="196">
        <v>26.17</v>
      </c>
      <c r="M75" s="195">
        <v>28.82</v>
      </c>
      <c r="N75" s="195">
        <v>40.58</v>
      </c>
      <c r="O75" s="195">
        <v>80.55</v>
      </c>
      <c r="P75" s="197">
        <v>149.96</v>
      </c>
      <c r="Q75" s="194">
        <v>37.15</v>
      </c>
      <c r="R75" s="195">
        <v>20.76</v>
      </c>
      <c r="S75" s="195">
        <v>15.02</v>
      </c>
      <c r="T75" s="196">
        <v>19.34</v>
      </c>
      <c r="U75" s="195">
        <v>27.23</v>
      </c>
      <c r="V75" s="195">
        <v>16.170000000000002</v>
      </c>
      <c r="W75" s="196">
        <v>25.9</v>
      </c>
      <c r="X75" s="196">
        <v>26.17</v>
      </c>
      <c r="Y75" s="196">
        <v>26.17</v>
      </c>
      <c r="Z75" s="195">
        <v>29.43</v>
      </c>
      <c r="AA75" s="195">
        <v>14.22</v>
      </c>
      <c r="AB75" s="195">
        <v>92.31</v>
      </c>
      <c r="AC75" s="197">
        <v>135.96</v>
      </c>
      <c r="AD75" s="194">
        <v>36.78</v>
      </c>
      <c r="AE75" s="195">
        <v>20.5</v>
      </c>
      <c r="AF75" s="195">
        <v>14.76</v>
      </c>
      <c r="AG75" s="196">
        <v>19.73</v>
      </c>
      <c r="AH75" s="195">
        <v>27.23</v>
      </c>
      <c r="AI75" s="195">
        <v>16.170000000000002</v>
      </c>
      <c r="AJ75" s="196">
        <v>25.9</v>
      </c>
      <c r="AK75" s="196">
        <v>26.17</v>
      </c>
      <c r="AL75" s="196">
        <v>26.17</v>
      </c>
      <c r="AM75" s="195">
        <v>30.83</v>
      </c>
      <c r="AN75" s="195">
        <v>57.07</v>
      </c>
      <c r="AO75" s="195">
        <v>72.12</v>
      </c>
      <c r="AP75" s="197">
        <v>160.02000000000001</v>
      </c>
      <c r="AQ75" s="194">
        <v>37.47</v>
      </c>
      <c r="AR75" s="195">
        <v>20.8</v>
      </c>
      <c r="AS75" s="195">
        <v>14.71</v>
      </c>
      <c r="AT75" s="196">
        <v>19.989999999999998</v>
      </c>
      <c r="AU75" s="195">
        <v>27.23</v>
      </c>
      <c r="AV75" s="195">
        <v>16.170000000000002</v>
      </c>
      <c r="AW75" s="196">
        <v>25.9</v>
      </c>
      <c r="AX75" s="196">
        <v>26.17</v>
      </c>
      <c r="AY75" s="196">
        <v>26.17</v>
      </c>
      <c r="AZ75" s="195">
        <v>30.8</v>
      </c>
      <c r="BA75" s="195">
        <v>78.010000000000005</v>
      </c>
      <c r="BB75" s="195">
        <v>62.57</v>
      </c>
      <c r="BC75" s="197">
        <v>171.39</v>
      </c>
      <c r="BD75" s="195">
        <v>36.840000000000003</v>
      </c>
      <c r="BE75" s="195">
        <v>20.57</v>
      </c>
      <c r="BF75" s="195">
        <v>14.75</v>
      </c>
      <c r="BG75" s="196">
        <v>19.84</v>
      </c>
      <c r="BH75" s="195">
        <v>27.23</v>
      </c>
      <c r="BI75" s="195">
        <v>16.170000000000002</v>
      </c>
      <c r="BJ75" s="196">
        <v>25.9</v>
      </c>
      <c r="BK75" s="196">
        <v>26.17</v>
      </c>
      <c r="BL75" s="196">
        <v>26.17</v>
      </c>
      <c r="BM75" s="195">
        <v>29.67</v>
      </c>
      <c r="BN75" s="195">
        <v>35.22</v>
      </c>
      <c r="BO75" s="195">
        <v>82.62</v>
      </c>
      <c r="BP75" s="197">
        <v>147.51</v>
      </c>
      <c r="BQ75" s="195">
        <v>42.11</v>
      </c>
      <c r="BR75" s="195">
        <v>21.78</v>
      </c>
      <c r="BS75" s="195">
        <v>17.46</v>
      </c>
      <c r="BT75" s="196">
        <v>18.66</v>
      </c>
      <c r="BU75" s="195">
        <v>28.59</v>
      </c>
      <c r="BV75" s="195">
        <v>22.49</v>
      </c>
      <c r="BW75" s="196">
        <v>27.86</v>
      </c>
      <c r="BX75" s="196">
        <v>26.17</v>
      </c>
      <c r="BY75" s="196">
        <v>26.17</v>
      </c>
      <c r="BZ75" s="195">
        <v>26.95</v>
      </c>
      <c r="CA75" s="195">
        <v>13.34</v>
      </c>
      <c r="CB75" s="195">
        <v>93.84</v>
      </c>
      <c r="CC75" s="197">
        <v>134.13</v>
      </c>
      <c r="CD75" s="195">
        <v>37.22</v>
      </c>
      <c r="CE75" s="195">
        <v>20.67</v>
      </c>
      <c r="CF75" s="195">
        <v>15.7</v>
      </c>
      <c r="CG75" s="196">
        <v>19.559999999999999</v>
      </c>
      <c r="CH75" s="195">
        <v>27.23</v>
      </c>
      <c r="CI75" s="195">
        <v>17.61</v>
      </c>
      <c r="CJ75" s="196">
        <v>26.08</v>
      </c>
      <c r="CK75" s="196">
        <v>26.17</v>
      </c>
      <c r="CL75" s="196">
        <v>26.17</v>
      </c>
      <c r="CM75" s="195">
        <v>29</v>
      </c>
      <c r="CN75" s="195">
        <v>29.82</v>
      </c>
      <c r="CO75" s="195">
        <v>85.39</v>
      </c>
      <c r="CP75" s="197">
        <v>144.19999999999999</v>
      </c>
    </row>
    <row r="76" spans="1:94" ht="13.5" customHeight="1">
      <c r="A76" s="23"/>
      <c r="B76" s="198">
        <v>2057</v>
      </c>
      <c r="D76" s="194">
        <v>36.76</v>
      </c>
      <c r="E76" s="195">
        <v>20.71</v>
      </c>
      <c r="F76" s="195">
        <v>14.29</v>
      </c>
      <c r="G76" s="196">
        <v>20.82</v>
      </c>
      <c r="H76" s="195">
        <v>27.61</v>
      </c>
      <c r="I76" s="195">
        <v>16.399999999999999</v>
      </c>
      <c r="J76" s="196">
        <v>26.26</v>
      </c>
      <c r="K76" s="196">
        <v>26.53</v>
      </c>
      <c r="L76" s="196">
        <v>26.53</v>
      </c>
      <c r="M76" s="195">
        <v>29.22</v>
      </c>
      <c r="N76" s="195">
        <v>41.14</v>
      </c>
      <c r="O76" s="195">
        <v>81.67</v>
      </c>
      <c r="P76" s="197">
        <v>152.04</v>
      </c>
      <c r="Q76" s="194">
        <v>37.67</v>
      </c>
      <c r="R76" s="195">
        <v>21.05</v>
      </c>
      <c r="S76" s="195">
        <v>15.22</v>
      </c>
      <c r="T76" s="196">
        <v>19.61</v>
      </c>
      <c r="U76" s="195">
        <v>27.61</v>
      </c>
      <c r="V76" s="195">
        <v>16.399999999999999</v>
      </c>
      <c r="W76" s="196">
        <v>26.26</v>
      </c>
      <c r="X76" s="196">
        <v>26.53</v>
      </c>
      <c r="Y76" s="196">
        <v>26.53</v>
      </c>
      <c r="Z76" s="195">
        <v>29.84</v>
      </c>
      <c r="AA76" s="195">
        <v>14.42</v>
      </c>
      <c r="AB76" s="195">
        <v>93.59</v>
      </c>
      <c r="AC76" s="197">
        <v>137.85</v>
      </c>
      <c r="AD76" s="194">
        <v>37.29</v>
      </c>
      <c r="AE76" s="195">
        <v>20.79</v>
      </c>
      <c r="AF76" s="195">
        <v>14.97</v>
      </c>
      <c r="AG76" s="196">
        <v>20</v>
      </c>
      <c r="AH76" s="195">
        <v>27.61</v>
      </c>
      <c r="AI76" s="195">
        <v>16.399999999999999</v>
      </c>
      <c r="AJ76" s="196">
        <v>26.26</v>
      </c>
      <c r="AK76" s="196">
        <v>26.53</v>
      </c>
      <c r="AL76" s="196">
        <v>26.53</v>
      </c>
      <c r="AM76" s="195">
        <v>31.26</v>
      </c>
      <c r="AN76" s="195">
        <v>57.86</v>
      </c>
      <c r="AO76" s="195">
        <v>73.12</v>
      </c>
      <c r="AP76" s="197">
        <v>162.24</v>
      </c>
      <c r="AQ76" s="194">
        <v>37.99</v>
      </c>
      <c r="AR76" s="195">
        <v>21.09</v>
      </c>
      <c r="AS76" s="195">
        <v>14.91</v>
      </c>
      <c r="AT76" s="196">
        <v>20.27</v>
      </c>
      <c r="AU76" s="195">
        <v>27.61</v>
      </c>
      <c r="AV76" s="195">
        <v>16.399999999999999</v>
      </c>
      <c r="AW76" s="196">
        <v>26.26</v>
      </c>
      <c r="AX76" s="196">
        <v>26.53</v>
      </c>
      <c r="AY76" s="196">
        <v>26.53</v>
      </c>
      <c r="AZ76" s="195">
        <v>31.23</v>
      </c>
      <c r="BA76" s="195">
        <v>79.099999999999994</v>
      </c>
      <c r="BB76" s="195">
        <v>63.44</v>
      </c>
      <c r="BC76" s="197">
        <v>173.76</v>
      </c>
      <c r="BD76" s="195">
        <v>37.35</v>
      </c>
      <c r="BE76" s="195">
        <v>20.86</v>
      </c>
      <c r="BF76" s="195">
        <v>14.95</v>
      </c>
      <c r="BG76" s="196">
        <v>20.12</v>
      </c>
      <c r="BH76" s="195">
        <v>27.61</v>
      </c>
      <c r="BI76" s="195">
        <v>16.399999999999999</v>
      </c>
      <c r="BJ76" s="196">
        <v>26.26</v>
      </c>
      <c r="BK76" s="196">
        <v>26.53</v>
      </c>
      <c r="BL76" s="196">
        <v>26.53</v>
      </c>
      <c r="BM76" s="195">
        <v>30.08</v>
      </c>
      <c r="BN76" s="195">
        <v>35.71</v>
      </c>
      <c r="BO76" s="195">
        <v>83.76</v>
      </c>
      <c r="BP76" s="197">
        <v>149.55000000000001</v>
      </c>
      <c r="BQ76" s="195">
        <v>42.69</v>
      </c>
      <c r="BR76" s="195">
        <v>22.08</v>
      </c>
      <c r="BS76" s="195">
        <v>17.7</v>
      </c>
      <c r="BT76" s="196">
        <v>18.91</v>
      </c>
      <c r="BU76" s="195">
        <v>28.99</v>
      </c>
      <c r="BV76" s="195">
        <v>22.8</v>
      </c>
      <c r="BW76" s="196">
        <v>28.25</v>
      </c>
      <c r="BX76" s="196">
        <v>26.53</v>
      </c>
      <c r="BY76" s="196">
        <v>26.53</v>
      </c>
      <c r="BZ76" s="195">
        <v>27.32</v>
      </c>
      <c r="CA76" s="195">
        <v>13.53</v>
      </c>
      <c r="CB76" s="195">
        <v>95.14</v>
      </c>
      <c r="CC76" s="197">
        <v>135.99</v>
      </c>
      <c r="CD76" s="195">
        <v>37.729999999999997</v>
      </c>
      <c r="CE76" s="195">
        <v>20.96</v>
      </c>
      <c r="CF76" s="195">
        <v>15.92</v>
      </c>
      <c r="CG76" s="196">
        <v>19.829999999999998</v>
      </c>
      <c r="CH76" s="195">
        <v>27.61</v>
      </c>
      <c r="CI76" s="195">
        <v>17.86</v>
      </c>
      <c r="CJ76" s="196">
        <v>26.44</v>
      </c>
      <c r="CK76" s="196">
        <v>26.53</v>
      </c>
      <c r="CL76" s="196">
        <v>26.53</v>
      </c>
      <c r="CM76" s="195">
        <v>29.4</v>
      </c>
      <c r="CN76" s="195">
        <v>30.23</v>
      </c>
      <c r="CO76" s="195">
        <v>86.57</v>
      </c>
      <c r="CP76" s="197">
        <v>146.19999999999999</v>
      </c>
    </row>
    <row r="77" spans="1:94" ht="13.5" customHeight="1">
      <c r="A77" s="23"/>
      <c r="B77" s="198">
        <v>2058</v>
      </c>
      <c r="D77" s="194">
        <v>37.270000000000003</v>
      </c>
      <c r="E77" s="195">
        <v>21</v>
      </c>
      <c r="F77" s="195">
        <v>14.49</v>
      </c>
      <c r="G77" s="196">
        <v>21.11</v>
      </c>
      <c r="H77" s="195">
        <v>28</v>
      </c>
      <c r="I77" s="195">
        <v>16.63</v>
      </c>
      <c r="J77" s="196">
        <v>26.63</v>
      </c>
      <c r="K77" s="196">
        <v>26.9</v>
      </c>
      <c r="L77" s="196">
        <v>26.9</v>
      </c>
      <c r="M77" s="195">
        <v>29.63</v>
      </c>
      <c r="N77" s="195">
        <v>41.72</v>
      </c>
      <c r="O77" s="195">
        <v>82.81</v>
      </c>
      <c r="P77" s="197">
        <v>154.16</v>
      </c>
      <c r="Q77" s="194">
        <v>38.19</v>
      </c>
      <c r="R77" s="195">
        <v>21.35</v>
      </c>
      <c r="S77" s="195">
        <v>15.44</v>
      </c>
      <c r="T77" s="196">
        <v>19.88</v>
      </c>
      <c r="U77" s="195">
        <v>28</v>
      </c>
      <c r="V77" s="195">
        <v>16.63</v>
      </c>
      <c r="W77" s="196">
        <v>26.63</v>
      </c>
      <c r="X77" s="196">
        <v>26.9</v>
      </c>
      <c r="Y77" s="196">
        <v>26.9</v>
      </c>
      <c r="Z77" s="195">
        <v>30.25</v>
      </c>
      <c r="AA77" s="195">
        <v>14.62</v>
      </c>
      <c r="AB77" s="195">
        <v>94.9</v>
      </c>
      <c r="AC77" s="197">
        <v>139.77000000000001</v>
      </c>
      <c r="AD77" s="194">
        <v>37.81</v>
      </c>
      <c r="AE77" s="195">
        <v>21.08</v>
      </c>
      <c r="AF77" s="195">
        <v>15.18</v>
      </c>
      <c r="AG77" s="196">
        <v>20.28</v>
      </c>
      <c r="AH77" s="195">
        <v>28</v>
      </c>
      <c r="AI77" s="195">
        <v>16.63</v>
      </c>
      <c r="AJ77" s="196">
        <v>26.63</v>
      </c>
      <c r="AK77" s="196">
        <v>26.9</v>
      </c>
      <c r="AL77" s="196">
        <v>26.9</v>
      </c>
      <c r="AM77" s="195">
        <v>31.69</v>
      </c>
      <c r="AN77" s="195">
        <v>58.67</v>
      </c>
      <c r="AO77" s="195">
        <v>74.14</v>
      </c>
      <c r="AP77" s="197">
        <v>164.5</v>
      </c>
      <c r="AQ77" s="194">
        <v>38.520000000000003</v>
      </c>
      <c r="AR77" s="195">
        <v>21.38</v>
      </c>
      <c r="AS77" s="195">
        <v>15.12</v>
      </c>
      <c r="AT77" s="196">
        <v>20.55</v>
      </c>
      <c r="AU77" s="195">
        <v>28</v>
      </c>
      <c r="AV77" s="195">
        <v>16.63</v>
      </c>
      <c r="AW77" s="196">
        <v>26.63</v>
      </c>
      <c r="AX77" s="196">
        <v>26.9</v>
      </c>
      <c r="AY77" s="196">
        <v>26.9</v>
      </c>
      <c r="AZ77" s="195">
        <v>31.67</v>
      </c>
      <c r="BA77" s="195">
        <v>80.2</v>
      </c>
      <c r="BB77" s="195">
        <v>64.33</v>
      </c>
      <c r="BC77" s="197">
        <v>176.19</v>
      </c>
      <c r="BD77" s="195">
        <v>37.880000000000003</v>
      </c>
      <c r="BE77" s="195">
        <v>21.15</v>
      </c>
      <c r="BF77" s="195">
        <v>15.16</v>
      </c>
      <c r="BG77" s="196">
        <v>20.399999999999999</v>
      </c>
      <c r="BH77" s="195">
        <v>28</v>
      </c>
      <c r="BI77" s="195">
        <v>16.63</v>
      </c>
      <c r="BJ77" s="196">
        <v>26.63</v>
      </c>
      <c r="BK77" s="196">
        <v>26.9</v>
      </c>
      <c r="BL77" s="196">
        <v>26.9</v>
      </c>
      <c r="BM77" s="195">
        <v>30.5</v>
      </c>
      <c r="BN77" s="195">
        <v>36.21</v>
      </c>
      <c r="BO77" s="195">
        <v>84.93</v>
      </c>
      <c r="BP77" s="197">
        <v>151.63999999999999</v>
      </c>
      <c r="BQ77" s="195">
        <v>43.29</v>
      </c>
      <c r="BR77" s="195">
        <v>22.39</v>
      </c>
      <c r="BS77" s="195">
        <v>17.95</v>
      </c>
      <c r="BT77" s="196">
        <v>19.18</v>
      </c>
      <c r="BU77" s="195">
        <v>29.4</v>
      </c>
      <c r="BV77" s="195">
        <v>23.12</v>
      </c>
      <c r="BW77" s="196">
        <v>28.64</v>
      </c>
      <c r="BX77" s="196">
        <v>26.9</v>
      </c>
      <c r="BY77" s="196">
        <v>26.9</v>
      </c>
      <c r="BZ77" s="195">
        <v>27.7</v>
      </c>
      <c r="CA77" s="195">
        <v>13.72</v>
      </c>
      <c r="CB77" s="195">
        <v>96.47</v>
      </c>
      <c r="CC77" s="197">
        <v>137.88999999999999</v>
      </c>
      <c r="CD77" s="195">
        <v>38.26</v>
      </c>
      <c r="CE77" s="195">
        <v>21.25</v>
      </c>
      <c r="CF77" s="195">
        <v>16.14</v>
      </c>
      <c r="CG77" s="196">
        <v>20.11</v>
      </c>
      <c r="CH77" s="195">
        <v>28</v>
      </c>
      <c r="CI77" s="195">
        <v>18.11</v>
      </c>
      <c r="CJ77" s="196">
        <v>26.81</v>
      </c>
      <c r="CK77" s="196">
        <v>26.9</v>
      </c>
      <c r="CL77" s="196">
        <v>26.9</v>
      </c>
      <c r="CM77" s="195">
        <v>29.81</v>
      </c>
      <c r="CN77" s="195">
        <v>30.65</v>
      </c>
      <c r="CO77" s="195">
        <v>87.78</v>
      </c>
      <c r="CP77" s="197">
        <v>148.24</v>
      </c>
    </row>
    <row r="78" spans="1:94" ht="13.5" customHeight="1">
      <c r="A78" s="23"/>
      <c r="B78" s="198">
        <v>2059</v>
      </c>
      <c r="D78" s="194">
        <v>37.79</v>
      </c>
      <c r="E78" s="195">
        <v>21.3</v>
      </c>
      <c r="F78" s="195">
        <v>14.69</v>
      </c>
      <c r="G78" s="196">
        <v>21.41</v>
      </c>
      <c r="H78" s="195">
        <v>28.39</v>
      </c>
      <c r="I78" s="195">
        <v>16.86</v>
      </c>
      <c r="J78" s="196">
        <v>27.01</v>
      </c>
      <c r="K78" s="196">
        <v>27.28</v>
      </c>
      <c r="L78" s="196">
        <v>27.28</v>
      </c>
      <c r="M78" s="195">
        <v>30.05</v>
      </c>
      <c r="N78" s="195">
        <v>42.3</v>
      </c>
      <c r="O78" s="195">
        <v>83.98</v>
      </c>
      <c r="P78" s="197">
        <v>156.33000000000001</v>
      </c>
      <c r="Q78" s="194">
        <v>38.729999999999997</v>
      </c>
      <c r="R78" s="195">
        <v>21.65</v>
      </c>
      <c r="S78" s="195">
        <v>15.65</v>
      </c>
      <c r="T78" s="196">
        <v>20.16</v>
      </c>
      <c r="U78" s="195">
        <v>28.39</v>
      </c>
      <c r="V78" s="195">
        <v>16.86</v>
      </c>
      <c r="W78" s="196">
        <v>27.01</v>
      </c>
      <c r="X78" s="196">
        <v>27.28</v>
      </c>
      <c r="Y78" s="196">
        <v>27.28</v>
      </c>
      <c r="Z78" s="195">
        <v>30.68</v>
      </c>
      <c r="AA78" s="195">
        <v>14.83</v>
      </c>
      <c r="AB78" s="195">
        <v>96.23</v>
      </c>
      <c r="AC78" s="197">
        <v>141.74</v>
      </c>
      <c r="AD78" s="194">
        <v>38.340000000000003</v>
      </c>
      <c r="AE78" s="195">
        <v>21.37</v>
      </c>
      <c r="AF78" s="195">
        <v>15.39</v>
      </c>
      <c r="AG78" s="196">
        <v>20.57</v>
      </c>
      <c r="AH78" s="195">
        <v>28.39</v>
      </c>
      <c r="AI78" s="195">
        <v>16.86</v>
      </c>
      <c r="AJ78" s="196">
        <v>27.01</v>
      </c>
      <c r="AK78" s="196">
        <v>27.28</v>
      </c>
      <c r="AL78" s="196">
        <v>27.28</v>
      </c>
      <c r="AM78" s="195">
        <v>32.14</v>
      </c>
      <c r="AN78" s="195">
        <v>59.5</v>
      </c>
      <c r="AO78" s="195">
        <v>75.180000000000007</v>
      </c>
      <c r="AP78" s="197">
        <v>166.82</v>
      </c>
      <c r="AQ78" s="194">
        <v>39.07</v>
      </c>
      <c r="AR78" s="195">
        <v>21.69</v>
      </c>
      <c r="AS78" s="195">
        <v>15.33</v>
      </c>
      <c r="AT78" s="196">
        <v>20.84</v>
      </c>
      <c r="AU78" s="195">
        <v>28.39</v>
      </c>
      <c r="AV78" s="195">
        <v>16.86</v>
      </c>
      <c r="AW78" s="196">
        <v>27.01</v>
      </c>
      <c r="AX78" s="196">
        <v>27.28</v>
      </c>
      <c r="AY78" s="196">
        <v>27.28</v>
      </c>
      <c r="AZ78" s="195">
        <v>32.11</v>
      </c>
      <c r="BA78" s="195">
        <v>81.33</v>
      </c>
      <c r="BB78" s="195">
        <v>65.23</v>
      </c>
      <c r="BC78" s="197">
        <v>178.67</v>
      </c>
      <c r="BD78" s="195">
        <v>38.409999999999997</v>
      </c>
      <c r="BE78" s="195">
        <v>21.45</v>
      </c>
      <c r="BF78" s="195">
        <v>15.37</v>
      </c>
      <c r="BG78" s="196">
        <v>20.69</v>
      </c>
      <c r="BH78" s="195">
        <v>28.39</v>
      </c>
      <c r="BI78" s="195">
        <v>16.86</v>
      </c>
      <c r="BJ78" s="196">
        <v>27.01</v>
      </c>
      <c r="BK78" s="196">
        <v>27.28</v>
      </c>
      <c r="BL78" s="196">
        <v>27.28</v>
      </c>
      <c r="BM78" s="195">
        <v>30.93</v>
      </c>
      <c r="BN78" s="195">
        <v>36.71</v>
      </c>
      <c r="BO78" s="195">
        <v>86.13</v>
      </c>
      <c r="BP78" s="197">
        <v>153.77000000000001</v>
      </c>
      <c r="BQ78" s="195">
        <v>43.9</v>
      </c>
      <c r="BR78" s="195">
        <v>22.71</v>
      </c>
      <c r="BS78" s="195">
        <v>18.2</v>
      </c>
      <c r="BT78" s="196">
        <v>19.45</v>
      </c>
      <c r="BU78" s="195">
        <v>29.81</v>
      </c>
      <c r="BV78" s="195">
        <v>23.44</v>
      </c>
      <c r="BW78" s="196">
        <v>29.04</v>
      </c>
      <c r="BX78" s="196">
        <v>27.28</v>
      </c>
      <c r="BY78" s="196">
        <v>27.28</v>
      </c>
      <c r="BZ78" s="195">
        <v>28.09</v>
      </c>
      <c r="CA78" s="195">
        <v>13.91</v>
      </c>
      <c r="CB78" s="195">
        <v>97.82</v>
      </c>
      <c r="CC78" s="197">
        <v>139.83000000000001</v>
      </c>
      <c r="CD78" s="195">
        <v>38.799999999999997</v>
      </c>
      <c r="CE78" s="195">
        <v>21.55</v>
      </c>
      <c r="CF78" s="195">
        <v>16.37</v>
      </c>
      <c r="CG78" s="196">
        <v>20.39</v>
      </c>
      <c r="CH78" s="195">
        <v>28.39</v>
      </c>
      <c r="CI78" s="195">
        <v>18.36</v>
      </c>
      <c r="CJ78" s="196">
        <v>27.19</v>
      </c>
      <c r="CK78" s="196">
        <v>27.28</v>
      </c>
      <c r="CL78" s="196">
        <v>27.28</v>
      </c>
      <c r="CM78" s="195">
        <v>30.23</v>
      </c>
      <c r="CN78" s="195">
        <v>31.08</v>
      </c>
      <c r="CO78" s="195">
        <v>89.02</v>
      </c>
      <c r="CP78" s="197">
        <v>150.33000000000001</v>
      </c>
    </row>
    <row r="79" spans="1:94" ht="13.5" customHeight="1">
      <c r="A79" s="23"/>
      <c r="B79" s="198">
        <v>2060</v>
      </c>
      <c r="D79" s="194">
        <v>38.33</v>
      </c>
      <c r="E79" s="195">
        <v>21.6</v>
      </c>
      <c r="F79" s="195">
        <v>14.9</v>
      </c>
      <c r="G79" s="196">
        <v>21.71</v>
      </c>
      <c r="H79" s="195">
        <v>28.79</v>
      </c>
      <c r="I79" s="195">
        <v>17.100000000000001</v>
      </c>
      <c r="J79" s="196">
        <v>27.39</v>
      </c>
      <c r="K79" s="196">
        <v>27.66</v>
      </c>
      <c r="L79" s="196">
        <v>27.66</v>
      </c>
      <c r="M79" s="195">
        <v>30.47</v>
      </c>
      <c r="N79" s="195">
        <v>42.9</v>
      </c>
      <c r="O79" s="195">
        <v>85.17</v>
      </c>
      <c r="P79" s="197">
        <v>158.55000000000001</v>
      </c>
      <c r="Q79" s="194">
        <v>39.28</v>
      </c>
      <c r="R79" s="195">
        <v>21.95</v>
      </c>
      <c r="S79" s="195">
        <v>15.88</v>
      </c>
      <c r="T79" s="196">
        <v>20.45</v>
      </c>
      <c r="U79" s="195">
        <v>28.79</v>
      </c>
      <c r="V79" s="195">
        <v>17.100000000000001</v>
      </c>
      <c r="W79" s="196">
        <v>27.39</v>
      </c>
      <c r="X79" s="196">
        <v>27.66</v>
      </c>
      <c r="Y79" s="196">
        <v>27.66</v>
      </c>
      <c r="Z79" s="195">
        <v>31.11</v>
      </c>
      <c r="AA79" s="195">
        <v>15.04</v>
      </c>
      <c r="AB79" s="195">
        <v>97.6</v>
      </c>
      <c r="AC79" s="197">
        <v>143.75</v>
      </c>
      <c r="AD79" s="194">
        <v>38.880000000000003</v>
      </c>
      <c r="AE79" s="195">
        <v>21.68</v>
      </c>
      <c r="AF79" s="195">
        <v>15.61</v>
      </c>
      <c r="AG79" s="196">
        <v>20.86</v>
      </c>
      <c r="AH79" s="195">
        <v>28.79</v>
      </c>
      <c r="AI79" s="195">
        <v>17.100000000000001</v>
      </c>
      <c r="AJ79" s="196">
        <v>27.39</v>
      </c>
      <c r="AK79" s="196">
        <v>27.66</v>
      </c>
      <c r="AL79" s="196">
        <v>27.66</v>
      </c>
      <c r="AM79" s="195">
        <v>32.590000000000003</v>
      </c>
      <c r="AN79" s="195">
        <v>60.34</v>
      </c>
      <c r="AO79" s="195">
        <v>76.25</v>
      </c>
      <c r="AP79" s="197">
        <v>169.18</v>
      </c>
      <c r="AQ79" s="194">
        <v>39.619999999999997</v>
      </c>
      <c r="AR79" s="195">
        <v>21.99</v>
      </c>
      <c r="AS79" s="195">
        <v>15.55</v>
      </c>
      <c r="AT79" s="196">
        <v>21.13</v>
      </c>
      <c r="AU79" s="195">
        <v>28.79</v>
      </c>
      <c r="AV79" s="195">
        <v>17.100000000000001</v>
      </c>
      <c r="AW79" s="196">
        <v>27.39</v>
      </c>
      <c r="AX79" s="196">
        <v>27.66</v>
      </c>
      <c r="AY79" s="196">
        <v>27.66</v>
      </c>
      <c r="AZ79" s="195">
        <v>32.57</v>
      </c>
      <c r="BA79" s="195">
        <v>82.48</v>
      </c>
      <c r="BB79" s="195">
        <v>66.150000000000006</v>
      </c>
      <c r="BC79" s="197">
        <v>181.2</v>
      </c>
      <c r="BD79" s="195">
        <v>38.950000000000003</v>
      </c>
      <c r="BE79" s="195">
        <v>21.75</v>
      </c>
      <c r="BF79" s="195">
        <v>15.59</v>
      </c>
      <c r="BG79" s="196">
        <v>20.98</v>
      </c>
      <c r="BH79" s="195">
        <v>28.79</v>
      </c>
      <c r="BI79" s="195">
        <v>17.100000000000001</v>
      </c>
      <c r="BJ79" s="196">
        <v>27.39</v>
      </c>
      <c r="BK79" s="196">
        <v>27.66</v>
      </c>
      <c r="BL79" s="196">
        <v>27.66</v>
      </c>
      <c r="BM79" s="195">
        <v>31.37</v>
      </c>
      <c r="BN79" s="195">
        <v>37.24</v>
      </c>
      <c r="BO79" s="195">
        <v>87.35</v>
      </c>
      <c r="BP79" s="197">
        <v>155.94999999999999</v>
      </c>
      <c r="BQ79" s="195">
        <v>44.52</v>
      </c>
      <c r="BR79" s="195">
        <v>23.03</v>
      </c>
      <c r="BS79" s="195">
        <v>18.46</v>
      </c>
      <c r="BT79" s="196">
        <v>19.72</v>
      </c>
      <c r="BU79" s="195">
        <v>30.23</v>
      </c>
      <c r="BV79" s="195">
        <v>23.77</v>
      </c>
      <c r="BW79" s="196">
        <v>29.46</v>
      </c>
      <c r="BX79" s="196">
        <v>27.66</v>
      </c>
      <c r="BY79" s="196">
        <v>27.66</v>
      </c>
      <c r="BZ79" s="195">
        <v>28.49</v>
      </c>
      <c r="CA79" s="195">
        <v>14.11</v>
      </c>
      <c r="CB79" s="195">
        <v>99.21</v>
      </c>
      <c r="CC79" s="197">
        <v>141.81</v>
      </c>
      <c r="CD79" s="195">
        <v>39.35</v>
      </c>
      <c r="CE79" s="195">
        <v>21.85</v>
      </c>
      <c r="CF79" s="195">
        <v>16.600000000000001</v>
      </c>
      <c r="CG79" s="196">
        <v>20.68</v>
      </c>
      <c r="CH79" s="195">
        <v>28.79</v>
      </c>
      <c r="CI79" s="195">
        <v>18.62</v>
      </c>
      <c r="CJ79" s="196">
        <v>27.57</v>
      </c>
      <c r="CK79" s="196">
        <v>27.66</v>
      </c>
      <c r="CL79" s="196">
        <v>27.66</v>
      </c>
      <c r="CM79" s="195">
        <v>30.66</v>
      </c>
      <c r="CN79" s="195">
        <v>31.52</v>
      </c>
      <c r="CO79" s="195">
        <v>90.28</v>
      </c>
      <c r="CP79" s="197">
        <v>152.46</v>
      </c>
    </row>
    <row r="80" spans="1:94" ht="13.5" customHeight="1">
      <c r="A80" s="23"/>
      <c r="B80" s="198">
        <v>2061</v>
      </c>
      <c r="D80" s="194">
        <v>38.880000000000003</v>
      </c>
      <c r="E80" s="195">
        <v>21.91</v>
      </c>
      <c r="F80" s="195">
        <v>15.12</v>
      </c>
      <c r="G80" s="196">
        <v>22.02</v>
      </c>
      <c r="H80" s="195">
        <v>29.21</v>
      </c>
      <c r="I80" s="195">
        <v>17.34</v>
      </c>
      <c r="J80" s="196">
        <v>27.78</v>
      </c>
      <c r="K80" s="196">
        <v>28.06</v>
      </c>
      <c r="L80" s="196">
        <v>28.06</v>
      </c>
      <c r="M80" s="195">
        <v>30.91</v>
      </c>
      <c r="N80" s="195">
        <v>43.52</v>
      </c>
      <c r="O80" s="195">
        <v>86.39</v>
      </c>
      <c r="P80" s="197">
        <v>160.82</v>
      </c>
      <c r="Q80" s="194">
        <v>39.840000000000003</v>
      </c>
      <c r="R80" s="195">
        <v>22.27</v>
      </c>
      <c r="S80" s="195">
        <v>16.100000000000001</v>
      </c>
      <c r="T80" s="196">
        <v>20.74</v>
      </c>
      <c r="U80" s="195">
        <v>29.21</v>
      </c>
      <c r="V80" s="195">
        <v>17.34</v>
      </c>
      <c r="W80" s="196">
        <v>27.78</v>
      </c>
      <c r="X80" s="196">
        <v>28.06</v>
      </c>
      <c r="Y80" s="196">
        <v>28.06</v>
      </c>
      <c r="Z80" s="195">
        <v>31.56</v>
      </c>
      <c r="AA80" s="195">
        <v>15.25</v>
      </c>
      <c r="AB80" s="195">
        <v>99</v>
      </c>
      <c r="AC80" s="197">
        <v>145.81</v>
      </c>
      <c r="AD80" s="194">
        <v>39.44</v>
      </c>
      <c r="AE80" s="195">
        <v>21.99</v>
      </c>
      <c r="AF80" s="195">
        <v>15.83</v>
      </c>
      <c r="AG80" s="196">
        <v>21.16</v>
      </c>
      <c r="AH80" s="195">
        <v>29.21</v>
      </c>
      <c r="AI80" s="195">
        <v>17.34</v>
      </c>
      <c r="AJ80" s="196">
        <v>27.78</v>
      </c>
      <c r="AK80" s="196">
        <v>28.06</v>
      </c>
      <c r="AL80" s="196">
        <v>28.06</v>
      </c>
      <c r="AM80" s="195">
        <v>33.06</v>
      </c>
      <c r="AN80" s="195">
        <v>61.21</v>
      </c>
      <c r="AO80" s="195">
        <v>77.34</v>
      </c>
      <c r="AP80" s="197">
        <v>171.61</v>
      </c>
      <c r="AQ80" s="194">
        <v>40.19</v>
      </c>
      <c r="AR80" s="195">
        <v>22.31</v>
      </c>
      <c r="AS80" s="195">
        <v>15.77</v>
      </c>
      <c r="AT80" s="196">
        <v>21.44</v>
      </c>
      <c r="AU80" s="195">
        <v>29.21</v>
      </c>
      <c r="AV80" s="195">
        <v>17.34</v>
      </c>
      <c r="AW80" s="196">
        <v>27.78</v>
      </c>
      <c r="AX80" s="196">
        <v>28.06</v>
      </c>
      <c r="AY80" s="196">
        <v>28.06</v>
      </c>
      <c r="AZ80" s="195">
        <v>33.04</v>
      </c>
      <c r="BA80" s="195">
        <v>83.67</v>
      </c>
      <c r="BB80" s="195">
        <v>67.099999999999994</v>
      </c>
      <c r="BC80" s="197">
        <v>183.81</v>
      </c>
      <c r="BD80" s="195">
        <v>39.51</v>
      </c>
      <c r="BE80" s="195">
        <v>22.06</v>
      </c>
      <c r="BF80" s="195">
        <v>15.81</v>
      </c>
      <c r="BG80" s="196">
        <v>21.28</v>
      </c>
      <c r="BH80" s="195">
        <v>29.21</v>
      </c>
      <c r="BI80" s="195">
        <v>17.34</v>
      </c>
      <c r="BJ80" s="196">
        <v>27.78</v>
      </c>
      <c r="BK80" s="196">
        <v>28.06</v>
      </c>
      <c r="BL80" s="196">
        <v>28.06</v>
      </c>
      <c r="BM80" s="195">
        <v>31.82</v>
      </c>
      <c r="BN80" s="195">
        <v>37.770000000000003</v>
      </c>
      <c r="BO80" s="195">
        <v>88.6</v>
      </c>
      <c r="BP80" s="197">
        <v>158.19</v>
      </c>
      <c r="BQ80" s="195">
        <v>45.16</v>
      </c>
      <c r="BR80" s="195">
        <v>23.36</v>
      </c>
      <c r="BS80" s="195">
        <v>18.72</v>
      </c>
      <c r="BT80" s="196">
        <v>20.010000000000002</v>
      </c>
      <c r="BU80" s="195">
        <v>30.67</v>
      </c>
      <c r="BV80" s="195">
        <v>24.12</v>
      </c>
      <c r="BW80" s="196">
        <v>29.88</v>
      </c>
      <c r="BX80" s="196">
        <v>28.06</v>
      </c>
      <c r="BY80" s="196">
        <v>28.06</v>
      </c>
      <c r="BZ80" s="195">
        <v>28.9</v>
      </c>
      <c r="CA80" s="195">
        <v>14.31</v>
      </c>
      <c r="CB80" s="195">
        <v>100.64</v>
      </c>
      <c r="CC80" s="197">
        <v>143.85</v>
      </c>
      <c r="CD80" s="195">
        <v>39.909999999999997</v>
      </c>
      <c r="CE80" s="195">
        <v>22.17</v>
      </c>
      <c r="CF80" s="195">
        <v>16.84</v>
      </c>
      <c r="CG80" s="196">
        <v>20.98</v>
      </c>
      <c r="CH80" s="195">
        <v>29.21</v>
      </c>
      <c r="CI80" s="195">
        <v>18.89</v>
      </c>
      <c r="CJ80" s="196">
        <v>27.97</v>
      </c>
      <c r="CK80" s="196">
        <v>28.06</v>
      </c>
      <c r="CL80" s="196">
        <v>28.06</v>
      </c>
      <c r="CM80" s="195">
        <v>31.1</v>
      </c>
      <c r="CN80" s="195">
        <v>31.98</v>
      </c>
      <c r="CO80" s="195">
        <v>91.58</v>
      </c>
      <c r="CP80" s="197">
        <v>154.65</v>
      </c>
    </row>
    <row r="81" spans="1:94" ht="13.5" customHeight="1">
      <c r="A81" s="23"/>
      <c r="B81" s="198">
        <v>2062</v>
      </c>
      <c r="D81" s="194">
        <v>39.44</v>
      </c>
      <c r="E81" s="195">
        <v>22.23</v>
      </c>
      <c r="F81" s="195">
        <v>15.34</v>
      </c>
      <c r="G81" s="196">
        <v>22.34</v>
      </c>
      <c r="H81" s="195">
        <v>29.63</v>
      </c>
      <c r="I81" s="195">
        <v>17.600000000000001</v>
      </c>
      <c r="J81" s="196">
        <v>28.18</v>
      </c>
      <c r="K81" s="196">
        <v>28.47</v>
      </c>
      <c r="L81" s="196">
        <v>28.47</v>
      </c>
      <c r="M81" s="195">
        <v>31.36</v>
      </c>
      <c r="N81" s="195">
        <v>44.15</v>
      </c>
      <c r="O81" s="195">
        <v>87.64</v>
      </c>
      <c r="P81" s="197">
        <v>163.15</v>
      </c>
      <c r="Q81" s="194">
        <v>40.42</v>
      </c>
      <c r="R81" s="195">
        <v>22.59</v>
      </c>
      <c r="S81" s="195">
        <v>16.34</v>
      </c>
      <c r="T81" s="196">
        <v>21.04</v>
      </c>
      <c r="U81" s="195">
        <v>29.63</v>
      </c>
      <c r="V81" s="195">
        <v>17.600000000000001</v>
      </c>
      <c r="W81" s="196">
        <v>28.18</v>
      </c>
      <c r="X81" s="196">
        <v>28.47</v>
      </c>
      <c r="Y81" s="196">
        <v>28.47</v>
      </c>
      <c r="Z81" s="195">
        <v>32.020000000000003</v>
      </c>
      <c r="AA81" s="195">
        <v>15.47</v>
      </c>
      <c r="AB81" s="195">
        <v>100.43</v>
      </c>
      <c r="AC81" s="197">
        <v>147.91999999999999</v>
      </c>
      <c r="AD81" s="194">
        <v>40.01</v>
      </c>
      <c r="AE81" s="195">
        <v>22.3</v>
      </c>
      <c r="AF81" s="195">
        <v>16.059999999999999</v>
      </c>
      <c r="AG81" s="196">
        <v>21.46</v>
      </c>
      <c r="AH81" s="195">
        <v>29.63</v>
      </c>
      <c r="AI81" s="195">
        <v>17.600000000000001</v>
      </c>
      <c r="AJ81" s="196">
        <v>28.18</v>
      </c>
      <c r="AK81" s="196">
        <v>28.47</v>
      </c>
      <c r="AL81" s="196">
        <v>28.47</v>
      </c>
      <c r="AM81" s="195">
        <v>33.54</v>
      </c>
      <c r="AN81" s="195">
        <v>62.09</v>
      </c>
      <c r="AO81" s="195">
        <v>78.459999999999994</v>
      </c>
      <c r="AP81" s="197">
        <v>174.09</v>
      </c>
      <c r="AQ81" s="194">
        <v>40.770000000000003</v>
      </c>
      <c r="AR81" s="195">
        <v>22.63</v>
      </c>
      <c r="AS81" s="195">
        <v>16</v>
      </c>
      <c r="AT81" s="196">
        <v>21.75</v>
      </c>
      <c r="AU81" s="195">
        <v>29.63</v>
      </c>
      <c r="AV81" s="195">
        <v>17.600000000000001</v>
      </c>
      <c r="AW81" s="196">
        <v>28.18</v>
      </c>
      <c r="AX81" s="196">
        <v>28.47</v>
      </c>
      <c r="AY81" s="196">
        <v>28.47</v>
      </c>
      <c r="AZ81" s="195">
        <v>33.51</v>
      </c>
      <c r="BA81" s="195">
        <v>84.88</v>
      </c>
      <c r="BB81" s="195">
        <v>68.069999999999993</v>
      </c>
      <c r="BC81" s="197">
        <v>186.46</v>
      </c>
      <c r="BD81" s="195">
        <v>40.08</v>
      </c>
      <c r="BE81" s="195">
        <v>22.38</v>
      </c>
      <c r="BF81" s="195">
        <v>16.04</v>
      </c>
      <c r="BG81" s="196">
        <v>21.59</v>
      </c>
      <c r="BH81" s="195">
        <v>29.63</v>
      </c>
      <c r="BI81" s="195">
        <v>17.600000000000001</v>
      </c>
      <c r="BJ81" s="196">
        <v>28.18</v>
      </c>
      <c r="BK81" s="196">
        <v>28.47</v>
      </c>
      <c r="BL81" s="196">
        <v>28.47</v>
      </c>
      <c r="BM81" s="195">
        <v>32.28</v>
      </c>
      <c r="BN81" s="195">
        <v>38.32</v>
      </c>
      <c r="BO81" s="195">
        <v>89.88</v>
      </c>
      <c r="BP81" s="197">
        <v>160.47999999999999</v>
      </c>
      <c r="BQ81" s="195">
        <v>45.81</v>
      </c>
      <c r="BR81" s="195">
        <v>23.7</v>
      </c>
      <c r="BS81" s="195">
        <v>18.989999999999998</v>
      </c>
      <c r="BT81" s="196">
        <v>20.3</v>
      </c>
      <c r="BU81" s="195">
        <v>31.11</v>
      </c>
      <c r="BV81" s="195">
        <v>24.46</v>
      </c>
      <c r="BW81" s="196">
        <v>30.31</v>
      </c>
      <c r="BX81" s="196">
        <v>28.47</v>
      </c>
      <c r="BY81" s="196">
        <v>28.47</v>
      </c>
      <c r="BZ81" s="195">
        <v>29.32</v>
      </c>
      <c r="CA81" s="195">
        <v>14.52</v>
      </c>
      <c r="CB81" s="195">
        <v>102.09</v>
      </c>
      <c r="CC81" s="197">
        <v>145.91999999999999</v>
      </c>
      <c r="CD81" s="195">
        <v>40.49</v>
      </c>
      <c r="CE81" s="195">
        <v>22.49</v>
      </c>
      <c r="CF81" s="195">
        <v>17.079999999999998</v>
      </c>
      <c r="CG81" s="196">
        <v>21.28</v>
      </c>
      <c r="CH81" s="195">
        <v>29.63</v>
      </c>
      <c r="CI81" s="195">
        <v>19.16</v>
      </c>
      <c r="CJ81" s="196">
        <v>28.37</v>
      </c>
      <c r="CK81" s="196">
        <v>28.47</v>
      </c>
      <c r="CL81" s="196">
        <v>28.47</v>
      </c>
      <c r="CM81" s="195">
        <v>31.55</v>
      </c>
      <c r="CN81" s="195">
        <v>32.44</v>
      </c>
      <c r="CO81" s="195">
        <v>92.9</v>
      </c>
      <c r="CP81" s="197">
        <v>156.88</v>
      </c>
    </row>
    <row r="82" spans="1:94" ht="13.5" customHeight="1">
      <c r="A82" s="23"/>
      <c r="B82" s="198">
        <v>2063</v>
      </c>
      <c r="D82" s="194">
        <v>40.020000000000003</v>
      </c>
      <c r="E82" s="195">
        <v>22.55</v>
      </c>
      <c r="F82" s="195">
        <v>15.56</v>
      </c>
      <c r="G82" s="196">
        <v>22.67</v>
      </c>
      <c r="H82" s="195">
        <v>30.06</v>
      </c>
      <c r="I82" s="195">
        <v>17.850000000000001</v>
      </c>
      <c r="J82" s="196">
        <v>28.59</v>
      </c>
      <c r="K82" s="196">
        <v>28.88</v>
      </c>
      <c r="L82" s="196">
        <v>28.88</v>
      </c>
      <c r="M82" s="195">
        <v>31.81</v>
      </c>
      <c r="N82" s="195">
        <v>44.79</v>
      </c>
      <c r="O82" s="195">
        <v>88.91</v>
      </c>
      <c r="P82" s="197">
        <v>165.52</v>
      </c>
      <c r="Q82" s="194">
        <v>41.01</v>
      </c>
      <c r="R82" s="195">
        <v>22.92</v>
      </c>
      <c r="S82" s="195">
        <v>16.57</v>
      </c>
      <c r="T82" s="196">
        <v>21.35</v>
      </c>
      <c r="U82" s="195">
        <v>30.06</v>
      </c>
      <c r="V82" s="195">
        <v>17.850000000000001</v>
      </c>
      <c r="W82" s="196">
        <v>28.59</v>
      </c>
      <c r="X82" s="196">
        <v>28.88</v>
      </c>
      <c r="Y82" s="196">
        <v>28.88</v>
      </c>
      <c r="Z82" s="195">
        <v>32.479999999999997</v>
      </c>
      <c r="AA82" s="195">
        <v>15.7</v>
      </c>
      <c r="AB82" s="195">
        <v>101.89</v>
      </c>
      <c r="AC82" s="197">
        <v>150.07</v>
      </c>
      <c r="AD82" s="194">
        <v>40.590000000000003</v>
      </c>
      <c r="AE82" s="195">
        <v>22.63</v>
      </c>
      <c r="AF82" s="195">
        <v>16.29</v>
      </c>
      <c r="AG82" s="196">
        <v>21.78</v>
      </c>
      <c r="AH82" s="195">
        <v>30.06</v>
      </c>
      <c r="AI82" s="195">
        <v>17.850000000000001</v>
      </c>
      <c r="AJ82" s="196">
        <v>28.59</v>
      </c>
      <c r="AK82" s="196">
        <v>28.88</v>
      </c>
      <c r="AL82" s="196">
        <v>28.88</v>
      </c>
      <c r="AM82" s="195">
        <v>34.03</v>
      </c>
      <c r="AN82" s="195">
        <v>62.99</v>
      </c>
      <c r="AO82" s="195">
        <v>79.599999999999994</v>
      </c>
      <c r="AP82" s="197">
        <v>176.63</v>
      </c>
      <c r="AQ82" s="194">
        <v>41.36</v>
      </c>
      <c r="AR82" s="195">
        <v>22.96</v>
      </c>
      <c r="AS82" s="195">
        <v>16.239999999999998</v>
      </c>
      <c r="AT82" s="196">
        <v>22.06</v>
      </c>
      <c r="AU82" s="195">
        <v>30.06</v>
      </c>
      <c r="AV82" s="195">
        <v>17.850000000000001</v>
      </c>
      <c r="AW82" s="196">
        <v>28.59</v>
      </c>
      <c r="AX82" s="196">
        <v>28.88</v>
      </c>
      <c r="AY82" s="196">
        <v>28.88</v>
      </c>
      <c r="AZ82" s="195">
        <v>34</v>
      </c>
      <c r="BA82" s="195">
        <v>86.11</v>
      </c>
      <c r="BB82" s="195">
        <v>69.06</v>
      </c>
      <c r="BC82" s="197">
        <v>189.18</v>
      </c>
      <c r="BD82" s="195">
        <v>40.67</v>
      </c>
      <c r="BE82" s="195">
        <v>22.71</v>
      </c>
      <c r="BF82" s="195">
        <v>16.28</v>
      </c>
      <c r="BG82" s="196">
        <v>21.9</v>
      </c>
      <c r="BH82" s="195">
        <v>30.06</v>
      </c>
      <c r="BI82" s="195">
        <v>17.850000000000001</v>
      </c>
      <c r="BJ82" s="196">
        <v>28.59</v>
      </c>
      <c r="BK82" s="196">
        <v>28.88</v>
      </c>
      <c r="BL82" s="196">
        <v>28.88</v>
      </c>
      <c r="BM82" s="195">
        <v>32.75</v>
      </c>
      <c r="BN82" s="195">
        <v>38.869999999999997</v>
      </c>
      <c r="BO82" s="195">
        <v>91.19</v>
      </c>
      <c r="BP82" s="197">
        <v>162.82</v>
      </c>
      <c r="BQ82" s="195">
        <v>46.48</v>
      </c>
      <c r="BR82" s="195">
        <v>24.04</v>
      </c>
      <c r="BS82" s="195">
        <v>19.27</v>
      </c>
      <c r="BT82" s="196">
        <v>20.59</v>
      </c>
      <c r="BU82" s="195">
        <v>31.56</v>
      </c>
      <c r="BV82" s="195">
        <v>24.82</v>
      </c>
      <c r="BW82" s="196">
        <v>30.75</v>
      </c>
      <c r="BX82" s="196">
        <v>28.88</v>
      </c>
      <c r="BY82" s="196">
        <v>28.88</v>
      </c>
      <c r="BZ82" s="195">
        <v>29.75</v>
      </c>
      <c r="CA82" s="195">
        <v>14.73</v>
      </c>
      <c r="CB82" s="195">
        <v>103.57</v>
      </c>
      <c r="CC82" s="197">
        <v>148.05000000000001</v>
      </c>
      <c r="CD82" s="195">
        <v>41.08</v>
      </c>
      <c r="CE82" s="195">
        <v>22.81</v>
      </c>
      <c r="CF82" s="195">
        <v>17.329999999999998</v>
      </c>
      <c r="CG82" s="196">
        <v>21.59</v>
      </c>
      <c r="CH82" s="195">
        <v>30.06</v>
      </c>
      <c r="CI82" s="195">
        <v>19.440000000000001</v>
      </c>
      <c r="CJ82" s="196">
        <v>28.78</v>
      </c>
      <c r="CK82" s="196">
        <v>28.88</v>
      </c>
      <c r="CL82" s="196">
        <v>28.88</v>
      </c>
      <c r="CM82" s="195">
        <v>32.01</v>
      </c>
      <c r="CN82" s="195">
        <v>32.909999999999997</v>
      </c>
      <c r="CO82" s="195">
        <v>94.25</v>
      </c>
      <c r="CP82" s="197">
        <v>159.16999999999999</v>
      </c>
    </row>
    <row r="83" spans="1:94" ht="13.5" customHeight="1">
      <c r="A83" s="23"/>
      <c r="B83" s="198">
        <v>2064</v>
      </c>
      <c r="D83" s="194">
        <v>40.6</v>
      </c>
      <c r="E83" s="195">
        <v>22.88</v>
      </c>
      <c r="F83" s="195">
        <v>15.79</v>
      </c>
      <c r="G83" s="196">
        <v>23</v>
      </c>
      <c r="H83" s="195">
        <v>30.5</v>
      </c>
      <c r="I83" s="195">
        <v>18.11</v>
      </c>
      <c r="J83" s="196">
        <v>29.01</v>
      </c>
      <c r="K83" s="196">
        <v>29.31</v>
      </c>
      <c r="L83" s="196">
        <v>29.31</v>
      </c>
      <c r="M83" s="195">
        <v>32.28</v>
      </c>
      <c r="N83" s="195">
        <v>45.45</v>
      </c>
      <c r="O83" s="195">
        <v>90.22</v>
      </c>
      <c r="P83" s="197">
        <v>167.95</v>
      </c>
      <c r="Q83" s="194">
        <v>41.61</v>
      </c>
      <c r="R83" s="195">
        <v>23.25</v>
      </c>
      <c r="S83" s="195">
        <v>16.82</v>
      </c>
      <c r="T83" s="196">
        <v>21.66</v>
      </c>
      <c r="U83" s="195">
        <v>30.5</v>
      </c>
      <c r="V83" s="195">
        <v>18.11</v>
      </c>
      <c r="W83" s="196">
        <v>29.01</v>
      </c>
      <c r="X83" s="196">
        <v>29.31</v>
      </c>
      <c r="Y83" s="196">
        <v>29.31</v>
      </c>
      <c r="Z83" s="195">
        <v>32.96</v>
      </c>
      <c r="AA83" s="195">
        <v>15.93</v>
      </c>
      <c r="AB83" s="195">
        <v>103.38</v>
      </c>
      <c r="AC83" s="197">
        <v>152.27000000000001</v>
      </c>
      <c r="AD83" s="194">
        <v>41.19</v>
      </c>
      <c r="AE83" s="195">
        <v>22.96</v>
      </c>
      <c r="AF83" s="195">
        <v>16.53</v>
      </c>
      <c r="AG83" s="196">
        <v>22.1</v>
      </c>
      <c r="AH83" s="195">
        <v>30.5</v>
      </c>
      <c r="AI83" s="195">
        <v>18.11</v>
      </c>
      <c r="AJ83" s="196">
        <v>29.01</v>
      </c>
      <c r="AK83" s="196">
        <v>29.31</v>
      </c>
      <c r="AL83" s="196">
        <v>29.31</v>
      </c>
      <c r="AM83" s="195">
        <v>34.53</v>
      </c>
      <c r="AN83" s="195">
        <v>63.92</v>
      </c>
      <c r="AO83" s="195">
        <v>80.77</v>
      </c>
      <c r="AP83" s="197">
        <v>179.21</v>
      </c>
      <c r="AQ83" s="194">
        <v>41.97</v>
      </c>
      <c r="AR83" s="195">
        <v>23.3</v>
      </c>
      <c r="AS83" s="195">
        <v>16.47</v>
      </c>
      <c r="AT83" s="196">
        <v>22.39</v>
      </c>
      <c r="AU83" s="195">
        <v>30.5</v>
      </c>
      <c r="AV83" s="195">
        <v>18.11</v>
      </c>
      <c r="AW83" s="196">
        <v>29.01</v>
      </c>
      <c r="AX83" s="196">
        <v>29.31</v>
      </c>
      <c r="AY83" s="196">
        <v>29.31</v>
      </c>
      <c r="AZ83" s="195">
        <v>34.5</v>
      </c>
      <c r="BA83" s="195">
        <v>87.37</v>
      </c>
      <c r="BB83" s="195">
        <v>70.08</v>
      </c>
      <c r="BC83" s="197">
        <v>191.95</v>
      </c>
      <c r="BD83" s="195">
        <v>41.26</v>
      </c>
      <c r="BE83" s="195">
        <v>23.04</v>
      </c>
      <c r="BF83" s="195">
        <v>16.510000000000002</v>
      </c>
      <c r="BG83" s="196">
        <v>22.23</v>
      </c>
      <c r="BH83" s="195">
        <v>30.5</v>
      </c>
      <c r="BI83" s="195">
        <v>18.11</v>
      </c>
      <c r="BJ83" s="196">
        <v>29.01</v>
      </c>
      <c r="BK83" s="196">
        <v>29.31</v>
      </c>
      <c r="BL83" s="196">
        <v>29.31</v>
      </c>
      <c r="BM83" s="195">
        <v>33.229999999999997</v>
      </c>
      <c r="BN83" s="195">
        <v>39.44</v>
      </c>
      <c r="BO83" s="195">
        <v>92.53</v>
      </c>
      <c r="BP83" s="197">
        <v>165.2</v>
      </c>
      <c r="BQ83" s="195">
        <v>47.16</v>
      </c>
      <c r="BR83" s="195">
        <v>24.39</v>
      </c>
      <c r="BS83" s="195">
        <v>19.55</v>
      </c>
      <c r="BT83" s="196">
        <v>20.89</v>
      </c>
      <c r="BU83" s="195">
        <v>32.020000000000003</v>
      </c>
      <c r="BV83" s="195">
        <v>25.18</v>
      </c>
      <c r="BW83" s="196">
        <v>31.2</v>
      </c>
      <c r="BX83" s="196">
        <v>29.31</v>
      </c>
      <c r="BY83" s="196">
        <v>29.31</v>
      </c>
      <c r="BZ83" s="195">
        <v>30.18</v>
      </c>
      <c r="CA83" s="195">
        <v>14.94</v>
      </c>
      <c r="CB83" s="195">
        <v>105.09</v>
      </c>
      <c r="CC83" s="197">
        <v>150.22</v>
      </c>
      <c r="CD83" s="195">
        <v>41.68</v>
      </c>
      <c r="CE83" s="195">
        <v>23.15</v>
      </c>
      <c r="CF83" s="195">
        <v>17.59</v>
      </c>
      <c r="CG83" s="196">
        <v>21.91</v>
      </c>
      <c r="CH83" s="195">
        <v>30.5</v>
      </c>
      <c r="CI83" s="195">
        <v>19.73</v>
      </c>
      <c r="CJ83" s="196">
        <v>29.21</v>
      </c>
      <c r="CK83" s="196">
        <v>29.31</v>
      </c>
      <c r="CL83" s="196">
        <v>29.31</v>
      </c>
      <c r="CM83" s="195">
        <v>32.479999999999997</v>
      </c>
      <c r="CN83" s="195">
        <v>33.39</v>
      </c>
      <c r="CO83" s="195">
        <v>95.63</v>
      </c>
      <c r="CP83" s="197">
        <v>161.5</v>
      </c>
    </row>
    <row r="84" spans="1:94" ht="13.5" customHeight="1">
      <c r="A84" s="23"/>
      <c r="B84" s="198">
        <v>2065</v>
      </c>
      <c r="D84" s="194">
        <v>41.21</v>
      </c>
      <c r="E84" s="195">
        <v>23.22</v>
      </c>
      <c r="F84" s="195">
        <v>16.02</v>
      </c>
      <c r="G84" s="196">
        <v>23.34</v>
      </c>
      <c r="H84" s="195">
        <v>30.95</v>
      </c>
      <c r="I84" s="195">
        <v>18.38</v>
      </c>
      <c r="J84" s="196">
        <v>29.44</v>
      </c>
      <c r="K84" s="196">
        <v>29.74</v>
      </c>
      <c r="L84" s="196">
        <v>29.74</v>
      </c>
      <c r="M84" s="195">
        <v>32.76</v>
      </c>
      <c r="N84" s="195">
        <v>46.12</v>
      </c>
      <c r="O84" s="195">
        <v>91.56</v>
      </c>
      <c r="P84" s="197">
        <v>170.44</v>
      </c>
      <c r="Q84" s="194">
        <v>42.22</v>
      </c>
      <c r="R84" s="195">
        <v>23.6</v>
      </c>
      <c r="S84" s="195">
        <v>17.07</v>
      </c>
      <c r="T84" s="196">
        <v>21.98</v>
      </c>
      <c r="U84" s="195">
        <v>30.95</v>
      </c>
      <c r="V84" s="195">
        <v>18.38</v>
      </c>
      <c r="W84" s="196">
        <v>29.44</v>
      </c>
      <c r="X84" s="196">
        <v>29.74</v>
      </c>
      <c r="Y84" s="196">
        <v>29.74</v>
      </c>
      <c r="Z84" s="195">
        <v>33.450000000000003</v>
      </c>
      <c r="AA84" s="195">
        <v>16.16</v>
      </c>
      <c r="AB84" s="195">
        <v>104.92</v>
      </c>
      <c r="AC84" s="197">
        <v>154.53</v>
      </c>
      <c r="AD84" s="194">
        <v>41.8</v>
      </c>
      <c r="AE84" s="195">
        <v>23.3</v>
      </c>
      <c r="AF84" s="195">
        <v>16.78</v>
      </c>
      <c r="AG84" s="196">
        <v>22.42</v>
      </c>
      <c r="AH84" s="195">
        <v>30.95</v>
      </c>
      <c r="AI84" s="195">
        <v>18.38</v>
      </c>
      <c r="AJ84" s="196">
        <v>29.44</v>
      </c>
      <c r="AK84" s="196">
        <v>29.74</v>
      </c>
      <c r="AL84" s="196">
        <v>29.74</v>
      </c>
      <c r="AM84" s="195">
        <v>35.04</v>
      </c>
      <c r="AN84" s="195">
        <v>64.86</v>
      </c>
      <c r="AO84" s="195">
        <v>81.97</v>
      </c>
      <c r="AP84" s="197">
        <v>181.87</v>
      </c>
      <c r="AQ84" s="194">
        <v>42.59</v>
      </c>
      <c r="AR84" s="195">
        <v>23.64</v>
      </c>
      <c r="AS84" s="195">
        <v>16.72</v>
      </c>
      <c r="AT84" s="196">
        <v>22.72</v>
      </c>
      <c r="AU84" s="195">
        <v>30.95</v>
      </c>
      <c r="AV84" s="195">
        <v>18.38</v>
      </c>
      <c r="AW84" s="196">
        <v>29.44</v>
      </c>
      <c r="AX84" s="196">
        <v>29.74</v>
      </c>
      <c r="AY84" s="196">
        <v>29.74</v>
      </c>
      <c r="AZ84" s="195">
        <v>35.01</v>
      </c>
      <c r="BA84" s="195">
        <v>88.67</v>
      </c>
      <c r="BB84" s="195">
        <v>71.12</v>
      </c>
      <c r="BC84" s="197">
        <v>194.79</v>
      </c>
      <c r="BD84" s="195">
        <v>41.87</v>
      </c>
      <c r="BE84" s="195">
        <v>23.38</v>
      </c>
      <c r="BF84" s="195">
        <v>16.760000000000002</v>
      </c>
      <c r="BG84" s="196">
        <v>22.56</v>
      </c>
      <c r="BH84" s="195">
        <v>30.95</v>
      </c>
      <c r="BI84" s="195">
        <v>18.38</v>
      </c>
      <c r="BJ84" s="196">
        <v>29.44</v>
      </c>
      <c r="BK84" s="196">
        <v>29.74</v>
      </c>
      <c r="BL84" s="196">
        <v>29.74</v>
      </c>
      <c r="BM84" s="195">
        <v>33.72</v>
      </c>
      <c r="BN84" s="195">
        <v>40.03</v>
      </c>
      <c r="BO84" s="195">
        <v>93.9</v>
      </c>
      <c r="BP84" s="197">
        <v>167.65</v>
      </c>
      <c r="BQ84" s="195">
        <v>47.86</v>
      </c>
      <c r="BR84" s="195">
        <v>24.75</v>
      </c>
      <c r="BS84" s="195">
        <v>19.84</v>
      </c>
      <c r="BT84" s="196">
        <v>21.2</v>
      </c>
      <c r="BU84" s="195">
        <v>32.5</v>
      </c>
      <c r="BV84" s="195">
        <v>25.56</v>
      </c>
      <c r="BW84" s="196">
        <v>31.67</v>
      </c>
      <c r="BX84" s="196">
        <v>29.74</v>
      </c>
      <c r="BY84" s="196">
        <v>29.74</v>
      </c>
      <c r="BZ84" s="195">
        <v>30.63</v>
      </c>
      <c r="CA84" s="195">
        <v>15.16</v>
      </c>
      <c r="CB84" s="195">
        <v>106.65</v>
      </c>
      <c r="CC84" s="197">
        <v>152.44</v>
      </c>
      <c r="CD84" s="195">
        <v>42.3</v>
      </c>
      <c r="CE84" s="195">
        <v>23.49</v>
      </c>
      <c r="CF84" s="195">
        <v>17.850000000000001</v>
      </c>
      <c r="CG84" s="196">
        <v>22.23</v>
      </c>
      <c r="CH84" s="195">
        <v>30.95</v>
      </c>
      <c r="CI84" s="195">
        <v>20.02</v>
      </c>
      <c r="CJ84" s="196">
        <v>29.64</v>
      </c>
      <c r="CK84" s="196">
        <v>29.74</v>
      </c>
      <c r="CL84" s="196">
        <v>29.74</v>
      </c>
      <c r="CM84" s="195">
        <v>32.96</v>
      </c>
      <c r="CN84" s="195">
        <v>33.89</v>
      </c>
      <c r="CO84" s="195">
        <v>97.05</v>
      </c>
      <c r="CP84" s="197">
        <v>163.9</v>
      </c>
    </row>
    <row r="85" spans="1:94" ht="13.5" customHeight="1">
      <c r="A85" s="23"/>
      <c r="B85" s="198">
        <v>2066</v>
      </c>
      <c r="D85" s="194">
        <v>41.84</v>
      </c>
      <c r="E85" s="195">
        <v>23.58</v>
      </c>
      <c r="F85" s="195">
        <v>16.27</v>
      </c>
      <c r="G85" s="196">
        <v>23.7</v>
      </c>
      <c r="H85" s="195">
        <v>31.43</v>
      </c>
      <c r="I85" s="195">
        <v>18.66</v>
      </c>
      <c r="J85" s="196">
        <v>29.9</v>
      </c>
      <c r="K85" s="196">
        <v>30.2</v>
      </c>
      <c r="L85" s="196">
        <v>30.2</v>
      </c>
      <c r="M85" s="195">
        <v>33.26</v>
      </c>
      <c r="N85" s="195">
        <v>46.83</v>
      </c>
      <c r="O85" s="195">
        <v>92.97</v>
      </c>
      <c r="P85" s="197">
        <v>173.06</v>
      </c>
      <c r="Q85" s="194">
        <v>42.87</v>
      </c>
      <c r="R85" s="195">
        <v>23.96</v>
      </c>
      <c r="S85" s="195">
        <v>17.329999999999998</v>
      </c>
      <c r="T85" s="196">
        <v>22.32</v>
      </c>
      <c r="U85" s="195">
        <v>31.43</v>
      </c>
      <c r="V85" s="195">
        <v>18.66</v>
      </c>
      <c r="W85" s="196">
        <v>29.9</v>
      </c>
      <c r="X85" s="196">
        <v>30.2</v>
      </c>
      <c r="Y85" s="196">
        <v>30.2</v>
      </c>
      <c r="Z85" s="195">
        <v>33.96</v>
      </c>
      <c r="AA85" s="195">
        <v>16.41</v>
      </c>
      <c r="AB85" s="195">
        <v>106.53</v>
      </c>
      <c r="AC85" s="197">
        <v>156.91</v>
      </c>
      <c r="AD85" s="194">
        <v>42.44</v>
      </c>
      <c r="AE85" s="195">
        <v>23.66</v>
      </c>
      <c r="AF85" s="195">
        <v>17.04</v>
      </c>
      <c r="AG85" s="196">
        <v>22.77</v>
      </c>
      <c r="AH85" s="195">
        <v>31.43</v>
      </c>
      <c r="AI85" s="195">
        <v>18.66</v>
      </c>
      <c r="AJ85" s="196">
        <v>29.9</v>
      </c>
      <c r="AK85" s="196">
        <v>30.2</v>
      </c>
      <c r="AL85" s="196">
        <v>30.2</v>
      </c>
      <c r="AM85" s="195">
        <v>35.58</v>
      </c>
      <c r="AN85" s="195">
        <v>65.86</v>
      </c>
      <c r="AO85" s="195">
        <v>83.23</v>
      </c>
      <c r="AP85" s="197">
        <v>184.67</v>
      </c>
      <c r="AQ85" s="194">
        <v>43.25</v>
      </c>
      <c r="AR85" s="195">
        <v>24.01</v>
      </c>
      <c r="AS85" s="195">
        <v>16.97</v>
      </c>
      <c r="AT85" s="196">
        <v>23.07</v>
      </c>
      <c r="AU85" s="195">
        <v>31.43</v>
      </c>
      <c r="AV85" s="195">
        <v>18.66</v>
      </c>
      <c r="AW85" s="196">
        <v>29.9</v>
      </c>
      <c r="AX85" s="196">
        <v>30.2</v>
      </c>
      <c r="AY85" s="196">
        <v>30.2</v>
      </c>
      <c r="AZ85" s="195">
        <v>35.549999999999997</v>
      </c>
      <c r="BA85" s="195">
        <v>90.03</v>
      </c>
      <c r="BB85" s="195">
        <v>72.209999999999994</v>
      </c>
      <c r="BC85" s="197">
        <v>197.79</v>
      </c>
      <c r="BD85" s="195">
        <v>42.52</v>
      </c>
      <c r="BE85" s="195">
        <v>23.74</v>
      </c>
      <c r="BF85" s="195">
        <v>17.02</v>
      </c>
      <c r="BG85" s="196">
        <v>22.9</v>
      </c>
      <c r="BH85" s="195">
        <v>31.43</v>
      </c>
      <c r="BI85" s="195">
        <v>18.66</v>
      </c>
      <c r="BJ85" s="196">
        <v>29.9</v>
      </c>
      <c r="BK85" s="196">
        <v>30.2</v>
      </c>
      <c r="BL85" s="196">
        <v>30.2</v>
      </c>
      <c r="BM85" s="195">
        <v>34.24</v>
      </c>
      <c r="BN85" s="195">
        <v>40.64</v>
      </c>
      <c r="BO85" s="195">
        <v>95.35</v>
      </c>
      <c r="BP85" s="197">
        <v>170.23</v>
      </c>
      <c r="BQ85" s="195">
        <v>48.59</v>
      </c>
      <c r="BR85" s="195">
        <v>25.14</v>
      </c>
      <c r="BS85" s="195">
        <v>20.149999999999999</v>
      </c>
      <c r="BT85" s="196">
        <v>21.53</v>
      </c>
      <c r="BU85" s="195">
        <v>33</v>
      </c>
      <c r="BV85" s="195">
        <v>25.95</v>
      </c>
      <c r="BW85" s="196">
        <v>32.15</v>
      </c>
      <c r="BX85" s="196">
        <v>30.2</v>
      </c>
      <c r="BY85" s="196">
        <v>30.2</v>
      </c>
      <c r="BZ85" s="195">
        <v>31.1</v>
      </c>
      <c r="CA85" s="195">
        <v>15.4</v>
      </c>
      <c r="CB85" s="195">
        <v>108.29</v>
      </c>
      <c r="CC85" s="197">
        <v>154.79</v>
      </c>
      <c r="CD85" s="195">
        <v>42.95</v>
      </c>
      <c r="CE85" s="195">
        <v>23.85</v>
      </c>
      <c r="CF85" s="195">
        <v>18.12</v>
      </c>
      <c r="CG85" s="196">
        <v>22.58</v>
      </c>
      <c r="CH85" s="195">
        <v>31.43</v>
      </c>
      <c r="CI85" s="195">
        <v>20.329999999999998</v>
      </c>
      <c r="CJ85" s="196">
        <v>30.1</v>
      </c>
      <c r="CK85" s="196">
        <v>30.2</v>
      </c>
      <c r="CL85" s="196">
        <v>30.2</v>
      </c>
      <c r="CM85" s="195">
        <v>33.47</v>
      </c>
      <c r="CN85" s="195">
        <v>34.409999999999997</v>
      </c>
      <c r="CO85" s="195">
        <v>98.54</v>
      </c>
      <c r="CP85" s="197">
        <v>166.42</v>
      </c>
    </row>
    <row r="86" spans="1:94" ht="13.5" customHeight="1">
      <c r="A86" s="23"/>
      <c r="B86" s="198">
        <v>2067</v>
      </c>
      <c r="D86" s="194">
        <v>42.51</v>
      </c>
      <c r="E86" s="195">
        <v>23.96</v>
      </c>
      <c r="F86" s="195">
        <v>16.53</v>
      </c>
      <c r="G86" s="196">
        <v>24.08</v>
      </c>
      <c r="H86" s="195">
        <v>31.93</v>
      </c>
      <c r="I86" s="195">
        <v>18.96</v>
      </c>
      <c r="J86" s="196">
        <v>30.38</v>
      </c>
      <c r="K86" s="196">
        <v>30.68</v>
      </c>
      <c r="L86" s="196">
        <v>30.68</v>
      </c>
      <c r="M86" s="195">
        <v>33.799999999999997</v>
      </c>
      <c r="N86" s="195">
        <v>47.59</v>
      </c>
      <c r="O86" s="195">
        <v>94.46</v>
      </c>
      <c r="P86" s="197">
        <v>175.84</v>
      </c>
      <c r="Q86" s="194">
        <v>43.56</v>
      </c>
      <c r="R86" s="195">
        <v>24.35</v>
      </c>
      <c r="S86" s="195">
        <v>17.61</v>
      </c>
      <c r="T86" s="196">
        <v>22.68</v>
      </c>
      <c r="U86" s="195">
        <v>31.93</v>
      </c>
      <c r="V86" s="195">
        <v>18.96</v>
      </c>
      <c r="W86" s="196">
        <v>30.38</v>
      </c>
      <c r="X86" s="196">
        <v>30.68</v>
      </c>
      <c r="Y86" s="196">
        <v>30.68</v>
      </c>
      <c r="Z86" s="195">
        <v>34.51</v>
      </c>
      <c r="AA86" s="195">
        <v>16.68</v>
      </c>
      <c r="AB86" s="195">
        <v>108.25</v>
      </c>
      <c r="AC86" s="197">
        <v>159.43</v>
      </c>
      <c r="AD86" s="194">
        <v>43.13</v>
      </c>
      <c r="AE86" s="195">
        <v>24.04</v>
      </c>
      <c r="AF86" s="195">
        <v>17.309999999999999</v>
      </c>
      <c r="AG86" s="196">
        <v>23.14</v>
      </c>
      <c r="AH86" s="195">
        <v>31.93</v>
      </c>
      <c r="AI86" s="195">
        <v>18.96</v>
      </c>
      <c r="AJ86" s="196">
        <v>30.38</v>
      </c>
      <c r="AK86" s="196">
        <v>30.68</v>
      </c>
      <c r="AL86" s="196">
        <v>30.68</v>
      </c>
      <c r="AM86" s="195">
        <v>36.15</v>
      </c>
      <c r="AN86" s="195">
        <v>66.92</v>
      </c>
      <c r="AO86" s="195">
        <v>84.57</v>
      </c>
      <c r="AP86" s="197">
        <v>187.64</v>
      </c>
      <c r="AQ86" s="194">
        <v>43.94</v>
      </c>
      <c r="AR86" s="195">
        <v>24.39</v>
      </c>
      <c r="AS86" s="195">
        <v>17.25</v>
      </c>
      <c r="AT86" s="196">
        <v>23.44</v>
      </c>
      <c r="AU86" s="195">
        <v>31.93</v>
      </c>
      <c r="AV86" s="195">
        <v>18.96</v>
      </c>
      <c r="AW86" s="196">
        <v>30.38</v>
      </c>
      <c r="AX86" s="196">
        <v>30.68</v>
      </c>
      <c r="AY86" s="196">
        <v>30.68</v>
      </c>
      <c r="AZ86" s="195">
        <v>36.119999999999997</v>
      </c>
      <c r="BA86" s="195">
        <v>91.48</v>
      </c>
      <c r="BB86" s="195">
        <v>73.37</v>
      </c>
      <c r="BC86" s="197">
        <v>200.97</v>
      </c>
      <c r="BD86" s="195">
        <v>43.2</v>
      </c>
      <c r="BE86" s="195">
        <v>24.12</v>
      </c>
      <c r="BF86" s="195">
        <v>17.29</v>
      </c>
      <c r="BG86" s="196">
        <v>23.27</v>
      </c>
      <c r="BH86" s="195">
        <v>31.93</v>
      </c>
      <c r="BI86" s="195">
        <v>18.96</v>
      </c>
      <c r="BJ86" s="196">
        <v>30.38</v>
      </c>
      <c r="BK86" s="196">
        <v>30.68</v>
      </c>
      <c r="BL86" s="196">
        <v>30.68</v>
      </c>
      <c r="BM86" s="195">
        <v>34.79</v>
      </c>
      <c r="BN86" s="195">
        <v>41.3</v>
      </c>
      <c r="BO86" s="195">
        <v>96.88</v>
      </c>
      <c r="BP86" s="197">
        <v>172.97</v>
      </c>
      <c r="BQ86" s="195">
        <v>49.38</v>
      </c>
      <c r="BR86" s="195">
        <v>25.54</v>
      </c>
      <c r="BS86" s="195">
        <v>20.47</v>
      </c>
      <c r="BT86" s="196">
        <v>21.88</v>
      </c>
      <c r="BU86" s="195">
        <v>33.53</v>
      </c>
      <c r="BV86" s="195">
        <v>26.37</v>
      </c>
      <c r="BW86" s="196">
        <v>32.67</v>
      </c>
      <c r="BX86" s="196">
        <v>30.68</v>
      </c>
      <c r="BY86" s="196">
        <v>30.68</v>
      </c>
      <c r="BZ86" s="195">
        <v>31.6</v>
      </c>
      <c r="CA86" s="195">
        <v>15.65</v>
      </c>
      <c r="CB86" s="195">
        <v>110.03</v>
      </c>
      <c r="CC86" s="197">
        <v>157.28</v>
      </c>
      <c r="CD86" s="195">
        <v>43.64</v>
      </c>
      <c r="CE86" s="195">
        <v>24.24</v>
      </c>
      <c r="CF86" s="195">
        <v>18.41</v>
      </c>
      <c r="CG86" s="196">
        <v>22.94</v>
      </c>
      <c r="CH86" s="195">
        <v>31.93</v>
      </c>
      <c r="CI86" s="195">
        <v>20.65</v>
      </c>
      <c r="CJ86" s="196">
        <v>30.58</v>
      </c>
      <c r="CK86" s="196">
        <v>30.68</v>
      </c>
      <c r="CL86" s="196">
        <v>30.68</v>
      </c>
      <c r="CM86" s="195">
        <v>34</v>
      </c>
      <c r="CN86" s="195">
        <v>34.96</v>
      </c>
      <c r="CO86" s="195">
        <v>100.13</v>
      </c>
      <c r="CP86" s="197">
        <v>169.09</v>
      </c>
    </row>
    <row r="87" spans="1:94" ht="13.5" customHeight="1">
      <c r="A87" s="23"/>
      <c r="B87" s="198">
        <v>2068</v>
      </c>
      <c r="D87" s="194">
        <v>43.16</v>
      </c>
      <c r="E87" s="195">
        <v>24.32</v>
      </c>
      <c r="F87" s="195">
        <v>16.78</v>
      </c>
      <c r="G87" s="196">
        <v>24.45</v>
      </c>
      <c r="H87" s="195">
        <v>32.42</v>
      </c>
      <c r="I87" s="195">
        <v>19.260000000000002</v>
      </c>
      <c r="J87" s="196">
        <v>30.84</v>
      </c>
      <c r="K87" s="196">
        <v>31.15</v>
      </c>
      <c r="L87" s="196">
        <v>31.15</v>
      </c>
      <c r="M87" s="195">
        <v>34.32</v>
      </c>
      <c r="N87" s="195">
        <v>48.31</v>
      </c>
      <c r="O87" s="195">
        <v>95.91</v>
      </c>
      <c r="P87" s="197">
        <v>178.54</v>
      </c>
      <c r="Q87" s="194">
        <v>44.23</v>
      </c>
      <c r="R87" s="195">
        <v>24.72</v>
      </c>
      <c r="S87" s="195">
        <v>17.88</v>
      </c>
      <c r="T87" s="196">
        <v>23.03</v>
      </c>
      <c r="U87" s="195">
        <v>32.42</v>
      </c>
      <c r="V87" s="195">
        <v>19.260000000000002</v>
      </c>
      <c r="W87" s="196">
        <v>30.84</v>
      </c>
      <c r="X87" s="196">
        <v>31.15</v>
      </c>
      <c r="Y87" s="196">
        <v>31.15</v>
      </c>
      <c r="Z87" s="195">
        <v>35.04</v>
      </c>
      <c r="AA87" s="195">
        <v>16.93</v>
      </c>
      <c r="AB87" s="195">
        <v>109.9</v>
      </c>
      <c r="AC87" s="197">
        <v>161.87</v>
      </c>
      <c r="AD87" s="194">
        <v>43.79</v>
      </c>
      <c r="AE87" s="195">
        <v>24.41</v>
      </c>
      <c r="AF87" s="195">
        <v>17.57</v>
      </c>
      <c r="AG87" s="196">
        <v>23.49</v>
      </c>
      <c r="AH87" s="195">
        <v>32.42</v>
      </c>
      <c r="AI87" s="195">
        <v>19.260000000000002</v>
      </c>
      <c r="AJ87" s="196">
        <v>30.84</v>
      </c>
      <c r="AK87" s="196">
        <v>31.15</v>
      </c>
      <c r="AL87" s="196">
        <v>31.15</v>
      </c>
      <c r="AM87" s="195">
        <v>36.700000000000003</v>
      </c>
      <c r="AN87" s="195">
        <v>67.95</v>
      </c>
      <c r="AO87" s="195">
        <v>85.86</v>
      </c>
      <c r="AP87" s="197">
        <v>190.51</v>
      </c>
      <c r="AQ87" s="194">
        <v>44.61</v>
      </c>
      <c r="AR87" s="195">
        <v>24.77</v>
      </c>
      <c r="AS87" s="195">
        <v>17.510000000000002</v>
      </c>
      <c r="AT87" s="196">
        <v>23.8</v>
      </c>
      <c r="AU87" s="195">
        <v>32.42</v>
      </c>
      <c r="AV87" s="195">
        <v>19.260000000000002</v>
      </c>
      <c r="AW87" s="196">
        <v>30.84</v>
      </c>
      <c r="AX87" s="196">
        <v>31.15</v>
      </c>
      <c r="AY87" s="196">
        <v>31.15</v>
      </c>
      <c r="AZ87" s="195">
        <v>36.67</v>
      </c>
      <c r="BA87" s="195">
        <v>92.88</v>
      </c>
      <c r="BB87" s="195">
        <v>74.5</v>
      </c>
      <c r="BC87" s="197">
        <v>204.05</v>
      </c>
      <c r="BD87" s="195">
        <v>43.86</v>
      </c>
      <c r="BE87" s="195">
        <v>24.49</v>
      </c>
      <c r="BF87" s="195">
        <v>17.559999999999999</v>
      </c>
      <c r="BG87" s="196">
        <v>23.63</v>
      </c>
      <c r="BH87" s="195">
        <v>32.42</v>
      </c>
      <c r="BI87" s="195">
        <v>19.260000000000002</v>
      </c>
      <c r="BJ87" s="196">
        <v>30.84</v>
      </c>
      <c r="BK87" s="196">
        <v>31.15</v>
      </c>
      <c r="BL87" s="196">
        <v>31.15</v>
      </c>
      <c r="BM87" s="195">
        <v>35.33</v>
      </c>
      <c r="BN87" s="195">
        <v>41.93</v>
      </c>
      <c r="BO87" s="195">
        <v>98.36</v>
      </c>
      <c r="BP87" s="197">
        <v>175.62</v>
      </c>
      <c r="BQ87" s="195">
        <v>50.13</v>
      </c>
      <c r="BR87" s="195">
        <v>25.93</v>
      </c>
      <c r="BS87" s="195">
        <v>20.79</v>
      </c>
      <c r="BT87" s="196">
        <v>22.21</v>
      </c>
      <c r="BU87" s="195">
        <v>34.04</v>
      </c>
      <c r="BV87" s="195">
        <v>26.77</v>
      </c>
      <c r="BW87" s="196">
        <v>33.17</v>
      </c>
      <c r="BX87" s="196">
        <v>31.15</v>
      </c>
      <c r="BY87" s="196">
        <v>31.15</v>
      </c>
      <c r="BZ87" s="195">
        <v>32.08</v>
      </c>
      <c r="CA87" s="195">
        <v>15.88</v>
      </c>
      <c r="CB87" s="195">
        <v>111.72</v>
      </c>
      <c r="CC87" s="197">
        <v>159.69</v>
      </c>
      <c r="CD87" s="195">
        <v>44.31</v>
      </c>
      <c r="CE87" s="195">
        <v>24.61</v>
      </c>
      <c r="CF87" s="195">
        <v>18.7</v>
      </c>
      <c r="CG87" s="196">
        <v>23.29</v>
      </c>
      <c r="CH87" s="195">
        <v>32.42</v>
      </c>
      <c r="CI87" s="195">
        <v>20.97</v>
      </c>
      <c r="CJ87" s="196">
        <v>31.05</v>
      </c>
      <c r="CK87" s="196">
        <v>31.15</v>
      </c>
      <c r="CL87" s="196">
        <v>31.15</v>
      </c>
      <c r="CM87" s="195">
        <v>34.520000000000003</v>
      </c>
      <c r="CN87" s="195">
        <v>35.5</v>
      </c>
      <c r="CO87" s="195">
        <v>101.66</v>
      </c>
      <c r="CP87" s="197">
        <v>171.68</v>
      </c>
    </row>
    <row r="88" spans="1:94" ht="13.5" customHeight="1">
      <c r="A88" s="23"/>
      <c r="B88" s="198">
        <v>2069</v>
      </c>
      <c r="D88" s="194">
        <v>43.82</v>
      </c>
      <c r="E88" s="195">
        <v>24.69</v>
      </c>
      <c r="F88" s="195">
        <v>17.04</v>
      </c>
      <c r="G88" s="196">
        <v>24.82</v>
      </c>
      <c r="H88" s="195">
        <v>32.909999999999997</v>
      </c>
      <c r="I88" s="195">
        <v>19.55</v>
      </c>
      <c r="J88" s="196">
        <v>31.31</v>
      </c>
      <c r="K88" s="196">
        <v>31.63</v>
      </c>
      <c r="L88" s="196">
        <v>31.63</v>
      </c>
      <c r="M88" s="195">
        <v>34.840000000000003</v>
      </c>
      <c r="N88" s="195">
        <v>49.05</v>
      </c>
      <c r="O88" s="195">
        <v>97.36</v>
      </c>
      <c r="P88" s="197">
        <v>181.25</v>
      </c>
      <c r="Q88" s="194">
        <v>44.9</v>
      </c>
      <c r="R88" s="195">
        <v>25.1</v>
      </c>
      <c r="S88" s="195">
        <v>18.149999999999999</v>
      </c>
      <c r="T88" s="196">
        <v>23.38</v>
      </c>
      <c r="U88" s="195">
        <v>32.909999999999997</v>
      </c>
      <c r="V88" s="195">
        <v>19.55</v>
      </c>
      <c r="W88" s="196">
        <v>31.31</v>
      </c>
      <c r="X88" s="196">
        <v>31.63</v>
      </c>
      <c r="Y88" s="196">
        <v>31.63</v>
      </c>
      <c r="Z88" s="195">
        <v>35.57</v>
      </c>
      <c r="AA88" s="195">
        <v>17.190000000000001</v>
      </c>
      <c r="AB88" s="195">
        <v>111.57</v>
      </c>
      <c r="AC88" s="197">
        <v>164.33</v>
      </c>
      <c r="AD88" s="194">
        <v>44.45</v>
      </c>
      <c r="AE88" s="195">
        <v>24.78</v>
      </c>
      <c r="AF88" s="195">
        <v>17.84</v>
      </c>
      <c r="AG88" s="196">
        <v>23.85</v>
      </c>
      <c r="AH88" s="195">
        <v>32.909999999999997</v>
      </c>
      <c r="AI88" s="195">
        <v>19.55</v>
      </c>
      <c r="AJ88" s="196">
        <v>31.31</v>
      </c>
      <c r="AK88" s="196">
        <v>31.63</v>
      </c>
      <c r="AL88" s="196">
        <v>31.63</v>
      </c>
      <c r="AM88" s="195">
        <v>37.26</v>
      </c>
      <c r="AN88" s="195">
        <v>68.98</v>
      </c>
      <c r="AO88" s="195">
        <v>87.17</v>
      </c>
      <c r="AP88" s="197">
        <v>193.41</v>
      </c>
      <c r="AQ88" s="194">
        <v>45.29</v>
      </c>
      <c r="AR88" s="195">
        <v>25.14</v>
      </c>
      <c r="AS88" s="195">
        <v>17.78</v>
      </c>
      <c r="AT88" s="196">
        <v>24.16</v>
      </c>
      <c r="AU88" s="195">
        <v>32.909999999999997</v>
      </c>
      <c r="AV88" s="195">
        <v>19.55</v>
      </c>
      <c r="AW88" s="196">
        <v>31.31</v>
      </c>
      <c r="AX88" s="196">
        <v>31.63</v>
      </c>
      <c r="AY88" s="196">
        <v>31.63</v>
      </c>
      <c r="AZ88" s="195">
        <v>37.229999999999997</v>
      </c>
      <c r="BA88" s="195">
        <v>94.29</v>
      </c>
      <c r="BB88" s="195">
        <v>75.63</v>
      </c>
      <c r="BC88" s="197">
        <v>207.15</v>
      </c>
      <c r="BD88" s="195">
        <v>44.53</v>
      </c>
      <c r="BE88" s="195">
        <v>24.86</v>
      </c>
      <c r="BF88" s="195">
        <v>17.82</v>
      </c>
      <c r="BG88" s="196">
        <v>23.99</v>
      </c>
      <c r="BH88" s="195">
        <v>32.909999999999997</v>
      </c>
      <c r="BI88" s="195">
        <v>19.55</v>
      </c>
      <c r="BJ88" s="196">
        <v>31.31</v>
      </c>
      <c r="BK88" s="196">
        <v>31.63</v>
      </c>
      <c r="BL88" s="196">
        <v>31.63</v>
      </c>
      <c r="BM88" s="195">
        <v>35.86</v>
      </c>
      <c r="BN88" s="195">
        <v>42.57</v>
      </c>
      <c r="BO88" s="195">
        <v>99.86</v>
      </c>
      <c r="BP88" s="197">
        <v>178.29</v>
      </c>
      <c r="BQ88" s="195">
        <v>50.89</v>
      </c>
      <c r="BR88" s="195">
        <v>26.32</v>
      </c>
      <c r="BS88" s="195">
        <v>21.1</v>
      </c>
      <c r="BT88" s="196">
        <v>22.55</v>
      </c>
      <c r="BU88" s="195">
        <v>34.56</v>
      </c>
      <c r="BV88" s="195">
        <v>27.18</v>
      </c>
      <c r="BW88" s="196">
        <v>33.67</v>
      </c>
      <c r="BX88" s="196">
        <v>31.63</v>
      </c>
      <c r="BY88" s="196">
        <v>31.63</v>
      </c>
      <c r="BZ88" s="195">
        <v>32.57</v>
      </c>
      <c r="CA88" s="195">
        <v>16.13</v>
      </c>
      <c r="CB88" s="195">
        <v>113.42</v>
      </c>
      <c r="CC88" s="197">
        <v>162.12</v>
      </c>
      <c r="CD88" s="195">
        <v>44.98</v>
      </c>
      <c r="CE88" s="195">
        <v>24.98</v>
      </c>
      <c r="CF88" s="195">
        <v>18.98</v>
      </c>
      <c r="CG88" s="196">
        <v>23.65</v>
      </c>
      <c r="CH88" s="195">
        <v>32.909999999999997</v>
      </c>
      <c r="CI88" s="195">
        <v>21.29</v>
      </c>
      <c r="CJ88" s="196">
        <v>31.52</v>
      </c>
      <c r="CK88" s="196">
        <v>31.63</v>
      </c>
      <c r="CL88" s="196">
        <v>31.63</v>
      </c>
      <c r="CM88" s="195">
        <v>35.049999999999997</v>
      </c>
      <c r="CN88" s="195">
        <v>36.04</v>
      </c>
      <c r="CO88" s="195">
        <v>103.21</v>
      </c>
      <c r="CP88" s="197">
        <v>174.29</v>
      </c>
    </row>
    <row r="89" spans="1:94" ht="13.5" customHeight="1">
      <c r="A89" s="23"/>
      <c r="B89" s="198">
        <v>2070</v>
      </c>
      <c r="D89" s="194">
        <v>44.47</v>
      </c>
      <c r="E89" s="195">
        <v>25.06</v>
      </c>
      <c r="F89" s="195">
        <v>17.29</v>
      </c>
      <c r="G89" s="196">
        <v>25.19</v>
      </c>
      <c r="H89" s="195">
        <v>33.409999999999997</v>
      </c>
      <c r="I89" s="195">
        <v>19.84</v>
      </c>
      <c r="J89" s="196">
        <v>31.78</v>
      </c>
      <c r="K89" s="196">
        <v>32.1</v>
      </c>
      <c r="L89" s="196">
        <v>32.1</v>
      </c>
      <c r="M89" s="195">
        <v>35.36</v>
      </c>
      <c r="N89" s="195">
        <v>49.78</v>
      </c>
      <c r="O89" s="195">
        <v>98.82</v>
      </c>
      <c r="P89" s="197">
        <v>183.96</v>
      </c>
      <c r="Q89" s="194">
        <v>45.57</v>
      </c>
      <c r="R89" s="195">
        <v>25.47</v>
      </c>
      <c r="S89" s="195">
        <v>18.420000000000002</v>
      </c>
      <c r="T89" s="196">
        <v>23.72</v>
      </c>
      <c r="U89" s="195">
        <v>33.409999999999997</v>
      </c>
      <c r="V89" s="195">
        <v>19.84</v>
      </c>
      <c r="W89" s="196">
        <v>31.78</v>
      </c>
      <c r="X89" s="196">
        <v>32.1</v>
      </c>
      <c r="Y89" s="196">
        <v>32.1</v>
      </c>
      <c r="Z89" s="195">
        <v>36.1</v>
      </c>
      <c r="AA89" s="195">
        <v>17.45</v>
      </c>
      <c r="AB89" s="195">
        <v>113.24</v>
      </c>
      <c r="AC89" s="197">
        <v>166.79</v>
      </c>
      <c r="AD89" s="194">
        <v>45.12</v>
      </c>
      <c r="AE89" s="195">
        <v>25.15</v>
      </c>
      <c r="AF89" s="195">
        <v>18.11</v>
      </c>
      <c r="AG89" s="196">
        <v>24.2</v>
      </c>
      <c r="AH89" s="195">
        <v>33.409999999999997</v>
      </c>
      <c r="AI89" s="195">
        <v>19.84</v>
      </c>
      <c r="AJ89" s="196">
        <v>31.78</v>
      </c>
      <c r="AK89" s="196">
        <v>32.1</v>
      </c>
      <c r="AL89" s="196">
        <v>32.1</v>
      </c>
      <c r="AM89" s="195">
        <v>37.82</v>
      </c>
      <c r="AN89" s="195">
        <v>70.010000000000005</v>
      </c>
      <c r="AO89" s="195">
        <v>88.47</v>
      </c>
      <c r="AP89" s="197">
        <v>196.3</v>
      </c>
      <c r="AQ89" s="194">
        <v>45.97</v>
      </c>
      <c r="AR89" s="195">
        <v>25.52</v>
      </c>
      <c r="AS89" s="195">
        <v>18.04</v>
      </c>
      <c r="AT89" s="196">
        <v>24.52</v>
      </c>
      <c r="AU89" s="195">
        <v>33.409999999999997</v>
      </c>
      <c r="AV89" s="195">
        <v>19.84</v>
      </c>
      <c r="AW89" s="196">
        <v>31.78</v>
      </c>
      <c r="AX89" s="196">
        <v>32.1</v>
      </c>
      <c r="AY89" s="196">
        <v>32.1</v>
      </c>
      <c r="AZ89" s="195">
        <v>37.79</v>
      </c>
      <c r="BA89" s="195">
        <v>95.7</v>
      </c>
      <c r="BB89" s="195">
        <v>76.760000000000005</v>
      </c>
      <c r="BC89" s="197">
        <v>210.25</v>
      </c>
      <c r="BD89" s="195">
        <v>45.2</v>
      </c>
      <c r="BE89" s="195">
        <v>25.24</v>
      </c>
      <c r="BF89" s="195">
        <v>18.09</v>
      </c>
      <c r="BG89" s="196">
        <v>24.34</v>
      </c>
      <c r="BH89" s="195">
        <v>33.409999999999997</v>
      </c>
      <c r="BI89" s="195">
        <v>19.84</v>
      </c>
      <c r="BJ89" s="196">
        <v>31.78</v>
      </c>
      <c r="BK89" s="196">
        <v>32.1</v>
      </c>
      <c r="BL89" s="196">
        <v>32.1</v>
      </c>
      <c r="BM89" s="195">
        <v>36.4</v>
      </c>
      <c r="BN89" s="195">
        <v>43.2</v>
      </c>
      <c r="BO89" s="195">
        <v>101.35</v>
      </c>
      <c r="BP89" s="197">
        <v>180.95</v>
      </c>
      <c r="BQ89" s="195">
        <v>51.65</v>
      </c>
      <c r="BR89" s="195">
        <v>26.72</v>
      </c>
      <c r="BS89" s="195">
        <v>21.42</v>
      </c>
      <c r="BT89" s="196">
        <v>22.89</v>
      </c>
      <c r="BU89" s="195">
        <v>35.08</v>
      </c>
      <c r="BV89" s="195">
        <v>27.59</v>
      </c>
      <c r="BW89" s="196">
        <v>34.18</v>
      </c>
      <c r="BX89" s="196">
        <v>32.1</v>
      </c>
      <c r="BY89" s="196">
        <v>32.1</v>
      </c>
      <c r="BZ89" s="195">
        <v>33.06</v>
      </c>
      <c r="CA89" s="195">
        <v>16.37</v>
      </c>
      <c r="CB89" s="195">
        <v>115.11</v>
      </c>
      <c r="CC89" s="197">
        <v>164.54</v>
      </c>
      <c r="CD89" s="195">
        <v>45.65</v>
      </c>
      <c r="CE89" s="195">
        <v>25.36</v>
      </c>
      <c r="CF89" s="195">
        <v>19.260000000000002</v>
      </c>
      <c r="CG89" s="196">
        <v>24</v>
      </c>
      <c r="CH89" s="195">
        <v>33.409999999999997</v>
      </c>
      <c r="CI89" s="195">
        <v>21.61</v>
      </c>
      <c r="CJ89" s="196">
        <v>31.99</v>
      </c>
      <c r="CK89" s="196">
        <v>32.1</v>
      </c>
      <c r="CL89" s="196">
        <v>32.1</v>
      </c>
      <c r="CM89" s="195">
        <v>35.57</v>
      </c>
      <c r="CN89" s="195">
        <v>36.58</v>
      </c>
      <c r="CO89" s="195">
        <v>104.75</v>
      </c>
      <c r="CP89" s="197">
        <v>176.9</v>
      </c>
    </row>
    <row r="90" spans="1:94" ht="13.5" customHeight="1">
      <c r="A90" s="23"/>
      <c r="B90" s="198">
        <v>2071</v>
      </c>
      <c r="D90" s="194">
        <v>45.15</v>
      </c>
      <c r="E90" s="195">
        <v>25.44</v>
      </c>
      <c r="F90" s="195">
        <v>17.55</v>
      </c>
      <c r="G90" s="196">
        <v>25.57</v>
      </c>
      <c r="H90" s="195">
        <v>33.909999999999997</v>
      </c>
      <c r="I90" s="195">
        <v>20.14</v>
      </c>
      <c r="J90" s="196">
        <v>32.26</v>
      </c>
      <c r="K90" s="196">
        <v>32.590000000000003</v>
      </c>
      <c r="L90" s="196">
        <v>32.590000000000003</v>
      </c>
      <c r="M90" s="195">
        <v>35.9</v>
      </c>
      <c r="N90" s="195">
        <v>50.54</v>
      </c>
      <c r="O90" s="195">
        <v>100.32</v>
      </c>
      <c r="P90" s="197">
        <v>186.75</v>
      </c>
      <c r="Q90" s="194">
        <v>46.27</v>
      </c>
      <c r="R90" s="195">
        <v>25.86</v>
      </c>
      <c r="S90" s="195">
        <v>18.7</v>
      </c>
      <c r="T90" s="196">
        <v>24.08</v>
      </c>
      <c r="U90" s="195">
        <v>33.909999999999997</v>
      </c>
      <c r="V90" s="195">
        <v>20.14</v>
      </c>
      <c r="W90" s="196">
        <v>32.26</v>
      </c>
      <c r="X90" s="196">
        <v>32.590000000000003</v>
      </c>
      <c r="Y90" s="196">
        <v>32.590000000000003</v>
      </c>
      <c r="Z90" s="195">
        <v>36.65</v>
      </c>
      <c r="AA90" s="195">
        <v>17.71</v>
      </c>
      <c r="AB90" s="195">
        <v>114.96</v>
      </c>
      <c r="AC90" s="197">
        <v>169.32</v>
      </c>
      <c r="AD90" s="194">
        <v>45.8</v>
      </c>
      <c r="AE90" s="195">
        <v>25.53</v>
      </c>
      <c r="AF90" s="195">
        <v>18.38</v>
      </c>
      <c r="AG90" s="196">
        <v>24.57</v>
      </c>
      <c r="AH90" s="195">
        <v>33.909999999999997</v>
      </c>
      <c r="AI90" s="195">
        <v>20.14</v>
      </c>
      <c r="AJ90" s="196">
        <v>32.26</v>
      </c>
      <c r="AK90" s="196">
        <v>32.590000000000003</v>
      </c>
      <c r="AL90" s="196">
        <v>32.590000000000003</v>
      </c>
      <c r="AM90" s="195">
        <v>38.39</v>
      </c>
      <c r="AN90" s="195">
        <v>71.069999999999993</v>
      </c>
      <c r="AO90" s="195">
        <v>89.81</v>
      </c>
      <c r="AP90" s="197">
        <v>199.28</v>
      </c>
      <c r="AQ90" s="194">
        <v>46.67</v>
      </c>
      <c r="AR90" s="195">
        <v>25.91</v>
      </c>
      <c r="AS90" s="195">
        <v>18.32</v>
      </c>
      <c r="AT90" s="196">
        <v>24.89</v>
      </c>
      <c r="AU90" s="195">
        <v>33.909999999999997</v>
      </c>
      <c r="AV90" s="195">
        <v>20.14</v>
      </c>
      <c r="AW90" s="196">
        <v>32.26</v>
      </c>
      <c r="AX90" s="196">
        <v>32.590000000000003</v>
      </c>
      <c r="AY90" s="196">
        <v>32.590000000000003</v>
      </c>
      <c r="AZ90" s="195">
        <v>38.36</v>
      </c>
      <c r="BA90" s="195">
        <v>97.16</v>
      </c>
      <c r="BB90" s="195">
        <v>77.92</v>
      </c>
      <c r="BC90" s="197">
        <v>213.44</v>
      </c>
      <c r="BD90" s="195">
        <v>45.88</v>
      </c>
      <c r="BE90" s="195">
        <v>25.62</v>
      </c>
      <c r="BF90" s="195">
        <v>18.36</v>
      </c>
      <c r="BG90" s="196">
        <v>24.71</v>
      </c>
      <c r="BH90" s="195">
        <v>33.909999999999997</v>
      </c>
      <c r="BI90" s="195">
        <v>20.14</v>
      </c>
      <c r="BJ90" s="196">
        <v>32.26</v>
      </c>
      <c r="BK90" s="196">
        <v>32.590000000000003</v>
      </c>
      <c r="BL90" s="196">
        <v>32.590000000000003</v>
      </c>
      <c r="BM90" s="195">
        <v>36.950000000000003</v>
      </c>
      <c r="BN90" s="195">
        <v>43.86</v>
      </c>
      <c r="BO90" s="195">
        <v>102.89</v>
      </c>
      <c r="BP90" s="197">
        <v>183.7</v>
      </c>
      <c r="BQ90" s="195">
        <v>52.44</v>
      </c>
      <c r="BR90" s="195">
        <v>27.12</v>
      </c>
      <c r="BS90" s="195">
        <v>21.74</v>
      </c>
      <c r="BT90" s="196">
        <v>23.23</v>
      </c>
      <c r="BU90" s="195">
        <v>35.61</v>
      </c>
      <c r="BV90" s="195">
        <v>28</v>
      </c>
      <c r="BW90" s="196">
        <v>34.700000000000003</v>
      </c>
      <c r="BX90" s="196">
        <v>32.590000000000003</v>
      </c>
      <c r="BY90" s="196">
        <v>32.590000000000003</v>
      </c>
      <c r="BZ90" s="195">
        <v>33.56</v>
      </c>
      <c r="CA90" s="195">
        <v>16.62</v>
      </c>
      <c r="CB90" s="195">
        <v>116.86</v>
      </c>
      <c r="CC90" s="197">
        <v>167.04</v>
      </c>
      <c r="CD90" s="195">
        <v>46.35</v>
      </c>
      <c r="CE90" s="195">
        <v>25.74</v>
      </c>
      <c r="CF90" s="195">
        <v>19.559999999999999</v>
      </c>
      <c r="CG90" s="196">
        <v>24.36</v>
      </c>
      <c r="CH90" s="195">
        <v>33.909999999999997</v>
      </c>
      <c r="CI90" s="195">
        <v>21.93</v>
      </c>
      <c r="CJ90" s="196">
        <v>32.479999999999997</v>
      </c>
      <c r="CK90" s="196">
        <v>32.590000000000003</v>
      </c>
      <c r="CL90" s="196">
        <v>32.590000000000003</v>
      </c>
      <c r="CM90" s="195">
        <v>36.11</v>
      </c>
      <c r="CN90" s="195">
        <v>37.130000000000003</v>
      </c>
      <c r="CO90" s="195">
        <v>106.34</v>
      </c>
      <c r="CP90" s="197">
        <v>179.58</v>
      </c>
    </row>
    <row r="91" spans="1:94" ht="13.5" customHeight="1">
      <c r="A91" s="23"/>
      <c r="B91" s="198">
        <v>2072</v>
      </c>
      <c r="D91" s="194">
        <v>45.81</v>
      </c>
      <c r="E91" s="195">
        <v>25.82</v>
      </c>
      <c r="F91" s="195">
        <v>17.809999999999999</v>
      </c>
      <c r="G91" s="196">
        <v>25.95</v>
      </c>
      <c r="H91" s="195">
        <v>34.409999999999997</v>
      </c>
      <c r="I91" s="195">
        <v>20.440000000000001</v>
      </c>
      <c r="J91" s="196">
        <v>32.729999999999997</v>
      </c>
      <c r="K91" s="196">
        <v>33.06</v>
      </c>
      <c r="L91" s="196">
        <v>33.06</v>
      </c>
      <c r="M91" s="195">
        <v>36.42</v>
      </c>
      <c r="N91" s="195">
        <v>51.28</v>
      </c>
      <c r="O91" s="195">
        <v>101.79</v>
      </c>
      <c r="P91" s="197">
        <v>189.48</v>
      </c>
      <c r="Q91" s="194">
        <v>46.94</v>
      </c>
      <c r="R91" s="195">
        <v>26.24</v>
      </c>
      <c r="S91" s="195">
        <v>18.97</v>
      </c>
      <c r="T91" s="196">
        <v>24.44</v>
      </c>
      <c r="U91" s="195">
        <v>34.409999999999997</v>
      </c>
      <c r="V91" s="195">
        <v>20.440000000000001</v>
      </c>
      <c r="W91" s="196">
        <v>32.729999999999997</v>
      </c>
      <c r="X91" s="196">
        <v>33.06</v>
      </c>
      <c r="Y91" s="196">
        <v>33.06</v>
      </c>
      <c r="Z91" s="195">
        <v>37.19</v>
      </c>
      <c r="AA91" s="195">
        <v>17.97</v>
      </c>
      <c r="AB91" s="195">
        <v>116.64</v>
      </c>
      <c r="AC91" s="197">
        <v>171.8</v>
      </c>
      <c r="AD91" s="194">
        <v>46.47</v>
      </c>
      <c r="AE91" s="195">
        <v>25.91</v>
      </c>
      <c r="AF91" s="195">
        <v>18.649999999999999</v>
      </c>
      <c r="AG91" s="196">
        <v>24.93</v>
      </c>
      <c r="AH91" s="195">
        <v>34.409999999999997</v>
      </c>
      <c r="AI91" s="195">
        <v>20.440000000000001</v>
      </c>
      <c r="AJ91" s="196">
        <v>32.729999999999997</v>
      </c>
      <c r="AK91" s="196">
        <v>33.06</v>
      </c>
      <c r="AL91" s="196">
        <v>33.06</v>
      </c>
      <c r="AM91" s="195">
        <v>38.950000000000003</v>
      </c>
      <c r="AN91" s="195">
        <v>72.11</v>
      </c>
      <c r="AO91" s="195">
        <v>91.13</v>
      </c>
      <c r="AP91" s="197">
        <v>202.19</v>
      </c>
      <c r="AQ91" s="194">
        <v>47.35</v>
      </c>
      <c r="AR91" s="195">
        <v>26.28</v>
      </c>
      <c r="AS91" s="195">
        <v>18.59</v>
      </c>
      <c r="AT91" s="196">
        <v>25.26</v>
      </c>
      <c r="AU91" s="195">
        <v>34.409999999999997</v>
      </c>
      <c r="AV91" s="195">
        <v>20.440000000000001</v>
      </c>
      <c r="AW91" s="196">
        <v>32.729999999999997</v>
      </c>
      <c r="AX91" s="196">
        <v>33.06</v>
      </c>
      <c r="AY91" s="196">
        <v>33.06</v>
      </c>
      <c r="AZ91" s="195">
        <v>38.92</v>
      </c>
      <c r="BA91" s="195">
        <v>98.58</v>
      </c>
      <c r="BB91" s="195">
        <v>79.06</v>
      </c>
      <c r="BC91" s="197">
        <v>216.56</v>
      </c>
      <c r="BD91" s="195">
        <v>46.55</v>
      </c>
      <c r="BE91" s="195">
        <v>25.99</v>
      </c>
      <c r="BF91" s="195">
        <v>18.63</v>
      </c>
      <c r="BG91" s="196">
        <v>25.08</v>
      </c>
      <c r="BH91" s="195">
        <v>34.409999999999997</v>
      </c>
      <c r="BI91" s="195">
        <v>20.440000000000001</v>
      </c>
      <c r="BJ91" s="196">
        <v>32.729999999999997</v>
      </c>
      <c r="BK91" s="196">
        <v>33.06</v>
      </c>
      <c r="BL91" s="196">
        <v>33.06</v>
      </c>
      <c r="BM91" s="195">
        <v>37.49</v>
      </c>
      <c r="BN91" s="195">
        <v>44.5</v>
      </c>
      <c r="BO91" s="195">
        <v>104.39</v>
      </c>
      <c r="BP91" s="197">
        <v>186.39</v>
      </c>
      <c r="BQ91" s="195">
        <v>53.2</v>
      </c>
      <c r="BR91" s="195">
        <v>27.52</v>
      </c>
      <c r="BS91" s="195">
        <v>22.06</v>
      </c>
      <c r="BT91" s="196">
        <v>23.57</v>
      </c>
      <c r="BU91" s="195">
        <v>36.130000000000003</v>
      </c>
      <c r="BV91" s="195">
        <v>28.41</v>
      </c>
      <c r="BW91" s="196">
        <v>35.200000000000003</v>
      </c>
      <c r="BX91" s="196">
        <v>33.06</v>
      </c>
      <c r="BY91" s="196">
        <v>33.06</v>
      </c>
      <c r="BZ91" s="195">
        <v>34.049999999999997</v>
      </c>
      <c r="CA91" s="195">
        <v>16.86</v>
      </c>
      <c r="CB91" s="195">
        <v>118.57</v>
      </c>
      <c r="CC91" s="197">
        <v>169.48</v>
      </c>
      <c r="CD91" s="195">
        <v>47.03</v>
      </c>
      <c r="CE91" s="195">
        <v>26.12</v>
      </c>
      <c r="CF91" s="195">
        <v>19.84</v>
      </c>
      <c r="CG91" s="196">
        <v>24.72</v>
      </c>
      <c r="CH91" s="195">
        <v>34.409999999999997</v>
      </c>
      <c r="CI91" s="195">
        <v>22.26</v>
      </c>
      <c r="CJ91" s="196">
        <v>32.950000000000003</v>
      </c>
      <c r="CK91" s="196">
        <v>33.06</v>
      </c>
      <c r="CL91" s="196">
        <v>33.06</v>
      </c>
      <c r="CM91" s="195">
        <v>36.64</v>
      </c>
      <c r="CN91" s="195">
        <v>37.67</v>
      </c>
      <c r="CO91" s="195">
        <v>107.89</v>
      </c>
      <c r="CP91" s="197">
        <v>182.21</v>
      </c>
    </row>
    <row r="92" spans="1:94" ht="13.5" customHeight="1">
      <c r="A92" s="23"/>
      <c r="B92" s="198">
        <v>2073</v>
      </c>
      <c r="D92" s="194">
        <v>46.46</v>
      </c>
      <c r="E92" s="195">
        <v>26.18</v>
      </c>
      <c r="F92" s="195">
        <v>18.07</v>
      </c>
      <c r="G92" s="196">
        <v>26.32</v>
      </c>
      <c r="H92" s="195">
        <v>34.9</v>
      </c>
      <c r="I92" s="195">
        <v>20.73</v>
      </c>
      <c r="J92" s="196">
        <v>33.200000000000003</v>
      </c>
      <c r="K92" s="196">
        <v>33.53</v>
      </c>
      <c r="L92" s="196">
        <v>33.53</v>
      </c>
      <c r="M92" s="195">
        <v>36.94</v>
      </c>
      <c r="N92" s="195">
        <v>52.01</v>
      </c>
      <c r="O92" s="195">
        <v>103.24</v>
      </c>
      <c r="P92" s="197">
        <v>192.19</v>
      </c>
      <c r="Q92" s="194">
        <v>47.61</v>
      </c>
      <c r="R92" s="195">
        <v>26.61</v>
      </c>
      <c r="S92" s="195">
        <v>19.239999999999998</v>
      </c>
      <c r="T92" s="196">
        <v>24.79</v>
      </c>
      <c r="U92" s="195">
        <v>34.9</v>
      </c>
      <c r="V92" s="195">
        <v>20.73</v>
      </c>
      <c r="W92" s="196">
        <v>33.200000000000003</v>
      </c>
      <c r="X92" s="196">
        <v>33.53</v>
      </c>
      <c r="Y92" s="196">
        <v>33.53</v>
      </c>
      <c r="Z92" s="195">
        <v>37.72</v>
      </c>
      <c r="AA92" s="195">
        <v>18.23</v>
      </c>
      <c r="AB92" s="195">
        <v>118.3</v>
      </c>
      <c r="AC92" s="197">
        <v>174.25</v>
      </c>
      <c r="AD92" s="194">
        <v>47.13</v>
      </c>
      <c r="AE92" s="195">
        <v>26.27</v>
      </c>
      <c r="AF92" s="195">
        <v>18.920000000000002</v>
      </c>
      <c r="AG92" s="196">
        <v>25.29</v>
      </c>
      <c r="AH92" s="195">
        <v>34.9</v>
      </c>
      <c r="AI92" s="195">
        <v>20.73</v>
      </c>
      <c r="AJ92" s="196">
        <v>33.200000000000003</v>
      </c>
      <c r="AK92" s="196">
        <v>33.53</v>
      </c>
      <c r="AL92" s="196">
        <v>33.53</v>
      </c>
      <c r="AM92" s="195">
        <v>39.51</v>
      </c>
      <c r="AN92" s="195">
        <v>73.14</v>
      </c>
      <c r="AO92" s="195">
        <v>92.43</v>
      </c>
      <c r="AP92" s="197">
        <v>205.08</v>
      </c>
      <c r="AQ92" s="194">
        <v>48.03</v>
      </c>
      <c r="AR92" s="195">
        <v>26.66</v>
      </c>
      <c r="AS92" s="195">
        <v>18.850000000000001</v>
      </c>
      <c r="AT92" s="196">
        <v>25.62</v>
      </c>
      <c r="AU92" s="195">
        <v>34.9</v>
      </c>
      <c r="AV92" s="195">
        <v>20.73</v>
      </c>
      <c r="AW92" s="196">
        <v>33.200000000000003</v>
      </c>
      <c r="AX92" s="196">
        <v>33.53</v>
      </c>
      <c r="AY92" s="196">
        <v>33.53</v>
      </c>
      <c r="AZ92" s="195">
        <v>39.479999999999997</v>
      </c>
      <c r="BA92" s="195">
        <v>99.98</v>
      </c>
      <c r="BB92" s="195">
        <v>80.19</v>
      </c>
      <c r="BC92" s="197">
        <v>219.65</v>
      </c>
      <c r="BD92" s="195">
        <v>47.22</v>
      </c>
      <c r="BE92" s="195">
        <v>26.36</v>
      </c>
      <c r="BF92" s="195">
        <v>18.899999999999999</v>
      </c>
      <c r="BG92" s="196">
        <v>25.43</v>
      </c>
      <c r="BH92" s="195">
        <v>34.9</v>
      </c>
      <c r="BI92" s="195">
        <v>20.73</v>
      </c>
      <c r="BJ92" s="196">
        <v>33.200000000000003</v>
      </c>
      <c r="BK92" s="196">
        <v>33.53</v>
      </c>
      <c r="BL92" s="196">
        <v>33.53</v>
      </c>
      <c r="BM92" s="195">
        <v>38.03</v>
      </c>
      <c r="BN92" s="195">
        <v>45.14</v>
      </c>
      <c r="BO92" s="195">
        <v>105.88</v>
      </c>
      <c r="BP92" s="197">
        <v>189.04</v>
      </c>
      <c r="BQ92" s="195">
        <v>53.96</v>
      </c>
      <c r="BR92" s="195">
        <v>27.91</v>
      </c>
      <c r="BS92" s="195">
        <v>22.37</v>
      </c>
      <c r="BT92" s="196">
        <v>23.91</v>
      </c>
      <c r="BU92" s="195">
        <v>36.65</v>
      </c>
      <c r="BV92" s="195">
        <v>28.82</v>
      </c>
      <c r="BW92" s="196">
        <v>35.71</v>
      </c>
      <c r="BX92" s="196">
        <v>33.53</v>
      </c>
      <c r="BY92" s="196">
        <v>33.53</v>
      </c>
      <c r="BZ92" s="195">
        <v>34.54</v>
      </c>
      <c r="CA92" s="195">
        <v>17.100000000000001</v>
      </c>
      <c r="CB92" s="195">
        <v>120.26</v>
      </c>
      <c r="CC92" s="197">
        <v>171.9</v>
      </c>
      <c r="CD92" s="195">
        <v>47.7</v>
      </c>
      <c r="CE92" s="195">
        <v>26.49</v>
      </c>
      <c r="CF92" s="195">
        <v>20.12</v>
      </c>
      <c r="CG92" s="196">
        <v>25.07</v>
      </c>
      <c r="CH92" s="195">
        <v>34.9</v>
      </c>
      <c r="CI92" s="195">
        <v>22.57</v>
      </c>
      <c r="CJ92" s="196">
        <v>33.42</v>
      </c>
      <c r="CK92" s="196">
        <v>33.53</v>
      </c>
      <c r="CL92" s="196">
        <v>33.53</v>
      </c>
      <c r="CM92" s="195">
        <v>37.159999999999997</v>
      </c>
      <c r="CN92" s="195">
        <v>38.21</v>
      </c>
      <c r="CO92" s="195">
        <v>109.43</v>
      </c>
      <c r="CP92" s="197">
        <v>184.81</v>
      </c>
    </row>
    <row r="93" spans="1:94" ht="13.5" customHeight="1">
      <c r="A93" s="23"/>
      <c r="B93" s="198">
        <v>2074</v>
      </c>
      <c r="D93" s="194">
        <v>47.09</v>
      </c>
      <c r="E93" s="195">
        <v>26.54</v>
      </c>
      <c r="F93" s="195">
        <v>18.309999999999999</v>
      </c>
      <c r="G93" s="196">
        <v>26.67</v>
      </c>
      <c r="H93" s="195">
        <v>35.369999999999997</v>
      </c>
      <c r="I93" s="195">
        <v>21.01</v>
      </c>
      <c r="J93" s="196">
        <v>33.65</v>
      </c>
      <c r="K93" s="196">
        <v>33.99</v>
      </c>
      <c r="L93" s="196">
        <v>33.99</v>
      </c>
      <c r="M93" s="195">
        <v>37.44</v>
      </c>
      <c r="N93" s="195">
        <v>52.71</v>
      </c>
      <c r="O93" s="195">
        <v>104.64</v>
      </c>
      <c r="P93" s="197">
        <v>194.79</v>
      </c>
      <c r="Q93" s="194">
        <v>48.26</v>
      </c>
      <c r="R93" s="195">
        <v>26.97</v>
      </c>
      <c r="S93" s="195">
        <v>19.5</v>
      </c>
      <c r="T93" s="196">
        <v>25.12</v>
      </c>
      <c r="U93" s="195">
        <v>35.369999999999997</v>
      </c>
      <c r="V93" s="195">
        <v>21.01</v>
      </c>
      <c r="W93" s="196">
        <v>33.65</v>
      </c>
      <c r="X93" s="196">
        <v>33.99</v>
      </c>
      <c r="Y93" s="196">
        <v>33.99</v>
      </c>
      <c r="Z93" s="195">
        <v>38.229999999999997</v>
      </c>
      <c r="AA93" s="195">
        <v>18.47</v>
      </c>
      <c r="AB93" s="195">
        <v>119.91</v>
      </c>
      <c r="AC93" s="197">
        <v>176.61</v>
      </c>
      <c r="AD93" s="194">
        <v>47.77</v>
      </c>
      <c r="AE93" s="195">
        <v>26.63</v>
      </c>
      <c r="AF93" s="195">
        <v>19.170000000000002</v>
      </c>
      <c r="AG93" s="196">
        <v>25.63</v>
      </c>
      <c r="AH93" s="195">
        <v>35.369999999999997</v>
      </c>
      <c r="AI93" s="195">
        <v>21.01</v>
      </c>
      <c r="AJ93" s="196">
        <v>33.65</v>
      </c>
      <c r="AK93" s="196">
        <v>33.99</v>
      </c>
      <c r="AL93" s="196">
        <v>33.99</v>
      </c>
      <c r="AM93" s="195">
        <v>40.049999999999997</v>
      </c>
      <c r="AN93" s="195">
        <v>74.13</v>
      </c>
      <c r="AO93" s="195">
        <v>93.68</v>
      </c>
      <c r="AP93" s="197">
        <v>207.86</v>
      </c>
      <c r="AQ93" s="194">
        <v>48.68</v>
      </c>
      <c r="AR93" s="195">
        <v>27.02</v>
      </c>
      <c r="AS93" s="195">
        <v>19.11</v>
      </c>
      <c r="AT93" s="196">
        <v>25.96</v>
      </c>
      <c r="AU93" s="195">
        <v>35.369999999999997</v>
      </c>
      <c r="AV93" s="195">
        <v>21.01</v>
      </c>
      <c r="AW93" s="196">
        <v>33.65</v>
      </c>
      <c r="AX93" s="196">
        <v>33.99</v>
      </c>
      <c r="AY93" s="196">
        <v>33.99</v>
      </c>
      <c r="AZ93" s="195">
        <v>40.01</v>
      </c>
      <c r="BA93" s="195">
        <v>101.34</v>
      </c>
      <c r="BB93" s="195">
        <v>81.28</v>
      </c>
      <c r="BC93" s="197">
        <v>222.63</v>
      </c>
      <c r="BD93" s="195">
        <v>47.86</v>
      </c>
      <c r="BE93" s="195">
        <v>26.72</v>
      </c>
      <c r="BF93" s="195">
        <v>19.149999999999999</v>
      </c>
      <c r="BG93" s="196">
        <v>25.78</v>
      </c>
      <c r="BH93" s="195">
        <v>35.369999999999997</v>
      </c>
      <c r="BI93" s="195">
        <v>21.01</v>
      </c>
      <c r="BJ93" s="196">
        <v>33.65</v>
      </c>
      <c r="BK93" s="196">
        <v>33.99</v>
      </c>
      <c r="BL93" s="196">
        <v>33.99</v>
      </c>
      <c r="BM93" s="195">
        <v>38.54</v>
      </c>
      <c r="BN93" s="195">
        <v>45.75</v>
      </c>
      <c r="BO93" s="195">
        <v>107.32</v>
      </c>
      <c r="BP93" s="197">
        <v>191.61</v>
      </c>
      <c r="BQ93" s="195">
        <v>54.7</v>
      </c>
      <c r="BR93" s="195">
        <v>28.29</v>
      </c>
      <c r="BS93" s="195">
        <v>22.68</v>
      </c>
      <c r="BT93" s="196">
        <v>24.23</v>
      </c>
      <c r="BU93" s="195">
        <v>37.14</v>
      </c>
      <c r="BV93" s="195">
        <v>29.21</v>
      </c>
      <c r="BW93" s="196">
        <v>36.19</v>
      </c>
      <c r="BX93" s="196">
        <v>33.99</v>
      </c>
      <c r="BY93" s="196">
        <v>33.99</v>
      </c>
      <c r="BZ93" s="195">
        <v>35.01</v>
      </c>
      <c r="CA93" s="195">
        <v>17.329999999999998</v>
      </c>
      <c r="CB93" s="195">
        <v>121.89</v>
      </c>
      <c r="CC93" s="197">
        <v>174.23</v>
      </c>
      <c r="CD93" s="195">
        <v>48.34</v>
      </c>
      <c r="CE93" s="195">
        <v>26.85</v>
      </c>
      <c r="CF93" s="195">
        <v>20.399999999999999</v>
      </c>
      <c r="CG93" s="196">
        <v>25.41</v>
      </c>
      <c r="CH93" s="195">
        <v>35.369999999999997</v>
      </c>
      <c r="CI93" s="195">
        <v>22.88</v>
      </c>
      <c r="CJ93" s="196">
        <v>33.869999999999997</v>
      </c>
      <c r="CK93" s="196">
        <v>33.99</v>
      </c>
      <c r="CL93" s="196">
        <v>33.99</v>
      </c>
      <c r="CM93" s="195">
        <v>37.67</v>
      </c>
      <c r="CN93" s="195">
        <v>38.729999999999997</v>
      </c>
      <c r="CO93" s="195">
        <v>110.92</v>
      </c>
      <c r="CP93" s="197">
        <v>187.31</v>
      </c>
    </row>
    <row r="94" spans="1:94" ht="13.5" customHeight="1">
      <c r="A94" s="23"/>
      <c r="B94" s="198">
        <v>2075</v>
      </c>
      <c r="D94" s="194">
        <v>47.71</v>
      </c>
      <c r="E94" s="195">
        <v>26.89</v>
      </c>
      <c r="F94" s="195">
        <v>18.55</v>
      </c>
      <c r="G94" s="196">
        <v>27.02</v>
      </c>
      <c r="H94" s="195">
        <v>35.840000000000003</v>
      </c>
      <c r="I94" s="195">
        <v>21.28</v>
      </c>
      <c r="J94" s="196">
        <v>34.090000000000003</v>
      </c>
      <c r="K94" s="196">
        <v>34.44</v>
      </c>
      <c r="L94" s="196">
        <v>34.44</v>
      </c>
      <c r="M94" s="195">
        <v>37.93</v>
      </c>
      <c r="N94" s="195">
        <v>53.41</v>
      </c>
      <c r="O94" s="195">
        <v>106.01</v>
      </c>
      <c r="P94" s="197">
        <v>197.35</v>
      </c>
      <c r="Q94" s="194">
        <v>48.89</v>
      </c>
      <c r="R94" s="195">
        <v>27.33</v>
      </c>
      <c r="S94" s="195">
        <v>19.760000000000002</v>
      </c>
      <c r="T94" s="196">
        <v>25.45</v>
      </c>
      <c r="U94" s="195">
        <v>35.840000000000003</v>
      </c>
      <c r="V94" s="195">
        <v>21.28</v>
      </c>
      <c r="W94" s="196">
        <v>34.090000000000003</v>
      </c>
      <c r="X94" s="196">
        <v>34.44</v>
      </c>
      <c r="Y94" s="196">
        <v>34.44</v>
      </c>
      <c r="Z94" s="195">
        <v>38.729999999999997</v>
      </c>
      <c r="AA94" s="195">
        <v>18.72</v>
      </c>
      <c r="AB94" s="195">
        <v>121.49</v>
      </c>
      <c r="AC94" s="197">
        <v>178.93</v>
      </c>
      <c r="AD94" s="194">
        <v>48.4</v>
      </c>
      <c r="AE94" s="195">
        <v>26.98</v>
      </c>
      <c r="AF94" s="195">
        <v>19.43</v>
      </c>
      <c r="AG94" s="196">
        <v>25.97</v>
      </c>
      <c r="AH94" s="195">
        <v>35.840000000000003</v>
      </c>
      <c r="AI94" s="195">
        <v>21.28</v>
      </c>
      <c r="AJ94" s="196">
        <v>34.090000000000003</v>
      </c>
      <c r="AK94" s="196">
        <v>34.44</v>
      </c>
      <c r="AL94" s="196">
        <v>34.44</v>
      </c>
      <c r="AM94" s="195">
        <v>40.57</v>
      </c>
      <c r="AN94" s="195">
        <v>75.11</v>
      </c>
      <c r="AO94" s="195">
        <v>94.91</v>
      </c>
      <c r="AP94" s="197">
        <v>210.59</v>
      </c>
      <c r="AQ94" s="194">
        <v>49.32</v>
      </c>
      <c r="AR94" s="195">
        <v>27.38</v>
      </c>
      <c r="AS94" s="195">
        <v>19.36</v>
      </c>
      <c r="AT94" s="196">
        <v>26.31</v>
      </c>
      <c r="AU94" s="195">
        <v>35.840000000000003</v>
      </c>
      <c r="AV94" s="195">
        <v>21.28</v>
      </c>
      <c r="AW94" s="196">
        <v>34.090000000000003</v>
      </c>
      <c r="AX94" s="196">
        <v>34.44</v>
      </c>
      <c r="AY94" s="196">
        <v>34.44</v>
      </c>
      <c r="AZ94" s="195">
        <v>40.54</v>
      </c>
      <c r="BA94" s="195">
        <v>102.67</v>
      </c>
      <c r="BB94" s="195">
        <v>82.35</v>
      </c>
      <c r="BC94" s="197">
        <v>225.56</v>
      </c>
      <c r="BD94" s="195">
        <v>48.49</v>
      </c>
      <c r="BE94" s="195">
        <v>27.07</v>
      </c>
      <c r="BF94" s="195">
        <v>19.41</v>
      </c>
      <c r="BG94" s="196">
        <v>26.12</v>
      </c>
      <c r="BH94" s="195">
        <v>35.840000000000003</v>
      </c>
      <c r="BI94" s="195">
        <v>21.28</v>
      </c>
      <c r="BJ94" s="196">
        <v>34.090000000000003</v>
      </c>
      <c r="BK94" s="196">
        <v>34.44</v>
      </c>
      <c r="BL94" s="196">
        <v>34.44</v>
      </c>
      <c r="BM94" s="195">
        <v>39.049999999999997</v>
      </c>
      <c r="BN94" s="195">
        <v>46.35</v>
      </c>
      <c r="BO94" s="195">
        <v>108.73</v>
      </c>
      <c r="BP94" s="197">
        <v>194.13</v>
      </c>
      <c r="BQ94" s="195">
        <v>55.42</v>
      </c>
      <c r="BR94" s="195">
        <v>28.66</v>
      </c>
      <c r="BS94" s="195">
        <v>22.98</v>
      </c>
      <c r="BT94" s="196">
        <v>24.55</v>
      </c>
      <c r="BU94" s="195">
        <v>37.630000000000003</v>
      </c>
      <c r="BV94" s="195">
        <v>29.59</v>
      </c>
      <c r="BW94" s="196">
        <v>36.67</v>
      </c>
      <c r="BX94" s="196">
        <v>34.44</v>
      </c>
      <c r="BY94" s="196">
        <v>34.44</v>
      </c>
      <c r="BZ94" s="195">
        <v>35.47</v>
      </c>
      <c r="CA94" s="195">
        <v>17.559999999999999</v>
      </c>
      <c r="CB94" s="195">
        <v>123.49</v>
      </c>
      <c r="CC94" s="197">
        <v>176.52</v>
      </c>
      <c r="CD94" s="195">
        <v>48.98</v>
      </c>
      <c r="CE94" s="195">
        <v>27.2</v>
      </c>
      <c r="CF94" s="195">
        <v>20.67</v>
      </c>
      <c r="CG94" s="196">
        <v>25.75</v>
      </c>
      <c r="CH94" s="195">
        <v>35.840000000000003</v>
      </c>
      <c r="CI94" s="195">
        <v>23.18</v>
      </c>
      <c r="CJ94" s="196">
        <v>34.32</v>
      </c>
      <c r="CK94" s="196">
        <v>34.44</v>
      </c>
      <c r="CL94" s="196">
        <v>34.44</v>
      </c>
      <c r="CM94" s="195">
        <v>38.159999999999997</v>
      </c>
      <c r="CN94" s="195">
        <v>39.24</v>
      </c>
      <c r="CO94" s="195">
        <v>112.38</v>
      </c>
      <c r="CP94" s="197">
        <v>189.78</v>
      </c>
    </row>
    <row r="95" spans="1:94" ht="13.5" customHeight="1">
      <c r="A95" s="23"/>
      <c r="B95" s="198">
        <v>2076</v>
      </c>
      <c r="D95" s="194">
        <v>48.31</v>
      </c>
      <c r="E95" s="195">
        <v>27.23</v>
      </c>
      <c r="F95" s="195">
        <v>18.78</v>
      </c>
      <c r="G95" s="196">
        <v>27.36</v>
      </c>
      <c r="H95" s="195">
        <v>36.29</v>
      </c>
      <c r="I95" s="195">
        <v>21.55</v>
      </c>
      <c r="J95" s="196">
        <v>34.520000000000003</v>
      </c>
      <c r="K95" s="196">
        <v>34.869999999999997</v>
      </c>
      <c r="L95" s="196">
        <v>34.869999999999997</v>
      </c>
      <c r="M95" s="195">
        <v>38.409999999999997</v>
      </c>
      <c r="N95" s="195">
        <v>54.08</v>
      </c>
      <c r="O95" s="195">
        <v>107.35</v>
      </c>
      <c r="P95" s="197">
        <v>199.83</v>
      </c>
      <c r="Q95" s="194">
        <v>49.51</v>
      </c>
      <c r="R95" s="195">
        <v>27.67</v>
      </c>
      <c r="S95" s="195">
        <v>20.010000000000002</v>
      </c>
      <c r="T95" s="196">
        <v>25.77</v>
      </c>
      <c r="U95" s="195">
        <v>36.29</v>
      </c>
      <c r="V95" s="195">
        <v>21.55</v>
      </c>
      <c r="W95" s="196">
        <v>34.520000000000003</v>
      </c>
      <c r="X95" s="196">
        <v>34.869999999999997</v>
      </c>
      <c r="Y95" s="196">
        <v>34.869999999999997</v>
      </c>
      <c r="Z95" s="195">
        <v>39.22</v>
      </c>
      <c r="AA95" s="195">
        <v>18.95</v>
      </c>
      <c r="AB95" s="195">
        <v>123.01</v>
      </c>
      <c r="AC95" s="197">
        <v>181.18</v>
      </c>
      <c r="AD95" s="194">
        <v>49.01</v>
      </c>
      <c r="AE95" s="195">
        <v>27.32</v>
      </c>
      <c r="AF95" s="195">
        <v>19.670000000000002</v>
      </c>
      <c r="AG95" s="196">
        <v>26.29</v>
      </c>
      <c r="AH95" s="195">
        <v>36.29</v>
      </c>
      <c r="AI95" s="195">
        <v>21.55</v>
      </c>
      <c r="AJ95" s="196">
        <v>34.520000000000003</v>
      </c>
      <c r="AK95" s="196">
        <v>34.869999999999997</v>
      </c>
      <c r="AL95" s="196">
        <v>34.869999999999997</v>
      </c>
      <c r="AM95" s="195">
        <v>41.08</v>
      </c>
      <c r="AN95" s="195">
        <v>76.05</v>
      </c>
      <c r="AO95" s="195">
        <v>96.1</v>
      </c>
      <c r="AP95" s="197">
        <v>213.24</v>
      </c>
      <c r="AQ95" s="194">
        <v>49.94</v>
      </c>
      <c r="AR95" s="195">
        <v>27.72</v>
      </c>
      <c r="AS95" s="195">
        <v>19.600000000000001</v>
      </c>
      <c r="AT95" s="196">
        <v>26.64</v>
      </c>
      <c r="AU95" s="195">
        <v>36.29</v>
      </c>
      <c r="AV95" s="195">
        <v>21.55</v>
      </c>
      <c r="AW95" s="196">
        <v>34.520000000000003</v>
      </c>
      <c r="AX95" s="196">
        <v>34.869999999999997</v>
      </c>
      <c r="AY95" s="196">
        <v>34.869999999999997</v>
      </c>
      <c r="AZ95" s="195">
        <v>41.05</v>
      </c>
      <c r="BA95" s="195">
        <v>103.96</v>
      </c>
      <c r="BB95" s="195">
        <v>83.38</v>
      </c>
      <c r="BC95" s="197">
        <v>228.39</v>
      </c>
      <c r="BD95" s="195">
        <v>49.1</v>
      </c>
      <c r="BE95" s="195">
        <v>27.41</v>
      </c>
      <c r="BF95" s="195">
        <v>19.649999999999999</v>
      </c>
      <c r="BG95" s="196">
        <v>26.45</v>
      </c>
      <c r="BH95" s="195">
        <v>36.29</v>
      </c>
      <c r="BI95" s="195">
        <v>21.55</v>
      </c>
      <c r="BJ95" s="196">
        <v>34.520000000000003</v>
      </c>
      <c r="BK95" s="196">
        <v>34.869999999999997</v>
      </c>
      <c r="BL95" s="196">
        <v>34.869999999999997</v>
      </c>
      <c r="BM95" s="195">
        <v>39.54</v>
      </c>
      <c r="BN95" s="195">
        <v>46.93</v>
      </c>
      <c r="BO95" s="195">
        <v>110.1</v>
      </c>
      <c r="BP95" s="197">
        <v>196.57</v>
      </c>
      <c r="BQ95" s="195">
        <v>56.11</v>
      </c>
      <c r="BR95" s="195">
        <v>29.02</v>
      </c>
      <c r="BS95" s="195">
        <v>23.27</v>
      </c>
      <c r="BT95" s="196">
        <v>24.86</v>
      </c>
      <c r="BU95" s="195">
        <v>38.1</v>
      </c>
      <c r="BV95" s="195">
        <v>29.97</v>
      </c>
      <c r="BW95" s="196">
        <v>37.130000000000003</v>
      </c>
      <c r="BX95" s="196">
        <v>34.869999999999997</v>
      </c>
      <c r="BY95" s="196">
        <v>34.869999999999997</v>
      </c>
      <c r="BZ95" s="195">
        <v>35.909999999999997</v>
      </c>
      <c r="CA95" s="195">
        <v>17.78</v>
      </c>
      <c r="CB95" s="195">
        <v>125.05</v>
      </c>
      <c r="CC95" s="197">
        <v>178.74</v>
      </c>
      <c r="CD95" s="195">
        <v>49.59</v>
      </c>
      <c r="CE95" s="195">
        <v>27.54</v>
      </c>
      <c r="CF95" s="195">
        <v>20.93</v>
      </c>
      <c r="CG95" s="196">
        <v>26.07</v>
      </c>
      <c r="CH95" s="195">
        <v>36.29</v>
      </c>
      <c r="CI95" s="195">
        <v>23.47</v>
      </c>
      <c r="CJ95" s="196">
        <v>34.75</v>
      </c>
      <c r="CK95" s="196">
        <v>34.869999999999997</v>
      </c>
      <c r="CL95" s="196">
        <v>34.869999999999997</v>
      </c>
      <c r="CM95" s="195">
        <v>38.64</v>
      </c>
      <c r="CN95" s="195">
        <v>39.729999999999997</v>
      </c>
      <c r="CO95" s="195">
        <v>113.79</v>
      </c>
      <c r="CP95" s="197">
        <v>192.16</v>
      </c>
    </row>
    <row r="96" spans="1:94" ht="13.5" customHeight="1">
      <c r="A96" s="23"/>
      <c r="B96" s="198">
        <v>2077</v>
      </c>
      <c r="D96" s="194">
        <v>48.93</v>
      </c>
      <c r="E96" s="195">
        <v>27.57</v>
      </c>
      <c r="F96" s="195">
        <v>19.02</v>
      </c>
      <c r="G96" s="196">
        <v>27.71</v>
      </c>
      <c r="H96" s="195">
        <v>36.75</v>
      </c>
      <c r="I96" s="195">
        <v>21.83</v>
      </c>
      <c r="J96" s="196">
        <v>34.96</v>
      </c>
      <c r="K96" s="196">
        <v>35.31</v>
      </c>
      <c r="L96" s="196">
        <v>35.31</v>
      </c>
      <c r="M96" s="195">
        <v>38.9</v>
      </c>
      <c r="N96" s="195">
        <v>54.76</v>
      </c>
      <c r="O96" s="195">
        <v>108.71</v>
      </c>
      <c r="P96" s="197">
        <v>202.37</v>
      </c>
      <c r="Q96" s="194">
        <v>50.14</v>
      </c>
      <c r="R96" s="195">
        <v>28.02</v>
      </c>
      <c r="S96" s="195">
        <v>20.260000000000002</v>
      </c>
      <c r="T96" s="196">
        <v>26.1</v>
      </c>
      <c r="U96" s="195">
        <v>36.75</v>
      </c>
      <c r="V96" s="195">
        <v>21.83</v>
      </c>
      <c r="W96" s="196">
        <v>34.96</v>
      </c>
      <c r="X96" s="196">
        <v>35.31</v>
      </c>
      <c r="Y96" s="196">
        <v>35.31</v>
      </c>
      <c r="Z96" s="195">
        <v>39.71</v>
      </c>
      <c r="AA96" s="195">
        <v>19.190000000000001</v>
      </c>
      <c r="AB96" s="195">
        <v>124.58</v>
      </c>
      <c r="AC96" s="197">
        <v>183.48</v>
      </c>
      <c r="AD96" s="194">
        <v>49.63</v>
      </c>
      <c r="AE96" s="195">
        <v>27.67</v>
      </c>
      <c r="AF96" s="195">
        <v>19.920000000000002</v>
      </c>
      <c r="AG96" s="196">
        <v>26.63</v>
      </c>
      <c r="AH96" s="195">
        <v>36.75</v>
      </c>
      <c r="AI96" s="195">
        <v>21.83</v>
      </c>
      <c r="AJ96" s="196">
        <v>34.96</v>
      </c>
      <c r="AK96" s="196">
        <v>35.31</v>
      </c>
      <c r="AL96" s="196">
        <v>35.31</v>
      </c>
      <c r="AM96" s="195">
        <v>41.6</v>
      </c>
      <c r="AN96" s="195">
        <v>77.02</v>
      </c>
      <c r="AO96" s="195">
        <v>97.33</v>
      </c>
      <c r="AP96" s="197">
        <v>215.95</v>
      </c>
      <c r="AQ96" s="194">
        <v>50.57</v>
      </c>
      <c r="AR96" s="195">
        <v>28.07</v>
      </c>
      <c r="AS96" s="195">
        <v>19.850000000000001</v>
      </c>
      <c r="AT96" s="196">
        <v>26.98</v>
      </c>
      <c r="AU96" s="195">
        <v>36.75</v>
      </c>
      <c r="AV96" s="195">
        <v>21.83</v>
      </c>
      <c r="AW96" s="196">
        <v>34.96</v>
      </c>
      <c r="AX96" s="196">
        <v>35.31</v>
      </c>
      <c r="AY96" s="196">
        <v>35.31</v>
      </c>
      <c r="AZ96" s="195">
        <v>41.57</v>
      </c>
      <c r="BA96" s="195">
        <v>105.28</v>
      </c>
      <c r="BB96" s="195">
        <v>84.44</v>
      </c>
      <c r="BC96" s="197">
        <v>231.29</v>
      </c>
      <c r="BD96" s="195">
        <v>49.72</v>
      </c>
      <c r="BE96" s="195">
        <v>27.76</v>
      </c>
      <c r="BF96" s="195">
        <v>19.899999999999999</v>
      </c>
      <c r="BG96" s="196">
        <v>26.78</v>
      </c>
      <c r="BH96" s="195">
        <v>36.75</v>
      </c>
      <c r="BI96" s="195">
        <v>21.83</v>
      </c>
      <c r="BJ96" s="196">
        <v>34.96</v>
      </c>
      <c r="BK96" s="196">
        <v>35.31</v>
      </c>
      <c r="BL96" s="196">
        <v>35.31</v>
      </c>
      <c r="BM96" s="195">
        <v>40.04</v>
      </c>
      <c r="BN96" s="195">
        <v>47.53</v>
      </c>
      <c r="BO96" s="195">
        <v>111.49</v>
      </c>
      <c r="BP96" s="197">
        <v>199.06</v>
      </c>
      <c r="BQ96" s="195">
        <v>56.82</v>
      </c>
      <c r="BR96" s="195">
        <v>29.39</v>
      </c>
      <c r="BS96" s="195">
        <v>23.56</v>
      </c>
      <c r="BT96" s="196">
        <v>25.18</v>
      </c>
      <c r="BU96" s="195">
        <v>38.590000000000003</v>
      </c>
      <c r="BV96" s="195">
        <v>30.35</v>
      </c>
      <c r="BW96" s="196">
        <v>37.6</v>
      </c>
      <c r="BX96" s="196">
        <v>35.31</v>
      </c>
      <c r="BY96" s="196">
        <v>35.31</v>
      </c>
      <c r="BZ96" s="195">
        <v>36.369999999999997</v>
      </c>
      <c r="CA96" s="195">
        <v>18.010000000000002</v>
      </c>
      <c r="CB96" s="195">
        <v>126.63</v>
      </c>
      <c r="CC96" s="197">
        <v>181.01</v>
      </c>
      <c r="CD96" s="195">
        <v>50.22</v>
      </c>
      <c r="CE96" s="195">
        <v>27.89</v>
      </c>
      <c r="CF96" s="195">
        <v>21.19</v>
      </c>
      <c r="CG96" s="196">
        <v>26.4</v>
      </c>
      <c r="CH96" s="195">
        <v>36.75</v>
      </c>
      <c r="CI96" s="195">
        <v>23.77</v>
      </c>
      <c r="CJ96" s="196">
        <v>35.19</v>
      </c>
      <c r="CK96" s="196">
        <v>35.31</v>
      </c>
      <c r="CL96" s="196">
        <v>35.31</v>
      </c>
      <c r="CM96" s="195">
        <v>39.130000000000003</v>
      </c>
      <c r="CN96" s="195">
        <v>40.24</v>
      </c>
      <c r="CO96" s="195">
        <v>115.23</v>
      </c>
      <c r="CP96" s="197">
        <v>194.6</v>
      </c>
    </row>
    <row r="97" spans="1:94" ht="13.5" customHeight="1">
      <c r="A97" s="23"/>
      <c r="B97" s="198">
        <v>2078</v>
      </c>
      <c r="D97" s="194">
        <v>49.54</v>
      </c>
      <c r="E97" s="195">
        <v>27.92</v>
      </c>
      <c r="F97" s="195">
        <v>19.260000000000002</v>
      </c>
      <c r="G97" s="196">
        <v>28.06</v>
      </c>
      <c r="H97" s="195">
        <v>37.21</v>
      </c>
      <c r="I97" s="195">
        <v>22.1</v>
      </c>
      <c r="J97" s="196">
        <v>35.4</v>
      </c>
      <c r="K97" s="196">
        <v>35.75</v>
      </c>
      <c r="L97" s="196">
        <v>35.75</v>
      </c>
      <c r="M97" s="195">
        <v>39.39</v>
      </c>
      <c r="N97" s="195">
        <v>55.45</v>
      </c>
      <c r="O97" s="195">
        <v>110.07</v>
      </c>
      <c r="P97" s="197">
        <v>204.91</v>
      </c>
      <c r="Q97" s="194">
        <v>50.76</v>
      </c>
      <c r="R97" s="195">
        <v>28.37</v>
      </c>
      <c r="S97" s="195">
        <v>20.52</v>
      </c>
      <c r="T97" s="196">
        <v>26.43</v>
      </c>
      <c r="U97" s="195">
        <v>37.21</v>
      </c>
      <c r="V97" s="195">
        <v>22.1</v>
      </c>
      <c r="W97" s="196">
        <v>35.4</v>
      </c>
      <c r="X97" s="196">
        <v>35.75</v>
      </c>
      <c r="Y97" s="196">
        <v>35.75</v>
      </c>
      <c r="Z97" s="195">
        <v>40.21</v>
      </c>
      <c r="AA97" s="195">
        <v>19.43</v>
      </c>
      <c r="AB97" s="195">
        <v>126.14</v>
      </c>
      <c r="AC97" s="197">
        <v>185.78</v>
      </c>
      <c r="AD97" s="194">
        <v>50.25</v>
      </c>
      <c r="AE97" s="195">
        <v>28.01</v>
      </c>
      <c r="AF97" s="195">
        <v>20.170000000000002</v>
      </c>
      <c r="AG97" s="196">
        <v>26.96</v>
      </c>
      <c r="AH97" s="195">
        <v>37.21</v>
      </c>
      <c r="AI97" s="195">
        <v>22.1</v>
      </c>
      <c r="AJ97" s="196">
        <v>35.4</v>
      </c>
      <c r="AK97" s="196">
        <v>35.75</v>
      </c>
      <c r="AL97" s="196">
        <v>35.75</v>
      </c>
      <c r="AM97" s="195">
        <v>42.13</v>
      </c>
      <c r="AN97" s="195">
        <v>77.98</v>
      </c>
      <c r="AO97" s="195">
        <v>98.55</v>
      </c>
      <c r="AP97" s="197">
        <v>218.65</v>
      </c>
      <c r="AQ97" s="194">
        <v>51.2</v>
      </c>
      <c r="AR97" s="195">
        <v>28.42</v>
      </c>
      <c r="AS97" s="195">
        <v>20.100000000000001</v>
      </c>
      <c r="AT97" s="196">
        <v>27.31</v>
      </c>
      <c r="AU97" s="195">
        <v>37.21</v>
      </c>
      <c r="AV97" s="195">
        <v>22.1</v>
      </c>
      <c r="AW97" s="196">
        <v>35.4</v>
      </c>
      <c r="AX97" s="196">
        <v>35.75</v>
      </c>
      <c r="AY97" s="196">
        <v>35.75</v>
      </c>
      <c r="AZ97" s="195">
        <v>42.09</v>
      </c>
      <c r="BA97" s="195">
        <v>106.6</v>
      </c>
      <c r="BB97" s="195">
        <v>85.5</v>
      </c>
      <c r="BC97" s="197">
        <v>234.19</v>
      </c>
      <c r="BD97" s="195">
        <v>50.34</v>
      </c>
      <c r="BE97" s="195">
        <v>28.11</v>
      </c>
      <c r="BF97" s="195">
        <v>20.149999999999999</v>
      </c>
      <c r="BG97" s="196">
        <v>27.12</v>
      </c>
      <c r="BH97" s="195">
        <v>37.21</v>
      </c>
      <c r="BI97" s="195">
        <v>22.1</v>
      </c>
      <c r="BJ97" s="196">
        <v>35.4</v>
      </c>
      <c r="BK97" s="196">
        <v>35.75</v>
      </c>
      <c r="BL97" s="196">
        <v>35.75</v>
      </c>
      <c r="BM97" s="195">
        <v>40.54</v>
      </c>
      <c r="BN97" s="195">
        <v>48.12</v>
      </c>
      <c r="BO97" s="195">
        <v>112.89</v>
      </c>
      <c r="BP97" s="197">
        <v>201.56</v>
      </c>
      <c r="BQ97" s="195">
        <v>57.54</v>
      </c>
      <c r="BR97" s="195">
        <v>29.76</v>
      </c>
      <c r="BS97" s="195">
        <v>23.86</v>
      </c>
      <c r="BT97" s="196">
        <v>25.49</v>
      </c>
      <c r="BU97" s="195">
        <v>39.07</v>
      </c>
      <c r="BV97" s="195">
        <v>30.73</v>
      </c>
      <c r="BW97" s="196">
        <v>38.07</v>
      </c>
      <c r="BX97" s="196">
        <v>35.75</v>
      </c>
      <c r="BY97" s="196">
        <v>35.75</v>
      </c>
      <c r="BZ97" s="195">
        <v>36.82</v>
      </c>
      <c r="CA97" s="195">
        <v>18.23</v>
      </c>
      <c r="CB97" s="195">
        <v>128.22</v>
      </c>
      <c r="CC97" s="197">
        <v>183.28</v>
      </c>
      <c r="CD97" s="195">
        <v>50.85</v>
      </c>
      <c r="CE97" s="195">
        <v>28.24</v>
      </c>
      <c r="CF97" s="195">
        <v>21.46</v>
      </c>
      <c r="CG97" s="196">
        <v>26.73</v>
      </c>
      <c r="CH97" s="195">
        <v>37.21</v>
      </c>
      <c r="CI97" s="195">
        <v>24.07</v>
      </c>
      <c r="CJ97" s="196">
        <v>35.630000000000003</v>
      </c>
      <c r="CK97" s="196">
        <v>35.75</v>
      </c>
      <c r="CL97" s="196">
        <v>35.75</v>
      </c>
      <c r="CM97" s="195">
        <v>39.619999999999997</v>
      </c>
      <c r="CN97" s="195">
        <v>40.74</v>
      </c>
      <c r="CO97" s="195">
        <v>116.68</v>
      </c>
      <c r="CP97" s="197">
        <v>197.04</v>
      </c>
    </row>
    <row r="98" spans="1:94" ht="13.5" customHeight="1">
      <c r="A98" s="23"/>
      <c r="B98" s="198">
        <v>2079</v>
      </c>
      <c r="D98" s="194">
        <v>50.14</v>
      </c>
      <c r="E98" s="195">
        <v>28.26</v>
      </c>
      <c r="F98" s="195">
        <v>19.5</v>
      </c>
      <c r="G98" s="196">
        <v>28.4</v>
      </c>
      <c r="H98" s="195">
        <v>37.659999999999997</v>
      </c>
      <c r="I98" s="195">
        <v>22.37</v>
      </c>
      <c r="J98" s="196">
        <v>35.83</v>
      </c>
      <c r="K98" s="196">
        <v>36.19</v>
      </c>
      <c r="L98" s="196">
        <v>36.19</v>
      </c>
      <c r="M98" s="195">
        <v>39.869999999999997</v>
      </c>
      <c r="N98" s="195">
        <v>56.13</v>
      </c>
      <c r="O98" s="195">
        <v>111.41</v>
      </c>
      <c r="P98" s="197">
        <v>207.41</v>
      </c>
      <c r="Q98" s="194">
        <v>51.38</v>
      </c>
      <c r="R98" s="195">
        <v>28.72</v>
      </c>
      <c r="S98" s="195">
        <v>20.77</v>
      </c>
      <c r="T98" s="196">
        <v>26.75</v>
      </c>
      <c r="U98" s="195">
        <v>37.659999999999997</v>
      </c>
      <c r="V98" s="195">
        <v>22.37</v>
      </c>
      <c r="W98" s="196">
        <v>35.83</v>
      </c>
      <c r="X98" s="196">
        <v>36.19</v>
      </c>
      <c r="Y98" s="196">
        <v>36.19</v>
      </c>
      <c r="Z98" s="195">
        <v>40.700000000000003</v>
      </c>
      <c r="AA98" s="195">
        <v>19.670000000000002</v>
      </c>
      <c r="AB98" s="195">
        <v>127.67</v>
      </c>
      <c r="AC98" s="197">
        <v>188.05</v>
      </c>
      <c r="AD98" s="194">
        <v>50.87</v>
      </c>
      <c r="AE98" s="195">
        <v>28.36</v>
      </c>
      <c r="AF98" s="195">
        <v>20.420000000000002</v>
      </c>
      <c r="AG98" s="196">
        <v>27.29</v>
      </c>
      <c r="AH98" s="195">
        <v>37.659999999999997</v>
      </c>
      <c r="AI98" s="195">
        <v>22.37</v>
      </c>
      <c r="AJ98" s="196">
        <v>35.83</v>
      </c>
      <c r="AK98" s="196">
        <v>36.19</v>
      </c>
      <c r="AL98" s="196">
        <v>36.19</v>
      </c>
      <c r="AM98" s="195">
        <v>42.64</v>
      </c>
      <c r="AN98" s="195">
        <v>78.930000000000007</v>
      </c>
      <c r="AO98" s="195">
        <v>99.75</v>
      </c>
      <c r="AP98" s="197">
        <v>221.32</v>
      </c>
      <c r="AQ98" s="194">
        <v>51.83</v>
      </c>
      <c r="AR98" s="195">
        <v>28.77</v>
      </c>
      <c r="AS98" s="195">
        <v>20.34</v>
      </c>
      <c r="AT98" s="196">
        <v>27.65</v>
      </c>
      <c r="AU98" s="195">
        <v>37.659999999999997</v>
      </c>
      <c r="AV98" s="195">
        <v>22.37</v>
      </c>
      <c r="AW98" s="196">
        <v>35.83</v>
      </c>
      <c r="AX98" s="196">
        <v>36.19</v>
      </c>
      <c r="AY98" s="196">
        <v>36.19</v>
      </c>
      <c r="AZ98" s="195">
        <v>42.6</v>
      </c>
      <c r="BA98" s="195">
        <v>107.9</v>
      </c>
      <c r="BB98" s="195">
        <v>86.54</v>
      </c>
      <c r="BC98" s="197">
        <v>237.05</v>
      </c>
      <c r="BD98" s="195">
        <v>50.96</v>
      </c>
      <c r="BE98" s="195">
        <v>28.45</v>
      </c>
      <c r="BF98" s="195">
        <v>20.39</v>
      </c>
      <c r="BG98" s="196">
        <v>27.45</v>
      </c>
      <c r="BH98" s="195">
        <v>37.659999999999997</v>
      </c>
      <c r="BI98" s="195">
        <v>22.37</v>
      </c>
      <c r="BJ98" s="196">
        <v>35.83</v>
      </c>
      <c r="BK98" s="196">
        <v>36.19</v>
      </c>
      <c r="BL98" s="196">
        <v>36.19</v>
      </c>
      <c r="BM98" s="195">
        <v>41.04</v>
      </c>
      <c r="BN98" s="195">
        <v>48.71</v>
      </c>
      <c r="BO98" s="195">
        <v>114.27</v>
      </c>
      <c r="BP98" s="197">
        <v>204.01</v>
      </c>
      <c r="BQ98" s="195">
        <v>58.24</v>
      </c>
      <c r="BR98" s="195">
        <v>30.12</v>
      </c>
      <c r="BS98" s="195">
        <v>24.15</v>
      </c>
      <c r="BT98" s="196">
        <v>25.8</v>
      </c>
      <c r="BU98" s="195">
        <v>39.549999999999997</v>
      </c>
      <c r="BV98" s="195">
        <v>31.1</v>
      </c>
      <c r="BW98" s="196">
        <v>38.53</v>
      </c>
      <c r="BX98" s="196">
        <v>36.19</v>
      </c>
      <c r="BY98" s="196">
        <v>36.19</v>
      </c>
      <c r="BZ98" s="195">
        <v>37.270000000000003</v>
      </c>
      <c r="CA98" s="195">
        <v>18.45</v>
      </c>
      <c r="CB98" s="195">
        <v>129.78</v>
      </c>
      <c r="CC98" s="197">
        <v>185.51</v>
      </c>
      <c r="CD98" s="195">
        <v>51.47</v>
      </c>
      <c r="CE98" s="195">
        <v>28.59</v>
      </c>
      <c r="CF98" s="195">
        <v>21.72</v>
      </c>
      <c r="CG98" s="196">
        <v>27.06</v>
      </c>
      <c r="CH98" s="195">
        <v>37.659999999999997</v>
      </c>
      <c r="CI98" s="195">
        <v>24.36</v>
      </c>
      <c r="CJ98" s="196">
        <v>36.07</v>
      </c>
      <c r="CK98" s="196">
        <v>36.19</v>
      </c>
      <c r="CL98" s="196">
        <v>36.19</v>
      </c>
      <c r="CM98" s="195">
        <v>40.11</v>
      </c>
      <c r="CN98" s="195">
        <v>41.24</v>
      </c>
      <c r="CO98" s="195">
        <v>118.1</v>
      </c>
      <c r="CP98" s="197">
        <v>199.44</v>
      </c>
    </row>
    <row r="99" spans="1:94" ht="13.5" customHeight="1">
      <c r="A99" s="23"/>
      <c r="B99" s="198">
        <v>2080</v>
      </c>
      <c r="D99" s="194">
        <v>50.74</v>
      </c>
      <c r="E99" s="195">
        <v>28.6</v>
      </c>
      <c r="F99" s="195">
        <v>19.73</v>
      </c>
      <c r="G99" s="196">
        <v>28.74</v>
      </c>
      <c r="H99" s="195">
        <v>38.11</v>
      </c>
      <c r="I99" s="195">
        <v>22.64</v>
      </c>
      <c r="J99" s="196">
        <v>36.26</v>
      </c>
      <c r="K99" s="196">
        <v>36.619999999999997</v>
      </c>
      <c r="L99" s="196">
        <v>36.619999999999997</v>
      </c>
      <c r="M99" s="195">
        <v>40.340000000000003</v>
      </c>
      <c r="N99" s="195">
        <v>56.8</v>
      </c>
      <c r="O99" s="195">
        <v>112.74</v>
      </c>
      <c r="P99" s="197">
        <v>209.88</v>
      </c>
      <c r="Q99" s="194">
        <v>52</v>
      </c>
      <c r="R99" s="195">
        <v>29.06</v>
      </c>
      <c r="S99" s="195">
        <v>21.02</v>
      </c>
      <c r="T99" s="196">
        <v>27.07</v>
      </c>
      <c r="U99" s="195">
        <v>38.11</v>
      </c>
      <c r="V99" s="195">
        <v>22.64</v>
      </c>
      <c r="W99" s="196">
        <v>36.26</v>
      </c>
      <c r="X99" s="196">
        <v>36.619999999999997</v>
      </c>
      <c r="Y99" s="196">
        <v>36.619999999999997</v>
      </c>
      <c r="Z99" s="195">
        <v>41.19</v>
      </c>
      <c r="AA99" s="195">
        <v>19.899999999999999</v>
      </c>
      <c r="AB99" s="195">
        <v>129.19999999999999</v>
      </c>
      <c r="AC99" s="197">
        <v>190.29</v>
      </c>
      <c r="AD99" s="194">
        <v>51.47</v>
      </c>
      <c r="AE99" s="195">
        <v>28.69</v>
      </c>
      <c r="AF99" s="195">
        <v>20.66</v>
      </c>
      <c r="AG99" s="196">
        <v>27.61</v>
      </c>
      <c r="AH99" s="195">
        <v>38.11</v>
      </c>
      <c r="AI99" s="195">
        <v>22.64</v>
      </c>
      <c r="AJ99" s="196">
        <v>36.26</v>
      </c>
      <c r="AK99" s="196">
        <v>36.619999999999997</v>
      </c>
      <c r="AL99" s="196">
        <v>36.619999999999997</v>
      </c>
      <c r="AM99" s="195">
        <v>43.15</v>
      </c>
      <c r="AN99" s="195">
        <v>79.88</v>
      </c>
      <c r="AO99" s="195">
        <v>100.94</v>
      </c>
      <c r="AP99" s="197">
        <v>223.96</v>
      </c>
      <c r="AQ99" s="194">
        <v>52.45</v>
      </c>
      <c r="AR99" s="195">
        <v>29.11</v>
      </c>
      <c r="AS99" s="195">
        <v>20.59</v>
      </c>
      <c r="AT99" s="196">
        <v>27.98</v>
      </c>
      <c r="AU99" s="195">
        <v>38.11</v>
      </c>
      <c r="AV99" s="195">
        <v>22.64</v>
      </c>
      <c r="AW99" s="196">
        <v>36.26</v>
      </c>
      <c r="AX99" s="196">
        <v>36.619999999999997</v>
      </c>
      <c r="AY99" s="196">
        <v>36.619999999999997</v>
      </c>
      <c r="AZ99" s="195">
        <v>43.11</v>
      </c>
      <c r="BA99" s="195">
        <v>109.19</v>
      </c>
      <c r="BB99" s="195">
        <v>87.57</v>
      </c>
      <c r="BC99" s="197">
        <v>239.87</v>
      </c>
      <c r="BD99" s="195">
        <v>51.56</v>
      </c>
      <c r="BE99" s="195">
        <v>28.79</v>
      </c>
      <c r="BF99" s="195">
        <v>20.64</v>
      </c>
      <c r="BG99" s="196">
        <v>27.77</v>
      </c>
      <c r="BH99" s="195">
        <v>38.11</v>
      </c>
      <c r="BI99" s="195">
        <v>22.64</v>
      </c>
      <c r="BJ99" s="196">
        <v>36.26</v>
      </c>
      <c r="BK99" s="196">
        <v>36.619999999999997</v>
      </c>
      <c r="BL99" s="196">
        <v>36.619999999999997</v>
      </c>
      <c r="BM99" s="195">
        <v>41.53</v>
      </c>
      <c r="BN99" s="195">
        <v>49.29</v>
      </c>
      <c r="BO99" s="195">
        <v>115.63</v>
      </c>
      <c r="BP99" s="197">
        <v>206.45</v>
      </c>
      <c r="BQ99" s="195">
        <v>58.93</v>
      </c>
      <c r="BR99" s="195">
        <v>30.48</v>
      </c>
      <c r="BS99" s="195">
        <v>24.43</v>
      </c>
      <c r="BT99" s="196">
        <v>26.11</v>
      </c>
      <c r="BU99" s="195">
        <v>40.020000000000003</v>
      </c>
      <c r="BV99" s="195">
        <v>31.47</v>
      </c>
      <c r="BW99" s="196">
        <v>38.99</v>
      </c>
      <c r="BX99" s="196">
        <v>36.619999999999997</v>
      </c>
      <c r="BY99" s="196">
        <v>36.619999999999997</v>
      </c>
      <c r="BZ99" s="195">
        <v>37.72</v>
      </c>
      <c r="CA99" s="195">
        <v>18.670000000000002</v>
      </c>
      <c r="CB99" s="195">
        <v>131.33000000000001</v>
      </c>
      <c r="CC99" s="197">
        <v>187.72</v>
      </c>
      <c r="CD99" s="195">
        <v>52.09</v>
      </c>
      <c r="CE99" s="195">
        <v>28.93</v>
      </c>
      <c r="CF99" s="195">
        <v>21.98</v>
      </c>
      <c r="CG99" s="196">
        <v>27.38</v>
      </c>
      <c r="CH99" s="195">
        <v>38.11</v>
      </c>
      <c r="CI99" s="195">
        <v>24.65</v>
      </c>
      <c r="CJ99" s="196">
        <v>36.5</v>
      </c>
      <c r="CK99" s="196">
        <v>36.619999999999997</v>
      </c>
      <c r="CL99" s="196">
        <v>36.619999999999997</v>
      </c>
      <c r="CM99" s="195">
        <v>40.590000000000003</v>
      </c>
      <c r="CN99" s="195">
        <v>41.73</v>
      </c>
      <c r="CO99" s="195">
        <v>119.51</v>
      </c>
      <c r="CP99" s="197">
        <v>201.82</v>
      </c>
    </row>
    <row r="100" spans="1:94" ht="13.5" customHeight="1">
      <c r="A100" s="23"/>
      <c r="B100" s="198">
        <v>2081</v>
      </c>
      <c r="D100" s="194">
        <v>51.38</v>
      </c>
      <c r="E100" s="195">
        <v>28.95</v>
      </c>
      <c r="F100" s="195">
        <v>19.98</v>
      </c>
      <c r="G100" s="196">
        <v>29.1</v>
      </c>
      <c r="H100" s="195">
        <v>38.590000000000003</v>
      </c>
      <c r="I100" s="195">
        <v>22.92</v>
      </c>
      <c r="J100" s="196">
        <v>36.71</v>
      </c>
      <c r="K100" s="196">
        <v>37.08</v>
      </c>
      <c r="L100" s="196">
        <v>37.08</v>
      </c>
      <c r="M100" s="195">
        <v>40.85</v>
      </c>
      <c r="N100" s="195">
        <v>57.51</v>
      </c>
      <c r="O100" s="195">
        <v>114.15</v>
      </c>
      <c r="P100" s="197">
        <v>212.51</v>
      </c>
      <c r="Q100" s="194">
        <v>52.65</v>
      </c>
      <c r="R100" s="195">
        <v>29.42</v>
      </c>
      <c r="S100" s="195">
        <v>21.28</v>
      </c>
      <c r="T100" s="196">
        <v>27.41</v>
      </c>
      <c r="U100" s="195">
        <v>38.590000000000003</v>
      </c>
      <c r="V100" s="195">
        <v>22.92</v>
      </c>
      <c r="W100" s="196">
        <v>36.71</v>
      </c>
      <c r="X100" s="196">
        <v>37.08</v>
      </c>
      <c r="Y100" s="196">
        <v>37.08</v>
      </c>
      <c r="Z100" s="195">
        <v>41.7</v>
      </c>
      <c r="AA100" s="195">
        <v>20.149999999999999</v>
      </c>
      <c r="AB100" s="195">
        <v>130.81</v>
      </c>
      <c r="AC100" s="197">
        <v>192.67</v>
      </c>
      <c r="AD100" s="194">
        <v>52.12</v>
      </c>
      <c r="AE100" s="195">
        <v>29.05</v>
      </c>
      <c r="AF100" s="195">
        <v>20.92</v>
      </c>
      <c r="AG100" s="196">
        <v>27.96</v>
      </c>
      <c r="AH100" s="195">
        <v>38.590000000000003</v>
      </c>
      <c r="AI100" s="195">
        <v>22.92</v>
      </c>
      <c r="AJ100" s="196">
        <v>36.71</v>
      </c>
      <c r="AK100" s="196">
        <v>37.08</v>
      </c>
      <c r="AL100" s="196">
        <v>37.08</v>
      </c>
      <c r="AM100" s="195">
        <v>43.69</v>
      </c>
      <c r="AN100" s="195">
        <v>80.88</v>
      </c>
      <c r="AO100" s="195">
        <v>102.2</v>
      </c>
      <c r="AP100" s="197">
        <v>226.76</v>
      </c>
      <c r="AQ100" s="194">
        <v>53.1</v>
      </c>
      <c r="AR100" s="195">
        <v>29.48</v>
      </c>
      <c r="AS100" s="195">
        <v>20.84</v>
      </c>
      <c r="AT100" s="196">
        <v>28.33</v>
      </c>
      <c r="AU100" s="195">
        <v>38.590000000000003</v>
      </c>
      <c r="AV100" s="195">
        <v>22.92</v>
      </c>
      <c r="AW100" s="196">
        <v>36.71</v>
      </c>
      <c r="AX100" s="196">
        <v>37.08</v>
      </c>
      <c r="AY100" s="196">
        <v>37.08</v>
      </c>
      <c r="AZ100" s="195">
        <v>43.65</v>
      </c>
      <c r="BA100" s="195">
        <v>110.55</v>
      </c>
      <c r="BB100" s="195">
        <v>88.67</v>
      </c>
      <c r="BC100" s="197">
        <v>242.87</v>
      </c>
      <c r="BD100" s="195">
        <v>52.21</v>
      </c>
      <c r="BE100" s="195">
        <v>29.15</v>
      </c>
      <c r="BF100" s="195">
        <v>20.9</v>
      </c>
      <c r="BG100" s="196">
        <v>28.12</v>
      </c>
      <c r="BH100" s="195">
        <v>38.590000000000003</v>
      </c>
      <c r="BI100" s="195">
        <v>22.92</v>
      </c>
      <c r="BJ100" s="196">
        <v>36.71</v>
      </c>
      <c r="BK100" s="196">
        <v>37.08</v>
      </c>
      <c r="BL100" s="196">
        <v>37.08</v>
      </c>
      <c r="BM100" s="195">
        <v>42.05</v>
      </c>
      <c r="BN100" s="195">
        <v>49.91</v>
      </c>
      <c r="BO100" s="195">
        <v>117.08</v>
      </c>
      <c r="BP100" s="197">
        <v>209.03</v>
      </c>
      <c r="BQ100" s="195">
        <v>59.67</v>
      </c>
      <c r="BR100" s="195">
        <v>30.86</v>
      </c>
      <c r="BS100" s="195">
        <v>24.74</v>
      </c>
      <c r="BT100" s="196">
        <v>26.44</v>
      </c>
      <c r="BU100" s="195">
        <v>40.520000000000003</v>
      </c>
      <c r="BV100" s="195">
        <v>31.87</v>
      </c>
      <c r="BW100" s="196">
        <v>39.479999999999997</v>
      </c>
      <c r="BX100" s="196">
        <v>37.08</v>
      </c>
      <c r="BY100" s="196">
        <v>37.08</v>
      </c>
      <c r="BZ100" s="195">
        <v>38.19</v>
      </c>
      <c r="CA100" s="195">
        <v>18.91</v>
      </c>
      <c r="CB100" s="195">
        <v>132.97999999999999</v>
      </c>
      <c r="CC100" s="197">
        <v>190.07</v>
      </c>
      <c r="CD100" s="195">
        <v>52.74</v>
      </c>
      <c r="CE100" s="195">
        <v>29.29</v>
      </c>
      <c r="CF100" s="195">
        <v>22.25</v>
      </c>
      <c r="CG100" s="196">
        <v>27.72</v>
      </c>
      <c r="CH100" s="195">
        <v>38.590000000000003</v>
      </c>
      <c r="CI100" s="195">
        <v>24.96</v>
      </c>
      <c r="CJ100" s="196">
        <v>36.950000000000003</v>
      </c>
      <c r="CK100" s="196">
        <v>37.08</v>
      </c>
      <c r="CL100" s="196">
        <v>37.08</v>
      </c>
      <c r="CM100" s="195">
        <v>41.09</v>
      </c>
      <c r="CN100" s="195">
        <v>42.25</v>
      </c>
      <c r="CO100" s="195">
        <v>121</v>
      </c>
      <c r="CP100" s="197">
        <v>204.35</v>
      </c>
    </row>
    <row r="101" spans="1:94" ht="13.5" customHeight="1">
      <c r="A101" s="23"/>
      <c r="B101" s="198">
        <v>2082</v>
      </c>
      <c r="D101" s="194">
        <v>52.04</v>
      </c>
      <c r="E101" s="195">
        <v>29.33</v>
      </c>
      <c r="F101" s="195">
        <v>20.23</v>
      </c>
      <c r="G101" s="196">
        <v>29.48</v>
      </c>
      <c r="H101" s="195">
        <v>39.090000000000003</v>
      </c>
      <c r="I101" s="195">
        <v>23.22</v>
      </c>
      <c r="J101" s="196">
        <v>37.18</v>
      </c>
      <c r="K101" s="196">
        <v>37.56</v>
      </c>
      <c r="L101" s="196">
        <v>37.56</v>
      </c>
      <c r="M101" s="195">
        <v>41.37</v>
      </c>
      <c r="N101" s="195">
        <v>58.25</v>
      </c>
      <c r="O101" s="195">
        <v>115.63</v>
      </c>
      <c r="P101" s="197">
        <v>215.25</v>
      </c>
      <c r="Q101" s="194">
        <v>53.33</v>
      </c>
      <c r="R101" s="195">
        <v>29.8</v>
      </c>
      <c r="S101" s="195">
        <v>21.55</v>
      </c>
      <c r="T101" s="196">
        <v>27.76</v>
      </c>
      <c r="U101" s="195">
        <v>39.090000000000003</v>
      </c>
      <c r="V101" s="195">
        <v>23.22</v>
      </c>
      <c r="W101" s="196">
        <v>37.18</v>
      </c>
      <c r="X101" s="196">
        <v>37.56</v>
      </c>
      <c r="Y101" s="196">
        <v>37.56</v>
      </c>
      <c r="Z101" s="195">
        <v>42.24</v>
      </c>
      <c r="AA101" s="195">
        <v>20.41</v>
      </c>
      <c r="AB101" s="195">
        <v>132.51</v>
      </c>
      <c r="AC101" s="197">
        <v>195.16</v>
      </c>
      <c r="AD101" s="194">
        <v>52.79</v>
      </c>
      <c r="AE101" s="195">
        <v>29.43</v>
      </c>
      <c r="AF101" s="195">
        <v>21.19</v>
      </c>
      <c r="AG101" s="196">
        <v>28.32</v>
      </c>
      <c r="AH101" s="195">
        <v>39.090000000000003</v>
      </c>
      <c r="AI101" s="195">
        <v>23.22</v>
      </c>
      <c r="AJ101" s="196">
        <v>37.18</v>
      </c>
      <c r="AK101" s="196">
        <v>37.56</v>
      </c>
      <c r="AL101" s="196">
        <v>37.56</v>
      </c>
      <c r="AM101" s="195">
        <v>44.25</v>
      </c>
      <c r="AN101" s="195">
        <v>81.92</v>
      </c>
      <c r="AO101" s="195">
        <v>103.52</v>
      </c>
      <c r="AP101" s="197">
        <v>229.69</v>
      </c>
      <c r="AQ101" s="194">
        <v>53.79</v>
      </c>
      <c r="AR101" s="195">
        <v>29.86</v>
      </c>
      <c r="AS101" s="195">
        <v>21.11</v>
      </c>
      <c r="AT101" s="196">
        <v>28.69</v>
      </c>
      <c r="AU101" s="195">
        <v>39.090000000000003</v>
      </c>
      <c r="AV101" s="195">
        <v>23.22</v>
      </c>
      <c r="AW101" s="196">
        <v>37.18</v>
      </c>
      <c r="AX101" s="196">
        <v>37.56</v>
      </c>
      <c r="AY101" s="196">
        <v>37.56</v>
      </c>
      <c r="AZ101" s="195">
        <v>44.22</v>
      </c>
      <c r="BA101" s="195">
        <v>111.98</v>
      </c>
      <c r="BB101" s="195">
        <v>89.82</v>
      </c>
      <c r="BC101" s="197">
        <v>246.02</v>
      </c>
      <c r="BD101" s="195">
        <v>52.89</v>
      </c>
      <c r="BE101" s="195">
        <v>29.53</v>
      </c>
      <c r="BF101" s="195">
        <v>21.17</v>
      </c>
      <c r="BG101" s="196">
        <v>28.49</v>
      </c>
      <c r="BH101" s="195">
        <v>39.090000000000003</v>
      </c>
      <c r="BI101" s="195">
        <v>23.22</v>
      </c>
      <c r="BJ101" s="196">
        <v>37.18</v>
      </c>
      <c r="BK101" s="196">
        <v>37.56</v>
      </c>
      <c r="BL101" s="196">
        <v>37.56</v>
      </c>
      <c r="BM101" s="195">
        <v>42.59</v>
      </c>
      <c r="BN101" s="195">
        <v>50.55</v>
      </c>
      <c r="BO101" s="195">
        <v>118.59</v>
      </c>
      <c r="BP101" s="197">
        <v>211.73</v>
      </c>
      <c r="BQ101" s="195">
        <v>60.44</v>
      </c>
      <c r="BR101" s="195">
        <v>31.26</v>
      </c>
      <c r="BS101" s="195">
        <v>25.06</v>
      </c>
      <c r="BT101" s="196">
        <v>26.78</v>
      </c>
      <c r="BU101" s="195">
        <v>41.04</v>
      </c>
      <c r="BV101" s="195">
        <v>32.28</v>
      </c>
      <c r="BW101" s="196">
        <v>39.99</v>
      </c>
      <c r="BX101" s="196">
        <v>37.56</v>
      </c>
      <c r="BY101" s="196">
        <v>37.56</v>
      </c>
      <c r="BZ101" s="195">
        <v>38.68</v>
      </c>
      <c r="CA101" s="195">
        <v>19.149999999999999</v>
      </c>
      <c r="CB101" s="195">
        <v>134.69</v>
      </c>
      <c r="CC101" s="197">
        <v>192.53</v>
      </c>
      <c r="CD101" s="195">
        <v>53.42</v>
      </c>
      <c r="CE101" s="195">
        <v>29.67</v>
      </c>
      <c r="CF101" s="195">
        <v>22.54</v>
      </c>
      <c r="CG101" s="196">
        <v>28.08</v>
      </c>
      <c r="CH101" s="195">
        <v>39.090000000000003</v>
      </c>
      <c r="CI101" s="195">
        <v>25.28</v>
      </c>
      <c r="CJ101" s="196">
        <v>37.43</v>
      </c>
      <c r="CK101" s="196">
        <v>37.56</v>
      </c>
      <c r="CL101" s="196">
        <v>37.56</v>
      </c>
      <c r="CM101" s="195">
        <v>41.63</v>
      </c>
      <c r="CN101" s="195">
        <v>42.8</v>
      </c>
      <c r="CO101" s="195">
        <v>122.57</v>
      </c>
      <c r="CP101" s="197">
        <v>206.99</v>
      </c>
    </row>
    <row r="102" spans="1:94" ht="13.5" customHeight="1">
      <c r="A102" s="23"/>
      <c r="B102" s="198">
        <v>2083</v>
      </c>
      <c r="D102" s="194">
        <v>52.72</v>
      </c>
      <c r="E102" s="195">
        <v>29.71</v>
      </c>
      <c r="F102" s="195">
        <v>20.5</v>
      </c>
      <c r="G102" s="196">
        <v>29.86</v>
      </c>
      <c r="H102" s="195">
        <v>39.6</v>
      </c>
      <c r="I102" s="195">
        <v>23.52</v>
      </c>
      <c r="J102" s="196">
        <v>37.67</v>
      </c>
      <c r="K102" s="196">
        <v>38.049999999999997</v>
      </c>
      <c r="L102" s="196">
        <v>38.049999999999997</v>
      </c>
      <c r="M102" s="195">
        <v>41.92</v>
      </c>
      <c r="N102" s="195">
        <v>59.01</v>
      </c>
      <c r="O102" s="195">
        <v>117.14</v>
      </c>
      <c r="P102" s="197">
        <v>218.07</v>
      </c>
      <c r="Q102" s="194">
        <v>54.02</v>
      </c>
      <c r="R102" s="195">
        <v>30.19</v>
      </c>
      <c r="S102" s="195">
        <v>21.84</v>
      </c>
      <c r="T102" s="196">
        <v>28.12</v>
      </c>
      <c r="U102" s="195">
        <v>39.6</v>
      </c>
      <c r="V102" s="195">
        <v>23.52</v>
      </c>
      <c r="W102" s="196">
        <v>37.67</v>
      </c>
      <c r="X102" s="196">
        <v>38.049999999999997</v>
      </c>
      <c r="Y102" s="196">
        <v>38.049999999999997</v>
      </c>
      <c r="Z102" s="195">
        <v>42.8</v>
      </c>
      <c r="AA102" s="195">
        <v>20.68</v>
      </c>
      <c r="AB102" s="195">
        <v>134.24</v>
      </c>
      <c r="AC102" s="197">
        <v>197.72</v>
      </c>
      <c r="AD102" s="194">
        <v>53.48</v>
      </c>
      <c r="AE102" s="195">
        <v>29.81</v>
      </c>
      <c r="AF102" s="195">
        <v>21.47</v>
      </c>
      <c r="AG102" s="196">
        <v>28.69</v>
      </c>
      <c r="AH102" s="195">
        <v>39.6</v>
      </c>
      <c r="AI102" s="195">
        <v>23.52</v>
      </c>
      <c r="AJ102" s="196">
        <v>37.67</v>
      </c>
      <c r="AK102" s="196">
        <v>38.049999999999997</v>
      </c>
      <c r="AL102" s="196">
        <v>38.049999999999997</v>
      </c>
      <c r="AM102" s="195">
        <v>44.83</v>
      </c>
      <c r="AN102" s="195">
        <v>82.99</v>
      </c>
      <c r="AO102" s="195">
        <v>104.88</v>
      </c>
      <c r="AP102" s="197">
        <v>232.7</v>
      </c>
      <c r="AQ102" s="194">
        <v>54.49</v>
      </c>
      <c r="AR102" s="195">
        <v>30.25</v>
      </c>
      <c r="AS102" s="195">
        <v>21.39</v>
      </c>
      <c r="AT102" s="196">
        <v>29.07</v>
      </c>
      <c r="AU102" s="195">
        <v>39.6</v>
      </c>
      <c r="AV102" s="195">
        <v>23.52</v>
      </c>
      <c r="AW102" s="196">
        <v>37.67</v>
      </c>
      <c r="AX102" s="196">
        <v>38.049999999999997</v>
      </c>
      <c r="AY102" s="196">
        <v>38.049999999999997</v>
      </c>
      <c r="AZ102" s="195">
        <v>44.79</v>
      </c>
      <c r="BA102" s="195">
        <v>113.45</v>
      </c>
      <c r="BB102" s="195">
        <v>90.99</v>
      </c>
      <c r="BC102" s="197">
        <v>249.24</v>
      </c>
      <c r="BD102" s="195">
        <v>53.58</v>
      </c>
      <c r="BE102" s="195">
        <v>29.92</v>
      </c>
      <c r="BF102" s="195">
        <v>21.44</v>
      </c>
      <c r="BG102" s="196">
        <v>28.86</v>
      </c>
      <c r="BH102" s="195">
        <v>39.6</v>
      </c>
      <c r="BI102" s="195">
        <v>23.52</v>
      </c>
      <c r="BJ102" s="196">
        <v>37.67</v>
      </c>
      <c r="BK102" s="196">
        <v>38.049999999999997</v>
      </c>
      <c r="BL102" s="196">
        <v>38.049999999999997</v>
      </c>
      <c r="BM102" s="195">
        <v>43.15</v>
      </c>
      <c r="BN102" s="195">
        <v>51.22</v>
      </c>
      <c r="BO102" s="195">
        <v>120.14</v>
      </c>
      <c r="BP102" s="197">
        <v>214.51</v>
      </c>
      <c r="BQ102" s="195">
        <v>61.23</v>
      </c>
      <c r="BR102" s="195">
        <v>31.67</v>
      </c>
      <c r="BS102" s="195">
        <v>25.39</v>
      </c>
      <c r="BT102" s="196">
        <v>27.13</v>
      </c>
      <c r="BU102" s="195">
        <v>41.58</v>
      </c>
      <c r="BV102" s="195">
        <v>32.700000000000003</v>
      </c>
      <c r="BW102" s="196">
        <v>40.520000000000003</v>
      </c>
      <c r="BX102" s="196">
        <v>38.049999999999997</v>
      </c>
      <c r="BY102" s="196">
        <v>38.049999999999997</v>
      </c>
      <c r="BZ102" s="195">
        <v>39.19</v>
      </c>
      <c r="CA102" s="195">
        <v>19.399999999999999</v>
      </c>
      <c r="CB102" s="195">
        <v>136.46</v>
      </c>
      <c r="CC102" s="197">
        <v>195.05</v>
      </c>
      <c r="CD102" s="195">
        <v>54.12</v>
      </c>
      <c r="CE102" s="195">
        <v>30.06</v>
      </c>
      <c r="CF102" s="195">
        <v>22.84</v>
      </c>
      <c r="CG102" s="196">
        <v>28.45</v>
      </c>
      <c r="CH102" s="195">
        <v>39.6</v>
      </c>
      <c r="CI102" s="195">
        <v>25.61</v>
      </c>
      <c r="CJ102" s="196">
        <v>37.92</v>
      </c>
      <c r="CK102" s="196">
        <v>38.049999999999997</v>
      </c>
      <c r="CL102" s="196">
        <v>38.049999999999997</v>
      </c>
      <c r="CM102" s="195">
        <v>42.17</v>
      </c>
      <c r="CN102" s="195">
        <v>43.36</v>
      </c>
      <c r="CO102" s="195">
        <v>124.17</v>
      </c>
      <c r="CP102" s="197">
        <v>209.7</v>
      </c>
    </row>
    <row r="103" spans="1:94" ht="13.5" customHeight="1">
      <c r="A103" s="23"/>
      <c r="B103" s="198">
        <v>2084</v>
      </c>
      <c r="D103" s="194">
        <v>53.41</v>
      </c>
      <c r="E103" s="195">
        <v>30.1</v>
      </c>
      <c r="F103" s="195">
        <v>20.77</v>
      </c>
      <c r="G103" s="196">
        <v>30.25</v>
      </c>
      <c r="H103" s="195">
        <v>40.119999999999997</v>
      </c>
      <c r="I103" s="195">
        <v>23.83</v>
      </c>
      <c r="J103" s="196">
        <v>38.159999999999997</v>
      </c>
      <c r="K103" s="196">
        <v>38.549999999999997</v>
      </c>
      <c r="L103" s="196">
        <v>38.549999999999997</v>
      </c>
      <c r="M103" s="195">
        <v>42.46</v>
      </c>
      <c r="N103" s="195">
        <v>59.78</v>
      </c>
      <c r="O103" s="195">
        <v>118.68</v>
      </c>
      <c r="P103" s="197">
        <v>220.93</v>
      </c>
      <c r="Q103" s="194">
        <v>54.73</v>
      </c>
      <c r="R103" s="195">
        <v>30.59</v>
      </c>
      <c r="S103" s="195">
        <v>22.12</v>
      </c>
      <c r="T103" s="196">
        <v>28.49</v>
      </c>
      <c r="U103" s="195">
        <v>40.119999999999997</v>
      </c>
      <c r="V103" s="195">
        <v>23.83</v>
      </c>
      <c r="W103" s="196">
        <v>38.159999999999997</v>
      </c>
      <c r="X103" s="196">
        <v>38.549999999999997</v>
      </c>
      <c r="Y103" s="196">
        <v>38.549999999999997</v>
      </c>
      <c r="Z103" s="195">
        <v>43.36</v>
      </c>
      <c r="AA103" s="195">
        <v>20.95</v>
      </c>
      <c r="AB103" s="195">
        <v>136</v>
      </c>
      <c r="AC103" s="197">
        <v>200.31</v>
      </c>
      <c r="AD103" s="194">
        <v>54.18</v>
      </c>
      <c r="AE103" s="195">
        <v>30.2</v>
      </c>
      <c r="AF103" s="195">
        <v>21.75</v>
      </c>
      <c r="AG103" s="196">
        <v>29.07</v>
      </c>
      <c r="AH103" s="195">
        <v>40.119999999999997</v>
      </c>
      <c r="AI103" s="195">
        <v>23.83</v>
      </c>
      <c r="AJ103" s="196">
        <v>38.159999999999997</v>
      </c>
      <c r="AK103" s="196">
        <v>38.549999999999997</v>
      </c>
      <c r="AL103" s="196">
        <v>38.549999999999997</v>
      </c>
      <c r="AM103" s="195">
        <v>45.42</v>
      </c>
      <c r="AN103" s="195">
        <v>84.08</v>
      </c>
      <c r="AO103" s="195">
        <v>106.25</v>
      </c>
      <c r="AP103" s="197">
        <v>235.75</v>
      </c>
      <c r="AQ103" s="194">
        <v>55.21</v>
      </c>
      <c r="AR103" s="195">
        <v>30.65</v>
      </c>
      <c r="AS103" s="195">
        <v>21.67</v>
      </c>
      <c r="AT103" s="196">
        <v>29.45</v>
      </c>
      <c r="AU103" s="195">
        <v>40.119999999999997</v>
      </c>
      <c r="AV103" s="195">
        <v>23.83</v>
      </c>
      <c r="AW103" s="196">
        <v>38.159999999999997</v>
      </c>
      <c r="AX103" s="196">
        <v>38.549999999999997</v>
      </c>
      <c r="AY103" s="196">
        <v>38.549999999999997</v>
      </c>
      <c r="AZ103" s="195">
        <v>45.38</v>
      </c>
      <c r="BA103" s="195">
        <v>114.94</v>
      </c>
      <c r="BB103" s="195">
        <v>92.18</v>
      </c>
      <c r="BC103" s="197">
        <v>252.5</v>
      </c>
      <c r="BD103" s="195">
        <v>54.28</v>
      </c>
      <c r="BE103" s="195">
        <v>30.31</v>
      </c>
      <c r="BF103" s="195">
        <v>21.72</v>
      </c>
      <c r="BG103" s="196">
        <v>29.24</v>
      </c>
      <c r="BH103" s="195">
        <v>40.119999999999997</v>
      </c>
      <c r="BI103" s="195">
        <v>23.83</v>
      </c>
      <c r="BJ103" s="196">
        <v>38.159999999999997</v>
      </c>
      <c r="BK103" s="196">
        <v>38.549999999999997</v>
      </c>
      <c r="BL103" s="196">
        <v>38.549999999999997</v>
      </c>
      <c r="BM103" s="195">
        <v>43.71</v>
      </c>
      <c r="BN103" s="195">
        <v>51.89</v>
      </c>
      <c r="BO103" s="195">
        <v>121.72</v>
      </c>
      <c r="BP103" s="197">
        <v>217.32</v>
      </c>
      <c r="BQ103" s="195">
        <v>62.03</v>
      </c>
      <c r="BR103" s="195">
        <v>32.090000000000003</v>
      </c>
      <c r="BS103" s="195">
        <v>25.72</v>
      </c>
      <c r="BT103" s="196">
        <v>27.48</v>
      </c>
      <c r="BU103" s="195">
        <v>42.13</v>
      </c>
      <c r="BV103" s="195">
        <v>33.130000000000003</v>
      </c>
      <c r="BW103" s="196">
        <v>41.05</v>
      </c>
      <c r="BX103" s="196">
        <v>38.549999999999997</v>
      </c>
      <c r="BY103" s="196">
        <v>38.549999999999997</v>
      </c>
      <c r="BZ103" s="195">
        <v>39.700000000000003</v>
      </c>
      <c r="CA103" s="195">
        <v>19.66</v>
      </c>
      <c r="CB103" s="195">
        <v>138.24</v>
      </c>
      <c r="CC103" s="197">
        <v>197.6</v>
      </c>
      <c r="CD103" s="195">
        <v>54.83</v>
      </c>
      <c r="CE103" s="195">
        <v>30.45</v>
      </c>
      <c r="CF103" s="195">
        <v>23.13</v>
      </c>
      <c r="CG103" s="196">
        <v>28.82</v>
      </c>
      <c r="CH103" s="195">
        <v>40.119999999999997</v>
      </c>
      <c r="CI103" s="195">
        <v>25.95</v>
      </c>
      <c r="CJ103" s="196">
        <v>38.42</v>
      </c>
      <c r="CK103" s="196">
        <v>38.549999999999997</v>
      </c>
      <c r="CL103" s="196">
        <v>38.549999999999997</v>
      </c>
      <c r="CM103" s="195">
        <v>42.72</v>
      </c>
      <c r="CN103" s="195">
        <v>43.93</v>
      </c>
      <c r="CO103" s="195">
        <v>125.8</v>
      </c>
      <c r="CP103" s="197">
        <v>212.45</v>
      </c>
    </row>
    <row r="104" spans="1:94" ht="13.5" customHeight="1">
      <c r="A104" s="23"/>
      <c r="B104" s="198">
        <v>2085</v>
      </c>
      <c r="D104" s="194">
        <v>54.14</v>
      </c>
      <c r="E104" s="195">
        <v>30.51</v>
      </c>
      <c r="F104" s="195">
        <v>21.05</v>
      </c>
      <c r="G104" s="196">
        <v>30.67</v>
      </c>
      <c r="H104" s="195">
        <v>40.67</v>
      </c>
      <c r="I104" s="195">
        <v>24.15</v>
      </c>
      <c r="J104" s="196">
        <v>38.69</v>
      </c>
      <c r="K104" s="196">
        <v>39.08</v>
      </c>
      <c r="L104" s="196">
        <v>39.08</v>
      </c>
      <c r="M104" s="195">
        <v>43.04</v>
      </c>
      <c r="N104" s="195">
        <v>60.6</v>
      </c>
      <c r="O104" s="195">
        <v>120.3</v>
      </c>
      <c r="P104" s="197">
        <v>223.94</v>
      </c>
      <c r="Q104" s="194">
        <v>55.48</v>
      </c>
      <c r="R104" s="195">
        <v>31.01</v>
      </c>
      <c r="S104" s="195">
        <v>22.42</v>
      </c>
      <c r="T104" s="196">
        <v>28.88</v>
      </c>
      <c r="U104" s="195">
        <v>40.67</v>
      </c>
      <c r="V104" s="195">
        <v>24.15</v>
      </c>
      <c r="W104" s="196">
        <v>38.69</v>
      </c>
      <c r="X104" s="196">
        <v>39.08</v>
      </c>
      <c r="Y104" s="196">
        <v>39.08</v>
      </c>
      <c r="Z104" s="195">
        <v>43.95</v>
      </c>
      <c r="AA104" s="195">
        <v>21.24</v>
      </c>
      <c r="AB104" s="195">
        <v>137.85</v>
      </c>
      <c r="AC104" s="197">
        <v>203.04</v>
      </c>
      <c r="AD104" s="194">
        <v>54.92</v>
      </c>
      <c r="AE104" s="195">
        <v>30.62</v>
      </c>
      <c r="AF104" s="195">
        <v>22.04</v>
      </c>
      <c r="AG104" s="196">
        <v>29.46</v>
      </c>
      <c r="AH104" s="195">
        <v>40.67</v>
      </c>
      <c r="AI104" s="195">
        <v>24.15</v>
      </c>
      <c r="AJ104" s="196">
        <v>38.69</v>
      </c>
      <c r="AK104" s="196">
        <v>39.08</v>
      </c>
      <c r="AL104" s="196">
        <v>39.08</v>
      </c>
      <c r="AM104" s="195">
        <v>46.04</v>
      </c>
      <c r="AN104" s="195">
        <v>85.23</v>
      </c>
      <c r="AO104" s="195">
        <v>107.7</v>
      </c>
      <c r="AP104" s="197">
        <v>238.96</v>
      </c>
      <c r="AQ104" s="194">
        <v>55.96</v>
      </c>
      <c r="AR104" s="195">
        <v>31.06</v>
      </c>
      <c r="AS104" s="195">
        <v>21.97</v>
      </c>
      <c r="AT104" s="196">
        <v>29.85</v>
      </c>
      <c r="AU104" s="195">
        <v>40.67</v>
      </c>
      <c r="AV104" s="195">
        <v>24.15</v>
      </c>
      <c r="AW104" s="196">
        <v>38.69</v>
      </c>
      <c r="AX104" s="196">
        <v>39.08</v>
      </c>
      <c r="AY104" s="196">
        <v>39.08</v>
      </c>
      <c r="AZ104" s="195">
        <v>46</v>
      </c>
      <c r="BA104" s="195">
        <v>116.5</v>
      </c>
      <c r="BB104" s="195">
        <v>93.44</v>
      </c>
      <c r="BC104" s="197">
        <v>255.94</v>
      </c>
      <c r="BD104" s="195">
        <v>55.02</v>
      </c>
      <c r="BE104" s="195">
        <v>30.72</v>
      </c>
      <c r="BF104" s="195">
        <v>22.02</v>
      </c>
      <c r="BG104" s="196">
        <v>29.64</v>
      </c>
      <c r="BH104" s="195">
        <v>40.67</v>
      </c>
      <c r="BI104" s="195">
        <v>24.15</v>
      </c>
      <c r="BJ104" s="196">
        <v>38.69</v>
      </c>
      <c r="BK104" s="196">
        <v>39.08</v>
      </c>
      <c r="BL104" s="196">
        <v>39.08</v>
      </c>
      <c r="BM104" s="195">
        <v>44.31</v>
      </c>
      <c r="BN104" s="195">
        <v>52.59</v>
      </c>
      <c r="BO104" s="195">
        <v>123.38</v>
      </c>
      <c r="BP104" s="197">
        <v>220.28</v>
      </c>
      <c r="BQ104" s="195">
        <v>62.88</v>
      </c>
      <c r="BR104" s="195">
        <v>32.53</v>
      </c>
      <c r="BS104" s="195">
        <v>26.07</v>
      </c>
      <c r="BT104" s="196">
        <v>27.86</v>
      </c>
      <c r="BU104" s="195">
        <v>42.7</v>
      </c>
      <c r="BV104" s="195">
        <v>33.58</v>
      </c>
      <c r="BW104" s="196">
        <v>41.61</v>
      </c>
      <c r="BX104" s="196">
        <v>39.08</v>
      </c>
      <c r="BY104" s="196">
        <v>39.08</v>
      </c>
      <c r="BZ104" s="195">
        <v>40.24</v>
      </c>
      <c r="CA104" s="195">
        <v>19.920000000000002</v>
      </c>
      <c r="CB104" s="195">
        <v>140.13</v>
      </c>
      <c r="CC104" s="197">
        <v>200.3</v>
      </c>
      <c r="CD104" s="195">
        <v>55.58</v>
      </c>
      <c r="CE104" s="195">
        <v>30.87</v>
      </c>
      <c r="CF104" s="195">
        <v>23.45</v>
      </c>
      <c r="CG104" s="196">
        <v>29.21</v>
      </c>
      <c r="CH104" s="195">
        <v>40.67</v>
      </c>
      <c r="CI104" s="195">
        <v>26.3</v>
      </c>
      <c r="CJ104" s="196">
        <v>38.94</v>
      </c>
      <c r="CK104" s="196">
        <v>39.08</v>
      </c>
      <c r="CL104" s="196">
        <v>39.08</v>
      </c>
      <c r="CM104" s="195">
        <v>43.31</v>
      </c>
      <c r="CN104" s="195">
        <v>44.52</v>
      </c>
      <c r="CO104" s="195">
        <v>127.52</v>
      </c>
      <c r="CP104" s="197">
        <v>215.34</v>
      </c>
    </row>
    <row r="105" spans="1:94" ht="13.5" customHeight="1">
      <c r="A105" s="23"/>
      <c r="B105" s="198">
        <v>2086</v>
      </c>
      <c r="D105" s="194">
        <v>54.91</v>
      </c>
      <c r="E105" s="195">
        <v>30.94</v>
      </c>
      <c r="F105" s="195">
        <v>21.35</v>
      </c>
      <c r="G105" s="196">
        <v>31.1</v>
      </c>
      <c r="H105" s="195">
        <v>41.25</v>
      </c>
      <c r="I105" s="195">
        <v>24.5</v>
      </c>
      <c r="J105" s="196">
        <v>39.24</v>
      </c>
      <c r="K105" s="196">
        <v>39.630000000000003</v>
      </c>
      <c r="L105" s="196">
        <v>39.630000000000003</v>
      </c>
      <c r="M105" s="195">
        <v>43.66</v>
      </c>
      <c r="N105" s="195">
        <v>61.46</v>
      </c>
      <c r="O105" s="195">
        <v>122.01</v>
      </c>
      <c r="P105" s="197">
        <v>227.13</v>
      </c>
      <c r="Q105" s="194">
        <v>56.27</v>
      </c>
      <c r="R105" s="195">
        <v>31.45</v>
      </c>
      <c r="S105" s="195">
        <v>22.74</v>
      </c>
      <c r="T105" s="196">
        <v>29.29</v>
      </c>
      <c r="U105" s="195">
        <v>41.25</v>
      </c>
      <c r="V105" s="195">
        <v>24.5</v>
      </c>
      <c r="W105" s="196">
        <v>39.24</v>
      </c>
      <c r="X105" s="196">
        <v>39.630000000000003</v>
      </c>
      <c r="Y105" s="196">
        <v>39.630000000000003</v>
      </c>
      <c r="Z105" s="195">
        <v>44.57</v>
      </c>
      <c r="AA105" s="195">
        <v>21.54</v>
      </c>
      <c r="AB105" s="195">
        <v>139.81</v>
      </c>
      <c r="AC105" s="197">
        <v>205.93</v>
      </c>
      <c r="AD105" s="194">
        <v>55.7</v>
      </c>
      <c r="AE105" s="195">
        <v>31.05</v>
      </c>
      <c r="AF105" s="195">
        <v>22.36</v>
      </c>
      <c r="AG105" s="196">
        <v>29.88</v>
      </c>
      <c r="AH105" s="195">
        <v>41.25</v>
      </c>
      <c r="AI105" s="195">
        <v>24.5</v>
      </c>
      <c r="AJ105" s="196">
        <v>39.24</v>
      </c>
      <c r="AK105" s="196">
        <v>39.630000000000003</v>
      </c>
      <c r="AL105" s="196">
        <v>39.630000000000003</v>
      </c>
      <c r="AM105" s="195">
        <v>46.69</v>
      </c>
      <c r="AN105" s="195">
        <v>86.44</v>
      </c>
      <c r="AO105" s="195">
        <v>109.23</v>
      </c>
      <c r="AP105" s="197">
        <v>242.36</v>
      </c>
      <c r="AQ105" s="194">
        <v>56.76</v>
      </c>
      <c r="AR105" s="195">
        <v>31.51</v>
      </c>
      <c r="AS105" s="195">
        <v>22.28</v>
      </c>
      <c r="AT105" s="196">
        <v>30.28</v>
      </c>
      <c r="AU105" s="195">
        <v>41.25</v>
      </c>
      <c r="AV105" s="195">
        <v>24.5</v>
      </c>
      <c r="AW105" s="196">
        <v>39.24</v>
      </c>
      <c r="AX105" s="196">
        <v>39.630000000000003</v>
      </c>
      <c r="AY105" s="196">
        <v>39.630000000000003</v>
      </c>
      <c r="AZ105" s="195">
        <v>46.65</v>
      </c>
      <c r="BA105" s="195">
        <v>118.16</v>
      </c>
      <c r="BB105" s="195">
        <v>94.77</v>
      </c>
      <c r="BC105" s="197">
        <v>259.58</v>
      </c>
      <c r="BD105" s="195">
        <v>55.8</v>
      </c>
      <c r="BE105" s="195">
        <v>31.16</v>
      </c>
      <c r="BF105" s="195">
        <v>22.33</v>
      </c>
      <c r="BG105" s="196">
        <v>30.06</v>
      </c>
      <c r="BH105" s="195">
        <v>41.25</v>
      </c>
      <c r="BI105" s="195">
        <v>24.5</v>
      </c>
      <c r="BJ105" s="196">
        <v>39.24</v>
      </c>
      <c r="BK105" s="196">
        <v>39.630000000000003</v>
      </c>
      <c r="BL105" s="196">
        <v>39.630000000000003</v>
      </c>
      <c r="BM105" s="195">
        <v>44.94</v>
      </c>
      <c r="BN105" s="195">
        <v>53.34</v>
      </c>
      <c r="BO105" s="195">
        <v>125.13</v>
      </c>
      <c r="BP105" s="197">
        <v>223.41</v>
      </c>
      <c r="BQ105" s="195">
        <v>63.77</v>
      </c>
      <c r="BR105" s="195">
        <v>32.99</v>
      </c>
      <c r="BS105" s="195">
        <v>26.44</v>
      </c>
      <c r="BT105" s="196">
        <v>28.26</v>
      </c>
      <c r="BU105" s="195">
        <v>43.31</v>
      </c>
      <c r="BV105" s="195">
        <v>34.06</v>
      </c>
      <c r="BW105" s="196">
        <v>42.2</v>
      </c>
      <c r="BX105" s="196">
        <v>39.630000000000003</v>
      </c>
      <c r="BY105" s="196">
        <v>39.630000000000003</v>
      </c>
      <c r="BZ105" s="195">
        <v>40.82</v>
      </c>
      <c r="CA105" s="195">
        <v>20.21</v>
      </c>
      <c r="CB105" s="195">
        <v>142.12</v>
      </c>
      <c r="CC105" s="197">
        <v>203.15</v>
      </c>
      <c r="CD105" s="195">
        <v>56.37</v>
      </c>
      <c r="CE105" s="195">
        <v>31.31</v>
      </c>
      <c r="CF105" s="195">
        <v>23.78</v>
      </c>
      <c r="CG105" s="196">
        <v>29.63</v>
      </c>
      <c r="CH105" s="195">
        <v>41.25</v>
      </c>
      <c r="CI105" s="195">
        <v>26.68</v>
      </c>
      <c r="CJ105" s="196">
        <v>39.5</v>
      </c>
      <c r="CK105" s="196">
        <v>39.630000000000003</v>
      </c>
      <c r="CL105" s="196">
        <v>39.630000000000003</v>
      </c>
      <c r="CM105" s="195">
        <v>43.92</v>
      </c>
      <c r="CN105" s="195">
        <v>45.16</v>
      </c>
      <c r="CO105" s="195">
        <v>129.33000000000001</v>
      </c>
      <c r="CP105" s="197">
        <v>218.41</v>
      </c>
    </row>
    <row r="106" spans="1:94" ht="13.5" customHeight="1">
      <c r="A106" s="23"/>
      <c r="B106" s="198">
        <v>2087</v>
      </c>
      <c r="D106" s="194">
        <v>55.73</v>
      </c>
      <c r="E106" s="195">
        <v>31.41</v>
      </c>
      <c r="F106" s="195">
        <v>21.67</v>
      </c>
      <c r="G106" s="196">
        <v>31.56</v>
      </c>
      <c r="H106" s="195">
        <v>41.86</v>
      </c>
      <c r="I106" s="195">
        <v>24.86</v>
      </c>
      <c r="J106" s="196">
        <v>39.82</v>
      </c>
      <c r="K106" s="196">
        <v>40.22</v>
      </c>
      <c r="L106" s="196">
        <v>40.22</v>
      </c>
      <c r="M106" s="195">
        <v>44.31</v>
      </c>
      <c r="N106" s="195">
        <v>62.38</v>
      </c>
      <c r="O106" s="195">
        <v>123.82</v>
      </c>
      <c r="P106" s="197">
        <v>230.51</v>
      </c>
      <c r="Q106" s="194">
        <v>57.11</v>
      </c>
      <c r="R106" s="195">
        <v>31.92</v>
      </c>
      <c r="S106" s="195">
        <v>23.08</v>
      </c>
      <c r="T106" s="196">
        <v>29.73</v>
      </c>
      <c r="U106" s="195">
        <v>41.86</v>
      </c>
      <c r="V106" s="195">
        <v>24.86</v>
      </c>
      <c r="W106" s="196">
        <v>39.82</v>
      </c>
      <c r="X106" s="196">
        <v>40.22</v>
      </c>
      <c r="Y106" s="196">
        <v>40.22</v>
      </c>
      <c r="Z106" s="195">
        <v>45.24</v>
      </c>
      <c r="AA106" s="195">
        <v>21.86</v>
      </c>
      <c r="AB106" s="195">
        <v>141.88999999999999</v>
      </c>
      <c r="AC106" s="197">
        <v>208.99</v>
      </c>
      <c r="AD106" s="194">
        <v>56.53</v>
      </c>
      <c r="AE106" s="195">
        <v>31.51</v>
      </c>
      <c r="AF106" s="195">
        <v>22.69</v>
      </c>
      <c r="AG106" s="196">
        <v>30.33</v>
      </c>
      <c r="AH106" s="195">
        <v>41.86</v>
      </c>
      <c r="AI106" s="195">
        <v>24.86</v>
      </c>
      <c r="AJ106" s="196">
        <v>39.82</v>
      </c>
      <c r="AK106" s="196">
        <v>40.22</v>
      </c>
      <c r="AL106" s="196">
        <v>40.22</v>
      </c>
      <c r="AM106" s="195">
        <v>47.39</v>
      </c>
      <c r="AN106" s="195">
        <v>87.73</v>
      </c>
      <c r="AO106" s="195">
        <v>110.86</v>
      </c>
      <c r="AP106" s="197">
        <v>245.97</v>
      </c>
      <c r="AQ106" s="194">
        <v>57.6</v>
      </c>
      <c r="AR106" s="195">
        <v>31.98</v>
      </c>
      <c r="AS106" s="195">
        <v>22.61</v>
      </c>
      <c r="AT106" s="196">
        <v>30.73</v>
      </c>
      <c r="AU106" s="195">
        <v>41.86</v>
      </c>
      <c r="AV106" s="195">
        <v>24.86</v>
      </c>
      <c r="AW106" s="196">
        <v>39.82</v>
      </c>
      <c r="AX106" s="196">
        <v>40.22</v>
      </c>
      <c r="AY106" s="196">
        <v>40.22</v>
      </c>
      <c r="AZ106" s="195">
        <v>47.35</v>
      </c>
      <c r="BA106" s="195">
        <v>119.92</v>
      </c>
      <c r="BB106" s="195">
        <v>96.18</v>
      </c>
      <c r="BC106" s="197">
        <v>263.45</v>
      </c>
      <c r="BD106" s="195">
        <v>56.63</v>
      </c>
      <c r="BE106" s="195">
        <v>31.62</v>
      </c>
      <c r="BF106" s="195">
        <v>22.67</v>
      </c>
      <c r="BG106" s="196">
        <v>30.5</v>
      </c>
      <c r="BH106" s="195">
        <v>41.86</v>
      </c>
      <c r="BI106" s="195">
        <v>24.86</v>
      </c>
      <c r="BJ106" s="196">
        <v>39.82</v>
      </c>
      <c r="BK106" s="196">
        <v>40.22</v>
      </c>
      <c r="BL106" s="196">
        <v>40.22</v>
      </c>
      <c r="BM106" s="195">
        <v>45.61</v>
      </c>
      <c r="BN106" s="195">
        <v>54.14</v>
      </c>
      <c r="BO106" s="195">
        <v>126.99</v>
      </c>
      <c r="BP106" s="197">
        <v>226.74</v>
      </c>
      <c r="BQ106" s="195">
        <v>64.72</v>
      </c>
      <c r="BR106" s="195">
        <v>33.479999999999997</v>
      </c>
      <c r="BS106" s="195">
        <v>26.84</v>
      </c>
      <c r="BT106" s="196">
        <v>28.68</v>
      </c>
      <c r="BU106" s="195">
        <v>43.95</v>
      </c>
      <c r="BV106" s="195">
        <v>34.57</v>
      </c>
      <c r="BW106" s="196">
        <v>42.83</v>
      </c>
      <c r="BX106" s="196">
        <v>40.22</v>
      </c>
      <c r="BY106" s="196">
        <v>40.22</v>
      </c>
      <c r="BZ106" s="195">
        <v>41.42</v>
      </c>
      <c r="CA106" s="195">
        <v>20.51</v>
      </c>
      <c r="CB106" s="195">
        <v>144.24</v>
      </c>
      <c r="CC106" s="197">
        <v>206.17</v>
      </c>
      <c r="CD106" s="195">
        <v>57.21</v>
      </c>
      <c r="CE106" s="195">
        <v>31.77</v>
      </c>
      <c r="CF106" s="195">
        <v>24.14</v>
      </c>
      <c r="CG106" s="196">
        <v>30.07</v>
      </c>
      <c r="CH106" s="195">
        <v>41.86</v>
      </c>
      <c r="CI106" s="195">
        <v>27.07</v>
      </c>
      <c r="CJ106" s="196">
        <v>40.090000000000003</v>
      </c>
      <c r="CK106" s="196">
        <v>40.22</v>
      </c>
      <c r="CL106" s="196">
        <v>40.22</v>
      </c>
      <c r="CM106" s="195">
        <v>44.57</v>
      </c>
      <c r="CN106" s="195">
        <v>45.83</v>
      </c>
      <c r="CO106" s="195">
        <v>131.25</v>
      </c>
      <c r="CP106" s="197">
        <v>221.66</v>
      </c>
    </row>
    <row r="107" spans="1:94" ht="13.5" customHeight="1">
      <c r="A107" s="23"/>
      <c r="B107" s="198">
        <v>2088</v>
      </c>
      <c r="D107" s="194">
        <v>56.56</v>
      </c>
      <c r="E107" s="195">
        <v>31.87</v>
      </c>
      <c r="F107" s="195">
        <v>21.99</v>
      </c>
      <c r="G107" s="196">
        <v>32.03</v>
      </c>
      <c r="H107" s="195">
        <v>42.48</v>
      </c>
      <c r="I107" s="195">
        <v>25.23</v>
      </c>
      <c r="J107" s="196">
        <v>40.409999999999997</v>
      </c>
      <c r="K107" s="196">
        <v>40.82</v>
      </c>
      <c r="L107" s="196">
        <v>40.82</v>
      </c>
      <c r="M107" s="195">
        <v>44.96</v>
      </c>
      <c r="N107" s="195">
        <v>63.3</v>
      </c>
      <c r="O107" s="195">
        <v>125.66</v>
      </c>
      <c r="P107" s="197">
        <v>233.93</v>
      </c>
      <c r="Q107" s="194">
        <v>57.95</v>
      </c>
      <c r="R107" s="195">
        <v>32.39</v>
      </c>
      <c r="S107" s="195">
        <v>23.42</v>
      </c>
      <c r="T107" s="196">
        <v>30.17</v>
      </c>
      <c r="U107" s="195">
        <v>42.48</v>
      </c>
      <c r="V107" s="195">
        <v>25.23</v>
      </c>
      <c r="W107" s="196">
        <v>40.409999999999997</v>
      </c>
      <c r="X107" s="196">
        <v>40.82</v>
      </c>
      <c r="Y107" s="196">
        <v>40.82</v>
      </c>
      <c r="Z107" s="195">
        <v>45.91</v>
      </c>
      <c r="AA107" s="195">
        <v>22.19</v>
      </c>
      <c r="AB107" s="195">
        <v>144</v>
      </c>
      <c r="AC107" s="197">
        <v>212.1</v>
      </c>
      <c r="AD107" s="194">
        <v>57.37</v>
      </c>
      <c r="AE107" s="195">
        <v>31.98</v>
      </c>
      <c r="AF107" s="195">
        <v>23.03</v>
      </c>
      <c r="AG107" s="196">
        <v>30.78</v>
      </c>
      <c r="AH107" s="195">
        <v>42.48</v>
      </c>
      <c r="AI107" s="195">
        <v>25.23</v>
      </c>
      <c r="AJ107" s="196">
        <v>40.409999999999997</v>
      </c>
      <c r="AK107" s="196">
        <v>40.82</v>
      </c>
      <c r="AL107" s="196">
        <v>40.82</v>
      </c>
      <c r="AM107" s="195">
        <v>48.09</v>
      </c>
      <c r="AN107" s="195">
        <v>89.03</v>
      </c>
      <c r="AO107" s="195">
        <v>112.5</v>
      </c>
      <c r="AP107" s="197">
        <v>249.63</v>
      </c>
      <c r="AQ107" s="194">
        <v>58.46</v>
      </c>
      <c r="AR107" s="195">
        <v>32.450000000000003</v>
      </c>
      <c r="AS107" s="195">
        <v>22.95</v>
      </c>
      <c r="AT107" s="196">
        <v>31.18</v>
      </c>
      <c r="AU107" s="195">
        <v>42.48</v>
      </c>
      <c r="AV107" s="195">
        <v>25.23</v>
      </c>
      <c r="AW107" s="196">
        <v>40.409999999999997</v>
      </c>
      <c r="AX107" s="196">
        <v>40.82</v>
      </c>
      <c r="AY107" s="196">
        <v>40.82</v>
      </c>
      <c r="AZ107" s="195">
        <v>48.05</v>
      </c>
      <c r="BA107" s="195">
        <v>121.7</v>
      </c>
      <c r="BB107" s="195">
        <v>97.61</v>
      </c>
      <c r="BC107" s="197">
        <v>267.37</v>
      </c>
      <c r="BD107" s="195">
        <v>57.47</v>
      </c>
      <c r="BE107" s="195">
        <v>32.090000000000003</v>
      </c>
      <c r="BF107" s="195">
        <v>23</v>
      </c>
      <c r="BG107" s="196">
        <v>30.96</v>
      </c>
      <c r="BH107" s="195">
        <v>42.48</v>
      </c>
      <c r="BI107" s="195">
        <v>25.23</v>
      </c>
      <c r="BJ107" s="196">
        <v>40.409999999999997</v>
      </c>
      <c r="BK107" s="196">
        <v>40.82</v>
      </c>
      <c r="BL107" s="196">
        <v>40.82</v>
      </c>
      <c r="BM107" s="195">
        <v>46.29</v>
      </c>
      <c r="BN107" s="195">
        <v>54.94</v>
      </c>
      <c r="BO107" s="195">
        <v>128.88</v>
      </c>
      <c r="BP107" s="197">
        <v>230.11</v>
      </c>
      <c r="BQ107" s="195">
        <v>65.69</v>
      </c>
      <c r="BR107" s="195">
        <v>33.979999999999997</v>
      </c>
      <c r="BS107" s="195">
        <v>27.24</v>
      </c>
      <c r="BT107" s="196">
        <v>29.1</v>
      </c>
      <c r="BU107" s="195">
        <v>44.61</v>
      </c>
      <c r="BV107" s="195">
        <v>35.08</v>
      </c>
      <c r="BW107" s="196">
        <v>43.46</v>
      </c>
      <c r="BX107" s="196">
        <v>40.82</v>
      </c>
      <c r="BY107" s="196">
        <v>40.82</v>
      </c>
      <c r="BZ107" s="195">
        <v>42.04</v>
      </c>
      <c r="CA107" s="195">
        <v>20.81</v>
      </c>
      <c r="CB107" s="195">
        <v>146.38</v>
      </c>
      <c r="CC107" s="197">
        <v>209.24</v>
      </c>
      <c r="CD107" s="195">
        <v>58.06</v>
      </c>
      <c r="CE107" s="195">
        <v>32.24</v>
      </c>
      <c r="CF107" s="195">
        <v>24.5</v>
      </c>
      <c r="CG107" s="196">
        <v>30.52</v>
      </c>
      <c r="CH107" s="195">
        <v>42.48</v>
      </c>
      <c r="CI107" s="195">
        <v>27.48</v>
      </c>
      <c r="CJ107" s="196">
        <v>40.68</v>
      </c>
      <c r="CK107" s="196">
        <v>40.82</v>
      </c>
      <c r="CL107" s="196">
        <v>40.82</v>
      </c>
      <c r="CM107" s="195">
        <v>45.24</v>
      </c>
      <c r="CN107" s="195">
        <v>46.51</v>
      </c>
      <c r="CO107" s="195">
        <v>133.21</v>
      </c>
      <c r="CP107" s="197">
        <v>224.95</v>
      </c>
    </row>
    <row r="108" spans="1:94" ht="13.5" customHeight="1">
      <c r="A108" s="23"/>
      <c r="B108" s="198">
        <v>2089</v>
      </c>
      <c r="D108" s="194">
        <v>57.4</v>
      </c>
      <c r="E108" s="195">
        <v>32.35</v>
      </c>
      <c r="F108" s="195">
        <v>22.32</v>
      </c>
      <c r="G108" s="196">
        <v>32.51</v>
      </c>
      <c r="H108" s="195">
        <v>43.12</v>
      </c>
      <c r="I108" s="195">
        <v>25.61</v>
      </c>
      <c r="J108" s="196">
        <v>41.02</v>
      </c>
      <c r="K108" s="196">
        <v>41.43</v>
      </c>
      <c r="L108" s="196">
        <v>41.43</v>
      </c>
      <c r="M108" s="195">
        <v>45.64</v>
      </c>
      <c r="N108" s="195">
        <v>64.25</v>
      </c>
      <c r="O108" s="195">
        <v>127.55</v>
      </c>
      <c r="P108" s="197">
        <v>237.44</v>
      </c>
      <c r="Q108" s="194">
        <v>58.82</v>
      </c>
      <c r="R108" s="195">
        <v>32.880000000000003</v>
      </c>
      <c r="S108" s="195">
        <v>23.77</v>
      </c>
      <c r="T108" s="196">
        <v>30.62</v>
      </c>
      <c r="U108" s="195">
        <v>43.12</v>
      </c>
      <c r="V108" s="195">
        <v>25.61</v>
      </c>
      <c r="W108" s="196">
        <v>41.02</v>
      </c>
      <c r="X108" s="196">
        <v>41.43</v>
      </c>
      <c r="Y108" s="196">
        <v>41.43</v>
      </c>
      <c r="Z108" s="195">
        <v>46.6</v>
      </c>
      <c r="AA108" s="195">
        <v>22.52</v>
      </c>
      <c r="AB108" s="195">
        <v>146.16</v>
      </c>
      <c r="AC108" s="197">
        <v>215.28</v>
      </c>
      <c r="AD108" s="194">
        <v>58.23</v>
      </c>
      <c r="AE108" s="195">
        <v>32.46</v>
      </c>
      <c r="AF108" s="195">
        <v>23.37</v>
      </c>
      <c r="AG108" s="196">
        <v>31.24</v>
      </c>
      <c r="AH108" s="195">
        <v>43.12</v>
      </c>
      <c r="AI108" s="195">
        <v>25.61</v>
      </c>
      <c r="AJ108" s="196">
        <v>41.02</v>
      </c>
      <c r="AK108" s="196">
        <v>41.43</v>
      </c>
      <c r="AL108" s="196">
        <v>41.43</v>
      </c>
      <c r="AM108" s="195">
        <v>48.81</v>
      </c>
      <c r="AN108" s="195">
        <v>90.36</v>
      </c>
      <c r="AO108" s="195">
        <v>114.19</v>
      </c>
      <c r="AP108" s="197">
        <v>253.37</v>
      </c>
      <c r="AQ108" s="194">
        <v>59.33</v>
      </c>
      <c r="AR108" s="195">
        <v>32.94</v>
      </c>
      <c r="AS108" s="195">
        <v>23.29</v>
      </c>
      <c r="AT108" s="196">
        <v>31.65</v>
      </c>
      <c r="AU108" s="195">
        <v>43.12</v>
      </c>
      <c r="AV108" s="195">
        <v>25.61</v>
      </c>
      <c r="AW108" s="196">
        <v>41.02</v>
      </c>
      <c r="AX108" s="196">
        <v>41.43</v>
      </c>
      <c r="AY108" s="196">
        <v>41.43</v>
      </c>
      <c r="AZ108" s="195">
        <v>48.77</v>
      </c>
      <c r="BA108" s="195">
        <v>123.52</v>
      </c>
      <c r="BB108" s="195">
        <v>99.07</v>
      </c>
      <c r="BC108" s="197">
        <v>271.37</v>
      </c>
      <c r="BD108" s="195">
        <v>58.34</v>
      </c>
      <c r="BE108" s="195">
        <v>32.57</v>
      </c>
      <c r="BF108" s="195">
        <v>23.35</v>
      </c>
      <c r="BG108" s="196">
        <v>31.42</v>
      </c>
      <c r="BH108" s="195">
        <v>43.12</v>
      </c>
      <c r="BI108" s="195">
        <v>25.61</v>
      </c>
      <c r="BJ108" s="196">
        <v>41.02</v>
      </c>
      <c r="BK108" s="196">
        <v>41.43</v>
      </c>
      <c r="BL108" s="196">
        <v>41.43</v>
      </c>
      <c r="BM108" s="195">
        <v>46.98</v>
      </c>
      <c r="BN108" s="195">
        <v>55.76</v>
      </c>
      <c r="BO108" s="195">
        <v>130.81</v>
      </c>
      <c r="BP108" s="197">
        <v>233.56</v>
      </c>
      <c r="BQ108" s="195">
        <v>66.67</v>
      </c>
      <c r="BR108" s="195">
        <v>34.49</v>
      </c>
      <c r="BS108" s="195">
        <v>27.64</v>
      </c>
      <c r="BT108" s="196">
        <v>29.54</v>
      </c>
      <c r="BU108" s="195">
        <v>45.27</v>
      </c>
      <c r="BV108" s="195">
        <v>35.61</v>
      </c>
      <c r="BW108" s="196">
        <v>44.11</v>
      </c>
      <c r="BX108" s="196">
        <v>41.43</v>
      </c>
      <c r="BY108" s="196">
        <v>41.43</v>
      </c>
      <c r="BZ108" s="195">
        <v>42.67</v>
      </c>
      <c r="CA108" s="195">
        <v>21.13</v>
      </c>
      <c r="CB108" s="195">
        <v>148.58000000000001</v>
      </c>
      <c r="CC108" s="197">
        <v>212.37</v>
      </c>
      <c r="CD108" s="195">
        <v>58.93</v>
      </c>
      <c r="CE108" s="195">
        <v>32.729999999999997</v>
      </c>
      <c r="CF108" s="195">
        <v>24.86</v>
      </c>
      <c r="CG108" s="196">
        <v>30.98</v>
      </c>
      <c r="CH108" s="195">
        <v>43.12</v>
      </c>
      <c r="CI108" s="195">
        <v>27.89</v>
      </c>
      <c r="CJ108" s="196">
        <v>41.29</v>
      </c>
      <c r="CK108" s="196">
        <v>41.43</v>
      </c>
      <c r="CL108" s="196">
        <v>41.43</v>
      </c>
      <c r="CM108" s="195">
        <v>45.92</v>
      </c>
      <c r="CN108" s="195">
        <v>47.21</v>
      </c>
      <c r="CO108" s="195">
        <v>135.19999999999999</v>
      </c>
      <c r="CP108" s="197">
        <v>228.32</v>
      </c>
    </row>
    <row r="109" spans="1:94" ht="13.5" customHeight="1" thickBot="1">
      <c r="A109" s="35"/>
      <c r="B109" s="202"/>
      <c r="C109" s="55"/>
      <c r="D109" s="35"/>
      <c r="E109" s="55"/>
      <c r="F109" s="55"/>
      <c r="G109" s="203"/>
      <c r="H109" s="55"/>
      <c r="I109" s="55"/>
      <c r="J109" s="203"/>
      <c r="K109" s="203"/>
      <c r="L109" s="203"/>
      <c r="M109" s="55"/>
      <c r="N109" s="55"/>
      <c r="O109" s="55"/>
      <c r="P109" s="58"/>
      <c r="Q109" s="35"/>
      <c r="R109" s="55"/>
      <c r="S109" s="55"/>
      <c r="T109" s="55"/>
      <c r="U109" s="55"/>
      <c r="V109" s="55"/>
      <c r="W109" s="55"/>
      <c r="X109" s="55"/>
      <c r="Y109" s="55"/>
      <c r="Z109" s="55"/>
      <c r="AA109" s="55"/>
      <c r="AB109" s="55"/>
      <c r="AC109" s="58"/>
      <c r="AD109" s="35"/>
      <c r="AE109" s="55"/>
      <c r="AF109" s="55"/>
      <c r="AG109" s="203"/>
      <c r="AH109" s="55"/>
      <c r="AI109" s="55"/>
      <c r="AJ109" s="203"/>
      <c r="AK109" s="203"/>
      <c r="AL109" s="203"/>
      <c r="AM109" s="55"/>
      <c r="AN109" s="55"/>
      <c r="AO109" s="55"/>
      <c r="AP109" s="58"/>
      <c r="AQ109" s="35"/>
      <c r="AR109" s="55"/>
      <c r="AS109" s="55"/>
      <c r="AT109" s="203"/>
      <c r="AU109" s="55"/>
      <c r="AV109" s="55"/>
      <c r="AW109" s="203"/>
      <c r="AX109" s="203"/>
      <c r="AY109" s="203"/>
      <c r="AZ109" s="55"/>
      <c r="BA109" s="55"/>
      <c r="BB109" s="55"/>
      <c r="BC109" s="58"/>
      <c r="BD109" s="55"/>
      <c r="BE109" s="55"/>
      <c r="BF109" s="55"/>
      <c r="BG109" s="203"/>
      <c r="BH109" s="55"/>
      <c r="BI109" s="55"/>
      <c r="BJ109" s="203"/>
      <c r="BK109" s="203"/>
      <c r="BL109" s="203"/>
      <c r="BM109" s="55"/>
      <c r="BN109" s="55"/>
      <c r="BO109" s="55"/>
      <c r="BP109" s="58"/>
      <c r="BQ109" s="55"/>
      <c r="BR109" s="55"/>
      <c r="BS109" s="55"/>
      <c r="BT109" s="203"/>
      <c r="BU109" s="55"/>
      <c r="BV109" s="55"/>
      <c r="BW109" s="203"/>
      <c r="BX109" s="203"/>
      <c r="BY109" s="203"/>
      <c r="BZ109" s="55"/>
      <c r="CA109" s="55"/>
      <c r="CB109" s="55"/>
      <c r="CC109" s="58"/>
      <c r="CD109" s="55"/>
      <c r="CE109" s="55"/>
      <c r="CF109" s="55"/>
      <c r="CG109" s="203"/>
      <c r="CH109" s="55"/>
      <c r="CI109" s="55"/>
      <c r="CJ109" s="203"/>
      <c r="CK109" s="203"/>
      <c r="CL109" s="203"/>
      <c r="CM109" s="55"/>
      <c r="CN109" s="55"/>
      <c r="CO109" s="55"/>
      <c r="CP109" s="58"/>
    </row>
    <row r="110" spans="1:94" ht="13.5" customHeight="1" thickTop="1" thickBot="1">
      <c r="B110" s="198"/>
      <c r="BP110" s="49"/>
      <c r="BQ110" s="49"/>
      <c r="BR110" s="49"/>
      <c r="BS110" s="49"/>
      <c r="BT110" s="49"/>
      <c r="BU110" s="49"/>
      <c r="BV110" s="49"/>
      <c r="BW110" s="49"/>
      <c r="BX110" s="49"/>
      <c r="BY110" s="49"/>
      <c r="BZ110" s="49"/>
      <c r="CA110" s="49"/>
      <c r="CB110" s="49"/>
      <c r="CC110" s="49"/>
      <c r="CD110" s="49"/>
      <c r="CE110" s="49"/>
      <c r="CF110" s="49"/>
      <c r="CG110" s="49"/>
    </row>
    <row r="111" spans="1:94" s="4" customFormat="1" ht="13.5" customHeight="1" thickBot="1">
      <c r="B111" s="31"/>
      <c r="D111" s="204" t="s">
        <v>479</v>
      </c>
      <c r="Q111" s="205" t="s">
        <v>479</v>
      </c>
      <c r="AD111" s="205" t="s">
        <v>479</v>
      </c>
      <c r="AQ111" s="205" t="s">
        <v>479</v>
      </c>
      <c r="BD111" s="205" t="s">
        <v>479</v>
      </c>
      <c r="BQ111" s="205" t="s">
        <v>479</v>
      </c>
      <c r="CD111" s="205" t="s">
        <v>479</v>
      </c>
    </row>
    <row r="112" spans="1:94" ht="13.5" customHeight="1">
      <c r="B112" s="198"/>
    </row>
    <row r="113" spans="2:2" ht="13.5" customHeight="1">
      <c r="B113" s="198"/>
    </row>
    <row r="114" spans="2:2" ht="13.5" customHeight="1">
      <c r="B114" s="198"/>
    </row>
    <row r="115" spans="2:2" ht="13.5" customHeight="1">
      <c r="B115" s="198"/>
    </row>
    <row r="116" spans="2:2" ht="13.5" customHeight="1">
      <c r="B116" s="198"/>
    </row>
    <row r="117" spans="2:2" ht="13.5" customHeight="1">
      <c r="B117" s="198"/>
    </row>
    <row r="118" spans="2:2" ht="13.5" customHeight="1">
      <c r="B118" s="198"/>
    </row>
    <row r="119" spans="2:2" ht="13.5" customHeight="1">
      <c r="B119" s="198"/>
    </row>
    <row r="120" spans="2:2" ht="13.5" customHeight="1">
      <c r="B120" s="198"/>
    </row>
  </sheetData>
  <mergeCells count="23">
    <mergeCell ref="CD24:CP24"/>
    <mergeCell ref="CD1:CP1"/>
    <mergeCell ref="E6:S6"/>
    <mergeCell ref="A7:B7"/>
    <mergeCell ref="A8:B8"/>
    <mergeCell ref="A10:B10"/>
    <mergeCell ref="A11:B11"/>
    <mergeCell ref="D1:P1"/>
    <mergeCell ref="Q1:AC1"/>
    <mergeCell ref="AD1:AP1"/>
    <mergeCell ref="AQ1:BC1"/>
    <mergeCell ref="BD1:BP1"/>
    <mergeCell ref="BQ1:CC1"/>
    <mergeCell ref="A12:B12"/>
    <mergeCell ref="A19:B19"/>
    <mergeCell ref="A20:B20"/>
    <mergeCell ref="A21:B21"/>
    <mergeCell ref="BQ24:CC24"/>
    <mergeCell ref="D25:P25"/>
    <mergeCell ref="Q25:AC25"/>
    <mergeCell ref="AD25:AP25"/>
    <mergeCell ref="AQ25:BC25"/>
    <mergeCell ref="BD25:BP25"/>
  </mergeCells>
  <dataValidations count="2">
    <dataValidation showInputMessage="1" showErrorMessage="1" sqref="E6:S6 JA6:JO6 SW6:TK6 ACS6:ADG6 AMO6:ANC6 AWK6:AWY6 BGG6:BGU6 BQC6:BQQ6 BZY6:CAM6 CJU6:CKI6 CTQ6:CUE6 DDM6:DEA6 DNI6:DNW6 DXE6:DXS6 EHA6:EHO6 EQW6:ERK6 FAS6:FBG6 FKO6:FLC6 FUK6:FUY6 GEG6:GEU6 GOC6:GOQ6 GXY6:GYM6 HHU6:HII6 HRQ6:HSE6 IBM6:ICA6 ILI6:ILW6 IVE6:IVS6 JFA6:JFO6 JOW6:JPK6 JYS6:JZG6 KIO6:KJC6 KSK6:KSY6 LCG6:LCU6 LMC6:LMQ6 LVY6:LWM6 MFU6:MGI6 MPQ6:MQE6 MZM6:NAA6 NJI6:NJW6 NTE6:NTS6 ODA6:ODO6 OMW6:ONK6 OWS6:OXG6 PGO6:PHC6 PQK6:PQY6 QAG6:QAU6 QKC6:QKQ6 QTY6:QUM6 RDU6:REI6 RNQ6:ROE6 RXM6:RYA6 SHI6:SHW6 SRE6:SRS6 TBA6:TBO6 TKW6:TLK6 TUS6:TVG6 UEO6:UFC6 UOK6:UOY6 UYG6:UYU6 VIC6:VIQ6 VRY6:VSM6 WBU6:WCI6 WLQ6:WME6 WVM6:WWA6 E65543:S65543 JA65543:JO65543 SW65543:TK65543 ACS65543:ADG65543 AMO65543:ANC65543 AWK65543:AWY65543 BGG65543:BGU65543 BQC65543:BQQ65543 BZY65543:CAM65543 CJU65543:CKI65543 CTQ65543:CUE65543 DDM65543:DEA65543 DNI65543:DNW65543 DXE65543:DXS65543 EHA65543:EHO65543 EQW65543:ERK65543 FAS65543:FBG65543 FKO65543:FLC65543 FUK65543:FUY65543 GEG65543:GEU65543 GOC65543:GOQ65543 GXY65543:GYM65543 HHU65543:HII65543 HRQ65543:HSE65543 IBM65543:ICA65543 ILI65543:ILW65543 IVE65543:IVS65543 JFA65543:JFO65543 JOW65543:JPK65543 JYS65543:JZG65543 KIO65543:KJC65543 KSK65543:KSY65543 LCG65543:LCU65543 LMC65543:LMQ65543 LVY65543:LWM65543 MFU65543:MGI65543 MPQ65543:MQE65543 MZM65543:NAA65543 NJI65543:NJW65543 NTE65543:NTS65543 ODA65543:ODO65543 OMW65543:ONK65543 OWS65543:OXG65543 PGO65543:PHC65543 PQK65543:PQY65543 QAG65543:QAU65543 QKC65543:QKQ65543 QTY65543:QUM65543 RDU65543:REI65543 RNQ65543:ROE65543 RXM65543:RYA65543 SHI65543:SHW65543 SRE65543:SRS65543 TBA65543:TBO65543 TKW65543:TLK65543 TUS65543:TVG65543 UEO65543:UFC65543 UOK65543:UOY65543 UYG65543:UYU65543 VIC65543:VIQ65543 VRY65543:VSM65543 WBU65543:WCI65543 WLQ65543:WME65543 WVM65543:WWA65543 E131079:S131079 JA131079:JO131079 SW131079:TK131079 ACS131079:ADG131079 AMO131079:ANC131079 AWK131079:AWY131079 BGG131079:BGU131079 BQC131079:BQQ131079 BZY131079:CAM131079 CJU131079:CKI131079 CTQ131079:CUE131079 DDM131079:DEA131079 DNI131079:DNW131079 DXE131079:DXS131079 EHA131079:EHO131079 EQW131079:ERK131079 FAS131079:FBG131079 FKO131079:FLC131079 FUK131079:FUY131079 GEG131079:GEU131079 GOC131079:GOQ131079 GXY131079:GYM131079 HHU131079:HII131079 HRQ131079:HSE131079 IBM131079:ICA131079 ILI131079:ILW131079 IVE131079:IVS131079 JFA131079:JFO131079 JOW131079:JPK131079 JYS131079:JZG131079 KIO131079:KJC131079 KSK131079:KSY131079 LCG131079:LCU131079 LMC131079:LMQ131079 LVY131079:LWM131079 MFU131079:MGI131079 MPQ131079:MQE131079 MZM131079:NAA131079 NJI131079:NJW131079 NTE131079:NTS131079 ODA131079:ODO131079 OMW131079:ONK131079 OWS131079:OXG131079 PGO131079:PHC131079 PQK131079:PQY131079 QAG131079:QAU131079 QKC131079:QKQ131079 QTY131079:QUM131079 RDU131079:REI131079 RNQ131079:ROE131079 RXM131079:RYA131079 SHI131079:SHW131079 SRE131079:SRS131079 TBA131079:TBO131079 TKW131079:TLK131079 TUS131079:TVG131079 UEO131079:UFC131079 UOK131079:UOY131079 UYG131079:UYU131079 VIC131079:VIQ131079 VRY131079:VSM131079 WBU131079:WCI131079 WLQ131079:WME131079 WVM131079:WWA131079 E196615:S196615 JA196615:JO196615 SW196615:TK196615 ACS196615:ADG196615 AMO196615:ANC196615 AWK196615:AWY196615 BGG196615:BGU196615 BQC196615:BQQ196615 BZY196615:CAM196615 CJU196615:CKI196615 CTQ196615:CUE196615 DDM196615:DEA196615 DNI196615:DNW196615 DXE196615:DXS196615 EHA196615:EHO196615 EQW196615:ERK196615 FAS196615:FBG196615 FKO196615:FLC196615 FUK196615:FUY196615 GEG196615:GEU196615 GOC196615:GOQ196615 GXY196615:GYM196615 HHU196615:HII196615 HRQ196615:HSE196615 IBM196615:ICA196615 ILI196615:ILW196615 IVE196615:IVS196615 JFA196615:JFO196615 JOW196615:JPK196615 JYS196615:JZG196615 KIO196615:KJC196615 KSK196615:KSY196615 LCG196615:LCU196615 LMC196615:LMQ196615 LVY196615:LWM196615 MFU196615:MGI196615 MPQ196615:MQE196615 MZM196615:NAA196615 NJI196615:NJW196615 NTE196615:NTS196615 ODA196615:ODO196615 OMW196615:ONK196615 OWS196615:OXG196615 PGO196615:PHC196615 PQK196615:PQY196615 QAG196615:QAU196615 QKC196615:QKQ196615 QTY196615:QUM196615 RDU196615:REI196615 RNQ196615:ROE196615 RXM196615:RYA196615 SHI196615:SHW196615 SRE196615:SRS196615 TBA196615:TBO196615 TKW196615:TLK196615 TUS196615:TVG196615 UEO196615:UFC196615 UOK196615:UOY196615 UYG196615:UYU196615 VIC196615:VIQ196615 VRY196615:VSM196615 WBU196615:WCI196615 WLQ196615:WME196615 WVM196615:WWA196615 E262151:S262151 JA262151:JO262151 SW262151:TK262151 ACS262151:ADG262151 AMO262151:ANC262151 AWK262151:AWY262151 BGG262151:BGU262151 BQC262151:BQQ262151 BZY262151:CAM262151 CJU262151:CKI262151 CTQ262151:CUE262151 DDM262151:DEA262151 DNI262151:DNW262151 DXE262151:DXS262151 EHA262151:EHO262151 EQW262151:ERK262151 FAS262151:FBG262151 FKO262151:FLC262151 FUK262151:FUY262151 GEG262151:GEU262151 GOC262151:GOQ262151 GXY262151:GYM262151 HHU262151:HII262151 HRQ262151:HSE262151 IBM262151:ICA262151 ILI262151:ILW262151 IVE262151:IVS262151 JFA262151:JFO262151 JOW262151:JPK262151 JYS262151:JZG262151 KIO262151:KJC262151 KSK262151:KSY262151 LCG262151:LCU262151 LMC262151:LMQ262151 LVY262151:LWM262151 MFU262151:MGI262151 MPQ262151:MQE262151 MZM262151:NAA262151 NJI262151:NJW262151 NTE262151:NTS262151 ODA262151:ODO262151 OMW262151:ONK262151 OWS262151:OXG262151 PGO262151:PHC262151 PQK262151:PQY262151 QAG262151:QAU262151 QKC262151:QKQ262151 QTY262151:QUM262151 RDU262151:REI262151 RNQ262151:ROE262151 RXM262151:RYA262151 SHI262151:SHW262151 SRE262151:SRS262151 TBA262151:TBO262151 TKW262151:TLK262151 TUS262151:TVG262151 UEO262151:UFC262151 UOK262151:UOY262151 UYG262151:UYU262151 VIC262151:VIQ262151 VRY262151:VSM262151 WBU262151:WCI262151 WLQ262151:WME262151 WVM262151:WWA262151 E327687:S327687 JA327687:JO327687 SW327687:TK327687 ACS327687:ADG327687 AMO327687:ANC327687 AWK327687:AWY327687 BGG327687:BGU327687 BQC327687:BQQ327687 BZY327687:CAM327687 CJU327687:CKI327687 CTQ327687:CUE327687 DDM327687:DEA327687 DNI327687:DNW327687 DXE327687:DXS327687 EHA327687:EHO327687 EQW327687:ERK327687 FAS327687:FBG327687 FKO327687:FLC327687 FUK327687:FUY327687 GEG327687:GEU327687 GOC327687:GOQ327687 GXY327687:GYM327687 HHU327687:HII327687 HRQ327687:HSE327687 IBM327687:ICA327687 ILI327687:ILW327687 IVE327687:IVS327687 JFA327687:JFO327687 JOW327687:JPK327687 JYS327687:JZG327687 KIO327687:KJC327687 KSK327687:KSY327687 LCG327687:LCU327687 LMC327687:LMQ327687 LVY327687:LWM327687 MFU327687:MGI327687 MPQ327687:MQE327687 MZM327687:NAA327687 NJI327687:NJW327687 NTE327687:NTS327687 ODA327687:ODO327687 OMW327687:ONK327687 OWS327687:OXG327687 PGO327687:PHC327687 PQK327687:PQY327687 QAG327687:QAU327687 QKC327687:QKQ327687 QTY327687:QUM327687 RDU327687:REI327687 RNQ327687:ROE327687 RXM327687:RYA327687 SHI327687:SHW327687 SRE327687:SRS327687 TBA327687:TBO327687 TKW327687:TLK327687 TUS327687:TVG327687 UEO327687:UFC327687 UOK327687:UOY327687 UYG327687:UYU327687 VIC327687:VIQ327687 VRY327687:VSM327687 WBU327687:WCI327687 WLQ327687:WME327687 WVM327687:WWA327687 E393223:S393223 JA393223:JO393223 SW393223:TK393223 ACS393223:ADG393223 AMO393223:ANC393223 AWK393223:AWY393223 BGG393223:BGU393223 BQC393223:BQQ393223 BZY393223:CAM393223 CJU393223:CKI393223 CTQ393223:CUE393223 DDM393223:DEA393223 DNI393223:DNW393223 DXE393223:DXS393223 EHA393223:EHO393223 EQW393223:ERK393223 FAS393223:FBG393223 FKO393223:FLC393223 FUK393223:FUY393223 GEG393223:GEU393223 GOC393223:GOQ393223 GXY393223:GYM393223 HHU393223:HII393223 HRQ393223:HSE393223 IBM393223:ICA393223 ILI393223:ILW393223 IVE393223:IVS393223 JFA393223:JFO393223 JOW393223:JPK393223 JYS393223:JZG393223 KIO393223:KJC393223 KSK393223:KSY393223 LCG393223:LCU393223 LMC393223:LMQ393223 LVY393223:LWM393223 MFU393223:MGI393223 MPQ393223:MQE393223 MZM393223:NAA393223 NJI393223:NJW393223 NTE393223:NTS393223 ODA393223:ODO393223 OMW393223:ONK393223 OWS393223:OXG393223 PGO393223:PHC393223 PQK393223:PQY393223 QAG393223:QAU393223 QKC393223:QKQ393223 QTY393223:QUM393223 RDU393223:REI393223 RNQ393223:ROE393223 RXM393223:RYA393223 SHI393223:SHW393223 SRE393223:SRS393223 TBA393223:TBO393223 TKW393223:TLK393223 TUS393223:TVG393223 UEO393223:UFC393223 UOK393223:UOY393223 UYG393223:UYU393223 VIC393223:VIQ393223 VRY393223:VSM393223 WBU393223:WCI393223 WLQ393223:WME393223 WVM393223:WWA393223 E458759:S458759 JA458759:JO458759 SW458759:TK458759 ACS458759:ADG458759 AMO458759:ANC458759 AWK458759:AWY458759 BGG458759:BGU458759 BQC458759:BQQ458759 BZY458759:CAM458759 CJU458759:CKI458759 CTQ458759:CUE458759 DDM458759:DEA458759 DNI458759:DNW458759 DXE458759:DXS458759 EHA458759:EHO458759 EQW458759:ERK458759 FAS458759:FBG458759 FKO458759:FLC458759 FUK458759:FUY458759 GEG458759:GEU458759 GOC458759:GOQ458759 GXY458759:GYM458759 HHU458759:HII458759 HRQ458759:HSE458759 IBM458759:ICA458759 ILI458759:ILW458759 IVE458759:IVS458759 JFA458759:JFO458759 JOW458759:JPK458759 JYS458759:JZG458759 KIO458759:KJC458759 KSK458759:KSY458759 LCG458759:LCU458759 LMC458759:LMQ458759 LVY458759:LWM458759 MFU458759:MGI458759 MPQ458759:MQE458759 MZM458759:NAA458759 NJI458759:NJW458759 NTE458759:NTS458759 ODA458759:ODO458759 OMW458759:ONK458759 OWS458759:OXG458759 PGO458759:PHC458759 PQK458759:PQY458759 QAG458759:QAU458759 QKC458759:QKQ458759 QTY458759:QUM458759 RDU458759:REI458759 RNQ458759:ROE458759 RXM458759:RYA458759 SHI458759:SHW458759 SRE458759:SRS458759 TBA458759:TBO458759 TKW458759:TLK458759 TUS458759:TVG458759 UEO458759:UFC458759 UOK458759:UOY458759 UYG458759:UYU458759 VIC458759:VIQ458759 VRY458759:VSM458759 WBU458759:WCI458759 WLQ458759:WME458759 WVM458759:WWA458759 E524295:S524295 JA524295:JO524295 SW524295:TK524295 ACS524295:ADG524295 AMO524295:ANC524295 AWK524295:AWY524295 BGG524295:BGU524295 BQC524295:BQQ524295 BZY524295:CAM524295 CJU524295:CKI524295 CTQ524295:CUE524295 DDM524295:DEA524295 DNI524295:DNW524295 DXE524295:DXS524295 EHA524295:EHO524295 EQW524295:ERK524295 FAS524295:FBG524295 FKO524295:FLC524295 FUK524295:FUY524295 GEG524295:GEU524295 GOC524295:GOQ524295 GXY524295:GYM524295 HHU524295:HII524295 HRQ524295:HSE524295 IBM524295:ICA524295 ILI524295:ILW524295 IVE524295:IVS524295 JFA524295:JFO524295 JOW524295:JPK524295 JYS524295:JZG524295 KIO524295:KJC524295 KSK524295:KSY524295 LCG524295:LCU524295 LMC524295:LMQ524295 LVY524295:LWM524295 MFU524295:MGI524295 MPQ524295:MQE524295 MZM524295:NAA524295 NJI524295:NJW524295 NTE524295:NTS524295 ODA524295:ODO524295 OMW524295:ONK524295 OWS524295:OXG524295 PGO524295:PHC524295 PQK524295:PQY524295 QAG524295:QAU524295 QKC524295:QKQ524295 QTY524295:QUM524295 RDU524295:REI524295 RNQ524295:ROE524295 RXM524295:RYA524295 SHI524295:SHW524295 SRE524295:SRS524295 TBA524295:TBO524295 TKW524295:TLK524295 TUS524295:TVG524295 UEO524295:UFC524295 UOK524295:UOY524295 UYG524295:UYU524295 VIC524295:VIQ524295 VRY524295:VSM524295 WBU524295:WCI524295 WLQ524295:WME524295 WVM524295:WWA524295 E589831:S589831 JA589831:JO589831 SW589831:TK589831 ACS589831:ADG589831 AMO589831:ANC589831 AWK589831:AWY589831 BGG589831:BGU589831 BQC589831:BQQ589831 BZY589831:CAM589831 CJU589831:CKI589831 CTQ589831:CUE589831 DDM589831:DEA589831 DNI589831:DNW589831 DXE589831:DXS589831 EHA589831:EHO589831 EQW589831:ERK589831 FAS589831:FBG589831 FKO589831:FLC589831 FUK589831:FUY589831 GEG589831:GEU589831 GOC589831:GOQ589831 GXY589831:GYM589831 HHU589831:HII589831 HRQ589831:HSE589831 IBM589831:ICA589831 ILI589831:ILW589831 IVE589831:IVS589831 JFA589831:JFO589831 JOW589831:JPK589831 JYS589831:JZG589831 KIO589831:KJC589831 KSK589831:KSY589831 LCG589831:LCU589831 LMC589831:LMQ589831 LVY589831:LWM589831 MFU589831:MGI589831 MPQ589831:MQE589831 MZM589831:NAA589831 NJI589831:NJW589831 NTE589831:NTS589831 ODA589831:ODO589831 OMW589831:ONK589831 OWS589831:OXG589831 PGO589831:PHC589831 PQK589831:PQY589831 QAG589831:QAU589831 QKC589831:QKQ589831 QTY589831:QUM589831 RDU589831:REI589831 RNQ589831:ROE589831 RXM589831:RYA589831 SHI589831:SHW589831 SRE589831:SRS589831 TBA589831:TBO589831 TKW589831:TLK589831 TUS589831:TVG589831 UEO589831:UFC589831 UOK589831:UOY589831 UYG589831:UYU589831 VIC589831:VIQ589831 VRY589831:VSM589831 WBU589831:WCI589831 WLQ589831:WME589831 WVM589831:WWA589831 E655367:S655367 JA655367:JO655367 SW655367:TK655367 ACS655367:ADG655367 AMO655367:ANC655367 AWK655367:AWY655367 BGG655367:BGU655367 BQC655367:BQQ655367 BZY655367:CAM655367 CJU655367:CKI655367 CTQ655367:CUE655367 DDM655367:DEA655367 DNI655367:DNW655367 DXE655367:DXS655367 EHA655367:EHO655367 EQW655367:ERK655367 FAS655367:FBG655367 FKO655367:FLC655367 FUK655367:FUY655367 GEG655367:GEU655367 GOC655367:GOQ655367 GXY655367:GYM655367 HHU655367:HII655367 HRQ655367:HSE655367 IBM655367:ICA655367 ILI655367:ILW655367 IVE655367:IVS655367 JFA655367:JFO655367 JOW655367:JPK655367 JYS655367:JZG655367 KIO655367:KJC655367 KSK655367:KSY655367 LCG655367:LCU655367 LMC655367:LMQ655367 LVY655367:LWM655367 MFU655367:MGI655367 MPQ655367:MQE655367 MZM655367:NAA655367 NJI655367:NJW655367 NTE655367:NTS655367 ODA655367:ODO655367 OMW655367:ONK655367 OWS655367:OXG655367 PGO655367:PHC655367 PQK655367:PQY655367 QAG655367:QAU655367 QKC655367:QKQ655367 QTY655367:QUM655367 RDU655367:REI655367 RNQ655367:ROE655367 RXM655367:RYA655367 SHI655367:SHW655367 SRE655367:SRS655367 TBA655367:TBO655367 TKW655367:TLK655367 TUS655367:TVG655367 UEO655367:UFC655367 UOK655367:UOY655367 UYG655367:UYU655367 VIC655367:VIQ655367 VRY655367:VSM655367 WBU655367:WCI655367 WLQ655367:WME655367 WVM655367:WWA655367 E720903:S720903 JA720903:JO720903 SW720903:TK720903 ACS720903:ADG720903 AMO720903:ANC720903 AWK720903:AWY720903 BGG720903:BGU720903 BQC720903:BQQ720903 BZY720903:CAM720903 CJU720903:CKI720903 CTQ720903:CUE720903 DDM720903:DEA720903 DNI720903:DNW720903 DXE720903:DXS720903 EHA720903:EHO720903 EQW720903:ERK720903 FAS720903:FBG720903 FKO720903:FLC720903 FUK720903:FUY720903 GEG720903:GEU720903 GOC720903:GOQ720903 GXY720903:GYM720903 HHU720903:HII720903 HRQ720903:HSE720903 IBM720903:ICA720903 ILI720903:ILW720903 IVE720903:IVS720903 JFA720903:JFO720903 JOW720903:JPK720903 JYS720903:JZG720903 KIO720903:KJC720903 KSK720903:KSY720903 LCG720903:LCU720903 LMC720903:LMQ720903 LVY720903:LWM720903 MFU720903:MGI720903 MPQ720903:MQE720903 MZM720903:NAA720903 NJI720903:NJW720903 NTE720903:NTS720903 ODA720903:ODO720903 OMW720903:ONK720903 OWS720903:OXG720903 PGO720903:PHC720903 PQK720903:PQY720903 QAG720903:QAU720903 QKC720903:QKQ720903 QTY720903:QUM720903 RDU720903:REI720903 RNQ720903:ROE720903 RXM720903:RYA720903 SHI720903:SHW720903 SRE720903:SRS720903 TBA720903:TBO720903 TKW720903:TLK720903 TUS720903:TVG720903 UEO720903:UFC720903 UOK720903:UOY720903 UYG720903:UYU720903 VIC720903:VIQ720903 VRY720903:VSM720903 WBU720903:WCI720903 WLQ720903:WME720903 WVM720903:WWA720903 E786439:S786439 JA786439:JO786439 SW786439:TK786439 ACS786439:ADG786439 AMO786439:ANC786439 AWK786439:AWY786439 BGG786439:BGU786439 BQC786439:BQQ786439 BZY786439:CAM786439 CJU786439:CKI786439 CTQ786439:CUE786439 DDM786439:DEA786439 DNI786439:DNW786439 DXE786439:DXS786439 EHA786439:EHO786439 EQW786439:ERK786439 FAS786439:FBG786439 FKO786439:FLC786439 FUK786439:FUY786439 GEG786439:GEU786439 GOC786439:GOQ786439 GXY786439:GYM786439 HHU786439:HII786439 HRQ786439:HSE786439 IBM786439:ICA786439 ILI786439:ILW786439 IVE786439:IVS786439 JFA786439:JFO786439 JOW786439:JPK786439 JYS786439:JZG786439 KIO786439:KJC786439 KSK786439:KSY786439 LCG786439:LCU786439 LMC786439:LMQ786439 LVY786439:LWM786439 MFU786439:MGI786439 MPQ786439:MQE786439 MZM786439:NAA786439 NJI786439:NJW786439 NTE786439:NTS786439 ODA786439:ODO786439 OMW786439:ONK786439 OWS786439:OXG786439 PGO786439:PHC786439 PQK786439:PQY786439 QAG786439:QAU786439 QKC786439:QKQ786439 QTY786439:QUM786439 RDU786439:REI786439 RNQ786439:ROE786439 RXM786439:RYA786439 SHI786439:SHW786439 SRE786439:SRS786439 TBA786439:TBO786439 TKW786439:TLK786439 TUS786439:TVG786439 UEO786439:UFC786439 UOK786439:UOY786439 UYG786439:UYU786439 VIC786439:VIQ786439 VRY786439:VSM786439 WBU786439:WCI786439 WLQ786439:WME786439 WVM786439:WWA786439 E851975:S851975 JA851975:JO851975 SW851975:TK851975 ACS851975:ADG851975 AMO851975:ANC851975 AWK851975:AWY851975 BGG851975:BGU851975 BQC851975:BQQ851975 BZY851975:CAM851975 CJU851975:CKI851975 CTQ851975:CUE851975 DDM851975:DEA851975 DNI851975:DNW851975 DXE851975:DXS851975 EHA851975:EHO851975 EQW851975:ERK851975 FAS851975:FBG851975 FKO851975:FLC851975 FUK851975:FUY851975 GEG851975:GEU851975 GOC851975:GOQ851975 GXY851975:GYM851975 HHU851975:HII851975 HRQ851975:HSE851975 IBM851975:ICA851975 ILI851975:ILW851975 IVE851975:IVS851975 JFA851975:JFO851975 JOW851975:JPK851975 JYS851975:JZG851975 KIO851975:KJC851975 KSK851975:KSY851975 LCG851975:LCU851975 LMC851975:LMQ851975 LVY851975:LWM851975 MFU851975:MGI851975 MPQ851975:MQE851975 MZM851975:NAA851975 NJI851975:NJW851975 NTE851975:NTS851975 ODA851975:ODO851975 OMW851975:ONK851975 OWS851975:OXG851975 PGO851975:PHC851975 PQK851975:PQY851975 QAG851975:QAU851975 QKC851975:QKQ851975 QTY851975:QUM851975 RDU851975:REI851975 RNQ851975:ROE851975 RXM851975:RYA851975 SHI851975:SHW851975 SRE851975:SRS851975 TBA851975:TBO851975 TKW851975:TLK851975 TUS851975:TVG851975 UEO851975:UFC851975 UOK851975:UOY851975 UYG851975:UYU851975 VIC851975:VIQ851975 VRY851975:VSM851975 WBU851975:WCI851975 WLQ851975:WME851975 WVM851975:WWA851975 E917511:S917511 JA917511:JO917511 SW917511:TK917511 ACS917511:ADG917511 AMO917511:ANC917511 AWK917511:AWY917511 BGG917511:BGU917511 BQC917511:BQQ917511 BZY917511:CAM917511 CJU917511:CKI917511 CTQ917511:CUE917511 DDM917511:DEA917511 DNI917511:DNW917511 DXE917511:DXS917511 EHA917511:EHO917511 EQW917511:ERK917511 FAS917511:FBG917511 FKO917511:FLC917511 FUK917511:FUY917511 GEG917511:GEU917511 GOC917511:GOQ917511 GXY917511:GYM917511 HHU917511:HII917511 HRQ917511:HSE917511 IBM917511:ICA917511 ILI917511:ILW917511 IVE917511:IVS917511 JFA917511:JFO917511 JOW917511:JPK917511 JYS917511:JZG917511 KIO917511:KJC917511 KSK917511:KSY917511 LCG917511:LCU917511 LMC917511:LMQ917511 LVY917511:LWM917511 MFU917511:MGI917511 MPQ917511:MQE917511 MZM917511:NAA917511 NJI917511:NJW917511 NTE917511:NTS917511 ODA917511:ODO917511 OMW917511:ONK917511 OWS917511:OXG917511 PGO917511:PHC917511 PQK917511:PQY917511 QAG917511:QAU917511 QKC917511:QKQ917511 QTY917511:QUM917511 RDU917511:REI917511 RNQ917511:ROE917511 RXM917511:RYA917511 SHI917511:SHW917511 SRE917511:SRS917511 TBA917511:TBO917511 TKW917511:TLK917511 TUS917511:TVG917511 UEO917511:UFC917511 UOK917511:UOY917511 UYG917511:UYU917511 VIC917511:VIQ917511 VRY917511:VSM917511 WBU917511:WCI917511 WLQ917511:WME917511 WVM917511:WWA917511 E983047:S983047 JA983047:JO983047 SW983047:TK983047 ACS983047:ADG983047 AMO983047:ANC983047 AWK983047:AWY983047 BGG983047:BGU983047 BQC983047:BQQ983047 BZY983047:CAM983047 CJU983047:CKI983047 CTQ983047:CUE983047 DDM983047:DEA983047 DNI983047:DNW983047 DXE983047:DXS983047 EHA983047:EHO983047 EQW983047:ERK983047 FAS983047:FBG983047 FKO983047:FLC983047 FUK983047:FUY983047 GEG983047:GEU983047 GOC983047:GOQ983047 GXY983047:GYM983047 HHU983047:HII983047 HRQ983047:HSE983047 IBM983047:ICA983047 ILI983047:ILW983047 IVE983047:IVS983047 JFA983047:JFO983047 JOW983047:JPK983047 JYS983047:JZG983047 KIO983047:KJC983047 KSK983047:KSY983047 LCG983047:LCU983047 LMC983047:LMQ983047 LVY983047:LWM983047 MFU983047:MGI983047 MPQ983047:MQE983047 MZM983047:NAA983047 NJI983047:NJW983047 NTE983047:NTS983047 ODA983047:ODO983047 OMW983047:ONK983047 OWS983047:OXG983047 PGO983047:PHC983047 PQK983047:PQY983047 QAG983047:QAU983047 QKC983047:QKQ983047 QTY983047:QUM983047 RDU983047:REI983047 RNQ983047:ROE983047 RXM983047:RYA983047 SHI983047:SHW983047 SRE983047:SRS983047 TBA983047:TBO983047 TKW983047:TLK983047 TUS983047:TVG983047 UEO983047:UFC983047 UOK983047:UOY983047 UYG983047:UYU983047 VIC983047:VIQ983047 VRY983047:VSM983047 WBU983047:WCI983047 WLQ983047:WME983047 WVM983047:WWA983047" xr:uid="{00000000-0002-0000-1400-000000000000}"/>
    <dataValidation type="list" showInputMessage="1" showErrorMessage="1"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1400-000001000000}">
      <formula1>$CR$2:$CR$3</formula1>
    </dataValidation>
  </dataValidations>
  <hyperlinks>
    <hyperlink ref="B18" location="A1.3.6!AQ1" tooltip="Night" display="7pm-7am" xr:uid="{00000000-0004-0000-1400-000000000000}"/>
    <hyperlink ref="A19" location="A1.2.6!BQ1" display="Weekday" xr:uid="{00000000-0004-0000-1400-000001000000}"/>
    <hyperlink ref="A20" location="A1.2.6!CF1" display="Weekend" xr:uid="{00000000-0004-0000-1400-000002000000}"/>
    <hyperlink ref="A21" location="A1.2.6!CU1" display="All week" xr:uid="{00000000-0004-0000-1400-000003000000}"/>
    <hyperlink ref="A18" location="A1.3.6!AD1" tooltip="Evening peak" display="4-7pm" xr:uid="{00000000-0004-0000-1400-000004000000}"/>
    <hyperlink ref="A21:B21" location="A1.3.6!CD1" tooltip="All week average" display="All week average" xr:uid="{00000000-0004-0000-1400-000005000000}"/>
    <hyperlink ref="A11" r:id="rId1" xr:uid="{00000000-0004-0000-1400-000006000000}"/>
    <hyperlink ref="D111" location="A1.3.6!D28" tooltip="Top of this column" display="Top" xr:uid="{00000000-0004-0000-1400-000007000000}"/>
    <hyperlink ref="Q111" location="A1.3.6!Q28" tooltip="Top of this column" display="Top" xr:uid="{00000000-0004-0000-1400-000008000000}"/>
    <hyperlink ref="AD111" location="A1.3.6!AD28" tooltip="Top of this column" display="Top" xr:uid="{00000000-0004-0000-1400-000009000000}"/>
    <hyperlink ref="AQ111" location="A1.3.6!AQ28" tooltip="Top of this column" display="Top" xr:uid="{00000000-0004-0000-1400-00000A000000}"/>
    <hyperlink ref="BD111" location="A1.3.6!BD28" tooltip="Top of this column" display="Top" xr:uid="{00000000-0004-0000-1400-00000B000000}"/>
    <hyperlink ref="BQ111" location="A1.3.6!BQ28" tooltip="Top of this column" display="Top" xr:uid="{00000000-0004-0000-1400-00000C000000}"/>
    <hyperlink ref="CD111" location="A1.3.6!CD28" tooltip="Top of this column" display="Top" xr:uid="{00000000-0004-0000-1400-00000D000000}"/>
    <hyperlink ref="A10" location="Contents!A1" display="Contents" xr:uid="{00000000-0004-0000-1400-00000E000000}"/>
    <hyperlink ref="A10:B10" location="Contents!A1" tooltip="Contents page" display="Contents" xr:uid="{00000000-0004-0000-1400-00000F000000}"/>
    <hyperlink ref="A17" location="A1.3.6!D1" tooltip="Morning peak" display="7am-10am" xr:uid="{00000000-0004-0000-1400-000010000000}"/>
    <hyperlink ref="B17" location="A1.3.6!Q1" tooltip="Inter-peak" display="10am-4pm" xr:uid="{00000000-0004-0000-1400-000011000000}"/>
    <hyperlink ref="A19:B19" location="A1.3.6!BD1" tooltip="Weekday average" display="Weekday average" xr:uid="{00000000-0004-0000-1400-000012000000}"/>
    <hyperlink ref="A20:B20" location="A1.3.6!BQ1" tooltip="Weekend average" display="Weekend average" xr:uid="{00000000-0004-0000-1400-000013000000}"/>
    <hyperlink ref="A12:B12" r:id="rId2" tooltip="Unit A1.3 User &amp; Provider Impacts" display="WebTAG Unit A 1.3" xr:uid="{00000000-0004-0000-1400-000014000000}"/>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6"/>
  </sheetPr>
  <dimension ref="A1:U121"/>
  <sheetViews>
    <sheetView zoomScale="55" zoomScaleNormal="55" workbookViewId="0">
      <selection activeCell="D28" sqref="D28:O118"/>
    </sheetView>
  </sheetViews>
  <sheetFormatPr defaultColWidth="12.81640625" defaultRowHeight="13.5" customHeight="1"/>
  <cols>
    <col min="1" max="21" width="12.81640625" style="5" customWidth="1"/>
    <col min="22" max="256" width="12.81640625" style="5"/>
    <col min="257" max="277" width="12.81640625" style="5" customWidth="1"/>
    <col min="278" max="512" width="12.81640625" style="5"/>
    <col min="513" max="533" width="12.81640625" style="5" customWidth="1"/>
    <col min="534" max="768" width="12.81640625" style="5"/>
    <col min="769" max="789" width="12.81640625" style="5" customWidth="1"/>
    <col min="790" max="1024" width="12.81640625" style="5"/>
    <col min="1025" max="1045" width="12.81640625" style="5" customWidth="1"/>
    <col min="1046" max="1280" width="12.81640625" style="5"/>
    <col min="1281" max="1301" width="12.81640625" style="5" customWidth="1"/>
    <col min="1302" max="1536" width="12.81640625" style="5"/>
    <col min="1537" max="1557" width="12.81640625" style="5" customWidth="1"/>
    <col min="1558" max="1792" width="12.81640625" style="5"/>
    <col min="1793" max="1813" width="12.81640625" style="5" customWidth="1"/>
    <col min="1814" max="2048" width="12.81640625" style="5"/>
    <col min="2049" max="2069" width="12.81640625" style="5" customWidth="1"/>
    <col min="2070" max="2304" width="12.81640625" style="5"/>
    <col min="2305" max="2325" width="12.81640625" style="5" customWidth="1"/>
    <col min="2326" max="2560" width="12.81640625" style="5"/>
    <col min="2561" max="2581" width="12.81640625" style="5" customWidth="1"/>
    <col min="2582" max="2816" width="12.81640625" style="5"/>
    <col min="2817" max="2837" width="12.81640625" style="5" customWidth="1"/>
    <col min="2838" max="3072" width="12.81640625" style="5"/>
    <col min="3073" max="3093" width="12.81640625" style="5" customWidth="1"/>
    <col min="3094" max="3328" width="12.81640625" style="5"/>
    <col min="3329" max="3349" width="12.81640625" style="5" customWidth="1"/>
    <col min="3350" max="3584" width="12.81640625" style="5"/>
    <col min="3585" max="3605" width="12.81640625" style="5" customWidth="1"/>
    <col min="3606" max="3840" width="12.81640625" style="5"/>
    <col min="3841" max="3861" width="12.81640625" style="5" customWidth="1"/>
    <col min="3862" max="4096" width="12.81640625" style="5"/>
    <col min="4097" max="4117" width="12.81640625" style="5" customWidth="1"/>
    <col min="4118" max="4352" width="12.81640625" style="5"/>
    <col min="4353" max="4373" width="12.81640625" style="5" customWidth="1"/>
    <col min="4374" max="4608" width="12.81640625" style="5"/>
    <col min="4609" max="4629" width="12.81640625" style="5" customWidth="1"/>
    <col min="4630" max="4864" width="12.81640625" style="5"/>
    <col min="4865" max="4885" width="12.81640625" style="5" customWidth="1"/>
    <col min="4886" max="5120" width="12.81640625" style="5"/>
    <col min="5121" max="5141" width="12.81640625" style="5" customWidth="1"/>
    <col min="5142" max="5376" width="12.81640625" style="5"/>
    <col min="5377" max="5397" width="12.81640625" style="5" customWidth="1"/>
    <col min="5398" max="5632" width="12.81640625" style="5"/>
    <col min="5633" max="5653" width="12.81640625" style="5" customWidth="1"/>
    <col min="5654" max="5888" width="12.81640625" style="5"/>
    <col min="5889" max="5909" width="12.81640625" style="5" customWidth="1"/>
    <col min="5910" max="6144" width="12.81640625" style="5"/>
    <col min="6145" max="6165" width="12.81640625" style="5" customWidth="1"/>
    <col min="6166" max="6400" width="12.81640625" style="5"/>
    <col min="6401" max="6421" width="12.81640625" style="5" customWidth="1"/>
    <col min="6422" max="6656" width="12.81640625" style="5"/>
    <col min="6657" max="6677" width="12.81640625" style="5" customWidth="1"/>
    <col min="6678" max="6912" width="12.81640625" style="5"/>
    <col min="6913" max="6933" width="12.81640625" style="5" customWidth="1"/>
    <col min="6934" max="7168" width="12.81640625" style="5"/>
    <col min="7169" max="7189" width="12.81640625" style="5" customWidth="1"/>
    <col min="7190" max="7424" width="12.81640625" style="5"/>
    <col min="7425" max="7445" width="12.81640625" style="5" customWidth="1"/>
    <col min="7446" max="7680" width="12.81640625" style="5"/>
    <col min="7681" max="7701" width="12.81640625" style="5" customWidth="1"/>
    <col min="7702" max="7936" width="12.81640625" style="5"/>
    <col min="7937" max="7957" width="12.81640625" style="5" customWidth="1"/>
    <col min="7958" max="8192" width="12.81640625" style="5"/>
    <col min="8193" max="8213" width="12.81640625" style="5" customWidth="1"/>
    <col min="8214" max="8448" width="12.81640625" style="5"/>
    <col min="8449" max="8469" width="12.81640625" style="5" customWidth="1"/>
    <col min="8470" max="8704" width="12.81640625" style="5"/>
    <col min="8705" max="8725" width="12.81640625" style="5" customWidth="1"/>
    <col min="8726" max="8960" width="12.81640625" style="5"/>
    <col min="8961" max="8981" width="12.81640625" style="5" customWidth="1"/>
    <col min="8982" max="9216" width="12.81640625" style="5"/>
    <col min="9217" max="9237" width="12.81640625" style="5" customWidth="1"/>
    <col min="9238" max="9472" width="12.81640625" style="5"/>
    <col min="9473" max="9493" width="12.81640625" style="5" customWidth="1"/>
    <col min="9494" max="9728" width="12.81640625" style="5"/>
    <col min="9729" max="9749" width="12.81640625" style="5" customWidth="1"/>
    <col min="9750" max="9984" width="12.81640625" style="5"/>
    <col min="9985" max="10005" width="12.81640625" style="5" customWidth="1"/>
    <col min="10006" max="10240" width="12.81640625" style="5"/>
    <col min="10241" max="10261" width="12.81640625" style="5" customWidth="1"/>
    <col min="10262" max="10496" width="12.81640625" style="5"/>
    <col min="10497" max="10517" width="12.81640625" style="5" customWidth="1"/>
    <col min="10518" max="10752" width="12.81640625" style="5"/>
    <col min="10753" max="10773" width="12.81640625" style="5" customWidth="1"/>
    <col min="10774" max="11008" width="12.81640625" style="5"/>
    <col min="11009" max="11029" width="12.81640625" style="5" customWidth="1"/>
    <col min="11030" max="11264" width="12.81640625" style="5"/>
    <col min="11265" max="11285" width="12.81640625" style="5" customWidth="1"/>
    <col min="11286" max="11520" width="12.81640625" style="5"/>
    <col min="11521" max="11541" width="12.81640625" style="5" customWidth="1"/>
    <col min="11542" max="11776" width="12.81640625" style="5"/>
    <col min="11777" max="11797" width="12.81640625" style="5" customWidth="1"/>
    <col min="11798" max="12032" width="12.81640625" style="5"/>
    <col min="12033" max="12053" width="12.81640625" style="5" customWidth="1"/>
    <col min="12054" max="12288" width="12.81640625" style="5"/>
    <col min="12289" max="12309" width="12.81640625" style="5" customWidth="1"/>
    <col min="12310" max="12544" width="12.81640625" style="5"/>
    <col min="12545" max="12565" width="12.81640625" style="5" customWidth="1"/>
    <col min="12566" max="12800" width="12.81640625" style="5"/>
    <col min="12801" max="12821" width="12.81640625" style="5" customWidth="1"/>
    <col min="12822" max="13056" width="12.81640625" style="5"/>
    <col min="13057" max="13077" width="12.81640625" style="5" customWidth="1"/>
    <col min="13078" max="13312" width="12.81640625" style="5"/>
    <col min="13313" max="13333" width="12.81640625" style="5" customWidth="1"/>
    <col min="13334" max="13568" width="12.81640625" style="5"/>
    <col min="13569" max="13589" width="12.81640625" style="5" customWidth="1"/>
    <col min="13590" max="13824" width="12.81640625" style="5"/>
    <col min="13825" max="13845" width="12.81640625" style="5" customWidth="1"/>
    <col min="13846" max="14080" width="12.81640625" style="5"/>
    <col min="14081" max="14101" width="12.81640625" style="5" customWidth="1"/>
    <col min="14102" max="14336" width="12.81640625" style="5"/>
    <col min="14337" max="14357" width="12.81640625" style="5" customWidth="1"/>
    <col min="14358" max="14592" width="12.81640625" style="5"/>
    <col min="14593" max="14613" width="12.81640625" style="5" customWidth="1"/>
    <col min="14614" max="14848" width="12.81640625" style="5"/>
    <col min="14849" max="14869" width="12.81640625" style="5" customWidth="1"/>
    <col min="14870" max="15104" width="12.81640625" style="5"/>
    <col min="15105" max="15125" width="12.81640625" style="5" customWidth="1"/>
    <col min="15126" max="15360" width="12.81640625" style="5"/>
    <col min="15361" max="15381" width="12.81640625" style="5" customWidth="1"/>
    <col min="15382" max="15616" width="12.81640625" style="5"/>
    <col min="15617" max="15637" width="12.81640625" style="5" customWidth="1"/>
    <col min="15638" max="15872" width="12.81640625" style="5"/>
    <col min="15873" max="15893" width="12.81640625" style="5" customWidth="1"/>
    <col min="15894" max="16128" width="12.81640625" style="5"/>
    <col min="16129" max="16149" width="12.81640625" style="5" customWidth="1"/>
    <col min="16150" max="16384" width="12.81640625" style="5"/>
  </cols>
  <sheetData>
    <row r="1" spans="1:21" ht="55" customHeight="1">
      <c r="A1" s="4"/>
      <c r="C1" s="4"/>
    </row>
    <row r="2" spans="1:21" s="7" customFormat="1" ht="5.15" customHeight="1"/>
    <row r="3" spans="1:21" s="7" customFormat="1" ht="20.149999999999999" customHeight="1">
      <c r="A3" s="7" t="s">
        <v>608</v>
      </c>
      <c r="B3" s="140"/>
      <c r="C3" s="140"/>
      <c r="D3" s="10"/>
      <c r="G3" s="11"/>
      <c r="I3" s="140"/>
      <c r="J3" s="140"/>
      <c r="K3" s="140"/>
      <c r="L3" s="140"/>
    </row>
    <row r="4" spans="1:21" ht="20.149999999999999" customHeight="1" thickBot="1">
      <c r="A4" s="12" t="s">
        <v>609</v>
      </c>
      <c r="B4" s="13"/>
      <c r="C4" s="13"/>
      <c r="D4" s="15"/>
      <c r="E4" s="15"/>
      <c r="F4" s="15"/>
      <c r="G4" s="15"/>
      <c r="H4" s="15"/>
      <c r="I4" s="206"/>
      <c r="J4" s="13"/>
      <c r="K4" s="13"/>
      <c r="L4" s="13"/>
      <c r="M4" s="14"/>
      <c r="N4" s="15"/>
      <c r="O4" s="15"/>
      <c r="P4" s="15"/>
      <c r="Q4" s="15"/>
      <c r="R4" s="15"/>
      <c r="S4" s="15"/>
      <c r="T4" s="15"/>
    </row>
    <row r="5" spans="1:21" ht="10" customHeight="1" thickTop="1" thickBot="1">
      <c r="A5" s="40"/>
      <c r="B5" s="18"/>
      <c r="C5" s="18"/>
      <c r="E5" s="207"/>
      <c r="F5" s="207"/>
      <c r="G5" s="207"/>
      <c r="H5" s="207"/>
      <c r="J5" s="18"/>
      <c r="K5" s="18"/>
      <c r="L5" s="18"/>
      <c r="M5" s="31"/>
      <c r="T5" s="208"/>
    </row>
    <row r="6" spans="1:21" ht="13.5" customHeight="1" thickTop="1">
      <c r="A6" s="20" t="s">
        <v>430</v>
      </c>
      <c r="B6" s="20"/>
      <c r="D6" s="22"/>
      <c r="E6" s="1066" t="s">
        <v>142</v>
      </c>
      <c r="F6" s="1075"/>
      <c r="G6" s="1070"/>
      <c r="H6" s="1070"/>
      <c r="I6" s="1070"/>
      <c r="J6" s="1070"/>
      <c r="K6" s="1070"/>
      <c r="L6" s="1070"/>
      <c r="M6" s="1070"/>
      <c r="N6" s="1070"/>
      <c r="O6" s="1070"/>
      <c r="P6" s="1070"/>
      <c r="Q6" s="1070"/>
      <c r="R6" s="1070"/>
      <c r="S6" s="1071"/>
      <c r="U6" s="1072"/>
    </row>
    <row r="7" spans="1:21" ht="13.5" customHeight="1">
      <c r="A7" s="1183" t="s">
        <v>584</v>
      </c>
      <c r="B7" s="1184"/>
      <c r="D7" s="22"/>
      <c r="E7" s="859" t="s">
        <v>610</v>
      </c>
      <c r="F7" s="859" t="s">
        <v>611</v>
      </c>
      <c r="G7" s="808"/>
      <c r="H7" s="6" t="s">
        <v>612</v>
      </c>
      <c r="I7" s="5" t="s">
        <v>613</v>
      </c>
      <c r="S7" s="22"/>
    </row>
    <row r="8" spans="1:21" ht="13.5" customHeight="1">
      <c r="A8" s="1171">
        <v>44682</v>
      </c>
      <c r="B8" s="1172"/>
      <c r="C8" s="18"/>
      <c r="D8" s="34"/>
      <c r="E8" s="808"/>
      <c r="F8" s="859" t="s">
        <v>614</v>
      </c>
      <c r="G8" s="808"/>
      <c r="H8" s="6" t="s">
        <v>612</v>
      </c>
      <c r="I8" s="5" t="s">
        <v>615</v>
      </c>
      <c r="S8" s="22"/>
    </row>
    <row r="9" spans="1:21" ht="13.5" customHeight="1" thickBot="1">
      <c r="A9" s="20" t="s">
        <v>435</v>
      </c>
      <c r="B9" s="25"/>
      <c r="D9" s="34"/>
      <c r="F9" s="4" t="s">
        <v>616</v>
      </c>
      <c r="H9" s="6" t="s">
        <v>612</v>
      </c>
      <c r="I9" s="5" t="s">
        <v>617</v>
      </c>
      <c r="S9" s="22"/>
    </row>
    <row r="10" spans="1:21" ht="13.5" customHeight="1" thickBot="1">
      <c r="A10" s="1176" t="s">
        <v>438</v>
      </c>
      <c r="B10" s="1185"/>
      <c r="D10" s="34"/>
      <c r="E10" s="4" t="s">
        <v>618</v>
      </c>
      <c r="F10" s="209"/>
      <c r="G10" s="26"/>
      <c r="H10" s="26"/>
      <c r="S10" s="22"/>
    </row>
    <row r="11" spans="1:21" ht="13.5" customHeight="1" thickBot="1">
      <c r="A11" s="1176" t="s">
        <v>440</v>
      </c>
      <c r="B11" s="1177"/>
      <c r="D11" s="18"/>
      <c r="E11" s="975" t="s">
        <v>619</v>
      </c>
      <c r="F11" s="209"/>
      <c r="G11" s="26"/>
      <c r="H11" s="26"/>
      <c r="I11" s="26"/>
      <c r="J11" s="26"/>
      <c r="K11" s="26"/>
      <c r="L11" s="26"/>
      <c r="M11" s="26"/>
      <c r="N11" s="26"/>
      <c r="O11" s="26"/>
      <c r="P11" s="26"/>
      <c r="Q11" s="26"/>
      <c r="R11" s="26"/>
      <c r="S11" s="27"/>
      <c r="U11" s="26"/>
    </row>
    <row r="12" spans="1:21" ht="13.5" customHeight="1" thickBot="1">
      <c r="A12" s="1176" t="s">
        <v>441</v>
      </c>
      <c r="B12" s="1177"/>
      <c r="D12" s="18"/>
      <c r="E12" s="975" t="s">
        <v>620</v>
      </c>
      <c r="G12" s="26"/>
      <c r="S12" s="22"/>
    </row>
    <row r="13" spans="1:21" ht="13.5" customHeight="1">
      <c r="A13" s="20" t="s">
        <v>444</v>
      </c>
      <c r="B13" s="28"/>
      <c r="C13" s="18"/>
      <c r="D13" s="18"/>
      <c r="E13" s="975" t="s">
        <v>621</v>
      </c>
      <c r="S13" s="22"/>
    </row>
    <row r="14" spans="1:21" ht="13.5" customHeight="1">
      <c r="A14" s="30" t="s">
        <v>446</v>
      </c>
      <c r="B14" s="147">
        <v>2010</v>
      </c>
      <c r="C14" s="18"/>
      <c r="D14" s="18"/>
      <c r="E14" s="23" t="s">
        <v>622</v>
      </c>
      <c r="F14" s="808"/>
      <c r="G14" s="808"/>
      <c r="H14" s="808"/>
      <c r="I14" s="808"/>
      <c r="J14" s="808"/>
      <c r="K14" s="808"/>
      <c r="L14" s="983"/>
      <c r="M14" s="808"/>
      <c r="S14" s="22"/>
    </row>
    <row r="15" spans="1:21" ht="13.5" customHeight="1">
      <c r="A15" s="5" t="s">
        <v>589</v>
      </c>
      <c r="B15" s="147">
        <v>2010</v>
      </c>
      <c r="C15" s="18"/>
      <c r="D15" s="18"/>
      <c r="E15" s="23" t="s">
        <v>623</v>
      </c>
      <c r="S15" s="22"/>
    </row>
    <row r="16" spans="1:21" ht="13.5" customHeight="1">
      <c r="C16" s="18"/>
      <c r="D16" s="34"/>
      <c r="E16" s="975"/>
      <c r="S16" s="22"/>
    </row>
    <row r="17" spans="1:21" ht="13.5" customHeight="1">
      <c r="A17" s="20" t="s">
        <v>451</v>
      </c>
      <c r="B17" s="25"/>
      <c r="C17" s="18"/>
      <c r="D17" s="18"/>
      <c r="E17" s="975" t="s">
        <v>624</v>
      </c>
      <c r="S17" s="22"/>
    </row>
    <row r="18" spans="1:21" ht="13.5" customHeight="1" thickBot="1">
      <c r="A18" s="1178"/>
      <c r="B18" s="1178"/>
      <c r="C18" s="18"/>
      <c r="D18" s="18"/>
      <c r="E18" s="875" t="s">
        <v>625</v>
      </c>
      <c r="F18" s="55"/>
      <c r="G18" s="36"/>
      <c r="H18" s="36"/>
      <c r="I18" s="36"/>
      <c r="J18" s="36"/>
      <c r="K18" s="36"/>
      <c r="L18" s="36"/>
      <c r="M18" s="36"/>
      <c r="N18" s="36"/>
      <c r="O18" s="36"/>
      <c r="P18" s="36"/>
      <c r="Q18" s="36"/>
      <c r="R18" s="36"/>
      <c r="S18" s="37"/>
    </row>
    <row r="19" spans="1:21" ht="13.5" customHeight="1" thickTop="1">
      <c r="A19" s="1069"/>
      <c r="B19" s="1069"/>
      <c r="C19" s="18"/>
      <c r="D19" s="18"/>
    </row>
    <row r="20" spans="1:21" ht="13.5" customHeight="1">
      <c r="A20" s="1069"/>
      <c r="B20" s="1069"/>
      <c r="C20" s="18"/>
      <c r="D20" s="18"/>
      <c r="U20" s="4"/>
    </row>
    <row r="21" spans="1:21" ht="13.5" customHeight="1">
      <c r="A21" s="38"/>
      <c r="B21" s="39"/>
      <c r="C21" s="18"/>
      <c r="D21" s="31"/>
      <c r="J21" s="18"/>
      <c r="K21" s="18"/>
      <c r="L21" s="18"/>
      <c r="M21" s="31"/>
      <c r="P21" s="30"/>
    </row>
    <row r="22" spans="1:21" ht="13.5" customHeight="1" thickBot="1"/>
    <row r="23" spans="1:21" ht="13.5" customHeight="1" thickTop="1" thickBot="1">
      <c r="A23" s="1077" t="s">
        <v>626</v>
      </c>
      <c r="B23" s="156"/>
      <c r="C23" s="210"/>
      <c r="D23" s="211" t="str">
        <f>CONCATENATE("Fuel and Electricity Prices and Components (",$B$14," prices)")</f>
        <v>Fuel and Electricity Prices and Components (2010 prices)</v>
      </c>
      <c r="E23" s="211"/>
      <c r="F23" s="211"/>
      <c r="G23" s="211"/>
      <c r="H23" s="211"/>
      <c r="I23" s="211"/>
      <c r="J23" s="211"/>
      <c r="K23" s="211"/>
      <c r="L23" s="211"/>
      <c r="M23" s="211"/>
      <c r="N23" s="211"/>
      <c r="O23" s="212"/>
      <c r="P23" s="213"/>
      <c r="Q23" s="213"/>
      <c r="R23" s="213"/>
      <c r="S23" s="213"/>
      <c r="T23" s="213"/>
      <c r="U23" s="213"/>
    </row>
    <row r="24" spans="1:21" ht="13.5" customHeight="1" thickTop="1" thickBot="1">
      <c r="A24" s="25"/>
      <c r="B24" s="1205" t="s">
        <v>474</v>
      </c>
      <c r="C24" s="76"/>
      <c r="D24" s="214" t="s">
        <v>627</v>
      </c>
      <c r="E24" s="215"/>
      <c r="F24" s="215"/>
      <c r="G24" s="215"/>
      <c r="H24" s="216"/>
      <c r="I24" s="215" t="s">
        <v>628</v>
      </c>
      <c r="J24" s="215"/>
      <c r="K24" s="215"/>
      <c r="L24" s="216"/>
      <c r="M24" s="217" t="s">
        <v>629</v>
      </c>
      <c r="N24" s="217"/>
      <c r="O24" s="218"/>
      <c r="P24" s="219"/>
      <c r="Q24" s="219"/>
      <c r="R24" s="219"/>
      <c r="S24" s="219"/>
      <c r="T24" s="219"/>
      <c r="U24" s="219"/>
    </row>
    <row r="25" spans="1:21" ht="13.5" customHeight="1" thickTop="1">
      <c r="A25" s="25"/>
      <c r="B25" s="1205"/>
      <c r="C25" s="76"/>
      <c r="D25" s="220" t="s">
        <v>630</v>
      </c>
      <c r="E25" s="220" t="s">
        <v>631</v>
      </c>
      <c r="F25" s="220" t="s">
        <v>611</v>
      </c>
      <c r="G25" s="221" t="s">
        <v>616</v>
      </c>
      <c r="H25" s="222"/>
      <c r="I25" s="220" t="s">
        <v>630</v>
      </c>
      <c r="J25" s="220" t="s">
        <v>631</v>
      </c>
      <c r="K25" s="220" t="s">
        <v>611</v>
      </c>
      <c r="L25" s="223" t="s">
        <v>616</v>
      </c>
      <c r="M25" s="224" t="s">
        <v>630</v>
      </c>
      <c r="N25" s="225" t="s">
        <v>631</v>
      </c>
      <c r="O25" s="223" t="s">
        <v>616</v>
      </c>
      <c r="P25" s="219"/>
      <c r="Q25" s="219"/>
      <c r="R25" s="219"/>
      <c r="S25" s="219"/>
      <c r="T25" s="219"/>
      <c r="U25" s="219"/>
    </row>
    <row r="26" spans="1:21" ht="13.5" customHeight="1">
      <c r="A26" s="25"/>
      <c r="B26" s="1205"/>
      <c r="C26" s="76"/>
      <c r="D26" s="226"/>
      <c r="E26" s="226"/>
      <c r="F26" s="227" t="s">
        <v>632</v>
      </c>
      <c r="G26" s="228" t="s">
        <v>633</v>
      </c>
      <c r="H26" s="229" t="s">
        <v>634</v>
      </c>
      <c r="I26" s="226"/>
      <c r="J26" s="226"/>
      <c r="K26" s="227" t="s">
        <v>632</v>
      </c>
      <c r="L26" s="230"/>
      <c r="M26" s="228"/>
      <c r="N26" s="231"/>
      <c r="O26" s="229" t="s">
        <v>633</v>
      </c>
      <c r="P26" s="232"/>
      <c r="Q26" s="232"/>
      <c r="R26" s="232"/>
      <c r="S26" s="232"/>
      <c r="T26" s="232"/>
      <c r="U26" s="232"/>
    </row>
    <row r="27" spans="1:21" ht="13.5" customHeight="1" thickBot="1">
      <c r="A27" s="233"/>
      <c r="B27" s="1206"/>
      <c r="C27" s="88"/>
      <c r="D27" s="234" t="s">
        <v>635</v>
      </c>
      <c r="E27" s="235" t="s">
        <v>635</v>
      </c>
      <c r="F27" s="236" t="s">
        <v>635</v>
      </c>
      <c r="G27" s="234" t="s">
        <v>636</v>
      </c>
      <c r="H27" s="237" t="s">
        <v>636</v>
      </c>
      <c r="I27" s="234" t="s">
        <v>635</v>
      </c>
      <c r="J27" s="238" t="s">
        <v>635</v>
      </c>
      <c r="K27" s="236" t="s">
        <v>635</v>
      </c>
      <c r="L27" s="239" t="s">
        <v>636</v>
      </c>
      <c r="M27" s="234" t="s">
        <v>637</v>
      </c>
      <c r="N27" s="240" t="s">
        <v>637</v>
      </c>
      <c r="O27" s="237" t="s">
        <v>637</v>
      </c>
      <c r="P27" s="232"/>
      <c r="Q27" s="232"/>
      <c r="R27" s="232"/>
      <c r="S27" s="232"/>
      <c r="T27" s="232"/>
      <c r="U27" s="232"/>
    </row>
    <row r="28" spans="1:21" ht="13.5" customHeight="1" thickTop="1">
      <c r="B28" s="241">
        <v>2010</v>
      </c>
      <c r="C28" s="22"/>
      <c r="D28" s="242">
        <v>42.57</v>
      </c>
      <c r="E28" s="243">
        <v>44.31</v>
      </c>
      <c r="F28" s="244">
        <v>39.630000000000003</v>
      </c>
      <c r="G28" s="245">
        <v>11.97</v>
      </c>
      <c r="H28" s="246">
        <v>6.87</v>
      </c>
      <c r="I28" s="245">
        <v>57.19</v>
      </c>
      <c r="J28" s="245">
        <v>57.19</v>
      </c>
      <c r="K28" s="245">
        <v>10.99</v>
      </c>
      <c r="L28" s="247">
        <v>0</v>
      </c>
      <c r="M28" s="248">
        <v>17.5</v>
      </c>
      <c r="N28" s="248">
        <v>17.5</v>
      </c>
      <c r="O28" s="248">
        <v>5</v>
      </c>
      <c r="Q28" s="249"/>
      <c r="R28" s="249"/>
      <c r="S28" s="232"/>
      <c r="T28" s="232"/>
      <c r="U28" s="232"/>
    </row>
    <row r="29" spans="1:21" ht="13.5" customHeight="1">
      <c r="B29" s="241">
        <v>2011</v>
      </c>
      <c r="C29" s="22"/>
      <c r="D29" s="242">
        <v>52.03</v>
      </c>
      <c r="E29" s="243">
        <v>56.23</v>
      </c>
      <c r="F29" s="250">
        <v>50.86</v>
      </c>
      <c r="G29" s="245">
        <v>12.69</v>
      </c>
      <c r="H29" s="246">
        <v>7.12</v>
      </c>
      <c r="I29" s="245">
        <v>57.02</v>
      </c>
      <c r="J29" s="245">
        <v>57.02</v>
      </c>
      <c r="K29" s="245">
        <v>10.96</v>
      </c>
      <c r="L29" s="247">
        <v>0</v>
      </c>
      <c r="M29" s="248">
        <v>20</v>
      </c>
      <c r="N29" s="248">
        <v>20</v>
      </c>
      <c r="O29" s="248">
        <v>5</v>
      </c>
      <c r="P29" s="232"/>
      <c r="Q29" s="232"/>
      <c r="R29" s="232"/>
      <c r="S29" s="232"/>
      <c r="T29" s="232"/>
      <c r="U29" s="232"/>
    </row>
    <row r="30" spans="1:21" ht="13.5" customHeight="1">
      <c r="B30" s="241">
        <v>2012</v>
      </c>
      <c r="C30" s="22"/>
      <c r="D30" s="242">
        <v>53.09</v>
      </c>
      <c r="E30" s="243">
        <v>58.06</v>
      </c>
      <c r="F30" s="250">
        <v>52.32</v>
      </c>
      <c r="G30" s="245">
        <v>13.19</v>
      </c>
      <c r="H30" s="246">
        <v>7.78</v>
      </c>
      <c r="I30" s="245">
        <v>55.85</v>
      </c>
      <c r="J30" s="245">
        <v>55.85</v>
      </c>
      <c r="K30" s="245">
        <v>10.74</v>
      </c>
      <c r="L30" s="247">
        <v>0</v>
      </c>
      <c r="M30" s="248">
        <v>20</v>
      </c>
      <c r="N30" s="248">
        <v>20</v>
      </c>
      <c r="O30" s="248">
        <v>5</v>
      </c>
      <c r="P30" s="232"/>
      <c r="Q30" s="232"/>
      <c r="R30" s="232"/>
      <c r="S30" s="232"/>
      <c r="T30" s="232"/>
      <c r="U30" s="232"/>
    </row>
    <row r="31" spans="1:21" ht="13.5" customHeight="1">
      <c r="B31" s="241">
        <v>2013</v>
      </c>
      <c r="C31" s="22"/>
      <c r="D31" s="242">
        <v>51.26</v>
      </c>
      <c r="E31" s="243">
        <v>55.92</v>
      </c>
      <c r="F31" s="250">
        <v>50.14</v>
      </c>
      <c r="G31" s="245">
        <v>13.78</v>
      </c>
      <c r="H31" s="246">
        <v>8.5399999999999991</v>
      </c>
      <c r="I31" s="245">
        <v>54.88</v>
      </c>
      <c r="J31" s="245">
        <v>54.88</v>
      </c>
      <c r="K31" s="245">
        <v>10.55</v>
      </c>
      <c r="L31" s="247">
        <v>0</v>
      </c>
      <c r="M31" s="248">
        <v>20</v>
      </c>
      <c r="N31" s="248">
        <v>20</v>
      </c>
      <c r="O31" s="248">
        <v>5</v>
      </c>
      <c r="P31" s="232"/>
      <c r="Q31" s="232"/>
      <c r="R31" s="232"/>
      <c r="S31" s="232"/>
      <c r="T31" s="232"/>
      <c r="U31" s="232"/>
    </row>
    <row r="32" spans="1:21" ht="13.5" customHeight="1">
      <c r="B32" s="241">
        <v>2014</v>
      </c>
      <c r="C32" s="22"/>
      <c r="D32" s="242">
        <v>45.23</v>
      </c>
      <c r="E32" s="243">
        <v>49.58</v>
      </c>
      <c r="F32" s="250">
        <v>43.77</v>
      </c>
      <c r="G32" s="245">
        <v>13.89</v>
      </c>
      <c r="H32" s="246">
        <v>8.65</v>
      </c>
      <c r="I32" s="245">
        <v>53.94</v>
      </c>
      <c r="J32" s="245">
        <v>53.94</v>
      </c>
      <c r="K32" s="245">
        <v>10.37</v>
      </c>
      <c r="L32" s="247">
        <v>0</v>
      </c>
      <c r="M32" s="248">
        <v>20</v>
      </c>
      <c r="N32" s="248">
        <v>20</v>
      </c>
      <c r="O32" s="248">
        <v>5</v>
      </c>
      <c r="P32" s="232"/>
      <c r="Q32" s="232"/>
      <c r="R32" s="232"/>
      <c r="S32" s="232"/>
      <c r="T32" s="232"/>
      <c r="U32" s="232"/>
    </row>
    <row r="33" spans="2:21" ht="13.5" customHeight="1">
      <c r="B33" s="241">
        <v>2015</v>
      </c>
      <c r="C33" s="22"/>
      <c r="D33" s="242">
        <v>32.33</v>
      </c>
      <c r="E33" s="243">
        <v>34.950000000000003</v>
      </c>
      <c r="F33" s="250">
        <v>29.65</v>
      </c>
      <c r="G33" s="245">
        <v>13.59</v>
      </c>
      <c r="H33" s="246">
        <v>8.75</v>
      </c>
      <c r="I33" s="245">
        <v>53.58</v>
      </c>
      <c r="J33" s="245">
        <v>53.58</v>
      </c>
      <c r="K33" s="245">
        <v>10.3</v>
      </c>
      <c r="L33" s="247">
        <v>0</v>
      </c>
      <c r="M33" s="248">
        <v>20</v>
      </c>
      <c r="N33" s="248">
        <v>20</v>
      </c>
      <c r="O33" s="248">
        <v>5</v>
      </c>
      <c r="P33" s="232"/>
      <c r="Q33" s="232"/>
      <c r="R33" s="232"/>
      <c r="S33" s="232"/>
      <c r="T33" s="232"/>
      <c r="U33" s="232"/>
    </row>
    <row r="34" spans="2:21" ht="13.5" customHeight="1">
      <c r="B34" s="241">
        <v>2016</v>
      </c>
      <c r="C34" s="22"/>
      <c r="D34" s="242">
        <v>29.96</v>
      </c>
      <c r="E34" s="243">
        <v>30.62</v>
      </c>
      <c r="F34" s="250">
        <v>26.63</v>
      </c>
      <c r="G34" s="245">
        <v>13.38</v>
      </c>
      <c r="H34" s="246">
        <v>8.52</v>
      </c>
      <c r="I34" s="245">
        <v>52.48</v>
      </c>
      <c r="J34" s="245">
        <v>52.48</v>
      </c>
      <c r="K34" s="245">
        <v>10.09</v>
      </c>
      <c r="L34" s="247">
        <v>0</v>
      </c>
      <c r="M34" s="248">
        <v>20</v>
      </c>
      <c r="N34" s="248">
        <v>20</v>
      </c>
      <c r="O34" s="248">
        <v>5</v>
      </c>
      <c r="P34" s="232"/>
      <c r="Q34" s="232"/>
      <c r="R34" s="232"/>
      <c r="S34" s="232"/>
      <c r="T34" s="232"/>
      <c r="U34" s="232"/>
    </row>
    <row r="35" spans="2:21" ht="13.5" customHeight="1">
      <c r="B35" s="241">
        <v>2017</v>
      </c>
      <c r="C35" s="22"/>
      <c r="D35" s="242">
        <v>35.880000000000003</v>
      </c>
      <c r="E35" s="243">
        <v>37.450000000000003</v>
      </c>
      <c r="F35" s="250">
        <v>32.64</v>
      </c>
      <c r="G35" s="245">
        <v>13.87</v>
      </c>
      <c r="H35" s="246">
        <v>8.8699999999999992</v>
      </c>
      <c r="I35" s="245">
        <v>51.47</v>
      </c>
      <c r="J35" s="245">
        <v>51.47</v>
      </c>
      <c r="K35" s="245">
        <v>9.89</v>
      </c>
      <c r="L35" s="247">
        <v>0</v>
      </c>
      <c r="M35" s="248">
        <v>20</v>
      </c>
      <c r="N35" s="248">
        <v>20</v>
      </c>
      <c r="O35" s="248">
        <v>5</v>
      </c>
      <c r="P35" s="232"/>
      <c r="Q35" s="232"/>
      <c r="R35" s="232"/>
      <c r="S35" s="232"/>
      <c r="T35" s="232"/>
      <c r="U35" s="232"/>
    </row>
    <row r="36" spans="2:21" ht="13.5" customHeight="1">
      <c r="B36" s="241">
        <v>2018</v>
      </c>
      <c r="C36" s="22"/>
      <c r="D36" s="242">
        <v>40.61</v>
      </c>
      <c r="E36" s="243">
        <v>43.74</v>
      </c>
      <c r="F36" s="250">
        <v>38.54</v>
      </c>
      <c r="G36" s="245">
        <v>14.73</v>
      </c>
      <c r="H36" s="246">
        <v>8.84</v>
      </c>
      <c r="I36" s="245">
        <v>50.34</v>
      </c>
      <c r="J36" s="245">
        <v>50.34</v>
      </c>
      <c r="K36" s="245">
        <v>9.68</v>
      </c>
      <c r="L36" s="247">
        <v>0</v>
      </c>
      <c r="M36" s="248">
        <v>20</v>
      </c>
      <c r="N36" s="248">
        <v>20</v>
      </c>
      <c r="O36" s="248">
        <v>5</v>
      </c>
      <c r="P36" s="232"/>
      <c r="Q36" s="232"/>
      <c r="R36" s="232"/>
      <c r="S36" s="232"/>
      <c r="T36" s="232"/>
      <c r="U36" s="232"/>
    </row>
    <row r="37" spans="2:21" ht="13.5" customHeight="1">
      <c r="B37" s="241">
        <v>2019</v>
      </c>
      <c r="C37" s="22"/>
      <c r="D37" s="242">
        <v>36.299999999999997</v>
      </c>
      <c r="E37" s="243">
        <v>38.76</v>
      </c>
      <c r="F37" s="250">
        <v>33.4</v>
      </c>
      <c r="G37" s="245">
        <v>15.32</v>
      </c>
      <c r="H37" s="246">
        <v>9.44</v>
      </c>
      <c r="I37" s="245">
        <v>49.11</v>
      </c>
      <c r="J37" s="245">
        <v>49.11</v>
      </c>
      <c r="K37" s="245">
        <v>9.44</v>
      </c>
      <c r="L37" s="247">
        <v>0</v>
      </c>
      <c r="M37" s="248">
        <v>20</v>
      </c>
      <c r="N37" s="248">
        <v>20</v>
      </c>
      <c r="O37" s="248">
        <v>5</v>
      </c>
      <c r="S37" s="232"/>
      <c r="T37" s="232"/>
      <c r="U37" s="232"/>
    </row>
    <row r="38" spans="2:21" ht="13.5" customHeight="1">
      <c r="B38" s="241">
        <v>2020</v>
      </c>
      <c r="C38" s="22"/>
      <c r="D38" s="242">
        <v>32.18</v>
      </c>
      <c r="E38" s="243">
        <v>34.14</v>
      </c>
      <c r="F38" s="250">
        <v>28.92</v>
      </c>
      <c r="G38" s="245">
        <v>14.83</v>
      </c>
      <c r="H38" s="246">
        <v>10.06</v>
      </c>
      <c r="I38" s="245">
        <v>46.74</v>
      </c>
      <c r="J38" s="245">
        <v>46.74</v>
      </c>
      <c r="K38" s="245">
        <v>8.98</v>
      </c>
      <c r="L38" s="247">
        <v>0</v>
      </c>
      <c r="M38" s="248">
        <v>20</v>
      </c>
      <c r="N38" s="248">
        <v>20</v>
      </c>
      <c r="O38" s="248">
        <v>5</v>
      </c>
      <c r="Q38" s="232"/>
      <c r="R38" s="232"/>
      <c r="S38" s="232"/>
      <c r="T38" s="232"/>
      <c r="U38" s="232"/>
    </row>
    <row r="39" spans="2:21" ht="13.5" customHeight="1">
      <c r="B39" s="241">
        <v>2021</v>
      </c>
      <c r="C39" s="22"/>
      <c r="D39" s="242">
        <v>33.340000000000003</v>
      </c>
      <c r="E39" s="243">
        <v>35.450000000000003</v>
      </c>
      <c r="F39" s="250">
        <v>30.2</v>
      </c>
      <c r="G39" s="245">
        <v>16.28</v>
      </c>
      <c r="H39" s="246">
        <v>10.42</v>
      </c>
      <c r="I39" s="245">
        <v>47.31</v>
      </c>
      <c r="J39" s="245">
        <v>47.31</v>
      </c>
      <c r="K39" s="245">
        <v>9.1</v>
      </c>
      <c r="L39" s="247">
        <v>0</v>
      </c>
      <c r="M39" s="248">
        <v>20</v>
      </c>
      <c r="N39" s="248">
        <v>20</v>
      </c>
      <c r="O39" s="248">
        <v>5</v>
      </c>
      <c r="P39" s="232"/>
      <c r="Q39" s="232"/>
      <c r="R39" s="232"/>
      <c r="S39" s="232"/>
      <c r="T39" s="232"/>
      <c r="U39" s="232"/>
    </row>
    <row r="40" spans="2:21" ht="13.5" customHeight="1">
      <c r="B40" s="241">
        <v>2022</v>
      </c>
      <c r="C40" s="22"/>
      <c r="D40" s="242">
        <v>35</v>
      </c>
      <c r="E40" s="243">
        <v>37.270000000000003</v>
      </c>
      <c r="F40" s="250">
        <v>31.85</v>
      </c>
      <c r="G40" s="245">
        <v>16.57</v>
      </c>
      <c r="H40" s="246">
        <v>10.55</v>
      </c>
      <c r="I40" s="245">
        <v>48.9</v>
      </c>
      <c r="J40" s="245">
        <v>48.9</v>
      </c>
      <c r="K40" s="245">
        <v>9.4</v>
      </c>
      <c r="L40" s="247">
        <v>0</v>
      </c>
      <c r="M40" s="248">
        <v>20</v>
      </c>
      <c r="N40" s="248">
        <v>20</v>
      </c>
      <c r="O40" s="248">
        <v>5</v>
      </c>
      <c r="P40" s="232"/>
      <c r="Q40" s="232"/>
      <c r="R40" s="232"/>
      <c r="S40" s="232"/>
      <c r="T40" s="232"/>
      <c r="U40" s="232"/>
    </row>
    <row r="41" spans="2:21" ht="13.5" customHeight="1">
      <c r="B41" s="241">
        <v>2023</v>
      </c>
      <c r="C41" s="22"/>
      <c r="D41" s="242">
        <v>35.61</v>
      </c>
      <c r="E41" s="243">
        <v>37.96</v>
      </c>
      <c r="F41" s="250">
        <v>32.54</v>
      </c>
      <c r="G41" s="245">
        <v>16.53</v>
      </c>
      <c r="H41" s="246">
        <v>10.27</v>
      </c>
      <c r="I41" s="245">
        <v>49.2</v>
      </c>
      <c r="J41" s="245">
        <v>49.2</v>
      </c>
      <c r="K41" s="245">
        <v>9.4600000000000009</v>
      </c>
      <c r="L41" s="247">
        <v>0</v>
      </c>
      <c r="M41" s="248">
        <v>20</v>
      </c>
      <c r="N41" s="248">
        <v>20</v>
      </c>
      <c r="O41" s="248">
        <v>5</v>
      </c>
      <c r="P41" s="232"/>
      <c r="Q41" s="232"/>
      <c r="R41" s="232"/>
      <c r="S41" s="232"/>
      <c r="T41" s="232"/>
      <c r="U41" s="232"/>
    </row>
    <row r="42" spans="2:21" ht="13.5" customHeight="1">
      <c r="B42" s="241">
        <v>2024</v>
      </c>
      <c r="C42" s="22"/>
      <c r="D42" s="242">
        <v>36.229999999999997</v>
      </c>
      <c r="E42" s="243">
        <v>38.659999999999997</v>
      </c>
      <c r="F42" s="250">
        <v>33.25</v>
      </c>
      <c r="G42" s="245">
        <v>16.27</v>
      </c>
      <c r="H42" s="246">
        <v>10.29</v>
      </c>
      <c r="I42" s="245">
        <v>49.47</v>
      </c>
      <c r="J42" s="245">
        <v>49.47</v>
      </c>
      <c r="K42" s="245">
        <v>9.51</v>
      </c>
      <c r="L42" s="247">
        <v>0</v>
      </c>
      <c r="M42" s="248">
        <v>20</v>
      </c>
      <c r="N42" s="248">
        <v>20</v>
      </c>
      <c r="O42" s="248">
        <v>5</v>
      </c>
      <c r="P42" s="232"/>
      <c r="Q42" s="232"/>
      <c r="R42" s="232"/>
      <c r="S42" s="232"/>
      <c r="T42" s="232"/>
      <c r="U42" s="232"/>
    </row>
    <row r="43" spans="2:21" ht="13.5" customHeight="1">
      <c r="B43" s="241">
        <v>2025</v>
      </c>
      <c r="C43" s="22"/>
      <c r="D43" s="242">
        <v>36.869999999999997</v>
      </c>
      <c r="E43" s="243">
        <v>39.39</v>
      </c>
      <c r="F43" s="250">
        <v>33.99</v>
      </c>
      <c r="G43" s="245">
        <v>16.440000000000001</v>
      </c>
      <c r="H43" s="246">
        <v>10.38</v>
      </c>
      <c r="I43" s="245">
        <v>49.84</v>
      </c>
      <c r="J43" s="245">
        <v>49.84</v>
      </c>
      <c r="K43" s="245">
        <v>9.58</v>
      </c>
      <c r="L43" s="247">
        <v>0</v>
      </c>
      <c r="M43" s="248">
        <v>20</v>
      </c>
      <c r="N43" s="248">
        <v>20</v>
      </c>
      <c r="O43" s="248">
        <v>5</v>
      </c>
      <c r="P43" s="232"/>
      <c r="Q43" s="232"/>
      <c r="R43" s="232"/>
      <c r="S43" s="232"/>
      <c r="T43" s="232"/>
      <c r="U43" s="232"/>
    </row>
    <row r="44" spans="2:21" ht="13.5" customHeight="1">
      <c r="B44" s="241">
        <v>2026</v>
      </c>
      <c r="C44" s="22"/>
      <c r="D44" s="242">
        <v>37.83</v>
      </c>
      <c r="E44" s="243">
        <v>40.49</v>
      </c>
      <c r="F44" s="250">
        <v>35.11</v>
      </c>
      <c r="G44" s="245">
        <v>16.59</v>
      </c>
      <c r="H44" s="246">
        <v>10.42</v>
      </c>
      <c r="I44" s="245">
        <v>50.17</v>
      </c>
      <c r="J44" s="245">
        <v>50.17</v>
      </c>
      <c r="K44" s="245">
        <v>9.64</v>
      </c>
      <c r="L44" s="247">
        <v>0</v>
      </c>
      <c r="M44" s="248">
        <v>20</v>
      </c>
      <c r="N44" s="248">
        <v>20</v>
      </c>
      <c r="O44" s="248">
        <v>5</v>
      </c>
      <c r="P44" s="232"/>
      <c r="Q44" s="232"/>
      <c r="R44" s="232"/>
      <c r="S44" s="232"/>
      <c r="T44" s="232"/>
      <c r="U44" s="232"/>
    </row>
    <row r="45" spans="2:21" ht="13.5" customHeight="1">
      <c r="B45" s="241">
        <v>2027</v>
      </c>
      <c r="C45" s="22"/>
      <c r="D45" s="242">
        <v>38.380000000000003</v>
      </c>
      <c r="E45" s="243">
        <v>41.13</v>
      </c>
      <c r="F45" s="250">
        <v>35.76</v>
      </c>
      <c r="G45" s="245">
        <v>16.28</v>
      </c>
      <c r="H45" s="246">
        <v>10.35</v>
      </c>
      <c r="I45" s="245">
        <v>50.51</v>
      </c>
      <c r="J45" s="245">
        <v>50.51</v>
      </c>
      <c r="K45" s="245">
        <v>9.7100000000000009</v>
      </c>
      <c r="L45" s="247">
        <v>0</v>
      </c>
      <c r="M45" s="248">
        <v>20</v>
      </c>
      <c r="N45" s="248">
        <v>20</v>
      </c>
      <c r="O45" s="248">
        <v>5</v>
      </c>
      <c r="P45" s="232"/>
      <c r="Q45" s="232"/>
      <c r="R45" s="232"/>
      <c r="S45" s="232"/>
      <c r="T45" s="232"/>
      <c r="U45" s="232"/>
    </row>
    <row r="46" spans="2:21" ht="13.5" customHeight="1">
      <c r="B46" s="241">
        <v>2028</v>
      </c>
      <c r="C46" s="22"/>
      <c r="D46" s="242">
        <v>38.93</v>
      </c>
      <c r="E46" s="243">
        <v>41.76</v>
      </c>
      <c r="F46" s="250">
        <v>36.4</v>
      </c>
      <c r="G46" s="245">
        <v>16.23</v>
      </c>
      <c r="H46" s="246">
        <v>10.1</v>
      </c>
      <c r="I46" s="245">
        <v>50.85</v>
      </c>
      <c r="J46" s="245">
        <v>50.85</v>
      </c>
      <c r="K46" s="245">
        <v>9.77</v>
      </c>
      <c r="L46" s="247">
        <v>0</v>
      </c>
      <c r="M46" s="248">
        <v>20</v>
      </c>
      <c r="N46" s="248">
        <v>20</v>
      </c>
      <c r="O46" s="248">
        <v>5</v>
      </c>
      <c r="P46" s="232"/>
      <c r="Q46" s="232"/>
      <c r="R46" s="232"/>
      <c r="S46" s="232"/>
      <c r="T46" s="232"/>
      <c r="U46" s="232"/>
    </row>
    <row r="47" spans="2:21" ht="13.5" customHeight="1">
      <c r="B47" s="241">
        <v>2029</v>
      </c>
      <c r="C47" s="22"/>
      <c r="D47" s="242">
        <v>39.479999999999997</v>
      </c>
      <c r="E47" s="243">
        <v>42.38</v>
      </c>
      <c r="F47" s="250">
        <v>37.04</v>
      </c>
      <c r="G47" s="245">
        <v>16.11</v>
      </c>
      <c r="H47" s="246">
        <v>10</v>
      </c>
      <c r="I47" s="245">
        <v>51.19</v>
      </c>
      <c r="J47" s="245">
        <v>51.19</v>
      </c>
      <c r="K47" s="245">
        <v>9.84</v>
      </c>
      <c r="L47" s="247">
        <v>0</v>
      </c>
      <c r="M47" s="248">
        <v>20</v>
      </c>
      <c r="N47" s="248">
        <v>20</v>
      </c>
      <c r="O47" s="248">
        <v>5</v>
      </c>
      <c r="P47" s="232"/>
      <c r="Q47" s="232"/>
      <c r="R47" s="232"/>
      <c r="S47" s="232"/>
      <c r="T47" s="232"/>
      <c r="U47" s="232"/>
    </row>
    <row r="48" spans="2:21" ht="13.5" customHeight="1">
      <c r="B48" s="241">
        <v>2030</v>
      </c>
      <c r="C48" s="22"/>
      <c r="D48" s="242">
        <v>40.01</v>
      </c>
      <c r="E48" s="243">
        <v>43</v>
      </c>
      <c r="F48" s="250">
        <v>37.659999999999997</v>
      </c>
      <c r="G48" s="245">
        <v>16.41</v>
      </c>
      <c r="H48" s="246">
        <v>10.08</v>
      </c>
      <c r="I48" s="245">
        <v>51.52</v>
      </c>
      <c r="J48" s="245">
        <v>51.52</v>
      </c>
      <c r="K48" s="245">
        <v>9.9</v>
      </c>
      <c r="L48" s="247">
        <v>0</v>
      </c>
      <c r="M48" s="248">
        <v>20</v>
      </c>
      <c r="N48" s="248">
        <v>20</v>
      </c>
      <c r="O48" s="248">
        <v>5</v>
      </c>
      <c r="P48" s="232"/>
      <c r="Q48" s="232"/>
      <c r="R48" s="232"/>
      <c r="S48" s="232"/>
      <c r="T48" s="232"/>
      <c r="U48" s="232"/>
    </row>
    <row r="49" spans="2:21" ht="13.5" customHeight="1">
      <c r="B49" s="241">
        <v>2031</v>
      </c>
      <c r="C49" s="22"/>
      <c r="D49" s="242">
        <v>40.909999999999997</v>
      </c>
      <c r="E49" s="243">
        <v>44.03</v>
      </c>
      <c r="F49" s="250">
        <v>38.71</v>
      </c>
      <c r="G49" s="245">
        <v>16.36</v>
      </c>
      <c r="H49" s="246">
        <v>9.86</v>
      </c>
      <c r="I49" s="245">
        <v>51.86</v>
      </c>
      <c r="J49" s="245">
        <v>51.86</v>
      </c>
      <c r="K49" s="245">
        <v>9.9700000000000006</v>
      </c>
      <c r="L49" s="247">
        <v>0</v>
      </c>
      <c r="M49" s="248">
        <v>20</v>
      </c>
      <c r="N49" s="248">
        <v>20</v>
      </c>
      <c r="O49" s="248">
        <v>5</v>
      </c>
      <c r="P49" s="232"/>
      <c r="Q49" s="232"/>
      <c r="R49" s="232"/>
      <c r="S49" s="232"/>
      <c r="T49" s="232"/>
      <c r="U49" s="232"/>
    </row>
    <row r="50" spans="2:21" ht="13.5" customHeight="1">
      <c r="B50" s="241">
        <v>2032</v>
      </c>
      <c r="C50" s="22"/>
      <c r="D50" s="242">
        <v>41.42</v>
      </c>
      <c r="E50" s="243">
        <v>44.62</v>
      </c>
      <c r="F50" s="250">
        <v>39.31</v>
      </c>
      <c r="G50" s="245">
        <v>16</v>
      </c>
      <c r="H50" s="246">
        <v>9.76</v>
      </c>
      <c r="I50" s="245">
        <v>52.19</v>
      </c>
      <c r="J50" s="245">
        <v>52.19</v>
      </c>
      <c r="K50" s="245">
        <v>10.029999999999999</v>
      </c>
      <c r="L50" s="247">
        <v>0</v>
      </c>
      <c r="M50" s="248">
        <v>20</v>
      </c>
      <c r="N50" s="248">
        <v>20</v>
      </c>
      <c r="O50" s="248">
        <v>5</v>
      </c>
      <c r="P50" s="232"/>
      <c r="Q50" s="232"/>
      <c r="R50" s="232"/>
      <c r="S50" s="232"/>
      <c r="T50" s="232"/>
      <c r="U50" s="232"/>
    </row>
    <row r="51" spans="2:21" ht="13.5" customHeight="1">
      <c r="B51" s="241">
        <v>2033</v>
      </c>
      <c r="C51" s="22"/>
      <c r="D51" s="242">
        <v>41.93</v>
      </c>
      <c r="E51" s="243">
        <v>45.2</v>
      </c>
      <c r="F51" s="250">
        <v>39.909999999999997</v>
      </c>
      <c r="G51" s="245">
        <v>15.59</v>
      </c>
      <c r="H51" s="246">
        <v>9.59</v>
      </c>
      <c r="I51" s="245">
        <v>52.53</v>
      </c>
      <c r="J51" s="245">
        <v>52.53</v>
      </c>
      <c r="K51" s="245">
        <v>10.1</v>
      </c>
      <c r="L51" s="247">
        <v>0</v>
      </c>
      <c r="M51" s="248">
        <v>20</v>
      </c>
      <c r="N51" s="248">
        <v>20</v>
      </c>
      <c r="O51" s="248">
        <v>5</v>
      </c>
      <c r="P51" s="232"/>
      <c r="Q51" s="232"/>
      <c r="R51" s="232"/>
      <c r="S51" s="232"/>
      <c r="T51" s="232"/>
      <c r="U51" s="232"/>
    </row>
    <row r="52" spans="2:21" ht="13.5" customHeight="1">
      <c r="B52" s="241">
        <v>2034</v>
      </c>
      <c r="C52" s="22"/>
      <c r="D52" s="242">
        <v>42.43</v>
      </c>
      <c r="E52" s="243">
        <v>45.78</v>
      </c>
      <c r="F52" s="250">
        <v>40.49</v>
      </c>
      <c r="G52" s="245">
        <v>15.37</v>
      </c>
      <c r="H52" s="246">
        <v>9.41</v>
      </c>
      <c r="I52" s="245">
        <v>52.86</v>
      </c>
      <c r="J52" s="245">
        <v>52.86</v>
      </c>
      <c r="K52" s="245">
        <v>10.16</v>
      </c>
      <c r="L52" s="247">
        <v>0</v>
      </c>
      <c r="M52" s="248">
        <v>20</v>
      </c>
      <c r="N52" s="248">
        <v>20</v>
      </c>
      <c r="O52" s="248">
        <v>5</v>
      </c>
      <c r="P52" s="232"/>
      <c r="Q52" s="232"/>
      <c r="R52" s="232"/>
      <c r="S52" s="232"/>
      <c r="T52" s="232"/>
      <c r="U52" s="232"/>
    </row>
    <row r="53" spans="2:21" ht="13.5" customHeight="1">
      <c r="B53" s="241">
        <v>2035</v>
      </c>
      <c r="C53" s="22"/>
      <c r="D53" s="242">
        <v>42.92</v>
      </c>
      <c r="E53" s="243">
        <v>46.34</v>
      </c>
      <c r="F53" s="250">
        <v>41.07</v>
      </c>
      <c r="G53" s="245">
        <v>15.15</v>
      </c>
      <c r="H53" s="246">
        <v>9.34</v>
      </c>
      <c r="I53" s="245">
        <v>53.2</v>
      </c>
      <c r="J53" s="245">
        <v>53.2</v>
      </c>
      <c r="K53" s="245">
        <v>10.23</v>
      </c>
      <c r="L53" s="247">
        <v>0</v>
      </c>
      <c r="M53" s="248">
        <v>20</v>
      </c>
      <c r="N53" s="248">
        <v>20</v>
      </c>
      <c r="O53" s="248">
        <v>5</v>
      </c>
      <c r="P53" s="232"/>
      <c r="Q53" s="232"/>
      <c r="R53" s="232"/>
      <c r="S53" s="232"/>
      <c r="T53" s="232"/>
      <c r="U53" s="232"/>
    </row>
    <row r="54" spans="2:21" ht="13.5" customHeight="1">
      <c r="B54" s="241">
        <v>2036</v>
      </c>
      <c r="C54" s="22"/>
      <c r="D54" s="242">
        <v>42.92</v>
      </c>
      <c r="E54" s="243">
        <v>46.34</v>
      </c>
      <c r="F54" s="250">
        <v>41.07</v>
      </c>
      <c r="G54" s="245">
        <v>15.04</v>
      </c>
      <c r="H54" s="246">
        <v>9.36</v>
      </c>
      <c r="I54" s="245">
        <v>53.54</v>
      </c>
      <c r="J54" s="245">
        <v>53.54</v>
      </c>
      <c r="K54" s="245">
        <v>10.29</v>
      </c>
      <c r="L54" s="247">
        <v>0</v>
      </c>
      <c r="M54" s="248">
        <v>20</v>
      </c>
      <c r="N54" s="248">
        <v>20</v>
      </c>
      <c r="O54" s="248">
        <v>5</v>
      </c>
      <c r="P54" s="232"/>
      <c r="Q54" s="232"/>
      <c r="R54" s="232"/>
      <c r="S54" s="232"/>
      <c r="T54" s="232"/>
      <c r="U54" s="232"/>
    </row>
    <row r="55" spans="2:21" ht="13.5" customHeight="1">
      <c r="B55" s="241">
        <v>2037</v>
      </c>
      <c r="C55" s="22"/>
      <c r="D55" s="242">
        <v>42.92</v>
      </c>
      <c r="E55" s="243">
        <v>46.34</v>
      </c>
      <c r="F55" s="250">
        <v>41.07</v>
      </c>
      <c r="G55" s="245">
        <v>15</v>
      </c>
      <c r="H55" s="246">
        <v>9.3800000000000008</v>
      </c>
      <c r="I55" s="245">
        <v>53.88</v>
      </c>
      <c r="J55" s="245">
        <v>53.88</v>
      </c>
      <c r="K55" s="245">
        <v>10.36</v>
      </c>
      <c r="L55" s="247">
        <v>0</v>
      </c>
      <c r="M55" s="248">
        <v>20</v>
      </c>
      <c r="N55" s="248">
        <v>20</v>
      </c>
      <c r="O55" s="248">
        <v>5</v>
      </c>
      <c r="P55" s="232"/>
      <c r="Q55" s="232"/>
      <c r="R55" s="232"/>
      <c r="S55" s="232"/>
      <c r="T55" s="232"/>
      <c r="U55" s="232"/>
    </row>
    <row r="56" spans="2:21" ht="13.5" customHeight="1">
      <c r="B56" s="241">
        <v>2038</v>
      </c>
      <c r="C56" s="22"/>
      <c r="D56" s="242">
        <v>42.92</v>
      </c>
      <c r="E56" s="243">
        <v>46.34</v>
      </c>
      <c r="F56" s="250">
        <v>41.07</v>
      </c>
      <c r="G56" s="245">
        <v>14.88</v>
      </c>
      <c r="H56" s="246">
        <v>9.51</v>
      </c>
      <c r="I56" s="245">
        <v>54.22</v>
      </c>
      <c r="J56" s="245">
        <v>54.22</v>
      </c>
      <c r="K56" s="245">
        <v>10.42</v>
      </c>
      <c r="L56" s="247">
        <v>0</v>
      </c>
      <c r="M56" s="248">
        <v>20</v>
      </c>
      <c r="N56" s="248">
        <v>20</v>
      </c>
      <c r="O56" s="248">
        <v>5</v>
      </c>
      <c r="P56" s="232"/>
      <c r="Q56" s="232"/>
      <c r="R56" s="232"/>
      <c r="S56" s="232"/>
      <c r="T56" s="232"/>
      <c r="U56" s="232"/>
    </row>
    <row r="57" spans="2:21" ht="13.5" customHeight="1">
      <c r="B57" s="241">
        <v>2039</v>
      </c>
      <c r="C57" s="22"/>
      <c r="D57" s="242">
        <v>42.92</v>
      </c>
      <c r="E57" s="243">
        <v>46.34</v>
      </c>
      <c r="F57" s="250">
        <v>41.07</v>
      </c>
      <c r="G57" s="245">
        <v>15.09</v>
      </c>
      <c r="H57" s="246">
        <v>9.48</v>
      </c>
      <c r="I57" s="245">
        <v>54.58</v>
      </c>
      <c r="J57" s="245">
        <v>54.58</v>
      </c>
      <c r="K57" s="245">
        <v>10.49</v>
      </c>
      <c r="L57" s="247">
        <v>0</v>
      </c>
      <c r="M57" s="248">
        <v>20</v>
      </c>
      <c r="N57" s="248">
        <v>20</v>
      </c>
      <c r="O57" s="248">
        <v>5</v>
      </c>
      <c r="P57" s="232"/>
      <c r="Q57" s="232"/>
      <c r="R57" s="232"/>
      <c r="S57" s="232"/>
      <c r="T57" s="232"/>
      <c r="U57" s="232"/>
    </row>
    <row r="58" spans="2:21" ht="13.5" customHeight="1">
      <c r="B58" s="241">
        <v>2040</v>
      </c>
      <c r="C58" s="22"/>
      <c r="D58" s="242">
        <v>42.92</v>
      </c>
      <c r="E58" s="243">
        <v>46.34</v>
      </c>
      <c r="F58" s="250">
        <v>41.07</v>
      </c>
      <c r="G58" s="245">
        <v>14.86</v>
      </c>
      <c r="H58" s="246">
        <v>9.42</v>
      </c>
      <c r="I58" s="245">
        <v>54.95</v>
      </c>
      <c r="J58" s="245">
        <v>54.95</v>
      </c>
      <c r="K58" s="245">
        <v>10.56</v>
      </c>
      <c r="L58" s="247">
        <v>0</v>
      </c>
      <c r="M58" s="248">
        <v>20</v>
      </c>
      <c r="N58" s="248">
        <v>20</v>
      </c>
      <c r="O58" s="248">
        <v>5</v>
      </c>
      <c r="P58" s="232"/>
      <c r="Q58" s="232"/>
      <c r="R58" s="232"/>
      <c r="S58" s="232"/>
      <c r="T58" s="232"/>
      <c r="U58" s="232"/>
    </row>
    <row r="59" spans="2:21" ht="13.5" customHeight="1">
      <c r="B59" s="241">
        <v>2041</v>
      </c>
      <c r="C59" s="22"/>
      <c r="D59" s="242">
        <v>42.92</v>
      </c>
      <c r="E59" s="243">
        <v>46.34</v>
      </c>
      <c r="F59" s="250">
        <v>41.07</v>
      </c>
      <c r="G59" s="245">
        <v>14.86</v>
      </c>
      <c r="H59" s="246">
        <v>9.42</v>
      </c>
      <c r="I59" s="245">
        <v>55.29</v>
      </c>
      <c r="J59" s="245">
        <v>55.29</v>
      </c>
      <c r="K59" s="245">
        <v>10.63</v>
      </c>
      <c r="L59" s="247">
        <v>0</v>
      </c>
      <c r="M59" s="248">
        <v>20</v>
      </c>
      <c r="N59" s="248">
        <v>20</v>
      </c>
      <c r="O59" s="248">
        <v>5</v>
      </c>
      <c r="P59" s="232"/>
      <c r="Q59" s="232"/>
      <c r="R59" s="232"/>
      <c r="S59" s="232"/>
      <c r="T59" s="232"/>
      <c r="U59" s="232"/>
    </row>
    <row r="60" spans="2:21" ht="13.5" customHeight="1">
      <c r="B60" s="241">
        <v>2042</v>
      </c>
      <c r="C60" s="22"/>
      <c r="D60" s="242">
        <v>42.92</v>
      </c>
      <c r="E60" s="243">
        <v>46.34</v>
      </c>
      <c r="F60" s="250">
        <v>41.07</v>
      </c>
      <c r="G60" s="245">
        <v>14.86</v>
      </c>
      <c r="H60" s="246">
        <v>9.42</v>
      </c>
      <c r="I60" s="245">
        <v>55.62</v>
      </c>
      <c r="J60" s="245">
        <v>55.62</v>
      </c>
      <c r="K60" s="245">
        <v>10.69</v>
      </c>
      <c r="L60" s="247">
        <v>0</v>
      </c>
      <c r="M60" s="248">
        <v>20</v>
      </c>
      <c r="N60" s="248">
        <v>20</v>
      </c>
      <c r="O60" s="248">
        <v>5</v>
      </c>
      <c r="P60" s="232"/>
      <c r="Q60" s="232"/>
      <c r="R60" s="232"/>
      <c r="S60" s="232"/>
      <c r="T60" s="232"/>
      <c r="U60" s="232"/>
    </row>
    <row r="61" spans="2:21" ht="13.5" customHeight="1">
      <c r="B61" s="241">
        <v>2043</v>
      </c>
      <c r="C61" s="22"/>
      <c r="D61" s="242">
        <v>42.92</v>
      </c>
      <c r="E61" s="243">
        <v>46.34</v>
      </c>
      <c r="F61" s="250">
        <v>41.07</v>
      </c>
      <c r="G61" s="245">
        <v>14.86</v>
      </c>
      <c r="H61" s="246">
        <v>9.42</v>
      </c>
      <c r="I61" s="245">
        <v>55.95</v>
      </c>
      <c r="J61" s="245">
        <v>55.95</v>
      </c>
      <c r="K61" s="245">
        <v>10.75</v>
      </c>
      <c r="L61" s="247">
        <v>0</v>
      </c>
      <c r="M61" s="248">
        <v>20</v>
      </c>
      <c r="N61" s="248">
        <v>20</v>
      </c>
      <c r="O61" s="248">
        <v>5</v>
      </c>
    </row>
    <row r="62" spans="2:21" ht="13.5" customHeight="1">
      <c r="B62" s="241">
        <v>2044</v>
      </c>
      <c r="C62" s="22"/>
      <c r="D62" s="242">
        <v>42.92</v>
      </c>
      <c r="E62" s="243">
        <v>46.34</v>
      </c>
      <c r="F62" s="250">
        <v>41.07</v>
      </c>
      <c r="G62" s="245">
        <v>14.86</v>
      </c>
      <c r="H62" s="246">
        <v>9.42</v>
      </c>
      <c r="I62" s="245">
        <v>56.27</v>
      </c>
      <c r="J62" s="245">
        <v>56.27</v>
      </c>
      <c r="K62" s="245">
        <v>10.82</v>
      </c>
      <c r="L62" s="247">
        <v>0</v>
      </c>
      <c r="M62" s="248">
        <v>20</v>
      </c>
      <c r="N62" s="248">
        <v>20</v>
      </c>
      <c r="O62" s="248">
        <v>5</v>
      </c>
    </row>
    <row r="63" spans="2:21" ht="13.5" customHeight="1">
      <c r="B63" s="241">
        <v>2045</v>
      </c>
      <c r="C63" s="22"/>
      <c r="D63" s="242">
        <v>42.92</v>
      </c>
      <c r="E63" s="243">
        <v>46.34</v>
      </c>
      <c r="F63" s="250">
        <v>41.07</v>
      </c>
      <c r="G63" s="245">
        <v>14.86</v>
      </c>
      <c r="H63" s="246">
        <v>9.42</v>
      </c>
      <c r="I63" s="245">
        <v>56.6</v>
      </c>
      <c r="J63" s="245">
        <v>56.6</v>
      </c>
      <c r="K63" s="245">
        <v>10.88</v>
      </c>
      <c r="L63" s="247">
        <v>0</v>
      </c>
      <c r="M63" s="248">
        <v>20</v>
      </c>
      <c r="N63" s="248">
        <v>20</v>
      </c>
      <c r="O63" s="248">
        <v>5</v>
      </c>
    </row>
    <row r="64" spans="2:21" ht="13.5" customHeight="1">
      <c r="B64" s="241">
        <v>2046</v>
      </c>
      <c r="C64" s="22"/>
      <c r="D64" s="242">
        <v>42.92</v>
      </c>
      <c r="E64" s="243">
        <v>46.34</v>
      </c>
      <c r="F64" s="250">
        <v>41.07</v>
      </c>
      <c r="G64" s="245">
        <v>14.86</v>
      </c>
      <c r="H64" s="246">
        <v>9.42</v>
      </c>
      <c r="I64" s="245">
        <v>56.94</v>
      </c>
      <c r="J64" s="245">
        <v>56.94</v>
      </c>
      <c r="K64" s="245">
        <v>10.95</v>
      </c>
      <c r="L64" s="247">
        <v>0</v>
      </c>
      <c r="M64" s="248">
        <v>20</v>
      </c>
      <c r="N64" s="248">
        <v>20</v>
      </c>
      <c r="O64" s="248">
        <v>5</v>
      </c>
    </row>
    <row r="65" spans="2:15" ht="13.5" customHeight="1">
      <c r="B65" s="241">
        <v>2047</v>
      </c>
      <c r="C65" s="22"/>
      <c r="D65" s="242">
        <v>42.92</v>
      </c>
      <c r="E65" s="243">
        <v>46.34</v>
      </c>
      <c r="F65" s="250">
        <v>41.07</v>
      </c>
      <c r="G65" s="245">
        <v>14.86</v>
      </c>
      <c r="H65" s="246">
        <v>9.42</v>
      </c>
      <c r="I65" s="245">
        <v>57.27</v>
      </c>
      <c r="J65" s="245">
        <v>57.27</v>
      </c>
      <c r="K65" s="245">
        <v>11.01</v>
      </c>
      <c r="L65" s="247">
        <v>0</v>
      </c>
      <c r="M65" s="248">
        <v>20</v>
      </c>
      <c r="N65" s="248">
        <v>20</v>
      </c>
      <c r="O65" s="248">
        <v>5</v>
      </c>
    </row>
    <row r="66" spans="2:15" ht="13.5" customHeight="1">
      <c r="B66" s="241">
        <v>2048</v>
      </c>
      <c r="C66" s="22"/>
      <c r="D66" s="242">
        <v>42.92</v>
      </c>
      <c r="E66" s="243">
        <v>46.34</v>
      </c>
      <c r="F66" s="250">
        <v>41.07</v>
      </c>
      <c r="G66" s="245">
        <v>14.86</v>
      </c>
      <c r="H66" s="246">
        <v>9.42</v>
      </c>
      <c r="I66" s="245">
        <v>57.61</v>
      </c>
      <c r="J66" s="245">
        <v>57.61</v>
      </c>
      <c r="K66" s="245">
        <v>11.07</v>
      </c>
      <c r="L66" s="247">
        <v>0</v>
      </c>
      <c r="M66" s="248">
        <v>20</v>
      </c>
      <c r="N66" s="248">
        <v>20</v>
      </c>
      <c r="O66" s="248">
        <v>5</v>
      </c>
    </row>
    <row r="67" spans="2:15" ht="13.5" customHeight="1">
      <c r="B67" s="241">
        <v>2049</v>
      </c>
      <c r="C67" s="22"/>
      <c r="D67" s="242">
        <v>42.92</v>
      </c>
      <c r="E67" s="243">
        <v>46.34</v>
      </c>
      <c r="F67" s="250">
        <v>41.07</v>
      </c>
      <c r="G67" s="245">
        <v>14.86</v>
      </c>
      <c r="H67" s="246">
        <v>9.42</v>
      </c>
      <c r="I67" s="245">
        <v>57.94</v>
      </c>
      <c r="J67" s="245">
        <v>57.94</v>
      </c>
      <c r="K67" s="245">
        <v>11.14</v>
      </c>
      <c r="L67" s="247">
        <v>0</v>
      </c>
      <c r="M67" s="248">
        <v>20</v>
      </c>
      <c r="N67" s="248">
        <v>20</v>
      </c>
      <c r="O67" s="248">
        <v>5</v>
      </c>
    </row>
    <row r="68" spans="2:15" ht="13.5" customHeight="1">
      <c r="B68" s="241">
        <v>2050</v>
      </c>
      <c r="C68" s="22"/>
      <c r="D68" s="242">
        <v>42.92</v>
      </c>
      <c r="E68" s="243">
        <v>46.34</v>
      </c>
      <c r="F68" s="250">
        <v>41.07</v>
      </c>
      <c r="G68" s="245">
        <v>14.86</v>
      </c>
      <c r="H68" s="246">
        <v>9.42</v>
      </c>
      <c r="I68" s="245">
        <v>58.28</v>
      </c>
      <c r="J68" s="245">
        <v>58.28</v>
      </c>
      <c r="K68" s="245">
        <v>11.2</v>
      </c>
      <c r="L68" s="247">
        <v>0</v>
      </c>
      <c r="M68" s="248">
        <v>20</v>
      </c>
      <c r="N68" s="248">
        <v>20</v>
      </c>
      <c r="O68" s="248">
        <v>5</v>
      </c>
    </row>
    <row r="69" spans="2:15" ht="13.5" customHeight="1">
      <c r="B69" s="241">
        <v>2051</v>
      </c>
      <c r="C69" s="22"/>
      <c r="D69" s="242">
        <v>42.92</v>
      </c>
      <c r="E69" s="243">
        <v>46.34</v>
      </c>
      <c r="F69" s="250">
        <v>41.07</v>
      </c>
      <c r="G69" s="245">
        <v>14.86</v>
      </c>
      <c r="H69" s="246">
        <v>9.42</v>
      </c>
      <c r="I69" s="245">
        <v>58.63</v>
      </c>
      <c r="J69" s="245">
        <v>58.63</v>
      </c>
      <c r="K69" s="245">
        <v>11.27</v>
      </c>
      <c r="L69" s="247">
        <v>0</v>
      </c>
      <c r="M69" s="248">
        <v>20</v>
      </c>
      <c r="N69" s="248">
        <v>20</v>
      </c>
      <c r="O69" s="248">
        <v>5</v>
      </c>
    </row>
    <row r="70" spans="2:15" ht="13.5" customHeight="1">
      <c r="B70" s="241">
        <v>2052</v>
      </c>
      <c r="C70" s="22"/>
      <c r="D70" s="242">
        <v>42.92</v>
      </c>
      <c r="E70" s="243">
        <v>46.34</v>
      </c>
      <c r="F70" s="250">
        <v>41.07</v>
      </c>
      <c r="G70" s="245">
        <v>14.86</v>
      </c>
      <c r="H70" s="246">
        <v>9.42</v>
      </c>
      <c r="I70" s="245">
        <v>58.97</v>
      </c>
      <c r="J70" s="245">
        <v>58.97</v>
      </c>
      <c r="K70" s="245">
        <v>11.34</v>
      </c>
      <c r="L70" s="247">
        <v>0</v>
      </c>
      <c r="M70" s="248">
        <v>20</v>
      </c>
      <c r="N70" s="248">
        <v>20</v>
      </c>
      <c r="O70" s="248">
        <v>5</v>
      </c>
    </row>
    <row r="71" spans="2:15" ht="13.5" customHeight="1">
      <c r="B71" s="241">
        <v>2053</v>
      </c>
      <c r="C71" s="22"/>
      <c r="D71" s="242">
        <v>42.92</v>
      </c>
      <c r="E71" s="243">
        <v>46.34</v>
      </c>
      <c r="F71" s="250">
        <v>41.07</v>
      </c>
      <c r="G71" s="245">
        <v>14.86</v>
      </c>
      <c r="H71" s="246">
        <v>9.42</v>
      </c>
      <c r="I71" s="245">
        <v>59.32</v>
      </c>
      <c r="J71" s="245">
        <v>59.32</v>
      </c>
      <c r="K71" s="245">
        <v>11.4</v>
      </c>
      <c r="L71" s="247">
        <v>0</v>
      </c>
      <c r="M71" s="248">
        <v>20</v>
      </c>
      <c r="N71" s="248">
        <v>20</v>
      </c>
      <c r="O71" s="248">
        <v>5</v>
      </c>
    </row>
    <row r="72" spans="2:15" ht="13.5" customHeight="1">
      <c r="B72" s="241">
        <v>2054</v>
      </c>
      <c r="C72" s="22"/>
      <c r="D72" s="242">
        <v>42.92</v>
      </c>
      <c r="E72" s="243">
        <v>46.34</v>
      </c>
      <c r="F72" s="250">
        <v>41.07</v>
      </c>
      <c r="G72" s="245">
        <v>14.86</v>
      </c>
      <c r="H72" s="246">
        <v>9.42</v>
      </c>
      <c r="I72" s="245">
        <v>59.66</v>
      </c>
      <c r="J72" s="245">
        <v>59.66</v>
      </c>
      <c r="K72" s="245">
        <v>11.47</v>
      </c>
      <c r="L72" s="247">
        <v>0</v>
      </c>
      <c r="M72" s="248">
        <v>20</v>
      </c>
      <c r="N72" s="248">
        <v>20</v>
      </c>
      <c r="O72" s="248">
        <v>5</v>
      </c>
    </row>
    <row r="73" spans="2:15" ht="13.5" customHeight="1">
      <c r="B73" s="241">
        <v>2055</v>
      </c>
      <c r="C73" s="22"/>
      <c r="D73" s="242">
        <v>42.92</v>
      </c>
      <c r="E73" s="243">
        <v>46.34</v>
      </c>
      <c r="F73" s="250">
        <v>41.07</v>
      </c>
      <c r="G73" s="245">
        <v>14.86</v>
      </c>
      <c r="H73" s="246">
        <v>9.42</v>
      </c>
      <c r="I73" s="245">
        <v>60.01</v>
      </c>
      <c r="J73" s="245">
        <v>60.01</v>
      </c>
      <c r="K73" s="245">
        <v>11.54</v>
      </c>
      <c r="L73" s="247">
        <v>0</v>
      </c>
      <c r="M73" s="248">
        <v>20</v>
      </c>
      <c r="N73" s="248">
        <v>20</v>
      </c>
      <c r="O73" s="248">
        <v>5</v>
      </c>
    </row>
    <row r="74" spans="2:15" ht="13.5" customHeight="1">
      <c r="B74" s="241">
        <v>2056</v>
      </c>
      <c r="C74" s="22"/>
      <c r="D74" s="242">
        <v>42.92</v>
      </c>
      <c r="E74" s="243">
        <v>46.34</v>
      </c>
      <c r="F74" s="250">
        <v>41.07</v>
      </c>
      <c r="G74" s="245">
        <v>14.86</v>
      </c>
      <c r="H74" s="246">
        <v>9.42</v>
      </c>
      <c r="I74" s="245">
        <v>60.37</v>
      </c>
      <c r="J74" s="245">
        <v>60.37</v>
      </c>
      <c r="K74" s="245">
        <v>11.6</v>
      </c>
      <c r="L74" s="247">
        <v>0</v>
      </c>
      <c r="M74" s="248">
        <v>20</v>
      </c>
      <c r="N74" s="248">
        <v>20</v>
      </c>
      <c r="O74" s="248">
        <v>5</v>
      </c>
    </row>
    <row r="75" spans="2:15" ht="13.5" customHeight="1">
      <c r="B75" s="241">
        <v>2057</v>
      </c>
      <c r="C75" s="22"/>
      <c r="D75" s="242">
        <v>42.92</v>
      </c>
      <c r="E75" s="243">
        <v>46.34</v>
      </c>
      <c r="F75" s="250">
        <v>41.07</v>
      </c>
      <c r="G75" s="245">
        <v>14.86</v>
      </c>
      <c r="H75" s="246">
        <v>9.42</v>
      </c>
      <c r="I75" s="245">
        <v>60.72</v>
      </c>
      <c r="J75" s="245">
        <v>60.72</v>
      </c>
      <c r="K75" s="245">
        <v>11.67</v>
      </c>
      <c r="L75" s="247">
        <v>0</v>
      </c>
      <c r="M75" s="248">
        <v>20</v>
      </c>
      <c r="N75" s="248">
        <v>20</v>
      </c>
      <c r="O75" s="248">
        <v>5</v>
      </c>
    </row>
    <row r="76" spans="2:15" ht="13.5" customHeight="1">
      <c r="B76" s="241">
        <v>2058</v>
      </c>
      <c r="C76" s="22"/>
      <c r="D76" s="242">
        <v>42.92</v>
      </c>
      <c r="E76" s="243">
        <v>46.34</v>
      </c>
      <c r="F76" s="250">
        <v>41.07</v>
      </c>
      <c r="G76" s="245">
        <v>14.86</v>
      </c>
      <c r="H76" s="246">
        <v>9.42</v>
      </c>
      <c r="I76" s="245">
        <v>61.08</v>
      </c>
      <c r="J76" s="245">
        <v>61.08</v>
      </c>
      <c r="K76" s="245">
        <v>11.74</v>
      </c>
      <c r="L76" s="247">
        <v>0</v>
      </c>
      <c r="M76" s="248">
        <v>20</v>
      </c>
      <c r="N76" s="248">
        <v>20</v>
      </c>
      <c r="O76" s="248">
        <v>5</v>
      </c>
    </row>
    <row r="77" spans="2:15" ht="13.5" customHeight="1">
      <c r="B77" s="241">
        <v>2059</v>
      </c>
      <c r="C77" s="22"/>
      <c r="D77" s="242">
        <v>42.92</v>
      </c>
      <c r="E77" s="243">
        <v>46.34</v>
      </c>
      <c r="F77" s="250">
        <v>41.07</v>
      </c>
      <c r="G77" s="245">
        <v>14.86</v>
      </c>
      <c r="H77" s="246">
        <v>9.42</v>
      </c>
      <c r="I77" s="245">
        <v>61.43</v>
      </c>
      <c r="J77" s="245">
        <v>61.43</v>
      </c>
      <c r="K77" s="245">
        <v>11.81</v>
      </c>
      <c r="L77" s="247">
        <v>0</v>
      </c>
      <c r="M77" s="248">
        <v>20</v>
      </c>
      <c r="N77" s="248">
        <v>20</v>
      </c>
      <c r="O77" s="248">
        <v>5</v>
      </c>
    </row>
    <row r="78" spans="2:15" ht="13.5" customHeight="1">
      <c r="B78" s="241">
        <v>2060</v>
      </c>
      <c r="C78" s="22"/>
      <c r="D78" s="242">
        <v>42.92</v>
      </c>
      <c r="E78" s="243">
        <v>46.34</v>
      </c>
      <c r="F78" s="250">
        <v>41.07</v>
      </c>
      <c r="G78" s="245">
        <v>14.86</v>
      </c>
      <c r="H78" s="246">
        <v>9.42</v>
      </c>
      <c r="I78" s="245">
        <v>61.79</v>
      </c>
      <c r="J78" s="245">
        <v>61.79</v>
      </c>
      <c r="K78" s="245">
        <v>11.88</v>
      </c>
      <c r="L78" s="247">
        <v>0</v>
      </c>
      <c r="M78" s="248">
        <v>20</v>
      </c>
      <c r="N78" s="248">
        <v>20</v>
      </c>
      <c r="O78" s="248">
        <v>5</v>
      </c>
    </row>
    <row r="79" spans="2:15" ht="13.5" customHeight="1">
      <c r="B79" s="241">
        <v>2061</v>
      </c>
      <c r="C79" s="22"/>
      <c r="D79" s="242">
        <v>42.92</v>
      </c>
      <c r="E79" s="243">
        <v>46.34</v>
      </c>
      <c r="F79" s="250">
        <v>41.07</v>
      </c>
      <c r="G79" s="245">
        <v>14.86</v>
      </c>
      <c r="H79" s="246">
        <v>9.42</v>
      </c>
      <c r="I79" s="245">
        <v>62.16</v>
      </c>
      <c r="J79" s="245">
        <v>62.16</v>
      </c>
      <c r="K79" s="245">
        <v>11.95</v>
      </c>
      <c r="L79" s="247">
        <v>0</v>
      </c>
      <c r="M79" s="248">
        <v>20</v>
      </c>
      <c r="N79" s="248">
        <v>20</v>
      </c>
      <c r="O79" s="248">
        <v>5</v>
      </c>
    </row>
    <row r="80" spans="2:15" ht="13.5" customHeight="1">
      <c r="B80" s="241">
        <v>2062</v>
      </c>
      <c r="C80" s="22"/>
      <c r="D80" s="242">
        <v>42.92</v>
      </c>
      <c r="E80" s="243">
        <v>46.34</v>
      </c>
      <c r="F80" s="250">
        <v>41.07</v>
      </c>
      <c r="G80" s="245">
        <v>14.86</v>
      </c>
      <c r="H80" s="246">
        <v>9.42</v>
      </c>
      <c r="I80" s="245">
        <v>62.52</v>
      </c>
      <c r="J80" s="245">
        <v>62.52</v>
      </c>
      <c r="K80" s="245">
        <v>12.02</v>
      </c>
      <c r="L80" s="247">
        <v>0</v>
      </c>
      <c r="M80" s="248">
        <v>20</v>
      </c>
      <c r="N80" s="248">
        <v>20</v>
      </c>
      <c r="O80" s="248">
        <v>5</v>
      </c>
    </row>
    <row r="81" spans="2:15" ht="13.5" customHeight="1">
      <c r="B81" s="241">
        <v>2063</v>
      </c>
      <c r="C81" s="22"/>
      <c r="D81" s="242">
        <v>42.92</v>
      </c>
      <c r="E81" s="243">
        <v>46.34</v>
      </c>
      <c r="F81" s="250">
        <v>41.07</v>
      </c>
      <c r="G81" s="245">
        <v>14.86</v>
      </c>
      <c r="H81" s="246">
        <v>9.42</v>
      </c>
      <c r="I81" s="245">
        <v>62.89</v>
      </c>
      <c r="J81" s="245">
        <v>62.89</v>
      </c>
      <c r="K81" s="245">
        <v>12.09</v>
      </c>
      <c r="L81" s="247">
        <v>0</v>
      </c>
      <c r="M81" s="248">
        <v>20</v>
      </c>
      <c r="N81" s="248">
        <v>20</v>
      </c>
      <c r="O81" s="248">
        <v>5</v>
      </c>
    </row>
    <row r="82" spans="2:15" ht="13.5" customHeight="1">
      <c r="B82" s="241">
        <v>2064</v>
      </c>
      <c r="C82" s="22"/>
      <c r="D82" s="242">
        <v>42.92</v>
      </c>
      <c r="E82" s="243">
        <v>46.34</v>
      </c>
      <c r="F82" s="250">
        <v>41.07</v>
      </c>
      <c r="G82" s="245">
        <v>14.86</v>
      </c>
      <c r="H82" s="246">
        <v>9.42</v>
      </c>
      <c r="I82" s="245">
        <v>63.26</v>
      </c>
      <c r="J82" s="245">
        <v>63.26</v>
      </c>
      <c r="K82" s="245">
        <v>12.16</v>
      </c>
      <c r="L82" s="247">
        <v>0</v>
      </c>
      <c r="M82" s="248">
        <v>20</v>
      </c>
      <c r="N82" s="248">
        <v>20</v>
      </c>
      <c r="O82" s="248">
        <v>5</v>
      </c>
    </row>
    <row r="83" spans="2:15" ht="13.5" customHeight="1">
      <c r="B83" s="241">
        <v>2065</v>
      </c>
      <c r="C83" s="22"/>
      <c r="D83" s="242">
        <v>42.92</v>
      </c>
      <c r="E83" s="243">
        <v>46.34</v>
      </c>
      <c r="F83" s="250">
        <v>41.07</v>
      </c>
      <c r="G83" s="245">
        <v>14.86</v>
      </c>
      <c r="H83" s="246">
        <v>9.42</v>
      </c>
      <c r="I83" s="245">
        <v>63.63</v>
      </c>
      <c r="J83" s="245">
        <v>63.63</v>
      </c>
      <c r="K83" s="245">
        <v>12.23</v>
      </c>
      <c r="L83" s="247">
        <v>0</v>
      </c>
      <c r="M83" s="248">
        <v>20</v>
      </c>
      <c r="N83" s="248">
        <v>20</v>
      </c>
      <c r="O83" s="248">
        <v>5</v>
      </c>
    </row>
    <row r="84" spans="2:15" ht="13.5" customHeight="1">
      <c r="B84" s="241">
        <v>2066</v>
      </c>
      <c r="C84" s="22"/>
      <c r="D84" s="242">
        <v>42.92</v>
      </c>
      <c r="E84" s="243">
        <v>46.34</v>
      </c>
      <c r="F84" s="250">
        <v>41.07</v>
      </c>
      <c r="G84" s="245">
        <v>14.86</v>
      </c>
      <c r="H84" s="246">
        <v>9.42</v>
      </c>
      <c r="I84" s="245">
        <v>64</v>
      </c>
      <c r="J84" s="245">
        <v>64</v>
      </c>
      <c r="K84" s="245">
        <v>12.3</v>
      </c>
      <c r="L84" s="247">
        <v>0</v>
      </c>
      <c r="M84" s="248">
        <v>20</v>
      </c>
      <c r="N84" s="248">
        <v>20</v>
      </c>
      <c r="O84" s="248">
        <v>5</v>
      </c>
    </row>
    <row r="85" spans="2:15" ht="13.5" customHeight="1">
      <c r="B85" s="241">
        <v>2067</v>
      </c>
      <c r="C85" s="22"/>
      <c r="D85" s="242">
        <v>42.92</v>
      </c>
      <c r="E85" s="243">
        <v>46.34</v>
      </c>
      <c r="F85" s="250">
        <v>41.07</v>
      </c>
      <c r="G85" s="245">
        <v>14.86</v>
      </c>
      <c r="H85" s="246">
        <v>9.42</v>
      </c>
      <c r="I85" s="245">
        <v>64.38</v>
      </c>
      <c r="J85" s="245">
        <v>64.38</v>
      </c>
      <c r="K85" s="245">
        <v>12.38</v>
      </c>
      <c r="L85" s="247">
        <v>0</v>
      </c>
      <c r="M85" s="248">
        <v>20</v>
      </c>
      <c r="N85" s="248">
        <v>20</v>
      </c>
      <c r="O85" s="248">
        <v>5</v>
      </c>
    </row>
    <row r="86" spans="2:15" ht="13.5" customHeight="1">
      <c r="B86" s="241">
        <v>2068</v>
      </c>
      <c r="C86" s="22"/>
      <c r="D86" s="242">
        <v>42.92</v>
      </c>
      <c r="E86" s="243">
        <v>46.34</v>
      </c>
      <c r="F86" s="250">
        <v>41.07</v>
      </c>
      <c r="G86" s="245">
        <v>14.86</v>
      </c>
      <c r="H86" s="246">
        <v>9.42</v>
      </c>
      <c r="I86" s="245">
        <v>64.75</v>
      </c>
      <c r="J86" s="245">
        <v>64.75</v>
      </c>
      <c r="K86" s="245">
        <v>12.45</v>
      </c>
      <c r="L86" s="247">
        <v>0</v>
      </c>
      <c r="M86" s="248">
        <v>20</v>
      </c>
      <c r="N86" s="248">
        <v>20</v>
      </c>
      <c r="O86" s="248">
        <v>5</v>
      </c>
    </row>
    <row r="87" spans="2:15" ht="13.5" customHeight="1">
      <c r="B87" s="241">
        <v>2069</v>
      </c>
      <c r="C87" s="22"/>
      <c r="D87" s="242">
        <v>42.2</v>
      </c>
      <c r="E87" s="243">
        <v>45.56</v>
      </c>
      <c r="F87" s="250">
        <v>40.380000000000003</v>
      </c>
      <c r="G87" s="245">
        <v>14.86</v>
      </c>
      <c r="H87" s="246">
        <v>9.42</v>
      </c>
      <c r="I87" s="245">
        <v>65.13</v>
      </c>
      <c r="J87" s="245">
        <v>65.13</v>
      </c>
      <c r="K87" s="245">
        <v>12.52</v>
      </c>
      <c r="L87" s="247">
        <v>0</v>
      </c>
      <c r="M87" s="248">
        <v>20</v>
      </c>
      <c r="N87" s="248">
        <v>20</v>
      </c>
      <c r="O87" s="248">
        <v>5</v>
      </c>
    </row>
    <row r="88" spans="2:15" ht="13.5" customHeight="1">
      <c r="B88" s="241">
        <v>2070</v>
      </c>
      <c r="C88" s="22"/>
      <c r="D88" s="242">
        <v>42.2</v>
      </c>
      <c r="E88" s="243">
        <v>45.56</v>
      </c>
      <c r="F88" s="250">
        <v>40.380000000000003</v>
      </c>
      <c r="G88" s="245">
        <v>14.86</v>
      </c>
      <c r="H88" s="246">
        <v>9.42</v>
      </c>
      <c r="I88" s="245">
        <v>65.52</v>
      </c>
      <c r="J88" s="245">
        <v>65.52</v>
      </c>
      <c r="K88" s="245">
        <v>12.59</v>
      </c>
      <c r="L88" s="247">
        <v>0</v>
      </c>
      <c r="M88" s="248">
        <v>20</v>
      </c>
      <c r="N88" s="248">
        <v>20</v>
      </c>
      <c r="O88" s="248">
        <v>5</v>
      </c>
    </row>
    <row r="89" spans="2:15" ht="13.5" customHeight="1">
      <c r="B89" s="241">
        <v>2071</v>
      </c>
      <c r="C89" s="22"/>
      <c r="D89" s="242">
        <v>42.2</v>
      </c>
      <c r="E89" s="243">
        <v>45.56</v>
      </c>
      <c r="F89" s="250">
        <v>40.380000000000003</v>
      </c>
      <c r="G89" s="245">
        <v>14.86</v>
      </c>
      <c r="H89" s="246">
        <v>9.42</v>
      </c>
      <c r="I89" s="245">
        <v>65.900000000000006</v>
      </c>
      <c r="J89" s="245">
        <v>65.900000000000006</v>
      </c>
      <c r="K89" s="245">
        <v>12.67</v>
      </c>
      <c r="L89" s="247">
        <v>0</v>
      </c>
      <c r="M89" s="248">
        <v>20</v>
      </c>
      <c r="N89" s="248">
        <v>20</v>
      </c>
      <c r="O89" s="248">
        <v>5</v>
      </c>
    </row>
    <row r="90" spans="2:15" ht="13.5" customHeight="1">
      <c r="B90" s="241">
        <v>2072</v>
      </c>
      <c r="C90" s="22"/>
      <c r="D90" s="242">
        <v>42.2</v>
      </c>
      <c r="E90" s="243">
        <v>45.56</v>
      </c>
      <c r="F90" s="250">
        <v>40.380000000000003</v>
      </c>
      <c r="G90" s="245">
        <v>14.86</v>
      </c>
      <c r="H90" s="246">
        <v>9.42</v>
      </c>
      <c r="I90" s="245">
        <v>66.290000000000006</v>
      </c>
      <c r="J90" s="245">
        <v>66.290000000000006</v>
      </c>
      <c r="K90" s="245">
        <v>12.74</v>
      </c>
      <c r="L90" s="247">
        <v>0</v>
      </c>
      <c r="M90" s="248">
        <v>20</v>
      </c>
      <c r="N90" s="248">
        <v>20</v>
      </c>
      <c r="O90" s="248">
        <v>5</v>
      </c>
    </row>
    <row r="91" spans="2:15" ht="13.5" customHeight="1">
      <c r="B91" s="241">
        <v>2073</v>
      </c>
      <c r="C91" s="22"/>
      <c r="D91" s="242">
        <v>42.2</v>
      </c>
      <c r="E91" s="243">
        <v>45.56</v>
      </c>
      <c r="F91" s="250">
        <v>40.380000000000003</v>
      </c>
      <c r="G91" s="245">
        <v>14.86</v>
      </c>
      <c r="H91" s="246">
        <v>9.42</v>
      </c>
      <c r="I91" s="245">
        <v>66.680000000000007</v>
      </c>
      <c r="J91" s="245">
        <v>66.680000000000007</v>
      </c>
      <c r="K91" s="245">
        <v>12.82</v>
      </c>
      <c r="L91" s="246">
        <v>0</v>
      </c>
      <c r="M91" s="248">
        <v>20</v>
      </c>
      <c r="N91" s="248">
        <v>20</v>
      </c>
      <c r="O91" s="248">
        <v>5</v>
      </c>
    </row>
    <row r="92" spans="2:15" ht="13.5" customHeight="1">
      <c r="B92" s="241">
        <v>2074</v>
      </c>
      <c r="C92" s="22"/>
      <c r="D92" s="242">
        <v>42.2</v>
      </c>
      <c r="E92" s="243">
        <v>45.56</v>
      </c>
      <c r="F92" s="250">
        <v>40.380000000000003</v>
      </c>
      <c r="G92" s="245">
        <v>14.86</v>
      </c>
      <c r="H92" s="246">
        <v>9.42</v>
      </c>
      <c r="I92" s="245">
        <v>67.069999999999993</v>
      </c>
      <c r="J92" s="245">
        <v>67.069999999999993</v>
      </c>
      <c r="K92" s="245">
        <v>12.89</v>
      </c>
      <c r="L92" s="246">
        <v>0</v>
      </c>
      <c r="M92" s="248">
        <v>20</v>
      </c>
      <c r="N92" s="248">
        <v>20</v>
      </c>
      <c r="O92" s="248">
        <v>5</v>
      </c>
    </row>
    <row r="93" spans="2:15" ht="13.5" customHeight="1">
      <c r="B93" s="241">
        <v>2075</v>
      </c>
      <c r="C93" s="22"/>
      <c r="D93" s="242">
        <v>42.2</v>
      </c>
      <c r="E93" s="243">
        <v>45.56</v>
      </c>
      <c r="F93" s="250">
        <v>40.380000000000003</v>
      </c>
      <c r="G93" s="245">
        <v>14.86</v>
      </c>
      <c r="H93" s="246">
        <v>9.42</v>
      </c>
      <c r="I93" s="245">
        <v>67.459999999999994</v>
      </c>
      <c r="J93" s="245">
        <v>67.459999999999994</v>
      </c>
      <c r="K93" s="245">
        <v>12.97</v>
      </c>
      <c r="L93" s="246">
        <v>0</v>
      </c>
      <c r="M93" s="248">
        <v>20</v>
      </c>
      <c r="N93" s="248">
        <v>20</v>
      </c>
      <c r="O93" s="248">
        <v>5</v>
      </c>
    </row>
    <row r="94" spans="2:15" ht="13.5" customHeight="1">
      <c r="B94" s="241">
        <v>2076</v>
      </c>
      <c r="C94" s="22"/>
      <c r="D94" s="242">
        <v>42.2</v>
      </c>
      <c r="E94" s="243">
        <v>45.56</v>
      </c>
      <c r="F94" s="250">
        <v>40.380000000000003</v>
      </c>
      <c r="G94" s="245">
        <v>14.86</v>
      </c>
      <c r="H94" s="246">
        <v>9.42</v>
      </c>
      <c r="I94" s="245">
        <v>67.86</v>
      </c>
      <c r="J94" s="245">
        <v>67.86</v>
      </c>
      <c r="K94" s="245">
        <v>13.04</v>
      </c>
      <c r="L94" s="246">
        <v>0</v>
      </c>
      <c r="M94" s="248">
        <v>20</v>
      </c>
      <c r="N94" s="248">
        <v>20</v>
      </c>
      <c r="O94" s="248">
        <v>5</v>
      </c>
    </row>
    <row r="95" spans="2:15" ht="13.5" customHeight="1">
      <c r="B95" s="241">
        <v>2077</v>
      </c>
      <c r="C95" s="22"/>
      <c r="D95" s="242">
        <v>42.2</v>
      </c>
      <c r="E95" s="243">
        <v>45.56</v>
      </c>
      <c r="F95" s="250">
        <v>40.380000000000003</v>
      </c>
      <c r="G95" s="245">
        <v>14.86</v>
      </c>
      <c r="H95" s="246">
        <v>9.42</v>
      </c>
      <c r="I95" s="245">
        <v>68.25</v>
      </c>
      <c r="J95" s="245">
        <v>68.25</v>
      </c>
      <c r="K95" s="245">
        <v>13.12</v>
      </c>
      <c r="L95" s="246">
        <v>0</v>
      </c>
      <c r="M95" s="248">
        <v>20</v>
      </c>
      <c r="N95" s="248">
        <v>20</v>
      </c>
      <c r="O95" s="248">
        <v>5</v>
      </c>
    </row>
    <row r="96" spans="2:15" ht="13.5" customHeight="1">
      <c r="B96" s="241">
        <v>2078</v>
      </c>
      <c r="C96" s="22"/>
      <c r="D96" s="242">
        <v>42.2</v>
      </c>
      <c r="E96" s="243">
        <v>45.56</v>
      </c>
      <c r="F96" s="250">
        <v>40.380000000000003</v>
      </c>
      <c r="G96" s="245">
        <v>14.86</v>
      </c>
      <c r="H96" s="246">
        <v>9.42</v>
      </c>
      <c r="I96" s="245">
        <v>68.650000000000006</v>
      </c>
      <c r="J96" s="245">
        <v>68.650000000000006</v>
      </c>
      <c r="K96" s="245">
        <v>13.2</v>
      </c>
      <c r="L96" s="246">
        <v>0</v>
      </c>
      <c r="M96" s="248">
        <v>20</v>
      </c>
      <c r="N96" s="248">
        <v>20</v>
      </c>
      <c r="O96" s="248">
        <v>5</v>
      </c>
    </row>
    <row r="97" spans="2:15" ht="13.5" customHeight="1">
      <c r="B97" s="241">
        <v>2079</v>
      </c>
      <c r="C97" s="22"/>
      <c r="D97" s="242">
        <v>42.2</v>
      </c>
      <c r="E97" s="243">
        <v>45.56</v>
      </c>
      <c r="F97" s="250">
        <v>40.380000000000003</v>
      </c>
      <c r="G97" s="245">
        <v>14.86</v>
      </c>
      <c r="H97" s="246">
        <v>9.42</v>
      </c>
      <c r="I97" s="245">
        <v>69.06</v>
      </c>
      <c r="J97" s="245">
        <v>69.06</v>
      </c>
      <c r="K97" s="245">
        <v>13.28</v>
      </c>
      <c r="L97" s="246">
        <v>0</v>
      </c>
      <c r="M97" s="248">
        <v>20</v>
      </c>
      <c r="N97" s="248">
        <v>20</v>
      </c>
      <c r="O97" s="248">
        <v>5</v>
      </c>
    </row>
    <row r="98" spans="2:15" ht="13.5" customHeight="1">
      <c r="B98" s="241">
        <v>2080</v>
      </c>
      <c r="C98" s="22"/>
      <c r="D98" s="242">
        <v>42.2</v>
      </c>
      <c r="E98" s="243">
        <v>45.56</v>
      </c>
      <c r="F98" s="250">
        <v>40.380000000000003</v>
      </c>
      <c r="G98" s="245">
        <v>14.86</v>
      </c>
      <c r="H98" s="246">
        <v>9.42</v>
      </c>
      <c r="I98" s="245">
        <v>69.459999999999994</v>
      </c>
      <c r="J98" s="245">
        <v>69.459999999999994</v>
      </c>
      <c r="K98" s="245">
        <v>13.35</v>
      </c>
      <c r="L98" s="246">
        <v>0</v>
      </c>
      <c r="M98" s="248">
        <v>20</v>
      </c>
      <c r="N98" s="248">
        <v>20</v>
      </c>
      <c r="O98" s="248">
        <v>5</v>
      </c>
    </row>
    <row r="99" spans="2:15" ht="13.5" customHeight="1">
      <c r="B99" s="241">
        <v>2081</v>
      </c>
      <c r="C99" s="22"/>
      <c r="D99" s="242">
        <v>42.2</v>
      </c>
      <c r="E99" s="243">
        <v>45.56</v>
      </c>
      <c r="F99" s="250">
        <v>40.380000000000003</v>
      </c>
      <c r="G99" s="245">
        <v>14.86</v>
      </c>
      <c r="H99" s="246">
        <v>9.42</v>
      </c>
      <c r="I99" s="245">
        <v>69.87</v>
      </c>
      <c r="J99" s="245">
        <v>69.87</v>
      </c>
      <c r="K99" s="245">
        <v>13.43</v>
      </c>
      <c r="L99" s="246">
        <v>0</v>
      </c>
      <c r="M99" s="248">
        <v>20</v>
      </c>
      <c r="N99" s="248">
        <v>20</v>
      </c>
      <c r="O99" s="248">
        <v>5</v>
      </c>
    </row>
    <row r="100" spans="2:15" ht="13.5" customHeight="1">
      <c r="B100" s="241">
        <v>2082</v>
      </c>
      <c r="C100" s="22"/>
      <c r="D100" s="242">
        <v>42.2</v>
      </c>
      <c r="E100" s="243">
        <v>45.56</v>
      </c>
      <c r="F100" s="250">
        <v>40.380000000000003</v>
      </c>
      <c r="G100" s="245">
        <v>14.86</v>
      </c>
      <c r="H100" s="246">
        <v>9.42</v>
      </c>
      <c r="I100" s="245">
        <v>70.28</v>
      </c>
      <c r="J100" s="245">
        <v>70.28</v>
      </c>
      <c r="K100" s="245">
        <v>13.51</v>
      </c>
      <c r="L100" s="246">
        <v>0</v>
      </c>
      <c r="M100" s="248">
        <v>20</v>
      </c>
      <c r="N100" s="248">
        <v>20</v>
      </c>
      <c r="O100" s="248">
        <v>5</v>
      </c>
    </row>
    <row r="101" spans="2:15" ht="13.5" customHeight="1">
      <c r="B101" s="241">
        <v>2083</v>
      </c>
      <c r="C101" s="22"/>
      <c r="D101" s="242">
        <v>42.2</v>
      </c>
      <c r="E101" s="243">
        <v>45.56</v>
      </c>
      <c r="F101" s="250">
        <v>40.380000000000003</v>
      </c>
      <c r="G101" s="245">
        <v>14.86</v>
      </c>
      <c r="H101" s="246">
        <v>9.42</v>
      </c>
      <c r="I101" s="245">
        <v>70.69</v>
      </c>
      <c r="J101" s="245">
        <v>70.69</v>
      </c>
      <c r="K101" s="245">
        <v>13.59</v>
      </c>
      <c r="L101" s="246">
        <v>0</v>
      </c>
      <c r="M101" s="248">
        <v>20</v>
      </c>
      <c r="N101" s="248">
        <v>20</v>
      </c>
      <c r="O101" s="248">
        <v>5</v>
      </c>
    </row>
    <row r="102" spans="2:15" ht="13.5" customHeight="1">
      <c r="B102" s="241">
        <v>2084</v>
      </c>
      <c r="C102" s="22"/>
      <c r="D102" s="242">
        <v>42.2</v>
      </c>
      <c r="E102" s="243">
        <v>45.56</v>
      </c>
      <c r="F102" s="250">
        <v>40.380000000000003</v>
      </c>
      <c r="G102" s="245">
        <v>14.86</v>
      </c>
      <c r="H102" s="246">
        <v>9.42</v>
      </c>
      <c r="I102" s="245">
        <v>71.11</v>
      </c>
      <c r="J102" s="245">
        <v>71.11</v>
      </c>
      <c r="K102" s="245">
        <v>13.67</v>
      </c>
      <c r="L102" s="246">
        <v>0</v>
      </c>
      <c r="M102" s="248">
        <v>20</v>
      </c>
      <c r="N102" s="248">
        <v>20</v>
      </c>
      <c r="O102" s="248">
        <v>5</v>
      </c>
    </row>
    <row r="103" spans="2:15" ht="13.5" customHeight="1">
      <c r="B103" s="241">
        <v>2085</v>
      </c>
      <c r="C103" s="22"/>
      <c r="D103" s="242">
        <v>42.2</v>
      </c>
      <c r="E103" s="243">
        <v>45.56</v>
      </c>
      <c r="F103" s="250">
        <v>40.380000000000003</v>
      </c>
      <c r="G103" s="245">
        <v>14.86</v>
      </c>
      <c r="H103" s="246">
        <v>9.42</v>
      </c>
      <c r="I103" s="245">
        <v>71.52</v>
      </c>
      <c r="J103" s="245">
        <v>71.52</v>
      </c>
      <c r="K103" s="245">
        <v>13.75</v>
      </c>
      <c r="L103" s="246">
        <v>0</v>
      </c>
      <c r="M103" s="248">
        <v>20</v>
      </c>
      <c r="N103" s="248">
        <v>20</v>
      </c>
      <c r="O103" s="248">
        <v>5</v>
      </c>
    </row>
    <row r="104" spans="2:15" ht="13.5" customHeight="1">
      <c r="B104" s="241">
        <v>2086</v>
      </c>
      <c r="C104" s="22"/>
      <c r="D104" s="242">
        <v>42.2</v>
      </c>
      <c r="E104" s="243">
        <v>45.56</v>
      </c>
      <c r="F104" s="250">
        <v>40.380000000000003</v>
      </c>
      <c r="G104" s="245">
        <v>14.86</v>
      </c>
      <c r="H104" s="246">
        <v>9.42</v>
      </c>
      <c r="I104" s="245">
        <v>71.94</v>
      </c>
      <c r="J104" s="245">
        <v>71.94</v>
      </c>
      <c r="K104" s="245">
        <v>13.83</v>
      </c>
      <c r="L104" s="246">
        <v>0</v>
      </c>
      <c r="M104" s="248">
        <v>20</v>
      </c>
      <c r="N104" s="248">
        <v>20</v>
      </c>
      <c r="O104" s="248">
        <v>5</v>
      </c>
    </row>
    <row r="105" spans="2:15" ht="13.5" customHeight="1">
      <c r="B105" s="241">
        <v>2087</v>
      </c>
      <c r="C105" s="22"/>
      <c r="D105" s="242">
        <v>42.2</v>
      </c>
      <c r="E105" s="243">
        <v>45.56</v>
      </c>
      <c r="F105" s="250">
        <v>40.380000000000003</v>
      </c>
      <c r="G105" s="245">
        <v>14.86</v>
      </c>
      <c r="H105" s="246">
        <v>9.42</v>
      </c>
      <c r="I105" s="245">
        <v>72.36</v>
      </c>
      <c r="J105" s="245">
        <v>72.36</v>
      </c>
      <c r="K105" s="245">
        <v>13.91</v>
      </c>
      <c r="L105" s="246">
        <v>0</v>
      </c>
      <c r="M105" s="248">
        <v>20</v>
      </c>
      <c r="N105" s="248">
        <v>20</v>
      </c>
      <c r="O105" s="248">
        <v>5</v>
      </c>
    </row>
    <row r="106" spans="2:15" ht="13.5" customHeight="1">
      <c r="B106" s="241">
        <v>2088</v>
      </c>
      <c r="C106" s="22"/>
      <c r="D106" s="242">
        <v>42.2</v>
      </c>
      <c r="E106" s="243">
        <v>45.56</v>
      </c>
      <c r="F106" s="250">
        <v>40.380000000000003</v>
      </c>
      <c r="G106" s="245">
        <v>14.86</v>
      </c>
      <c r="H106" s="246">
        <v>9.42</v>
      </c>
      <c r="I106" s="245">
        <v>72.790000000000006</v>
      </c>
      <c r="J106" s="245">
        <v>72.790000000000006</v>
      </c>
      <c r="K106" s="245">
        <v>13.99</v>
      </c>
      <c r="L106" s="246">
        <v>0</v>
      </c>
      <c r="M106" s="248">
        <v>20</v>
      </c>
      <c r="N106" s="248">
        <v>20</v>
      </c>
      <c r="O106" s="248">
        <v>5</v>
      </c>
    </row>
    <row r="107" spans="2:15" ht="13.5" customHeight="1">
      <c r="B107" s="241">
        <v>2089</v>
      </c>
      <c r="C107" s="22"/>
      <c r="D107" s="242">
        <v>42.2</v>
      </c>
      <c r="E107" s="243">
        <v>45.56</v>
      </c>
      <c r="F107" s="250">
        <v>40.380000000000003</v>
      </c>
      <c r="G107" s="245">
        <v>14.86</v>
      </c>
      <c r="H107" s="246">
        <v>9.42</v>
      </c>
      <c r="I107" s="245">
        <v>73.22</v>
      </c>
      <c r="J107" s="245">
        <v>73.22</v>
      </c>
      <c r="K107" s="245">
        <v>14.07</v>
      </c>
      <c r="L107" s="246">
        <v>0</v>
      </c>
      <c r="M107" s="248">
        <v>20</v>
      </c>
      <c r="N107" s="248">
        <v>20</v>
      </c>
      <c r="O107" s="248">
        <v>5</v>
      </c>
    </row>
    <row r="108" spans="2:15" ht="13.5" customHeight="1">
      <c r="B108" s="241">
        <v>2090</v>
      </c>
      <c r="C108" s="22"/>
      <c r="D108" s="242">
        <v>42.2</v>
      </c>
      <c r="E108" s="243">
        <v>45.56</v>
      </c>
      <c r="F108" s="250">
        <v>40.380000000000003</v>
      </c>
      <c r="G108" s="245">
        <v>14.86</v>
      </c>
      <c r="H108" s="246">
        <v>9.42</v>
      </c>
      <c r="I108" s="245">
        <v>73.64</v>
      </c>
      <c r="J108" s="245">
        <v>73.64</v>
      </c>
      <c r="K108" s="245">
        <v>14.16</v>
      </c>
      <c r="L108" s="246">
        <v>0</v>
      </c>
      <c r="M108" s="248">
        <v>20</v>
      </c>
      <c r="N108" s="248">
        <v>20</v>
      </c>
      <c r="O108" s="248">
        <v>5</v>
      </c>
    </row>
    <row r="109" spans="2:15" ht="13.5" customHeight="1">
      <c r="B109" s="241">
        <v>2091</v>
      </c>
      <c r="C109" s="22"/>
      <c r="D109" s="242">
        <v>42.2</v>
      </c>
      <c r="E109" s="243">
        <v>45.56</v>
      </c>
      <c r="F109" s="250">
        <v>40.380000000000003</v>
      </c>
      <c r="G109" s="245">
        <v>14.86</v>
      </c>
      <c r="H109" s="246">
        <v>9.42</v>
      </c>
      <c r="I109" s="245">
        <v>74.08</v>
      </c>
      <c r="J109" s="245">
        <v>74.08</v>
      </c>
      <c r="K109" s="245">
        <v>14.24</v>
      </c>
      <c r="L109" s="246">
        <v>0</v>
      </c>
      <c r="M109" s="248">
        <v>20</v>
      </c>
      <c r="N109" s="248">
        <v>20</v>
      </c>
      <c r="O109" s="248">
        <v>5</v>
      </c>
    </row>
    <row r="110" spans="2:15" ht="13.5" customHeight="1">
      <c r="B110" s="241">
        <v>2092</v>
      </c>
      <c r="C110" s="22"/>
      <c r="D110" s="242">
        <v>42.2</v>
      </c>
      <c r="E110" s="243">
        <v>45.56</v>
      </c>
      <c r="F110" s="250">
        <v>40.380000000000003</v>
      </c>
      <c r="G110" s="245">
        <v>14.86</v>
      </c>
      <c r="H110" s="246">
        <v>9.42</v>
      </c>
      <c r="I110" s="245">
        <v>74.510000000000005</v>
      </c>
      <c r="J110" s="245">
        <v>74.510000000000005</v>
      </c>
      <c r="K110" s="245">
        <v>14.32</v>
      </c>
      <c r="L110" s="246">
        <v>0</v>
      </c>
      <c r="M110" s="248">
        <v>20</v>
      </c>
      <c r="N110" s="248">
        <v>20</v>
      </c>
      <c r="O110" s="248">
        <v>5</v>
      </c>
    </row>
    <row r="111" spans="2:15" ht="13.5" customHeight="1">
      <c r="B111" s="241">
        <v>2093</v>
      </c>
      <c r="C111" s="22"/>
      <c r="D111" s="242">
        <v>42.2</v>
      </c>
      <c r="E111" s="243">
        <v>45.56</v>
      </c>
      <c r="F111" s="250">
        <v>40.380000000000003</v>
      </c>
      <c r="G111" s="245">
        <v>14.86</v>
      </c>
      <c r="H111" s="246">
        <v>9.42</v>
      </c>
      <c r="I111" s="245">
        <v>74.95</v>
      </c>
      <c r="J111" s="245">
        <v>74.95</v>
      </c>
      <c r="K111" s="245">
        <v>14.41</v>
      </c>
      <c r="L111" s="246">
        <v>0</v>
      </c>
      <c r="M111" s="248">
        <v>20</v>
      </c>
      <c r="N111" s="248">
        <v>20</v>
      </c>
      <c r="O111" s="248">
        <v>5</v>
      </c>
    </row>
    <row r="112" spans="2:15" ht="13.5" customHeight="1">
      <c r="B112" s="241">
        <v>2094</v>
      </c>
      <c r="C112" s="22"/>
      <c r="D112" s="242">
        <v>42.2</v>
      </c>
      <c r="E112" s="243">
        <v>45.56</v>
      </c>
      <c r="F112" s="250">
        <v>40.380000000000003</v>
      </c>
      <c r="G112" s="245">
        <v>14.86</v>
      </c>
      <c r="H112" s="246">
        <v>9.42</v>
      </c>
      <c r="I112" s="245">
        <v>75.39</v>
      </c>
      <c r="J112" s="245">
        <v>75.39</v>
      </c>
      <c r="K112" s="245">
        <v>14.49</v>
      </c>
      <c r="L112" s="246">
        <v>0</v>
      </c>
      <c r="M112" s="248">
        <v>20</v>
      </c>
      <c r="N112" s="248">
        <v>20</v>
      </c>
      <c r="O112" s="248">
        <v>5</v>
      </c>
    </row>
    <row r="113" spans="1:15" ht="13.5" customHeight="1">
      <c r="B113" s="241">
        <v>2095</v>
      </c>
      <c r="C113" s="22"/>
      <c r="D113" s="242">
        <v>42.2</v>
      </c>
      <c r="E113" s="243">
        <v>45.56</v>
      </c>
      <c r="F113" s="250">
        <v>40.380000000000003</v>
      </c>
      <c r="G113" s="245">
        <v>14.86</v>
      </c>
      <c r="H113" s="246">
        <v>9.42</v>
      </c>
      <c r="I113" s="245">
        <v>75.83</v>
      </c>
      <c r="J113" s="245">
        <v>75.83</v>
      </c>
      <c r="K113" s="245">
        <v>14.58</v>
      </c>
      <c r="L113" s="246">
        <v>0</v>
      </c>
      <c r="M113" s="248">
        <v>20</v>
      </c>
      <c r="N113" s="248">
        <v>20</v>
      </c>
      <c r="O113" s="248">
        <v>5</v>
      </c>
    </row>
    <row r="114" spans="1:15" ht="13.5" customHeight="1">
      <c r="B114" s="241">
        <v>2096</v>
      </c>
      <c r="C114" s="22"/>
      <c r="D114" s="242">
        <v>42.2</v>
      </c>
      <c r="E114" s="243">
        <v>45.56</v>
      </c>
      <c r="F114" s="250">
        <v>40.380000000000003</v>
      </c>
      <c r="G114" s="245">
        <v>14.86</v>
      </c>
      <c r="H114" s="246">
        <v>9.42</v>
      </c>
      <c r="I114" s="245">
        <v>76.27</v>
      </c>
      <c r="J114" s="245">
        <v>76.27</v>
      </c>
      <c r="K114" s="245">
        <v>14.66</v>
      </c>
      <c r="L114" s="246">
        <v>0</v>
      </c>
      <c r="M114" s="248">
        <v>20</v>
      </c>
      <c r="N114" s="248">
        <v>20</v>
      </c>
      <c r="O114" s="248">
        <v>5</v>
      </c>
    </row>
    <row r="115" spans="1:15" ht="13.5" customHeight="1">
      <c r="B115" s="241">
        <v>2097</v>
      </c>
      <c r="C115" s="22"/>
      <c r="D115" s="242">
        <v>42.2</v>
      </c>
      <c r="E115" s="243">
        <v>45.56</v>
      </c>
      <c r="F115" s="250">
        <v>40.380000000000003</v>
      </c>
      <c r="G115" s="245">
        <v>14.86</v>
      </c>
      <c r="H115" s="246">
        <v>9.42</v>
      </c>
      <c r="I115" s="245">
        <v>76.72</v>
      </c>
      <c r="J115" s="245">
        <v>76.72</v>
      </c>
      <c r="K115" s="245">
        <v>14.75</v>
      </c>
      <c r="L115" s="246">
        <v>0</v>
      </c>
      <c r="M115" s="248">
        <v>20</v>
      </c>
      <c r="N115" s="248">
        <v>20</v>
      </c>
      <c r="O115" s="248">
        <v>5</v>
      </c>
    </row>
    <row r="116" spans="1:15" ht="13.5" customHeight="1">
      <c r="B116" s="241">
        <v>2098</v>
      </c>
      <c r="C116" s="22"/>
      <c r="D116" s="242">
        <v>42.2</v>
      </c>
      <c r="E116" s="243">
        <v>45.56</v>
      </c>
      <c r="F116" s="250">
        <v>40.380000000000003</v>
      </c>
      <c r="G116" s="245">
        <v>14.86</v>
      </c>
      <c r="H116" s="246">
        <v>9.42</v>
      </c>
      <c r="I116" s="245">
        <v>77.17</v>
      </c>
      <c r="J116" s="245">
        <v>77.17</v>
      </c>
      <c r="K116" s="245">
        <v>14.84</v>
      </c>
      <c r="L116" s="247">
        <v>0</v>
      </c>
      <c r="M116" s="248">
        <v>20</v>
      </c>
      <c r="N116" s="248">
        <v>20</v>
      </c>
      <c r="O116" s="248">
        <v>5</v>
      </c>
    </row>
    <row r="117" spans="1:15" ht="13.5" customHeight="1">
      <c r="B117" s="241">
        <v>2099</v>
      </c>
      <c r="C117" s="22"/>
      <c r="D117" s="242">
        <v>42.2</v>
      </c>
      <c r="E117" s="243">
        <v>45.56</v>
      </c>
      <c r="F117" s="250">
        <v>40.380000000000003</v>
      </c>
      <c r="G117" s="245">
        <v>14.86</v>
      </c>
      <c r="H117" s="246">
        <v>9.42</v>
      </c>
      <c r="I117" s="245">
        <v>77.62</v>
      </c>
      <c r="J117" s="245">
        <v>77.62</v>
      </c>
      <c r="K117" s="245">
        <v>14.92</v>
      </c>
      <c r="L117" s="247">
        <v>0</v>
      </c>
      <c r="M117" s="248">
        <v>20</v>
      </c>
      <c r="N117" s="248">
        <v>20</v>
      </c>
      <c r="O117" s="248">
        <v>5</v>
      </c>
    </row>
    <row r="118" spans="1:15" ht="13.5" customHeight="1">
      <c r="B118" s="241">
        <v>2100</v>
      </c>
      <c r="C118" s="22"/>
      <c r="D118" s="242">
        <v>42.2</v>
      </c>
      <c r="E118" s="243">
        <v>45.56</v>
      </c>
      <c r="F118" s="250">
        <v>40.380000000000003</v>
      </c>
      <c r="G118" s="245">
        <v>14.86</v>
      </c>
      <c r="H118" s="246">
        <v>9.42</v>
      </c>
      <c r="I118" s="245">
        <v>78.08</v>
      </c>
      <c r="J118" s="245">
        <v>78.08</v>
      </c>
      <c r="K118" s="245">
        <v>15.01</v>
      </c>
      <c r="L118" s="247">
        <v>0</v>
      </c>
      <c r="M118" s="248">
        <v>20</v>
      </c>
      <c r="N118" s="248">
        <v>20</v>
      </c>
      <c r="O118" s="248">
        <v>5</v>
      </c>
    </row>
    <row r="119" spans="1:15" ht="13.5" customHeight="1" thickBot="1">
      <c r="A119" s="55"/>
      <c r="B119" s="251"/>
      <c r="C119" s="58"/>
      <c r="D119" s="252"/>
      <c r="E119" s="253"/>
      <c r="F119" s="254"/>
      <c r="G119" s="255"/>
      <c r="H119" s="256"/>
      <c r="I119" s="257"/>
      <c r="J119" s="254"/>
      <c r="K119" s="254"/>
      <c r="L119" s="258"/>
      <c r="M119" s="253"/>
      <c r="N119" s="254"/>
      <c r="O119" s="258"/>
    </row>
    <row r="120" spans="1:15" ht="13.5" customHeight="1" thickTop="1" thickBot="1"/>
    <row r="121" spans="1:15" ht="13.5" customHeight="1" thickBot="1">
      <c r="B121" s="976"/>
      <c r="D121" s="204" t="s">
        <v>479</v>
      </c>
    </row>
  </sheetData>
  <mergeCells count="7">
    <mergeCell ref="B24:B27"/>
    <mergeCell ref="A7:B7"/>
    <mergeCell ref="A8:B8"/>
    <mergeCell ref="A10:B10"/>
    <mergeCell ref="A11:B11"/>
    <mergeCell ref="A12:B12"/>
    <mergeCell ref="A18:B18"/>
  </mergeCells>
  <hyperlinks>
    <hyperlink ref="A11" location="Contents!A1" display="Contents" xr:uid="{00000000-0004-0000-1500-000000000000}"/>
    <hyperlink ref="A11:B11" r:id="rId1" display="WebTAG Unit 3.5.6" xr:uid="{00000000-0004-0000-1500-000001000000}"/>
    <hyperlink ref="A10" location="Contents!A1" display="Contents" xr:uid="{00000000-0004-0000-1500-000002000000}"/>
    <hyperlink ref="A10:B10" location="Contents!A1" tooltip="Contents page" display="Contents" xr:uid="{00000000-0004-0000-1500-000003000000}"/>
    <hyperlink ref="A12:B12" r:id="rId2" tooltip="Unit A1.3 User &amp; Provider Impacts" display="WebTAG Unit A 1.3" xr:uid="{00000000-0004-0000-1500-000004000000}"/>
    <hyperlink ref="D121" location="A1.3.7!D28" tooltip="Top of this page" display="Top" xr:uid="{00000000-0004-0000-1500-000005000000}"/>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6"/>
  </sheetPr>
  <dimension ref="A1:Z73"/>
  <sheetViews>
    <sheetView zoomScale="70" zoomScaleNormal="70" workbookViewId="0">
      <selection activeCell="D26" sqref="D26:O72"/>
    </sheetView>
  </sheetViews>
  <sheetFormatPr defaultColWidth="12.81640625" defaultRowHeight="13.5" customHeight="1"/>
  <cols>
    <col min="1" max="16384" width="12.81640625" style="5"/>
  </cols>
  <sheetData>
    <row r="1" spans="1:20" ht="55" customHeight="1">
      <c r="A1" s="4"/>
      <c r="B1" s="4"/>
    </row>
    <row r="2" spans="1:20" s="7" customFormat="1" ht="5.15" customHeight="1"/>
    <row r="3" spans="1:20" s="7" customFormat="1" ht="20.149999999999999" customHeight="1">
      <c r="A3" s="7" t="s">
        <v>638</v>
      </c>
      <c r="D3" s="10"/>
      <c r="F3" s="11"/>
      <c r="P3" s="9"/>
    </row>
    <row r="4" spans="1:20" ht="20.149999999999999" customHeight="1" thickBot="1">
      <c r="A4" s="59" t="s">
        <v>193</v>
      </c>
      <c r="B4" s="61"/>
      <c r="C4" s="15"/>
      <c r="D4" s="15"/>
      <c r="E4" s="15"/>
      <c r="F4" s="61"/>
      <c r="G4" s="15"/>
      <c r="H4" s="15"/>
      <c r="I4" s="15"/>
      <c r="J4" s="15"/>
      <c r="K4" s="15"/>
      <c r="L4" s="15"/>
      <c r="M4" s="15"/>
      <c r="N4" s="15"/>
      <c r="O4" s="15"/>
      <c r="P4" s="15"/>
      <c r="Q4" s="15"/>
      <c r="R4" s="15"/>
      <c r="S4" s="15"/>
      <c r="T4" s="15"/>
    </row>
    <row r="5" spans="1:20" ht="10" customHeight="1" thickTop="1" thickBot="1">
      <c r="A5" s="4"/>
      <c r="B5" s="4"/>
      <c r="F5" s="4"/>
    </row>
    <row r="6" spans="1:20" ht="13.5" customHeight="1" thickTop="1">
      <c r="A6" s="20" t="s">
        <v>430</v>
      </c>
      <c r="B6" s="20"/>
      <c r="E6" s="1167" t="s">
        <v>142</v>
      </c>
      <c r="F6" s="1181"/>
      <c r="G6" s="1181"/>
      <c r="H6" s="1181"/>
      <c r="I6" s="1181"/>
      <c r="J6" s="1181"/>
      <c r="K6" s="1181"/>
      <c r="L6" s="1181"/>
      <c r="M6" s="1181"/>
      <c r="N6" s="1181"/>
      <c r="O6" s="1181"/>
      <c r="P6" s="1181"/>
      <c r="Q6" s="1181"/>
      <c r="R6" s="1181"/>
      <c r="S6" s="1181"/>
      <c r="T6" s="1182"/>
    </row>
    <row r="7" spans="1:20" ht="13.5" customHeight="1">
      <c r="A7" s="1183" t="s">
        <v>584</v>
      </c>
      <c r="B7" s="1184"/>
      <c r="D7" s="22"/>
      <c r="E7" s="4" t="s">
        <v>639</v>
      </c>
      <c r="F7" s="5" t="s">
        <v>640</v>
      </c>
      <c r="J7" s="26"/>
      <c r="T7" s="22"/>
    </row>
    <row r="8" spans="1:20" ht="13.5" customHeight="1">
      <c r="A8" s="1187">
        <v>44682</v>
      </c>
      <c r="B8" s="1188"/>
      <c r="C8" s="18"/>
      <c r="D8" s="34"/>
      <c r="E8" s="23"/>
      <c r="F8" s="24"/>
      <c r="T8" s="22"/>
    </row>
    <row r="9" spans="1:20" ht="13.5" customHeight="1" thickBot="1">
      <c r="A9" s="20" t="s">
        <v>435</v>
      </c>
      <c r="B9" s="25"/>
      <c r="D9" s="34"/>
      <c r="E9" s="21" t="s">
        <v>618</v>
      </c>
      <c r="F9" s="5" t="s">
        <v>641</v>
      </c>
      <c r="R9" s="26"/>
      <c r="S9" s="22"/>
      <c r="T9" s="22"/>
    </row>
    <row r="10" spans="1:20" ht="13.5" customHeight="1" thickBot="1">
      <c r="A10" s="1176" t="s">
        <v>438</v>
      </c>
      <c r="B10" s="1185"/>
      <c r="D10" s="34"/>
      <c r="E10" s="23"/>
      <c r="F10" s="5" t="s">
        <v>642</v>
      </c>
      <c r="G10" s="26"/>
      <c r="H10" s="26"/>
      <c r="I10" s="26"/>
      <c r="J10" s="26"/>
      <c r="K10" s="26"/>
      <c r="L10" s="26"/>
      <c r="M10" s="26"/>
      <c r="N10" s="26"/>
      <c r="O10" s="26"/>
      <c r="P10" s="982" t="s">
        <v>643</v>
      </c>
      <c r="Q10" s="26"/>
      <c r="S10" s="22"/>
      <c r="T10" s="22"/>
    </row>
    <row r="11" spans="1:20" ht="13.5" customHeight="1" thickBot="1">
      <c r="A11" s="1176" t="s">
        <v>440</v>
      </c>
      <c r="B11" s="1186"/>
      <c r="D11" s="34"/>
      <c r="E11" s="63"/>
      <c r="F11" s="5" t="s">
        <v>644</v>
      </c>
      <c r="H11" s="26"/>
      <c r="I11" s="26"/>
      <c r="S11" s="27"/>
      <c r="T11" s="27"/>
    </row>
    <row r="12" spans="1:20" ht="13.5" customHeight="1" thickBot="1">
      <c r="A12" s="1176" t="s">
        <v>441</v>
      </c>
      <c r="B12" s="1186"/>
      <c r="D12" s="34"/>
      <c r="E12" s="23"/>
      <c r="F12" s="5" t="s">
        <v>645</v>
      </c>
      <c r="H12" s="459"/>
      <c r="I12" s="459"/>
      <c r="S12" s="22"/>
      <c r="T12" s="22"/>
    </row>
    <row r="13" spans="1:20" ht="13.5" customHeight="1">
      <c r="A13" s="20" t="s">
        <v>444</v>
      </c>
      <c r="B13" s="28"/>
      <c r="C13" s="18"/>
      <c r="D13" s="34"/>
      <c r="E13" s="23"/>
      <c r="F13" s="5" t="s">
        <v>646</v>
      </c>
      <c r="S13" s="22"/>
      <c r="T13" s="22"/>
    </row>
    <row r="14" spans="1:20" ht="13.5" customHeight="1">
      <c r="B14" s="29"/>
      <c r="C14" s="18"/>
      <c r="D14" s="34"/>
      <c r="E14" s="23"/>
      <c r="F14" s="5" t="s">
        <v>647</v>
      </c>
      <c r="S14" s="22"/>
      <c r="T14" s="22"/>
    </row>
    <row r="15" spans="1:20" ht="13.5" customHeight="1">
      <c r="A15" s="30"/>
      <c r="B15" s="31"/>
      <c r="C15" s="18"/>
      <c r="D15" s="34"/>
      <c r="E15" s="33"/>
      <c r="F15" s="459" t="s">
        <v>648</v>
      </c>
      <c r="S15" s="22"/>
      <c r="T15" s="22"/>
    </row>
    <row r="16" spans="1:20" ht="13.5" customHeight="1">
      <c r="A16" s="5" t="s">
        <v>548</v>
      </c>
      <c r="B16" s="64">
        <v>2010</v>
      </c>
      <c r="C16" s="18"/>
      <c r="D16" s="34"/>
      <c r="E16" s="23"/>
      <c r="F16" s="459"/>
      <c r="S16" s="22"/>
      <c r="T16" s="22"/>
    </row>
    <row r="17" spans="1:26" ht="13.5" customHeight="1">
      <c r="A17" s="20" t="s">
        <v>451</v>
      </c>
      <c r="B17" s="25"/>
      <c r="C17" s="18"/>
      <c r="D17" s="34"/>
      <c r="E17" s="23"/>
      <c r="G17" s="459"/>
      <c r="H17" s="459"/>
      <c r="I17" s="459"/>
      <c r="Q17" s="982" t="s">
        <v>649</v>
      </c>
      <c r="S17" s="22"/>
      <c r="T17" s="22"/>
    </row>
    <row r="18" spans="1:26" ht="13.5" customHeight="1">
      <c r="A18" s="1207"/>
      <c r="B18" s="1207"/>
      <c r="C18" s="18"/>
      <c r="D18" s="34"/>
      <c r="S18" s="22"/>
      <c r="T18" s="22"/>
    </row>
    <row r="19" spans="1:26" ht="13.5" customHeight="1">
      <c r="A19" s="1178"/>
      <c r="B19" s="1178"/>
      <c r="C19" s="18"/>
      <c r="D19" s="34"/>
      <c r="E19" s="459" t="s">
        <v>650</v>
      </c>
      <c r="F19" s="459"/>
      <c r="G19" s="459"/>
      <c r="H19" s="459"/>
      <c r="I19" s="459"/>
      <c r="T19" s="22"/>
    </row>
    <row r="20" spans="1:26" ht="13.5" customHeight="1" thickBot="1">
      <c r="A20" s="1178"/>
      <c r="B20" s="1178"/>
      <c r="C20" s="18"/>
      <c r="D20" s="34"/>
      <c r="E20" s="35" t="s">
        <v>651</v>
      </c>
      <c r="F20" s="36"/>
      <c r="G20" s="36"/>
      <c r="H20" s="36"/>
      <c r="I20" s="36"/>
      <c r="J20" s="36"/>
      <c r="K20" s="36"/>
      <c r="L20" s="36"/>
      <c r="M20" s="36"/>
      <c r="N20" s="36"/>
      <c r="O20" s="36"/>
      <c r="P20" s="36"/>
      <c r="Q20" s="36"/>
      <c r="R20" s="36"/>
      <c r="S20" s="36"/>
      <c r="T20" s="37"/>
    </row>
    <row r="21" spans="1:26" ht="13.5" customHeight="1" thickTop="1">
      <c r="A21" s="460"/>
      <c r="B21" s="461"/>
      <c r="F21" s="4"/>
    </row>
    <row r="22" spans="1:26" ht="13.5" customHeight="1" thickBot="1">
      <c r="A22" s="30"/>
      <c r="F22" s="976"/>
      <c r="G22" s="40"/>
      <c r="H22" s="40"/>
      <c r="I22" s="40"/>
      <c r="J22" s="40"/>
      <c r="K22" s="18"/>
      <c r="L22" s="18"/>
      <c r="M22" s="18"/>
      <c r="N22" s="18"/>
      <c r="O22" s="18"/>
    </row>
    <row r="23" spans="1:26" ht="13.5" customHeight="1" thickTop="1" thickBot="1">
      <c r="A23" s="1077" t="s">
        <v>652</v>
      </c>
      <c r="B23" s="43"/>
      <c r="C23" s="212"/>
      <c r="D23" s="211" t="s">
        <v>653</v>
      </c>
      <c r="E23" s="43"/>
      <c r="F23" s="43"/>
      <c r="G23" s="212"/>
      <c r="H23" s="212"/>
      <c r="I23" s="462"/>
      <c r="J23" s="463"/>
      <c r="K23" s="43"/>
      <c r="L23" s="43"/>
      <c r="M23" s="43"/>
      <c r="N23" s="43"/>
      <c r="O23" s="212"/>
    </row>
    <row r="24" spans="1:26" ht="13.5" customHeight="1" thickTop="1" thickBot="1">
      <c r="A24" s="302"/>
      <c r="B24" s="464"/>
      <c r="C24" s="70"/>
      <c r="D24" s="45" t="s">
        <v>87</v>
      </c>
      <c r="E24" s="71"/>
      <c r="F24" s="72"/>
      <c r="G24" s="45" t="s">
        <v>89</v>
      </c>
      <c r="H24" s="72"/>
      <c r="I24" s="72"/>
      <c r="J24" s="465" t="s">
        <v>572</v>
      </c>
      <c r="K24" s="45"/>
      <c r="L24" s="465" t="s">
        <v>573</v>
      </c>
      <c r="M24" s="465"/>
      <c r="N24" s="92" t="s">
        <v>93</v>
      </c>
      <c r="O24" s="466"/>
    </row>
    <row r="25" spans="1:26" ht="13.5" customHeight="1" thickTop="1" thickBot="1">
      <c r="A25" s="387"/>
      <c r="B25" s="467" t="s">
        <v>474</v>
      </c>
      <c r="C25" s="88"/>
      <c r="D25" s="468" t="s">
        <v>630</v>
      </c>
      <c r="E25" s="469" t="s">
        <v>631</v>
      </c>
      <c r="F25" s="470" t="s">
        <v>654</v>
      </c>
      <c r="G25" s="468" t="s">
        <v>630</v>
      </c>
      <c r="H25" s="469" t="s">
        <v>631</v>
      </c>
      <c r="I25" s="1074" t="s">
        <v>654</v>
      </c>
      <c r="J25" s="471" t="s">
        <v>631</v>
      </c>
      <c r="K25" s="1073" t="s">
        <v>654</v>
      </c>
      <c r="L25" s="472" t="s">
        <v>631</v>
      </c>
      <c r="M25" s="473" t="s">
        <v>654</v>
      </c>
      <c r="N25" s="471" t="s">
        <v>631</v>
      </c>
      <c r="O25" s="470" t="s">
        <v>654</v>
      </c>
    </row>
    <row r="26" spans="1:26" ht="13.5" customHeight="1" thickTop="1" thickBot="1">
      <c r="A26" s="474"/>
      <c r="B26" s="475">
        <v>2004</v>
      </c>
      <c r="C26" s="476"/>
      <c r="D26" s="477">
        <v>0.73</v>
      </c>
      <c r="E26" s="477">
        <v>0.27</v>
      </c>
      <c r="F26" s="478">
        <v>0</v>
      </c>
      <c r="G26" s="479">
        <v>0.08</v>
      </c>
      <c r="H26" s="480">
        <v>0.92</v>
      </c>
      <c r="I26" s="481">
        <v>0</v>
      </c>
      <c r="J26" s="479">
        <v>1</v>
      </c>
      <c r="K26" s="481">
        <v>0</v>
      </c>
      <c r="L26" s="479">
        <v>1</v>
      </c>
      <c r="M26" s="481">
        <v>0</v>
      </c>
      <c r="N26" s="479">
        <v>1</v>
      </c>
      <c r="O26" s="481">
        <v>0</v>
      </c>
    </row>
    <row r="27" spans="1:26" ht="13.5" customHeight="1">
      <c r="A27" s="23"/>
      <c r="B27" s="198">
        <v>2005</v>
      </c>
      <c r="C27" s="22"/>
      <c r="D27" s="482">
        <v>0.71</v>
      </c>
      <c r="E27" s="482">
        <v>0.28999999999999998</v>
      </c>
      <c r="F27" s="483">
        <v>0</v>
      </c>
      <c r="G27" s="484">
        <v>7.0000000000000007E-2</v>
      </c>
      <c r="H27" s="482">
        <v>0.93</v>
      </c>
      <c r="I27" s="485">
        <v>0</v>
      </c>
      <c r="J27" s="484">
        <v>1</v>
      </c>
      <c r="K27" s="485">
        <v>0</v>
      </c>
      <c r="L27" s="484">
        <v>1</v>
      </c>
      <c r="M27" s="485">
        <v>0</v>
      </c>
      <c r="N27" s="484">
        <v>1</v>
      </c>
      <c r="O27" s="485">
        <v>0</v>
      </c>
      <c r="U27" s="486"/>
      <c r="V27" s="486"/>
      <c r="W27" s="486"/>
      <c r="X27" s="486"/>
      <c r="Y27" s="486"/>
      <c r="Z27" s="486"/>
    </row>
    <row r="28" spans="1:26" ht="13.5" customHeight="1">
      <c r="A28" s="23"/>
      <c r="B28" s="198">
        <v>2006</v>
      </c>
      <c r="C28" s="22"/>
      <c r="D28" s="482">
        <v>0.68</v>
      </c>
      <c r="E28" s="482">
        <v>0.32</v>
      </c>
      <c r="F28" s="483">
        <v>0</v>
      </c>
      <c r="G28" s="484">
        <v>0.06</v>
      </c>
      <c r="H28" s="482">
        <v>0.94</v>
      </c>
      <c r="I28" s="485">
        <v>0</v>
      </c>
      <c r="J28" s="484">
        <v>1</v>
      </c>
      <c r="K28" s="485">
        <v>0</v>
      </c>
      <c r="L28" s="484">
        <v>1</v>
      </c>
      <c r="M28" s="485">
        <v>0</v>
      </c>
      <c r="N28" s="484">
        <v>1</v>
      </c>
      <c r="O28" s="485">
        <v>0</v>
      </c>
      <c r="U28" s="486"/>
      <c r="V28" s="486"/>
      <c r="W28" s="486"/>
      <c r="X28" s="486"/>
      <c r="Y28" s="486"/>
      <c r="Z28" s="486"/>
    </row>
    <row r="29" spans="1:26" ht="13.5" customHeight="1">
      <c r="A29" s="23"/>
      <c r="B29" s="198">
        <v>2007</v>
      </c>
      <c r="C29" s="22"/>
      <c r="D29" s="482">
        <v>0.66</v>
      </c>
      <c r="E29" s="482">
        <v>0.34</v>
      </c>
      <c r="F29" s="483">
        <v>0</v>
      </c>
      <c r="G29" s="484">
        <v>0.05</v>
      </c>
      <c r="H29" s="482">
        <v>0.95</v>
      </c>
      <c r="I29" s="485">
        <v>0</v>
      </c>
      <c r="J29" s="484">
        <v>1</v>
      </c>
      <c r="K29" s="485">
        <v>0</v>
      </c>
      <c r="L29" s="484">
        <v>1</v>
      </c>
      <c r="M29" s="485">
        <v>0</v>
      </c>
      <c r="N29" s="484">
        <v>1</v>
      </c>
      <c r="O29" s="485">
        <v>0</v>
      </c>
      <c r="U29" s="459"/>
      <c r="V29" s="459"/>
    </row>
    <row r="30" spans="1:26" ht="13.5" customHeight="1">
      <c r="A30" s="23"/>
      <c r="B30" s="198">
        <v>2008</v>
      </c>
      <c r="C30" s="22"/>
      <c r="D30" s="482">
        <v>0.64</v>
      </c>
      <c r="E30" s="482">
        <v>0.36</v>
      </c>
      <c r="F30" s="483">
        <v>0</v>
      </c>
      <c r="G30" s="484">
        <v>0.04</v>
      </c>
      <c r="H30" s="482">
        <v>0.96</v>
      </c>
      <c r="I30" s="485">
        <v>0</v>
      </c>
      <c r="J30" s="484">
        <v>1</v>
      </c>
      <c r="K30" s="485">
        <v>0</v>
      </c>
      <c r="L30" s="484">
        <v>1</v>
      </c>
      <c r="M30" s="485">
        <v>0</v>
      </c>
      <c r="N30" s="484">
        <v>1</v>
      </c>
      <c r="O30" s="485">
        <v>0</v>
      </c>
      <c r="U30" s="459"/>
      <c r="V30" s="459"/>
    </row>
    <row r="31" spans="1:26" ht="13.5" customHeight="1">
      <c r="A31" s="23"/>
      <c r="B31" s="198">
        <v>2009</v>
      </c>
      <c r="C31" s="22"/>
      <c r="D31" s="482">
        <v>0.62</v>
      </c>
      <c r="E31" s="482">
        <v>0.38</v>
      </c>
      <c r="F31" s="483">
        <v>0</v>
      </c>
      <c r="G31" s="484">
        <v>0.04</v>
      </c>
      <c r="H31" s="482">
        <v>0.96</v>
      </c>
      <c r="I31" s="485">
        <v>0</v>
      </c>
      <c r="J31" s="484">
        <v>1</v>
      </c>
      <c r="K31" s="485">
        <v>0</v>
      </c>
      <c r="L31" s="484">
        <v>1</v>
      </c>
      <c r="M31" s="485">
        <v>0</v>
      </c>
      <c r="N31" s="484">
        <v>1</v>
      </c>
      <c r="O31" s="485">
        <v>0</v>
      </c>
      <c r="U31" s="459"/>
      <c r="V31" s="459"/>
    </row>
    <row r="32" spans="1:26" ht="13.5" customHeight="1">
      <c r="A32" s="23"/>
      <c r="B32" s="198">
        <v>2010</v>
      </c>
      <c r="C32" s="22"/>
      <c r="D32" s="482">
        <v>0.6</v>
      </c>
      <c r="E32" s="482">
        <v>0.4</v>
      </c>
      <c r="F32" s="483">
        <v>0</v>
      </c>
      <c r="G32" s="484">
        <v>0.03</v>
      </c>
      <c r="H32" s="482">
        <v>0.96</v>
      </c>
      <c r="I32" s="485">
        <v>0</v>
      </c>
      <c r="J32" s="484">
        <v>1</v>
      </c>
      <c r="K32" s="485">
        <v>0</v>
      </c>
      <c r="L32" s="484">
        <v>1</v>
      </c>
      <c r="M32" s="485">
        <v>0</v>
      </c>
      <c r="N32" s="484">
        <v>1</v>
      </c>
      <c r="O32" s="485">
        <v>0</v>
      </c>
      <c r="U32" s="459"/>
      <c r="V32" s="459"/>
    </row>
    <row r="33" spans="1:22" ht="13.5" customHeight="1">
      <c r="A33" s="23"/>
      <c r="B33" s="198">
        <v>2011</v>
      </c>
      <c r="C33" s="22"/>
      <c r="D33" s="482">
        <v>0.57999999999999996</v>
      </c>
      <c r="E33" s="482">
        <v>0.42</v>
      </c>
      <c r="F33" s="483">
        <v>0</v>
      </c>
      <c r="G33" s="484">
        <v>0.03</v>
      </c>
      <c r="H33" s="482">
        <v>0.97</v>
      </c>
      <c r="I33" s="485">
        <v>0</v>
      </c>
      <c r="J33" s="484">
        <v>1</v>
      </c>
      <c r="K33" s="485">
        <v>0</v>
      </c>
      <c r="L33" s="484">
        <v>1</v>
      </c>
      <c r="M33" s="485">
        <v>0</v>
      </c>
      <c r="N33" s="484">
        <v>1</v>
      </c>
      <c r="O33" s="485">
        <v>0</v>
      </c>
      <c r="U33" s="459"/>
      <c r="V33" s="459"/>
    </row>
    <row r="34" spans="1:22" ht="13.5" customHeight="1">
      <c r="A34" s="23"/>
      <c r="B34" s="198">
        <v>2012</v>
      </c>
      <c r="C34" s="22"/>
      <c r="D34" s="482">
        <v>0.55000000000000004</v>
      </c>
      <c r="E34" s="482">
        <v>0.45</v>
      </c>
      <c r="F34" s="483">
        <v>0</v>
      </c>
      <c r="G34" s="484">
        <v>0.03</v>
      </c>
      <c r="H34" s="482">
        <v>0.97</v>
      </c>
      <c r="I34" s="485">
        <v>0</v>
      </c>
      <c r="J34" s="484">
        <v>1</v>
      </c>
      <c r="K34" s="485">
        <v>0</v>
      </c>
      <c r="L34" s="484">
        <v>1</v>
      </c>
      <c r="M34" s="485">
        <v>0</v>
      </c>
      <c r="N34" s="484">
        <v>1</v>
      </c>
      <c r="O34" s="485">
        <v>0</v>
      </c>
      <c r="P34" s="487"/>
      <c r="Q34" s="459"/>
      <c r="R34" s="459"/>
      <c r="S34" s="459"/>
      <c r="T34" s="459"/>
      <c r="U34" s="459"/>
      <c r="V34" s="459"/>
    </row>
    <row r="35" spans="1:22" ht="13.5" customHeight="1">
      <c r="A35" s="23"/>
      <c r="B35" s="198">
        <v>2013</v>
      </c>
      <c r="C35" s="22"/>
      <c r="D35" s="482">
        <v>0.53</v>
      </c>
      <c r="E35" s="482">
        <v>0.47</v>
      </c>
      <c r="F35" s="483">
        <v>0</v>
      </c>
      <c r="G35" s="484">
        <v>0.03</v>
      </c>
      <c r="H35" s="482">
        <v>0.97</v>
      </c>
      <c r="I35" s="485">
        <v>0</v>
      </c>
      <c r="J35" s="484">
        <v>1</v>
      </c>
      <c r="K35" s="485">
        <v>0</v>
      </c>
      <c r="L35" s="484">
        <v>1</v>
      </c>
      <c r="M35" s="485">
        <v>0</v>
      </c>
      <c r="N35" s="484">
        <v>1</v>
      </c>
      <c r="O35" s="485">
        <v>0</v>
      </c>
      <c r="P35" s="487"/>
      <c r="Q35" s="459"/>
      <c r="R35" s="459"/>
      <c r="S35" s="459"/>
      <c r="T35" s="459"/>
      <c r="U35" s="459"/>
      <c r="V35" s="459"/>
    </row>
    <row r="36" spans="1:22" ht="13.5" customHeight="1">
      <c r="A36" s="23"/>
      <c r="B36" s="198">
        <v>2014</v>
      </c>
      <c r="C36" s="22"/>
      <c r="D36" s="482">
        <v>0.51</v>
      </c>
      <c r="E36" s="482">
        <v>0.48</v>
      </c>
      <c r="F36" s="483">
        <v>0</v>
      </c>
      <c r="G36" s="484">
        <v>0.02</v>
      </c>
      <c r="H36" s="482">
        <v>0.97</v>
      </c>
      <c r="I36" s="485">
        <v>0</v>
      </c>
      <c r="J36" s="484">
        <v>1</v>
      </c>
      <c r="K36" s="485">
        <v>0</v>
      </c>
      <c r="L36" s="484">
        <v>1</v>
      </c>
      <c r="M36" s="485">
        <v>0</v>
      </c>
      <c r="N36" s="484">
        <v>1</v>
      </c>
      <c r="O36" s="485">
        <v>0</v>
      </c>
      <c r="P36" s="487"/>
      <c r="Q36" s="459"/>
      <c r="R36" s="459"/>
      <c r="S36" s="459"/>
      <c r="T36" s="459"/>
      <c r="U36" s="459"/>
      <c r="V36" s="459"/>
    </row>
    <row r="37" spans="1:22" ht="13.5" customHeight="1">
      <c r="A37" s="23"/>
      <c r="B37" s="198">
        <v>2015</v>
      </c>
      <c r="C37" s="22"/>
      <c r="D37" s="482">
        <v>0.5</v>
      </c>
      <c r="E37" s="482">
        <v>0.5</v>
      </c>
      <c r="F37" s="483">
        <v>0</v>
      </c>
      <c r="G37" s="484">
        <v>0.02</v>
      </c>
      <c r="H37" s="482">
        <v>0.98</v>
      </c>
      <c r="I37" s="485">
        <v>0</v>
      </c>
      <c r="J37" s="484">
        <v>1</v>
      </c>
      <c r="K37" s="485">
        <v>0</v>
      </c>
      <c r="L37" s="484">
        <v>1</v>
      </c>
      <c r="M37" s="485">
        <v>0</v>
      </c>
      <c r="N37" s="484">
        <v>1</v>
      </c>
      <c r="O37" s="485">
        <v>0</v>
      </c>
      <c r="P37" s="487"/>
      <c r="Q37" s="459"/>
      <c r="R37" s="459"/>
      <c r="S37" s="459"/>
      <c r="T37" s="459"/>
      <c r="U37" s="459"/>
      <c r="V37" s="459"/>
    </row>
    <row r="38" spans="1:22" ht="13.5" customHeight="1">
      <c r="A38" s="23"/>
      <c r="B38" s="198">
        <v>2016</v>
      </c>
      <c r="C38" s="22"/>
      <c r="D38" s="482">
        <v>0.48</v>
      </c>
      <c r="E38" s="482">
        <v>0.51</v>
      </c>
      <c r="F38" s="483">
        <v>0</v>
      </c>
      <c r="G38" s="484">
        <v>0.02</v>
      </c>
      <c r="H38" s="482">
        <v>0.98</v>
      </c>
      <c r="I38" s="485">
        <v>0</v>
      </c>
      <c r="J38" s="484">
        <v>1</v>
      </c>
      <c r="K38" s="485">
        <v>0</v>
      </c>
      <c r="L38" s="484">
        <v>1</v>
      </c>
      <c r="M38" s="485">
        <v>0</v>
      </c>
      <c r="N38" s="484">
        <v>1</v>
      </c>
      <c r="O38" s="485">
        <v>0</v>
      </c>
      <c r="P38" s="487"/>
      <c r="Q38" s="459"/>
      <c r="R38" s="459"/>
      <c r="S38" s="459"/>
      <c r="T38" s="459"/>
      <c r="U38" s="459"/>
      <c r="V38" s="459"/>
    </row>
    <row r="39" spans="1:22" ht="13.5" customHeight="1">
      <c r="A39" s="23"/>
      <c r="B39" s="198">
        <v>2017</v>
      </c>
      <c r="C39" s="22"/>
      <c r="D39" s="482">
        <v>0.48</v>
      </c>
      <c r="E39" s="482">
        <v>0.52</v>
      </c>
      <c r="F39" s="483">
        <v>0</v>
      </c>
      <c r="G39" s="484">
        <v>0.02</v>
      </c>
      <c r="H39" s="482">
        <v>0.98</v>
      </c>
      <c r="I39" s="485">
        <v>0</v>
      </c>
      <c r="J39" s="484">
        <v>1</v>
      </c>
      <c r="K39" s="485">
        <v>0</v>
      </c>
      <c r="L39" s="484">
        <v>1</v>
      </c>
      <c r="M39" s="485">
        <v>0</v>
      </c>
      <c r="N39" s="484">
        <v>1</v>
      </c>
      <c r="O39" s="485">
        <v>0</v>
      </c>
      <c r="P39" s="487"/>
      <c r="Q39" s="459"/>
      <c r="R39" s="459"/>
      <c r="S39" s="459"/>
      <c r="T39" s="459"/>
      <c r="U39" s="459"/>
      <c r="V39" s="459"/>
    </row>
    <row r="40" spans="1:22" ht="13.5" customHeight="1">
      <c r="A40" s="23"/>
      <c r="B40" s="198">
        <v>2018</v>
      </c>
      <c r="C40" s="22"/>
      <c r="D40" s="482">
        <v>0.49</v>
      </c>
      <c r="E40" s="482">
        <v>0.51</v>
      </c>
      <c r="F40" s="483">
        <v>0.01</v>
      </c>
      <c r="G40" s="484">
        <v>0.02</v>
      </c>
      <c r="H40" s="482">
        <v>0.98</v>
      </c>
      <c r="I40" s="485">
        <v>0</v>
      </c>
      <c r="J40" s="484">
        <v>1</v>
      </c>
      <c r="K40" s="485">
        <v>0</v>
      </c>
      <c r="L40" s="484">
        <v>1</v>
      </c>
      <c r="M40" s="485">
        <v>0</v>
      </c>
      <c r="N40" s="484">
        <v>1</v>
      </c>
      <c r="O40" s="485">
        <v>0</v>
      </c>
      <c r="P40" s="487"/>
      <c r="Q40" s="459"/>
      <c r="R40" s="459"/>
      <c r="S40" s="459"/>
      <c r="T40" s="459"/>
      <c r="U40" s="459"/>
      <c r="V40" s="459"/>
    </row>
    <row r="41" spans="1:22" ht="13.5" customHeight="1">
      <c r="A41" s="23"/>
      <c r="B41" s="198">
        <v>2019</v>
      </c>
      <c r="C41" s="22"/>
      <c r="D41" s="482">
        <v>0.49</v>
      </c>
      <c r="E41" s="482">
        <v>0.5</v>
      </c>
      <c r="F41" s="483">
        <v>0.01</v>
      </c>
      <c r="G41" s="484">
        <v>0.02</v>
      </c>
      <c r="H41" s="482">
        <v>0.98</v>
      </c>
      <c r="I41" s="485">
        <v>0</v>
      </c>
      <c r="J41" s="484">
        <v>1</v>
      </c>
      <c r="K41" s="485">
        <v>0</v>
      </c>
      <c r="L41" s="484">
        <v>1</v>
      </c>
      <c r="M41" s="485">
        <v>0</v>
      </c>
      <c r="N41" s="484">
        <v>1</v>
      </c>
      <c r="O41" s="485">
        <v>0</v>
      </c>
      <c r="P41" s="487"/>
      <c r="Q41" s="459"/>
      <c r="R41" s="459"/>
      <c r="S41" s="459"/>
      <c r="T41" s="459"/>
      <c r="U41" s="459"/>
      <c r="V41" s="459"/>
    </row>
    <row r="42" spans="1:22" ht="13.5" customHeight="1">
      <c r="A42" s="23"/>
      <c r="B42" s="198">
        <v>2020</v>
      </c>
      <c r="C42" s="22"/>
      <c r="D42" s="482">
        <v>0.5</v>
      </c>
      <c r="E42" s="482">
        <v>0.49</v>
      </c>
      <c r="F42" s="483">
        <v>0.01</v>
      </c>
      <c r="G42" s="484">
        <v>0.02</v>
      </c>
      <c r="H42" s="482">
        <v>0.98</v>
      </c>
      <c r="I42" s="485">
        <v>0</v>
      </c>
      <c r="J42" s="484">
        <v>1</v>
      </c>
      <c r="K42" s="485">
        <v>0</v>
      </c>
      <c r="L42" s="484">
        <v>1</v>
      </c>
      <c r="M42" s="485">
        <v>0</v>
      </c>
      <c r="N42" s="484">
        <v>1</v>
      </c>
      <c r="O42" s="485">
        <v>0</v>
      </c>
      <c r="P42" s="488"/>
      <c r="Q42" s="459"/>
      <c r="R42" s="489"/>
      <c r="S42" s="489"/>
      <c r="T42" s="489"/>
      <c r="U42" s="459"/>
      <c r="V42" s="459"/>
    </row>
    <row r="43" spans="1:22" ht="13.5" customHeight="1">
      <c r="A43" s="23"/>
      <c r="B43" s="198">
        <v>2021</v>
      </c>
      <c r="C43" s="22"/>
      <c r="D43" s="482">
        <v>0.51</v>
      </c>
      <c r="E43" s="482">
        <v>0.48</v>
      </c>
      <c r="F43" s="483">
        <v>0.01</v>
      </c>
      <c r="G43" s="484">
        <v>0.02</v>
      </c>
      <c r="H43" s="482">
        <v>0.98</v>
      </c>
      <c r="I43" s="485">
        <v>0</v>
      </c>
      <c r="J43" s="484">
        <v>1</v>
      </c>
      <c r="K43" s="485">
        <v>0</v>
      </c>
      <c r="L43" s="484">
        <v>1</v>
      </c>
      <c r="M43" s="485">
        <v>0</v>
      </c>
      <c r="N43" s="484">
        <v>1</v>
      </c>
      <c r="O43" s="485">
        <v>0</v>
      </c>
      <c r="P43" s="487"/>
      <c r="Q43" s="459"/>
      <c r="R43" s="489"/>
      <c r="S43" s="489"/>
      <c r="T43" s="489"/>
      <c r="U43" s="459"/>
      <c r="V43" s="459"/>
    </row>
    <row r="44" spans="1:22" ht="13.5" customHeight="1">
      <c r="A44" s="23"/>
      <c r="B44" s="198">
        <v>2022</v>
      </c>
      <c r="C44" s="22"/>
      <c r="D44" s="482">
        <v>0.52</v>
      </c>
      <c r="E44" s="482">
        <v>0.46</v>
      </c>
      <c r="F44" s="483">
        <v>0.02</v>
      </c>
      <c r="G44" s="484">
        <v>0.02</v>
      </c>
      <c r="H44" s="482">
        <v>0.98</v>
      </c>
      <c r="I44" s="485">
        <v>0</v>
      </c>
      <c r="J44" s="484">
        <v>1</v>
      </c>
      <c r="K44" s="485">
        <v>0</v>
      </c>
      <c r="L44" s="484">
        <v>1</v>
      </c>
      <c r="M44" s="485">
        <v>0</v>
      </c>
      <c r="N44" s="484">
        <v>1</v>
      </c>
      <c r="O44" s="485">
        <v>0</v>
      </c>
      <c r="P44" s="487"/>
      <c r="Q44" s="459"/>
      <c r="R44" s="459"/>
      <c r="S44" s="459"/>
      <c r="T44" s="459"/>
      <c r="U44" s="459"/>
      <c r="V44" s="459"/>
    </row>
    <row r="45" spans="1:22" ht="13.5" customHeight="1">
      <c r="A45" s="23"/>
      <c r="B45" s="198">
        <v>2023</v>
      </c>
      <c r="C45" s="22"/>
      <c r="D45" s="482">
        <v>0.53</v>
      </c>
      <c r="E45" s="482">
        <v>0.45</v>
      </c>
      <c r="F45" s="483">
        <v>0.03</v>
      </c>
      <c r="G45" s="484">
        <v>0.02</v>
      </c>
      <c r="H45" s="482">
        <v>0.97</v>
      </c>
      <c r="I45" s="485">
        <v>0.01</v>
      </c>
      <c r="J45" s="484">
        <v>1</v>
      </c>
      <c r="K45" s="485">
        <v>0</v>
      </c>
      <c r="L45" s="484">
        <v>1</v>
      </c>
      <c r="M45" s="485">
        <v>0</v>
      </c>
      <c r="N45" s="484">
        <v>1</v>
      </c>
      <c r="O45" s="485">
        <v>0</v>
      </c>
      <c r="P45" s="487"/>
      <c r="Q45" s="459"/>
      <c r="R45" s="459"/>
      <c r="S45" s="459"/>
      <c r="T45" s="459"/>
      <c r="U45" s="459"/>
      <c r="V45" s="459"/>
    </row>
    <row r="46" spans="1:22" ht="13.5" customHeight="1">
      <c r="A46" s="23"/>
      <c r="B46" s="198">
        <v>2024</v>
      </c>
      <c r="C46" s="22"/>
      <c r="D46" s="482">
        <v>0.53</v>
      </c>
      <c r="E46" s="482">
        <v>0.43</v>
      </c>
      <c r="F46" s="483">
        <v>0.04</v>
      </c>
      <c r="G46" s="484">
        <v>0.02</v>
      </c>
      <c r="H46" s="482">
        <v>0.97</v>
      </c>
      <c r="I46" s="485">
        <v>0.01</v>
      </c>
      <c r="J46" s="484">
        <v>1</v>
      </c>
      <c r="K46" s="485">
        <v>0</v>
      </c>
      <c r="L46" s="484">
        <v>1</v>
      </c>
      <c r="M46" s="485">
        <v>0</v>
      </c>
      <c r="N46" s="484">
        <v>1</v>
      </c>
      <c r="O46" s="485">
        <v>0</v>
      </c>
      <c r="P46" s="487"/>
      <c r="Q46" s="459"/>
      <c r="R46" s="459"/>
      <c r="S46" s="459"/>
      <c r="T46" s="459"/>
      <c r="U46" s="459"/>
      <c r="V46" s="459"/>
    </row>
    <row r="47" spans="1:22" ht="13.5" customHeight="1">
      <c r="A47" s="23"/>
      <c r="B47" s="198">
        <v>2025</v>
      </c>
      <c r="C47" s="22"/>
      <c r="D47" s="482">
        <v>0.53</v>
      </c>
      <c r="E47" s="482">
        <v>0.41</v>
      </c>
      <c r="F47" s="483">
        <v>0.05</v>
      </c>
      <c r="G47" s="484">
        <v>0.02</v>
      </c>
      <c r="H47" s="482">
        <v>0.97</v>
      </c>
      <c r="I47" s="485">
        <v>0.01</v>
      </c>
      <c r="J47" s="484">
        <v>1</v>
      </c>
      <c r="K47" s="485">
        <v>0</v>
      </c>
      <c r="L47" s="484">
        <v>1</v>
      </c>
      <c r="M47" s="485">
        <v>0</v>
      </c>
      <c r="N47" s="484">
        <v>1</v>
      </c>
      <c r="O47" s="485">
        <v>0</v>
      </c>
      <c r="P47" s="487"/>
      <c r="Q47" s="459"/>
      <c r="R47" s="459"/>
      <c r="S47" s="459"/>
      <c r="T47" s="459"/>
      <c r="U47" s="459"/>
      <c r="V47" s="459"/>
    </row>
    <row r="48" spans="1:22" ht="13.5" customHeight="1">
      <c r="A48" s="23"/>
      <c r="B48" s="198">
        <v>2026</v>
      </c>
      <c r="C48" s="22"/>
      <c r="D48" s="482">
        <v>0.53</v>
      </c>
      <c r="E48" s="482">
        <v>0.39</v>
      </c>
      <c r="F48" s="483">
        <v>7.0000000000000007E-2</v>
      </c>
      <c r="G48" s="484">
        <v>0.02</v>
      </c>
      <c r="H48" s="482">
        <v>0.96</v>
      </c>
      <c r="I48" s="485">
        <v>0.01</v>
      </c>
      <c r="J48" s="484">
        <v>1</v>
      </c>
      <c r="K48" s="485">
        <v>0</v>
      </c>
      <c r="L48" s="484">
        <v>1</v>
      </c>
      <c r="M48" s="485">
        <v>0</v>
      </c>
      <c r="N48" s="484">
        <v>1</v>
      </c>
      <c r="O48" s="485">
        <v>0</v>
      </c>
      <c r="P48" s="487"/>
      <c r="Q48" s="459"/>
      <c r="R48" s="459"/>
      <c r="S48" s="459"/>
      <c r="T48" s="459"/>
      <c r="U48" s="459"/>
      <c r="V48" s="459"/>
    </row>
    <row r="49" spans="1:23" ht="13.5" customHeight="1">
      <c r="A49" s="23"/>
      <c r="B49" s="198">
        <v>2027</v>
      </c>
      <c r="C49" s="22"/>
      <c r="D49" s="482">
        <v>0.53</v>
      </c>
      <c r="E49" s="482">
        <v>0.38</v>
      </c>
      <c r="F49" s="483">
        <v>0.09</v>
      </c>
      <c r="G49" s="484">
        <v>0.02</v>
      </c>
      <c r="H49" s="482">
        <v>0.96</v>
      </c>
      <c r="I49" s="485">
        <v>0.02</v>
      </c>
      <c r="J49" s="484">
        <v>1</v>
      </c>
      <c r="K49" s="485">
        <v>0</v>
      </c>
      <c r="L49" s="484">
        <v>1</v>
      </c>
      <c r="M49" s="485">
        <v>0</v>
      </c>
      <c r="N49" s="484">
        <v>1</v>
      </c>
      <c r="O49" s="485">
        <v>0</v>
      </c>
      <c r="P49" s="487"/>
      <c r="Q49" s="459"/>
      <c r="R49" s="459"/>
      <c r="S49" s="459"/>
      <c r="T49" s="459"/>
      <c r="U49" s="459"/>
      <c r="V49" s="459"/>
    </row>
    <row r="50" spans="1:23" ht="13.5" customHeight="1">
      <c r="A50" s="23"/>
      <c r="B50" s="198">
        <v>2028</v>
      </c>
      <c r="C50" s="22"/>
      <c r="D50" s="482">
        <v>0.53</v>
      </c>
      <c r="E50" s="482">
        <v>0.36</v>
      </c>
      <c r="F50" s="483">
        <v>0.11</v>
      </c>
      <c r="G50" s="484">
        <v>0.02</v>
      </c>
      <c r="H50" s="482">
        <v>0.95</v>
      </c>
      <c r="I50" s="485">
        <v>0.02</v>
      </c>
      <c r="J50" s="484">
        <v>1</v>
      </c>
      <c r="K50" s="485">
        <v>0</v>
      </c>
      <c r="L50" s="484">
        <v>1</v>
      </c>
      <c r="M50" s="485">
        <v>0</v>
      </c>
      <c r="N50" s="484">
        <v>1</v>
      </c>
      <c r="O50" s="485">
        <v>0</v>
      </c>
      <c r="P50" s="487"/>
      <c r="Q50" s="459"/>
      <c r="R50" s="459"/>
      <c r="S50" s="459"/>
      <c r="T50" s="459"/>
      <c r="U50" s="459"/>
      <c r="V50" s="459"/>
    </row>
    <row r="51" spans="1:23" ht="13.5" customHeight="1">
      <c r="A51" s="23"/>
      <c r="B51" s="198">
        <v>2029</v>
      </c>
      <c r="C51" s="22"/>
      <c r="D51" s="482">
        <v>0.53</v>
      </c>
      <c r="E51" s="482">
        <v>0.34</v>
      </c>
      <c r="F51" s="483">
        <v>0.13</v>
      </c>
      <c r="G51" s="484">
        <v>0.03</v>
      </c>
      <c r="H51" s="482">
        <v>0.94</v>
      </c>
      <c r="I51" s="485">
        <v>0.03</v>
      </c>
      <c r="J51" s="484">
        <v>1</v>
      </c>
      <c r="K51" s="485">
        <v>0</v>
      </c>
      <c r="L51" s="484">
        <v>1</v>
      </c>
      <c r="M51" s="485">
        <v>0</v>
      </c>
      <c r="N51" s="484">
        <v>1</v>
      </c>
      <c r="O51" s="485">
        <v>0</v>
      </c>
      <c r="P51" s="487"/>
      <c r="Q51" s="459"/>
      <c r="R51" s="459"/>
      <c r="S51" s="459"/>
      <c r="T51" s="459"/>
      <c r="U51" s="459"/>
      <c r="V51" s="459"/>
    </row>
    <row r="52" spans="1:23" ht="13.5" customHeight="1">
      <c r="A52" s="23"/>
      <c r="B52" s="198">
        <v>2030</v>
      </c>
      <c r="C52" s="22"/>
      <c r="D52" s="482">
        <v>0.52</v>
      </c>
      <c r="E52" s="482">
        <v>0.32</v>
      </c>
      <c r="F52" s="483">
        <v>0.16</v>
      </c>
      <c r="G52" s="484">
        <v>0.03</v>
      </c>
      <c r="H52" s="482">
        <v>0.94</v>
      </c>
      <c r="I52" s="485">
        <v>0.04</v>
      </c>
      <c r="J52" s="484">
        <v>1</v>
      </c>
      <c r="K52" s="485">
        <v>0</v>
      </c>
      <c r="L52" s="484">
        <v>1</v>
      </c>
      <c r="M52" s="485">
        <v>0</v>
      </c>
      <c r="N52" s="484">
        <v>1</v>
      </c>
      <c r="O52" s="485">
        <v>0</v>
      </c>
      <c r="P52" s="459"/>
      <c r="Q52" s="459"/>
      <c r="R52" s="459"/>
      <c r="S52" s="459"/>
      <c r="T52" s="459"/>
      <c r="U52" s="459"/>
      <c r="V52" s="459"/>
    </row>
    <row r="53" spans="1:23" ht="13.5" customHeight="1">
      <c r="A53" s="23"/>
      <c r="B53" s="198">
        <v>2031</v>
      </c>
      <c r="C53" s="22"/>
      <c r="D53" s="482">
        <v>0.51</v>
      </c>
      <c r="E53" s="482">
        <v>0.31</v>
      </c>
      <c r="F53" s="483">
        <v>0.18</v>
      </c>
      <c r="G53" s="484">
        <v>0.03</v>
      </c>
      <c r="H53" s="482">
        <v>0.93</v>
      </c>
      <c r="I53" s="485">
        <v>0.04</v>
      </c>
      <c r="J53" s="484">
        <v>1</v>
      </c>
      <c r="K53" s="485">
        <v>0</v>
      </c>
      <c r="L53" s="484">
        <v>1</v>
      </c>
      <c r="M53" s="485">
        <v>0</v>
      </c>
      <c r="N53" s="484">
        <v>1</v>
      </c>
      <c r="O53" s="485">
        <v>0</v>
      </c>
      <c r="U53" s="490"/>
      <c r="V53" s="490"/>
      <c r="W53" s="26"/>
    </row>
    <row r="54" spans="1:23" ht="13.5" customHeight="1">
      <c r="A54" s="23"/>
      <c r="B54" s="198">
        <v>2032</v>
      </c>
      <c r="C54" s="22"/>
      <c r="D54" s="482">
        <v>0.51</v>
      </c>
      <c r="E54" s="482">
        <v>0.28999999999999998</v>
      </c>
      <c r="F54" s="483">
        <v>0.2</v>
      </c>
      <c r="G54" s="484">
        <v>0.03</v>
      </c>
      <c r="H54" s="482">
        <v>0.92</v>
      </c>
      <c r="I54" s="485">
        <v>0.05</v>
      </c>
      <c r="J54" s="484">
        <v>1</v>
      </c>
      <c r="K54" s="485">
        <v>0</v>
      </c>
      <c r="L54" s="484">
        <v>1</v>
      </c>
      <c r="M54" s="485">
        <v>0</v>
      </c>
      <c r="N54" s="484">
        <v>1</v>
      </c>
      <c r="O54" s="485">
        <v>0</v>
      </c>
      <c r="U54" s="459"/>
      <c r="V54" s="459"/>
    </row>
    <row r="55" spans="1:23" ht="13.5" customHeight="1">
      <c r="A55" s="23"/>
      <c r="B55" s="198">
        <v>2033</v>
      </c>
      <c r="C55" s="22"/>
      <c r="D55" s="482">
        <v>0.5</v>
      </c>
      <c r="E55" s="482">
        <v>0.28000000000000003</v>
      </c>
      <c r="F55" s="483">
        <v>0.22</v>
      </c>
      <c r="G55" s="484">
        <v>0.03</v>
      </c>
      <c r="H55" s="482">
        <v>0.91</v>
      </c>
      <c r="I55" s="485">
        <v>0.06</v>
      </c>
      <c r="J55" s="484">
        <v>1</v>
      </c>
      <c r="K55" s="485">
        <v>0</v>
      </c>
      <c r="L55" s="484">
        <v>1</v>
      </c>
      <c r="M55" s="485">
        <v>0</v>
      </c>
      <c r="N55" s="484">
        <v>1</v>
      </c>
      <c r="O55" s="485">
        <v>0</v>
      </c>
      <c r="P55" s="459"/>
      <c r="Q55" s="459"/>
      <c r="R55" s="459"/>
      <c r="S55" s="459"/>
      <c r="T55" s="459"/>
      <c r="U55" s="459"/>
      <c r="V55" s="459"/>
    </row>
    <row r="56" spans="1:23" ht="13.5" customHeight="1">
      <c r="A56" s="23"/>
      <c r="B56" s="198">
        <v>2034</v>
      </c>
      <c r="C56" s="22"/>
      <c r="D56" s="482">
        <v>0.49</v>
      </c>
      <c r="E56" s="482">
        <v>0.27</v>
      </c>
      <c r="F56" s="483">
        <v>0.24</v>
      </c>
      <c r="G56" s="484">
        <v>0.03</v>
      </c>
      <c r="H56" s="482">
        <v>0.9</v>
      </c>
      <c r="I56" s="485">
        <v>7.0000000000000007E-2</v>
      </c>
      <c r="J56" s="484">
        <v>1</v>
      </c>
      <c r="K56" s="485">
        <v>0</v>
      </c>
      <c r="L56" s="484">
        <v>1</v>
      </c>
      <c r="M56" s="485">
        <v>0</v>
      </c>
      <c r="N56" s="484">
        <v>1</v>
      </c>
      <c r="O56" s="485">
        <v>0</v>
      </c>
      <c r="P56" s="459"/>
      <c r="Q56" s="459"/>
      <c r="R56" s="459"/>
      <c r="S56" s="459"/>
      <c r="T56" s="459"/>
      <c r="U56" s="459"/>
      <c r="V56" s="459"/>
    </row>
    <row r="57" spans="1:23" ht="13.5" customHeight="1">
      <c r="A57" s="23"/>
      <c r="B57" s="198">
        <v>2035</v>
      </c>
      <c r="C57" s="22"/>
      <c r="D57" s="482">
        <v>0.48</v>
      </c>
      <c r="E57" s="482">
        <v>0.26</v>
      </c>
      <c r="F57" s="483">
        <v>0.25</v>
      </c>
      <c r="G57" s="484">
        <v>0.03</v>
      </c>
      <c r="H57" s="482">
        <v>0.89</v>
      </c>
      <c r="I57" s="485">
        <v>0.08</v>
      </c>
      <c r="J57" s="484">
        <v>1</v>
      </c>
      <c r="K57" s="485">
        <v>0</v>
      </c>
      <c r="L57" s="484">
        <v>1</v>
      </c>
      <c r="M57" s="485">
        <v>0</v>
      </c>
      <c r="N57" s="484">
        <v>1</v>
      </c>
      <c r="O57" s="485">
        <v>0</v>
      </c>
      <c r="P57" s="459"/>
      <c r="Q57" s="459"/>
      <c r="R57" s="459"/>
      <c r="S57" s="459"/>
      <c r="T57" s="459"/>
      <c r="U57" s="459"/>
      <c r="V57" s="459"/>
    </row>
    <row r="58" spans="1:23" ht="13.5" customHeight="1">
      <c r="A58" s="23"/>
      <c r="B58" s="198">
        <v>2036</v>
      </c>
      <c r="C58" s="22"/>
      <c r="D58" s="482">
        <v>0.47</v>
      </c>
      <c r="E58" s="482">
        <v>0.26</v>
      </c>
      <c r="F58" s="483">
        <v>0.27</v>
      </c>
      <c r="G58" s="484">
        <v>0.03</v>
      </c>
      <c r="H58" s="482">
        <v>0.88</v>
      </c>
      <c r="I58" s="485">
        <v>0.09</v>
      </c>
      <c r="J58" s="484">
        <v>1</v>
      </c>
      <c r="K58" s="485">
        <v>0</v>
      </c>
      <c r="L58" s="484">
        <v>1</v>
      </c>
      <c r="M58" s="485">
        <v>0</v>
      </c>
      <c r="N58" s="484">
        <v>1</v>
      </c>
      <c r="O58" s="485">
        <v>0</v>
      </c>
    </row>
    <row r="59" spans="1:23" ht="13.5" customHeight="1">
      <c r="A59" s="23"/>
      <c r="B59" s="198">
        <v>2037</v>
      </c>
      <c r="C59" s="22"/>
      <c r="D59" s="482">
        <v>0.46</v>
      </c>
      <c r="E59" s="482">
        <v>0.25</v>
      </c>
      <c r="F59" s="483">
        <v>0.28999999999999998</v>
      </c>
      <c r="G59" s="484">
        <v>0.04</v>
      </c>
      <c r="H59" s="482">
        <v>0.87</v>
      </c>
      <c r="I59" s="485">
        <v>0.1</v>
      </c>
      <c r="J59" s="484">
        <v>1</v>
      </c>
      <c r="K59" s="485">
        <v>0</v>
      </c>
      <c r="L59" s="484">
        <v>1</v>
      </c>
      <c r="M59" s="485">
        <v>0</v>
      </c>
      <c r="N59" s="484">
        <v>1</v>
      </c>
      <c r="O59" s="485">
        <v>0</v>
      </c>
    </row>
    <row r="60" spans="1:23" ht="13.5" customHeight="1">
      <c r="A60" s="23"/>
      <c r="B60" s="198">
        <v>2038</v>
      </c>
      <c r="C60" s="22"/>
      <c r="D60" s="482">
        <v>0.46</v>
      </c>
      <c r="E60" s="482">
        <v>0.24</v>
      </c>
      <c r="F60" s="483">
        <v>0.3</v>
      </c>
      <c r="G60" s="484">
        <v>0.04</v>
      </c>
      <c r="H60" s="482">
        <v>0.86</v>
      </c>
      <c r="I60" s="485">
        <v>0.11</v>
      </c>
      <c r="J60" s="484">
        <v>1</v>
      </c>
      <c r="K60" s="485">
        <v>0</v>
      </c>
      <c r="L60" s="484">
        <v>1</v>
      </c>
      <c r="M60" s="485">
        <v>0</v>
      </c>
      <c r="N60" s="484">
        <v>1</v>
      </c>
      <c r="O60" s="485">
        <v>0</v>
      </c>
    </row>
    <row r="61" spans="1:23" ht="13.5" customHeight="1">
      <c r="A61" s="23"/>
      <c r="B61" s="198">
        <v>2039</v>
      </c>
      <c r="C61" s="22"/>
      <c r="D61" s="482">
        <v>0.45</v>
      </c>
      <c r="E61" s="482">
        <v>0.24</v>
      </c>
      <c r="F61" s="483">
        <v>0.32</v>
      </c>
      <c r="G61" s="484">
        <v>0.04</v>
      </c>
      <c r="H61" s="482">
        <v>0.85</v>
      </c>
      <c r="I61" s="485">
        <v>0.12</v>
      </c>
      <c r="J61" s="484">
        <v>1</v>
      </c>
      <c r="K61" s="485">
        <v>0</v>
      </c>
      <c r="L61" s="484">
        <v>1</v>
      </c>
      <c r="M61" s="485">
        <v>0</v>
      </c>
      <c r="N61" s="484">
        <v>1</v>
      </c>
      <c r="O61" s="485">
        <v>0</v>
      </c>
    </row>
    <row r="62" spans="1:23" ht="13.5" customHeight="1">
      <c r="A62" s="23"/>
      <c r="B62" s="198">
        <v>2040</v>
      </c>
      <c r="C62" s="22"/>
      <c r="D62" s="482">
        <v>0.44</v>
      </c>
      <c r="E62" s="482">
        <v>0.23</v>
      </c>
      <c r="F62" s="483">
        <v>0.33</v>
      </c>
      <c r="G62" s="484">
        <v>0.04</v>
      </c>
      <c r="H62" s="482">
        <v>0.84</v>
      </c>
      <c r="I62" s="485">
        <v>0.12</v>
      </c>
      <c r="J62" s="484">
        <v>1</v>
      </c>
      <c r="K62" s="485">
        <v>0</v>
      </c>
      <c r="L62" s="484">
        <v>1</v>
      </c>
      <c r="M62" s="485">
        <v>0</v>
      </c>
      <c r="N62" s="484">
        <v>1</v>
      </c>
      <c r="O62" s="485">
        <v>0</v>
      </c>
    </row>
    <row r="63" spans="1:23" ht="13.5" customHeight="1">
      <c r="A63" s="23"/>
      <c r="B63" s="198">
        <v>2041</v>
      </c>
      <c r="C63" s="22"/>
      <c r="D63" s="482">
        <v>0.43</v>
      </c>
      <c r="E63" s="482">
        <v>0.23</v>
      </c>
      <c r="F63" s="483">
        <v>0.34</v>
      </c>
      <c r="G63" s="484">
        <v>0.04</v>
      </c>
      <c r="H63" s="482">
        <v>0.83</v>
      </c>
      <c r="I63" s="485">
        <v>0.13</v>
      </c>
      <c r="J63" s="484">
        <v>1</v>
      </c>
      <c r="K63" s="485">
        <v>0</v>
      </c>
      <c r="L63" s="484">
        <v>1</v>
      </c>
      <c r="M63" s="485">
        <v>0</v>
      </c>
      <c r="N63" s="484">
        <v>1</v>
      </c>
      <c r="O63" s="485">
        <v>0</v>
      </c>
    </row>
    <row r="64" spans="1:23" ht="13.5" customHeight="1">
      <c r="A64" s="23"/>
      <c r="B64" s="198">
        <v>2042</v>
      </c>
      <c r="C64" s="22"/>
      <c r="D64" s="482">
        <v>0.42</v>
      </c>
      <c r="E64" s="482">
        <v>0.22</v>
      </c>
      <c r="F64" s="483">
        <v>0.36</v>
      </c>
      <c r="G64" s="484">
        <v>0.04</v>
      </c>
      <c r="H64" s="482">
        <v>0.82</v>
      </c>
      <c r="I64" s="485">
        <v>0.14000000000000001</v>
      </c>
      <c r="J64" s="484">
        <v>1</v>
      </c>
      <c r="K64" s="485">
        <v>0</v>
      </c>
      <c r="L64" s="484">
        <v>1</v>
      </c>
      <c r="M64" s="485">
        <v>0</v>
      </c>
      <c r="N64" s="484">
        <v>1</v>
      </c>
      <c r="O64" s="485">
        <v>0</v>
      </c>
    </row>
    <row r="65" spans="1:15" ht="13.5" customHeight="1">
      <c r="A65" s="23"/>
      <c r="B65" s="198">
        <v>2043</v>
      </c>
      <c r="C65" s="22"/>
      <c r="D65" s="482">
        <v>0.41</v>
      </c>
      <c r="E65" s="482">
        <v>0.22</v>
      </c>
      <c r="F65" s="483">
        <v>0.37</v>
      </c>
      <c r="G65" s="484">
        <v>0.04</v>
      </c>
      <c r="H65" s="482">
        <v>0.81</v>
      </c>
      <c r="I65" s="485">
        <v>0.15</v>
      </c>
      <c r="J65" s="484">
        <v>1</v>
      </c>
      <c r="K65" s="485">
        <v>0</v>
      </c>
      <c r="L65" s="484">
        <v>1</v>
      </c>
      <c r="M65" s="485">
        <v>0</v>
      </c>
      <c r="N65" s="484">
        <v>1</v>
      </c>
      <c r="O65" s="485">
        <v>0</v>
      </c>
    </row>
    <row r="66" spans="1:15" ht="13.5" customHeight="1">
      <c r="A66" s="23"/>
      <c r="B66" s="198">
        <v>2044</v>
      </c>
      <c r="C66" s="22"/>
      <c r="D66" s="482">
        <v>0.41</v>
      </c>
      <c r="E66" s="482">
        <v>0.21</v>
      </c>
      <c r="F66" s="483">
        <v>0.38</v>
      </c>
      <c r="G66" s="484">
        <v>0.04</v>
      </c>
      <c r="H66" s="482">
        <v>0.8</v>
      </c>
      <c r="I66" s="485">
        <v>0.16</v>
      </c>
      <c r="J66" s="484">
        <v>1</v>
      </c>
      <c r="K66" s="485">
        <v>0</v>
      </c>
      <c r="L66" s="484">
        <v>1</v>
      </c>
      <c r="M66" s="485">
        <v>0</v>
      </c>
      <c r="N66" s="484">
        <v>1</v>
      </c>
      <c r="O66" s="485">
        <v>0</v>
      </c>
    </row>
    <row r="67" spans="1:15" ht="13.5" customHeight="1">
      <c r="A67" s="23"/>
      <c r="B67" s="198">
        <v>2045</v>
      </c>
      <c r="C67" s="22"/>
      <c r="D67" s="482">
        <v>0.4</v>
      </c>
      <c r="E67" s="482">
        <v>0.21</v>
      </c>
      <c r="F67" s="483">
        <v>0.39</v>
      </c>
      <c r="G67" s="484">
        <v>0.04</v>
      </c>
      <c r="H67" s="482">
        <v>0.79</v>
      </c>
      <c r="I67" s="485">
        <v>0.17</v>
      </c>
      <c r="J67" s="484">
        <v>1</v>
      </c>
      <c r="K67" s="485">
        <v>0</v>
      </c>
      <c r="L67" s="484">
        <v>1</v>
      </c>
      <c r="M67" s="485">
        <v>0</v>
      </c>
      <c r="N67" s="484">
        <v>1</v>
      </c>
      <c r="O67" s="485">
        <v>0</v>
      </c>
    </row>
    <row r="68" spans="1:15" ht="13.5" customHeight="1">
      <c r="A68" s="23"/>
      <c r="B68" s="198">
        <v>2046</v>
      </c>
      <c r="C68" s="22"/>
      <c r="D68" s="482">
        <v>0.39</v>
      </c>
      <c r="E68" s="482">
        <v>0.2</v>
      </c>
      <c r="F68" s="483">
        <v>0.4</v>
      </c>
      <c r="G68" s="484">
        <v>0.04</v>
      </c>
      <c r="H68" s="482">
        <v>0.78</v>
      </c>
      <c r="I68" s="485">
        <v>0.18</v>
      </c>
      <c r="J68" s="484">
        <v>1</v>
      </c>
      <c r="K68" s="485">
        <v>0</v>
      </c>
      <c r="L68" s="484">
        <v>1</v>
      </c>
      <c r="M68" s="485">
        <v>0</v>
      </c>
      <c r="N68" s="484">
        <v>1</v>
      </c>
      <c r="O68" s="485">
        <v>0</v>
      </c>
    </row>
    <row r="69" spans="1:15" ht="13.5" customHeight="1">
      <c r="A69" s="23"/>
      <c r="B69" s="198">
        <v>2047</v>
      </c>
      <c r="C69" s="22"/>
      <c r="D69" s="482">
        <v>0.39</v>
      </c>
      <c r="E69" s="482">
        <v>0.2</v>
      </c>
      <c r="F69" s="483">
        <v>0.41</v>
      </c>
      <c r="G69" s="484">
        <v>0.05</v>
      </c>
      <c r="H69" s="482">
        <v>0.77</v>
      </c>
      <c r="I69" s="485">
        <v>0.19</v>
      </c>
      <c r="J69" s="484">
        <v>1</v>
      </c>
      <c r="K69" s="485">
        <v>0</v>
      </c>
      <c r="L69" s="484">
        <v>1</v>
      </c>
      <c r="M69" s="485">
        <v>0</v>
      </c>
      <c r="N69" s="484">
        <v>1</v>
      </c>
      <c r="O69" s="485">
        <v>0</v>
      </c>
    </row>
    <row r="70" spans="1:15" ht="13.5" customHeight="1">
      <c r="A70" s="23"/>
      <c r="B70" s="198">
        <v>2048</v>
      </c>
      <c r="C70" s="22"/>
      <c r="D70" s="482">
        <v>0.38</v>
      </c>
      <c r="E70" s="482">
        <v>0.2</v>
      </c>
      <c r="F70" s="483">
        <v>0.42</v>
      </c>
      <c r="G70" s="484">
        <v>0.05</v>
      </c>
      <c r="H70" s="482">
        <v>0.76</v>
      </c>
      <c r="I70" s="485">
        <v>0.19</v>
      </c>
      <c r="J70" s="484">
        <v>1</v>
      </c>
      <c r="K70" s="485">
        <v>0</v>
      </c>
      <c r="L70" s="484">
        <v>1</v>
      </c>
      <c r="M70" s="485">
        <v>0</v>
      </c>
      <c r="N70" s="484">
        <v>1</v>
      </c>
      <c r="O70" s="485">
        <v>0</v>
      </c>
    </row>
    <row r="71" spans="1:15" ht="13.5" customHeight="1">
      <c r="A71" s="23"/>
      <c r="B71" s="198">
        <v>2049</v>
      </c>
      <c r="C71" s="22"/>
      <c r="D71" s="482">
        <v>0.37</v>
      </c>
      <c r="E71" s="482">
        <v>0.19</v>
      </c>
      <c r="F71" s="483">
        <v>0.43</v>
      </c>
      <c r="G71" s="484">
        <v>0.05</v>
      </c>
      <c r="H71" s="482">
        <v>0.75</v>
      </c>
      <c r="I71" s="485">
        <v>0.2</v>
      </c>
      <c r="J71" s="484">
        <v>1</v>
      </c>
      <c r="K71" s="485">
        <v>0</v>
      </c>
      <c r="L71" s="484">
        <v>1</v>
      </c>
      <c r="M71" s="485">
        <v>0</v>
      </c>
      <c r="N71" s="484">
        <v>1</v>
      </c>
      <c r="O71" s="485">
        <v>0</v>
      </c>
    </row>
    <row r="72" spans="1:15" ht="13.5" customHeight="1" thickBot="1">
      <c r="A72" s="35"/>
      <c r="B72" s="202">
        <v>2050</v>
      </c>
      <c r="C72" s="58"/>
      <c r="D72" s="491">
        <v>0.37</v>
      </c>
      <c r="E72" s="491">
        <v>0.19</v>
      </c>
      <c r="F72" s="492">
        <v>0.44</v>
      </c>
      <c r="G72" s="493">
        <v>0.05</v>
      </c>
      <c r="H72" s="491">
        <v>0.74</v>
      </c>
      <c r="I72" s="494">
        <v>0.21</v>
      </c>
      <c r="J72" s="493">
        <v>1</v>
      </c>
      <c r="K72" s="494">
        <v>0</v>
      </c>
      <c r="L72" s="493">
        <v>1</v>
      </c>
      <c r="M72" s="494">
        <v>0</v>
      </c>
      <c r="N72" s="493">
        <v>1</v>
      </c>
      <c r="O72" s="494">
        <v>0</v>
      </c>
    </row>
    <row r="73" spans="1:15" ht="13.5" customHeight="1" thickTop="1"/>
  </sheetData>
  <mergeCells count="9">
    <mergeCell ref="A18:B18"/>
    <mergeCell ref="A19:B19"/>
    <mergeCell ref="A20:B20"/>
    <mergeCell ref="E6:T6"/>
    <mergeCell ref="A7:B7"/>
    <mergeCell ref="A8:B8"/>
    <mergeCell ref="A10:B10"/>
    <mergeCell ref="A11:B11"/>
    <mergeCell ref="A12:B12"/>
  </mergeCells>
  <hyperlinks>
    <hyperlink ref="A11" location="Contents!A1" display="Contents" xr:uid="{00000000-0004-0000-1600-000000000000}"/>
    <hyperlink ref="A11:B11" r:id="rId1" display="WebTAG Unit 3.5.6" xr:uid="{00000000-0004-0000-1600-000001000000}"/>
    <hyperlink ref="A10" location="Contents!A1" display="Contents" xr:uid="{00000000-0004-0000-1600-000002000000}"/>
    <hyperlink ref="A10:B10" location="Contents!A1" tooltip="Contents page" display="Contents" xr:uid="{00000000-0004-0000-1600-000003000000}"/>
    <hyperlink ref="A12:B12" r:id="rId2" tooltip="Unit A1.3 User &amp; Provider Impacts" display="WebTAG Unit A 1.3" xr:uid="{00000000-0004-0000-1600-000004000000}"/>
    <hyperlink ref="P10" r:id="rId3" xr:uid="{00000000-0004-0000-1600-000005000000}"/>
    <hyperlink ref="Q17" r:id="rId4" xr:uid="{00000000-0004-0000-1600-000006000000}"/>
  </hyperlinks>
  <pageMargins left="0.7" right="0.7" top="0.75" bottom="0.75" header="0.3" footer="0.3"/>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6"/>
  </sheetPr>
  <dimension ref="A1:AM109"/>
  <sheetViews>
    <sheetView zoomScale="70" zoomScaleNormal="70" workbookViewId="0">
      <selection activeCell="G16" sqref="C10:G16"/>
    </sheetView>
  </sheetViews>
  <sheetFormatPr defaultColWidth="12.81640625" defaultRowHeight="13.5" customHeight="1"/>
  <cols>
    <col min="1" max="4" width="12.81640625" style="6" customWidth="1"/>
    <col min="5" max="6" width="12.81640625" style="294" customWidth="1"/>
    <col min="7" max="9" width="12.81640625" style="6" customWidth="1"/>
    <col min="10" max="10" width="12.81640625" style="294" customWidth="1"/>
    <col min="11" max="11" width="14" style="6" customWidth="1"/>
    <col min="12" max="16" width="12.81640625" style="6" customWidth="1"/>
    <col min="17" max="18" width="12.81640625" style="294" customWidth="1"/>
    <col min="19" max="256" width="12.81640625" style="6"/>
    <col min="257" max="266" width="12.81640625" style="6" customWidth="1"/>
    <col min="267" max="267" width="14" style="6" customWidth="1"/>
    <col min="268" max="274" width="12.81640625" style="6" customWidth="1"/>
    <col min="275" max="512" width="12.81640625" style="6"/>
    <col min="513" max="522" width="12.81640625" style="6" customWidth="1"/>
    <col min="523" max="523" width="14" style="6" customWidth="1"/>
    <col min="524" max="530" width="12.81640625" style="6" customWidth="1"/>
    <col min="531" max="768" width="12.81640625" style="6"/>
    <col min="769" max="778" width="12.81640625" style="6" customWidth="1"/>
    <col min="779" max="779" width="14" style="6" customWidth="1"/>
    <col min="780" max="786" width="12.81640625" style="6" customWidth="1"/>
    <col min="787" max="1024" width="12.81640625" style="6"/>
    <col min="1025" max="1034" width="12.81640625" style="6" customWidth="1"/>
    <col min="1035" max="1035" width="14" style="6" customWidth="1"/>
    <col min="1036" max="1042" width="12.81640625" style="6" customWidth="1"/>
    <col min="1043" max="1280" width="12.81640625" style="6"/>
    <col min="1281" max="1290" width="12.81640625" style="6" customWidth="1"/>
    <col min="1291" max="1291" width="14" style="6" customWidth="1"/>
    <col min="1292" max="1298" width="12.81640625" style="6" customWidth="1"/>
    <col min="1299" max="1536" width="12.81640625" style="6"/>
    <col min="1537" max="1546" width="12.81640625" style="6" customWidth="1"/>
    <col min="1547" max="1547" width="14" style="6" customWidth="1"/>
    <col min="1548" max="1554" width="12.81640625" style="6" customWidth="1"/>
    <col min="1555" max="1792" width="12.81640625" style="6"/>
    <col min="1793" max="1802" width="12.81640625" style="6" customWidth="1"/>
    <col min="1803" max="1803" width="14" style="6" customWidth="1"/>
    <col min="1804" max="1810" width="12.81640625" style="6" customWidth="1"/>
    <col min="1811" max="2048" width="12.81640625" style="6"/>
    <col min="2049" max="2058" width="12.81640625" style="6" customWidth="1"/>
    <col min="2059" max="2059" width="14" style="6" customWidth="1"/>
    <col min="2060" max="2066" width="12.81640625" style="6" customWidth="1"/>
    <col min="2067" max="2304" width="12.81640625" style="6"/>
    <col min="2305" max="2314" width="12.81640625" style="6" customWidth="1"/>
    <col min="2315" max="2315" width="14" style="6" customWidth="1"/>
    <col min="2316" max="2322" width="12.81640625" style="6" customWidth="1"/>
    <col min="2323" max="2560" width="12.81640625" style="6"/>
    <col min="2561" max="2570" width="12.81640625" style="6" customWidth="1"/>
    <col min="2571" max="2571" width="14" style="6" customWidth="1"/>
    <col min="2572" max="2578" width="12.81640625" style="6" customWidth="1"/>
    <col min="2579" max="2816" width="12.81640625" style="6"/>
    <col min="2817" max="2826" width="12.81640625" style="6" customWidth="1"/>
    <col min="2827" max="2827" width="14" style="6" customWidth="1"/>
    <col min="2828" max="2834" width="12.81640625" style="6" customWidth="1"/>
    <col min="2835" max="3072" width="12.81640625" style="6"/>
    <col min="3073" max="3082" width="12.81640625" style="6" customWidth="1"/>
    <col min="3083" max="3083" width="14" style="6" customWidth="1"/>
    <col min="3084" max="3090" width="12.81640625" style="6" customWidth="1"/>
    <col min="3091" max="3328" width="12.81640625" style="6"/>
    <col min="3329" max="3338" width="12.81640625" style="6" customWidth="1"/>
    <col min="3339" max="3339" width="14" style="6" customWidth="1"/>
    <col min="3340" max="3346" width="12.81640625" style="6" customWidth="1"/>
    <col min="3347" max="3584" width="12.81640625" style="6"/>
    <col min="3585" max="3594" width="12.81640625" style="6" customWidth="1"/>
    <col min="3595" max="3595" width="14" style="6" customWidth="1"/>
    <col min="3596" max="3602" width="12.81640625" style="6" customWidth="1"/>
    <col min="3603" max="3840" width="12.81640625" style="6"/>
    <col min="3841" max="3850" width="12.81640625" style="6" customWidth="1"/>
    <col min="3851" max="3851" width="14" style="6" customWidth="1"/>
    <col min="3852" max="3858" width="12.81640625" style="6" customWidth="1"/>
    <col min="3859" max="4096" width="12.81640625" style="6"/>
    <col min="4097" max="4106" width="12.81640625" style="6" customWidth="1"/>
    <col min="4107" max="4107" width="14" style="6" customWidth="1"/>
    <col min="4108" max="4114" width="12.81640625" style="6" customWidth="1"/>
    <col min="4115" max="4352" width="12.81640625" style="6"/>
    <col min="4353" max="4362" width="12.81640625" style="6" customWidth="1"/>
    <col min="4363" max="4363" width="14" style="6" customWidth="1"/>
    <col min="4364" max="4370" width="12.81640625" style="6" customWidth="1"/>
    <col min="4371" max="4608" width="12.81640625" style="6"/>
    <col min="4609" max="4618" width="12.81640625" style="6" customWidth="1"/>
    <col min="4619" max="4619" width="14" style="6" customWidth="1"/>
    <col min="4620" max="4626" width="12.81640625" style="6" customWidth="1"/>
    <col min="4627" max="4864" width="12.81640625" style="6"/>
    <col min="4865" max="4874" width="12.81640625" style="6" customWidth="1"/>
    <col min="4875" max="4875" width="14" style="6" customWidth="1"/>
    <col min="4876" max="4882" width="12.81640625" style="6" customWidth="1"/>
    <col min="4883" max="5120" width="12.81640625" style="6"/>
    <col min="5121" max="5130" width="12.81640625" style="6" customWidth="1"/>
    <col min="5131" max="5131" width="14" style="6" customWidth="1"/>
    <col min="5132" max="5138" width="12.81640625" style="6" customWidth="1"/>
    <col min="5139" max="5376" width="12.81640625" style="6"/>
    <col min="5377" max="5386" width="12.81640625" style="6" customWidth="1"/>
    <col min="5387" max="5387" width="14" style="6" customWidth="1"/>
    <col min="5388" max="5394" width="12.81640625" style="6" customWidth="1"/>
    <col min="5395" max="5632" width="12.81640625" style="6"/>
    <col min="5633" max="5642" width="12.81640625" style="6" customWidth="1"/>
    <col min="5643" max="5643" width="14" style="6" customWidth="1"/>
    <col min="5644" max="5650" width="12.81640625" style="6" customWidth="1"/>
    <col min="5651" max="5888" width="12.81640625" style="6"/>
    <col min="5889" max="5898" width="12.81640625" style="6" customWidth="1"/>
    <col min="5899" max="5899" width="14" style="6" customWidth="1"/>
    <col min="5900" max="5906" width="12.81640625" style="6" customWidth="1"/>
    <col min="5907" max="6144" width="12.81640625" style="6"/>
    <col min="6145" max="6154" width="12.81640625" style="6" customWidth="1"/>
    <col min="6155" max="6155" width="14" style="6" customWidth="1"/>
    <col min="6156" max="6162" width="12.81640625" style="6" customWidth="1"/>
    <col min="6163" max="6400" width="12.81640625" style="6"/>
    <col min="6401" max="6410" width="12.81640625" style="6" customWidth="1"/>
    <col min="6411" max="6411" width="14" style="6" customWidth="1"/>
    <col min="6412" max="6418" width="12.81640625" style="6" customWidth="1"/>
    <col min="6419" max="6656" width="12.81640625" style="6"/>
    <col min="6657" max="6666" width="12.81640625" style="6" customWidth="1"/>
    <col min="6667" max="6667" width="14" style="6" customWidth="1"/>
    <col min="6668" max="6674" width="12.81640625" style="6" customWidth="1"/>
    <col min="6675" max="6912" width="12.81640625" style="6"/>
    <col min="6913" max="6922" width="12.81640625" style="6" customWidth="1"/>
    <col min="6923" max="6923" width="14" style="6" customWidth="1"/>
    <col min="6924" max="6930" width="12.81640625" style="6" customWidth="1"/>
    <col min="6931" max="7168" width="12.81640625" style="6"/>
    <col min="7169" max="7178" width="12.81640625" style="6" customWidth="1"/>
    <col min="7179" max="7179" width="14" style="6" customWidth="1"/>
    <col min="7180" max="7186" width="12.81640625" style="6" customWidth="1"/>
    <col min="7187" max="7424" width="12.81640625" style="6"/>
    <col min="7425" max="7434" width="12.81640625" style="6" customWidth="1"/>
    <col min="7435" max="7435" width="14" style="6" customWidth="1"/>
    <col min="7436" max="7442" width="12.81640625" style="6" customWidth="1"/>
    <col min="7443" max="7680" width="12.81640625" style="6"/>
    <col min="7681" max="7690" width="12.81640625" style="6" customWidth="1"/>
    <col min="7691" max="7691" width="14" style="6" customWidth="1"/>
    <col min="7692" max="7698" width="12.81640625" style="6" customWidth="1"/>
    <col min="7699" max="7936" width="12.81640625" style="6"/>
    <col min="7937" max="7946" width="12.81640625" style="6" customWidth="1"/>
    <col min="7947" max="7947" width="14" style="6" customWidth="1"/>
    <col min="7948" max="7954" width="12.81640625" style="6" customWidth="1"/>
    <col min="7955" max="8192" width="12.81640625" style="6"/>
    <col min="8193" max="8202" width="12.81640625" style="6" customWidth="1"/>
    <col min="8203" max="8203" width="14" style="6" customWidth="1"/>
    <col min="8204" max="8210" width="12.81640625" style="6" customWidth="1"/>
    <col min="8211" max="8448" width="12.81640625" style="6"/>
    <col min="8449" max="8458" width="12.81640625" style="6" customWidth="1"/>
    <col min="8459" max="8459" width="14" style="6" customWidth="1"/>
    <col min="8460" max="8466" width="12.81640625" style="6" customWidth="1"/>
    <col min="8467" max="8704" width="12.81640625" style="6"/>
    <col min="8705" max="8714" width="12.81640625" style="6" customWidth="1"/>
    <col min="8715" max="8715" width="14" style="6" customWidth="1"/>
    <col min="8716" max="8722" width="12.81640625" style="6" customWidth="1"/>
    <col min="8723" max="8960" width="12.81640625" style="6"/>
    <col min="8961" max="8970" width="12.81640625" style="6" customWidth="1"/>
    <col min="8971" max="8971" width="14" style="6" customWidth="1"/>
    <col min="8972" max="8978" width="12.81640625" style="6" customWidth="1"/>
    <col min="8979" max="9216" width="12.81640625" style="6"/>
    <col min="9217" max="9226" width="12.81640625" style="6" customWidth="1"/>
    <col min="9227" max="9227" width="14" style="6" customWidth="1"/>
    <col min="9228" max="9234" width="12.81640625" style="6" customWidth="1"/>
    <col min="9235" max="9472" width="12.81640625" style="6"/>
    <col min="9473" max="9482" width="12.81640625" style="6" customWidth="1"/>
    <col min="9483" max="9483" width="14" style="6" customWidth="1"/>
    <col min="9484" max="9490" width="12.81640625" style="6" customWidth="1"/>
    <col min="9491" max="9728" width="12.81640625" style="6"/>
    <col min="9729" max="9738" width="12.81640625" style="6" customWidth="1"/>
    <col min="9739" max="9739" width="14" style="6" customWidth="1"/>
    <col min="9740" max="9746" width="12.81640625" style="6" customWidth="1"/>
    <col min="9747" max="9984" width="12.81640625" style="6"/>
    <col min="9985" max="9994" width="12.81640625" style="6" customWidth="1"/>
    <col min="9995" max="9995" width="14" style="6" customWidth="1"/>
    <col min="9996" max="10002" width="12.81640625" style="6" customWidth="1"/>
    <col min="10003" max="10240" width="12.81640625" style="6"/>
    <col min="10241" max="10250" width="12.81640625" style="6" customWidth="1"/>
    <col min="10251" max="10251" width="14" style="6" customWidth="1"/>
    <col min="10252" max="10258" width="12.81640625" style="6" customWidth="1"/>
    <col min="10259" max="10496" width="12.81640625" style="6"/>
    <col min="10497" max="10506" width="12.81640625" style="6" customWidth="1"/>
    <col min="10507" max="10507" width="14" style="6" customWidth="1"/>
    <col min="10508" max="10514" width="12.81640625" style="6" customWidth="1"/>
    <col min="10515" max="10752" width="12.81640625" style="6"/>
    <col min="10753" max="10762" width="12.81640625" style="6" customWidth="1"/>
    <col min="10763" max="10763" width="14" style="6" customWidth="1"/>
    <col min="10764" max="10770" width="12.81640625" style="6" customWidth="1"/>
    <col min="10771" max="11008" width="12.81640625" style="6"/>
    <col min="11009" max="11018" width="12.81640625" style="6" customWidth="1"/>
    <col min="11019" max="11019" width="14" style="6" customWidth="1"/>
    <col min="11020" max="11026" width="12.81640625" style="6" customWidth="1"/>
    <col min="11027" max="11264" width="12.81640625" style="6"/>
    <col min="11265" max="11274" width="12.81640625" style="6" customWidth="1"/>
    <col min="11275" max="11275" width="14" style="6" customWidth="1"/>
    <col min="11276" max="11282" width="12.81640625" style="6" customWidth="1"/>
    <col min="11283" max="11520" width="12.81640625" style="6"/>
    <col min="11521" max="11530" width="12.81640625" style="6" customWidth="1"/>
    <col min="11531" max="11531" width="14" style="6" customWidth="1"/>
    <col min="11532" max="11538" width="12.81640625" style="6" customWidth="1"/>
    <col min="11539" max="11776" width="12.81640625" style="6"/>
    <col min="11777" max="11786" width="12.81640625" style="6" customWidth="1"/>
    <col min="11787" max="11787" width="14" style="6" customWidth="1"/>
    <col min="11788" max="11794" width="12.81640625" style="6" customWidth="1"/>
    <col min="11795" max="12032" width="12.81640625" style="6"/>
    <col min="12033" max="12042" width="12.81640625" style="6" customWidth="1"/>
    <col min="12043" max="12043" width="14" style="6" customWidth="1"/>
    <col min="12044" max="12050" width="12.81640625" style="6" customWidth="1"/>
    <col min="12051" max="12288" width="12.81640625" style="6"/>
    <col min="12289" max="12298" width="12.81640625" style="6" customWidth="1"/>
    <col min="12299" max="12299" width="14" style="6" customWidth="1"/>
    <col min="12300" max="12306" width="12.81640625" style="6" customWidth="1"/>
    <col min="12307" max="12544" width="12.81640625" style="6"/>
    <col min="12545" max="12554" width="12.81640625" style="6" customWidth="1"/>
    <col min="12555" max="12555" width="14" style="6" customWidth="1"/>
    <col min="12556" max="12562" width="12.81640625" style="6" customWidth="1"/>
    <col min="12563" max="12800" width="12.81640625" style="6"/>
    <col min="12801" max="12810" width="12.81640625" style="6" customWidth="1"/>
    <col min="12811" max="12811" width="14" style="6" customWidth="1"/>
    <col min="12812" max="12818" width="12.81640625" style="6" customWidth="1"/>
    <col min="12819" max="13056" width="12.81640625" style="6"/>
    <col min="13057" max="13066" width="12.81640625" style="6" customWidth="1"/>
    <col min="13067" max="13067" width="14" style="6" customWidth="1"/>
    <col min="13068" max="13074" width="12.81640625" style="6" customWidth="1"/>
    <col min="13075" max="13312" width="12.81640625" style="6"/>
    <col min="13313" max="13322" width="12.81640625" style="6" customWidth="1"/>
    <col min="13323" max="13323" width="14" style="6" customWidth="1"/>
    <col min="13324" max="13330" width="12.81640625" style="6" customWidth="1"/>
    <col min="13331" max="13568" width="12.81640625" style="6"/>
    <col min="13569" max="13578" width="12.81640625" style="6" customWidth="1"/>
    <col min="13579" max="13579" width="14" style="6" customWidth="1"/>
    <col min="13580" max="13586" width="12.81640625" style="6" customWidth="1"/>
    <col min="13587" max="13824" width="12.81640625" style="6"/>
    <col min="13825" max="13834" width="12.81640625" style="6" customWidth="1"/>
    <col min="13835" max="13835" width="14" style="6" customWidth="1"/>
    <col min="13836" max="13842" width="12.81640625" style="6" customWidth="1"/>
    <col min="13843" max="14080" width="12.81640625" style="6"/>
    <col min="14081" max="14090" width="12.81640625" style="6" customWidth="1"/>
    <col min="14091" max="14091" width="14" style="6" customWidth="1"/>
    <col min="14092" max="14098" width="12.81640625" style="6" customWidth="1"/>
    <col min="14099" max="14336" width="12.81640625" style="6"/>
    <col min="14337" max="14346" width="12.81640625" style="6" customWidth="1"/>
    <col min="14347" max="14347" width="14" style="6" customWidth="1"/>
    <col min="14348" max="14354" width="12.81640625" style="6" customWidth="1"/>
    <col min="14355" max="14592" width="12.81640625" style="6"/>
    <col min="14593" max="14602" width="12.81640625" style="6" customWidth="1"/>
    <col min="14603" max="14603" width="14" style="6" customWidth="1"/>
    <col min="14604" max="14610" width="12.81640625" style="6" customWidth="1"/>
    <col min="14611" max="14848" width="12.81640625" style="6"/>
    <col min="14849" max="14858" width="12.81640625" style="6" customWidth="1"/>
    <col min="14859" max="14859" width="14" style="6" customWidth="1"/>
    <col min="14860" max="14866" width="12.81640625" style="6" customWidth="1"/>
    <col min="14867" max="15104" width="12.81640625" style="6"/>
    <col min="15105" max="15114" width="12.81640625" style="6" customWidth="1"/>
    <col min="15115" max="15115" width="14" style="6" customWidth="1"/>
    <col min="15116" max="15122" width="12.81640625" style="6" customWidth="1"/>
    <col min="15123" max="15360" width="12.81640625" style="6"/>
    <col min="15361" max="15370" width="12.81640625" style="6" customWidth="1"/>
    <col min="15371" max="15371" width="14" style="6" customWidth="1"/>
    <col min="15372" max="15378" width="12.81640625" style="6" customWidth="1"/>
    <col min="15379" max="15616" width="12.81640625" style="6"/>
    <col min="15617" max="15626" width="12.81640625" style="6" customWidth="1"/>
    <col min="15627" max="15627" width="14" style="6" customWidth="1"/>
    <col min="15628" max="15634" width="12.81640625" style="6" customWidth="1"/>
    <col min="15635" max="15872" width="12.81640625" style="6"/>
    <col min="15873" max="15882" width="12.81640625" style="6" customWidth="1"/>
    <col min="15883" max="15883" width="14" style="6" customWidth="1"/>
    <col min="15884" max="15890" width="12.81640625" style="6" customWidth="1"/>
    <col min="15891" max="16128" width="12.81640625" style="6"/>
    <col min="16129" max="16138" width="12.81640625" style="6" customWidth="1"/>
    <col min="16139" max="16139" width="14" style="6" customWidth="1"/>
    <col min="16140" max="16146" width="12.81640625" style="6" customWidth="1"/>
    <col min="16147" max="16384" width="12.81640625" style="6"/>
  </cols>
  <sheetData>
    <row r="1" spans="1:39" ht="55" customHeight="1">
      <c r="A1" s="4"/>
      <c r="B1" s="5"/>
      <c r="C1" s="4"/>
      <c r="D1" s="1201"/>
      <c r="E1" s="1201"/>
      <c r="F1" s="1201"/>
      <c r="G1" s="1201"/>
      <c r="H1" s="1201"/>
      <c r="I1" s="1201"/>
      <c r="J1" s="1201"/>
      <c r="K1" s="1201"/>
      <c r="L1" s="1201"/>
      <c r="M1" s="1201"/>
      <c r="N1" s="1201"/>
      <c r="O1" s="1201"/>
      <c r="P1" s="1210"/>
      <c r="Q1" s="1210"/>
      <c r="R1" s="1210"/>
      <c r="S1" s="1210"/>
      <c r="T1" s="1210"/>
      <c r="U1" s="1210"/>
      <c r="V1" s="1210"/>
      <c r="W1" s="1210"/>
      <c r="X1"/>
      <c r="Y1"/>
      <c r="Z1"/>
      <c r="AA1"/>
      <c r="AB1" s="1210"/>
      <c r="AC1" s="1210"/>
      <c r="AD1" s="1210"/>
      <c r="AE1" s="1210"/>
      <c r="AF1" s="1210"/>
      <c r="AG1" s="1210"/>
      <c r="AH1" s="1210"/>
      <c r="AI1" s="1210"/>
      <c r="AJ1" s="1210"/>
      <c r="AK1" s="1210"/>
      <c r="AL1" s="1210"/>
      <c r="AM1" s="1210"/>
    </row>
    <row r="2" spans="1:39" s="8" customFormat="1" ht="5.15" customHeight="1">
      <c r="A2" s="7"/>
      <c r="B2" s="7"/>
      <c r="C2" s="7"/>
      <c r="D2" s="7"/>
      <c r="E2" s="11"/>
      <c r="F2" s="11"/>
      <c r="G2" s="7"/>
      <c r="H2" s="7"/>
      <c r="I2" s="7"/>
      <c r="J2" s="412"/>
      <c r="Q2" s="412"/>
      <c r="R2" s="412"/>
      <c r="AB2" s="1210"/>
      <c r="AC2" s="1210"/>
      <c r="AD2" s="1210"/>
      <c r="AE2" s="1210"/>
      <c r="AF2" s="1210"/>
      <c r="AG2" s="1210"/>
      <c r="AH2" s="1210"/>
      <c r="AI2" s="1210"/>
    </row>
    <row r="3" spans="1:39" s="8" customFormat="1" ht="20.149999999999999" customHeight="1">
      <c r="A3" s="7" t="s">
        <v>655</v>
      </c>
      <c r="B3" s="140"/>
      <c r="C3" s="140"/>
      <c r="D3" s="10"/>
      <c r="E3" s="11"/>
      <c r="F3" s="11"/>
      <c r="G3" s="7"/>
      <c r="H3" s="7"/>
      <c r="J3" s="341"/>
      <c r="K3" s="3"/>
      <c r="L3" s="3"/>
      <c r="Q3" s="412"/>
      <c r="R3" s="412"/>
      <c r="T3" s="413"/>
      <c r="AL3" s="413"/>
    </row>
    <row r="4" spans="1:39" ht="20.149999999999999" customHeight="1" thickBot="1">
      <c r="A4" s="12" t="s">
        <v>48</v>
      </c>
      <c r="B4" s="13"/>
      <c r="C4" s="13"/>
      <c r="D4" s="14"/>
      <c r="E4" s="259"/>
      <c r="F4" s="259"/>
      <c r="G4" s="61"/>
      <c r="H4" s="61"/>
      <c r="I4" s="16"/>
      <c r="J4" s="414"/>
      <c r="K4" s="16"/>
      <c r="L4" s="16"/>
      <c r="M4" s="16"/>
      <c r="N4" s="16"/>
      <c r="O4" s="16"/>
      <c r="P4" s="16"/>
      <c r="Q4" s="414"/>
      <c r="R4" s="414"/>
      <c r="S4" s="16"/>
      <c r="T4" s="415"/>
      <c r="U4" s="16"/>
      <c r="V4" s="16"/>
      <c r="W4" s="16"/>
      <c r="X4" s="16"/>
      <c r="Y4" s="16"/>
      <c r="Z4" s="16"/>
      <c r="AA4" s="16"/>
      <c r="AB4" s="16"/>
      <c r="AC4" s="16"/>
      <c r="AD4" s="16"/>
      <c r="AE4" s="16"/>
      <c r="AF4" s="16"/>
      <c r="AG4" s="16"/>
      <c r="AH4" s="16"/>
      <c r="AI4" s="16"/>
      <c r="AJ4" s="16"/>
      <c r="AK4" s="16"/>
      <c r="AL4" s="415"/>
      <c r="AM4" s="16"/>
    </row>
    <row r="5" spans="1:39" ht="10" customHeight="1" thickTop="1" thickBot="1">
      <c r="E5" s="416"/>
      <c r="F5" s="31"/>
      <c r="G5" s="4"/>
      <c r="H5" s="4"/>
      <c r="T5" s="417"/>
    </row>
    <row r="6" spans="1:39" s="5" customFormat="1" ht="13.5" customHeight="1" thickTop="1">
      <c r="A6" s="20" t="s">
        <v>430</v>
      </c>
      <c r="B6" s="20"/>
      <c r="E6" s="1167" t="s">
        <v>142</v>
      </c>
      <c r="F6" s="1214"/>
      <c r="G6" s="1214"/>
      <c r="H6" s="1214"/>
      <c r="I6" s="1214"/>
      <c r="J6" s="1214"/>
      <c r="K6" s="1214"/>
      <c r="L6" s="1214"/>
      <c r="M6" s="1214"/>
      <c r="N6" s="1214"/>
      <c r="O6" s="1214"/>
      <c r="P6" s="1214"/>
      <c r="Q6" s="1214"/>
      <c r="R6" s="1214"/>
      <c r="S6" s="1215"/>
    </row>
    <row r="7" spans="1:39" s="5" customFormat="1" ht="13.5" customHeight="1">
      <c r="A7" s="1183" t="s">
        <v>584</v>
      </c>
      <c r="B7" s="1184"/>
      <c r="D7" s="22"/>
      <c r="E7" s="261" t="s">
        <v>656</v>
      </c>
      <c r="F7" s="4"/>
      <c r="S7" s="22"/>
    </row>
    <row r="8" spans="1:39" s="5" customFormat="1" ht="13.5" customHeight="1">
      <c r="A8" s="1187">
        <v>44682</v>
      </c>
      <c r="B8" s="1188"/>
      <c r="C8" s="18"/>
      <c r="D8" s="34"/>
      <c r="E8" s="5" t="s">
        <v>657</v>
      </c>
      <c r="F8" s="24"/>
      <c r="I8" s="5" t="s">
        <v>658</v>
      </c>
      <c r="S8" s="22"/>
    </row>
    <row r="9" spans="1:39" s="5" customFormat="1" ht="13.5" customHeight="1" thickBot="1">
      <c r="A9" s="20" t="s">
        <v>435</v>
      </c>
      <c r="B9" s="25"/>
      <c r="D9" s="34"/>
      <c r="E9" s="5" t="s">
        <v>659</v>
      </c>
      <c r="S9" s="22"/>
    </row>
    <row r="10" spans="1:39" s="5" customFormat="1" ht="13.5" customHeight="1" thickBot="1">
      <c r="A10" s="1176" t="s">
        <v>438</v>
      </c>
      <c r="B10" s="1186"/>
      <c r="D10" s="34"/>
      <c r="E10" s="5" t="s">
        <v>660</v>
      </c>
      <c r="S10" s="22"/>
    </row>
    <row r="11" spans="1:39" s="5" customFormat="1" ht="13.5" customHeight="1" thickBot="1">
      <c r="A11" s="1176" t="s">
        <v>440</v>
      </c>
      <c r="B11" s="1186"/>
      <c r="D11" s="34"/>
      <c r="E11" s="5" t="s">
        <v>661</v>
      </c>
      <c r="F11" s="26"/>
      <c r="G11" s="26"/>
      <c r="H11" s="26"/>
      <c r="I11" s="26"/>
      <c r="J11" s="26"/>
      <c r="K11" s="26"/>
      <c r="L11" s="26"/>
      <c r="M11" s="26"/>
      <c r="N11" s="26"/>
      <c r="O11" s="26"/>
      <c r="P11" s="26"/>
      <c r="Q11" s="26"/>
      <c r="R11" s="26"/>
      <c r="S11" s="27"/>
    </row>
    <row r="12" spans="1:39" s="5" customFormat="1" ht="13.5" customHeight="1" thickBot="1">
      <c r="A12" s="1176" t="s">
        <v>441</v>
      </c>
      <c r="B12" s="1186"/>
      <c r="D12" s="34"/>
      <c r="E12" s="5" t="s">
        <v>662</v>
      </c>
      <c r="S12" s="22"/>
    </row>
    <row r="13" spans="1:39" s="5" customFormat="1" ht="13.5" customHeight="1">
      <c r="A13" s="20" t="s">
        <v>444</v>
      </c>
      <c r="B13" s="28"/>
      <c r="C13" s="18"/>
      <c r="D13" s="34"/>
      <c r="S13" s="22"/>
    </row>
    <row r="14" spans="1:39" s="5" customFormat="1" ht="13.5" customHeight="1">
      <c r="B14" s="29"/>
      <c r="C14" s="18"/>
      <c r="D14" s="18"/>
      <c r="E14" s="52" t="s">
        <v>663</v>
      </c>
      <c r="S14" s="22"/>
    </row>
    <row r="15" spans="1:39" s="5" customFormat="1" ht="13.5" customHeight="1">
      <c r="A15" s="5" t="s">
        <v>589</v>
      </c>
      <c r="B15" s="147">
        <v>2010</v>
      </c>
      <c r="D15" s="18"/>
      <c r="E15" s="23"/>
      <c r="S15" s="22"/>
    </row>
    <row r="16" spans="1:39" s="5" customFormat="1" ht="13.5" customHeight="1">
      <c r="A16" s="30"/>
      <c r="B16" s="31"/>
      <c r="D16" s="18"/>
      <c r="E16" s="23"/>
      <c r="S16" s="22"/>
    </row>
    <row r="17" spans="1:39" s="5" customFormat="1" ht="13.5" customHeight="1" thickBot="1">
      <c r="A17" s="20" t="s">
        <v>451</v>
      </c>
      <c r="B17" s="25"/>
      <c r="C17" s="18"/>
      <c r="D17" s="18"/>
      <c r="E17" s="33"/>
      <c r="S17" s="22"/>
    </row>
    <row r="18" spans="1:39" s="5" customFormat="1" ht="13.5" customHeight="1" thickBot="1">
      <c r="A18" s="204" t="s">
        <v>87</v>
      </c>
      <c r="B18" s="418" t="s">
        <v>664</v>
      </c>
      <c r="C18" s="18"/>
      <c r="D18" s="18"/>
      <c r="E18" s="23" t="s">
        <v>665</v>
      </c>
      <c r="S18" s="22"/>
    </row>
    <row r="19" spans="1:39" s="5" customFormat="1" ht="13.5" customHeight="1" thickBot="1">
      <c r="A19" s="418" t="s">
        <v>666</v>
      </c>
      <c r="B19" s="418" t="s">
        <v>667</v>
      </c>
      <c r="C19" s="18"/>
      <c r="D19" s="34"/>
      <c r="E19" s="23" t="s">
        <v>668</v>
      </c>
      <c r="S19" s="22"/>
    </row>
    <row r="20" spans="1:39" s="5" customFormat="1" ht="13.5" customHeight="1" thickBot="1">
      <c r="A20" s="263"/>
      <c r="B20" s="1069"/>
      <c r="C20" s="18"/>
      <c r="D20" s="34"/>
      <c r="E20" s="419" t="s">
        <v>669</v>
      </c>
      <c r="F20" s="36"/>
      <c r="G20" s="36"/>
      <c r="H20" s="36"/>
      <c r="I20" s="36"/>
      <c r="J20" s="36"/>
      <c r="K20" s="36"/>
      <c r="L20" s="36"/>
      <c r="M20" s="36"/>
      <c r="N20" s="36"/>
      <c r="O20" s="36"/>
      <c r="P20" s="36"/>
      <c r="Q20" s="36"/>
      <c r="R20" s="36"/>
      <c r="S20" s="37"/>
    </row>
    <row r="21" spans="1:39" thickTop="1">
      <c r="A21" s="420"/>
      <c r="B21" s="263"/>
      <c r="C21" s="18"/>
      <c r="D21" s="31"/>
      <c r="E21" s="30"/>
      <c r="F21" s="31"/>
      <c r="G21" s="4"/>
      <c r="H21" s="4"/>
      <c r="I21" s="24"/>
      <c r="M21" s="417"/>
      <c r="T21" s="417"/>
    </row>
    <row r="22" spans="1:39" s="421" customFormat="1" ht="13.5" customHeight="1" thickBot="1">
      <c r="B22" s="422">
        <v>1</v>
      </c>
      <c r="C22" s="422">
        <f>1+B22</f>
        <v>2</v>
      </c>
      <c r="D22" s="422">
        <f t="shared" ref="D22:AM22" si="0">1+C22</f>
        <v>3</v>
      </c>
      <c r="E22" s="422">
        <f t="shared" si="0"/>
        <v>4</v>
      </c>
      <c r="F22" s="422">
        <f t="shared" si="0"/>
        <v>5</v>
      </c>
      <c r="G22" s="422">
        <f t="shared" si="0"/>
        <v>6</v>
      </c>
      <c r="H22" s="422">
        <f t="shared" si="0"/>
        <v>7</v>
      </c>
      <c r="I22" s="422">
        <f t="shared" si="0"/>
        <v>8</v>
      </c>
      <c r="J22" s="422">
        <f t="shared" si="0"/>
        <v>9</v>
      </c>
      <c r="K22" s="422">
        <f t="shared" si="0"/>
        <v>10</v>
      </c>
      <c r="L22" s="422">
        <f t="shared" si="0"/>
        <v>11</v>
      </c>
      <c r="M22" s="422">
        <f t="shared" si="0"/>
        <v>12</v>
      </c>
      <c r="N22" s="422">
        <f t="shared" si="0"/>
        <v>13</v>
      </c>
      <c r="O22" s="422">
        <f t="shared" si="0"/>
        <v>14</v>
      </c>
      <c r="P22" s="422">
        <f t="shared" si="0"/>
        <v>15</v>
      </c>
      <c r="Q22" s="422">
        <f t="shared" si="0"/>
        <v>16</v>
      </c>
      <c r="R22" s="422">
        <f t="shared" si="0"/>
        <v>17</v>
      </c>
      <c r="S22" s="422">
        <f t="shared" si="0"/>
        <v>18</v>
      </c>
      <c r="T22" s="422">
        <f t="shared" si="0"/>
        <v>19</v>
      </c>
      <c r="U22" s="422">
        <f t="shared" si="0"/>
        <v>20</v>
      </c>
      <c r="V22" s="422">
        <f t="shared" si="0"/>
        <v>21</v>
      </c>
      <c r="W22" s="422">
        <f t="shared" si="0"/>
        <v>22</v>
      </c>
      <c r="X22" s="422">
        <f t="shared" si="0"/>
        <v>23</v>
      </c>
      <c r="Y22" s="422">
        <f t="shared" si="0"/>
        <v>24</v>
      </c>
      <c r="Z22" s="422">
        <f t="shared" si="0"/>
        <v>25</v>
      </c>
      <c r="AA22" s="422">
        <f t="shared" si="0"/>
        <v>26</v>
      </c>
      <c r="AB22" s="422">
        <f t="shared" si="0"/>
        <v>27</v>
      </c>
      <c r="AC22" s="422">
        <f t="shared" si="0"/>
        <v>28</v>
      </c>
      <c r="AD22" s="422">
        <f t="shared" si="0"/>
        <v>29</v>
      </c>
      <c r="AE22" s="422">
        <f t="shared" si="0"/>
        <v>30</v>
      </c>
      <c r="AF22" s="422">
        <f t="shared" si="0"/>
        <v>31</v>
      </c>
      <c r="AG22" s="422">
        <f t="shared" si="0"/>
        <v>32</v>
      </c>
      <c r="AH22" s="422">
        <f t="shared" si="0"/>
        <v>33</v>
      </c>
      <c r="AI22" s="422">
        <f t="shared" si="0"/>
        <v>34</v>
      </c>
      <c r="AJ22" s="422">
        <f t="shared" si="0"/>
        <v>35</v>
      </c>
      <c r="AK22" s="422">
        <f t="shared" si="0"/>
        <v>36</v>
      </c>
      <c r="AL22" s="422">
        <f t="shared" si="0"/>
        <v>37</v>
      </c>
      <c r="AM22" s="422">
        <f t="shared" si="0"/>
        <v>38</v>
      </c>
    </row>
    <row r="23" spans="1:39" ht="13.5" customHeight="1" thickTop="1" thickBot="1">
      <c r="A23" s="423" t="s">
        <v>670</v>
      </c>
      <c r="B23" s="41"/>
      <c r="C23" s="424"/>
      <c r="D23" s="211" t="str">
        <f>CONCATENATE("Forecast fuel / energy consumption parameter values (",B15," - ",B106,")")</f>
        <v>Forecast fuel / energy consumption parameter values (2010 - 2089)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25"/>
    </row>
    <row r="24" spans="1:39" s="3" customFormat="1" ht="13.5" customHeight="1" thickTop="1" thickBot="1">
      <c r="A24" s="426"/>
      <c r="B24" s="427" t="s">
        <v>671</v>
      </c>
      <c r="C24" s="428"/>
      <c r="D24" s="270" t="s">
        <v>672</v>
      </c>
      <c r="E24" s="217"/>
      <c r="F24" s="217"/>
      <c r="G24" s="218"/>
      <c r="H24" s="270" t="s">
        <v>673</v>
      </c>
      <c r="I24" s="71"/>
      <c r="J24" s="71"/>
      <c r="K24" s="72"/>
      <c r="L24" s="270" t="s">
        <v>674</v>
      </c>
      <c r="M24" s="71"/>
      <c r="N24" s="71"/>
      <c r="O24" s="72"/>
      <c r="P24" s="270" t="s">
        <v>675</v>
      </c>
      <c r="Q24" s="71"/>
      <c r="R24" s="71"/>
      <c r="S24" s="72"/>
      <c r="T24" s="1211" t="s">
        <v>676</v>
      </c>
      <c r="U24" s="1212"/>
      <c r="V24" s="1212"/>
      <c r="W24" s="1213"/>
      <c r="X24" s="1179" t="s">
        <v>677</v>
      </c>
      <c r="Y24" s="1208"/>
      <c r="Z24" s="1208"/>
      <c r="AA24" s="1209"/>
      <c r="AB24" s="270" t="s">
        <v>678</v>
      </c>
      <c r="AC24" s="71"/>
      <c r="AD24" s="71"/>
      <c r="AE24" s="72"/>
      <c r="AF24" s="270" t="s">
        <v>679</v>
      </c>
      <c r="AG24" s="71"/>
      <c r="AH24" s="71"/>
      <c r="AI24" s="72"/>
      <c r="AJ24" s="270" t="s">
        <v>680</v>
      </c>
      <c r="AK24" s="71"/>
      <c r="AL24" s="71"/>
      <c r="AM24" s="72"/>
    </row>
    <row r="25" spans="1:39" ht="13.5" customHeight="1" thickTop="1" thickBot="1">
      <c r="A25" s="333"/>
      <c r="B25" s="429" t="s">
        <v>474</v>
      </c>
      <c r="C25" s="430"/>
      <c r="D25" s="431" t="s">
        <v>681</v>
      </c>
      <c r="E25" s="432" t="s">
        <v>682</v>
      </c>
      <c r="F25" s="432" t="s">
        <v>683</v>
      </c>
      <c r="G25" s="433" t="s">
        <v>684</v>
      </c>
      <c r="H25" s="431" t="s">
        <v>681</v>
      </c>
      <c r="I25" s="432" t="s">
        <v>682</v>
      </c>
      <c r="J25" s="432" t="s">
        <v>683</v>
      </c>
      <c r="K25" s="433" t="s">
        <v>684</v>
      </c>
      <c r="L25" s="431" t="s">
        <v>681</v>
      </c>
      <c r="M25" s="432" t="s">
        <v>682</v>
      </c>
      <c r="N25" s="432" t="s">
        <v>683</v>
      </c>
      <c r="O25" s="433" t="s">
        <v>684</v>
      </c>
      <c r="P25" s="431" t="s">
        <v>681</v>
      </c>
      <c r="Q25" s="432" t="s">
        <v>682</v>
      </c>
      <c r="R25" s="432" t="s">
        <v>683</v>
      </c>
      <c r="S25" s="433" t="s">
        <v>684</v>
      </c>
      <c r="T25" s="431" t="s">
        <v>681</v>
      </c>
      <c r="U25" s="432" t="s">
        <v>682</v>
      </c>
      <c r="V25" s="432" t="s">
        <v>683</v>
      </c>
      <c r="W25" s="433" t="s">
        <v>684</v>
      </c>
      <c r="X25" s="431" t="s">
        <v>681</v>
      </c>
      <c r="Y25" s="432" t="s">
        <v>682</v>
      </c>
      <c r="Z25" s="432" t="s">
        <v>683</v>
      </c>
      <c r="AA25" s="433" t="s">
        <v>684</v>
      </c>
      <c r="AB25" s="431" t="s">
        <v>681</v>
      </c>
      <c r="AC25" s="432" t="s">
        <v>682</v>
      </c>
      <c r="AD25" s="432" t="s">
        <v>683</v>
      </c>
      <c r="AE25" s="433" t="s">
        <v>684</v>
      </c>
      <c r="AF25" s="431" t="s">
        <v>681</v>
      </c>
      <c r="AG25" s="432" t="s">
        <v>682</v>
      </c>
      <c r="AH25" s="432" t="s">
        <v>683</v>
      </c>
      <c r="AI25" s="433" t="s">
        <v>684</v>
      </c>
      <c r="AJ25" s="431" t="s">
        <v>681</v>
      </c>
      <c r="AK25" s="432" t="s">
        <v>682</v>
      </c>
      <c r="AL25" s="432" t="s">
        <v>683</v>
      </c>
      <c r="AM25" s="433" t="s">
        <v>684</v>
      </c>
    </row>
    <row r="26" spans="1:39" ht="13.5" customHeight="1" thickTop="1" thickBot="1">
      <c r="A26" s="329"/>
      <c r="B26" s="456">
        <v>1</v>
      </c>
      <c r="C26" s="457">
        <v>2</v>
      </c>
      <c r="D26" s="458">
        <v>3</v>
      </c>
      <c r="E26" s="456">
        <v>4</v>
      </c>
      <c r="F26" s="457">
        <v>5</v>
      </c>
      <c r="G26" s="458">
        <v>6</v>
      </c>
      <c r="H26" s="456">
        <v>7</v>
      </c>
      <c r="I26" s="457">
        <v>8</v>
      </c>
      <c r="J26" s="458">
        <v>9</v>
      </c>
      <c r="K26" s="456">
        <v>10</v>
      </c>
      <c r="L26" s="457">
        <v>11</v>
      </c>
      <c r="M26" s="458">
        <v>12</v>
      </c>
      <c r="N26" s="456">
        <v>13</v>
      </c>
      <c r="O26" s="457">
        <v>14</v>
      </c>
      <c r="P26" s="458">
        <v>15</v>
      </c>
      <c r="Q26" s="456">
        <v>16</v>
      </c>
      <c r="R26" s="457">
        <v>17</v>
      </c>
      <c r="S26" s="458">
        <v>18</v>
      </c>
      <c r="T26" s="456">
        <v>19</v>
      </c>
      <c r="U26" s="457">
        <v>20</v>
      </c>
      <c r="V26" s="458">
        <v>21</v>
      </c>
      <c r="W26" s="456">
        <v>22</v>
      </c>
      <c r="X26" s="457">
        <v>23</v>
      </c>
      <c r="Y26" s="458">
        <v>24</v>
      </c>
      <c r="Z26" s="456">
        <v>25</v>
      </c>
      <c r="AA26" s="457">
        <v>26</v>
      </c>
      <c r="AB26" s="458">
        <v>27</v>
      </c>
      <c r="AC26" s="456">
        <v>28</v>
      </c>
      <c r="AD26" s="457">
        <v>29</v>
      </c>
      <c r="AE26" s="458">
        <v>30</v>
      </c>
      <c r="AF26" s="456">
        <v>31</v>
      </c>
      <c r="AG26" s="457">
        <v>32</v>
      </c>
      <c r="AH26" s="458">
        <v>33</v>
      </c>
      <c r="AI26" s="456">
        <v>34</v>
      </c>
      <c r="AJ26" s="457">
        <v>35</v>
      </c>
      <c r="AK26" s="458">
        <v>36</v>
      </c>
      <c r="AL26" s="456">
        <v>37</v>
      </c>
      <c r="AM26" s="457">
        <v>38</v>
      </c>
    </row>
    <row r="27" spans="1:39" ht="13.5" customHeight="1" thickTop="1">
      <c r="A27" s="48"/>
      <c r="B27" s="284">
        <v>2010</v>
      </c>
      <c r="C27" s="434"/>
      <c r="D27" s="435">
        <v>0.47066999999999998</v>
      </c>
      <c r="E27" s="436">
        <v>0.10002999999999999</v>
      </c>
      <c r="F27" s="436">
        <v>-1.14E-3</v>
      </c>
      <c r="G27" s="437">
        <v>7.9999999999999996E-6</v>
      </c>
      <c r="H27" s="438">
        <v>0.50692000000000004</v>
      </c>
      <c r="I27" s="439">
        <v>7.2679999999999995E-2</v>
      </c>
      <c r="J27" s="439">
        <v>-6.9999999999999999E-4</v>
      </c>
      <c r="K27" s="437">
        <v>6.0000000000000002E-6</v>
      </c>
      <c r="L27" s="438"/>
      <c r="M27" s="439">
        <v>0.21365999999999999</v>
      </c>
      <c r="N27" s="440"/>
      <c r="O27" s="441"/>
      <c r="P27" s="442">
        <v>0.34867500000000001</v>
      </c>
      <c r="Q27" s="443">
        <v>0.195517</v>
      </c>
      <c r="R27" s="443">
        <v>-3.0690000000000001E-3</v>
      </c>
      <c r="S27" s="437">
        <v>2.0000000000000002E-5</v>
      </c>
      <c r="T27" s="442">
        <v>0.46877000000000002</v>
      </c>
      <c r="U27" s="443">
        <v>0.114569</v>
      </c>
      <c r="V27" s="443">
        <v>-1.653E-3</v>
      </c>
      <c r="W27" s="437">
        <v>1.4E-5</v>
      </c>
      <c r="X27" s="444"/>
      <c r="Y27" s="439">
        <v>0.23232</v>
      </c>
      <c r="Z27" s="437"/>
      <c r="AA27" s="437"/>
      <c r="AB27" s="442">
        <v>2.6114649999999999</v>
      </c>
      <c r="AC27" s="443">
        <v>0.13855700000000001</v>
      </c>
      <c r="AD27" s="443">
        <v>-1.0009999999999999E-3</v>
      </c>
      <c r="AE27" s="437">
        <v>1.1E-5</v>
      </c>
      <c r="AF27" s="442">
        <v>5.7220979999999999</v>
      </c>
      <c r="AG27" s="443">
        <v>0.29715900000000001</v>
      </c>
      <c r="AH27" s="443">
        <v>-1.9689999999999998E-3</v>
      </c>
      <c r="AI27" s="445">
        <v>1.2E-5</v>
      </c>
      <c r="AJ27" s="442">
        <v>3.3601869999999998</v>
      </c>
      <c r="AK27" s="443">
        <v>0.29524899999999998</v>
      </c>
      <c r="AL27" s="443">
        <v>-3.209E-3</v>
      </c>
      <c r="AM27" s="445">
        <v>2.4000000000000001E-5</v>
      </c>
    </row>
    <row r="28" spans="1:39" ht="13.5" customHeight="1">
      <c r="A28" s="52"/>
      <c r="B28" s="289">
        <v>2011</v>
      </c>
      <c r="D28" s="446">
        <v>0.46783000000000002</v>
      </c>
      <c r="E28" s="447">
        <v>9.9419999999999994E-2</v>
      </c>
      <c r="F28" s="447">
        <v>-1.1299999999999999E-3</v>
      </c>
      <c r="G28" s="448">
        <v>7.9999999999999996E-6</v>
      </c>
      <c r="H28" s="449">
        <v>0.50248999999999999</v>
      </c>
      <c r="I28" s="450">
        <v>7.2040000000000007E-2</v>
      </c>
      <c r="J28" s="450">
        <v>-6.8999999999999997E-4</v>
      </c>
      <c r="K28" s="448">
        <v>5.0000000000000004E-6</v>
      </c>
      <c r="L28" s="449"/>
      <c r="M28" s="450">
        <v>0.21359</v>
      </c>
      <c r="N28" s="294"/>
      <c r="O28" s="451"/>
      <c r="P28" s="452">
        <v>0.34926099999999999</v>
      </c>
      <c r="Q28" s="453">
        <v>0.19584499999999999</v>
      </c>
      <c r="R28" s="453">
        <v>-3.0739999999999999E-3</v>
      </c>
      <c r="S28" s="448">
        <v>2.0000000000000002E-5</v>
      </c>
      <c r="T28" s="452">
        <v>0.46794200000000002</v>
      </c>
      <c r="U28" s="453">
        <v>0.114367</v>
      </c>
      <c r="V28" s="453">
        <v>-1.65E-3</v>
      </c>
      <c r="W28" s="448">
        <v>1.4E-5</v>
      </c>
      <c r="X28" s="454"/>
      <c r="Y28" s="450">
        <v>0.23232</v>
      </c>
      <c r="Z28" s="448"/>
      <c r="AA28" s="448"/>
      <c r="AB28" s="452">
        <v>2.6144050000000001</v>
      </c>
      <c r="AC28" s="453">
        <v>0.138713</v>
      </c>
      <c r="AD28" s="453">
        <v>-1.003E-3</v>
      </c>
      <c r="AE28" s="448">
        <v>1.1E-5</v>
      </c>
      <c r="AF28" s="452">
        <v>5.7214640000000001</v>
      </c>
      <c r="AG28" s="453">
        <v>0.297126</v>
      </c>
      <c r="AH28" s="453">
        <v>-1.9689999999999998E-3</v>
      </c>
      <c r="AI28" s="455">
        <v>1.2E-5</v>
      </c>
      <c r="AJ28" s="452">
        <v>3.3601869999999998</v>
      </c>
      <c r="AK28" s="453">
        <v>0.29524899999999998</v>
      </c>
      <c r="AL28" s="453">
        <v>-3.209E-3</v>
      </c>
      <c r="AM28" s="455">
        <v>2.4000000000000001E-5</v>
      </c>
    </row>
    <row r="29" spans="1:39" ht="13.5" customHeight="1">
      <c r="A29" s="52"/>
      <c r="B29" s="294">
        <v>2012</v>
      </c>
      <c r="D29" s="446">
        <v>0.46649000000000002</v>
      </c>
      <c r="E29" s="447">
        <v>9.9140000000000006E-2</v>
      </c>
      <c r="F29" s="447">
        <v>-1.1299999999999999E-3</v>
      </c>
      <c r="G29" s="448">
        <v>6.9999999999999999E-6</v>
      </c>
      <c r="H29" s="449">
        <v>0.49758999999999998</v>
      </c>
      <c r="I29" s="450">
        <v>7.1340000000000001E-2</v>
      </c>
      <c r="J29" s="450">
        <v>-6.8999999999999997E-4</v>
      </c>
      <c r="K29" s="448">
        <v>5.0000000000000004E-6</v>
      </c>
      <c r="L29" s="449"/>
      <c r="M29" s="450">
        <v>0.21510000000000001</v>
      </c>
      <c r="N29" s="294"/>
      <c r="O29" s="451"/>
      <c r="P29" s="452">
        <v>0.351462</v>
      </c>
      <c r="Q29" s="453">
        <v>0.197079</v>
      </c>
      <c r="R29" s="453">
        <v>-3.094E-3</v>
      </c>
      <c r="S29" s="448">
        <v>2.0000000000000002E-5</v>
      </c>
      <c r="T29" s="452">
        <v>0.46575</v>
      </c>
      <c r="U29" s="453">
        <v>0.113831</v>
      </c>
      <c r="V29" s="453">
        <v>-1.642E-3</v>
      </c>
      <c r="W29" s="448">
        <v>1.4E-5</v>
      </c>
      <c r="X29" s="454"/>
      <c r="Y29" s="450">
        <v>0.23232</v>
      </c>
      <c r="Z29" s="448"/>
      <c r="AA29" s="448"/>
      <c r="AB29" s="452">
        <v>2.6910530000000001</v>
      </c>
      <c r="AC29" s="453">
        <v>0.14277999999999999</v>
      </c>
      <c r="AD29" s="453">
        <v>-1.0319999999999999E-3</v>
      </c>
      <c r="AE29" s="448">
        <v>1.1E-5</v>
      </c>
      <c r="AF29" s="452">
        <v>5.7050039999999997</v>
      </c>
      <c r="AG29" s="453">
        <v>0.29627100000000001</v>
      </c>
      <c r="AH29" s="453">
        <v>-1.9629999999999999E-3</v>
      </c>
      <c r="AI29" s="455">
        <v>1.2E-5</v>
      </c>
      <c r="AJ29" s="452">
        <v>3.3601869999999998</v>
      </c>
      <c r="AK29" s="453">
        <v>0.29524899999999998</v>
      </c>
      <c r="AL29" s="453">
        <v>-3.209E-3</v>
      </c>
      <c r="AM29" s="455">
        <v>2.4000000000000001E-5</v>
      </c>
    </row>
    <row r="30" spans="1:39" ht="13.5" customHeight="1">
      <c r="A30" s="52"/>
      <c r="B30" s="294">
        <v>2013</v>
      </c>
      <c r="D30" s="446">
        <v>0.46233999999999997</v>
      </c>
      <c r="E30" s="447">
        <v>9.8250000000000004E-2</v>
      </c>
      <c r="F30" s="447">
        <v>-1.1199999999999999E-3</v>
      </c>
      <c r="G30" s="448">
        <v>6.9999999999999999E-6</v>
      </c>
      <c r="H30" s="449">
        <v>0.49301</v>
      </c>
      <c r="I30" s="450">
        <v>7.0690000000000003E-2</v>
      </c>
      <c r="J30" s="450">
        <v>-6.8000000000000005E-4</v>
      </c>
      <c r="K30" s="448">
        <v>5.0000000000000004E-6</v>
      </c>
      <c r="L30" s="449"/>
      <c r="M30" s="450">
        <v>0.21492</v>
      </c>
      <c r="N30" s="294"/>
      <c r="O30" s="451"/>
      <c r="P30" s="452">
        <v>0.351352</v>
      </c>
      <c r="Q30" s="453">
        <v>0.197018</v>
      </c>
      <c r="R30" s="453">
        <v>-3.0929999999999998E-3</v>
      </c>
      <c r="S30" s="448">
        <v>2.0000000000000002E-5</v>
      </c>
      <c r="T30" s="452">
        <v>0.465252</v>
      </c>
      <c r="U30" s="453">
        <v>0.11371000000000001</v>
      </c>
      <c r="V30" s="453">
        <v>-1.64E-3</v>
      </c>
      <c r="W30" s="448">
        <v>1.4E-5</v>
      </c>
      <c r="X30" s="454"/>
      <c r="Y30" s="450">
        <v>0.23232</v>
      </c>
      <c r="Z30" s="448"/>
      <c r="AA30" s="448"/>
      <c r="AB30" s="452">
        <v>2.6782590000000002</v>
      </c>
      <c r="AC30" s="453">
        <v>0.14210100000000001</v>
      </c>
      <c r="AD30" s="453">
        <v>-1.0269999999999999E-3</v>
      </c>
      <c r="AE30" s="448">
        <v>1.1E-5</v>
      </c>
      <c r="AF30" s="452">
        <v>5.7011520000000004</v>
      </c>
      <c r="AG30" s="453">
        <v>0.29607099999999997</v>
      </c>
      <c r="AH30" s="453">
        <v>-1.9620000000000002E-3</v>
      </c>
      <c r="AI30" s="455">
        <v>1.2E-5</v>
      </c>
      <c r="AJ30" s="452">
        <v>3.3601869999999998</v>
      </c>
      <c r="AK30" s="453">
        <v>0.29524899999999998</v>
      </c>
      <c r="AL30" s="453">
        <v>-3.209E-3</v>
      </c>
      <c r="AM30" s="455">
        <v>2.4000000000000001E-5</v>
      </c>
    </row>
    <row r="31" spans="1:39" ht="13.5" customHeight="1">
      <c r="A31" s="52"/>
      <c r="B31" s="294">
        <v>2014</v>
      </c>
      <c r="D31" s="446">
        <v>0.45780999999999999</v>
      </c>
      <c r="E31" s="447">
        <v>9.7290000000000001E-2</v>
      </c>
      <c r="F31" s="447">
        <v>-1.1100000000000001E-3</v>
      </c>
      <c r="G31" s="448">
        <v>6.9999999999999999E-6</v>
      </c>
      <c r="H31" s="449">
        <v>0.48835000000000001</v>
      </c>
      <c r="I31" s="450">
        <v>7.0019999999999999E-2</v>
      </c>
      <c r="J31" s="450">
        <v>-6.7000000000000002E-4</v>
      </c>
      <c r="K31" s="448">
        <v>5.0000000000000004E-6</v>
      </c>
      <c r="L31" s="449"/>
      <c r="M31" s="450">
        <v>0.21709999999999999</v>
      </c>
      <c r="N31" s="294"/>
      <c r="O31" s="451"/>
      <c r="P31" s="452">
        <v>0.35316999999999998</v>
      </c>
      <c r="Q31" s="453">
        <v>0.19803699999999999</v>
      </c>
      <c r="R31" s="453">
        <v>-3.1089999999999998E-3</v>
      </c>
      <c r="S31" s="448">
        <v>2.0000000000000002E-5</v>
      </c>
      <c r="T31" s="452">
        <v>0.46498699999999998</v>
      </c>
      <c r="U31" s="453">
        <v>0.113645</v>
      </c>
      <c r="V31" s="453">
        <v>-1.64E-3</v>
      </c>
      <c r="W31" s="448">
        <v>1.4E-5</v>
      </c>
      <c r="X31" s="454"/>
      <c r="Y31" s="450">
        <v>0.23241000000000001</v>
      </c>
      <c r="Z31" s="448"/>
      <c r="AA31" s="448"/>
      <c r="AB31" s="452">
        <v>2.706064</v>
      </c>
      <c r="AC31" s="453">
        <v>0.14357600000000001</v>
      </c>
      <c r="AD31" s="453">
        <v>-1.0380000000000001E-3</v>
      </c>
      <c r="AE31" s="448">
        <v>1.1E-5</v>
      </c>
      <c r="AF31" s="452">
        <v>5.6929379999999998</v>
      </c>
      <c r="AG31" s="453">
        <v>0.29564400000000002</v>
      </c>
      <c r="AH31" s="453">
        <v>-1.9589999999999998E-3</v>
      </c>
      <c r="AI31" s="455">
        <v>1.2E-5</v>
      </c>
      <c r="AJ31" s="452">
        <v>3.3601869999999998</v>
      </c>
      <c r="AK31" s="453">
        <v>0.29524899999999998</v>
      </c>
      <c r="AL31" s="453">
        <v>-3.209E-3</v>
      </c>
      <c r="AM31" s="455">
        <v>2.4000000000000001E-5</v>
      </c>
    </row>
    <row r="32" spans="1:39" ht="13.5" customHeight="1">
      <c r="A32" s="52"/>
      <c r="B32" s="294">
        <v>2015</v>
      </c>
      <c r="D32" s="446">
        <v>0.45195000000000002</v>
      </c>
      <c r="E32" s="447">
        <v>9.6049999999999996E-2</v>
      </c>
      <c r="F32" s="447">
        <v>-1.09E-3</v>
      </c>
      <c r="G32" s="448">
        <v>6.9999999999999999E-6</v>
      </c>
      <c r="H32" s="449">
        <v>0.48191000000000001</v>
      </c>
      <c r="I32" s="450">
        <v>6.9089999999999999E-2</v>
      </c>
      <c r="J32" s="450">
        <v>-6.6E-4</v>
      </c>
      <c r="K32" s="448">
        <v>5.0000000000000004E-6</v>
      </c>
      <c r="L32" s="449"/>
      <c r="M32" s="450">
        <v>0.21911</v>
      </c>
      <c r="N32" s="294"/>
      <c r="O32" s="451"/>
      <c r="P32" s="452">
        <v>0.34434799999999999</v>
      </c>
      <c r="Q32" s="453">
        <v>0.19309000000000001</v>
      </c>
      <c r="R32" s="453">
        <v>-3.0309999999999998E-3</v>
      </c>
      <c r="S32" s="448">
        <v>2.0000000000000002E-5</v>
      </c>
      <c r="T32" s="452">
        <v>0.46348499999999998</v>
      </c>
      <c r="U32" s="453">
        <v>0.113278</v>
      </c>
      <c r="V32" s="453">
        <v>-1.634E-3</v>
      </c>
      <c r="W32" s="448">
        <v>1.4E-5</v>
      </c>
      <c r="X32" s="454"/>
      <c r="Y32" s="450">
        <v>0.23347000000000001</v>
      </c>
      <c r="Z32" s="448"/>
      <c r="AA32" s="448"/>
      <c r="AB32" s="452">
        <v>2.696285</v>
      </c>
      <c r="AC32" s="453">
        <v>0.14305699999999999</v>
      </c>
      <c r="AD32" s="453">
        <v>-1.034E-3</v>
      </c>
      <c r="AE32" s="448">
        <v>1.1E-5</v>
      </c>
      <c r="AF32" s="452">
        <v>5.665597</v>
      </c>
      <c r="AG32" s="453">
        <v>0.29422399999999999</v>
      </c>
      <c r="AH32" s="453">
        <v>-1.949E-3</v>
      </c>
      <c r="AI32" s="455">
        <v>1.2E-5</v>
      </c>
      <c r="AJ32" s="452">
        <v>3.3601869999999998</v>
      </c>
      <c r="AK32" s="453">
        <v>0.29524899999999998</v>
      </c>
      <c r="AL32" s="453">
        <v>-3.209E-3</v>
      </c>
      <c r="AM32" s="455">
        <v>2.4000000000000001E-5</v>
      </c>
    </row>
    <row r="33" spans="1:39" ht="13.5" customHeight="1">
      <c r="A33" s="52"/>
      <c r="B33" s="294">
        <v>2016</v>
      </c>
      <c r="D33" s="446">
        <v>0.44558999999999999</v>
      </c>
      <c r="E33" s="447">
        <v>9.4700000000000006E-2</v>
      </c>
      <c r="F33" s="447">
        <v>-1.08E-3</v>
      </c>
      <c r="G33" s="448">
        <v>6.9999999999999999E-6</v>
      </c>
      <c r="H33" s="449">
        <v>0.47609000000000001</v>
      </c>
      <c r="I33" s="450">
        <v>6.8260000000000001E-2</v>
      </c>
      <c r="J33" s="450">
        <v>-6.6E-4</v>
      </c>
      <c r="K33" s="448">
        <v>5.0000000000000004E-6</v>
      </c>
      <c r="L33" s="449"/>
      <c r="M33" s="450">
        <v>0.21684999999999999</v>
      </c>
      <c r="N33" s="294"/>
      <c r="O33" s="451"/>
      <c r="P33" s="452">
        <v>0.34456199999999998</v>
      </c>
      <c r="Q33" s="453">
        <v>0.19321099999999999</v>
      </c>
      <c r="R33" s="453">
        <v>-3.0330000000000001E-3</v>
      </c>
      <c r="S33" s="448">
        <v>2.0000000000000002E-5</v>
      </c>
      <c r="T33" s="452">
        <v>0.46021899999999999</v>
      </c>
      <c r="U33" s="453">
        <v>0.112479</v>
      </c>
      <c r="V33" s="453">
        <v>-1.6230000000000001E-3</v>
      </c>
      <c r="W33" s="448">
        <v>1.4E-5</v>
      </c>
      <c r="X33" s="454"/>
      <c r="Y33" s="450">
        <v>0.23268</v>
      </c>
      <c r="Z33" s="448"/>
      <c r="AA33" s="448"/>
      <c r="AB33" s="452">
        <v>2.6761490000000001</v>
      </c>
      <c r="AC33" s="453">
        <v>0.141989</v>
      </c>
      <c r="AD33" s="453">
        <v>-1.026E-3</v>
      </c>
      <c r="AE33" s="448">
        <v>1.1E-5</v>
      </c>
      <c r="AF33" s="452">
        <v>5.6520700000000001</v>
      </c>
      <c r="AG33" s="453">
        <v>0.29352200000000001</v>
      </c>
      <c r="AH33" s="453">
        <v>-1.9449999999999999E-3</v>
      </c>
      <c r="AI33" s="455">
        <v>1.2E-5</v>
      </c>
      <c r="AJ33" s="452">
        <v>3.3601869999999998</v>
      </c>
      <c r="AK33" s="453">
        <v>0.29524899999999998</v>
      </c>
      <c r="AL33" s="453">
        <v>-3.209E-3</v>
      </c>
      <c r="AM33" s="455">
        <v>2.4000000000000001E-5</v>
      </c>
    </row>
    <row r="34" spans="1:39" ht="13.5" customHeight="1">
      <c r="A34" s="52"/>
      <c r="B34" s="294">
        <v>2017</v>
      </c>
      <c r="D34" s="446">
        <v>0.43992999999999999</v>
      </c>
      <c r="E34" s="447">
        <v>9.3490000000000004E-2</v>
      </c>
      <c r="F34" s="447">
        <v>-1.06E-3</v>
      </c>
      <c r="G34" s="448">
        <v>6.9999999999999999E-6</v>
      </c>
      <c r="H34" s="449">
        <v>0.47237000000000001</v>
      </c>
      <c r="I34" s="450">
        <v>6.7729999999999999E-2</v>
      </c>
      <c r="J34" s="450">
        <v>-6.4999999999999997E-4</v>
      </c>
      <c r="K34" s="448">
        <v>5.0000000000000004E-6</v>
      </c>
      <c r="L34" s="449"/>
      <c r="M34" s="450">
        <v>0.21426999999999999</v>
      </c>
      <c r="N34" s="294"/>
      <c r="O34" s="451"/>
      <c r="P34" s="452">
        <v>0.338891</v>
      </c>
      <c r="Q34" s="453">
        <v>0.19003100000000001</v>
      </c>
      <c r="R34" s="453">
        <v>-2.983E-3</v>
      </c>
      <c r="S34" s="448">
        <v>1.9000000000000001E-5</v>
      </c>
      <c r="T34" s="452">
        <v>0.45446999999999999</v>
      </c>
      <c r="U34" s="453">
        <v>0.11107400000000001</v>
      </c>
      <c r="V34" s="453">
        <v>-1.6019999999999999E-3</v>
      </c>
      <c r="W34" s="448">
        <v>1.4E-5</v>
      </c>
      <c r="X34" s="454"/>
      <c r="Y34" s="450">
        <v>0.23080999999999999</v>
      </c>
      <c r="Z34" s="448"/>
      <c r="AA34" s="448"/>
      <c r="AB34" s="452">
        <v>2.6967919999999999</v>
      </c>
      <c r="AC34" s="453">
        <v>0.14308399999999999</v>
      </c>
      <c r="AD34" s="453">
        <v>-1.034E-3</v>
      </c>
      <c r="AE34" s="448">
        <v>1.1E-5</v>
      </c>
      <c r="AF34" s="452">
        <v>5.6341950000000001</v>
      </c>
      <c r="AG34" s="453">
        <v>0.29259400000000002</v>
      </c>
      <c r="AH34" s="453">
        <v>-1.939E-3</v>
      </c>
      <c r="AI34" s="455">
        <v>1.2E-5</v>
      </c>
      <c r="AJ34" s="452">
        <v>3.3601869999999998</v>
      </c>
      <c r="AK34" s="453">
        <v>0.29524899999999998</v>
      </c>
      <c r="AL34" s="453">
        <v>-3.209E-3</v>
      </c>
      <c r="AM34" s="455">
        <v>2.4000000000000001E-5</v>
      </c>
    </row>
    <row r="35" spans="1:39" ht="13.5" customHeight="1">
      <c r="A35" s="52"/>
      <c r="B35" s="294">
        <v>2018</v>
      </c>
      <c r="D35" s="446">
        <v>0.43540000000000001</v>
      </c>
      <c r="E35" s="447">
        <v>9.2530000000000001E-2</v>
      </c>
      <c r="F35" s="447">
        <v>-1.0499999999999999E-3</v>
      </c>
      <c r="G35" s="448">
        <v>6.9999999999999999E-6</v>
      </c>
      <c r="H35" s="449">
        <v>0.47206999999999999</v>
      </c>
      <c r="I35" s="450">
        <v>6.7680000000000004E-2</v>
      </c>
      <c r="J35" s="450">
        <v>-6.4999999999999997E-4</v>
      </c>
      <c r="K35" s="448">
        <v>5.0000000000000004E-6</v>
      </c>
      <c r="L35" s="449"/>
      <c r="M35" s="450">
        <v>0.21204999999999999</v>
      </c>
      <c r="N35" s="294"/>
      <c r="O35" s="451"/>
      <c r="P35" s="452">
        <v>0.328627</v>
      </c>
      <c r="Q35" s="453">
        <v>0.18427499999999999</v>
      </c>
      <c r="R35" s="453">
        <v>-2.8930000000000002E-3</v>
      </c>
      <c r="S35" s="448">
        <v>1.9000000000000001E-5</v>
      </c>
      <c r="T35" s="452">
        <v>0.45096999999999998</v>
      </c>
      <c r="U35" s="453">
        <v>0.110219</v>
      </c>
      <c r="V35" s="453">
        <v>-1.5900000000000001E-3</v>
      </c>
      <c r="W35" s="448">
        <v>1.2999999999999999E-5</v>
      </c>
      <c r="X35" s="454"/>
      <c r="Y35" s="450">
        <v>0.22917000000000001</v>
      </c>
      <c r="Z35" s="448"/>
      <c r="AA35" s="448"/>
      <c r="AB35" s="452">
        <v>2.6983489999999999</v>
      </c>
      <c r="AC35" s="453">
        <v>0.14316699999999999</v>
      </c>
      <c r="AD35" s="453">
        <v>-1.0349999999999999E-3</v>
      </c>
      <c r="AE35" s="448">
        <v>1.1E-5</v>
      </c>
      <c r="AF35" s="452">
        <v>5.6112460000000004</v>
      </c>
      <c r="AG35" s="453">
        <v>0.29140199999999999</v>
      </c>
      <c r="AH35" s="453">
        <v>-1.931E-3</v>
      </c>
      <c r="AI35" s="455">
        <v>1.2E-5</v>
      </c>
      <c r="AJ35" s="452">
        <v>3.3601869999999998</v>
      </c>
      <c r="AK35" s="453">
        <v>0.29524899999999998</v>
      </c>
      <c r="AL35" s="453">
        <v>-3.209E-3</v>
      </c>
      <c r="AM35" s="455">
        <v>2.4000000000000001E-5</v>
      </c>
    </row>
    <row r="36" spans="1:39" ht="13.5" customHeight="1">
      <c r="A36" s="52"/>
      <c r="B36" s="294">
        <v>2019</v>
      </c>
      <c r="D36" s="446">
        <v>0.43108999999999997</v>
      </c>
      <c r="E36" s="447">
        <v>9.1609999999999997E-2</v>
      </c>
      <c r="F36" s="447">
        <v>-1.0399999999999999E-3</v>
      </c>
      <c r="G36" s="448">
        <v>6.9999999999999999E-6</v>
      </c>
      <c r="H36" s="449">
        <v>0.47226000000000001</v>
      </c>
      <c r="I36" s="450">
        <v>6.7710000000000006E-2</v>
      </c>
      <c r="J36" s="450">
        <v>-6.4999999999999997E-4</v>
      </c>
      <c r="K36" s="448">
        <v>5.0000000000000004E-6</v>
      </c>
      <c r="L36" s="449"/>
      <c r="M36" s="450">
        <v>0.20705000000000001</v>
      </c>
      <c r="N36" s="294"/>
      <c r="O36" s="451"/>
      <c r="P36" s="452">
        <v>0.324878</v>
      </c>
      <c r="Q36" s="453">
        <v>0.182173</v>
      </c>
      <c r="R36" s="453">
        <v>-2.8600000000000001E-3</v>
      </c>
      <c r="S36" s="448">
        <v>1.8E-5</v>
      </c>
      <c r="T36" s="452">
        <v>0.44861499999999999</v>
      </c>
      <c r="U36" s="453">
        <v>0.109643</v>
      </c>
      <c r="V36" s="453">
        <v>-1.5820000000000001E-3</v>
      </c>
      <c r="W36" s="448">
        <v>1.2999999999999999E-5</v>
      </c>
      <c r="X36" s="454"/>
      <c r="Y36" s="450">
        <v>0.22431999999999999</v>
      </c>
      <c r="Z36" s="448"/>
      <c r="AA36" s="448"/>
      <c r="AB36" s="452">
        <v>2.6916829999999998</v>
      </c>
      <c r="AC36" s="453">
        <v>0.142813</v>
      </c>
      <c r="AD36" s="453">
        <v>-1.0319999999999999E-3</v>
      </c>
      <c r="AE36" s="448">
        <v>1.1E-5</v>
      </c>
      <c r="AF36" s="452">
        <v>5.589493</v>
      </c>
      <c r="AG36" s="453">
        <v>0.29027199999999997</v>
      </c>
      <c r="AH36" s="453">
        <v>-1.923E-3</v>
      </c>
      <c r="AI36" s="455">
        <v>1.1E-5</v>
      </c>
      <c r="AJ36" s="452">
        <v>3.3601869999999998</v>
      </c>
      <c r="AK36" s="453">
        <v>0.29524899999999998</v>
      </c>
      <c r="AL36" s="453">
        <v>-3.209E-3</v>
      </c>
      <c r="AM36" s="455">
        <v>2.4000000000000001E-5</v>
      </c>
    </row>
    <row r="37" spans="1:39" ht="13.5" customHeight="1">
      <c r="A37" s="52"/>
      <c r="B37" s="294">
        <v>2020</v>
      </c>
      <c r="D37" s="446">
        <v>0.41954000000000002</v>
      </c>
      <c r="E37" s="447">
        <v>8.9160000000000003E-2</v>
      </c>
      <c r="F37" s="447">
        <v>-1.0200000000000001E-3</v>
      </c>
      <c r="G37" s="448">
        <v>6.9999999999999999E-6</v>
      </c>
      <c r="H37" s="449">
        <v>0.46601999999999999</v>
      </c>
      <c r="I37" s="450">
        <v>6.6820000000000004E-2</v>
      </c>
      <c r="J37" s="450">
        <v>-6.4000000000000005E-4</v>
      </c>
      <c r="K37" s="448">
        <v>5.0000000000000004E-6</v>
      </c>
      <c r="L37" s="449"/>
      <c r="M37" s="450">
        <v>0.20147000000000001</v>
      </c>
      <c r="N37" s="294"/>
      <c r="O37" s="451"/>
      <c r="P37" s="452">
        <v>0.31889200000000001</v>
      </c>
      <c r="Q37" s="453">
        <v>0.178816</v>
      </c>
      <c r="R37" s="453">
        <v>-2.807E-3</v>
      </c>
      <c r="S37" s="448">
        <v>1.8E-5</v>
      </c>
      <c r="T37" s="452">
        <v>0.442189</v>
      </c>
      <c r="U37" s="453">
        <v>0.108073</v>
      </c>
      <c r="V37" s="453">
        <v>-1.5590000000000001E-3</v>
      </c>
      <c r="W37" s="448">
        <v>1.2999999999999999E-5</v>
      </c>
      <c r="X37" s="454"/>
      <c r="Y37" s="450">
        <v>0.22953000000000001</v>
      </c>
      <c r="Z37" s="448"/>
      <c r="AA37" s="448"/>
      <c r="AB37" s="452">
        <v>2.6825070000000002</v>
      </c>
      <c r="AC37" s="453">
        <v>0.14232600000000001</v>
      </c>
      <c r="AD37" s="453">
        <v>-1.029E-3</v>
      </c>
      <c r="AE37" s="448">
        <v>1.1E-5</v>
      </c>
      <c r="AF37" s="452">
        <v>5.5632140000000003</v>
      </c>
      <c r="AG37" s="453">
        <v>0.288908</v>
      </c>
      <c r="AH37" s="453">
        <v>-1.9139999999999999E-3</v>
      </c>
      <c r="AI37" s="455">
        <v>1.1E-5</v>
      </c>
      <c r="AJ37" s="452">
        <v>3.3601869999999998</v>
      </c>
      <c r="AK37" s="453">
        <v>0.29524899999999998</v>
      </c>
      <c r="AL37" s="453">
        <v>-3.209E-3</v>
      </c>
      <c r="AM37" s="455">
        <v>2.4000000000000001E-5</v>
      </c>
    </row>
    <row r="38" spans="1:39" ht="13.5" customHeight="1">
      <c r="A38" s="52"/>
      <c r="B38" s="294">
        <v>2021</v>
      </c>
      <c r="D38" s="446">
        <v>0.40994000000000003</v>
      </c>
      <c r="E38" s="447">
        <v>8.7120000000000003E-2</v>
      </c>
      <c r="F38" s="447">
        <v>-9.8999999999999999E-4</v>
      </c>
      <c r="G38" s="448">
        <v>6.9999999999999999E-6</v>
      </c>
      <c r="H38" s="449">
        <v>0.45917000000000002</v>
      </c>
      <c r="I38" s="450">
        <v>6.583E-2</v>
      </c>
      <c r="J38" s="450">
        <v>-6.3000000000000003E-4</v>
      </c>
      <c r="K38" s="448">
        <v>5.0000000000000004E-6</v>
      </c>
      <c r="L38" s="449"/>
      <c r="M38" s="450">
        <v>0.19006000000000001</v>
      </c>
      <c r="N38" s="294"/>
      <c r="O38" s="451"/>
      <c r="P38" s="452">
        <v>0.31480000000000002</v>
      </c>
      <c r="Q38" s="453">
        <v>0.17652200000000001</v>
      </c>
      <c r="R38" s="453">
        <v>-2.771E-3</v>
      </c>
      <c r="S38" s="448">
        <v>1.8E-5</v>
      </c>
      <c r="T38" s="452">
        <v>0.43703599999999998</v>
      </c>
      <c r="U38" s="453">
        <v>0.10681300000000001</v>
      </c>
      <c r="V38" s="453">
        <v>-1.5410000000000001E-3</v>
      </c>
      <c r="W38" s="448">
        <v>1.2999999999999999E-5</v>
      </c>
      <c r="X38" s="454"/>
      <c r="Y38" s="450">
        <v>0.23138</v>
      </c>
      <c r="Z38" s="448"/>
      <c r="AA38" s="448"/>
      <c r="AB38" s="452">
        <v>2.6695329999999999</v>
      </c>
      <c r="AC38" s="453">
        <v>0.14163799999999999</v>
      </c>
      <c r="AD38" s="453">
        <v>-1.024E-3</v>
      </c>
      <c r="AE38" s="448">
        <v>1.1E-5</v>
      </c>
      <c r="AF38" s="452">
        <v>5.5341339999999999</v>
      </c>
      <c r="AG38" s="453">
        <v>0.28739700000000001</v>
      </c>
      <c r="AH38" s="453">
        <v>-1.9040000000000001E-3</v>
      </c>
      <c r="AI38" s="455">
        <v>1.1E-5</v>
      </c>
      <c r="AJ38" s="452">
        <v>3.3601869999999998</v>
      </c>
      <c r="AK38" s="453">
        <v>0.29524899999999998</v>
      </c>
      <c r="AL38" s="453">
        <v>-3.209E-3</v>
      </c>
      <c r="AM38" s="455">
        <v>2.4000000000000001E-5</v>
      </c>
    </row>
    <row r="39" spans="1:39" ht="13.5" customHeight="1">
      <c r="A39" s="52"/>
      <c r="B39" s="294">
        <v>2022</v>
      </c>
      <c r="D39" s="446">
        <v>0.40140999999999999</v>
      </c>
      <c r="E39" s="447">
        <v>8.5309999999999997E-2</v>
      </c>
      <c r="F39" s="447">
        <v>-9.7000000000000005E-4</v>
      </c>
      <c r="G39" s="448">
        <v>6.0000000000000002E-6</v>
      </c>
      <c r="H39" s="449">
        <v>0.45229999999999998</v>
      </c>
      <c r="I39" s="450">
        <v>6.4850000000000005E-2</v>
      </c>
      <c r="J39" s="450">
        <v>-6.2E-4</v>
      </c>
      <c r="K39" s="448">
        <v>5.0000000000000004E-6</v>
      </c>
      <c r="L39" s="449"/>
      <c r="M39" s="450">
        <v>0.18254000000000001</v>
      </c>
      <c r="N39" s="294"/>
      <c r="O39" s="451"/>
      <c r="P39" s="452">
        <v>0.305483</v>
      </c>
      <c r="Q39" s="453">
        <v>0.171297</v>
      </c>
      <c r="R39" s="453">
        <v>-2.689E-3</v>
      </c>
      <c r="S39" s="448">
        <v>1.7E-5</v>
      </c>
      <c r="T39" s="452">
        <v>0.43221799999999999</v>
      </c>
      <c r="U39" s="453">
        <v>0.10563599999999999</v>
      </c>
      <c r="V39" s="453">
        <v>-1.524E-3</v>
      </c>
      <c r="W39" s="448">
        <v>1.2999999999999999E-5</v>
      </c>
      <c r="X39" s="454"/>
      <c r="Y39" s="450">
        <v>0.23341000000000001</v>
      </c>
      <c r="Z39" s="448"/>
      <c r="AA39" s="448"/>
      <c r="AB39" s="452">
        <v>2.6564290000000002</v>
      </c>
      <c r="AC39" s="453">
        <v>0.14094300000000001</v>
      </c>
      <c r="AD39" s="453">
        <v>-1.0189999999999999E-3</v>
      </c>
      <c r="AE39" s="448">
        <v>1.1E-5</v>
      </c>
      <c r="AF39" s="452">
        <v>5.504734</v>
      </c>
      <c r="AG39" s="453">
        <v>0.28587099999999999</v>
      </c>
      <c r="AH39" s="453">
        <v>-1.8940000000000001E-3</v>
      </c>
      <c r="AI39" s="455">
        <v>1.1E-5</v>
      </c>
      <c r="AJ39" s="452">
        <v>3.3601869999999998</v>
      </c>
      <c r="AK39" s="453">
        <v>0.29524899999999998</v>
      </c>
      <c r="AL39" s="453">
        <v>-3.209E-3</v>
      </c>
      <c r="AM39" s="455">
        <v>2.4000000000000001E-5</v>
      </c>
    </row>
    <row r="40" spans="1:39" ht="13.5" customHeight="1">
      <c r="A40" s="52"/>
      <c r="B40" s="294">
        <v>2023</v>
      </c>
      <c r="D40" s="446">
        <v>0.39380999999999999</v>
      </c>
      <c r="E40" s="447">
        <v>8.3690000000000001E-2</v>
      </c>
      <c r="F40" s="447">
        <v>-9.5E-4</v>
      </c>
      <c r="G40" s="448">
        <v>6.0000000000000002E-6</v>
      </c>
      <c r="H40" s="449">
        <v>0.44600000000000001</v>
      </c>
      <c r="I40" s="450">
        <v>6.3950000000000007E-2</v>
      </c>
      <c r="J40" s="450">
        <v>-6.2E-4</v>
      </c>
      <c r="K40" s="448">
        <v>5.0000000000000004E-6</v>
      </c>
      <c r="L40" s="449"/>
      <c r="M40" s="450">
        <v>0.17771999999999999</v>
      </c>
      <c r="N40" s="294"/>
      <c r="O40" s="451"/>
      <c r="P40" s="452">
        <v>0.30228899999999997</v>
      </c>
      <c r="Q40" s="453">
        <v>0.16950599999999999</v>
      </c>
      <c r="R40" s="453">
        <v>-2.6610000000000002E-3</v>
      </c>
      <c r="S40" s="448">
        <v>1.7E-5</v>
      </c>
      <c r="T40" s="452">
        <v>0.42822100000000002</v>
      </c>
      <c r="U40" s="453">
        <v>0.104659</v>
      </c>
      <c r="V40" s="453">
        <v>-1.5100000000000001E-3</v>
      </c>
      <c r="W40" s="448">
        <v>1.2999999999999999E-5</v>
      </c>
      <c r="X40" s="454"/>
      <c r="Y40" s="450">
        <v>0.23680000000000001</v>
      </c>
      <c r="Z40" s="448"/>
      <c r="AA40" s="448"/>
      <c r="AB40" s="452">
        <v>2.643141</v>
      </c>
      <c r="AC40" s="453">
        <v>0.140238</v>
      </c>
      <c r="AD40" s="453">
        <v>-1.0139999999999999E-3</v>
      </c>
      <c r="AE40" s="448">
        <v>1.1E-5</v>
      </c>
      <c r="AF40" s="452">
        <v>5.4745489999999997</v>
      </c>
      <c r="AG40" s="453">
        <v>0.28430299999999997</v>
      </c>
      <c r="AH40" s="453">
        <v>-1.884E-3</v>
      </c>
      <c r="AI40" s="455">
        <v>1.1E-5</v>
      </c>
      <c r="AJ40" s="452">
        <v>3.3601869999999998</v>
      </c>
      <c r="AK40" s="453">
        <v>0.29524899999999998</v>
      </c>
      <c r="AL40" s="453">
        <v>-3.209E-3</v>
      </c>
      <c r="AM40" s="455">
        <v>2.4000000000000001E-5</v>
      </c>
    </row>
    <row r="41" spans="1:39" ht="13.5" customHeight="1">
      <c r="A41" s="52"/>
      <c r="B41" s="294">
        <v>2024</v>
      </c>
      <c r="D41" s="446">
        <v>0.38635999999999998</v>
      </c>
      <c r="E41" s="447">
        <v>8.2110000000000002E-2</v>
      </c>
      <c r="F41" s="447">
        <v>-9.3999999999999997E-4</v>
      </c>
      <c r="G41" s="448">
        <v>6.0000000000000002E-6</v>
      </c>
      <c r="H41" s="449">
        <v>0.44039</v>
      </c>
      <c r="I41" s="450">
        <v>6.3140000000000002E-2</v>
      </c>
      <c r="J41" s="450">
        <v>-6.0999999999999997E-4</v>
      </c>
      <c r="K41" s="448">
        <v>5.0000000000000004E-6</v>
      </c>
      <c r="L41" s="449"/>
      <c r="M41" s="450">
        <v>0.17410999999999999</v>
      </c>
      <c r="N41" s="294"/>
      <c r="O41" s="451"/>
      <c r="P41" s="452">
        <v>0.29842800000000003</v>
      </c>
      <c r="Q41" s="453">
        <v>0.16734099999999999</v>
      </c>
      <c r="R41" s="453">
        <v>-2.627E-3</v>
      </c>
      <c r="S41" s="448">
        <v>1.7E-5</v>
      </c>
      <c r="T41" s="452">
        <v>0.42469899999999999</v>
      </c>
      <c r="U41" s="453">
        <v>0.103798</v>
      </c>
      <c r="V41" s="453">
        <v>-1.4970000000000001E-3</v>
      </c>
      <c r="W41" s="448">
        <v>1.2999999999999999E-5</v>
      </c>
      <c r="X41" s="454"/>
      <c r="Y41" s="450">
        <v>0.24009</v>
      </c>
      <c r="Z41" s="448"/>
      <c r="AA41" s="448"/>
      <c r="AB41" s="452">
        <v>2.6301809999999999</v>
      </c>
      <c r="AC41" s="453">
        <v>0.13955000000000001</v>
      </c>
      <c r="AD41" s="453">
        <v>-1.0089999999999999E-3</v>
      </c>
      <c r="AE41" s="448">
        <v>1.1E-5</v>
      </c>
      <c r="AF41" s="452">
        <v>5.4447739999999998</v>
      </c>
      <c r="AG41" s="453">
        <v>0.28275699999999998</v>
      </c>
      <c r="AH41" s="453">
        <v>-1.8730000000000001E-3</v>
      </c>
      <c r="AI41" s="455">
        <v>1.1E-5</v>
      </c>
      <c r="AJ41" s="452">
        <v>3.3601869999999998</v>
      </c>
      <c r="AK41" s="453">
        <v>0.29524899999999998</v>
      </c>
      <c r="AL41" s="453">
        <v>-3.209E-3</v>
      </c>
      <c r="AM41" s="455">
        <v>2.4000000000000001E-5</v>
      </c>
    </row>
    <row r="42" spans="1:39" ht="13.5" customHeight="1">
      <c r="A42" s="52"/>
      <c r="B42" s="294">
        <v>2025</v>
      </c>
      <c r="D42" s="446">
        <v>0.37998999999999999</v>
      </c>
      <c r="E42" s="447">
        <v>8.0750000000000002E-2</v>
      </c>
      <c r="F42" s="447">
        <v>-9.2000000000000003E-4</v>
      </c>
      <c r="G42" s="448">
        <v>6.0000000000000002E-6</v>
      </c>
      <c r="H42" s="449">
        <v>0.43525999999999998</v>
      </c>
      <c r="I42" s="450">
        <v>6.241E-2</v>
      </c>
      <c r="J42" s="450">
        <v>-5.9999999999999995E-4</v>
      </c>
      <c r="K42" s="448">
        <v>5.0000000000000004E-6</v>
      </c>
      <c r="L42" s="449"/>
      <c r="M42" s="450">
        <v>0.1709</v>
      </c>
      <c r="N42" s="294"/>
      <c r="O42" s="451"/>
      <c r="P42" s="452">
        <v>0.28973599999999999</v>
      </c>
      <c r="Q42" s="453">
        <v>0.162467</v>
      </c>
      <c r="R42" s="453">
        <v>-2.5500000000000002E-3</v>
      </c>
      <c r="S42" s="448">
        <v>1.5999999999999999E-5</v>
      </c>
      <c r="T42" s="452">
        <v>0.41621000000000002</v>
      </c>
      <c r="U42" s="453">
        <v>0.10172299999999999</v>
      </c>
      <c r="V42" s="453">
        <v>-1.4679999999999999E-3</v>
      </c>
      <c r="W42" s="448">
        <v>1.2E-5</v>
      </c>
      <c r="X42" s="454"/>
      <c r="Y42" s="450">
        <v>0.24379000000000001</v>
      </c>
      <c r="Z42" s="448"/>
      <c r="AA42" s="448"/>
      <c r="AB42" s="452">
        <v>2.6060430000000001</v>
      </c>
      <c r="AC42" s="453">
        <v>0.138269</v>
      </c>
      <c r="AD42" s="453">
        <v>-9.990000000000001E-4</v>
      </c>
      <c r="AE42" s="448">
        <v>1.1E-5</v>
      </c>
      <c r="AF42" s="452">
        <v>5.3432880000000003</v>
      </c>
      <c r="AG42" s="453">
        <v>0.27748600000000001</v>
      </c>
      <c r="AH42" s="453">
        <v>-1.838E-3</v>
      </c>
      <c r="AI42" s="455">
        <v>1.1E-5</v>
      </c>
      <c r="AJ42" s="452">
        <v>3.3601869999999998</v>
      </c>
      <c r="AK42" s="453">
        <v>0.29524899999999998</v>
      </c>
      <c r="AL42" s="453">
        <v>-3.209E-3</v>
      </c>
      <c r="AM42" s="455">
        <v>2.4000000000000001E-5</v>
      </c>
    </row>
    <row r="43" spans="1:39" ht="13.5" customHeight="1">
      <c r="A43" s="52"/>
      <c r="B43" s="294">
        <v>2026</v>
      </c>
      <c r="D43" s="446">
        <v>0.37441000000000002</v>
      </c>
      <c r="E43" s="447">
        <v>7.9570000000000002E-2</v>
      </c>
      <c r="F43" s="447">
        <v>-9.1E-4</v>
      </c>
      <c r="G43" s="448">
        <v>6.0000000000000002E-6</v>
      </c>
      <c r="H43" s="449">
        <v>0.43043999999999999</v>
      </c>
      <c r="I43" s="450">
        <v>6.1710000000000001E-2</v>
      </c>
      <c r="J43" s="450">
        <v>-5.9000000000000003E-4</v>
      </c>
      <c r="K43" s="448">
        <v>5.0000000000000004E-6</v>
      </c>
      <c r="L43" s="449"/>
      <c r="M43" s="450">
        <v>0.16883000000000001</v>
      </c>
      <c r="N43" s="294"/>
      <c r="O43" s="451"/>
      <c r="P43" s="452">
        <v>0.28292400000000001</v>
      </c>
      <c r="Q43" s="453">
        <v>0.15864700000000001</v>
      </c>
      <c r="R43" s="453">
        <v>-2.49E-3</v>
      </c>
      <c r="S43" s="448">
        <v>1.5999999999999999E-5</v>
      </c>
      <c r="T43" s="452">
        <v>0.4088</v>
      </c>
      <c r="U43" s="453">
        <v>9.9912000000000001E-2</v>
      </c>
      <c r="V43" s="453">
        <v>-1.441E-3</v>
      </c>
      <c r="W43" s="448">
        <v>1.2E-5</v>
      </c>
      <c r="X43" s="454"/>
      <c r="Y43" s="450">
        <v>0.24514</v>
      </c>
      <c r="Z43" s="448"/>
      <c r="AA43" s="448"/>
      <c r="AB43" s="452">
        <v>2.5825800000000001</v>
      </c>
      <c r="AC43" s="453">
        <v>0.13702400000000001</v>
      </c>
      <c r="AD43" s="453">
        <v>-9.8999999999999999E-4</v>
      </c>
      <c r="AE43" s="448">
        <v>1.1E-5</v>
      </c>
      <c r="AF43" s="452">
        <v>5.2442320000000002</v>
      </c>
      <c r="AG43" s="453">
        <v>0.27234199999999997</v>
      </c>
      <c r="AH43" s="453">
        <v>-1.804E-3</v>
      </c>
      <c r="AI43" s="455">
        <v>1.1E-5</v>
      </c>
      <c r="AJ43" s="452">
        <v>3.3601869999999998</v>
      </c>
      <c r="AK43" s="453">
        <v>0.29524899999999998</v>
      </c>
      <c r="AL43" s="453">
        <v>-3.209E-3</v>
      </c>
      <c r="AM43" s="455">
        <v>2.4000000000000001E-5</v>
      </c>
    </row>
    <row r="44" spans="1:39" ht="13.5" customHeight="1">
      <c r="A44" s="52"/>
      <c r="B44" s="294">
        <v>2027</v>
      </c>
      <c r="D44" s="446">
        <v>0.36926999999999999</v>
      </c>
      <c r="E44" s="447">
        <v>7.8479999999999994E-2</v>
      </c>
      <c r="F44" s="447">
        <v>-8.8999999999999995E-4</v>
      </c>
      <c r="G44" s="448">
        <v>6.0000000000000002E-6</v>
      </c>
      <c r="H44" s="449">
        <v>0.42558000000000001</v>
      </c>
      <c r="I44" s="450">
        <v>6.1019999999999998E-2</v>
      </c>
      <c r="J44" s="450">
        <v>-5.9000000000000003E-4</v>
      </c>
      <c r="K44" s="448">
        <v>5.0000000000000004E-6</v>
      </c>
      <c r="L44" s="449"/>
      <c r="M44" s="450">
        <v>0.16727</v>
      </c>
      <c r="N44" s="294"/>
      <c r="O44" s="451"/>
      <c r="P44" s="452">
        <v>0.27256799999999998</v>
      </c>
      <c r="Q44" s="453">
        <v>0.152841</v>
      </c>
      <c r="R44" s="453">
        <v>-2.3990000000000001E-3</v>
      </c>
      <c r="S44" s="448">
        <v>1.5E-5</v>
      </c>
      <c r="T44" s="452">
        <v>0.402258</v>
      </c>
      <c r="U44" s="453">
        <v>9.8313999999999999E-2</v>
      </c>
      <c r="V44" s="453">
        <v>-1.418E-3</v>
      </c>
      <c r="W44" s="448">
        <v>1.2E-5</v>
      </c>
      <c r="X44" s="454"/>
      <c r="Y44" s="450">
        <v>0.24576000000000001</v>
      </c>
      <c r="Z44" s="448"/>
      <c r="AA44" s="448"/>
      <c r="AB44" s="452">
        <v>2.5599970000000001</v>
      </c>
      <c r="AC44" s="453">
        <v>0.135826</v>
      </c>
      <c r="AD44" s="453">
        <v>-9.8200000000000002E-4</v>
      </c>
      <c r="AE44" s="448">
        <v>1.1E-5</v>
      </c>
      <c r="AF44" s="452">
        <v>5.1515690000000003</v>
      </c>
      <c r="AG44" s="453">
        <v>0.26752999999999999</v>
      </c>
      <c r="AH44" s="453">
        <v>-1.7730000000000001E-3</v>
      </c>
      <c r="AI44" s="455">
        <v>1.1E-5</v>
      </c>
      <c r="AJ44" s="452">
        <v>3.3601869999999998</v>
      </c>
      <c r="AK44" s="453">
        <v>0.29524899999999998</v>
      </c>
      <c r="AL44" s="453">
        <v>-3.209E-3</v>
      </c>
      <c r="AM44" s="455">
        <v>2.4000000000000001E-5</v>
      </c>
    </row>
    <row r="45" spans="1:39" ht="13.5" customHeight="1">
      <c r="A45" s="52"/>
      <c r="B45" s="294">
        <v>2028</v>
      </c>
      <c r="D45" s="446">
        <v>0.36470999999999998</v>
      </c>
      <c r="E45" s="447">
        <v>7.7509999999999996E-2</v>
      </c>
      <c r="F45" s="447">
        <v>-8.8000000000000003E-4</v>
      </c>
      <c r="G45" s="448">
        <v>6.0000000000000002E-6</v>
      </c>
      <c r="H45" s="449">
        <v>0.42069000000000001</v>
      </c>
      <c r="I45" s="450">
        <v>6.0319999999999999E-2</v>
      </c>
      <c r="J45" s="450">
        <v>-5.8E-4</v>
      </c>
      <c r="K45" s="448">
        <v>5.0000000000000004E-6</v>
      </c>
      <c r="L45" s="449"/>
      <c r="M45" s="450">
        <v>0.16602</v>
      </c>
      <c r="N45" s="294"/>
      <c r="O45" s="451"/>
      <c r="P45" s="452">
        <v>0.26751900000000001</v>
      </c>
      <c r="Q45" s="453">
        <v>0.150009</v>
      </c>
      <c r="R45" s="453">
        <v>-2.3549999999999999E-3</v>
      </c>
      <c r="S45" s="448">
        <v>1.5E-5</v>
      </c>
      <c r="T45" s="452">
        <v>0.39649299999999998</v>
      </c>
      <c r="U45" s="453">
        <v>9.6905000000000005E-2</v>
      </c>
      <c r="V45" s="453">
        <v>-1.3979999999999999E-3</v>
      </c>
      <c r="W45" s="448">
        <v>1.2E-5</v>
      </c>
      <c r="X45" s="454"/>
      <c r="Y45" s="450">
        <v>0.24571000000000001</v>
      </c>
      <c r="Z45" s="448"/>
      <c r="AA45" s="448"/>
      <c r="AB45" s="452">
        <v>2.5383279999999999</v>
      </c>
      <c r="AC45" s="453">
        <v>0.13467699999999999</v>
      </c>
      <c r="AD45" s="453">
        <v>-9.7300000000000002E-4</v>
      </c>
      <c r="AE45" s="448">
        <v>1.1E-5</v>
      </c>
      <c r="AF45" s="452">
        <v>5.0668680000000004</v>
      </c>
      <c r="AG45" s="453">
        <v>0.263131</v>
      </c>
      <c r="AH45" s="453">
        <v>-1.743E-3</v>
      </c>
      <c r="AI45" s="455">
        <v>1.0000000000000001E-5</v>
      </c>
      <c r="AJ45" s="452">
        <v>3.3601869999999998</v>
      </c>
      <c r="AK45" s="453">
        <v>0.29524899999999998</v>
      </c>
      <c r="AL45" s="453">
        <v>-3.209E-3</v>
      </c>
      <c r="AM45" s="455">
        <v>2.4000000000000001E-5</v>
      </c>
    </row>
    <row r="46" spans="1:39" ht="13.5" customHeight="1">
      <c r="A46" s="52"/>
      <c r="B46" s="294">
        <v>2029</v>
      </c>
      <c r="D46" s="446">
        <v>0.36065999999999998</v>
      </c>
      <c r="E46" s="447">
        <v>7.6649999999999996E-2</v>
      </c>
      <c r="F46" s="447">
        <v>-8.7000000000000001E-4</v>
      </c>
      <c r="G46" s="448">
        <v>6.0000000000000002E-6</v>
      </c>
      <c r="H46" s="449">
        <v>0.41588999999999998</v>
      </c>
      <c r="I46" s="450">
        <v>5.9630000000000002E-2</v>
      </c>
      <c r="J46" s="450">
        <v>-5.6999999999999998E-4</v>
      </c>
      <c r="K46" s="448">
        <v>5.0000000000000004E-6</v>
      </c>
      <c r="L46" s="449"/>
      <c r="M46" s="450">
        <v>0.16486999999999999</v>
      </c>
      <c r="N46" s="294"/>
      <c r="O46" s="451"/>
      <c r="P46" s="452">
        <v>0.26297300000000001</v>
      </c>
      <c r="Q46" s="453">
        <v>0.14746000000000001</v>
      </c>
      <c r="R46" s="453">
        <v>-2.3149999999999998E-3</v>
      </c>
      <c r="S46" s="448">
        <v>1.5E-5</v>
      </c>
      <c r="T46" s="452">
        <v>0.391343</v>
      </c>
      <c r="U46" s="453">
        <v>9.5645999999999995E-2</v>
      </c>
      <c r="V46" s="453">
        <v>-1.3799999999999999E-3</v>
      </c>
      <c r="W46" s="448">
        <v>1.2E-5</v>
      </c>
      <c r="X46" s="454"/>
      <c r="Y46" s="450">
        <v>0.24507000000000001</v>
      </c>
      <c r="Z46" s="448"/>
      <c r="AA46" s="448"/>
      <c r="AB46" s="452">
        <v>2.5178250000000002</v>
      </c>
      <c r="AC46" s="453">
        <v>0.13358900000000001</v>
      </c>
      <c r="AD46" s="453">
        <v>-9.6599999999999995E-4</v>
      </c>
      <c r="AE46" s="448">
        <v>1.1E-5</v>
      </c>
      <c r="AF46" s="452">
        <v>4.9892690000000002</v>
      </c>
      <c r="AG46" s="453">
        <v>0.259102</v>
      </c>
      <c r="AH46" s="453">
        <v>-1.717E-3</v>
      </c>
      <c r="AI46" s="455">
        <v>1.0000000000000001E-5</v>
      </c>
      <c r="AJ46" s="452">
        <v>3.3601869999999998</v>
      </c>
      <c r="AK46" s="453">
        <v>0.29524899999999998</v>
      </c>
      <c r="AL46" s="453">
        <v>-3.209E-3</v>
      </c>
      <c r="AM46" s="455">
        <v>2.4000000000000001E-5</v>
      </c>
    </row>
    <row r="47" spans="1:39" ht="13.5" customHeight="1">
      <c r="A47" s="52"/>
      <c r="B47" s="294">
        <v>2030</v>
      </c>
      <c r="D47" s="446">
        <v>0.35235</v>
      </c>
      <c r="E47" s="447">
        <v>7.4880000000000002E-2</v>
      </c>
      <c r="F47" s="447">
        <v>-8.4999999999999995E-4</v>
      </c>
      <c r="G47" s="448">
        <v>6.0000000000000002E-6</v>
      </c>
      <c r="H47" s="449">
        <v>0.40631</v>
      </c>
      <c r="I47" s="450">
        <v>5.8250000000000003E-2</v>
      </c>
      <c r="J47" s="450">
        <v>-5.5999999999999995E-4</v>
      </c>
      <c r="K47" s="448">
        <v>3.9999999999999998E-6</v>
      </c>
      <c r="L47" s="449"/>
      <c r="M47" s="450">
        <v>0.16372999999999999</v>
      </c>
      <c r="N47" s="294"/>
      <c r="O47" s="451"/>
      <c r="P47" s="452">
        <v>0.25369000000000003</v>
      </c>
      <c r="Q47" s="453">
        <v>0.14225399999999999</v>
      </c>
      <c r="R47" s="453">
        <v>-2.2330000000000002E-3</v>
      </c>
      <c r="S47" s="448">
        <v>1.4E-5</v>
      </c>
      <c r="T47" s="452">
        <v>0.38067600000000001</v>
      </c>
      <c r="U47" s="453">
        <v>9.3038999999999997E-2</v>
      </c>
      <c r="V47" s="453">
        <v>-1.3420000000000001E-3</v>
      </c>
      <c r="W47" s="448">
        <v>1.1E-5</v>
      </c>
      <c r="X47" s="454"/>
      <c r="Y47" s="450">
        <v>0.24410000000000001</v>
      </c>
      <c r="Z47" s="448"/>
      <c r="AA47" s="448"/>
      <c r="AB47" s="452">
        <v>2.4827300000000001</v>
      </c>
      <c r="AC47" s="453">
        <v>0.13172700000000001</v>
      </c>
      <c r="AD47" s="453">
        <v>-9.5200000000000005E-4</v>
      </c>
      <c r="AE47" s="448">
        <v>1.0000000000000001E-5</v>
      </c>
      <c r="AF47" s="452">
        <v>4.8283820000000004</v>
      </c>
      <c r="AG47" s="453">
        <v>0.25074600000000002</v>
      </c>
      <c r="AH47" s="453">
        <v>-1.6609999999999999E-3</v>
      </c>
      <c r="AI47" s="455">
        <v>1.0000000000000001E-5</v>
      </c>
      <c r="AJ47" s="452">
        <v>3.3601869999999998</v>
      </c>
      <c r="AK47" s="453">
        <v>0.29524899999999998</v>
      </c>
      <c r="AL47" s="453">
        <v>-3.209E-3</v>
      </c>
      <c r="AM47" s="455">
        <v>2.4000000000000001E-5</v>
      </c>
    </row>
    <row r="48" spans="1:39" ht="13.5" customHeight="1">
      <c r="A48" s="52"/>
      <c r="B48" s="294">
        <v>2031</v>
      </c>
      <c r="D48" s="446">
        <v>0.34449000000000002</v>
      </c>
      <c r="E48" s="447">
        <v>7.3209999999999997E-2</v>
      </c>
      <c r="F48" s="447">
        <v>-8.3000000000000001E-4</v>
      </c>
      <c r="G48" s="448">
        <v>6.0000000000000002E-6</v>
      </c>
      <c r="H48" s="449">
        <v>0.39666000000000001</v>
      </c>
      <c r="I48" s="450">
        <v>5.6869999999999997E-2</v>
      </c>
      <c r="J48" s="450">
        <v>-5.5000000000000003E-4</v>
      </c>
      <c r="K48" s="448">
        <v>3.9999999999999998E-6</v>
      </c>
      <c r="L48" s="449"/>
      <c r="M48" s="450">
        <v>0.1628</v>
      </c>
      <c r="N48" s="294"/>
      <c r="O48" s="451"/>
      <c r="P48" s="452">
        <v>0.249276</v>
      </c>
      <c r="Q48" s="453">
        <v>0.13977999999999999</v>
      </c>
      <c r="R48" s="453">
        <v>-2.1940000000000002E-3</v>
      </c>
      <c r="S48" s="448">
        <v>1.4E-5</v>
      </c>
      <c r="T48" s="452">
        <v>0.37091600000000002</v>
      </c>
      <c r="U48" s="453">
        <v>9.0652999999999997E-2</v>
      </c>
      <c r="V48" s="453">
        <v>-1.3079999999999999E-3</v>
      </c>
      <c r="W48" s="448">
        <v>1.1E-5</v>
      </c>
      <c r="X48" s="454"/>
      <c r="Y48" s="450">
        <v>0.24349000000000001</v>
      </c>
      <c r="Z48" s="448"/>
      <c r="AA48" s="448"/>
      <c r="AB48" s="452">
        <v>2.450288</v>
      </c>
      <c r="AC48" s="453">
        <v>0.13000500000000001</v>
      </c>
      <c r="AD48" s="453">
        <v>-9.3999999999999997E-4</v>
      </c>
      <c r="AE48" s="448">
        <v>1.0000000000000001E-5</v>
      </c>
      <c r="AF48" s="452">
        <v>4.6774399999999998</v>
      </c>
      <c r="AG48" s="453">
        <v>0.24290800000000001</v>
      </c>
      <c r="AH48" s="453">
        <v>-1.609E-3</v>
      </c>
      <c r="AI48" s="455">
        <v>1.0000000000000001E-5</v>
      </c>
      <c r="AJ48" s="452">
        <v>3.3601869999999998</v>
      </c>
      <c r="AK48" s="453">
        <v>0.29524899999999998</v>
      </c>
      <c r="AL48" s="453">
        <v>-3.209E-3</v>
      </c>
      <c r="AM48" s="455">
        <v>2.4000000000000001E-5</v>
      </c>
    </row>
    <row r="49" spans="1:39" ht="13.5" customHeight="1">
      <c r="A49" s="52"/>
      <c r="B49" s="294">
        <v>2032</v>
      </c>
      <c r="D49" s="446">
        <v>0.33728999999999998</v>
      </c>
      <c r="E49" s="447">
        <v>7.1679999999999994E-2</v>
      </c>
      <c r="F49" s="447">
        <v>-8.1999999999999998E-4</v>
      </c>
      <c r="G49" s="448">
        <v>5.0000000000000004E-6</v>
      </c>
      <c r="H49" s="449">
        <v>0.38718999999999998</v>
      </c>
      <c r="I49" s="450">
        <v>5.5509999999999997E-2</v>
      </c>
      <c r="J49" s="450">
        <v>-5.2999999999999998E-4</v>
      </c>
      <c r="K49" s="448">
        <v>3.9999999999999998E-6</v>
      </c>
      <c r="L49" s="449"/>
      <c r="M49" s="450">
        <v>0.16200000000000001</v>
      </c>
      <c r="N49" s="294"/>
      <c r="O49" s="451"/>
      <c r="P49" s="452">
        <v>0.242122</v>
      </c>
      <c r="Q49" s="453">
        <v>0.135768</v>
      </c>
      <c r="R49" s="453">
        <v>-2.1310000000000001E-3</v>
      </c>
      <c r="S49" s="448">
        <v>1.4E-5</v>
      </c>
      <c r="T49" s="452">
        <v>0.36300399999999999</v>
      </c>
      <c r="U49" s="453">
        <v>8.8719999999999993E-2</v>
      </c>
      <c r="V49" s="453">
        <v>-1.2800000000000001E-3</v>
      </c>
      <c r="W49" s="448">
        <v>1.1E-5</v>
      </c>
      <c r="X49" s="454"/>
      <c r="Y49" s="450">
        <v>0.24307000000000001</v>
      </c>
      <c r="Z49" s="448"/>
      <c r="AA49" s="448"/>
      <c r="AB49" s="452">
        <v>2.4185759999999998</v>
      </c>
      <c r="AC49" s="453">
        <v>0.12832299999999999</v>
      </c>
      <c r="AD49" s="453">
        <v>-9.2800000000000001E-4</v>
      </c>
      <c r="AE49" s="448">
        <v>1.0000000000000001E-5</v>
      </c>
      <c r="AF49" s="452">
        <v>4.539625</v>
      </c>
      <c r="AG49" s="453">
        <v>0.23575099999999999</v>
      </c>
      <c r="AH49" s="453">
        <v>-1.562E-3</v>
      </c>
      <c r="AI49" s="455">
        <v>9.0000000000000002E-6</v>
      </c>
      <c r="AJ49" s="452">
        <v>3.3601869999999998</v>
      </c>
      <c r="AK49" s="453">
        <v>0.29524899999999998</v>
      </c>
      <c r="AL49" s="453">
        <v>-3.209E-3</v>
      </c>
      <c r="AM49" s="455">
        <v>2.4000000000000001E-5</v>
      </c>
    </row>
    <row r="50" spans="1:39" ht="13.5" customHeight="1">
      <c r="A50" s="52"/>
      <c r="B50" s="294">
        <v>2033</v>
      </c>
      <c r="D50" s="446">
        <v>0.33048</v>
      </c>
      <c r="E50" s="447">
        <v>7.0230000000000001E-2</v>
      </c>
      <c r="F50" s="447">
        <v>-8.0000000000000004E-4</v>
      </c>
      <c r="G50" s="448">
        <v>5.0000000000000004E-6</v>
      </c>
      <c r="H50" s="449">
        <v>0.37873000000000001</v>
      </c>
      <c r="I50" s="450">
        <v>5.4300000000000001E-2</v>
      </c>
      <c r="J50" s="450">
        <v>-5.1999999999999995E-4</v>
      </c>
      <c r="K50" s="448">
        <v>3.9999999999999998E-6</v>
      </c>
      <c r="L50" s="449"/>
      <c r="M50" s="450">
        <v>0.16128999999999999</v>
      </c>
      <c r="N50" s="294"/>
      <c r="O50" s="451"/>
      <c r="P50" s="452">
        <v>0.235295</v>
      </c>
      <c r="Q50" s="453">
        <v>0.13194</v>
      </c>
      <c r="R50" s="453">
        <v>-2.0709999999999999E-3</v>
      </c>
      <c r="S50" s="448">
        <v>1.2999999999999999E-5</v>
      </c>
      <c r="T50" s="452">
        <v>0.35568699999999998</v>
      </c>
      <c r="U50" s="453">
        <v>8.6930999999999994E-2</v>
      </c>
      <c r="V50" s="453">
        <v>-1.2539999999999999E-3</v>
      </c>
      <c r="W50" s="448">
        <v>1.1E-5</v>
      </c>
      <c r="X50" s="454"/>
      <c r="Y50" s="450">
        <v>0.24271999999999999</v>
      </c>
      <c r="Z50" s="448"/>
      <c r="AA50" s="448"/>
      <c r="AB50" s="452">
        <v>2.3885830000000001</v>
      </c>
      <c r="AC50" s="453">
        <v>0.12673200000000001</v>
      </c>
      <c r="AD50" s="453">
        <v>-9.1600000000000004E-4</v>
      </c>
      <c r="AE50" s="448">
        <v>1.0000000000000001E-5</v>
      </c>
      <c r="AF50" s="452">
        <v>4.4185530000000002</v>
      </c>
      <c r="AG50" s="453">
        <v>0.229463</v>
      </c>
      <c r="AH50" s="453">
        <v>-1.5200000000000001E-3</v>
      </c>
      <c r="AI50" s="455">
        <v>9.0000000000000002E-6</v>
      </c>
      <c r="AJ50" s="452">
        <v>3.3601869999999998</v>
      </c>
      <c r="AK50" s="453">
        <v>0.29524899999999998</v>
      </c>
      <c r="AL50" s="453">
        <v>-3.209E-3</v>
      </c>
      <c r="AM50" s="455">
        <v>2.4000000000000001E-5</v>
      </c>
    </row>
    <row r="51" spans="1:39" ht="13.5" customHeight="1">
      <c r="A51" s="52"/>
      <c r="B51" s="294">
        <v>2034</v>
      </c>
      <c r="D51" s="446">
        <v>0.32408999999999999</v>
      </c>
      <c r="E51" s="447">
        <v>6.8870000000000001E-2</v>
      </c>
      <c r="F51" s="447">
        <v>-7.7999999999999999E-4</v>
      </c>
      <c r="G51" s="448">
        <v>5.0000000000000004E-6</v>
      </c>
      <c r="H51" s="449">
        <v>0.37115999999999999</v>
      </c>
      <c r="I51" s="450">
        <v>5.3220000000000003E-2</v>
      </c>
      <c r="J51" s="450">
        <v>-5.1000000000000004E-4</v>
      </c>
      <c r="K51" s="448">
        <v>3.9999999999999998E-6</v>
      </c>
      <c r="L51" s="449"/>
      <c r="M51" s="450">
        <v>0.16064000000000001</v>
      </c>
      <c r="N51" s="294"/>
      <c r="O51" s="451"/>
      <c r="P51" s="452">
        <v>0.227468</v>
      </c>
      <c r="Q51" s="453">
        <v>0.127551</v>
      </c>
      <c r="R51" s="453">
        <v>-2.0019999999999999E-3</v>
      </c>
      <c r="S51" s="448">
        <v>1.2999999999999999E-5</v>
      </c>
      <c r="T51" s="452">
        <v>0.34983300000000001</v>
      </c>
      <c r="U51" s="453">
        <v>8.5500999999999994E-2</v>
      </c>
      <c r="V51" s="453">
        <v>-1.2340000000000001E-3</v>
      </c>
      <c r="W51" s="448">
        <v>1.0000000000000001E-5</v>
      </c>
      <c r="X51" s="454"/>
      <c r="Y51" s="450">
        <v>0.24235000000000001</v>
      </c>
      <c r="Z51" s="448"/>
      <c r="AA51" s="448"/>
      <c r="AB51" s="452">
        <v>2.3604980000000002</v>
      </c>
      <c r="AC51" s="453">
        <v>0.12524099999999999</v>
      </c>
      <c r="AD51" s="453">
        <v>-9.0499999999999999E-4</v>
      </c>
      <c r="AE51" s="448">
        <v>1.0000000000000001E-5</v>
      </c>
      <c r="AF51" s="452">
        <v>4.3102929999999997</v>
      </c>
      <c r="AG51" s="453">
        <v>0.22384100000000001</v>
      </c>
      <c r="AH51" s="453">
        <v>-1.4829999999999999E-3</v>
      </c>
      <c r="AI51" s="455">
        <v>9.0000000000000002E-6</v>
      </c>
      <c r="AJ51" s="452">
        <v>3.3601869999999998</v>
      </c>
      <c r="AK51" s="453">
        <v>0.29524899999999998</v>
      </c>
      <c r="AL51" s="453">
        <v>-3.209E-3</v>
      </c>
      <c r="AM51" s="455">
        <v>2.4000000000000001E-5</v>
      </c>
    </row>
    <row r="52" spans="1:39" ht="13.5" customHeight="1">
      <c r="A52" s="52"/>
      <c r="B52" s="294">
        <v>2035</v>
      </c>
      <c r="D52" s="446">
        <v>0.31828000000000001</v>
      </c>
      <c r="E52" s="447">
        <v>6.7640000000000006E-2</v>
      </c>
      <c r="F52" s="447">
        <v>-7.6999999999999996E-4</v>
      </c>
      <c r="G52" s="448">
        <v>5.0000000000000004E-6</v>
      </c>
      <c r="H52" s="449">
        <v>0.36438999999999999</v>
      </c>
      <c r="I52" s="450">
        <v>5.2240000000000002E-2</v>
      </c>
      <c r="J52" s="450">
        <v>-5.0000000000000001E-4</v>
      </c>
      <c r="K52" s="448">
        <v>3.9999999999999998E-6</v>
      </c>
      <c r="L52" s="449"/>
      <c r="M52" s="450">
        <v>0.16003999999999999</v>
      </c>
      <c r="N52" s="294"/>
      <c r="O52" s="451"/>
      <c r="P52" s="452">
        <v>0.22787099999999999</v>
      </c>
      <c r="Q52" s="453">
        <v>0.127777</v>
      </c>
      <c r="R52" s="453">
        <v>-2.006E-3</v>
      </c>
      <c r="S52" s="448">
        <v>1.2999999999999999E-5</v>
      </c>
      <c r="T52" s="452">
        <v>0.34452500000000003</v>
      </c>
      <c r="U52" s="453">
        <v>8.4203E-2</v>
      </c>
      <c r="V52" s="453">
        <v>-1.2149999999999999E-3</v>
      </c>
      <c r="W52" s="448">
        <v>1.0000000000000001E-5</v>
      </c>
      <c r="X52" s="454"/>
      <c r="Y52" s="450">
        <v>0.24196000000000001</v>
      </c>
      <c r="Z52" s="448"/>
      <c r="AA52" s="448"/>
      <c r="AB52" s="452">
        <v>2.3342869999999998</v>
      </c>
      <c r="AC52" s="453">
        <v>0.123851</v>
      </c>
      <c r="AD52" s="453">
        <v>-8.9499999999999996E-4</v>
      </c>
      <c r="AE52" s="448">
        <v>1.0000000000000001E-5</v>
      </c>
      <c r="AF52" s="452">
        <v>4.2209960000000004</v>
      </c>
      <c r="AG52" s="453">
        <v>0.21920400000000001</v>
      </c>
      <c r="AH52" s="453">
        <v>-1.4519999999999999E-3</v>
      </c>
      <c r="AI52" s="455">
        <v>9.0000000000000002E-6</v>
      </c>
      <c r="AJ52" s="452">
        <v>3.3601869999999998</v>
      </c>
      <c r="AK52" s="453">
        <v>0.29524899999999998</v>
      </c>
      <c r="AL52" s="453">
        <v>-3.209E-3</v>
      </c>
      <c r="AM52" s="455">
        <v>2.4000000000000001E-5</v>
      </c>
    </row>
    <row r="53" spans="1:39" ht="13.5" customHeight="1">
      <c r="A53" s="52"/>
      <c r="B53" s="294">
        <v>2036</v>
      </c>
      <c r="D53" s="446">
        <v>0.31318000000000001</v>
      </c>
      <c r="E53" s="447">
        <v>6.6559999999999994E-2</v>
      </c>
      <c r="F53" s="447">
        <v>-7.6000000000000004E-4</v>
      </c>
      <c r="G53" s="448">
        <v>5.0000000000000004E-6</v>
      </c>
      <c r="H53" s="449">
        <v>0.35810999999999998</v>
      </c>
      <c r="I53" s="450">
        <v>5.1339999999999997E-2</v>
      </c>
      <c r="J53" s="450">
        <v>-4.8999999999999998E-4</v>
      </c>
      <c r="K53" s="448">
        <v>3.9999999999999998E-6</v>
      </c>
      <c r="L53" s="449"/>
      <c r="M53" s="450">
        <v>0.15945999999999999</v>
      </c>
      <c r="N53" s="294"/>
      <c r="O53" s="451"/>
      <c r="P53" s="452">
        <v>0.223602</v>
      </c>
      <c r="Q53" s="453">
        <v>0.12538299999999999</v>
      </c>
      <c r="R53" s="453">
        <v>-1.9680000000000001E-3</v>
      </c>
      <c r="S53" s="448">
        <v>1.2999999999999999E-5</v>
      </c>
      <c r="T53" s="452">
        <v>0.33969899999999997</v>
      </c>
      <c r="U53" s="453">
        <v>8.3024000000000001E-2</v>
      </c>
      <c r="V53" s="453">
        <v>-1.1980000000000001E-3</v>
      </c>
      <c r="W53" s="448">
        <v>1.0000000000000001E-5</v>
      </c>
      <c r="X53" s="454"/>
      <c r="Y53" s="450">
        <v>0.24149999999999999</v>
      </c>
      <c r="Z53" s="448"/>
      <c r="AA53" s="448"/>
      <c r="AB53" s="452">
        <v>2.3103319999999998</v>
      </c>
      <c r="AC53" s="453">
        <v>0.12257999999999999</v>
      </c>
      <c r="AD53" s="453">
        <v>-8.8599999999999996E-4</v>
      </c>
      <c r="AE53" s="448">
        <v>1.0000000000000001E-5</v>
      </c>
      <c r="AF53" s="452">
        <v>4.1512690000000001</v>
      </c>
      <c r="AG53" s="453">
        <v>0.215583</v>
      </c>
      <c r="AH53" s="453">
        <v>-1.428E-3</v>
      </c>
      <c r="AI53" s="455">
        <v>9.0000000000000002E-6</v>
      </c>
      <c r="AJ53" s="452">
        <v>3.3601869999999998</v>
      </c>
      <c r="AK53" s="453">
        <v>0.29524899999999998</v>
      </c>
      <c r="AL53" s="453">
        <v>-3.209E-3</v>
      </c>
      <c r="AM53" s="455">
        <v>2.4000000000000001E-5</v>
      </c>
    </row>
    <row r="54" spans="1:39" ht="13.5" customHeight="1">
      <c r="A54" s="52"/>
      <c r="B54" s="294">
        <v>2037</v>
      </c>
      <c r="D54" s="446">
        <v>0.30847999999999998</v>
      </c>
      <c r="E54" s="447">
        <v>6.5559999999999993E-2</v>
      </c>
      <c r="F54" s="447">
        <v>-7.5000000000000002E-4</v>
      </c>
      <c r="G54" s="448">
        <v>5.0000000000000004E-6</v>
      </c>
      <c r="H54" s="449">
        <v>0.35249999999999998</v>
      </c>
      <c r="I54" s="450">
        <v>5.0540000000000002E-2</v>
      </c>
      <c r="J54" s="450">
        <v>-4.8999999999999998E-4</v>
      </c>
      <c r="K54" s="448">
        <v>3.9999999999999998E-6</v>
      </c>
      <c r="L54" s="449"/>
      <c r="M54" s="450">
        <v>0.15886</v>
      </c>
      <c r="N54" s="294"/>
      <c r="O54" s="451"/>
      <c r="P54" s="452">
        <v>0.22028300000000001</v>
      </c>
      <c r="Q54" s="453">
        <v>0.12352200000000001</v>
      </c>
      <c r="R54" s="453">
        <v>-1.939E-3</v>
      </c>
      <c r="S54" s="448">
        <v>1.2999999999999999E-5</v>
      </c>
      <c r="T54" s="452">
        <v>0.335198</v>
      </c>
      <c r="U54" s="453">
        <v>8.1923999999999997E-2</v>
      </c>
      <c r="V54" s="453">
        <v>-1.1820000000000001E-3</v>
      </c>
      <c r="W54" s="448">
        <v>1.0000000000000001E-5</v>
      </c>
      <c r="X54" s="454"/>
      <c r="Y54" s="450">
        <v>0.24093999999999999</v>
      </c>
      <c r="Z54" s="448"/>
      <c r="AA54" s="448"/>
      <c r="AB54" s="452">
        <v>2.2887330000000001</v>
      </c>
      <c r="AC54" s="453">
        <v>0.121434</v>
      </c>
      <c r="AD54" s="453">
        <v>-8.7799999999999998E-4</v>
      </c>
      <c r="AE54" s="448">
        <v>1.0000000000000001E-5</v>
      </c>
      <c r="AF54" s="452">
        <v>4.0949609999999996</v>
      </c>
      <c r="AG54" s="453">
        <v>0.21265899999999999</v>
      </c>
      <c r="AH54" s="453">
        <v>-1.4090000000000001E-3</v>
      </c>
      <c r="AI54" s="455">
        <v>7.9999999999999996E-6</v>
      </c>
      <c r="AJ54" s="452">
        <v>3.3601869999999998</v>
      </c>
      <c r="AK54" s="453">
        <v>0.29524899999999998</v>
      </c>
      <c r="AL54" s="453">
        <v>-3.209E-3</v>
      </c>
      <c r="AM54" s="455">
        <v>2.4000000000000001E-5</v>
      </c>
    </row>
    <row r="55" spans="1:39" ht="13.5" customHeight="1">
      <c r="A55" s="52"/>
      <c r="B55" s="294">
        <v>2038</v>
      </c>
      <c r="D55" s="446">
        <v>0.30425000000000002</v>
      </c>
      <c r="E55" s="447">
        <v>6.4659999999999995E-2</v>
      </c>
      <c r="F55" s="447">
        <v>-7.3999999999999999E-4</v>
      </c>
      <c r="G55" s="448">
        <v>5.0000000000000004E-6</v>
      </c>
      <c r="H55" s="449">
        <v>0.34771999999999997</v>
      </c>
      <c r="I55" s="450">
        <v>4.9849999999999998E-2</v>
      </c>
      <c r="J55" s="450">
        <v>-4.8000000000000001E-4</v>
      </c>
      <c r="K55" s="448">
        <v>3.9999999999999998E-6</v>
      </c>
      <c r="L55" s="449"/>
      <c r="M55" s="450">
        <v>0.15825</v>
      </c>
      <c r="N55" s="294"/>
      <c r="O55" s="451"/>
      <c r="P55" s="452">
        <v>0.21418899999999999</v>
      </c>
      <c r="Q55" s="453">
        <v>0.120105</v>
      </c>
      <c r="R55" s="453">
        <v>-1.885E-3</v>
      </c>
      <c r="S55" s="448">
        <v>1.2E-5</v>
      </c>
      <c r="T55" s="452">
        <v>0.33090700000000001</v>
      </c>
      <c r="U55" s="453">
        <v>8.0875000000000002E-2</v>
      </c>
      <c r="V55" s="453">
        <v>-1.1670000000000001E-3</v>
      </c>
      <c r="W55" s="448">
        <v>1.0000000000000001E-5</v>
      </c>
      <c r="X55" s="454"/>
      <c r="Y55" s="450">
        <v>0.24030000000000001</v>
      </c>
      <c r="Z55" s="448"/>
      <c r="AA55" s="448"/>
      <c r="AB55" s="452">
        <v>2.2693270000000001</v>
      </c>
      <c r="AC55" s="453">
        <v>0.120404</v>
      </c>
      <c r="AD55" s="453">
        <v>-8.7000000000000001E-4</v>
      </c>
      <c r="AE55" s="448">
        <v>1.0000000000000001E-5</v>
      </c>
      <c r="AF55" s="452">
        <v>4.0521159999999998</v>
      </c>
      <c r="AG55" s="453">
        <v>0.21043400000000001</v>
      </c>
      <c r="AH55" s="453">
        <v>-1.3940000000000001E-3</v>
      </c>
      <c r="AI55" s="455">
        <v>7.9999999999999996E-6</v>
      </c>
      <c r="AJ55" s="452">
        <v>3.3601869999999998</v>
      </c>
      <c r="AK55" s="453">
        <v>0.29524899999999998</v>
      </c>
      <c r="AL55" s="453">
        <v>-3.209E-3</v>
      </c>
      <c r="AM55" s="455">
        <v>2.4000000000000001E-5</v>
      </c>
    </row>
    <row r="56" spans="1:39" ht="13.5" customHeight="1">
      <c r="A56" s="52"/>
      <c r="B56" s="294">
        <v>2039</v>
      </c>
      <c r="D56" s="446">
        <v>0.30049999999999999</v>
      </c>
      <c r="E56" s="447">
        <v>6.386E-2</v>
      </c>
      <c r="F56" s="447">
        <v>-7.2999999999999996E-4</v>
      </c>
      <c r="G56" s="448">
        <v>5.0000000000000004E-6</v>
      </c>
      <c r="H56" s="449">
        <v>0.34389999999999998</v>
      </c>
      <c r="I56" s="450">
        <v>4.931E-2</v>
      </c>
      <c r="J56" s="450">
        <v>-4.6999999999999999E-4</v>
      </c>
      <c r="K56" s="448">
        <v>3.9999999999999998E-6</v>
      </c>
      <c r="L56" s="449"/>
      <c r="M56" s="450">
        <v>0.15761</v>
      </c>
      <c r="N56" s="294"/>
      <c r="O56" s="451"/>
      <c r="P56" s="452">
        <v>0.213336</v>
      </c>
      <c r="Q56" s="453">
        <v>0.119627</v>
      </c>
      <c r="R56" s="453">
        <v>-1.8779999999999999E-3</v>
      </c>
      <c r="S56" s="448">
        <v>1.2E-5</v>
      </c>
      <c r="T56" s="452">
        <v>0.328156</v>
      </c>
      <c r="U56" s="453">
        <v>8.0202999999999997E-2</v>
      </c>
      <c r="V56" s="453">
        <v>-1.157E-3</v>
      </c>
      <c r="W56" s="448">
        <v>1.0000000000000001E-5</v>
      </c>
      <c r="X56" s="454"/>
      <c r="Y56" s="450">
        <v>0.23959</v>
      </c>
      <c r="Z56" s="448"/>
      <c r="AA56" s="448"/>
      <c r="AB56" s="452">
        <v>2.2521300000000002</v>
      </c>
      <c r="AC56" s="453">
        <v>0.119492</v>
      </c>
      <c r="AD56" s="453">
        <v>-8.6399999999999997E-4</v>
      </c>
      <c r="AE56" s="448">
        <v>9.0000000000000002E-6</v>
      </c>
      <c r="AF56" s="452">
        <v>4.0194359999999998</v>
      </c>
      <c r="AG56" s="453">
        <v>0.208736</v>
      </c>
      <c r="AH56" s="453">
        <v>-1.3829999999999999E-3</v>
      </c>
      <c r="AI56" s="455">
        <v>7.9999999999999996E-6</v>
      </c>
      <c r="AJ56" s="452">
        <v>3.3601869999999998</v>
      </c>
      <c r="AK56" s="453">
        <v>0.29524899999999998</v>
      </c>
      <c r="AL56" s="453">
        <v>-3.209E-3</v>
      </c>
      <c r="AM56" s="455">
        <v>2.4000000000000001E-5</v>
      </c>
    </row>
    <row r="57" spans="1:39" ht="13.5" customHeight="1">
      <c r="A57" s="52"/>
      <c r="B57" s="294">
        <v>2040</v>
      </c>
      <c r="D57" s="446">
        <v>0.2969</v>
      </c>
      <c r="E57" s="447">
        <v>6.3100000000000003E-2</v>
      </c>
      <c r="F57" s="447">
        <v>-7.2000000000000005E-4</v>
      </c>
      <c r="G57" s="448">
        <v>5.0000000000000004E-6</v>
      </c>
      <c r="H57" s="449">
        <v>0.33990999999999999</v>
      </c>
      <c r="I57" s="450">
        <v>4.8730000000000002E-2</v>
      </c>
      <c r="J57" s="450">
        <v>-4.6999999999999999E-4</v>
      </c>
      <c r="K57" s="448">
        <v>3.9999999999999998E-6</v>
      </c>
      <c r="L57" s="449"/>
      <c r="M57" s="450">
        <v>0.15706999999999999</v>
      </c>
      <c r="N57" s="294"/>
      <c r="O57" s="451"/>
      <c r="P57" s="452">
        <v>0.21173</v>
      </c>
      <c r="Q57" s="453">
        <v>0.118726</v>
      </c>
      <c r="R57" s="453">
        <v>-1.864E-3</v>
      </c>
      <c r="S57" s="448">
        <v>1.2E-5</v>
      </c>
      <c r="T57" s="452">
        <v>0.325625</v>
      </c>
      <c r="U57" s="453">
        <v>7.9584000000000002E-2</v>
      </c>
      <c r="V57" s="453">
        <v>-1.1479999999999999E-3</v>
      </c>
      <c r="W57" s="448">
        <v>1.0000000000000001E-5</v>
      </c>
      <c r="X57" s="454"/>
      <c r="Y57" s="450">
        <v>0.23880000000000001</v>
      </c>
      <c r="Z57" s="448"/>
      <c r="AA57" s="448"/>
      <c r="AB57" s="452">
        <v>2.2372550000000002</v>
      </c>
      <c r="AC57" s="453">
        <v>0.118702</v>
      </c>
      <c r="AD57" s="453">
        <v>-8.5800000000000004E-4</v>
      </c>
      <c r="AE57" s="448">
        <v>9.0000000000000002E-6</v>
      </c>
      <c r="AF57" s="452">
        <v>3.9953400000000001</v>
      </c>
      <c r="AG57" s="453">
        <v>0.207485</v>
      </c>
      <c r="AH57" s="453">
        <v>-1.3749999999999999E-3</v>
      </c>
      <c r="AI57" s="455">
        <v>7.9999999999999996E-6</v>
      </c>
      <c r="AJ57" s="452">
        <v>3.3601869999999998</v>
      </c>
      <c r="AK57" s="453">
        <v>0.29524899999999998</v>
      </c>
      <c r="AL57" s="453">
        <v>-3.209E-3</v>
      </c>
      <c r="AM57" s="455">
        <v>2.4000000000000001E-5</v>
      </c>
    </row>
    <row r="58" spans="1:39" ht="13.5" customHeight="1">
      <c r="A58" s="52"/>
      <c r="B58" s="294">
        <v>2041</v>
      </c>
      <c r="D58" s="446">
        <v>0.29304000000000002</v>
      </c>
      <c r="E58" s="447">
        <v>6.2280000000000002E-2</v>
      </c>
      <c r="F58" s="447">
        <v>-7.1000000000000002E-4</v>
      </c>
      <c r="G58" s="448">
        <v>5.0000000000000004E-6</v>
      </c>
      <c r="H58" s="449">
        <v>0.33454</v>
      </c>
      <c r="I58" s="450">
        <v>4.7960000000000003E-2</v>
      </c>
      <c r="J58" s="450">
        <v>-4.6000000000000001E-4</v>
      </c>
      <c r="K58" s="448">
        <v>3.9999999999999998E-6</v>
      </c>
      <c r="L58" s="449"/>
      <c r="M58" s="450">
        <v>0.15651000000000001</v>
      </c>
      <c r="N58" s="294"/>
      <c r="O58" s="451"/>
      <c r="P58" s="452">
        <v>0.209593</v>
      </c>
      <c r="Q58" s="453">
        <v>0.11752799999999999</v>
      </c>
      <c r="R58" s="453">
        <v>-1.8450000000000001E-3</v>
      </c>
      <c r="S58" s="448">
        <v>1.2E-5</v>
      </c>
      <c r="T58" s="452">
        <v>0.32228499999999999</v>
      </c>
      <c r="U58" s="453">
        <v>7.8768000000000005E-2</v>
      </c>
      <c r="V58" s="453">
        <v>-1.1360000000000001E-3</v>
      </c>
      <c r="W58" s="448">
        <v>1.0000000000000001E-5</v>
      </c>
      <c r="X58" s="454"/>
      <c r="Y58" s="450">
        <v>0.23787</v>
      </c>
      <c r="Z58" s="448"/>
      <c r="AA58" s="448"/>
      <c r="AB58" s="452">
        <v>2.2242389999999999</v>
      </c>
      <c r="AC58" s="453">
        <v>0.11801200000000001</v>
      </c>
      <c r="AD58" s="453">
        <v>-8.5300000000000003E-4</v>
      </c>
      <c r="AE58" s="448">
        <v>9.0000000000000002E-6</v>
      </c>
      <c r="AF58" s="452">
        <v>3.9779149999999999</v>
      </c>
      <c r="AG58" s="453">
        <v>0.20658000000000001</v>
      </c>
      <c r="AH58" s="453">
        <v>-1.369E-3</v>
      </c>
      <c r="AI58" s="455">
        <v>7.9999999999999996E-6</v>
      </c>
      <c r="AJ58" s="452">
        <v>3.3601869999999998</v>
      </c>
      <c r="AK58" s="453">
        <v>0.29524899999999998</v>
      </c>
      <c r="AL58" s="453">
        <v>-3.209E-3</v>
      </c>
      <c r="AM58" s="455">
        <v>2.4000000000000001E-5</v>
      </c>
    </row>
    <row r="59" spans="1:39" ht="13.5" customHeight="1">
      <c r="A59" s="52"/>
      <c r="B59" s="294">
        <v>2042</v>
      </c>
      <c r="D59" s="446">
        <v>0.29046</v>
      </c>
      <c r="E59" s="447">
        <v>6.173E-2</v>
      </c>
      <c r="F59" s="447">
        <v>-6.9999999999999999E-4</v>
      </c>
      <c r="G59" s="448">
        <v>5.0000000000000004E-6</v>
      </c>
      <c r="H59" s="449">
        <v>0.33171</v>
      </c>
      <c r="I59" s="450">
        <v>4.7559999999999998E-2</v>
      </c>
      <c r="J59" s="450">
        <v>-4.6000000000000001E-4</v>
      </c>
      <c r="K59" s="448">
        <v>3.9999999999999998E-6</v>
      </c>
      <c r="L59" s="449"/>
      <c r="M59" s="450">
        <v>0.15592</v>
      </c>
      <c r="N59" s="294"/>
      <c r="O59" s="451"/>
      <c r="P59" s="452">
        <v>0.20855399999999999</v>
      </c>
      <c r="Q59" s="453">
        <v>0.11694499999999999</v>
      </c>
      <c r="R59" s="453">
        <v>-1.836E-3</v>
      </c>
      <c r="S59" s="448">
        <v>1.2E-5</v>
      </c>
      <c r="T59" s="452">
        <v>0.32059399999999999</v>
      </c>
      <c r="U59" s="453">
        <v>7.8353999999999993E-2</v>
      </c>
      <c r="V59" s="453">
        <v>-1.1299999999999999E-3</v>
      </c>
      <c r="W59" s="448">
        <v>1.0000000000000001E-5</v>
      </c>
      <c r="X59" s="454"/>
      <c r="Y59" s="450">
        <v>0.23674000000000001</v>
      </c>
      <c r="Z59" s="448"/>
      <c r="AA59" s="448"/>
      <c r="AB59" s="452">
        <v>2.21286</v>
      </c>
      <c r="AC59" s="453">
        <v>0.117408</v>
      </c>
      <c r="AD59" s="453">
        <v>-8.4900000000000004E-4</v>
      </c>
      <c r="AE59" s="448">
        <v>9.0000000000000002E-6</v>
      </c>
      <c r="AF59" s="452">
        <v>3.9645769999999998</v>
      </c>
      <c r="AG59" s="453">
        <v>0.20588699999999999</v>
      </c>
      <c r="AH59" s="453">
        <v>-1.364E-3</v>
      </c>
      <c r="AI59" s="455">
        <v>7.9999999999999996E-6</v>
      </c>
      <c r="AJ59" s="452">
        <v>3.3601869999999998</v>
      </c>
      <c r="AK59" s="453">
        <v>0.29524899999999998</v>
      </c>
      <c r="AL59" s="453">
        <v>-3.209E-3</v>
      </c>
      <c r="AM59" s="455">
        <v>2.4000000000000001E-5</v>
      </c>
    </row>
    <row r="60" spans="1:39" ht="13.5" customHeight="1">
      <c r="A60" s="52"/>
      <c r="B60" s="294">
        <v>2043</v>
      </c>
      <c r="D60" s="446">
        <v>0.28824</v>
      </c>
      <c r="E60" s="447">
        <v>6.1260000000000002E-2</v>
      </c>
      <c r="F60" s="447">
        <v>-6.9999999999999999E-4</v>
      </c>
      <c r="G60" s="448">
        <v>5.0000000000000004E-6</v>
      </c>
      <c r="H60" s="449">
        <v>0.32941999999999999</v>
      </c>
      <c r="I60" s="450">
        <v>4.7230000000000001E-2</v>
      </c>
      <c r="J60" s="450">
        <v>-4.4999999999999999E-4</v>
      </c>
      <c r="K60" s="448">
        <v>3.9999999999999998E-6</v>
      </c>
      <c r="L60" s="449"/>
      <c r="M60" s="450">
        <v>0.15532000000000001</v>
      </c>
      <c r="N60" s="294"/>
      <c r="O60" s="451"/>
      <c r="P60" s="452">
        <v>0.20768800000000001</v>
      </c>
      <c r="Q60" s="453">
        <v>0.11645899999999999</v>
      </c>
      <c r="R60" s="453">
        <v>-1.828E-3</v>
      </c>
      <c r="S60" s="448">
        <v>1.2E-5</v>
      </c>
      <c r="T60" s="452">
        <v>0.31919199999999998</v>
      </c>
      <c r="U60" s="453">
        <v>7.8011999999999998E-2</v>
      </c>
      <c r="V60" s="453">
        <v>-1.1249999999999999E-3</v>
      </c>
      <c r="W60" s="448">
        <v>1.0000000000000001E-5</v>
      </c>
      <c r="X60" s="454"/>
      <c r="Y60" s="450">
        <v>0.23547000000000001</v>
      </c>
      <c r="Z60" s="448"/>
      <c r="AA60" s="448"/>
      <c r="AB60" s="452">
        <v>2.2028690000000002</v>
      </c>
      <c r="AC60" s="453">
        <v>0.116878</v>
      </c>
      <c r="AD60" s="453">
        <v>-8.4500000000000005E-4</v>
      </c>
      <c r="AE60" s="448">
        <v>9.0000000000000002E-6</v>
      </c>
      <c r="AF60" s="452">
        <v>3.9543240000000002</v>
      </c>
      <c r="AG60" s="453">
        <v>0.20535500000000001</v>
      </c>
      <c r="AH60" s="453">
        <v>-1.361E-3</v>
      </c>
      <c r="AI60" s="455">
        <v>7.9999999999999996E-6</v>
      </c>
      <c r="AJ60" s="452">
        <v>3.3601869999999998</v>
      </c>
      <c r="AK60" s="453">
        <v>0.29524899999999998</v>
      </c>
      <c r="AL60" s="453">
        <v>-3.209E-3</v>
      </c>
      <c r="AM60" s="455">
        <v>2.4000000000000001E-5</v>
      </c>
    </row>
    <row r="61" spans="1:39" ht="13.5" customHeight="1">
      <c r="A61" s="52"/>
      <c r="B61" s="294">
        <v>2044</v>
      </c>
      <c r="D61" s="446">
        <v>0.28643999999999997</v>
      </c>
      <c r="E61" s="447">
        <v>6.087E-2</v>
      </c>
      <c r="F61" s="447">
        <v>-6.8999999999999997E-4</v>
      </c>
      <c r="G61" s="448">
        <v>5.0000000000000004E-6</v>
      </c>
      <c r="H61" s="449">
        <v>0.32757999999999998</v>
      </c>
      <c r="I61" s="450">
        <v>4.6969999999999998E-2</v>
      </c>
      <c r="J61" s="450">
        <v>-4.4999999999999999E-4</v>
      </c>
      <c r="K61" s="448">
        <v>3.9999999999999998E-6</v>
      </c>
      <c r="L61" s="449"/>
      <c r="M61" s="450">
        <v>0.15468999999999999</v>
      </c>
      <c r="N61" s="294"/>
      <c r="O61" s="451"/>
      <c r="P61" s="452">
        <v>0.20697099999999999</v>
      </c>
      <c r="Q61" s="453">
        <v>0.11605699999999999</v>
      </c>
      <c r="R61" s="453">
        <v>-1.8220000000000001E-3</v>
      </c>
      <c r="S61" s="448">
        <v>1.2E-5</v>
      </c>
      <c r="T61" s="452">
        <v>0.31805099999999997</v>
      </c>
      <c r="U61" s="453">
        <v>7.7732999999999997E-2</v>
      </c>
      <c r="V61" s="453">
        <v>-1.121E-3</v>
      </c>
      <c r="W61" s="448">
        <v>9.0000000000000002E-6</v>
      </c>
      <c r="X61" s="454"/>
      <c r="Y61" s="450">
        <v>0.23411000000000001</v>
      </c>
      <c r="Z61" s="448"/>
      <c r="AA61" s="448"/>
      <c r="AB61" s="452">
        <v>2.193975</v>
      </c>
      <c r="AC61" s="453">
        <v>0.116406</v>
      </c>
      <c r="AD61" s="453">
        <v>-8.4099999999999995E-4</v>
      </c>
      <c r="AE61" s="448">
        <v>9.0000000000000002E-6</v>
      </c>
      <c r="AF61" s="452">
        <v>3.9463499999999998</v>
      </c>
      <c r="AG61" s="453">
        <v>0.20494100000000001</v>
      </c>
      <c r="AH61" s="453">
        <v>-1.358E-3</v>
      </c>
      <c r="AI61" s="455">
        <v>7.9999999999999996E-6</v>
      </c>
      <c r="AJ61" s="452">
        <v>3.3601869999999998</v>
      </c>
      <c r="AK61" s="453">
        <v>0.29524899999999998</v>
      </c>
      <c r="AL61" s="453">
        <v>-3.209E-3</v>
      </c>
      <c r="AM61" s="455">
        <v>2.4000000000000001E-5</v>
      </c>
    </row>
    <row r="62" spans="1:39" ht="13.5" customHeight="1">
      <c r="A62" s="52"/>
      <c r="B62" s="294">
        <v>2045</v>
      </c>
      <c r="D62" s="446">
        <v>0.28505999999999998</v>
      </c>
      <c r="E62" s="447">
        <v>6.0580000000000002E-2</v>
      </c>
      <c r="F62" s="447">
        <v>-6.8999999999999997E-4</v>
      </c>
      <c r="G62" s="448">
        <v>5.0000000000000004E-6</v>
      </c>
      <c r="H62" s="449">
        <v>0.32619999999999999</v>
      </c>
      <c r="I62" s="450">
        <v>4.6769999999999999E-2</v>
      </c>
      <c r="J62" s="450">
        <v>-4.4999999999999999E-4</v>
      </c>
      <c r="K62" s="448">
        <v>3.9999999999999998E-6</v>
      </c>
      <c r="L62" s="449"/>
      <c r="M62" s="450">
        <v>0.15406</v>
      </c>
      <c r="N62" s="294"/>
      <c r="O62" s="451"/>
      <c r="P62" s="452">
        <v>0.20638100000000001</v>
      </c>
      <c r="Q62" s="453">
        <v>0.115726</v>
      </c>
      <c r="R62" s="453">
        <v>-1.817E-3</v>
      </c>
      <c r="S62" s="448">
        <v>1.2E-5</v>
      </c>
      <c r="T62" s="452">
        <v>0.31713599999999997</v>
      </c>
      <c r="U62" s="453">
        <v>7.7508999999999995E-2</v>
      </c>
      <c r="V62" s="453">
        <v>-1.1180000000000001E-3</v>
      </c>
      <c r="W62" s="448">
        <v>9.0000000000000002E-6</v>
      </c>
      <c r="X62" s="454"/>
      <c r="Y62" s="450">
        <v>0.23265</v>
      </c>
      <c r="Z62" s="448"/>
      <c r="AA62" s="448"/>
      <c r="AB62" s="452">
        <v>2.1859649999999999</v>
      </c>
      <c r="AC62" s="453">
        <v>0.115981</v>
      </c>
      <c r="AD62" s="453">
        <v>-8.3799999999999999E-4</v>
      </c>
      <c r="AE62" s="448">
        <v>9.0000000000000002E-6</v>
      </c>
      <c r="AF62" s="452">
        <v>3.9400469999999999</v>
      </c>
      <c r="AG62" s="453">
        <v>0.20461399999999999</v>
      </c>
      <c r="AH62" s="453">
        <v>-1.356E-3</v>
      </c>
      <c r="AI62" s="455">
        <v>7.9999999999999996E-6</v>
      </c>
      <c r="AJ62" s="452">
        <v>3.3601869999999998</v>
      </c>
      <c r="AK62" s="453">
        <v>0.29524899999999998</v>
      </c>
      <c r="AL62" s="453">
        <v>-3.209E-3</v>
      </c>
      <c r="AM62" s="455">
        <v>2.4000000000000001E-5</v>
      </c>
    </row>
    <row r="63" spans="1:39" ht="13.5" customHeight="1">
      <c r="A63" s="52"/>
      <c r="B63" s="294">
        <v>2046</v>
      </c>
      <c r="D63" s="446">
        <v>0.28415000000000001</v>
      </c>
      <c r="E63" s="447">
        <v>6.0389999999999999E-2</v>
      </c>
      <c r="F63" s="447">
        <v>-6.8999999999999997E-4</v>
      </c>
      <c r="G63" s="448">
        <v>5.0000000000000004E-6</v>
      </c>
      <c r="H63" s="449">
        <v>0.32507999999999998</v>
      </c>
      <c r="I63" s="450">
        <v>4.6609999999999999E-2</v>
      </c>
      <c r="J63" s="450">
        <v>-4.4999999999999999E-4</v>
      </c>
      <c r="K63" s="448">
        <v>3.9999999999999998E-6</v>
      </c>
      <c r="L63" s="449"/>
      <c r="M63" s="450">
        <v>0.15340000000000001</v>
      </c>
      <c r="N63" s="294"/>
      <c r="O63" s="451"/>
      <c r="P63" s="452">
        <v>0.205036</v>
      </c>
      <c r="Q63" s="453">
        <v>0.114972</v>
      </c>
      <c r="R63" s="453">
        <v>-1.805E-3</v>
      </c>
      <c r="S63" s="448">
        <v>1.2E-5</v>
      </c>
      <c r="T63" s="452">
        <v>0.31441599999999997</v>
      </c>
      <c r="U63" s="453">
        <v>7.6844999999999997E-2</v>
      </c>
      <c r="V63" s="453">
        <v>-1.109E-3</v>
      </c>
      <c r="W63" s="448">
        <v>9.0000000000000002E-6</v>
      </c>
      <c r="X63" s="454"/>
      <c r="Y63" s="450">
        <v>0.23114999999999999</v>
      </c>
      <c r="Z63" s="448"/>
      <c r="AA63" s="448"/>
      <c r="AB63" s="452">
        <v>2.1778</v>
      </c>
      <c r="AC63" s="453">
        <v>0.115548</v>
      </c>
      <c r="AD63" s="453">
        <v>-8.3500000000000002E-4</v>
      </c>
      <c r="AE63" s="448">
        <v>9.0000000000000002E-6</v>
      </c>
      <c r="AF63" s="452">
        <v>3.933843</v>
      </c>
      <c r="AG63" s="453">
        <v>0.204291</v>
      </c>
      <c r="AH63" s="453">
        <v>-1.354E-3</v>
      </c>
      <c r="AI63" s="455">
        <v>7.9999999999999996E-6</v>
      </c>
      <c r="AJ63" s="452">
        <v>3.3601869999999998</v>
      </c>
      <c r="AK63" s="453">
        <v>0.29524899999999998</v>
      </c>
      <c r="AL63" s="453">
        <v>-3.209E-3</v>
      </c>
      <c r="AM63" s="455">
        <v>2.4000000000000001E-5</v>
      </c>
    </row>
    <row r="64" spans="1:39" ht="13.5" customHeight="1">
      <c r="A64" s="52"/>
      <c r="B64" s="294">
        <v>2047</v>
      </c>
      <c r="D64" s="446">
        <v>0.28347</v>
      </c>
      <c r="E64" s="447">
        <v>6.0240000000000002E-2</v>
      </c>
      <c r="F64" s="447">
        <v>-6.8999999999999997E-4</v>
      </c>
      <c r="G64" s="448">
        <v>5.0000000000000004E-6</v>
      </c>
      <c r="H64" s="449">
        <v>0.32423999999999997</v>
      </c>
      <c r="I64" s="450">
        <v>4.6489999999999997E-2</v>
      </c>
      <c r="J64" s="450">
        <v>-4.4999999999999999E-4</v>
      </c>
      <c r="K64" s="448">
        <v>3.9999999999999998E-6</v>
      </c>
      <c r="L64" s="449"/>
      <c r="M64" s="450">
        <v>0.15273</v>
      </c>
      <c r="N64" s="294"/>
      <c r="O64" s="451"/>
      <c r="P64" s="452">
        <v>0.20472799999999999</v>
      </c>
      <c r="Q64" s="453">
        <v>0.114799</v>
      </c>
      <c r="R64" s="453">
        <v>-1.802E-3</v>
      </c>
      <c r="S64" s="448">
        <v>1.2E-5</v>
      </c>
      <c r="T64" s="452">
        <v>0.31398999999999999</v>
      </c>
      <c r="U64" s="453">
        <v>7.6740000000000003E-2</v>
      </c>
      <c r="V64" s="453">
        <v>-1.1069999999999999E-3</v>
      </c>
      <c r="W64" s="448">
        <v>9.0000000000000002E-6</v>
      </c>
      <c r="X64" s="454"/>
      <c r="Y64" s="450">
        <v>0.22955999999999999</v>
      </c>
      <c r="Z64" s="448"/>
      <c r="AA64" s="448"/>
      <c r="AB64" s="452">
        <v>2.1711870000000002</v>
      </c>
      <c r="AC64" s="453">
        <v>0.11519699999999999</v>
      </c>
      <c r="AD64" s="453">
        <v>-8.3299999999999997E-4</v>
      </c>
      <c r="AE64" s="448">
        <v>9.0000000000000002E-6</v>
      </c>
      <c r="AF64" s="452">
        <v>3.9304060000000001</v>
      </c>
      <c r="AG64" s="453">
        <v>0.20411299999999999</v>
      </c>
      <c r="AH64" s="453">
        <v>-1.3519999999999999E-3</v>
      </c>
      <c r="AI64" s="455">
        <v>7.9999999999999996E-6</v>
      </c>
      <c r="AJ64" s="452">
        <v>3.3601869999999998</v>
      </c>
      <c r="AK64" s="453">
        <v>0.29524899999999998</v>
      </c>
      <c r="AL64" s="453">
        <v>-3.209E-3</v>
      </c>
      <c r="AM64" s="455">
        <v>2.4000000000000001E-5</v>
      </c>
    </row>
    <row r="65" spans="1:39" ht="13.5" customHeight="1">
      <c r="A65" s="52"/>
      <c r="B65" s="294">
        <v>2048</v>
      </c>
      <c r="D65" s="446">
        <v>0.28295999999999999</v>
      </c>
      <c r="E65" s="447">
        <v>6.0130000000000003E-2</v>
      </c>
      <c r="F65" s="447">
        <v>-6.8000000000000005E-4</v>
      </c>
      <c r="G65" s="448">
        <v>5.0000000000000004E-6</v>
      </c>
      <c r="H65" s="449">
        <v>0.32361000000000001</v>
      </c>
      <c r="I65" s="450">
        <v>4.6399999999999997E-2</v>
      </c>
      <c r="J65" s="450">
        <v>-4.4999999999999999E-4</v>
      </c>
      <c r="K65" s="448">
        <v>3.9999999999999998E-6</v>
      </c>
      <c r="L65" s="449"/>
      <c r="M65" s="450">
        <v>0.15204000000000001</v>
      </c>
      <c r="N65" s="294"/>
      <c r="O65" s="451"/>
      <c r="P65" s="452">
        <v>0.20447000000000001</v>
      </c>
      <c r="Q65" s="453">
        <v>0.11465500000000001</v>
      </c>
      <c r="R65" s="453">
        <v>-1.8E-3</v>
      </c>
      <c r="S65" s="448">
        <v>1.2E-5</v>
      </c>
      <c r="T65" s="452">
        <v>0.31365100000000001</v>
      </c>
      <c r="U65" s="453">
        <v>7.6657000000000003E-2</v>
      </c>
      <c r="V65" s="453">
        <v>-1.106E-3</v>
      </c>
      <c r="W65" s="448">
        <v>9.0000000000000002E-6</v>
      </c>
      <c r="X65" s="454"/>
      <c r="Y65" s="450">
        <v>0.22792000000000001</v>
      </c>
      <c r="Z65" s="448"/>
      <c r="AA65" s="448"/>
      <c r="AB65" s="452">
        <v>2.1649280000000002</v>
      </c>
      <c r="AC65" s="453">
        <v>0.11486499999999999</v>
      </c>
      <c r="AD65" s="453">
        <v>-8.3000000000000001E-4</v>
      </c>
      <c r="AE65" s="448">
        <v>9.0000000000000002E-6</v>
      </c>
      <c r="AF65" s="452">
        <v>3.9275159999999998</v>
      </c>
      <c r="AG65" s="453">
        <v>0.20396300000000001</v>
      </c>
      <c r="AH65" s="453">
        <v>-1.351E-3</v>
      </c>
      <c r="AI65" s="455">
        <v>7.9999999999999996E-6</v>
      </c>
      <c r="AJ65" s="452">
        <v>3.3601869999999998</v>
      </c>
      <c r="AK65" s="453">
        <v>0.29524899999999998</v>
      </c>
      <c r="AL65" s="453">
        <v>-3.209E-3</v>
      </c>
      <c r="AM65" s="455">
        <v>2.4000000000000001E-5</v>
      </c>
    </row>
    <row r="66" spans="1:39" ht="13.5" customHeight="1">
      <c r="A66" s="52"/>
      <c r="B66" s="294">
        <v>2049</v>
      </c>
      <c r="D66" s="446">
        <v>0.28258</v>
      </c>
      <c r="E66" s="447">
        <v>6.0049999999999999E-2</v>
      </c>
      <c r="F66" s="447">
        <v>-6.8000000000000005E-4</v>
      </c>
      <c r="G66" s="448">
        <v>5.0000000000000004E-6</v>
      </c>
      <c r="H66" s="449">
        <v>0.32312999999999997</v>
      </c>
      <c r="I66" s="450">
        <v>4.6330000000000003E-2</v>
      </c>
      <c r="J66" s="450">
        <v>-4.4999999999999999E-4</v>
      </c>
      <c r="K66" s="448">
        <v>3.9999999999999998E-6</v>
      </c>
      <c r="L66" s="449"/>
      <c r="M66" s="450">
        <v>0.15134</v>
      </c>
      <c r="N66" s="294"/>
      <c r="O66" s="451"/>
      <c r="P66" s="452">
        <v>0.20425299999999999</v>
      </c>
      <c r="Q66" s="453">
        <v>0.114533</v>
      </c>
      <c r="R66" s="453">
        <v>-1.7979999999999999E-3</v>
      </c>
      <c r="S66" s="448">
        <v>1.2E-5</v>
      </c>
      <c r="T66" s="452">
        <v>0.31337700000000002</v>
      </c>
      <c r="U66" s="453">
        <v>7.6591000000000006E-2</v>
      </c>
      <c r="V66" s="453">
        <v>-1.1050000000000001E-3</v>
      </c>
      <c r="W66" s="448">
        <v>9.0000000000000002E-6</v>
      </c>
      <c r="X66" s="454"/>
      <c r="Y66" s="450">
        <v>0.22622</v>
      </c>
      <c r="Z66" s="448"/>
      <c r="AA66" s="448"/>
      <c r="AB66" s="452">
        <v>2.158976</v>
      </c>
      <c r="AC66" s="453">
        <v>0.114549</v>
      </c>
      <c r="AD66" s="453">
        <v>-8.2799999999999996E-4</v>
      </c>
      <c r="AE66" s="448">
        <v>9.0000000000000002E-6</v>
      </c>
      <c r="AF66" s="452">
        <v>3.9250759999999998</v>
      </c>
      <c r="AG66" s="453">
        <v>0.20383599999999999</v>
      </c>
      <c r="AH66" s="453">
        <v>-1.351E-3</v>
      </c>
      <c r="AI66" s="455">
        <v>7.9999999999999996E-6</v>
      </c>
      <c r="AJ66" s="452">
        <v>3.3601869999999998</v>
      </c>
      <c r="AK66" s="453">
        <v>0.29524899999999998</v>
      </c>
      <c r="AL66" s="453">
        <v>-3.209E-3</v>
      </c>
      <c r="AM66" s="455">
        <v>2.4000000000000001E-5</v>
      </c>
    </row>
    <row r="67" spans="1:39" ht="13.5" customHeight="1">
      <c r="A67" s="52"/>
      <c r="B67" s="294">
        <v>2050</v>
      </c>
      <c r="D67" s="446">
        <v>0.28228999999999999</v>
      </c>
      <c r="E67" s="447">
        <v>5.9990000000000002E-2</v>
      </c>
      <c r="F67" s="447">
        <v>-6.8000000000000005E-4</v>
      </c>
      <c r="G67" s="448">
        <v>5.0000000000000004E-6</v>
      </c>
      <c r="H67" s="449">
        <v>0.32275999999999999</v>
      </c>
      <c r="I67" s="450">
        <v>4.6280000000000002E-2</v>
      </c>
      <c r="J67" s="450">
        <v>-4.4999999999999999E-4</v>
      </c>
      <c r="K67" s="448">
        <v>3.9999999999999998E-6</v>
      </c>
      <c r="L67" s="449"/>
      <c r="M67" s="450">
        <v>0.15062</v>
      </c>
      <c r="N67" s="294"/>
      <c r="O67" s="451"/>
      <c r="P67" s="452">
        <v>0.204066</v>
      </c>
      <c r="Q67" s="453">
        <v>0.114429</v>
      </c>
      <c r="R67" s="453">
        <v>-1.7960000000000001E-3</v>
      </c>
      <c r="S67" s="448">
        <v>1.2E-5</v>
      </c>
      <c r="T67" s="452">
        <v>0.31314999999999998</v>
      </c>
      <c r="U67" s="453">
        <v>7.6535000000000006E-2</v>
      </c>
      <c r="V67" s="453">
        <v>-1.1039999999999999E-3</v>
      </c>
      <c r="W67" s="448">
        <v>9.0000000000000002E-6</v>
      </c>
      <c r="X67" s="454"/>
      <c r="Y67" s="450">
        <v>0.22448000000000001</v>
      </c>
      <c r="Z67" s="448"/>
      <c r="AA67" s="448"/>
      <c r="AB67" s="452">
        <v>2.1532300000000002</v>
      </c>
      <c r="AC67" s="453">
        <v>0.114244</v>
      </c>
      <c r="AD67" s="453">
        <v>-8.2600000000000002E-4</v>
      </c>
      <c r="AE67" s="448">
        <v>9.0000000000000002E-6</v>
      </c>
      <c r="AF67" s="452">
        <v>3.9229349999999998</v>
      </c>
      <c r="AG67" s="453">
        <v>0.20372499999999999</v>
      </c>
      <c r="AH67" s="453">
        <v>-1.3500000000000001E-3</v>
      </c>
      <c r="AI67" s="455">
        <v>7.9999999999999996E-6</v>
      </c>
      <c r="AJ67" s="452">
        <v>3.3601869999999998</v>
      </c>
      <c r="AK67" s="453">
        <v>0.29524899999999998</v>
      </c>
      <c r="AL67" s="453">
        <v>-3.209E-3</v>
      </c>
      <c r="AM67" s="455">
        <v>2.4000000000000001E-5</v>
      </c>
    </row>
    <row r="68" spans="1:39" ht="13.5" customHeight="1">
      <c r="A68" s="52"/>
      <c r="B68" s="294">
        <v>2051</v>
      </c>
      <c r="D68" s="446">
        <v>0.28228999999999999</v>
      </c>
      <c r="E68" s="447">
        <v>5.9990000000000002E-2</v>
      </c>
      <c r="F68" s="447">
        <v>-6.8000000000000005E-4</v>
      </c>
      <c r="G68" s="448">
        <v>5.0000000000000004E-6</v>
      </c>
      <c r="H68" s="449">
        <v>0.32275999999999999</v>
      </c>
      <c r="I68" s="450">
        <v>4.6280000000000002E-2</v>
      </c>
      <c r="J68" s="450">
        <v>-4.4999999999999999E-4</v>
      </c>
      <c r="K68" s="448">
        <v>3.9999999999999998E-6</v>
      </c>
      <c r="L68" s="449"/>
      <c r="M68" s="450">
        <v>0.15062</v>
      </c>
      <c r="N68" s="294"/>
      <c r="O68" s="451"/>
      <c r="P68" s="452">
        <v>0.204066</v>
      </c>
      <c r="Q68" s="453">
        <v>0.114429</v>
      </c>
      <c r="R68" s="453">
        <v>-1.7960000000000001E-3</v>
      </c>
      <c r="S68" s="448">
        <v>1.2E-5</v>
      </c>
      <c r="T68" s="452">
        <v>0.31314999999999998</v>
      </c>
      <c r="U68" s="453">
        <v>7.6535000000000006E-2</v>
      </c>
      <c r="V68" s="453">
        <v>-1.1039999999999999E-3</v>
      </c>
      <c r="W68" s="448">
        <v>9.0000000000000002E-6</v>
      </c>
      <c r="X68" s="454"/>
      <c r="Y68" s="450">
        <v>0.22448000000000001</v>
      </c>
      <c r="Z68" s="448"/>
      <c r="AA68" s="448"/>
      <c r="AB68" s="452">
        <v>2.1532300000000002</v>
      </c>
      <c r="AC68" s="453">
        <v>0.114244</v>
      </c>
      <c r="AD68" s="453">
        <v>-8.2600000000000002E-4</v>
      </c>
      <c r="AE68" s="448">
        <v>9.0000000000000002E-6</v>
      </c>
      <c r="AF68" s="452">
        <v>3.9229349999999998</v>
      </c>
      <c r="AG68" s="453">
        <v>0.20372499999999999</v>
      </c>
      <c r="AH68" s="453">
        <v>-1.3500000000000001E-3</v>
      </c>
      <c r="AI68" s="455">
        <v>7.9999999999999996E-6</v>
      </c>
      <c r="AJ68" s="452">
        <v>3.3601869999999998</v>
      </c>
      <c r="AK68" s="453">
        <v>0.29524899999999998</v>
      </c>
      <c r="AL68" s="453">
        <v>-3.209E-3</v>
      </c>
      <c r="AM68" s="455">
        <v>2.4000000000000001E-5</v>
      </c>
    </row>
    <row r="69" spans="1:39" ht="13.5" customHeight="1">
      <c r="A69" s="52"/>
      <c r="B69" s="294">
        <v>2052</v>
      </c>
      <c r="D69" s="446">
        <v>0.28228999999999999</v>
      </c>
      <c r="E69" s="447">
        <v>5.9990000000000002E-2</v>
      </c>
      <c r="F69" s="447">
        <v>-6.8000000000000005E-4</v>
      </c>
      <c r="G69" s="448">
        <v>5.0000000000000004E-6</v>
      </c>
      <c r="H69" s="449">
        <v>0.32275999999999999</v>
      </c>
      <c r="I69" s="450">
        <v>4.6280000000000002E-2</v>
      </c>
      <c r="J69" s="450">
        <v>-4.4999999999999999E-4</v>
      </c>
      <c r="K69" s="448">
        <v>3.9999999999999998E-6</v>
      </c>
      <c r="L69" s="449"/>
      <c r="M69" s="450">
        <v>0.15062</v>
      </c>
      <c r="N69" s="294"/>
      <c r="O69" s="451"/>
      <c r="P69" s="452">
        <v>0.204066</v>
      </c>
      <c r="Q69" s="453">
        <v>0.114429</v>
      </c>
      <c r="R69" s="453">
        <v>-1.7960000000000001E-3</v>
      </c>
      <c r="S69" s="448">
        <v>1.2E-5</v>
      </c>
      <c r="T69" s="452">
        <v>0.31314999999999998</v>
      </c>
      <c r="U69" s="453">
        <v>7.6535000000000006E-2</v>
      </c>
      <c r="V69" s="453">
        <v>-1.1039999999999999E-3</v>
      </c>
      <c r="W69" s="448">
        <v>9.0000000000000002E-6</v>
      </c>
      <c r="X69" s="454"/>
      <c r="Y69" s="450">
        <v>0.22448000000000001</v>
      </c>
      <c r="Z69" s="448"/>
      <c r="AA69" s="448"/>
      <c r="AB69" s="452">
        <v>2.1532300000000002</v>
      </c>
      <c r="AC69" s="453">
        <v>0.114244</v>
      </c>
      <c r="AD69" s="453">
        <v>-8.2600000000000002E-4</v>
      </c>
      <c r="AE69" s="448">
        <v>9.0000000000000002E-6</v>
      </c>
      <c r="AF69" s="452">
        <v>3.9229349999999998</v>
      </c>
      <c r="AG69" s="453">
        <v>0.20372499999999999</v>
      </c>
      <c r="AH69" s="453">
        <v>-1.3500000000000001E-3</v>
      </c>
      <c r="AI69" s="455">
        <v>7.9999999999999996E-6</v>
      </c>
      <c r="AJ69" s="452">
        <v>3.3601869999999998</v>
      </c>
      <c r="AK69" s="453">
        <v>0.29524899999999998</v>
      </c>
      <c r="AL69" s="453">
        <v>-3.209E-3</v>
      </c>
      <c r="AM69" s="455">
        <v>2.4000000000000001E-5</v>
      </c>
    </row>
    <row r="70" spans="1:39" ht="13.5" customHeight="1">
      <c r="A70" s="52"/>
      <c r="B70" s="294">
        <v>2053</v>
      </c>
      <c r="D70" s="446">
        <v>0.28228999999999999</v>
      </c>
      <c r="E70" s="447">
        <v>5.9990000000000002E-2</v>
      </c>
      <c r="F70" s="447">
        <v>-6.8000000000000005E-4</v>
      </c>
      <c r="G70" s="448">
        <v>5.0000000000000004E-6</v>
      </c>
      <c r="H70" s="449">
        <v>0.32275999999999999</v>
      </c>
      <c r="I70" s="450">
        <v>4.6280000000000002E-2</v>
      </c>
      <c r="J70" s="450">
        <v>-4.4999999999999999E-4</v>
      </c>
      <c r="K70" s="448">
        <v>3.9999999999999998E-6</v>
      </c>
      <c r="L70" s="449"/>
      <c r="M70" s="450">
        <v>0.15062</v>
      </c>
      <c r="N70" s="294"/>
      <c r="O70" s="451"/>
      <c r="P70" s="452">
        <v>0.204066</v>
      </c>
      <c r="Q70" s="453">
        <v>0.114429</v>
      </c>
      <c r="R70" s="453">
        <v>-1.7960000000000001E-3</v>
      </c>
      <c r="S70" s="448">
        <v>1.2E-5</v>
      </c>
      <c r="T70" s="452">
        <v>0.31314999999999998</v>
      </c>
      <c r="U70" s="453">
        <v>7.6535000000000006E-2</v>
      </c>
      <c r="V70" s="453">
        <v>-1.1039999999999999E-3</v>
      </c>
      <c r="W70" s="448">
        <v>9.0000000000000002E-6</v>
      </c>
      <c r="X70" s="454"/>
      <c r="Y70" s="450">
        <v>0.22448000000000001</v>
      </c>
      <c r="Z70" s="448"/>
      <c r="AA70" s="448"/>
      <c r="AB70" s="452">
        <v>2.1532300000000002</v>
      </c>
      <c r="AC70" s="453">
        <v>0.114244</v>
      </c>
      <c r="AD70" s="453">
        <v>-8.2600000000000002E-4</v>
      </c>
      <c r="AE70" s="448">
        <v>9.0000000000000002E-6</v>
      </c>
      <c r="AF70" s="452">
        <v>3.9229349999999998</v>
      </c>
      <c r="AG70" s="453">
        <v>0.20372499999999999</v>
      </c>
      <c r="AH70" s="453">
        <v>-1.3500000000000001E-3</v>
      </c>
      <c r="AI70" s="455">
        <v>7.9999999999999996E-6</v>
      </c>
      <c r="AJ70" s="452">
        <v>3.3601869999999998</v>
      </c>
      <c r="AK70" s="453">
        <v>0.29524899999999998</v>
      </c>
      <c r="AL70" s="453">
        <v>-3.209E-3</v>
      </c>
      <c r="AM70" s="455">
        <v>2.4000000000000001E-5</v>
      </c>
    </row>
    <row r="71" spans="1:39" ht="13.5" customHeight="1">
      <c r="A71" s="52"/>
      <c r="B71" s="294">
        <v>2054</v>
      </c>
      <c r="D71" s="446">
        <v>0.28228999999999999</v>
      </c>
      <c r="E71" s="447">
        <v>5.9990000000000002E-2</v>
      </c>
      <c r="F71" s="447">
        <v>-6.8000000000000005E-4</v>
      </c>
      <c r="G71" s="448">
        <v>5.0000000000000004E-6</v>
      </c>
      <c r="H71" s="449">
        <v>0.32275999999999999</v>
      </c>
      <c r="I71" s="450">
        <v>4.6280000000000002E-2</v>
      </c>
      <c r="J71" s="450">
        <v>-4.4999999999999999E-4</v>
      </c>
      <c r="K71" s="448">
        <v>3.9999999999999998E-6</v>
      </c>
      <c r="L71" s="449"/>
      <c r="M71" s="450">
        <v>0.15062</v>
      </c>
      <c r="N71" s="294"/>
      <c r="O71" s="451"/>
      <c r="P71" s="452">
        <v>0.204066</v>
      </c>
      <c r="Q71" s="453">
        <v>0.114429</v>
      </c>
      <c r="R71" s="453">
        <v>-1.7960000000000001E-3</v>
      </c>
      <c r="S71" s="448">
        <v>1.2E-5</v>
      </c>
      <c r="T71" s="452">
        <v>0.31314999999999998</v>
      </c>
      <c r="U71" s="453">
        <v>7.6535000000000006E-2</v>
      </c>
      <c r="V71" s="453">
        <v>-1.1039999999999999E-3</v>
      </c>
      <c r="W71" s="448">
        <v>9.0000000000000002E-6</v>
      </c>
      <c r="X71" s="454"/>
      <c r="Y71" s="450">
        <v>0.22448000000000001</v>
      </c>
      <c r="Z71" s="448"/>
      <c r="AA71" s="448"/>
      <c r="AB71" s="452">
        <v>2.1532300000000002</v>
      </c>
      <c r="AC71" s="453">
        <v>0.114244</v>
      </c>
      <c r="AD71" s="453">
        <v>-8.2600000000000002E-4</v>
      </c>
      <c r="AE71" s="448">
        <v>9.0000000000000002E-6</v>
      </c>
      <c r="AF71" s="452">
        <v>3.9229349999999998</v>
      </c>
      <c r="AG71" s="453">
        <v>0.20372499999999999</v>
      </c>
      <c r="AH71" s="453">
        <v>-1.3500000000000001E-3</v>
      </c>
      <c r="AI71" s="455">
        <v>7.9999999999999996E-6</v>
      </c>
      <c r="AJ71" s="452">
        <v>3.3601869999999998</v>
      </c>
      <c r="AK71" s="453">
        <v>0.29524899999999998</v>
      </c>
      <c r="AL71" s="453">
        <v>-3.209E-3</v>
      </c>
      <c r="AM71" s="455">
        <v>2.4000000000000001E-5</v>
      </c>
    </row>
    <row r="72" spans="1:39" ht="13.5" customHeight="1">
      <c r="A72" s="52"/>
      <c r="B72" s="294">
        <v>2055</v>
      </c>
      <c r="D72" s="446">
        <v>0.28228999999999999</v>
      </c>
      <c r="E72" s="447">
        <v>5.9990000000000002E-2</v>
      </c>
      <c r="F72" s="447">
        <v>-6.8000000000000005E-4</v>
      </c>
      <c r="G72" s="448">
        <v>5.0000000000000004E-6</v>
      </c>
      <c r="H72" s="449">
        <v>0.32275999999999999</v>
      </c>
      <c r="I72" s="450">
        <v>4.6280000000000002E-2</v>
      </c>
      <c r="J72" s="450">
        <v>-4.4999999999999999E-4</v>
      </c>
      <c r="K72" s="448">
        <v>3.9999999999999998E-6</v>
      </c>
      <c r="L72" s="449"/>
      <c r="M72" s="450">
        <v>0.15062</v>
      </c>
      <c r="N72" s="294"/>
      <c r="O72" s="451"/>
      <c r="P72" s="452">
        <v>0.204066</v>
      </c>
      <c r="Q72" s="453">
        <v>0.114429</v>
      </c>
      <c r="R72" s="453">
        <v>-1.7960000000000001E-3</v>
      </c>
      <c r="S72" s="448">
        <v>1.2E-5</v>
      </c>
      <c r="T72" s="452">
        <v>0.31314999999999998</v>
      </c>
      <c r="U72" s="453">
        <v>7.6535000000000006E-2</v>
      </c>
      <c r="V72" s="453">
        <v>-1.1039999999999999E-3</v>
      </c>
      <c r="W72" s="448">
        <v>9.0000000000000002E-6</v>
      </c>
      <c r="X72" s="454"/>
      <c r="Y72" s="450">
        <v>0.22448000000000001</v>
      </c>
      <c r="Z72" s="448"/>
      <c r="AA72" s="448"/>
      <c r="AB72" s="452">
        <v>2.1532300000000002</v>
      </c>
      <c r="AC72" s="453">
        <v>0.114244</v>
      </c>
      <c r="AD72" s="453">
        <v>-8.2600000000000002E-4</v>
      </c>
      <c r="AE72" s="448">
        <v>9.0000000000000002E-6</v>
      </c>
      <c r="AF72" s="452">
        <v>3.9229349999999998</v>
      </c>
      <c r="AG72" s="453">
        <v>0.20372499999999999</v>
      </c>
      <c r="AH72" s="453">
        <v>-1.3500000000000001E-3</v>
      </c>
      <c r="AI72" s="455">
        <v>7.9999999999999996E-6</v>
      </c>
      <c r="AJ72" s="452">
        <v>3.3601869999999998</v>
      </c>
      <c r="AK72" s="453">
        <v>0.29524899999999998</v>
      </c>
      <c r="AL72" s="453">
        <v>-3.209E-3</v>
      </c>
      <c r="AM72" s="455">
        <v>2.4000000000000001E-5</v>
      </c>
    </row>
    <row r="73" spans="1:39" ht="13.5" customHeight="1">
      <c r="A73" s="52"/>
      <c r="B73" s="294">
        <v>2056</v>
      </c>
      <c r="D73" s="446">
        <v>0.28228999999999999</v>
      </c>
      <c r="E73" s="447">
        <v>5.9990000000000002E-2</v>
      </c>
      <c r="F73" s="447">
        <v>-6.8000000000000005E-4</v>
      </c>
      <c r="G73" s="448">
        <v>5.0000000000000004E-6</v>
      </c>
      <c r="H73" s="449">
        <v>0.32275999999999999</v>
      </c>
      <c r="I73" s="450">
        <v>4.6280000000000002E-2</v>
      </c>
      <c r="J73" s="450">
        <v>-4.4999999999999999E-4</v>
      </c>
      <c r="K73" s="448">
        <v>3.9999999999999998E-6</v>
      </c>
      <c r="L73" s="449"/>
      <c r="M73" s="450">
        <v>0.15062</v>
      </c>
      <c r="N73" s="294"/>
      <c r="O73" s="451"/>
      <c r="P73" s="452">
        <v>0.204066</v>
      </c>
      <c r="Q73" s="453">
        <v>0.114429</v>
      </c>
      <c r="R73" s="453">
        <v>-1.7960000000000001E-3</v>
      </c>
      <c r="S73" s="448">
        <v>1.2E-5</v>
      </c>
      <c r="T73" s="452">
        <v>0.31314999999999998</v>
      </c>
      <c r="U73" s="453">
        <v>7.6535000000000006E-2</v>
      </c>
      <c r="V73" s="453">
        <v>-1.1039999999999999E-3</v>
      </c>
      <c r="W73" s="448">
        <v>9.0000000000000002E-6</v>
      </c>
      <c r="X73" s="454"/>
      <c r="Y73" s="450">
        <v>0.22448000000000001</v>
      </c>
      <c r="Z73" s="448"/>
      <c r="AA73" s="448"/>
      <c r="AB73" s="452">
        <v>2.1532300000000002</v>
      </c>
      <c r="AC73" s="453">
        <v>0.114244</v>
      </c>
      <c r="AD73" s="453">
        <v>-8.2600000000000002E-4</v>
      </c>
      <c r="AE73" s="448">
        <v>9.0000000000000002E-6</v>
      </c>
      <c r="AF73" s="452">
        <v>3.9229349999999998</v>
      </c>
      <c r="AG73" s="453">
        <v>0.20372499999999999</v>
      </c>
      <c r="AH73" s="453">
        <v>-1.3500000000000001E-3</v>
      </c>
      <c r="AI73" s="455">
        <v>7.9999999999999996E-6</v>
      </c>
      <c r="AJ73" s="452">
        <v>3.3601869999999998</v>
      </c>
      <c r="AK73" s="453">
        <v>0.29524899999999998</v>
      </c>
      <c r="AL73" s="453">
        <v>-3.209E-3</v>
      </c>
      <c r="AM73" s="455">
        <v>2.4000000000000001E-5</v>
      </c>
    </row>
    <row r="74" spans="1:39" ht="13.5" customHeight="1">
      <c r="A74" s="52"/>
      <c r="B74" s="294">
        <v>2057</v>
      </c>
      <c r="D74" s="446">
        <v>0.28228999999999999</v>
      </c>
      <c r="E74" s="447">
        <v>5.9990000000000002E-2</v>
      </c>
      <c r="F74" s="447">
        <v>-6.8000000000000005E-4</v>
      </c>
      <c r="G74" s="448">
        <v>5.0000000000000004E-6</v>
      </c>
      <c r="H74" s="449">
        <v>0.32275999999999999</v>
      </c>
      <c r="I74" s="450">
        <v>4.6280000000000002E-2</v>
      </c>
      <c r="J74" s="450">
        <v>-4.4999999999999999E-4</v>
      </c>
      <c r="K74" s="448">
        <v>3.9999999999999998E-6</v>
      </c>
      <c r="L74" s="449"/>
      <c r="M74" s="450">
        <v>0.15062</v>
      </c>
      <c r="N74" s="294"/>
      <c r="O74" s="451"/>
      <c r="P74" s="452">
        <v>0.204066</v>
      </c>
      <c r="Q74" s="453">
        <v>0.114429</v>
      </c>
      <c r="R74" s="453">
        <v>-1.7960000000000001E-3</v>
      </c>
      <c r="S74" s="448">
        <v>1.2E-5</v>
      </c>
      <c r="T74" s="452">
        <v>0.31314999999999998</v>
      </c>
      <c r="U74" s="453">
        <v>7.6535000000000006E-2</v>
      </c>
      <c r="V74" s="453">
        <v>-1.1039999999999999E-3</v>
      </c>
      <c r="W74" s="448">
        <v>9.0000000000000002E-6</v>
      </c>
      <c r="X74" s="454"/>
      <c r="Y74" s="450">
        <v>0.22448000000000001</v>
      </c>
      <c r="Z74" s="448"/>
      <c r="AA74" s="448"/>
      <c r="AB74" s="452">
        <v>2.1532300000000002</v>
      </c>
      <c r="AC74" s="453">
        <v>0.114244</v>
      </c>
      <c r="AD74" s="453">
        <v>-8.2600000000000002E-4</v>
      </c>
      <c r="AE74" s="448">
        <v>9.0000000000000002E-6</v>
      </c>
      <c r="AF74" s="452">
        <v>3.9229349999999998</v>
      </c>
      <c r="AG74" s="453">
        <v>0.20372499999999999</v>
      </c>
      <c r="AH74" s="453">
        <v>-1.3500000000000001E-3</v>
      </c>
      <c r="AI74" s="455">
        <v>7.9999999999999996E-6</v>
      </c>
      <c r="AJ74" s="452">
        <v>3.3601869999999998</v>
      </c>
      <c r="AK74" s="453">
        <v>0.29524899999999998</v>
      </c>
      <c r="AL74" s="453">
        <v>-3.209E-3</v>
      </c>
      <c r="AM74" s="455">
        <v>2.4000000000000001E-5</v>
      </c>
    </row>
    <row r="75" spans="1:39" ht="13.5" customHeight="1">
      <c r="A75" s="52"/>
      <c r="B75" s="294">
        <v>2058</v>
      </c>
      <c r="D75" s="446">
        <v>0.28228999999999999</v>
      </c>
      <c r="E75" s="447">
        <v>5.9990000000000002E-2</v>
      </c>
      <c r="F75" s="447">
        <v>-6.8000000000000005E-4</v>
      </c>
      <c r="G75" s="448">
        <v>5.0000000000000004E-6</v>
      </c>
      <c r="H75" s="449">
        <v>0.32275999999999999</v>
      </c>
      <c r="I75" s="450">
        <v>4.6280000000000002E-2</v>
      </c>
      <c r="J75" s="450">
        <v>-4.4999999999999999E-4</v>
      </c>
      <c r="K75" s="448">
        <v>3.9999999999999998E-6</v>
      </c>
      <c r="L75" s="449"/>
      <c r="M75" s="450">
        <v>0.15062</v>
      </c>
      <c r="N75" s="294"/>
      <c r="O75" s="451"/>
      <c r="P75" s="452">
        <v>0.204066</v>
      </c>
      <c r="Q75" s="453">
        <v>0.114429</v>
      </c>
      <c r="R75" s="453">
        <v>-1.7960000000000001E-3</v>
      </c>
      <c r="S75" s="448">
        <v>1.2E-5</v>
      </c>
      <c r="T75" s="452">
        <v>0.31314999999999998</v>
      </c>
      <c r="U75" s="453">
        <v>7.6535000000000006E-2</v>
      </c>
      <c r="V75" s="453">
        <v>-1.1039999999999999E-3</v>
      </c>
      <c r="W75" s="448">
        <v>9.0000000000000002E-6</v>
      </c>
      <c r="X75" s="454"/>
      <c r="Y75" s="450">
        <v>0.22448000000000001</v>
      </c>
      <c r="Z75" s="448"/>
      <c r="AA75" s="448"/>
      <c r="AB75" s="452">
        <v>2.1532300000000002</v>
      </c>
      <c r="AC75" s="453">
        <v>0.114244</v>
      </c>
      <c r="AD75" s="453">
        <v>-8.2600000000000002E-4</v>
      </c>
      <c r="AE75" s="448">
        <v>9.0000000000000002E-6</v>
      </c>
      <c r="AF75" s="452">
        <v>3.9229349999999998</v>
      </c>
      <c r="AG75" s="453">
        <v>0.20372499999999999</v>
      </c>
      <c r="AH75" s="453">
        <v>-1.3500000000000001E-3</v>
      </c>
      <c r="AI75" s="455">
        <v>7.9999999999999996E-6</v>
      </c>
      <c r="AJ75" s="452">
        <v>3.3601869999999998</v>
      </c>
      <c r="AK75" s="453">
        <v>0.29524899999999998</v>
      </c>
      <c r="AL75" s="453">
        <v>-3.209E-3</v>
      </c>
      <c r="AM75" s="455">
        <v>2.4000000000000001E-5</v>
      </c>
    </row>
    <row r="76" spans="1:39" ht="13.5" customHeight="1">
      <c r="A76" s="52"/>
      <c r="B76" s="294">
        <v>2059</v>
      </c>
      <c r="D76" s="446">
        <v>0.28228999999999999</v>
      </c>
      <c r="E76" s="447">
        <v>5.9990000000000002E-2</v>
      </c>
      <c r="F76" s="447">
        <v>-6.8000000000000005E-4</v>
      </c>
      <c r="G76" s="448">
        <v>5.0000000000000004E-6</v>
      </c>
      <c r="H76" s="449">
        <v>0.32275999999999999</v>
      </c>
      <c r="I76" s="450">
        <v>4.6280000000000002E-2</v>
      </c>
      <c r="J76" s="450">
        <v>-4.4999999999999999E-4</v>
      </c>
      <c r="K76" s="448">
        <v>3.9999999999999998E-6</v>
      </c>
      <c r="L76" s="449"/>
      <c r="M76" s="450">
        <v>0.15062</v>
      </c>
      <c r="N76" s="294"/>
      <c r="O76" s="451"/>
      <c r="P76" s="452">
        <v>0.204066</v>
      </c>
      <c r="Q76" s="453">
        <v>0.114429</v>
      </c>
      <c r="R76" s="453">
        <v>-1.7960000000000001E-3</v>
      </c>
      <c r="S76" s="448">
        <v>1.2E-5</v>
      </c>
      <c r="T76" s="452">
        <v>0.31314999999999998</v>
      </c>
      <c r="U76" s="453">
        <v>7.6535000000000006E-2</v>
      </c>
      <c r="V76" s="453">
        <v>-1.1039999999999999E-3</v>
      </c>
      <c r="W76" s="448">
        <v>9.0000000000000002E-6</v>
      </c>
      <c r="X76" s="454"/>
      <c r="Y76" s="450">
        <v>0.22448000000000001</v>
      </c>
      <c r="Z76" s="448"/>
      <c r="AA76" s="448"/>
      <c r="AB76" s="452">
        <v>2.1532300000000002</v>
      </c>
      <c r="AC76" s="453">
        <v>0.114244</v>
      </c>
      <c r="AD76" s="453">
        <v>-8.2600000000000002E-4</v>
      </c>
      <c r="AE76" s="448">
        <v>9.0000000000000002E-6</v>
      </c>
      <c r="AF76" s="452">
        <v>3.9229349999999998</v>
      </c>
      <c r="AG76" s="453">
        <v>0.20372499999999999</v>
      </c>
      <c r="AH76" s="453">
        <v>-1.3500000000000001E-3</v>
      </c>
      <c r="AI76" s="455">
        <v>7.9999999999999996E-6</v>
      </c>
      <c r="AJ76" s="452">
        <v>3.3601869999999998</v>
      </c>
      <c r="AK76" s="453">
        <v>0.29524899999999998</v>
      </c>
      <c r="AL76" s="453">
        <v>-3.209E-3</v>
      </c>
      <c r="AM76" s="455">
        <v>2.4000000000000001E-5</v>
      </c>
    </row>
    <row r="77" spans="1:39" ht="13.5" customHeight="1">
      <c r="A77" s="52"/>
      <c r="B77" s="294">
        <v>2060</v>
      </c>
      <c r="D77" s="446">
        <v>0.28228999999999999</v>
      </c>
      <c r="E77" s="447">
        <v>5.9990000000000002E-2</v>
      </c>
      <c r="F77" s="447">
        <v>-6.8000000000000005E-4</v>
      </c>
      <c r="G77" s="448">
        <v>5.0000000000000004E-6</v>
      </c>
      <c r="H77" s="449">
        <v>0.32275999999999999</v>
      </c>
      <c r="I77" s="450">
        <v>4.6280000000000002E-2</v>
      </c>
      <c r="J77" s="450">
        <v>-4.4999999999999999E-4</v>
      </c>
      <c r="K77" s="448">
        <v>3.9999999999999998E-6</v>
      </c>
      <c r="L77" s="449"/>
      <c r="M77" s="450">
        <v>0.15062</v>
      </c>
      <c r="N77" s="294"/>
      <c r="O77" s="451"/>
      <c r="P77" s="452">
        <v>0.204066</v>
      </c>
      <c r="Q77" s="453">
        <v>0.114429</v>
      </c>
      <c r="R77" s="453">
        <v>-1.7960000000000001E-3</v>
      </c>
      <c r="S77" s="448">
        <v>1.2E-5</v>
      </c>
      <c r="T77" s="452">
        <v>0.31314999999999998</v>
      </c>
      <c r="U77" s="453">
        <v>7.6535000000000006E-2</v>
      </c>
      <c r="V77" s="453">
        <v>-1.1039999999999999E-3</v>
      </c>
      <c r="W77" s="448">
        <v>9.0000000000000002E-6</v>
      </c>
      <c r="X77" s="454"/>
      <c r="Y77" s="450">
        <v>0.22448000000000001</v>
      </c>
      <c r="Z77" s="448"/>
      <c r="AA77" s="448"/>
      <c r="AB77" s="452">
        <v>2.1532300000000002</v>
      </c>
      <c r="AC77" s="453">
        <v>0.114244</v>
      </c>
      <c r="AD77" s="453">
        <v>-8.2600000000000002E-4</v>
      </c>
      <c r="AE77" s="448">
        <v>9.0000000000000002E-6</v>
      </c>
      <c r="AF77" s="452">
        <v>3.9229349999999998</v>
      </c>
      <c r="AG77" s="453">
        <v>0.20372499999999999</v>
      </c>
      <c r="AH77" s="453">
        <v>-1.3500000000000001E-3</v>
      </c>
      <c r="AI77" s="455">
        <v>7.9999999999999996E-6</v>
      </c>
      <c r="AJ77" s="452">
        <v>3.3601869999999998</v>
      </c>
      <c r="AK77" s="453">
        <v>0.29524899999999998</v>
      </c>
      <c r="AL77" s="453">
        <v>-3.209E-3</v>
      </c>
      <c r="AM77" s="455">
        <v>2.4000000000000001E-5</v>
      </c>
    </row>
    <row r="78" spans="1:39" ht="13.5" customHeight="1">
      <c r="A78" s="52"/>
      <c r="B78" s="294">
        <v>2061</v>
      </c>
      <c r="D78" s="446">
        <v>0.28228999999999999</v>
      </c>
      <c r="E78" s="447">
        <v>5.9990000000000002E-2</v>
      </c>
      <c r="F78" s="447">
        <v>-6.8000000000000005E-4</v>
      </c>
      <c r="G78" s="448">
        <v>5.0000000000000004E-6</v>
      </c>
      <c r="H78" s="449">
        <v>0.32275999999999999</v>
      </c>
      <c r="I78" s="450">
        <v>4.6280000000000002E-2</v>
      </c>
      <c r="J78" s="450">
        <v>-4.4999999999999999E-4</v>
      </c>
      <c r="K78" s="448">
        <v>3.9999999999999998E-6</v>
      </c>
      <c r="L78" s="449"/>
      <c r="M78" s="450">
        <v>0.15062</v>
      </c>
      <c r="N78" s="294"/>
      <c r="O78" s="451"/>
      <c r="P78" s="452">
        <v>0.204066</v>
      </c>
      <c r="Q78" s="453">
        <v>0.114429</v>
      </c>
      <c r="R78" s="453">
        <v>-1.7960000000000001E-3</v>
      </c>
      <c r="S78" s="448">
        <v>1.2E-5</v>
      </c>
      <c r="T78" s="452">
        <v>0.31314999999999998</v>
      </c>
      <c r="U78" s="453">
        <v>7.6535000000000006E-2</v>
      </c>
      <c r="V78" s="453">
        <v>-1.1039999999999999E-3</v>
      </c>
      <c r="W78" s="448">
        <v>9.0000000000000002E-6</v>
      </c>
      <c r="X78" s="454"/>
      <c r="Y78" s="450">
        <v>0.22448000000000001</v>
      </c>
      <c r="Z78" s="448"/>
      <c r="AA78" s="448"/>
      <c r="AB78" s="452">
        <v>2.1532300000000002</v>
      </c>
      <c r="AC78" s="453">
        <v>0.114244</v>
      </c>
      <c r="AD78" s="453">
        <v>-8.2600000000000002E-4</v>
      </c>
      <c r="AE78" s="448">
        <v>9.0000000000000002E-6</v>
      </c>
      <c r="AF78" s="452">
        <v>3.9229349999999998</v>
      </c>
      <c r="AG78" s="453">
        <v>0.20372499999999999</v>
      </c>
      <c r="AH78" s="453">
        <v>-1.3500000000000001E-3</v>
      </c>
      <c r="AI78" s="455">
        <v>7.9999999999999996E-6</v>
      </c>
      <c r="AJ78" s="452">
        <v>3.3601869999999998</v>
      </c>
      <c r="AK78" s="453">
        <v>0.29524899999999998</v>
      </c>
      <c r="AL78" s="453">
        <v>-3.209E-3</v>
      </c>
      <c r="AM78" s="455">
        <v>2.4000000000000001E-5</v>
      </c>
    </row>
    <row r="79" spans="1:39" ht="13.5" customHeight="1">
      <c r="A79" s="52"/>
      <c r="B79" s="294">
        <v>2062</v>
      </c>
      <c r="D79" s="446">
        <v>0.28228999999999999</v>
      </c>
      <c r="E79" s="447">
        <v>5.9990000000000002E-2</v>
      </c>
      <c r="F79" s="447">
        <v>-6.8000000000000005E-4</v>
      </c>
      <c r="G79" s="448">
        <v>5.0000000000000004E-6</v>
      </c>
      <c r="H79" s="449">
        <v>0.32275999999999999</v>
      </c>
      <c r="I79" s="450">
        <v>4.6280000000000002E-2</v>
      </c>
      <c r="J79" s="450">
        <v>-4.4999999999999999E-4</v>
      </c>
      <c r="K79" s="448">
        <v>3.9999999999999998E-6</v>
      </c>
      <c r="L79" s="449"/>
      <c r="M79" s="450">
        <v>0.15062</v>
      </c>
      <c r="N79" s="294"/>
      <c r="O79" s="451"/>
      <c r="P79" s="452">
        <v>0.204066</v>
      </c>
      <c r="Q79" s="453">
        <v>0.114429</v>
      </c>
      <c r="R79" s="453">
        <v>-1.7960000000000001E-3</v>
      </c>
      <c r="S79" s="448">
        <v>1.2E-5</v>
      </c>
      <c r="T79" s="452">
        <v>0.31314999999999998</v>
      </c>
      <c r="U79" s="453">
        <v>7.6535000000000006E-2</v>
      </c>
      <c r="V79" s="453">
        <v>-1.1039999999999999E-3</v>
      </c>
      <c r="W79" s="448">
        <v>9.0000000000000002E-6</v>
      </c>
      <c r="X79" s="454"/>
      <c r="Y79" s="450">
        <v>0.22448000000000001</v>
      </c>
      <c r="Z79" s="448"/>
      <c r="AA79" s="448"/>
      <c r="AB79" s="452">
        <v>2.1532300000000002</v>
      </c>
      <c r="AC79" s="453">
        <v>0.114244</v>
      </c>
      <c r="AD79" s="453">
        <v>-8.2600000000000002E-4</v>
      </c>
      <c r="AE79" s="448">
        <v>9.0000000000000002E-6</v>
      </c>
      <c r="AF79" s="452">
        <v>3.9229349999999998</v>
      </c>
      <c r="AG79" s="453">
        <v>0.20372499999999999</v>
      </c>
      <c r="AH79" s="453">
        <v>-1.3500000000000001E-3</v>
      </c>
      <c r="AI79" s="455">
        <v>7.9999999999999996E-6</v>
      </c>
      <c r="AJ79" s="452">
        <v>3.3601869999999998</v>
      </c>
      <c r="AK79" s="453">
        <v>0.29524899999999998</v>
      </c>
      <c r="AL79" s="453">
        <v>-3.209E-3</v>
      </c>
      <c r="AM79" s="455">
        <v>2.4000000000000001E-5</v>
      </c>
    </row>
    <row r="80" spans="1:39" ht="13.5" customHeight="1">
      <c r="A80" s="52"/>
      <c r="B80" s="294">
        <v>2063</v>
      </c>
      <c r="D80" s="446">
        <v>0.28228999999999999</v>
      </c>
      <c r="E80" s="447">
        <v>5.9990000000000002E-2</v>
      </c>
      <c r="F80" s="447">
        <v>-6.8000000000000005E-4</v>
      </c>
      <c r="G80" s="448">
        <v>5.0000000000000004E-6</v>
      </c>
      <c r="H80" s="449">
        <v>0.32275999999999999</v>
      </c>
      <c r="I80" s="450">
        <v>4.6280000000000002E-2</v>
      </c>
      <c r="J80" s="450">
        <v>-4.4999999999999999E-4</v>
      </c>
      <c r="K80" s="448">
        <v>3.9999999999999998E-6</v>
      </c>
      <c r="L80" s="449"/>
      <c r="M80" s="450">
        <v>0.15062</v>
      </c>
      <c r="N80" s="294"/>
      <c r="O80" s="451"/>
      <c r="P80" s="452">
        <v>0.204066</v>
      </c>
      <c r="Q80" s="453">
        <v>0.114429</v>
      </c>
      <c r="R80" s="453">
        <v>-1.7960000000000001E-3</v>
      </c>
      <c r="S80" s="448">
        <v>1.2E-5</v>
      </c>
      <c r="T80" s="452">
        <v>0.31314999999999998</v>
      </c>
      <c r="U80" s="453">
        <v>7.6535000000000006E-2</v>
      </c>
      <c r="V80" s="453">
        <v>-1.1039999999999999E-3</v>
      </c>
      <c r="W80" s="448">
        <v>9.0000000000000002E-6</v>
      </c>
      <c r="X80" s="454"/>
      <c r="Y80" s="450">
        <v>0.22448000000000001</v>
      </c>
      <c r="Z80" s="448"/>
      <c r="AA80" s="448"/>
      <c r="AB80" s="452">
        <v>2.1532300000000002</v>
      </c>
      <c r="AC80" s="453">
        <v>0.114244</v>
      </c>
      <c r="AD80" s="453">
        <v>-8.2600000000000002E-4</v>
      </c>
      <c r="AE80" s="448">
        <v>9.0000000000000002E-6</v>
      </c>
      <c r="AF80" s="452">
        <v>3.9229349999999998</v>
      </c>
      <c r="AG80" s="453">
        <v>0.20372499999999999</v>
      </c>
      <c r="AH80" s="453">
        <v>-1.3500000000000001E-3</v>
      </c>
      <c r="AI80" s="455">
        <v>7.9999999999999996E-6</v>
      </c>
      <c r="AJ80" s="452">
        <v>3.3601869999999998</v>
      </c>
      <c r="AK80" s="453">
        <v>0.29524899999999998</v>
      </c>
      <c r="AL80" s="453">
        <v>-3.209E-3</v>
      </c>
      <c r="AM80" s="455">
        <v>2.4000000000000001E-5</v>
      </c>
    </row>
    <row r="81" spans="1:39" ht="13.5" customHeight="1">
      <c r="A81" s="52"/>
      <c r="B81" s="294">
        <v>2064</v>
      </c>
      <c r="D81" s="446">
        <v>0.28228999999999999</v>
      </c>
      <c r="E81" s="447">
        <v>5.9990000000000002E-2</v>
      </c>
      <c r="F81" s="447">
        <v>-6.8000000000000005E-4</v>
      </c>
      <c r="G81" s="448">
        <v>5.0000000000000004E-6</v>
      </c>
      <c r="H81" s="449">
        <v>0.32275999999999999</v>
      </c>
      <c r="I81" s="450">
        <v>4.6280000000000002E-2</v>
      </c>
      <c r="J81" s="450">
        <v>-4.4999999999999999E-4</v>
      </c>
      <c r="K81" s="448">
        <v>3.9999999999999998E-6</v>
      </c>
      <c r="L81" s="449"/>
      <c r="M81" s="450">
        <v>0.15062</v>
      </c>
      <c r="N81" s="294"/>
      <c r="O81" s="451"/>
      <c r="P81" s="452">
        <v>0.204066</v>
      </c>
      <c r="Q81" s="453">
        <v>0.114429</v>
      </c>
      <c r="R81" s="453">
        <v>-1.7960000000000001E-3</v>
      </c>
      <c r="S81" s="448">
        <v>1.2E-5</v>
      </c>
      <c r="T81" s="452">
        <v>0.31314999999999998</v>
      </c>
      <c r="U81" s="453">
        <v>7.6535000000000006E-2</v>
      </c>
      <c r="V81" s="453">
        <v>-1.1039999999999999E-3</v>
      </c>
      <c r="W81" s="448">
        <v>9.0000000000000002E-6</v>
      </c>
      <c r="X81" s="454"/>
      <c r="Y81" s="450">
        <v>0.22448000000000001</v>
      </c>
      <c r="Z81" s="448"/>
      <c r="AA81" s="448"/>
      <c r="AB81" s="452">
        <v>2.1532300000000002</v>
      </c>
      <c r="AC81" s="453">
        <v>0.114244</v>
      </c>
      <c r="AD81" s="453">
        <v>-8.2600000000000002E-4</v>
      </c>
      <c r="AE81" s="448">
        <v>9.0000000000000002E-6</v>
      </c>
      <c r="AF81" s="452">
        <v>3.9229349999999998</v>
      </c>
      <c r="AG81" s="453">
        <v>0.20372499999999999</v>
      </c>
      <c r="AH81" s="453">
        <v>-1.3500000000000001E-3</v>
      </c>
      <c r="AI81" s="455">
        <v>7.9999999999999996E-6</v>
      </c>
      <c r="AJ81" s="452">
        <v>3.3601869999999998</v>
      </c>
      <c r="AK81" s="453">
        <v>0.29524899999999998</v>
      </c>
      <c r="AL81" s="453">
        <v>-3.209E-3</v>
      </c>
      <c r="AM81" s="455">
        <v>2.4000000000000001E-5</v>
      </c>
    </row>
    <row r="82" spans="1:39" ht="13.5" customHeight="1">
      <c r="A82" s="52"/>
      <c r="B82" s="294">
        <v>2065</v>
      </c>
      <c r="D82" s="446">
        <v>0.28228999999999999</v>
      </c>
      <c r="E82" s="447">
        <v>5.9990000000000002E-2</v>
      </c>
      <c r="F82" s="447">
        <v>-6.8000000000000005E-4</v>
      </c>
      <c r="G82" s="448">
        <v>5.0000000000000004E-6</v>
      </c>
      <c r="H82" s="449">
        <v>0.32275999999999999</v>
      </c>
      <c r="I82" s="450">
        <v>4.6280000000000002E-2</v>
      </c>
      <c r="J82" s="450">
        <v>-4.4999999999999999E-4</v>
      </c>
      <c r="K82" s="448">
        <v>3.9999999999999998E-6</v>
      </c>
      <c r="L82" s="449"/>
      <c r="M82" s="450">
        <v>0.15062</v>
      </c>
      <c r="N82" s="294"/>
      <c r="O82" s="451"/>
      <c r="P82" s="452">
        <v>0.204066</v>
      </c>
      <c r="Q82" s="453">
        <v>0.114429</v>
      </c>
      <c r="R82" s="453">
        <v>-1.7960000000000001E-3</v>
      </c>
      <c r="S82" s="448">
        <v>1.2E-5</v>
      </c>
      <c r="T82" s="452">
        <v>0.31314999999999998</v>
      </c>
      <c r="U82" s="453">
        <v>7.6535000000000006E-2</v>
      </c>
      <c r="V82" s="453">
        <v>-1.1039999999999999E-3</v>
      </c>
      <c r="W82" s="448">
        <v>9.0000000000000002E-6</v>
      </c>
      <c r="X82" s="454"/>
      <c r="Y82" s="450">
        <v>0.22448000000000001</v>
      </c>
      <c r="Z82" s="448"/>
      <c r="AA82" s="448"/>
      <c r="AB82" s="452">
        <v>2.1532300000000002</v>
      </c>
      <c r="AC82" s="453">
        <v>0.114244</v>
      </c>
      <c r="AD82" s="453">
        <v>-8.2600000000000002E-4</v>
      </c>
      <c r="AE82" s="448">
        <v>9.0000000000000002E-6</v>
      </c>
      <c r="AF82" s="452">
        <v>3.9229349999999998</v>
      </c>
      <c r="AG82" s="453">
        <v>0.20372499999999999</v>
      </c>
      <c r="AH82" s="453">
        <v>-1.3500000000000001E-3</v>
      </c>
      <c r="AI82" s="455">
        <v>7.9999999999999996E-6</v>
      </c>
      <c r="AJ82" s="452">
        <v>3.3601869999999998</v>
      </c>
      <c r="AK82" s="453">
        <v>0.29524899999999998</v>
      </c>
      <c r="AL82" s="453">
        <v>-3.209E-3</v>
      </c>
      <c r="AM82" s="455">
        <v>2.4000000000000001E-5</v>
      </c>
    </row>
    <row r="83" spans="1:39" ht="13.5" customHeight="1">
      <c r="A83" s="52"/>
      <c r="B83" s="294">
        <v>2066</v>
      </c>
      <c r="D83" s="446">
        <v>0.28228999999999999</v>
      </c>
      <c r="E83" s="447">
        <v>5.9990000000000002E-2</v>
      </c>
      <c r="F83" s="447">
        <v>-6.8000000000000005E-4</v>
      </c>
      <c r="G83" s="448">
        <v>5.0000000000000004E-6</v>
      </c>
      <c r="H83" s="449">
        <v>0.32275999999999999</v>
      </c>
      <c r="I83" s="450">
        <v>4.6280000000000002E-2</v>
      </c>
      <c r="J83" s="450">
        <v>-4.4999999999999999E-4</v>
      </c>
      <c r="K83" s="448">
        <v>3.9999999999999998E-6</v>
      </c>
      <c r="L83" s="449"/>
      <c r="M83" s="450">
        <v>0.15062</v>
      </c>
      <c r="N83" s="294"/>
      <c r="O83" s="451"/>
      <c r="P83" s="452">
        <v>0.204066</v>
      </c>
      <c r="Q83" s="453">
        <v>0.114429</v>
      </c>
      <c r="R83" s="453">
        <v>-1.7960000000000001E-3</v>
      </c>
      <c r="S83" s="448">
        <v>1.2E-5</v>
      </c>
      <c r="T83" s="452">
        <v>0.31314999999999998</v>
      </c>
      <c r="U83" s="453">
        <v>7.6535000000000006E-2</v>
      </c>
      <c r="V83" s="453">
        <v>-1.1039999999999999E-3</v>
      </c>
      <c r="W83" s="448">
        <v>9.0000000000000002E-6</v>
      </c>
      <c r="X83" s="454"/>
      <c r="Y83" s="450">
        <v>0.22448000000000001</v>
      </c>
      <c r="Z83" s="448"/>
      <c r="AA83" s="448"/>
      <c r="AB83" s="452">
        <v>2.1532300000000002</v>
      </c>
      <c r="AC83" s="453">
        <v>0.114244</v>
      </c>
      <c r="AD83" s="453">
        <v>-8.2600000000000002E-4</v>
      </c>
      <c r="AE83" s="448">
        <v>9.0000000000000002E-6</v>
      </c>
      <c r="AF83" s="452">
        <v>3.9229349999999998</v>
      </c>
      <c r="AG83" s="453">
        <v>0.20372499999999999</v>
      </c>
      <c r="AH83" s="453">
        <v>-1.3500000000000001E-3</v>
      </c>
      <c r="AI83" s="455">
        <v>7.9999999999999996E-6</v>
      </c>
      <c r="AJ83" s="452">
        <v>3.3601869999999998</v>
      </c>
      <c r="AK83" s="453">
        <v>0.29524899999999998</v>
      </c>
      <c r="AL83" s="453">
        <v>-3.209E-3</v>
      </c>
      <c r="AM83" s="455">
        <v>2.4000000000000001E-5</v>
      </c>
    </row>
    <row r="84" spans="1:39" ht="13.5" customHeight="1">
      <c r="A84" s="52"/>
      <c r="B84" s="294">
        <v>2067</v>
      </c>
      <c r="D84" s="446">
        <v>0.28228999999999999</v>
      </c>
      <c r="E84" s="447">
        <v>5.9990000000000002E-2</v>
      </c>
      <c r="F84" s="447">
        <v>-6.8000000000000005E-4</v>
      </c>
      <c r="G84" s="448">
        <v>5.0000000000000004E-6</v>
      </c>
      <c r="H84" s="449">
        <v>0.32275999999999999</v>
      </c>
      <c r="I84" s="450">
        <v>4.6280000000000002E-2</v>
      </c>
      <c r="J84" s="450">
        <v>-4.4999999999999999E-4</v>
      </c>
      <c r="K84" s="448">
        <v>3.9999999999999998E-6</v>
      </c>
      <c r="L84" s="449"/>
      <c r="M84" s="450">
        <v>0.15062</v>
      </c>
      <c r="N84" s="294"/>
      <c r="O84" s="451"/>
      <c r="P84" s="452">
        <v>0.204066</v>
      </c>
      <c r="Q84" s="453">
        <v>0.114429</v>
      </c>
      <c r="R84" s="453">
        <v>-1.7960000000000001E-3</v>
      </c>
      <c r="S84" s="448">
        <v>1.2E-5</v>
      </c>
      <c r="T84" s="452">
        <v>0.31314999999999998</v>
      </c>
      <c r="U84" s="453">
        <v>7.6535000000000006E-2</v>
      </c>
      <c r="V84" s="453">
        <v>-1.1039999999999999E-3</v>
      </c>
      <c r="W84" s="448">
        <v>9.0000000000000002E-6</v>
      </c>
      <c r="X84" s="454"/>
      <c r="Y84" s="450">
        <v>0.22448000000000001</v>
      </c>
      <c r="Z84" s="448"/>
      <c r="AA84" s="448"/>
      <c r="AB84" s="452">
        <v>2.1532300000000002</v>
      </c>
      <c r="AC84" s="453">
        <v>0.114244</v>
      </c>
      <c r="AD84" s="453">
        <v>-8.2600000000000002E-4</v>
      </c>
      <c r="AE84" s="448">
        <v>9.0000000000000002E-6</v>
      </c>
      <c r="AF84" s="452">
        <v>3.9229349999999998</v>
      </c>
      <c r="AG84" s="453">
        <v>0.20372499999999999</v>
      </c>
      <c r="AH84" s="453">
        <v>-1.3500000000000001E-3</v>
      </c>
      <c r="AI84" s="455">
        <v>7.9999999999999996E-6</v>
      </c>
      <c r="AJ84" s="452">
        <v>3.3601869999999998</v>
      </c>
      <c r="AK84" s="453">
        <v>0.29524899999999998</v>
      </c>
      <c r="AL84" s="453">
        <v>-3.209E-3</v>
      </c>
      <c r="AM84" s="455">
        <v>2.4000000000000001E-5</v>
      </c>
    </row>
    <row r="85" spans="1:39" ht="13.5" customHeight="1">
      <c r="A85" s="52"/>
      <c r="B85" s="294">
        <v>2068</v>
      </c>
      <c r="D85" s="446">
        <v>0.28228999999999999</v>
      </c>
      <c r="E85" s="447">
        <v>5.9990000000000002E-2</v>
      </c>
      <c r="F85" s="447">
        <v>-6.8000000000000005E-4</v>
      </c>
      <c r="G85" s="448">
        <v>5.0000000000000004E-6</v>
      </c>
      <c r="H85" s="449">
        <v>0.32275999999999999</v>
      </c>
      <c r="I85" s="450">
        <v>4.6280000000000002E-2</v>
      </c>
      <c r="J85" s="450">
        <v>-4.4999999999999999E-4</v>
      </c>
      <c r="K85" s="448">
        <v>3.9999999999999998E-6</v>
      </c>
      <c r="L85" s="449"/>
      <c r="M85" s="450">
        <v>0.15062</v>
      </c>
      <c r="N85" s="294"/>
      <c r="O85" s="451"/>
      <c r="P85" s="452">
        <v>0.204066</v>
      </c>
      <c r="Q85" s="453">
        <v>0.114429</v>
      </c>
      <c r="R85" s="453">
        <v>-1.7960000000000001E-3</v>
      </c>
      <c r="S85" s="448">
        <v>1.2E-5</v>
      </c>
      <c r="T85" s="452">
        <v>0.31314999999999998</v>
      </c>
      <c r="U85" s="453">
        <v>7.6535000000000006E-2</v>
      </c>
      <c r="V85" s="453">
        <v>-1.1039999999999999E-3</v>
      </c>
      <c r="W85" s="448">
        <v>9.0000000000000002E-6</v>
      </c>
      <c r="X85" s="454"/>
      <c r="Y85" s="450">
        <v>0.22448000000000001</v>
      </c>
      <c r="Z85" s="448"/>
      <c r="AA85" s="448"/>
      <c r="AB85" s="452">
        <v>2.1532300000000002</v>
      </c>
      <c r="AC85" s="453">
        <v>0.114244</v>
      </c>
      <c r="AD85" s="453">
        <v>-8.2600000000000002E-4</v>
      </c>
      <c r="AE85" s="448">
        <v>9.0000000000000002E-6</v>
      </c>
      <c r="AF85" s="452">
        <v>3.9229349999999998</v>
      </c>
      <c r="AG85" s="453">
        <v>0.20372499999999999</v>
      </c>
      <c r="AH85" s="453">
        <v>-1.3500000000000001E-3</v>
      </c>
      <c r="AI85" s="455">
        <v>7.9999999999999996E-6</v>
      </c>
      <c r="AJ85" s="452">
        <v>3.3601869999999998</v>
      </c>
      <c r="AK85" s="453">
        <v>0.29524899999999998</v>
      </c>
      <c r="AL85" s="453">
        <v>-3.209E-3</v>
      </c>
      <c r="AM85" s="455">
        <v>2.4000000000000001E-5</v>
      </c>
    </row>
    <row r="86" spans="1:39" ht="13.5" customHeight="1">
      <c r="A86" s="52"/>
      <c r="B86" s="294">
        <v>2069</v>
      </c>
      <c r="D86" s="446">
        <v>0.28228999999999999</v>
      </c>
      <c r="E86" s="447">
        <v>5.9990000000000002E-2</v>
      </c>
      <c r="F86" s="447">
        <v>-6.8000000000000005E-4</v>
      </c>
      <c r="G86" s="448">
        <v>5.0000000000000004E-6</v>
      </c>
      <c r="H86" s="449">
        <v>0.32275999999999999</v>
      </c>
      <c r="I86" s="450">
        <v>4.6280000000000002E-2</v>
      </c>
      <c r="J86" s="450">
        <v>-4.4999999999999999E-4</v>
      </c>
      <c r="K86" s="448">
        <v>3.9999999999999998E-6</v>
      </c>
      <c r="L86" s="449"/>
      <c r="M86" s="450">
        <v>0.15062</v>
      </c>
      <c r="N86" s="294"/>
      <c r="O86" s="451"/>
      <c r="P86" s="452">
        <v>0.204066</v>
      </c>
      <c r="Q86" s="453">
        <v>0.114429</v>
      </c>
      <c r="R86" s="453">
        <v>-1.7960000000000001E-3</v>
      </c>
      <c r="S86" s="448">
        <v>1.2E-5</v>
      </c>
      <c r="T86" s="452">
        <v>0.31314999999999998</v>
      </c>
      <c r="U86" s="453">
        <v>7.6535000000000006E-2</v>
      </c>
      <c r="V86" s="453">
        <v>-1.1039999999999999E-3</v>
      </c>
      <c r="W86" s="448">
        <v>9.0000000000000002E-6</v>
      </c>
      <c r="X86" s="454"/>
      <c r="Y86" s="450">
        <v>0.22448000000000001</v>
      </c>
      <c r="Z86" s="448"/>
      <c r="AA86" s="448"/>
      <c r="AB86" s="452">
        <v>2.1532300000000002</v>
      </c>
      <c r="AC86" s="453">
        <v>0.114244</v>
      </c>
      <c r="AD86" s="453">
        <v>-8.2600000000000002E-4</v>
      </c>
      <c r="AE86" s="448">
        <v>9.0000000000000002E-6</v>
      </c>
      <c r="AF86" s="452">
        <v>3.9229349999999998</v>
      </c>
      <c r="AG86" s="453">
        <v>0.20372499999999999</v>
      </c>
      <c r="AH86" s="453">
        <v>-1.3500000000000001E-3</v>
      </c>
      <c r="AI86" s="455">
        <v>7.9999999999999996E-6</v>
      </c>
      <c r="AJ86" s="452">
        <v>3.3601869999999998</v>
      </c>
      <c r="AK86" s="453">
        <v>0.29524899999999998</v>
      </c>
      <c r="AL86" s="453">
        <v>-3.209E-3</v>
      </c>
      <c r="AM86" s="455">
        <v>2.4000000000000001E-5</v>
      </c>
    </row>
    <row r="87" spans="1:39" ht="13.5" customHeight="1">
      <c r="A87" s="52"/>
      <c r="B87" s="294">
        <v>2070</v>
      </c>
      <c r="D87" s="446">
        <v>0.28228999999999999</v>
      </c>
      <c r="E87" s="447">
        <v>5.9990000000000002E-2</v>
      </c>
      <c r="F87" s="447">
        <v>-6.8000000000000005E-4</v>
      </c>
      <c r="G87" s="448">
        <v>5.0000000000000004E-6</v>
      </c>
      <c r="H87" s="449">
        <v>0.32275999999999999</v>
      </c>
      <c r="I87" s="450">
        <v>4.6280000000000002E-2</v>
      </c>
      <c r="J87" s="450">
        <v>-4.4999999999999999E-4</v>
      </c>
      <c r="K87" s="448">
        <v>3.9999999999999998E-6</v>
      </c>
      <c r="L87" s="449"/>
      <c r="M87" s="450">
        <v>0.15062</v>
      </c>
      <c r="N87" s="294"/>
      <c r="O87" s="451"/>
      <c r="P87" s="452">
        <v>0.204066</v>
      </c>
      <c r="Q87" s="453">
        <v>0.114429</v>
      </c>
      <c r="R87" s="453">
        <v>-1.7960000000000001E-3</v>
      </c>
      <c r="S87" s="448">
        <v>1.2E-5</v>
      </c>
      <c r="T87" s="452">
        <v>0.31314999999999998</v>
      </c>
      <c r="U87" s="453">
        <v>7.6535000000000006E-2</v>
      </c>
      <c r="V87" s="453">
        <v>-1.1039999999999999E-3</v>
      </c>
      <c r="W87" s="448">
        <v>9.0000000000000002E-6</v>
      </c>
      <c r="X87" s="454"/>
      <c r="Y87" s="450">
        <v>0.22448000000000001</v>
      </c>
      <c r="Z87" s="448"/>
      <c r="AA87" s="448"/>
      <c r="AB87" s="452">
        <v>2.1532300000000002</v>
      </c>
      <c r="AC87" s="453">
        <v>0.114244</v>
      </c>
      <c r="AD87" s="453">
        <v>-8.2600000000000002E-4</v>
      </c>
      <c r="AE87" s="448">
        <v>9.0000000000000002E-6</v>
      </c>
      <c r="AF87" s="452">
        <v>3.9229349999999998</v>
      </c>
      <c r="AG87" s="453">
        <v>0.20372499999999999</v>
      </c>
      <c r="AH87" s="453">
        <v>-1.3500000000000001E-3</v>
      </c>
      <c r="AI87" s="455">
        <v>7.9999999999999996E-6</v>
      </c>
      <c r="AJ87" s="452">
        <v>3.3601869999999998</v>
      </c>
      <c r="AK87" s="453">
        <v>0.29524899999999998</v>
      </c>
      <c r="AL87" s="453">
        <v>-3.209E-3</v>
      </c>
      <c r="AM87" s="455">
        <v>2.4000000000000001E-5</v>
      </c>
    </row>
    <row r="88" spans="1:39" ht="13.5" customHeight="1">
      <c r="A88" s="52"/>
      <c r="B88" s="294">
        <v>2071</v>
      </c>
      <c r="D88" s="446">
        <v>0.28228999999999999</v>
      </c>
      <c r="E88" s="447">
        <v>5.9990000000000002E-2</v>
      </c>
      <c r="F88" s="447">
        <v>-6.8000000000000005E-4</v>
      </c>
      <c r="G88" s="448">
        <v>5.0000000000000004E-6</v>
      </c>
      <c r="H88" s="449">
        <v>0.32275999999999999</v>
      </c>
      <c r="I88" s="450">
        <v>4.6280000000000002E-2</v>
      </c>
      <c r="J88" s="450">
        <v>-4.4999999999999999E-4</v>
      </c>
      <c r="K88" s="448">
        <v>3.9999999999999998E-6</v>
      </c>
      <c r="L88" s="449"/>
      <c r="M88" s="450">
        <v>0.15062</v>
      </c>
      <c r="N88" s="294"/>
      <c r="O88" s="451"/>
      <c r="P88" s="452">
        <v>0.204066</v>
      </c>
      <c r="Q88" s="453">
        <v>0.114429</v>
      </c>
      <c r="R88" s="453">
        <v>-1.7960000000000001E-3</v>
      </c>
      <c r="S88" s="448">
        <v>1.2E-5</v>
      </c>
      <c r="T88" s="452">
        <v>0.31314999999999998</v>
      </c>
      <c r="U88" s="453">
        <v>7.6535000000000006E-2</v>
      </c>
      <c r="V88" s="453">
        <v>-1.1039999999999999E-3</v>
      </c>
      <c r="W88" s="448">
        <v>9.0000000000000002E-6</v>
      </c>
      <c r="X88" s="454"/>
      <c r="Y88" s="450">
        <v>0.22448000000000001</v>
      </c>
      <c r="Z88" s="448"/>
      <c r="AA88" s="448"/>
      <c r="AB88" s="452">
        <v>2.1532300000000002</v>
      </c>
      <c r="AC88" s="453">
        <v>0.114244</v>
      </c>
      <c r="AD88" s="453">
        <v>-8.2600000000000002E-4</v>
      </c>
      <c r="AE88" s="448">
        <v>9.0000000000000002E-6</v>
      </c>
      <c r="AF88" s="452">
        <v>3.9229349999999998</v>
      </c>
      <c r="AG88" s="453">
        <v>0.20372499999999999</v>
      </c>
      <c r="AH88" s="453">
        <v>-1.3500000000000001E-3</v>
      </c>
      <c r="AI88" s="455">
        <v>7.9999999999999996E-6</v>
      </c>
      <c r="AJ88" s="452">
        <v>3.3601869999999998</v>
      </c>
      <c r="AK88" s="453">
        <v>0.29524899999999998</v>
      </c>
      <c r="AL88" s="453">
        <v>-3.209E-3</v>
      </c>
      <c r="AM88" s="455">
        <v>2.4000000000000001E-5</v>
      </c>
    </row>
    <row r="89" spans="1:39" ht="13.5" customHeight="1">
      <c r="A89" s="52"/>
      <c r="B89" s="294">
        <v>2072</v>
      </c>
      <c r="D89" s="446">
        <v>0.28228999999999999</v>
      </c>
      <c r="E89" s="447">
        <v>5.9990000000000002E-2</v>
      </c>
      <c r="F89" s="447">
        <v>-6.8000000000000005E-4</v>
      </c>
      <c r="G89" s="448">
        <v>5.0000000000000004E-6</v>
      </c>
      <c r="H89" s="449">
        <v>0.32275999999999999</v>
      </c>
      <c r="I89" s="450">
        <v>4.6280000000000002E-2</v>
      </c>
      <c r="J89" s="450">
        <v>-4.4999999999999999E-4</v>
      </c>
      <c r="K89" s="448">
        <v>3.9999999999999998E-6</v>
      </c>
      <c r="L89" s="449"/>
      <c r="M89" s="450">
        <v>0.15062</v>
      </c>
      <c r="N89" s="294"/>
      <c r="O89" s="451"/>
      <c r="P89" s="452">
        <v>0.204066</v>
      </c>
      <c r="Q89" s="453">
        <v>0.114429</v>
      </c>
      <c r="R89" s="453">
        <v>-1.7960000000000001E-3</v>
      </c>
      <c r="S89" s="448">
        <v>1.2E-5</v>
      </c>
      <c r="T89" s="452">
        <v>0.31314999999999998</v>
      </c>
      <c r="U89" s="453">
        <v>7.6535000000000006E-2</v>
      </c>
      <c r="V89" s="453">
        <v>-1.1039999999999999E-3</v>
      </c>
      <c r="W89" s="448">
        <v>9.0000000000000002E-6</v>
      </c>
      <c r="X89" s="454"/>
      <c r="Y89" s="450">
        <v>0.22448000000000001</v>
      </c>
      <c r="Z89" s="448"/>
      <c r="AA89" s="448"/>
      <c r="AB89" s="452">
        <v>2.1532300000000002</v>
      </c>
      <c r="AC89" s="453">
        <v>0.114244</v>
      </c>
      <c r="AD89" s="453">
        <v>-8.2600000000000002E-4</v>
      </c>
      <c r="AE89" s="448">
        <v>9.0000000000000002E-6</v>
      </c>
      <c r="AF89" s="452">
        <v>3.9229349999999998</v>
      </c>
      <c r="AG89" s="453">
        <v>0.20372499999999999</v>
      </c>
      <c r="AH89" s="453">
        <v>-1.3500000000000001E-3</v>
      </c>
      <c r="AI89" s="455">
        <v>7.9999999999999996E-6</v>
      </c>
      <c r="AJ89" s="452">
        <v>3.3601869999999998</v>
      </c>
      <c r="AK89" s="453">
        <v>0.29524899999999998</v>
      </c>
      <c r="AL89" s="453">
        <v>-3.209E-3</v>
      </c>
      <c r="AM89" s="455">
        <v>2.4000000000000001E-5</v>
      </c>
    </row>
    <row r="90" spans="1:39" ht="13.5" customHeight="1">
      <c r="A90" s="52"/>
      <c r="B90" s="294">
        <v>2073</v>
      </c>
      <c r="D90" s="446">
        <v>0.28228999999999999</v>
      </c>
      <c r="E90" s="447">
        <v>5.9990000000000002E-2</v>
      </c>
      <c r="F90" s="447">
        <v>-6.8000000000000005E-4</v>
      </c>
      <c r="G90" s="448">
        <v>5.0000000000000004E-6</v>
      </c>
      <c r="H90" s="449">
        <v>0.32275999999999999</v>
      </c>
      <c r="I90" s="450">
        <v>4.6280000000000002E-2</v>
      </c>
      <c r="J90" s="450">
        <v>-4.4999999999999999E-4</v>
      </c>
      <c r="K90" s="448">
        <v>3.9999999999999998E-6</v>
      </c>
      <c r="L90" s="449"/>
      <c r="M90" s="450">
        <v>0.15062</v>
      </c>
      <c r="N90" s="294"/>
      <c r="O90" s="451"/>
      <c r="P90" s="452">
        <v>0.204066</v>
      </c>
      <c r="Q90" s="453">
        <v>0.114429</v>
      </c>
      <c r="R90" s="453">
        <v>-1.7960000000000001E-3</v>
      </c>
      <c r="S90" s="448">
        <v>1.2E-5</v>
      </c>
      <c r="T90" s="452">
        <v>0.31314999999999998</v>
      </c>
      <c r="U90" s="453">
        <v>7.6535000000000006E-2</v>
      </c>
      <c r="V90" s="453">
        <v>-1.1039999999999999E-3</v>
      </c>
      <c r="W90" s="448">
        <v>9.0000000000000002E-6</v>
      </c>
      <c r="X90" s="454"/>
      <c r="Y90" s="450">
        <v>0.22448000000000001</v>
      </c>
      <c r="Z90" s="448"/>
      <c r="AA90" s="448"/>
      <c r="AB90" s="452">
        <v>2.1532300000000002</v>
      </c>
      <c r="AC90" s="453">
        <v>0.114244</v>
      </c>
      <c r="AD90" s="453">
        <v>-8.2600000000000002E-4</v>
      </c>
      <c r="AE90" s="448">
        <v>9.0000000000000002E-6</v>
      </c>
      <c r="AF90" s="452">
        <v>3.9229349999999998</v>
      </c>
      <c r="AG90" s="453">
        <v>0.20372499999999999</v>
      </c>
      <c r="AH90" s="453">
        <v>-1.3500000000000001E-3</v>
      </c>
      <c r="AI90" s="455">
        <v>7.9999999999999996E-6</v>
      </c>
      <c r="AJ90" s="452">
        <v>3.3601869999999998</v>
      </c>
      <c r="AK90" s="453">
        <v>0.29524899999999998</v>
      </c>
      <c r="AL90" s="453">
        <v>-3.209E-3</v>
      </c>
      <c r="AM90" s="455">
        <v>2.4000000000000001E-5</v>
      </c>
    </row>
    <row r="91" spans="1:39" ht="13.5" customHeight="1">
      <c r="A91" s="52"/>
      <c r="B91" s="294">
        <v>2074</v>
      </c>
      <c r="D91" s="446">
        <v>0.28228999999999999</v>
      </c>
      <c r="E91" s="447">
        <v>5.9990000000000002E-2</v>
      </c>
      <c r="F91" s="447">
        <v>-6.8000000000000005E-4</v>
      </c>
      <c r="G91" s="448">
        <v>5.0000000000000004E-6</v>
      </c>
      <c r="H91" s="449">
        <v>0.32275999999999999</v>
      </c>
      <c r="I91" s="450">
        <v>4.6280000000000002E-2</v>
      </c>
      <c r="J91" s="450">
        <v>-4.4999999999999999E-4</v>
      </c>
      <c r="K91" s="448">
        <v>3.9999999999999998E-6</v>
      </c>
      <c r="L91" s="449"/>
      <c r="M91" s="450">
        <v>0.15062</v>
      </c>
      <c r="N91" s="294"/>
      <c r="O91" s="451"/>
      <c r="P91" s="452">
        <v>0.204066</v>
      </c>
      <c r="Q91" s="453">
        <v>0.114429</v>
      </c>
      <c r="R91" s="453">
        <v>-1.7960000000000001E-3</v>
      </c>
      <c r="S91" s="448">
        <v>1.2E-5</v>
      </c>
      <c r="T91" s="452">
        <v>0.31314999999999998</v>
      </c>
      <c r="U91" s="453">
        <v>7.6535000000000006E-2</v>
      </c>
      <c r="V91" s="453">
        <v>-1.1039999999999999E-3</v>
      </c>
      <c r="W91" s="448">
        <v>9.0000000000000002E-6</v>
      </c>
      <c r="X91" s="454"/>
      <c r="Y91" s="450">
        <v>0.22448000000000001</v>
      </c>
      <c r="Z91" s="448"/>
      <c r="AA91" s="448"/>
      <c r="AB91" s="452">
        <v>2.1532300000000002</v>
      </c>
      <c r="AC91" s="453">
        <v>0.114244</v>
      </c>
      <c r="AD91" s="453">
        <v>-8.2600000000000002E-4</v>
      </c>
      <c r="AE91" s="448">
        <v>9.0000000000000002E-6</v>
      </c>
      <c r="AF91" s="452">
        <v>3.9229349999999998</v>
      </c>
      <c r="AG91" s="453">
        <v>0.20372499999999999</v>
      </c>
      <c r="AH91" s="453">
        <v>-1.3500000000000001E-3</v>
      </c>
      <c r="AI91" s="455">
        <v>7.9999999999999996E-6</v>
      </c>
      <c r="AJ91" s="452">
        <v>3.3601869999999998</v>
      </c>
      <c r="AK91" s="453">
        <v>0.29524899999999998</v>
      </c>
      <c r="AL91" s="453">
        <v>-3.209E-3</v>
      </c>
      <c r="AM91" s="455">
        <v>2.4000000000000001E-5</v>
      </c>
    </row>
    <row r="92" spans="1:39" ht="13.5" customHeight="1">
      <c r="A92" s="52"/>
      <c r="B92" s="294">
        <v>2075</v>
      </c>
      <c r="D92" s="446">
        <v>0.28228999999999999</v>
      </c>
      <c r="E92" s="447">
        <v>5.9990000000000002E-2</v>
      </c>
      <c r="F92" s="447">
        <v>-6.8000000000000005E-4</v>
      </c>
      <c r="G92" s="448">
        <v>5.0000000000000004E-6</v>
      </c>
      <c r="H92" s="449">
        <v>0.32275999999999999</v>
      </c>
      <c r="I92" s="450">
        <v>4.6280000000000002E-2</v>
      </c>
      <c r="J92" s="450">
        <v>-4.4999999999999999E-4</v>
      </c>
      <c r="K92" s="448">
        <v>3.9999999999999998E-6</v>
      </c>
      <c r="L92" s="449"/>
      <c r="M92" s="450">
        <v>0.15062</v>
      </c>
      <c r="N92" s="294"/>
      <c r="O92" s="451"/>
      <c r="P92" s="452">
        <v>0.204066</v>
      </c>
      <c r="Q92" s="453">
        <v>0.114429</v>
      </c>
      <c r="R92" s="453">
        <v>-1.7960000000000001E-3</v>
      </c>
      <c r="S92" s="448">
        <v>1.2E-5</v>
      </c>
      <c r="T92" s="452">
        <v>0.31314999999999998</v>
      </c>
      <c r="U92" s="453">
        <v>7.6535000000000006E-2</v>
      </c>
      <c r="V92" s="453">
        <v>-1.1039999999999999E-3</v>
      </c>
      <c r="W92" s="448">
        <v>9.0000000000000002E-6</v>
      </c>
      <c r="X92" s="454"/>
      <c r="Y92" s="450">
        <v>0.22448000000000001</v>
      </c>
      <c r="Z92" s="448"/>
      <c r="AA92" s="448"/>
      <c r="AB92" s="452">
        <v>2.1532300000000002</v>
      </c>
      <c r="AC92" s="453">
        <v>0.114244</v>
      </c>
      <c r="AD92" s="453">
        <v>-8.2600000000000002E-4</v>
      </c>
      <c r="AE92" s="448">
        <v>9.0000000000000002E-6</v>
      </c>
      <c r="AF92" s="452">
        <v>3.9229349999999998</v>
      </c>
      <c r="AG92" s="453">
        <v>0.20372499999999999</v>
      </c>
      <c r="AH92" s="453">
        <v>-1.3500000000000001E-3</v>
      </c>
      <c r="AI92" s="455">
        <v>7.9999999999999996E-6</v>
      </c>
      <c r="AJ92" s="452">
        <v>3.3601869999999998</v>
      </c>
      <c r="AK92" s="453">
        <v>0.29524899999999998</v>
      </c>
      <c r="AL92" s="453">
        <v>-3.209E-3</v>
      </c>
      <c r="AM92" s="455">
        <v>2.4000000000000001E-5</v>
      </c>
    </row>
    <row r="93" spans="1:39" ht="13.5" customHeight="1">
      <c r="A93" s="52"/>
      <c r="B93" s="294">
        <v>2076</v>
      </c>
      <c r="D93" s="446">
        <v>0.28228999999999999</v>
      </c>
      <c r="E93" s="447">
        <v>5.9990000000000002E-2</v>
      </c>
      <c r="F93" s="447">
        <v>-6.8000000000000005E-4</v>
      </c>
      <c r="G93" s="448">
        <v>5.0000000000000004E-6</v>
      </c>
      <c r="H93" s="449">
        <v>0.32275999999999999</v>
      </c>
      <c r="I93" s="450">
        <v>4.6280000000000002E-2</v>
      </c>
      <c r="J93" s="450">
        <v>-4.4999999999999999E-4</v>
      </c>
      <c r="K93" s="448">
        <v>3.9999999999999998E-6</v>
      </c>
      <c r="L93" s="449"/>
      <c r="M93" s="450">
        <v>0.15062</v>
      </c>
      <c r="N93" s="294"/>
      <c r="O93" s="451"/>
      <c r="P93" s="452">
        <v>0.204066</v>
      </c>
      <c r="Q93" s="453">
        <v>0.114429</v>
      </c>
      <c r="R93" s="453">
        <v>-1.7960000000000001E-3</v>
      </c>
      <c r="S93" s="448">
        <v>1.2E-5</v>
      </c>
      <c r="T93" s="452">
        <v>0.31314999999999998</v>
      </c>
      <c r="U93" s="453">
        <v>7.6535000000000006E-2</v>
      </c>
      <c r="V93" s="453">
        <v>-1.1039999999999999E-3</v>
      </c>
      <c r="W93" s="448">
        <v>9.0000000000000002E-6</v>
      </c>
      <c r="X93" s="454"/>
      <c r="Y93" s="450">
        <v>0.22448000000000001</v>
      </c>
      <c r="Z93" s="448"/>
      <c r="AA93" s="448"/>
      <c r="AB93" s="452">
        <v>2.1532300000000002</v>
      </c>
      <c r="AC93" s="453">
        <v>0.114244</v>
      </c>
      <c r="AD93" s="453">
        <v>-8.2600000000000002E-4</v>
      </c>
      <c r="AE93" s="448">
        <v>9.0000000000000002E-6</v>
      </c>
      <c r="AF93" s="452">
        <v>3.9229349999999998</v>
      </c>
      <c r="AG93" s="453">
        <v>0.20372499999999999</v>
      </c>
      <c r="AH93" s="453">
        <v>-1.3500000000000001E-3</v>
      </c>
      <c r="AI93" s="455">
        <v>7.9999999999999996E-6</v>
      </c>
      <c r="AJ93" s="452">
        <v>3.3601869999999998</v>
      </c>
      <c r="AK93" s="453">
        <v>0.29524899999999998</v>
      </c>
      <c r="AL93" s="453">
        <v>-3.209E-3</v>
      </c>
      <c r="AM93" s="455">
        <v>2.4000000000000001E-5</v>
      </c>
    </row>
    <row r="94" spans="1:39" ht="13.5" customHeight="1">
      <c r="A94" s="52"/>
      <c r="B94" s="294">
        <v>2077</v>
      </c>
      <c r="D94" s="446">
        <v>0.28228999999999999</v>
      </c>
      <c r="E94" s="447">
        <v>5.9990000000000002E-2</v>
      </c>
      <c r="F94" s="447">
        <v>-6.8000000000000005E-4</v>
      </c>
      <c r="G94" s="448">
        <v>5.0000000000000004E-6</v>
      </c>
      <c r="H94" s="449">
        <v>0.32275999999999999</v>
      </c>
      <c r="I94" s="450">
        <v>4.6280000000000002E-2</v>
      </c>
      <c r="J94" s="450">
        <v>-4.4999999999999999E-4</v>
      </c>
      <c r="K94" s="448">
        <v>3.9999999999999998E-6</v>
      </c>
      <c r="L94" s="449"/>
      <c r="M94" s="450">
        <v>0.15062</v>
      </c>
      <c r="N94" s="294"/>
      <c r="O94" s="451"/>
      <c r="P94" s="452">
        <v>0.204066</v>
      </c>
      <c r="Q94" s="453">
        <v>0.114429</v>
      </c>
      <c r="R94" s="453">
        <v>-1.7960000000000001E-3</v>
      </c>
      <c r="S94" s="448">
        <v>1.2E-5</v>
      </c>
      <c r="T94" s="452">
        <v>0.31314999999999998</v>
      </c>
      <c r="U94" s="453">
        <v>7.6535000000000006E-2</v>
      </c>
      <c r="V94" s="453">
        <v>-1.1039999999999999E-3</v>
      </c>
      <c r="W94" s="448">
        <v>9.0000000000000002E-6</v>
      </c>
      <c r="X94" s="454"/>
      <c r="Y94" s="450">
        <v>0.22448000000000001</v>
      </c>
      <c r="Z94" s="448"/>
      <c r="AA94" s="448"/>
      <c r="AB94" s="452">
        <v>2.1532300000000002</v>
      </c>
      <c r="AC94" s="453">
        <v>0.114244</v>
      </c>
      <c r="AD94" s="453">
        <v>-8.2600000000000002E-4</v>
      </c>
      <c r="AE94" s="448">
        <v>9.0000000000000002E-6</v>
      </c>
      <c r="AF94" s="452">
        <v>3.9229349999999998</v>
      </c>
      <c r="AG94" s="453">
        <v>0.20372499999999999</v>
      </c>
      <c r="AH94" s="453">
        <v>-1.3500000000000001E-3</v>
      </c>
      <c r="AI94" s="455">
        <v>7.9999999999999996E-6</v>
      </c>
      <c r="AJ94" s="452">
        <v>3.3601869999999998</v>
      </c>
      <c r="AK94" s="453">
        <v>0.29524899999999998</v>
      </c>
      <c r="AL94" s="453">
        <v>-3.209E-3</v>
      </c>
      <c r="AM94" s="455">
        <v>2.4000000000000001E-5</v>
      </c>
    </row>
    <row r="95" spans="1:39" ht="13.5" customHeight="1">
      <c r="A95" s="52"/>
      <c r="B95" s="294">
        <v>2078</v>
      </c>
      <c r="D95" s="446">
        <v>0.28228999999999999</v>
      </c>
      <c r="E95" s="447">
        <v>5.9990000000000002E-2</v>
      </c>
      <c r="F95" s="447">
        <v>-6.8000000000000005E-4</v>
      </c>
      <c r="G95" s="448">
        <v>5.0000000000000004E-6</v>
      </c>
      <c r="H95" s="449">
        <v>0.32275999999999999</v>
      </c>
      <c r="I95" s="450">
        <v>4.6280000000000002E-2</v>
      </c>
      <c r="J95" s="450">
        <v>-4.4999999999999999E-4</v>
      </c>
      <c r="K95" s="448">
        <v>3.9999999999999998E-6</v>
      </c>
      <c r="L95" s="449"/>
      <c r="M95" s="450">
        <v>0.15062</v>
      </c>
      <c r="N95" s="294"/>
      <c r="O95" s="451"/>
      <c r="P95" s="452">
        <v>0.204066</v>
      </c>
      <c r="Q95" s="453">
        <v>0.114429</v>
      </c>
      <c r="R95" s="453">
        <v>-1.7960000000000001E-3</v>
      </c>
      <c r="S95" s="448">
        <v>1.2E-5</v>
      </c>
      <c r="T95" s="452">
        <v>0.31314999999999998</v>
      </c>
      <c r="U95" s="453">
        <v>7.6535000000000006E-2</v>
      </c>
      <c r="V95" s="453">
        <v>-1.1039999999999999E-3</v>
      </c>
      <c r="W95" s="448">
        <v>9.0000000000000002E-6</v>
      </c>
      <c r="X95" s="454"/>
      <c r="Y95" s="450">
        <v>0.22448000000000001</v>
      </c>
      <c r="Z95" s="448"/>
      <c r="AA95" s="448"/>
      <c r="AB95" s="452">
        <v>2.1532300000000002</v>
      </c>
      <c r="AC95" s="453">
        <v>0.114244</v>
      </c>
      <c r="AD95" s="453">
        <v>-8.2600000000000002E-4</v>
      </c>
      <c r="AE95" s="448">
        <v>9.0000000000000002E-6</v>
      </c>
      <c r="AF95" s="452">
        <v>3.9229349999999998</v>
      </c>
      <c r="AG95" s="453">
        <v>0.20372499999999999</v>
      </c>
      <c r="AH95" s="453">
        <v>-1.3500000000000001E-3</v>
      </c>
      <c r="AI95" s="455">
        <v>7.9999999999999996E-6</v>
      </c>
      <c r="AJ95" s="452">
        <v>3.3601869999999998</v>
      </c>
      <c r="AK95" s="453">
        <v>0.29524899999999998</v>
      </c>
      <c r="AL95" s="453">
        <v>-3.209E-3</v>
      </c>
      <c r="AM95" s="455">
        <v>2.4000000000000001E-5</v>
      </c>
    </row>
    <row r="96" spans="1:39" ht="13.5" customHeight="1">
      <c r="A96" s="52"/>
      <c r="B96" s="294">
        <v>2079</v>
      </c>
      <c r="D96" s="446">
        <v>0.28228999999999999</v>
      </c>
      <c r="E96" s="447">
        <v>5.9990000000000002E-2</v>
      </c>
      <c r="F96" s="447">
        <v>-6.8000000000000005E-4</v>
      </c>
      <c r="G96" s="448">
        <v>5.0000000000000004E-6</v>
      </c>
      <c r="H96" s="449">
        <v>0.32275999999999999</v>
      </c>
      <c r="I96" s="450">
        <v>4.6280000000000002E-2</v>
      </c>
      <c r="J96" s="450">
        <v>-4.4999999999999999E-4</v>
      </c>
      <c r="K96" s="448">
        <v>3.9999999999999998E-6</v>
      </c>
      <c r="L96" s="449"/>
      <c r="M96" s="450">
        <v>0.15062</v>
      </c>
      <c r="N96" s="294"/>
      <c r="O96" s="451"/>
      <c r="P96" s="452">
        <v>0.204066</v>
      </c>
      <c r="Q96" s="453">
        <v>0.114429</v>
      </c>
      <c r="R96" s="453">
        <v>-1.7960000000000001E-3</v>
      </c>
      <c r="S96" s="448">
        <v>1.2E-5</v>
      </c>
      <c r="T96" s="452">
        <v>0.31314999999999998</v>
      </c>
      <c r="U96" s="453">
        <v>7.6535000000000006E-2</v>
      </c>
      <c r="V96" s="453">
        <v>-1.1039999999999999E-3</v>
      </c>
      <c r="W96" s="448">
        <v>9.0000000000000002E-6</v>
      </c>
      <c r="X96" s="454"/>
      <c r="Y96" s="450">
        <v>0.22448000000000001</v>
      </c>
      <c r="Z96" s="448"/>
      <c r="AA96" s="448"/>
      <c r="AB96" s="452">
        <v>2.1532300000000002</v>
      </c>
      <c r="AC96" s="453">
        <v>0.114244</v>
      </c>
      <c r="AD96" s="453">
        <v>-8.2600000000000002E-4</v>
      </c>
      <c r="AE96" s="448">
        <v>9.0000000000000002E-6</v>
      </c>
      <c r="AF96" s="452">
        <v>3.9229349999999998</v>
      </c>
      <c r="AG96" s="453">
        <v>0.20372499999999999</v>
      </c>
      <c r="AH96" s="453">
        <v>-1.3500000000000001E-3</v>
      </c>
      <c r="AI96" s="455">
        <v>7.9999999999999996E-6</v>
      </c>
      <c r="AJ96" s="452">
        <v>3.3601869999999998</v>
      </c>
      <c r="AK96" s="453">
        <v>0.29524899999999998</v>
      </c>
      <c r="AL96" s="453">
        <v>-3.209E-3</v>
      </c>
      <c r="AM96" s="455">
        <v>2.4000000000000001E-5</v>
      </c>
    </row>
    <row r="97" spans="1:39" ht="13.5" customHeight="1">
      <c r="A97" s="52"/>
      <c r="B97" s="294">
        <v>2080</v>
      </c>
      <c r="D97" s="446">
        <v>0.28228999999999999</v>
      </c>
      <c r="E97" s="447">
        <v>5.9990000000000002E-2</v>
      </c>
      <c r="F97" s="447">
        <v>-6.8000000000000005E-4</v>
      </c>
      <c r="G97" s="448">
        <v>5.0000000000000004E-6</v>
      </c>
      <c r="H97" s="449">
        <v>0.32275999999999999</v>
      </c>
      <c r="I97" s="450">
        <v>4.6280000000000002E-2</v>
      </c>
      <c r="J97" s="450">
        <v>-4.4999999999999999E-4</v>
      </c>
      <c r="K97" s="448">
        <v>3.9999999999999998E-6</v>
      </c>
      <c r="L97" s="449"/>
      <c r="M97" s="450">
        <v>0.15062</v>
      </c>
      <c r="N97" s="294"/>
      <c r="O97" s="451"/>
      <c r="P97" s="452">
        <v>0.204066</v>
      </c>
      <c r="Q97" s="453">
        <v>0.114429</v>
      </c>
      <c r="R97" s="453">
        <v>-1.7960000000000001E-3</v>
      </c>
      <c r="S97" s="448">
        <v>1.2E-5</v>
      </c>
      <c r="T97" s="452">
        <v>0.31314999999999998</v>
      </c>
      <c r="U97" s="453">
        <v>7.6535000000000006E-2</v>
      </c>
      <c r="V97" s="453">
        <v>-1.1039999999999999E-3</v>
      </c>
      <c r="W97" s="448">
        <v>9.0000000000000002E-6</v>
      </c>
      <c r="X97" s="454"/>
      <c r="Y97" s="450">
        <v>0.22448000000000001</v>
      </c>
      <c r="Z97" s="448"/>
      <c r="AA97" s="448"/>
      <c r="AB97" s="452">
        <v>2.1532300000000002</v>
      </c>
      <c r="AC97" s="453">
        <v>0.114244</v>
      </c>
      <c r="AD97" s="453">
        <v>-8.2600000000000002E-4</v>
      </c>
      <c r="AE97" s="448">
        <v>9.0000000000000002E-6</v>
      </c>
      <c r="AF97" s="452">
        <v>3.9229349999999998</v>
      </c>
      <c r="AG97" s="453">
        <v>0.20372499999999999</v>
      </c>
      <c r="AH97" s="453">
        <v>-1.3500000000000001E-3</v>
      </c>
      <c r="AI97" s="455">
        <v>7.9999999999999996E-6</v>
      </c>
      <c r="AJ97" s="452">
        <v>3.3601869999999998</v>
      </c>
      <c r="AK97" s="453">
        <v>0.29524899999999998</v>
      </c>
      <c r="AL97" s="453">
        <v>-3.209E-3</v>
      </c>
      <c r="AM97" s="455">
        <v>2.4000000000000001E-5</v>
      </c>
    </row>
    <row r="98" spans="1:39" ht="13.5" customHeight="1">
      <c r="A98" s="52"/>
      <c r="B98" s="294">
        <v>2081</v>
      </c>
      <c r="D98" s="446">
        <v>0.28228999999999999</v>
      </c>
      <c r="E98" s="447">
        <v>5.9990000000000002E-2</v>
      </c>
      <c r="F98" s="447">
        <v>-6.8000000000000005E-4</v>
      </c>
      <c r="G98" s="448">
        <v>5.0000000000000004E-6</v>
      </c>
      <c r="H98" s="449">
        <v>0.32275999999999999</v>
      </c>
      <c r="I98" s="450">
        <v>4.6280000000000002E-2</v>
      </c>
      <c r="J98" s="450">
        <v>-4.4999999999999999E-4</v>
      </c>
      <c r="K98" s="448">
        <v>3.9999999999999998E-6</v>
      </c>
      <c r="L98" s="449"/>
      <c r="M98" s="450">
        <v>0.15062</v>
      </c>
      <c r="N98" s="294"/>
      <c r="O98" s="451"/>
      <c r="P98" s="452">
        <v>0.204066</v>
      </c>
      <c r="Q98" s="453">
        <v>0.114429</v>
      </c>
      <c r="R98" s="453">
        <v>-1.7960000000000001E-3</v>
      </c>
      <c r="S98" s="448">
        <v>1.2E-5</v>
      </c>
      <c r="T98" s="452">
        <v>0.31314999999999998</v>
      </c>
      <c r="U98" s="453">
        <v>7.6535000000000006E-2</v>
      </c>
      <c r="V98" s="453">
        <v>-1.1039999999999999E-3</v>
      </c>
      <c r="W98" s="448">
        <v>9.0000000000000002E-6</v>
      </c>
      <c r="X98" s="454"/>
      <c r="Y98" s="450">
        <v>0.22448000000000001</v>
      </c>
      <c r="Z98" s="448"/>
      <c r="AA98" s="448"/>
      <c r="AB98" s="452">
        <v>2.1532300000000002</v>
      </c>
      <c r="AC98" s="453">
        <v>0.114244</v>
      </c>
      <c r="AD98" s="453">
        <v>-8.2600000000000002E-4</v>
      </c>
      <c r="AE98" s="448">
        <v>9.0000000000000002E-6</v>
      </c>
      <c r="AF98" s="452">
        <v>3.9229349999999998</v>
      </c>
      <c r="AG98" s="453">
        <v>0.20372499999999999</v>
      </c>
      <c r="AH98" s="453">
        <v>-1.3500000000000001E-3</v>
      </c>
      <c r="AI98" s="455">
        <v>7.9999999999999996E-6</v>
      </c>
      <c r="AJ98" s="452">
        <v>3.3601869999999998</v>
      </c>
      <c r="AK98" s="453">
        <v>0.29524899999999998</v>
      </c>
      <c r="AL98" s="453">
        <v>-3.209E-3</v>
      </c>
      <c r="AM98" s="455">
        <v>2.4000000000000001E-5</v>
      </c>
    </row>
    <row r="99" spans="1:39" ht="13.5" customHeight="1">
      <c r="A99" s="52"/>
      <c r="B99" s="294">
        <v>2082</v>
      </c>
      <c r="D99" s="446">
        <v>0.28228999999999999</v>
      </c>
      <c r="E99" s="447">
        <v>5.9990000000000002E-2</v>
      </c>
      <c r="F99" s="447">
        <v>-6.8000000000000005E-4</v>
      </c>
      <c r="G99" s="448">
        <v>5.0000000000000004E-6</v>
      </c>
      <c r="H99" s="449">
        <v>0.32275999999999999</v>
      </c>
      <c r="I99" s="450">
        <v>4.6280000000000002E-2</v>
      </c>
      <c r="J99" s="450">
        <v>-4.4999999999999999E-4</v>
      </c>
      <c r="K99" s="448">
        <v>3.9999999999999998E-6</v>
      </c>
      <c r="L99" s="449"/>
      <c r="M99" s="450">
        <v>0.15062</v>
      </c>
      <c r="N99" s="294"/>
      <c r="O99" s="451"/>
      <c r="P99" s="452">
        <v>0.204066</v>
      </c>
      <c r="Q99" s="453">
        <v>0.114429</v>
      </c>
      <c r="R99" s="453">
        <v>-1.7960000000000001E-3</v>
      </c>
      <c r="S99" s="448">
        <v>1.2E-5</v>
      </c>
      <c r="T99" s="452">
        <v>0.31314999999999998</v>
      </c>
      <c r="U99" s="453">
        <v>7.6535000000000006E-2</v>
      </c>
      <c r="V99" s="453">
        <v>-1.1039999999999999E-3</v>
      </c>
      <c r="W99" s="448">
        <v>9.0000000000000002E-6</v>
      </c>
      <c r="X99" s="454"/>
      <c r="Y99" s="450">
        <v>0.22448000000000001</v>
      </c>
      <c r="Z99" s="448"/>
      <c r="AA99" s="448"/>
      <c r="AB99" s="452">
        <v>2.1532300000000002</v>
      </c>
      <c r="AC99" s="453">
        <v>0.114244</v>
      </c>
      <c r="AD99" s="453">
        <v>-8.2600000000000002E-4</v>
      </c>
      <c r="AE99" s="448">
        <v>9.0000000000000002E-6</v>
      </c>
      <c r="AF99" s="452">
        <v>3.9229349999999998</v>
      </c>
      <c r="AG99" s="453">
        <v>0.20372499999999999</v>
      </c>
      <c r="AH99" s="453">
        <v>-1.3500000000000001E-3</v>
      </c>
      <c r="AI99" s="455">
        <v>7.9999999999999996E-6</v>
      </c>
      <c r="AJ99" s="452">
        <v>3.3601869999999998</v>
      </c>
      <c r="AK99" s="453">
        <v>0.29524899999999998</v>
      </c>
      <c r="AL99" s="453">
        <v>-3.209E-3</v>
      </c>
      <c r="AM99" s="455">
        <v>2.4000000000000001E-5</v>
      </c>
    </row>
    <row r="100" spans="1:39" ht="13.5" customHeight="1">
      <c r="A100" s="52"/>
      <c r="B100" s="294">
        <v>2083</v>
      </c>
      <c r="D100" s="446">
        <v>0.28228999999999999</v>
      </c>
      <c r="E100" s="447">
        <v>5.9990000000000002E-2</v>
      </c>
      <c r="F100" s="447">
        <v>-6.8000000000000005E-4</v>
      </c>
      <c r="G100" s="448">
        <v>5.0000000000000004E-6</v>
      </c>
      <c r="H100" s="449">
        <v>0.32275999999999999</v>
      </c>
      <c r="I100" s="450">
        <v>4.6280000000000002E-2</v>
      </c>
      <c r="J100" s="450">
        <v>-4.4999999999999999E-4</v>
      </c>
      <c r="K100" s="448">
        <v>3.9999999999999998E-6</v>
      </c>
      <c r="L100" s="449"/>
      <c r="M100" s="450">
        <v>0.15062</v>
      </c>
      <c r="N100" s="294"/>
      <c r="O100" s="451"/>
      <c r="P100" s="452">
        <v>0.204066</v>
      </c>
      <c r="Q100" s="453">
        <v>0.114429</v>
      </c>
      <c r="R100" s="453">
        <v>-1.7960000000000001E-3</v>
      </c>
      <c r="S100" s="448">
        <v>1.2E-5</v>
      </c>
      <c r="T100" s="452">
        <v>0.31314999999999998</v>
      </c>
      <c r="U100" s="453">
        <v>7.6535000000000006E-2</v>
      </c>
      <c r="V100" s="453">
        <v>-1.1039999999999999E-3</v>
      </c>
      <c r="W100" s="448">
        <v>9.0000000000000002E-6</v>
      </c>
      <c r="X100" s="454"/>
      <c r="Y100" s="450">
        <v>0.22448000000000001</v>
      </c>
      <c r="Z100" s="448"/>
      <c r="AA100" s="448"/>
      <c r="AB100" s="452">
        <v>2.1532300000000002</v>
      </c>
      <c r="AC100" s="453">
        <v>0.114244</v>
      </c>
      <c r="AD100" s="453">
        <v>-8.2600000000000002E-4</v>
      </c>
      <c r="AE100" s="448">
        <v>9.0000000000000002E-6</v>
      </c>
      <c r="AF100" s="452">
        <v>3.9229349999999998</v>
      </c>
      <c r="AG100" s="453">
        <v>0.20372499999999999</v>
      </c>
      <c r="AH100" s="453">
        <v>-1.3500000000000001E-3</v>
      </c>
      <c r="AI100" s="455">
        <v>7.9999999999999996E-6</v>
      </c>
      <c r="AJ100" s="452">
        <v>3.3601869999999998</v>
      </c>
      <c r="AK100" s="453">
        <v>0.29524899999999998</v>
      </c>
      <c r="AL100" s="453">
        <v>-3.209E-3</v>
      </c>
      <c r="AM100" s="455">
        <v>2.4000000000000001E-5</v>
      </c>
    </row>
    <row r="101" spans="1:39" ht="13.5" customHeight="1">
      <c r="A101" s="52"/>
      <c r="B101" s="294">
        <v>2084</v>
      </c>
      <c r="D101" s="446">
        <v>0.28228999999999999</v>
      </c>
      <c r="E101" s="447">
        <v>5.9990000000000002E-2</v>
      </c>
      <c r="F101" s="447">
        <v>-6.8000000000000005E-4</v>
      </c>
      <c r="G101" s="448">
        <v>5.0000000000000004E-6</v>
      </c>
      <c r="H101" s="449">
        <v>0.32275999999999999</v>
      </c>
      <c r="I101" s="450">
        <v>4.6280000000000002E-2</v>
      </c>
      <c r="J101" s="450">
        <v>-4.4999999999999999E-4</v>
      </c>
      <c r="K101" s="448">
        <v>3.9999999999999998E-6</v>
      </c>
      <c r="L101" s="449"/>
      <c r="M101" s="450">
        <v>0.15062</v>
      </c>
      <c r="N101" s="294"/>
      <c r="O101" s="451"/>
      <c r="P101" s="452">
        <v>0.204066</v>
      </c>
      <c r="Q101" s="453">
        <v>0.114429</v>
      </c>
      <c r="R101" s="453">
        <v>-1.7960000000000001E-3</v>
      </c>
      <c r="S101" s="448">
        <v>1.2E-5</v>
      </c>
      <c r="T101" s="452">
        <v>0.31314999999999998</v>
      </c>
      <c r="U101" s="453">
        <v>7.6535000000000006E-2</v>
      </c>
      <c r="V101" s="453">
        <v>-1.1039999999999999E-3</v>
      </c>
      <c r="W101" s="448">
        <v>9.0000000000000002E-6</v>
      </c>
      <c r="X101" s="454"/>
      <c r="Y101" s="450">
        <v>0.22448000000000001</v>
      </c>
      <c r="Z101" s="448"/>
      <c r="AA101" s="448"/>
      <c r="AB101" s="452">
        <v>2.1532300000000002</v>
      </c>
      <c r="AC101" s="453">
        <v>0.114244</v>
      </c>
      <c r="AD101" s="453">
        <v>-8.2600000000000002E-4</v>
      </c>
      <c r="AE101" s="448">
        <v>9.0000000000000002E-6</v>
      </c>
      <c r="AF101" s="452">
        <v>3.9229349999999998</v>
      </c>
      <c r="AG101" s="453">
        <v>0.20372499999999999</v>
      </c>
      <c r="AH101" s="453">
        <v>-1.3500000000000001E-3</v>
      </c>
      <c r="AI101" s="455">
        <v>7.9999999999999996E-6</v>
      </c>
      <c r="AJ101" s="452">
        <v>3.3601869999999998</v>
      </c>
      <c r="AK101" s="453">
        <v>0.29524899999999998</v>
      </c>
      <c r="AL101" s="453">
        <v>-3.209E-3</v>
      </c>
      <c r="AM101" s="455">
        <v>2.4000000000000001E-5</v>
      </c>
    </row>
    <row r="102" spans="1:39" ht="13.5" customHeight="1">
      <c r="A102" s="52"/>
      <c r="B102" s="294">
        <v>2085</v>
      </c>
      <c r="D102" s="446">
        <v>0.28228999999999999</v>
      </c>
      <c r="E102" s="447">
        <v>5.9990000000000002E-2</v>
      </c>
      <c r="F102" s="447">
        <v>-6.8000000000000005E-4</v>
      </c>
      <c r="G102" s="448">
        <v>5.0000000000000004E-6</v>
      </c>
      <c r="H102" s="449">
        <v>0.32275999999999999</v>
      </c>
      <c r="I102" s="450">
        <v>4.6280000000000002E-2</v>
      </c>
      <c r="J102" s="450">
        <v>-4.4999999999999999E-4</v>
      </c>
      <c r="K102" s="448">
        <v>3.9999999999999998E-6</v>
      </c>
      <c r="L102" s="449"/>
      <c r="M102" s="450">
        <v>0.15062</v>
      </c>
      <c r="N102" s="294"/>
      <c r="O102" s="451"/>
      <c r="P102" s="452">
        <v>0.204066</v>
      </c>
      <c r="Q102" s="453">
        <v>0.114429</v>
      </c>
      <c r="R102" s="453">
        <v>-1.7960000000000001E-3</v>
      </c>
      <c r="S102" s="448">
        <v>1.2E-5</v>
      </c>
      <c r="T102" s="452">
        <v>0.31314999999999998</v>
      </c>
      <c r="U102" s="453">
        <v>7.6535000000000006E-2</v>
      </c>
      <c r="V102" s="453">
        <v>-1.1039999999999999E-3</v>
      </c>
      <c r="W102" s="448">
        <v>9.0000000000000002E-6</v>
      </c>
      <c r="X102" s="454"/>
      <c r="Y102" s="450">
        <v>0.22448000000000001</v>
      </c>
      <c r="Z102" s="448"/>
      <c r="AA102" s="448"/>
      <c r="AB102" s="452">
        <v>2.1532300000000002</v>
      </c>
      <c r="AC102" s="453">
        <v>0.114244</v>
      </c>
      <c r="AD102" s="453">
        <v>-8.2600000000000002E-4</v>
      </c>
      <c r="AE102" s="448">
        <v>9.0000000000000002E-6</v>
      </c>
      <c r="AF102" s="452">
        <v>3.9229349999999998</v>
      </c>
      <c r="AG102" s="453">
        <v>0.20372499999999999</v>
      </c>
      <c r="AH102" s="453">
        <v>-1.3500000000000001E-3</v>
      </c>
      <c r="AI102" s="455">
        <v>7.9999999999999996E-6</v>
      </c>
      <c r="AJ102" s="452">
        <v>3.3601869999999998</v>
      </c>
      <c r="AK102" s="453">
        <v>0.29524899999999998</v>
      </c>
      <c r="AL102" s="453">
        <v>-3.209E-3</v>
      </c>
      <c r="AM102" s="455">
        <v>2.4000000000000001E-5</v>
      </c>
    </row>
    <row r="103" spans="1:39" ht="13.5" customHeight="1">
      <c r="A103" s="52"/>
      <c r="B103" s="294">
        <v>2086</v>
      </c>
      <c r="D103" s="446">
        <v>0.28228999999999999</v>
      </c>
      <c r="E103" s="447">
        <v>5.9990000000000002E-2</v>
      </c>
      <c r="F103" s="447">
        <v>-6.8000000000000005E-4</v>
      </c>
      <c r="G103" s="448">
        <v>5.0000000000000004E-6</v>
      </c>
      <c r="H103" s="449">
        <v>0.32275999999999999</v>
      </c>
      <c r="I103" s="450">
        <v>4.6280000000000002E-2</v>
      </c>
      <c r="J103" s="450">
        <v>-4.4999999999999999E-4</v>
      </c>
      <c r="K103" s="448">
        <v>3.9999999999999998E-6</v>
      </c>
      <c r="L103" s="449"/>
      <c r="M103" s="450">
        <v>0.15062</v>
      </c>
      <c r="N103" s="294"/>
      <c r="O103" s="451"/>
      <c r="P103" s="452">
        <v>0.204066</v>
      </c>
      <c r="Q103" s="453">
        <v>0.114429</v>
      </c>
      <c r="R103" s="453">
        <v>-1.7960000000000001E-3</v>
      </c>
      <c r="S103" s="448">
        <v>1.2E-5</v>
      </c>
      <c r="T103" s="452">
        <v>0.31314999999999998</v>
      </c>
      <c r="U103" s="453">
        <v>7.6535000000000006E-2</v>
      </c>
      <c r="V103" s="453">
        <v>-1.1039999999999999E-3</v>
      </c>
      <c r="W103" s="448">
        <v>9.0000000000000002E-6</v>
      </c>
      <c r="X103" s="454"/>
      <c r="Y103" s="450">
        <v>0.22448000000000001</v>
      </c>
      <c r="Z103" s="448"/>
      <c r="AA103" s="448"/>
      <c r="AB103" s="452">
        <v>2.1532300000000002</v>
      </c>
      <c r="AC103" s="453">
        <v>0.114244</v>
      </c>
      <c r="AD103" s="453">
        <v>-8.2600000000000002E-4</v>
      </c>
      <c r="AE103" s="448">
        <v>9.0000000000000002E-6</v>
      </c>
      <c r="AF103" s="452">
        <v>3.9229349999999998</v>
      </c>
      <c r="AG103" s="453">
        <v>0.20372499999999999</v>
      </c>
      <c r="AH103" s="453">
        <v>-1.3500000000000001E-3</v>
      </c>
      <c r="AI103" s="455">
        <v>7.9999999999999996E-6</v>
      </c>
      <c r="AJ103" s="452">
        <v>3.3601869999999998</v>
      </c>
      <c r="AK103" s="453">
        <v>0.29524899999999998</v>
      </c>
      <c r="AL103" s="453">
        <v>-3.209E-3</v>
      </c>
      <c r="AM103" s="455">
        <v>2.4000000000000001E-5</v>
      </c>
    </row>
    <row r="104" spans="1:39" ht="13.5" customHeight="1">
      <c r="A104" s="52"/>
      <c r="B104" s="294">
        <v>2087</v>
      </c>
      <c r="D104" s="446">
        <v>0.28228999999999999</v>
      </c>
      <c r="E104" s="447">
        <v>5.9990000000000002E-2</v>
      </c>
      <c r="F104" s="447">
        <v>-6.8000000000000005E-4</v>
      </c>
      <c r="G104" s="448">
        <v>5.0000000000000004E-6</v>
      </c>
      <c r="H104" s="449">
        <v>0.32275999999999999</v>
      </c>
      <c r="I104" s="450">
        <v>4.6280000000000002E-2</v>
      </c>
      <c r="J104" s="450">
        <v>-4.4999999999999999E-4</v>
      </c>
      <c r="K104" s="448">
        <v>3.9999999999999998E-6</v>
      </c>
      <c r="L104" s="449"/>
      <c r="M104" s="450">
        <v>0.15062</v>
      </c>
      <c r="N104" s="294"/>
      <c r="O104" s="451"/>
      <c r="P104" s="452">
        <v>0.204066</v>
      </c>
      <c r="Q104" s="453">
        <v>0.114429</v>
      </c>
      <c r="R104" s="453">
        <v>-1.7960000000000001E-3</v>
      </c>
      <c r="S104" s="448">
        <v>1.2E-5</v>
      </c>
      <c r="T104" s="452">
        <v>0.31314999999999998</v>
      </c>
      <c r="U104" s="453">
        <v>7.6535000000000006E-2</v>
      </c>
      <c r="V104" s="453">
        <v>-1.1039999999999999E-3</v>
      </c>
      <c r="W104" s="448">
        <v>9.0000000000000002E-6</v>
      </c>
      <c r="X104" s="454"/>
      <c r="Y104" s="450">
        <v>0.22448000000000001</v>
      </c>
      <c r="Z104" s="448"/>
      <c r="AA104" s="448"/>
      <c r="AB104" s="452">
        <v>2.1532300000000002</v>
      </c>
      <c r="AC104" s="453">
        <v>0.114244</v>
      </c>
      <c r="AD104" s="453">
        <v>-8.2600000000000002E-4</v>
      </c>
      <c r="AE104" s="448">
        <v>9.0000000000000002E-6</v>
      </c>
      <c r="AF104" s="452">
        <v>3.9229349999999998</v>
      </c>
      <c r="AG104" s="453">
        <v>0.20372499999999999</v>
      </c>
      <c r="AH104" s="453">
        <v>-1.3500000000000001E-3</v>
      </c>
      <c r="AI104" s="455">
        <v>7.9999999999999996E-6</v>
      </c>
      <c r="AJ104" s="452">
        <v>3.3601869999999998</v>
      </c>
      <c r="AK104" s="453">
        <v>0.29524899999999998</v>
      </c>
      <c r="AL104" s="453">
        <v>-3.209E-3</v>
      </c>
      <c r="AM104" s="455">
        <v>2.4000000000000001E-5</v>
      </c>
    </row>
    <row r="105" spans="1:39" ht="13.5" customHeight="1">
      <c r="A105" s="52"/>
      <c r="B105" s="294">
        <v>2088</v>
      </c>
      <c r="D105" s="446">
        <v>0.28228999999999999</v>
      </c>
      <c r="E105" s="447">
        <v>5.9990000000000002E-2</v>
      </c>
      <c r="F105" s="447">
        <v>-6.8000000000000005E-4</v>
      </c>
      <c r="G105" s="448">
        <v>5.0000000000000004E-6</v>
      </c>
      <c r="H105" s="449">
        <v>0.32275999999999999</v>
      </c>
      <c r="I105" s="450">
        <v>4.6280000000000002E-2</v>
      </c>
      <c r="J105" s="450">
        <v>-4.4999999999999999E-4</v>
      </c>
      <c r="K105" s="448">
        <v>3.9999999999999998E-6</v>
      </c>
      <c r="L105" s="449"/>
      <c r="M105" s="450">
        <v>0.15062</v>
      </c>
      <c r="N105" s="294"/>
      <c r="O105" s="451"/>
      <c r="P105" s="452">
        <v>0.204066</v>
      </c>
      <c r="Q105" s="453">
        <v>0.114429</v>
      </c>
      <c r="R105" s="453">
        <v>-1.7960000000000001E-3</v>
      </c>
      <c r="S105" s="448">
        <v>1.2E-5</v>
      </c>
      <c r="T105" s="452">
        <v>0.31314999999999998</v>
      </c>
      <c r="U105" s="453">
        <v>7.6535000000000006E-2</v>
      </c>
      <c r="V105" s="453">
        <v>-1.1039999999999999E-3</v>
      </c>
      <c r="W105" s="448">
        <v>9.0000000000000002E-6</v>
      </c>
      <c r="X105" s="454"/>
      <c r="Y105" s="450">
        <v>0.22448000000000001</v>
      </c>
      <c r="Z105" s="448"/>
      <c r="AA105" s="448"/>
      <c r="AB105" s="452">
        <v>2.1532300000000002</v>
      </c>
      <c r="AC105" s="453">
        <v>0.114244</v>
      </c>
      <c r="AD105" s="453">
        <v>-8.2600000000000002E-4</v>
      </c>
      <c r="AE105" s="448">
        <v>9.0000000000000002E-6</v>
      </c>
      <c r="AF105" s="452">
        <v>3.9229349999999998</v>
      </c>
      <c r="AG105" s="453">
        <v>0.20372499999999999</v>
      </c>
      <c r="AH105" s="453">
        <v>-1.3500000000000001E-3</v>
      </c>
      <c r="AI105" s="455">
        <v>7.9999999999999996E-6</v>
      </c>
      <c r="AJ105" s="452">
        <v>3.3601869999999998</v>
      </c>
      <c r="AK105" s="453">
        <v>0.29524899999999998</v>
      </c>
      <c r="AL105" s="453">
        <v>-3.209E-3</v>
      </c>
      <c r="AM105" s="455">
        <v>2.4000000000000001E-5</v>
      </c>
    </row>
    <row r="106" spans="1:39" ht="13.5" customHeight="1">
      <c r="A106" s="52"/>
      <c r="B106" s="294">
        <v>2089</v>
      </c>
      <c r="D106" s="446">
        <v>0.28228999999999999</v>
      </c>
      <c r="E106" s="447">
        <v>5.9990000000000002E-2</v>
      </c>
      <c r="F106" s="447">
        <v>-6.8000000000000005E-4</v>
      </c>
      <c r="G106" s="448">
        <v>5.0000000000000004E-6</v>
      </c>
      <c r="H106" s="449">
        <v>0.32275999999999999</v>
      </c>
      <c r="I106" s="450">
        <v>4.6280000000000002E-2</v>
      </c>
      <c r="J106" s="450">
        <v>-4.4999999999999999E-4</v>
      </c>
      <c r="K106" s="448">
        <v>3.9999999999999998E-6</v>
      </c>
      <c r="L106" s="449"/>
      <c r="M106" s="450">
        <v>0.15062</v>
      </c>
      <c r="N106" s="294"/>
      <c r="O106" s="451"/>
      <c r="P106" s="452">
        <v>0.204066</v>
      </c>
      <c r="Q106" s="453">
        <v>0.114429</v>
      </c>
      <c r="R106" s="453">
        <v>-1.7960000000000001E-3</v>
      </c>
      <c r="S106" s="448">
        <v>1.2E-5</v>
      </c>
      <c r="T106" s="452">
        <v>0.31314999999999998</v>
      </c>
      <c r="U106" s="453">
        <v>7.6535000000000006E-2</v>
      </c>
      <c r="V106" s="453">
        <v>-1.1039999999999999E-3</v>
      </c>
      <c r="W106" s="448">
        <v>9.0000000000000002E-6</v>
      </c>
      <c r="X106" s="454"/>
      <c r="Y106" s="450">
        <v>0.22448000000000001</v>
      </c>
      <c r="Z106" s="448"/>
      <c r="AA106" s="448"/>
      <c r="AB106" s="452">
        <v>2.1532300000000002</v>
      </c>
      <c r="AC106" s="453">
        <v>0.114244</v>
      </c>
      <c r="AD106" s="453">
        <v>-8.2600000000000002E-4</v>
      </c>
      <c r="AE106" s="448">
        <v>9.0000000000000002E-6</v>
      </c>
      <c r="AF106" s="452">
        <v>3.9229349999999998</v>
      </c>
      <c r="AG106" s="453">
        <v>0.20372499999999999</v>
      </c>
      <c r="AH106" s="453">
        <v>-1.3500000000000001E-3</v>
      </c>
      <c r="AI106" s="455">
        <v>7.9999999999999996E-6</v>
      </c>
      <c r="AJ106" s="452">
        <v>3.3601869999999998</v>
      </c>
      <c r="AK106" s="453">
        <v>0.29524899999999998</v>
      </c>
      <c r="AL106" s="453">
        <v>-3.209E-3</v>
      </c>
      <c r="AM106" s="455">
        <v>2.4000000000000001E-5</v>
      </c>
    </row>
    <row r="107" spans="1:39" ht="13.5" customHeight="1" thickBot="1">
      <c r="A107" s="54"/>
      <c r="B107" s="323"/>
      <c r="C107" s="323"/>
      <c r="D107" s="54"/>
      <c r="E107" s="295"/>
      <c r="F107" s="295"/>
      <c r="G107" s="323"/>
      <c r="H107" s="54"/>
      <c r="I107" s="323"/>
      <c r="J107" s="295"/>
      <c r="K107" s="56"/>
      <c r="L107" s="54"/>
      <c r="M107" s="323"/>
      <c r="N107" s="323"/>
      <c r="O107" s="56"/>
      <c r="P107" s="54"/>
      <c r="Q107" s="295"/>
      <c r="R107" s="295"/>
      <c r="S107" s="56"/>
      <c r="T107" s="54"/>
      <c r="U107" s="323"/>
      <c r="V107" s="323"/>
      <c r="W107" s="323"/>
      <c r="X107" s="54"/>
      <c r="Y107" s="323" t="s">
        <v>685</v>
      </c>
      <c r="Z107" s="323"/>
      <c r="AA107" s="323"/>
      <c r="AB107" s="54"/>
      <c r="AC107" s="323"/>
      <c r="AD107" s="323"/>
      <c r="AE107" s="56"/>
      <c r="AF107" s="54"/>
      <c r="AG107" s="323"/>
      <c r="AH107" s="323"/>
      <c r="AI107" s="56"/>
      <c r="AJ107" s="54"/>
      <c r="AK107" s="323"/>
      <c r="AL107" s="323"/>
      <c r="AM107" s="56"/>
    </row>
    <row r="108" spans="1:39" ht="13.5" customHeight="1" thickTop="1" thickBot="1"/>
    <row r="109" spans="1:39" ht="13.5" customHeight="1" thickBot="1">
      <c r="D109" s="418" t="s">
        <v>479</v>
      </c>
    </row>
  </sheetData>
  <mergeCells count="12">
    <mergeCell ref="AJ1:AM1"/>
    <mergeCell ref="E6:S6"/>
    <mergeCell ref="A8:B8"/>
    <mergeCell ref="A10:B10"/>
    <mergeCell ref="A11:B11"/>
    <mergeCell ref="A7:B7"/>
    <mergeCell ref="X24:AA24"/>
    <mergeCell ref="D1:O1"/>
    <mergeCell ref="P1:W1"/>
    <mergeCell ref="AB1:AI2"/>
    <mergeCell ref="A12:B12"/>
    <mergeCell ref="T24:W24"/>
  </mergeCells>
  <hyperlinks>
    <hyperlink ref="D109" location="A1.3.11!D26" tooltip="Top of this page" display="Top" xr:uid="{00000000-0004-0000-1700-000000000000}"/>
    <hyperlink ref="B18" location="A1.3.11!P1" tooltip="LGVs" display="LGVs" xr:uid="{00000000-0004-0000-1700-000001000000}"/>
    <hyperlink ref="B19" location="A1.3.11!AF1" tooltip="PSVs" display="PSVs" xr:uid="{00000000-0004-0000-1700-000002000000}"/>
    <hyperlink ref="A19" location="A1.3.11!X1" tooltip="OGVs" display="OGVs" xr:uid="{00000000-0004-0000-1700-000003000000}"/>
    <hyperlink ref="A11" location="Contents!A1" display="Contents" xr:uid="{00000000-0004-0000-1700-000004000000}"/>
    <hyperlink ref="A11:B11" r:id="rId1" display="WebTAG Unit 3.5.6" xr:uid="{00000000-0004-0000-1700-000005000000}"/>
    <hyperlink ref="A18" location="A1.3.11!D1" tooltip="Cars" display="Cars" xr:uid="{00000000-0004-0000-1700-000006000000}"/>
    <hyperlink ref="A10" location="Contents!A1" display="Contents" xr:uid="{00000000-0004-0000-1700-000007000000}"/>
    <hyperlink ref="A10:B10" location="Contents!A1" tooltip="Contents page" display="Contents" xr:uid="{00000000-0004-0000-1700-000008000000}"/>
    <hyperlink ref="A12:B12" r:id="rId2" tooltip="Unit A1.3 User &amp; Provider Impacts" display="WebTAG Unit A 1.3" xr:uid="{00000000-0004-0000-1700-000009000000}"/>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6"/>
  </sheetPr>
  <dimension ref="A1:BT108"/>
  <sheetViews>
    <sheetView zoomScale="70" zoomScaleNormal="70" workbookViewId="0">
      <selection activeCell="D27" sqref="D27:BS106"/>
    </sheetView>
  </sheetViews>
  <sheetFormatPr defaultColWidth="12.81640625" defaultRowHeight="13.5" customHeight="1"/>
  <cols>
    <col min="1" max="16384" width="12.81640625" style="5"/>
  </cols>
  <sheetData>
    <row r="1" spans="1:72" ht="55" customHeight="1">
      <c r="A1" s="4"/>
      <c r="C1" s="4"/>
      <c r="D1" s="1201"/>
      <c r="E1" s="1204"/>
      <c r="F1" s="1204"/>
      <c r="G1" s="1204"/>
      <c r="H1" s="1204"/>
      <c r="I1" s="1204"/>
      <c r="J1" s="1204"/>
      <c r="K1" s="1204"/>
      <c r="L1" s="1204"/>
      <c r="M1" s="1204"/>
      <c r="N1" s="1204"/>
      <c r="O1" s="1204"/>
      <c r="P1" s="1204"/>
      <c r="Q1" s="1204"/>
      <c r="R1" s="1204"/>
      <c r="S1" s="1204"/>
      <c r="T1" s="1201"/>
      <c r="U1" s="1201"/>
      <c r="V1" s="1201"/>
      <c r="W1" s="1201"/>
      <c r="X1" s="1201"/>
      <c r="Y1" s="1201"/>
      <c r="Z1" s="1201"/>
      <c r="AA1" s="1201"/>
      <c r="AB1" s="1201"/>
      <c r="AC1" s="1201"/>
      <c r="AD1" s="1201"/>
      <c r="AE1" s="1201"/>
      <c r="AF1" s="1201"/>
      <c r="AG1" s="1201"/>
      <c r="AH1" s="1201"/>
      <c r="AI1" s="1201"/>
      <c r="AJ1" s="1201"/>
      <c r="AK1" s="1201"/>
      <c r="AL1" s="1201"/>
      <c r="AM1" s="1201"/>
      <c r="AN1" s="1201"/>
      <c r="AO1" s="1201"/>
      <c r="AP1" s="1201"/>
      <c r="AQ1" s="1201"/>
      <c r="AR1" s="1201"/>
      <c r="AS1" s="1201"/>
      <c r="AT1" s="1201"/>
      <c r="AU1" s="1201"/>
      <c r="AV1" s="1201"/>
      <c r="AW1" s="1201"/>
      <c r="AX1" s="1201"/>
      <c r="AY1" s="1201"/>
      <c r="BH1" s="1201"/>
      <c r="BI1" s="1201"/>
      <c r="BJ1" s="1201"/>
      <c r="BK1" s="1201"/>
      <c r="BL1" s="1201"/>
      <c r="BM1" s="1201"/>
      <c r="BN1" s="1201"/>
      <c r="BO1" s="1201"/>
      <c r="BP1" s="1201"/>
      <c r="BQ1" s="1201"/>
      <c r="BR1" s="1201"/>
      <c r="BS1" s="1201"/>
    </row>
    <row r="2" spans="1:72" s="7" customFormat="1" ht="5.15" customHeight="1">
      <c r="O2" s="140"/>
      <c r="P2" s="140"/>
      <c r="Q2" s="140"/>
      <c r="R2" s="10"/>
      <c r="AE2" s="140"/>
      <c r="AF2" s="140"/>
      <c r="AG2" s="140"/>
      <c r="AH2" s="10"/>
      <c r="AV2" s="140"/>
      <c r="AW2" s="140"/>
      <c r="AX2" s="140"/>
      <c r="AY2" s="10"/>
      <c r="BO2" s="140"/>
      <c r="BP2" s="140"/>
      <c r="BQ2" s="140"/>
      <c r="BR2" s="10"/>
      <c r="BT2" s="11"/>
    </row>
    <row r="3" spans="1:72" s="7" customFormat="1" ht="20.149999999999999" customHeight="1">
      <c r="A3" s="7" t="s">
        <v>686</v>
      </c>
      <c r="B3" s="140"/>
      <c r="C3" s="140"/>
      <c r="D3" s="10"/>
      <c r="F3" s="11"/>
      <c r="H3" s="9"/>
      <c r="I3" s="140"/>
      <c r="R3" s="10"/>
      <c r="AH3" s="10"/>
      <c r="AY3" s="10"/>
      <c r="BR3" s="10"/>
    </row>
    <row r="4" spans="1:72" ht="20.149999999999999" customHeight="1" thickBot="1">
      <c r="A4" s="12" t="s">
        <v>687</v>
      </c>
      <c r="B4" s="13"/>
      <c r="C4" s="13"/>
      <c r="D4" s="15"/>
      <c r="E4" s="15"/>
      <c r="F4" s="15"/>
      <c r="G4" s="15"/>
      <c r="H4" s="260"/>
      <c r="I4" s="13"/>
      <c r="J4" s="15"/>
      <c r="K4" s="15"/>
      <c r="L4" s="15"/>
      <c r="M4" s="15"/>
      <c r="N4" s="15"/>
      <c r="O4" s="15"/>
      <c r="P4" s="15"/>
      <c r="Q4" s="15"/>
      <c r="R4" s="62"/>
      <c r="S4" s="15"/>
      <c r="T4" s="15"/>
      <c r="U4" s="15"/>
      <c r="V4" s="15"/>
      <c r="W4" s="15"/>
      <c r="X4" s="15"/>
      <c r="Y4" s="15"/>
      <c r="Z4" s="15"/>
      <c r="AA4" s="15"/>
      <c r="AB4" s="15"/>
      <c r="AC4" s="15"/>
      <c r="AD4" s="15"/>
      <c r="AE4" s="15"/>
      <c r="AF4" s="15"/>
      <c r="AG4" s="15"/>
      <c r="AH4" s="62"/>
      <c r="AI4" s="15"/>
      <c r="AJ4" s="15"/>
      <c r="AK4" s="15"/>
      <c r="AL4" s="15"/>
      <c r="AM4" s="15"/>
      <c r="AN4" s="15"/>
      <c r="AO4" s="15"/>
      <c r="AP4" s="15"/>
      <c r="AQ4" s="15"/>
      <c r="AR4" s="15"/>
      <c r="AS4" s="15"/>
      <c r="AT4" s="15"/>
      <c r="AU4" s="15"/>
      <c r="AV4" s="15"/>
      <c r="AW4" s="15"/>
      <c r="AX4" s="15"/>
      <c r="AY4" s="62"/>
      <c r="AZ4" s="15"/>
      <c r="BA4" s="15"/>
      <c r="BB4" s="15"/>
      <c r="BC4" s="15"/>
      <c r="BD4" s="15"/>
      <c r="BE4" s="15"/>
      <c r="BF4" s="15"/>
      <c r="BG4" s="15"/>
      <c r="BH4" s="15"/>
      <c r="BI4" s="15"/>
      <c r="BJ4" s="15"/>
      <c r="BK4" s="15"/>
      <c r="BL4" s="15"/>
      <c r="BM4" s="15"/>
      <c r="BN4" s="15"/>
      <c r="BO4" s="15"/>
      <c r="BP4" s="15"/>
      <c r="BQ4" s="15"/>
      <c r="BR4" s="62"/>
      <c r="BS4" s="15"/>
    </row>
    <row r="5" spans="1:72" ht="10" customHeight="1" thickTop="1" thickBot="1">
      <c r="A5" s="40"/>
      <c r="B5" s="18"/>
      <c r="C5" s="18"/>
      <c r="E5" s="19"/>
      <c r="I5" s="18"/>
      <c r="O5" s="55"/>
      <c r="P5" s="55"/>
      <c r="Q5" s="55"/>
      <c r="R5" s="143"/>
      <c r="AH5" s="976"/>
      <c r="AY5" s="976"/>
      <c r="BR5" s="31"/>
    </row>
    <row r="6" spans="1:72" ht="13.5" customHeight="1" thickTop="1">
      <c r="A6" s="20" t="s">
        <v>430</v>
      </c>
      <c r="B6" s="20"/>
      <c r="D6" s="22"/>
      <c r="E6" s="1214" t="s">
        <v>142</v>
      </c>
      <c r="F6" s="1168"/>
      <c r="G6" s="1168"/>
      <c r="H6" s="1168"/>
      <c r="I6" s="1168"/>
      <c r="J6" s="1168"/>
      <c r="K6" s="1168"/>
      <c r="L6" s="1168"/>
      <c r="M6" s="1168"/>
      <c r="N6" s="1168"/>
      <c r="O6" s="1216"/>
      <c r="P6" s="1216"/>
      <c r="Q6" s="1216"/>
      <c r="R6" s="1216"/>
      <c r="S6" s="1217"/>
    </row>
    <row r="7" spans="1:72" ht="13.5" customHeight="1">
      <c r="A7" s="1183" t="s">
        <v>584</v>
      </c>
      <c r="B7" s="1184"/>
      <c r="D7" s="22"/>
      <c r="E7" s="261" t="s">
        <v>656</v>
      </c>
      <c r="F7" s="4"/>
      <c r="S7" s="22"/>
    </row>
    <row r="8" spans="1:72" ht="13.5" customHeight="1">
      <c r="A8" s="1171">
        <v>44682</v>
      </c>
      <c r="B8" s="1172"/>
      <c r="C8" s="18"/>
      <c r="D8" s="34"/>
      <c r="E8" s="5" t="s">
        <v>688</v>
      </c>
      <c r="F8" s="24"/>
      <c r="I8" s="5" t="s">
        <v>658</v>
      </c>
      <c r="S8" s="22"/>
    </row>
    <row r="9" spans="1:72" ht="13.5" customHeight="1" thickBot="1">
      <c r="A9" s="20" t="s">
        <v>435</v>
      </c>
      <c r="B9" s="25"/>
      <c r="D9" s="34"/>
      <c r="E9" s="5" t="s">
        <v>659</v>
      </c>
      <c r="S9" s="22"/>
    </row>
    <row r="10" spans="1:72" ht="13.5" customHeight="1" thickBot="1">
      <c r="A10" s="1176" t="s">
        <v>438</v>
      </c>
      <c r="B10" s="1185"/>
      <c r="D10" s="34"/>
      <c r="E10" s="5" t="s">
        <v>689</v>
      </c>
      <c r="S10" s="22"/>
    </row>
    <row r="11" spans="1:72" ht="13.5" customHeight="1" thickBot="1">
      <c r="A11" s="1176" t="s">
        <v>440</v>
      </c>
      <c r="B11" s="1186"/>
      <c r="D11" s="34"/>
      <c r="E11" s="5" t="s">
        <v>661</v>
      </c>
      <c r="F11" s="26"/>
      <c r="G11" s="26"/>
      <c r="H11" s="26"/>
      <c r="I11" s="26"/>
      <c r="J11" s="26"/>
      <c r="K11" s="26"/>
      <c r="L11" s="26"/>
      <c r="M11" s="26"/>
      <c r="N11" s="26"/>
      <c r="O11" s="26"/>
      <c r="P11" s="26"/>
      <c r="Q11" s="26"/>
      <c r="R11" s="26"/>
      <c r="S11" s="27"/>
    </row>
    <row r="12" spans="1:72" ht="13.5" customHeight="1" thickBot="1">
      <c r="A12" s="1176" t="s">
        <v>441</v>
      </c>
      <c r="B12" s="1186"/>
      <c r="D12" s="34"/>
      <c r="E12" s="5" t="s">
        <v>662</v>
      </c>
      <c r="S12" s="22"/>
    </row>
    <row r="13" spans="1:72" ht="13.5" customHeight="1">
      <c r="A13" s="20" t="s">
        <v>444</v>
      </c>
      <c r="B13" s="28"/>
      <c r="C13" s="18"/>
      <c r="D13" s="34"/>
      <c r="E13" s="262"/>
      <c r="S13" s="22"/>
    </row>
    <row r="14" spans="1:72" ht="13.5" customHeight="1">
      <c r="A14" s="30" t="s">
        <v>446</v>
      </c>
      <c r="B14" s="64">
        <v>2010</v>
      </c>
      <c r="C14" s="18"/>
      <c r="D14" s="34"/>
      <c r="E14" s="5" t="s">
        <v>690</v>
      </c>
      <c r="S14" s="22"/>
    </row>
    <row r="15" spans="1:72" ht="13.5" customHeight="1">
      <c r="A15" s="5" t="s">
        <v>589</v>
      </c>
      <c r="B15" s="147">
        <v>2010</v>
      </c>
      <c r="C15" s="18"/>
      <c r="D15" s="34"/>
      <c r="E15" s="5" t="s">
        <v>691</v>
      </c>
      <c r="S15" s="22"/>
    </row>
    <row r="16" spans="1:72" ht="13.5" customHeight="1">
      <c r="B16" s="29"/>
      <c r="C16" s="18"/>
      <c r="D16" s="34"/>
      <c r="E16" s="5" t="s">
        <v>692</v>
      </c>
      <c r="S16" s="22"/>
    </row>
    <row r="17" spans="1:71" ht="13.5" customHeight="1" thickBot="1">
      <c r="A17" s="20" t="s">
        <v>451</v>
      </c>
      <c r="B17" s="25"/>
      <c r="C17" s="18"/>
      <c r="D17" s="34"/>
      <c r="E17" s="5" t="s">
        <v>693</v>
      </c>
      <c r="S17" s="22"/>
    </row>
    <row r="18" spans="1:71" ht="13.5" customHeight="1" thickBot="1">
      <c r="A18" s="204" t="s">
        <v>87</v>
      </c>
      <c r="B18" s="204" t="s">
        <v>89</v>
      </c>
      <c r="C18" s="18"/>
      <c r="D18" s="34"/>
      <c r="E18" s="5" t="s">
        <v>694</v>
      </c>
      <c r="S18" s="22"/>
    </row>
    <row r="19" spans="1:71" ht="13.5" customHeight="1" thickBot="1">
      <c r="A19" s="1068" t="s">
        <v>695</v>
      </c>
      <c r="B19" s="204" t="s">
        <v>93</v>
      </c>
      <c r="C19" s="18"/>
      <c r="D19" s="34"/>
      <c r="E19" s="5" t="s">
        <v>696</v>
      </c>
      <c r="S19" s="22"/>
    </row>
    <row r="20" spans="1:71" ht="13.5" customHeight="1" thickBot="1">
      <c r="A20" s="263"/>
      <c r="B20" s="1069"/>
      <c r="C20" s="18"/>
      <c r="D20" s="31"/>
      <c r="E20" s="35" t="s">
        <v>697</v>
      </c>
      <c r="F20" s="36"/>
      <c r="G20" s="36"/>
      <c r="H20" s="36"/>
      <c r="I20" s="36"/>
      <c r="J20" s="36"/>
      <c r="K20" s="36"/>
      <c r="L20" s="36"/>
      <c r="M20" s="36"/>
      <c r="N20" s="36"/>
      <c r="O20" s="36"/>
      <c r="P20" s="36"/>
      <c r="Q20" s="36"/>
      <c r="R20" s="36"/>
      <c r="S20" s="37"/>
      <c r="AH20" s="976"/>
      <c r="AY20" s="976"/>
      <c r="BR20" s="31"/>
    </row>
    <row r="21" spans="1:71" ht="13.5" customHeight="1" thickTop="1">
      <c r="A21" s="263"/>
      <c r="B21" s="1069"/>
      <c r="C21" s="18"/>
      <c r="D21" s="31"/>
      <c r="F21" s="4"/>
      <c r="G21" s="4"/>
      <c r="H21" s="4"/>
      <c r="I21" s="4"/>
      <c r="J21" s="4"/>
      <c r="K21" s="4"/>
      <c r="L21" s="4"/>
      <c r="M21" s="4"/>
      <c r="N21" s="4"/>
      <c r="O21" s="4"/>
      <c r="P21" s="4"/>
      <c r="Q21" s="4"/>
      <c r="R21" s="4"/>
      <c r="S21" s="4"/>
      <c r="AH21" s="976"/>
      <c r="AY21" s="976"/>
      <c r="BR21" s="31"/>
    </row>
    <row r="22" spans="1:71" s="348" customFormat="1" ht="13.5" customHeight="1" thickBot="1">
      <c r="A22" s="984"/>
      <c r="B22" s="984"/>
      <c r="D22" s="985">
        <v>3</v>
      </c>
      <c r="E22" s="985">
        <v>4</v>
      </c>
      <c r="F22" s="985">
        <v>5</v>
      </c>
      <c r="G22" s="985">
        <v>6</v>
      </c>
      <c r="H22" s="985">
        <v>7</v>
      </c>
      <c r="I22" s="985">
        <v>8</v>
      </c>
      <c r="J22" s="985">
        <v>9</v>
      </c>
      <c r="K22" s="985">
        <v>10</v>
      </c>
      <c r="L22" s="985">
        <v>11</v>
      </c>
      <c r="M22" s="985">
        <v>12</v>
      </c>
      <c r="N22" s="985">
        <v>13</v>
      </c>
      <c r="O22" s="985">
        <v>14</v>
      </c>
      <c r="R22" s="986"/>
      <c r="T22" s="348">
        <v>15</v>
      </c>
      <c r="U22" s="348">
        <v>16</v>
      </c>
      <c r="V22" s="348">
        <v>17</v>
      </c>
      <c r="W22" s="348">
        <v>18</v>
      </c>
      <c r="X22" s="348">
        <v>19</v>
      </c>
      <c r="Y22" s="348">
        <v>20</v>
      </c>
      <c r="Z22" s="348">
        <v>21</v>
      </c>
      <c r="AA22" s="348">
        <v>22</v>
      </c>
      <c r="AB22" s="348">
        <v>23</v>
      </c>
      <c r="AC22" s="348">
        <v>24</v>
      </c>
      <c r="AD22" s="348">
        <v>25</v>
      </c>
      <c r="AE22" s="348">
        <v>26</v>
      </c>
      <c r="AH22" s="986"/>
      <c r="AJ22" s="348">
        <v>27</v>
      </c>
      <c r="AK22" s="348">
        <v>28</v>
      </c>
      <c r="AL22" s="348">
        <v>29</v>
      </c>
      <c r="AM22" s="348">
        <v>30</v>
      </c>
      <c r="AV22" s="348">
        <v>31</v>
      </c>
      <c r="AW22" s="348">
        <v>32</v>
      </c>
      <c r="AX22" s="348">
        <v>33</v>
      </c>
      <c r="AY22" s="348">
        <v>34</v>
      </c>
      <c r="BH22" s="348">
        <v>35</v>
      </c>
      <c r="BI22" s="348">
        <v>36</v>
      </c>
      <c r="BJ22" s="348">
        <v>37</v>
      </c>
      <c r="BK22" s="348">
        <v>38</v>
      </c>
      <c r="BR22" s="986"/>
    </row>
    <row r="23" spans="1:71" ht="13.5" customHeight="1" thickTop="1" thickBot="1">
      <c r="A23" s="211" t="s">
        <v>698</v>
      </c>
      <c r="B23" s="264"/>
      <c r="C23" s="43"/>
      <c r="D23" s="211" t="str">
        <f>CONCATENATE("Average Vehicle Fuel / Energy Cost Formulae Parameter Values (p, ",$B$14," prices): Work (Excluding VAT)")</f>
        <v>Average Vehicle Fuel / Energy Cost Formulae Parameter Values (p, 2010 prices): Work (Excluding VAT)</v>
      </c>
      <c r="E23" s="211"/>
      <c r="F23" s="211"/>
      <c r="G23" s="211"/>
      <c r="H23" s="211"/>
      <c r="I23" s="65"/>
      <c r="J23" s="265"/>
      <c r="K23" s="265"/>
      <c r="L23" s="266"/>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212"/>
    </row>
    <row r="24" spans="1:71" s="4" customFormat="1" ht="13.5" customHeight="1" thickTop="1" thickBot="1">
      <c r="A24" s="267"/>
      <c r="B24" s="268"/>
      <c r="C24" s="269"/>
      <c r="D24" s="270" t="s">
        <v>87</v>
      </c>
      <c r="E24" s="271"/>
      <c r="F24" s="271"/>
      <c r="G24" s="271"/>
      <c r="H24" s="271"/>
      <c r="I24" s="271"/>
      <c r="J24" s="271"/>
      <c r="K24" s="271"/>
      <c r="L24" s="271"/>
      <c r="M24" s="271"/>
      <c r="N24" s="271"/>
      <c r="O24" s="271"/>
      <c r="P24" s="271"/>
      <c r="Q24" s="271"/>
      <c r="R24" s="271"/>
      <c r="S24" s="272"/>
      <c r="T24" s="45" t="s">
        <v>89</v>
      </c>
      <c r="U24" s="271"/>
      <c r="V24" s="271"/>
      <c r="W24" s="271"/>
      <c r="X24" s="271"/>
      <c r="Y24" s="271"/>
      <c r="Z24" s="271"/>
      <c r="AA24" s="271"/>
      <c r="AB24" s="271"/>
      <c r="AC24" s="271"/>
      <c r="AD24" s="271"/>
      <c r="AE24" s="271"/>
      <c r="AF24" s="271"/>
      <c r="AG24" s="271"/>
      <c r="AH24" s="271"/>
      <c r="AI24" s="272"/>
      <c r="AJ24" s="45" t="s">
        <v>695</v>
      </c>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45" t="s">
        <v>93</v>
      </c>
      <c r="BI24" s="271"/>
      <c r="BJ24" s="271"/>
      <c r="BK24" s="271"/>
      <c r="BL24" s="271"/>
      <c r="BM24" s="271"/>
      <c r="BN24" s="271"/>
      <c r="BO24" s="271"/>
      <c r="BP24" s="271"/>
      <c r="BQ24" s="271"/>
      <c r="BR24" s="271"/>
      <c r="BS24" s="272"/>
    </row>
    <row r="25" spans="1:71" s="4" customFormat="1" ht="13.5" customHeight="1" thickTop="1" thickBot="1">
      <c r="A25" s="273"/>
      <c r="B25" s="274"/>
      <c r="C25" s="275"/>
      <c r="D25" s="217" t="s">
        <v>672</v>
      </c>
      <c r="E25" s="71"/>
      <c r="F25" s="71"/>
      <c r="G25" s="276"/>
      <c r="H25" s="270" t="s">
        <v>673</v>
      </c>
      <c r="I25" s="71"/>
      <c r="J25" s="71"/>
      <c r="K25" s="72"/>
      <c r="L25" s="270" t="s">
        <v>674</v>
      </c>
      <c r="M25" s="71"/>
      <c r="N25" s="71"/>
      <c r="O25" s="72"/>
      <c r="P25" s="270" t="s">
        <v>699</v>
      </c>
      <c r="Q25" s="71"/>
      <c r="R25" s="71"/>
      <c r="S25" s="72"/>
      <c r="T25" s="270" t="s">
        <v>675</v>
      </c>
      <c r="U25" s="71"/>
      <c r="V25" s="71"/>
      <c r="W25" s="72"/>
      <c r="X25" s="270" t="s">
        <v>676</v>
      </c>
      <c r="Y25" s="71"/>
      <c r="Z25" s="71"/>
      <c r="AA25" s="72"/>
      <c r="AB25" s="71" t="s">
        <v>677</v>
      </c>
      <c r="AC25" s="71"/>
      <c r="AD25" s="71"/>
      <c r="AE25" s="71"/>
      <c r="AF25" s="270" t="s">
        <v>700</v>
      </c>
      <c r="AG25" s="71"/>
      <c r="AH25" s="71"/>
      <c r="AI25" s="72"/>
      <c r="AJ25" s="270" t="s">
        <v>701</v>
      </c>
      <c r="AK25" s="71"/>
      <c r="AL25" s="71"/>
      <c r="AM25" s="72"/>
      <c r="AN25" s="270" t="s">
        <v>702</v>
      </c>
      <c r="AO25" s="71"/>
      <c r="AP25" s="71"/>
      <c r="AQ25" s="72"/>
      <c r="AR25" s="71" t="s">
        <v>703</v>
      </c>
      <c r="AS25" s="71"/>
      <c r="AT25" s="71"/>
      <c r="AU25" s="71"/>
      <c r="AV25" s="270" t="s">
        <v>704</v>
      </c>
      <c r="AW25" s="71"/>
      <c r="AX25" s="71"/>
      <c r="AY25" s="72"/>
      <c r="AZ25" s="270" t="s">
        <v>705</v>
      </c>
      <c r="BA25" s="71"/>
      <c r="BB25" s="71"/>
      <c r="BC25" s="72"/>
      <c r="BD25" s="71" t="s">
        <v>706</v>
      </c>
      <c r="BE25" s="71"/>
      <c r="BF25" s="71"/>
      <c r="BG25" s="71"/>
      <c r="BH25" s="270" t="s">
        <v>707</v>
      </c>
      <c r="BI25" s="71"/>
      <c r="BJ25" s="71"/>
      <c r="BK25" s="72"/>
      <c r="BL25" s="270" t="s">
        <v>708</v>
      </c>
      <c r="BM25" s="71"/>
      <c r="BN25" s="71"/>
      <c r="BO25" s="72"/>
      <c r="BP25" s="71" t="s">
        <v>709</v>
      </c>
      <c r="BQ25" s="71"/>
      <c r="BR25" s="71"/>
      <c r="BS25" s="72"/>
    </row>
    <row r="26" spans="1:71" s="4" customFormat="1" ht="13.5" customHeight="1" thickTop="1" thickBot="1">
      <c r="A26" s="267"/>
      <c r="B26" s="277" t="s">
        <v>474</v>
      </c>
      <c r="C26" s="269"/>
      <c r="D26" s="278" t="s">
        <v>681</v>
      </c>
      <c r="E26" s="279" t="s">
        <v>682</v>
      </c>
      <c r="F26" s="279" t="s">
        <v>683</v>
      </c>
      <c r="G26" s="280" t="s">
        <v>684</v>
      </c>
      <c r="H26" s="281" t="s">
        <v>681</v>
      </c>
      <c r="I26" s="279" t="s">
        <v>682</v>
      </c>
      <c r="J26" s="279" t="s">
        <v>683</v>
      </c>
      <c r="K26" s="280" t="s">
        <v>684</v>
      </c>
      <c r="L26" s="281" t="s">
        <v>681</v>
      </c>
      <c r="M26" s="279" t="s">
        <v>682</v>
      </c>
      <c r="N26" s="279" t="s">
        <v>683</v>
      </c>
      <c r="O26" s="280" t="s">
        <v>684</v>
      </c>
      <c r="P26" s="281" t="s">
        <v>681</v>
      </c>
      <c r="Q26" s="279" t="s">
        <v>682</v>
      </c>
      <c r="R26" s="279" t="s">
        <v>683</v>
      </c>
      <c r="S26" s="280" t="s">
        <v>684</v>
      </c>
      <c r="T26" s="281" t="s">
        <v>681</v>
      </c>
      <c r="U26" s="279" t="s">
        <v>682</v>
      </c>
      <c r="V26" s="279" t="s">
        <v>683</v>
      </c>
      <c r="W26" s="280" t="s">
        <v>684</v>
      </c>
      <c r="X26" s="281" t="s">
        <v>681</v>
      </c>
      <c r="Y26" s="279" t="s">
        <v>682</v>
      </c>
      <c r="Z26" s="279" t="s">
        <v>683</v>
      </c>
      <c r="AA26" s="280" t="s">
        <v>684</v>
      </c>
      <c r="AB26" s="281" t="s">
        <v>681</v>
      </c>
      <c r="AC26" s="279" t="s">
        <v>682</v>
      </c>
      <c r="AD26" s="279" t="s">
        <v>683</v>
      </c>
      <c r="AE26" s="280" t="s">
        <v>684</v>
      </c>
      <c r="AF26" s="281" t="s">
        <v>681</v>
      </c>
      <c r="AG26" s="279" t="s">
        <v>682</v>
      </c>
      <c r="AH26" s="279" t="s">
        <v>683</v>
      </c>
      <c r="AI26" s="280" t="s">
        <v>684</v>
      </c>
      <c r="AJ26" s="281" t="s">
        <v>681</v>
      </c>
      <c r="AK26" s="279" t="s">
        <v>682</v>
      </c>
      <c r="AL26" s="279" t="s">
        <v>683</v>
      </c>
      <c r="AM26" s="280" t="s">
        <v>684</v>
      </c>
      <c r="AN26" s="281" t="s">
        <v>681</v>
      </c>
      <c r="AO26" s="279" t="s">
        <v>682</v>
      </c>
      <c r="AP26" s="279" t="s">
        <v>683</v>
      </c>
      <c r="AQ26" s="280" t="s">
        <v>684</v>
      </c>
      <c r="AR26" s="281" t="s">
        <v>681</v>
      </c>
      <c r="AS26" s="279" t="s">
        <v>682</v>
      </c>
      <c r="AT26" s="279" t="s">
        <v>683</v>
      </c>
      <c r="AU26" s="280" t="s">
        <v>684</v>
      </c>
      <c r="AV26" s="281" t="s">
        <v>681</v>
      </c>
      <c r="AW26" s="279" t="s">
        <v>682</v>
      </c>
      <c r="AX26" s="279" t="s">
        <v>683</v>
      </c>
      <c r="AY26" s="280" t="s">
        <v>684</v>
      </c>
      <c r="AZ26" s="281" t="s">
        <v>681</v>
      </c>
      <c r="BA26" s="279" t="s">
        <v>682</v>
      </c>
      <c r="BB26" s="279" t="s">
        <v>683</v>
      </c>
      <c r="BC26" s="280" t="s">
        <v>684</v>
      </c>
      <c r="BD26" s="281" t="s">
        <v>681</v>
      </c>
      <c r="BE26" s="279" t="s">
        <v>682</v>
      </c>
      <c r="BF26" s="279" t="s">
        <v>683</v>
      </c>
      <c r="BG26" s="280" t="s">
        <v>684</v>
      </c>
      <c r="BH26" s="281" t="s">
        <v>681</v>
      </c>
      <c r="BI26" s="279" t="s">
        <v>682</v>
      </c>
      <c r="BJ26" s="279" t="s">
        <v>683</v>
      </c>
      <c r="BK26" s="282" t="s">
        <v>684</v>
      </c>
      <c r="BL26" s="278" t="s">
        <v>681</v>
      </c>
      <c r="BM26" s="279" t="s">
        <v>682</v>
      </c>
      <c r="BN26" s="279" t="s">
        <v>683</v>
      </c>
      <c r="BO26" s="280" t="s">
        <v>684</v>
      </c>
      <c r="BP26" s="281" t="s">
        <v>681</v>
      </c>
      <c r="BQ26" s="279" t="s">
        <v>682</v>
      </c>
      <c r="BR26" s="279" t="s">
        <v>683</v>
      </c>
      <c r="BS26" s="280" t="s">
        <v>684</v>
      </c>
    </row>
    <row r="27" spans="1:71" ht="13.5" customHeight="1" thickTop="1">
      <c r="A27" s="283"/>
      <c r="B27" s="284">
        <v>2010</v>
      </c>
      <c r="C27" s="95"/>
      <c r="D27" s="285">
        <v>46.951999999999998</v>
      </c>
      <c r="E27" s="286">
        <v>9.9779999999999998</v>
      </c>
      <c r="F27" s="286">
        <v>-0.114</v>
      </c>
      <c r="G27" s="287">
        <v>8.0000000000000004E-4</v>
      </c>
      <c r="H27" s="285">
        <v>51.45</v>
      </c>
      <c r="I27" s="286">
        <v>7.3769999999999998</v>
      </c>
      <c r="J27" s="286">
        <v>-7.0999999999999994E-2</v>
      </c>
      <c r="K27" s="287">
        <v>5.9999999999999995E-4</v>
      </c>
      <c r="L27" s="285"/>
      <c r="M27" s="286">
        <v>2.5569999999999999</v>
      </c>
      <c r="N27" s="286"/>
      <c r="O27" s="288"/>
      <c r="P27" s="285">
        <v>48.764000000000003</v>
      </c>
      <c r="Q27" s="286">
        <v>8.9280000000000008</v>
      </c>
      <c r="R27" s="286">
        <v>-9.6000000000000002E-2</v>
      </c>
      <c r="S27" s="287">
        <v>6.9999999999999999E-4</v>
      </c>
      <c r="T27" s="285">
        <v>34.781999999999996</v>
      </c>
      <c r="U27" s="286">
        <v>19.504000000000001</v>
      </c>
      <c r="V27" s="286">
        <v>-0.30599999999999999</v>
      </c>
      <c r="W27" s="287">
        <v>2E-3</v>
      </c>
      <c r="X27" s="285">
        <v>47.579000000000001</v>
      </c>
      <c r="Y27" s="286">
        <v>11.628</v>
      </c>
      <c r="Z27" s="286">
        <v>-0.16800000000000001</v>
      </c>
      <c r="AA27" s="287">
        <v>1.4E-3</v>
      </c>
      <c r="AB27" s="285"/>
      <c r="AC27" s="286">
        <v>2.78</v>
      </c>
      <c r="AD27" s="286"/>
      <c r="AE27" s="288"/>
      <c r="AF27" s="285">
        <v>47.094000000000001</v>
      </c>
      <c r="AG27" s="286">
        <v>11.891999999999999</v>
      </c>
      <c r="AH27" s="286">
        <v>-0.17199999999999999</v>
      </c>
      <c r="AI27" s="287">
        <v>1.4E-3</v>
      </c>
      <c r="AJ27" s="285">
        <v>265.05500000000001</v>
      </c>
      <c r="AK27" s="286">
        <v>14.063000000000001</v>
      </c>
      <c r="AL27" s="286">
        <v>-0.10199999999999999</v>
      </c>
      <c r="AM27" s="287">
        <v>1.1000000000000001E-3</v>
      </c>
      <c r="AN27" s="285"/>
      <c r="AO27" s="286"/>
      <c r="AP27" s="286"/>
      <c r="AQ27" s="288"/>
      <c r="AR27" s="285">
        <v>265.05500000000001</v>
      </c>
      <c r="AS27" s="286">
        <v>14.063000000000001</v>
      </c>
      <c r="AT27" s="286">
        <v>-0.10199999999999999</v>
      </c>
      <c r="AU27" s="287">
        <v>1.1000000000000001E-3</v>
      </c>
      <c r="AV27" s="285">
        <v>580.774</v>
      </c>
      <c r="AW27" s="286">
        <v>30.161000000000001</v>
      </c>
      <c r="AX27" s="286">
        <v>-0.2</v>
      </c>
      <c r="AY27" s="287">
        <v>1.1999999999999999E-3</v>
      </c>
      <c r="AZ27" s="285"/>
      <c r="BA27" s="286"/>
      <c r="BB27" s="286"/>
      <c r="BC27" s="288"/>
      <c r="BD27" s="285">
        <v>580.774</v>
      </c>
      <c r="BE27" s="286">
        <v>30.161000000000001</v>
      </c>
      <c r="BF27" s="286">
        <v>-0.2</v>
      </c>
      <c r="BG27" s="287">
        <v>1.1999999999999999E-3</v>
      </c>
      <c r="BH27" s="285">
        <v>341.048</v>
      </c>
      <c r="BI27" s="286">
        <v>29.966999999999999</v>
      </c>
      <c r="BJ27" s="286">
        <v>-0.32600000000000001</v>
      </c>
      <c r="BK27" s="287">
        <v>2.3999999999999998E-3</v>
      </c>
      <c r="BL27" s="285"/>
      <c r="BM27" s="286"/>
      <c r="BN27" s="286"/>
      <c r="BO27" s="288"/>
      <c r="BP27" s="285">
        <v>341.048</v>
      </c>
      <c r="BQ27" s="286">
        <v>29.966999999999999</v>
      </c>
      <c r="BR27" s="286">
        <v>-0.32600000000000001</v>
      </c>
      <c r="BS27" s="287">
        <v>2.3999999999999998E-3</v>
      </c>
    </row>
    <row r="28" spans="1:71" ht="13.5" customHeight="1">
      <c r="A28" s="23"/>
      <c r="B28" s="289">
        <v>2011</v>
      </c>
      <c r="C28" s="22"/>
      <c r="D28" s="290">
        <v>51.015000000000001</v>
      </c>
      <c r="E28" s="291">
        <v>10.842000000000001</v>
      </c>
      <c r="F28" s="291">
        <v>-0.123</v>
      </c>
      <c r="G28" s="292">
        <v>8.0000000000000004E-4</v>
      </c>
      <c r="H28" s="290">
        <v>56.908000000000001</v>
      </c>
      <c r="I28" s="291">
        <v>8.1590000000000007</v>
      </c>
      <c r="J28" s="291">
        <v>-7.8E-2</v>
      </c>
      <c r="K28" s="292">
        <v>5.9999999999999995E-4</v>
      </c>
      <c r="L28" s="290"/>
      <c r="M28" s="291">
        <v>2.71</v>
      </c>
      <c r="N28" s="291"/>
      <c r="O28" s="293"/>
      <c r="P28" s="290">
        <v>53.512</v>
      </c>
      <c r="Q28" s="291">
        <v>9.7010000000000005</v>
      </c>
      <c r="R28" s="291">
        <v>-0.104</v>
      </c>
      <c r="S28" s="292">
        <v>6.9999999999999999E-4</v>
      </c>
      <c r="T28" s="290">
        <v>38.085999999999999</v>
      </c>
      <c r="U28" s="291">
        <v>21.356000000000002</v>
      </c>
      <c r="V28" s="291">
        <v>-0.33500000000000002</v>
      </c>
      <c r="W28" s="292">
        <v>2.2000000000000001E-3</v>
      </c>
      <c r="X28" s="290">
        <v>52.996000000000002</v>
      </c>
      <c r="Y28" s="291">
        <v>12.952</v>
      </c>
      <c r="Z28" s="291">
        <v>-0.187</v>
      </c>
      <c r="AA28" s="292">
        <v>1.6000000000000001E-3</v>
      </c>
      <c r="AB28" s="290"/>
      <c r="AC28" s="291">
        <v>2.9470000000000001</v>
      </c>
      <c r="AD28" s="291"/>
      <c r="AE28" s="293"/>
      <c r="AF28" s="290">
        <v>52.485999999999997</v>
      </c>
      <c r="AG28" s="291">
        <v>13.205</v>
      </c>
      <c r="AH28" s="291">
        <v>-0.191</v>
      </c>
      <c r="AI28" s="292">
        <v>1.6000000000000001E-3</v>
      </c>
      <c r="AJ28" s="290">
        <v>296.09100000000001</v>
      </c>
      <c r="AK28" s="291">
        <v>15.71</v>
      </c>
      <c r="AL28" s="291">
        <v>-0.114</v>
      </c>
      <c r="AM28" s="292">
        <v>1.1999999999999999E-3</v>
      </c>
      <c r="AN28" s="290"/>
      <c r="AO28" s="291"/>
      <c r="AP28" s="291"/>
      <c r="AQ28" s="293"/>
      <c r="AR28" s="290">
        <v>296.09100000000001</v>
      </c>
      <c r="AS28" s="291">
        <v>15.71</v>
      </c>
      <c r="AT28" s="291">
        <v>-0.114</v>
      </c>
      <c r="AU28" s="292">
        <v>1.1999999999999999E-3</v>
      </c>
      <c r="AV28" s="290">
        <v>647.97799999999995</v>
      </c>
      <c r="AW28" s="291">
        <v>33.651000000000003</v>
      </c>
      <c r="AX28" s="291">
        <v>-0.223</v>
      </c>
      <c r="AY28" s="292">
        <v>1.2999999999999999E-3</v>
      </c>
      <c r="AZ28" s="290"/>
      <c r="BA28" s="291"/>
      <c r="BB28" s="291"/>
      <c r="BC28" s="293"/>
      <c r="BD28" s="290">
        <v>647.97799999999995</v>
      </c>
      <c r="BE28" s="291">
        <v>33.651000000000003</v>
      </c>
      <c r="BF28" s="291">
        <v>-0.223</v>
      </c>
      <c r="BG28" s="292">
        <v>1.2999999999999999E-3</v>
      </c>
      <c r="BH28" s="290">
        <v>380.55399999999997</v>
      </c>
      <c r="BI28" s="291">
        <v>33.438000000000002</v>
      </c>
      <c r="BJ28" s="291">
        <v>-0.36299999999999999</v>
      </c>
      <c r="BK28" s="292">
        <v>2.7000000000000001E-3</v>
      </c>
      <c r="BL28" s="290"/>
      <c r="BM28" s="291"/>
      <c r="BN28" s="291"/>
      <c r="BO28" s="293"/>
      <c r="BP28" s="290">
        <v>380.55399999999997</v>
      </c>
      <c r="BQ28" s="291">
        <v>33.438000000000002</v>
      </c>
      <c r="BR28" s="291">
        <v>-0.36299999999999999</v>
      </c>
      <c r="BS28" s="292">
        <v>2.7000000000000001E-3</v>
      </c>
    </row>
    <row r="29" spans="1:71" ht="13.5" customHeight="1">
      <c r="A29" s="23"/>
      <c r="B29" s="294">
        <v>2012</v>
      </c>
      <c r="C29" s="22"/>
      <c r="D29" s="290">
        <v>50.82</v>
      </c>
      <c r="E29" s="291">
        <v>10.8</v>
      </c>
      <c r="F29" s="291">
        <v>-0.123</v>
      </c>
      <c r="G29" s="292">
        <v>8.0000000000000004E-4</v>
      </c>
      <c r="H29" s="290">
        <v>56.680999999999997</v>
      </c>
      <c r="I29" s="291">
        <v>8.1270000000000007</v>
      </c>
      <c r="J29" s="291">
        <v>-7.8E-2</v>
      </c>
      <c r="K29" s="292">
        <v>5.9999999999999995E-4</v>
      </c>
      <c r="L29" s="290"/>
      <c r="M29" s="291">
        <v>2.8370000000000002</v>
      </c>
      <c r="N29" s="291"/>
      <c r="O29" s="293"/>
      <c r="P29" s="290">
        <v>53.418999999999997</v>
      </c>
      <c r="Q29" s="291">
        <v>9.6069999999999993</v>
      </c>
      <c r="R29" s="291">
        <v>-0.10299999999999999</v>
      </c>
      <c r="S29" s="292">
        <v>6.9999999999999999E-4</v>
      </c>
      <c r="T29" s="290">
        <v>38.287999999999997</v>
      </c>
      <c r="U29" s="291">
        <v>21.47</v>
      </c>
      <c r="V29" s="291">
        <v>-0.33700000000000002</v>
      </c>
      <c r="W29" s="292">
        <v>2.2000000000000001E-3</v>
      </c>
      <c r="X29" s="290">
        <v>53.054000000000002</v>
      </c>
      <c r="Y29" s="291">
        <v>12.967000000000001</v>
      </c>
      <c r="Z29" s="291">
        <v>-0.187</v>
      </c>
      <c r="AA29" s="292">
        <v>1.6000000000000001E-3</v>
      </c>
      <c r="AB29" s="290"/>
      <c r="AC29" s="291">
        <v>3.0640000000000001</v>
      </c>
      <c r="AD29" s="291"/>
      <c r="AE29" s="293"/>
      <c r="AF29" s="290">
        <v>52.581000000000003</v>
      </c>
      <c r="AG29" s="291">
        <v>13.2</v>
      </c>
      <c r="AH29" s="291">
        <v>-0.191</v>
      </c>
      <c r="AI29" s="292">
        <v>1.6000000000000001E-3</v>
      </c>
      <c r="AJ29" s="290">
        <v>306.54300000000001</v>
      </c>
      <c r="AK29" s="291">
        <v>16.263999999999999</v>
      </c>
      <c r="AL29" s="291">
        <v>-0.11799999999999999</v>
      </c>
      <c r="AM29" s="292">
        <v>1.2999999999999999E-3</v>
      </c>
      <c r="AN29" s="290"/>
      <c r="AO29" s="291"/>
      <c r="AP29" s="291"/>
      <c r="AQ29" s="293"/>
      <c r="AR29" s="290">
        <v>306.54300000000001</v>
      </c>
      <c r="AS29" s="291">
        <v>16.263999999999999</v>
      </c>
      <c r="AT29" s="291">
        <v>-0.11799999999999999</v>
      </c>
      <c r="AU29" s="292">
        <v>1.2999999999999999E-3</v>
      </c>
      <c r="AV29" s="290">
        <v>649.86699999999996</v>
      </c>
      <c r="AW29" s="291">
        <v>33.749000000000002</v>
      </c>
      <c r="AX29" s="291">
        <v>-0.224</v>
      </c>
      <c r="AY29" s="292">
        <v>1.2999999999999999E-3</v>
      </c>
      <c r="AZ29" s="290"/>
      <c r="BA29" s="291"/>
      <c r="BB29" s="291"/>
      <c r="BC29" s="293"/>
      <c r="BD29" s="290">
        <v>649.86699999999996</v>
      </c>
      <c r="BE29" s="291">
        <v>33.749000000000002</v>
      </c>
      <c r="BF29" s="291">
        <v>-0.224</v>
      </c>
      <c r="BG29" s="292">
        <v>1.2999999999999999E-3</v>
      </c>
      <c r="BH29" s="290">
        <v>382.76499999999999</v>
      </c>
      <c r="BI29" s="291">
        <v>33.631999999999998</v>
      </c>
      <c r="BJ29" s="291">
        <v>-0.36599999999999999</v>
      </c>
      <c r="BK29" s="292">
        <v>2.7000000000000001E-3</v>
      </c>
      <c r="BL29" s="290"/>
      <c r="BM29" s="291"/>
      <c r="BN29" s="291"/>
      <c r="BO29" s="293"/>
      <c r="BP29" s="290">
        <v>382.76499999999999</v>
      </c>
      <c r="BQ29" s="291">
        <v>33.631999999999998</v>
      </c>
      <c r="BR29" s="291">
        <v>-0.36599999999999999</v>
      </c>
      <c r="BS29" s="292">
        <v>2.7000000000000001E-3</v>
      </c>
    </row>
    <row r="30" spans="1:71" ht="13.5" customHeight="1">
      <c r="A30" s="23"/>
      <c r="B30" s="294">
        <v>2013</v>
      </c>
      <c r="C30" s="22"/>
      <c r="D30" s="290">
        <v>49.070999999999998</v>
      </c>
      <c r="E30" s="291">
        <v>10.428000000000001</v>
      </c>
      <c r="F30" s="291">
        <v>-0.11899999999999999</v>
      </c>
      <c r="G30" s="292">
        <v>8.0000000000000004E-4</v>
      </c>
      <c r="H30" s="290">
        <v>54.625999999999998</v>
      </c>
      <c r="I30" s="291">
        <v>7.8319999999999999</v>
      </c>
      <c r="J30" s="291">
        <v>-7.4999999999999997E-2</v>
      </c>
      <c r="K30" s="292">
        <v>5.9999999999999995E-4</v>
      </c>
      <c r="L30" s="290"/>
      <c r="M30" s="291">
        <v>2.9609999999999999</v>
      </c>
      <c r="N30" s="291"/>
      <c r="O30" s="293"/>
      <c r="P30" s="290">
        <v>51.642000000000003</v>
      </c>
      <c r="Q30" s="291">
        <v>9.2159999999999993</v>
      </c>
      <c r="R30" s="291">
        <v>-9.9000000000000005E-2</v>
      </c>
      <c r="S30" s="292">
        <v>6.9999999999999999E-4</v>
      </c>
      <c r="T30" s="290">
        <v>37.290999999999997</v>
      </c>
      <c r="U30" s="291">
        <v>20.911000000000001</v>
      </c>
      <c r="V30" s="291">
        <v>-0.32800000000000001</v>
      </c>
      <c r="W30" s="292">
        <v>2.0999999999999999E-3</v>
      </c>
      <c r="X30" s="290">
        <v>51.55</v>
      </c>
      <c r="Y30" s="291">
        <v>12.599</v>
      </c>
      <c r="Z30" s="291">
        <v>-0.182</v>
      </c>
      <c r="AA30" s="292">
        <v>1.5E-3</v>
      </c>
      <c r="AB30" s="290"/>
      <c r="AC30" s="291">
        <v>3.2010000000000001</v>
      </c>
      <c r="AD30" s="291"/>
      <c r="AE30" s="293"/>
      <c r="AF30" s="290">
        <v>51.127000000000002</v>
      </c>
      <c r="AG30" s="291">
        <v>12.808</v>
      </c>
      <c r="AH30" s="291">
        <v>-0.185</v>
      </c>
      <c r="AI30" s="292">
        <v>1.6000000000000001E-3</v>
      </c>
      <c r="AJ30" s="290">
        <v>296.75</v>
      </c>
      <c r="AK30" s="291">
        <v>15.744999999999999</v>
      </c>
      <c r="AL30" s="291">
        <v>-0.114</v>
      </c>
      <c r="AM30" s="292">
        <v>1.1999999999999999E-3</v>
      </c>
      <c r="AN30" s="290"/>
      <c r="AO30" s="291"/>
      <c r="AP30" s="291"/>
      <c r="AQ30" s="293"/>
      <c r="AR30" s="290">
        <v>296.75</v>
      </c>
      <c r="AS30" s="291">
        <v>15.744999999999999</v>
      </c>
      <c r="AT30" s="291">
        <v>-0.114</v>
      </c>
      <c r="AU30" s="292">
        <v>1.1999999999999999E-3</v>
      </c>
      <c r="AV30" s="290">
        <v>631.68600000000004</v>
      </c>
      <c r="AW30" s="291">
        <v>32.805</v>
      </c>
      <c r="AX30" s="291">
        <v>-0.217</v>
      </c>
      <c r="AY30" s="292">
        <v>1.2999999999999999E-3</v>
      </c>
      <c r="AZ30" s="290"/>
      <c r="BA30" s="291"/>
      <c r="BB30" s="291"/>
      <c r="BC30" s="293"/>
      <c r="BD30" s="290">
        <v>631.68600000000004</v>
      </c>
      <c r="BE30" s="291">
        <v>32.805</v>
      </c>
      <c r="BF30" s="291">
        <v>-0.217</v>
      </c>
      <c r="BG30" s="292">
        <v>1.2999999999999999E-3</v>
      </c>
      <c r="BH30" s="290">
        <v>372.30799999999999</v>
      </c>
      <c r="BI30" s="291">
        <v>32.713999999999999</v>
      </c>
      <c r="BJ30" s="291">
        <v>-0.35599999999999998</v>
      </c>
      <c r="BK30" s="292">
        <v>2.5999999999999999E-3</v>
      </c>
      <c r="BL30" s="290"/>
      <c r="BM30" s="291"/>
      <c r="BN30" s="291"/>
      <c r="BO30" s="293"/>
      <c r="BP30" s="290">
        <v>372.30799999999999</v>
      </c>
      <c r="BQ30" s="291">
        <v>32.713999999999999</v>
      </c>
      <c r="BR30" s="291">
        <v>-0.35599999999999998</v>
      </c>
      <c r="BS30" s="292">
        <v>2.5999999999999999E-3</v>
      </c>
    </row>
    <row r="31" spans="1:71" ht="13.5" customHeight="1">
      <c r="A31" s="23"/>
      <c r="B31" s="294">
        <v>2014</v>
      </c>
      <c r="C31" s="22"/>
      <c r="D31" s="290">
        <v>45.4</v>
      </c>
      <c r="E31" s="291">
        <v>9.6479999999999997</v>
      </c>
      <c r="F31" s="291">
        <v>-0.11</v>
      </c>
      <c r="G31" s="292">
        <v>6.9999999999999999E-4</v>
      </c>
      <c r="H31" s="290">
        <v>50.554000000000002</v>
      </c>
      <c r="I31" s="291">
        <v>7.2480000000000002</v>
      </c>
      <c r="J31" s="291">
        <v>-7.0000000000000007E-2</v>
      </c>
      <c r="K31" s="292">
        <v>5.0000000000000001E-4</v>
      </c>
      <c r="L31" s="290"/>
      <c r="M31" s="291">
        <v>3.0150000000000001</v>
      </c>
      <c r="N31" s="291"/>
      <c r="O31" s="293"/>
      <c r="P31" s="290">
        <v>47.857999999999997</v>
      </c>
      <c r="Q31" s="291">
        <v>8.48</v>
      </c>
      <c r="R31" s="291">
        <v>-0.09</v>
      </c>
      <c r="S31" s="292">
        <v>5.9999999999999995E-4</v>
      </c>
      <c r="T31" s="290">
        <v>35.023000000000003</v>
      </c>
      <c r="U31" s="291">
        <v>19.638999999999999</v>
      </c>
      <c r="V31" s="291">
        <v>-0.308</v>
      </c>
      <c r="W31" s="292">
        <v>2E-3</v>
      </c>
      <c r="X31" s="290">
        <v>48.134999999999998</v>
      </c>
      <c r="Y31" s="291">
        <v>11.763999999999999</v>
      </c>
      <c r="Z31" s="291">
        <v>-0.17</v>
      </c>
      <c r="AA31" s="292">
        <v>1.4E-3</v>
      </c>
      <c r="AB31" s="290"/>
      <c r="AC31" s="291">
        <v>3.2280000000000002</v>
      </c>
      <c r="AD31" s="291"/>
      <c r="AE31" s="293"/>
      <c r="AF31" s="290">
        <v>47.764000000000003</v>
      </c>
      <c r="AG31" s="291">
        <v>11.944000000000001</v>
      </c>
      <c r="AH31" s="291">
        <v>-0.17299999999999999</v>
      </c>
      <c r="AI31" s="292">
        <v>1.4E-3</v>
      </c>
      <c r="AJ31" s="290">
        <v>280.13099999999997</v>
      </c>
      <c r="AK31" s="291">
        <v>14.863</v>
      </c>
      <c r="AL31" s="291">
        <v>-0.107</v>
      </c>
      <c r="AM31" s="292">
        <v>1.1999999999999999E-3</v>
      </c>
      <c r="AN31" s="290"/>
      <c r="AO31" s="291"/>
      <c r="AP31" s="291"/>
      <c r="AQ31" s="293"/>
      <c r="AR31" s="290">
        <v>280.13099999999997</v>
      </c>
      <c r="AS31" s="291">
        <v>14.863</v>
      </c>
      <c r="AT31" s="291">
        <v>-0.107</v>
      </c>
      <c r="AU31" s="292">
        <v>1.1999999999999999E-3</v>
      </c>
      <c r="AV31" s="290">
        <v>589.33199999999999</v>
      </c>
      <c r="AW31" s="291">
        <v>30.605</v>
      </c>
      <c r="AX31" s="291">
        <v>-0.20300000000000001</v>
      </c>
      <c r="AY31" s="292">
        <v>1.1999999999999999E-3</v>
      </c>
      <c r="AZ31" s="290"/>
      <c r="BA31" s="291"/>
      <c r="BB31" s="291"/>
      <c r="BC31" s="293"/>
      <c r="BD31" s="290">
        <v>589.33199999999999</v>
      </c>
      <c r="BE31" s="291">
        <v>30.605</v>
      </c>
      <c r="BF31" s="291">
        <v>-0.20300000000000001</v>
      </c>
      <c r="BG31" s="292">
        <v>1.1999999999999999E-3</v>
      </c>
      <c r="BH31" s="290">
        <v>347.846</v>
      </c>
      <c r="BI31" s="291">
        <v>30.564</v>
      </c>
      <c r="BJ31" s="291">
        <v>-0.33200000000000002</v>
      </c>
      <c r="BK31" s="292">
        <v>2.3999999999999998E-3</v>
      </c>
      <c r="BL31" s="290"/>
      <c r="BM31" s="291"/>
      <c r="BN31" s="291"/>
      <c r="BO31" s="293"/>
      <c r="BP31" s="290">
        <v>347.846</v>
      </c>
      <c r="BQ31" s="291">
        <v>30.564</v>
      </c>
      <c r="BR31" s="291">
        <v>-0.33200000000000002</v>
      </c>
      <c r="BS31" s="292">
        <v>2.3999999999999998E-3</v>
      </c>
    </row>
    <row r="32" spans="1:71" ht="13.5" customHeight="1">
      <c r="A32" s="23"/>
      <c r="B32" s="294">
        <v>2015</v>
      </c>
      <c r="C32" s="22"/>
      <c r="D32" s="290">
        <v>38.826999999999998</v>
      </c>
      <c r="E32" s="291">
        <v>8.2509999999999994</v>
      </c>
      <c r="F32" s="291">
        <v>-9.4E-2</v>
      </c>
      <c r="G32" s="292">
        <v>5.9999999999999995E-4</v>
      </c>
      <c r="H32" s="290">
        <v>42.665999999999997</v>
      </c>
      <c r="I32" s="291">
        <v>6.117</v>
      </c>
      <c r="J32" s="291">
        <v>-5.8999999999999997E-2</v>
      </c>
      <c r="K32" s="292">
        <v>5.0000000000000001E-4</v>
      </c>
      <c r="L32" s="290"/>
      <c r="M32" s="291">
        <v>2.9780000000000002</v>
      </c>
      <c r="N32" s="291"/>
      <c r="O32" s="293"/>
      <c r="P32" s="290">
        <v>40.683999999999997</v>
      </c>
      <c r="Q32" s="291">
        <v>7.1749999999999998</v>
      </c>
      <c r="R32" s="291">
        <v>-7.5999999999999998E-2</v>
      </c>
      <c r="S32" s="292">
        <v>5.0000000000000001E-4</v>
      </c>
      <c r="T32" s="290">
        <v>29.582999999999998</v>
      </c>
      <c r="U32" s="291">
        <v>16.588999999999999</v>
      </c>
      <c r="V32" s="291">
        <v>-0.26</v>
      </c>
      <c r="W32" s="292">
        <v>1.6999999999999999E-3</v>
      </c>
      <c r="X32" s="290">
        <v>41.034999999999997</v>
      </c>
      <c r="Y32" s="291">
        <v>10.029</v>
      </c>
      <c r="Z32" s="291">
        <v>-0.14499999999999999</v>
      </c>
      <c r="AA32" s="292">
        <v>1.1999999999999999E-3</v>
      </c>
      <c r="AB32" s="290"/>
      <c r="AC32" s="291">
        <v>3.173</v>
      </c>
      <c r="AD32" s="291"/>
      <c r="AE32" s="293"/>
      <c r="AF32" s="290">
        <v>40.725000000000001</v>
      </c>
      <c r="AG32" s="291">
        <v>10.164999999999999</v>
      </c>
      <c r="AH32" s="291">
        <v>-0.14699999999999999</v>
      </c>
      <c r="AI32" s="292">
        <v>1.1999999999999999E-3</v>
      </c>
      <c r="AJ32" s="290">
        <v>238.71700000000001</v>
      </c>
      <c r="AK32" s="291">
        <v>12.666</v>
      </c>
      <c r="AL32" s="291">
        <v>-9.1999999999999998E-2</v>
      </c>
      <c r="AM32" s="292">
        <v>1E-3</v>
      </c>
      <c r="AN32" s="290"/>
      <c r="AO32" s="291"/>
      <c r="AP32" s="291"/>
      <c r="AQ32" s="293"/>
      <c r="AR32" s="290">
        <v>238.71700000000001</v>
      </c>
      <c r="AS32" s="291">
        <v>12.666</v>
      </c>
      <c r="AT32" s="291">
        <v>-9.1999999999999998E-2</v>
      </c>
      <c r="AU32" s="292">
        <v>1E-3</v>
      </c>
      <c r="AV32" s="290">
        <v>501.60599999999999</v>
      </c>
      <c r="AW32" s="291">
        <v>26.048999999999999</v>
      </c>
      <c r="AX32" s="291">
        <v>-0.17299999999999999</v>
      </c>
      <c r="AY32" s="292">
        <v>1E-3</v>
      </c>
      <c r="AZ32" s="290"/>
      <c r="BA32" s="291"/>
      <c r="BB32" s="291"/>
      <c r="BC32" s="293"/>
      <c r="BD32" s="290">
        <v>501.60599999999999</v>
      </c>
      <c r="BE32" s="291">
        <v>26.048999999999999</v>
      </c>
      <c r="BF32" s="291">
        <v>-0.17299999999999999</v>
      </c>
      <c r="BG32" s="292">
        <v>1E-3</v>
      </c>
      <c r="BH32" s="290">
        <v>297.49599999999998</v>
      </c>
      <c r="BI32" s="291">
        <v>26.14</v>
      </c>
      <c r="BJ32" s="291">
        <v>-0.28399999999999997</v>
      </c>
      <c r="BK32" s="292">
        <v>2.0999999999999999E-3</v>
      </c>
      <c r="BL32" s="290"/>
      <c r="BM32" s="291"/>
      <c r="BN32" s="291"/>
      <c r="BO32" s="293"/>
      <c r="BP32" s="290">
        <v>297.49599999999998</v>
      </c>
      <c r="BQ32" s="291">
        <v>26.14</v>
      </c>
      <c r="BR32" s="291">
        <v>-0.28399999999999997</v>
      </c>
      <c r="BS32" s="292">
        <v>2.0999999999999999E-3</v>
      </c>
    </row>
    <row r="33" spans="1:71" ht="13.5" customHeight="1">
      <c r="A33" s="23"/>
      <c r="B33" s="294">
        <v>2016</v>
      </c>
      <c r="C33" s="22"/>
      <c r="D33" s="290">
        <v>36.734000000000002</v>
      </c>
      <c r="E33" s="291">
        <v>7.8070000000000004</v>
      </c>
      <c r="F33" s="291">
        <v>-8.8999999999999996E-2</v>
      </c>
      <c r="G33" s="292">
        <v>5.9999999999999995E-4</v>
      </c>
      <c r="H33" s="290">
        <v>39.561</v>
      </c>
      <c r="I33" s="291">
        <v>5.6719999999999997</v>
      </c>
      <c r="J33" s="291">
        <v>-5.5E-2</v>
      </c>
      <c r="K33" s="292">
        <v>4.0000000000000002E-4</v>
      </c>
      <c r="L33" s="290"/>
      <c r="M33" s="291">
        <v>2.9</v>
      </c>
      <c r="N33" s="291"/>
      <c r="O33" s="293"/>
      <c r="P33" s="290">
        <v>38.084000000000003</v>
      </c>
      <c r="Q33" s="291">
        <v>6.6980000000000004</v>
      </c>
      <c r="R33" s="291">
        <v>-7.0999999999999994E-2</v>
      </c>
      <c r="S33" s="292">
        <v>5.0000000000000001E-4</v>
      </c>
      <c r="T33" s="290">
        <v>28.405999999999999</v>
      </c>
      <c r="U33" s="291">
        <v>15.928000000000001</v>
      </c>
      <c r="V33" s="291">
        <v>-0.25</v>
      </c>
      <c r="W33" s="292">
        <v>1.6000000000000001E-3</v>
      </c>
      <c r="X33" s="290">
        <v>38.241</v>
      </c>
      <c r="Y33" s="291">
        <v>9.3460000000000001</v>
      </c>
      <c r="Z33" s="291">
        <v>-0.13500000000000001</v>
      </c>
      <c r="AA33" s="292">
        <v>1.1000000000000001E-3</v>
      </c>
      <c r="AB33" s="290"/>
      <c r="AC33" s="291">
        <v>3.1120000000000001</v>
      </c>
      <c r="AD33" s="291"/>
      <c r="AE33" s="293"/>
      <c r="AF33" s="290">
        <v>37.981999999999999</v>
      </c>
      <c r="AG33" s="291">
        <v>9.4700000000000006</v>
      </c>
      <c r="AH33" s="291">
        <v>-0.13700000000000001</v>
      </c>
      <c r="AI33" s="292">
        <v>1.1000000000000001E-3</v>
      </c>
      <c r="AJ33" s="290">
        <v>222.37200000000001</v>
      </c>
      <c r="AK33" s="291">
        <v>11.798</v>
      </c>
      <c r="AL33" s="291">
        <v>-8.5000000000000006E-2</v>
      </c>
      <c r="AM33" s="292">
        <v>8.9999999999999998E-4</v>
      </c>
      <c r="AN33" s="290"/>
      <c r="AO33" s="291"/>
      <c r="AP33" s="291"/>
      <c r="AQ33" s="293"/>
      <c r="AR33" s="290">
        <v>222.37200000000001</v>
      </c>
      <c r="AS33" s="291">
        <v>11.798</v>
      </c>
      <c r="AT33" s="291">
        <v>-8.5000000000000006E-2</v>
      </c>
      <c r="AU33" s="292">
        <v>8.9999999999999998E-4</v>
      </c>
      <c r="AV33" s="290">
        <v>469.65300000000002</v>
      </c>
      <c r="AW33" s="291">
        <v>24.39</v>
      </c>
      <c r="AX33" s="291">
        <v>-0.16200000000000001</v>
      </c>
      <c r="AY33" s="292">
        <v>1E-3</v>
      </c>
      <c r="AZ33" s="290"/>
      <c r="BA33" s="291"/>
      <c r="BB33" s="291"/>
      <c r="BC33" s="293"/>
      <c r="BD33" s="290">
        <v>469.65300000000002</v>
      </c>
      <c r="BE33" s="291">
        <v>24.39</v>
      </c>
      <c r="BF33" s="291">
        <v>-0.16200000000000001</v>
      </c>
      <c r="BG33" s="292">
        <v>1E-3</v>
      </c>
      <c r="BH33" s="290">
        <v>279.21199999999999</v>
      </c>
      <c r="BI33" s="291">
        <v>24.533000000000001</v>
      </c>
      <c r="BJ33" s="291">
        <v>-0.26700000000000002</v>
      </c>
      <c r="BK33" s="292">
        <v>2E-3</v>
      </c>
      <c r="BL33" s="290"/>
      <c r="BM33" s="291"/>
      <c r="BN33" s="291"/>
      <c r="BO33" s="293"/>
      <c r="BP33" s="290">
        <v>279.21199999999999</v>
      </c>
      <c r="BQ33" s="291">
        <v>24.533000000000001</v>
      </c>
      <c r="BR33" s="291">
        <v>-0.26700000000000002</v>
      </c>
      <c r="BS33" s="292">
        <v>2E-3</v>
      </c>
    </row>
    <row r="34" spans="1:71" ht="13.5" customHeight="1">
      <c r="A34" s="23"/>
      <c r="B34" s="294">
        <v>2017</v>
      </c>
      <c r="C34" s="22"/>
      <c r="D34" s="290">
        <v>38.427</v>
      </c>
      <c r="E34" s="291">
        <v>8.1660000000000004</v>
      </c>
      <c r="F34" s="291">
        <v>-9.2999999999999999E-2</v>
      </c>
      <c r="G34" s="292">
        <v>5.9999999999999995E-4</v>
      </c>
      <c r="H34" s="290">
        <v>42.005000000000003</v>
      </c>
      <c r="I34" s="291">
        <v>6.0220000000000002</v>
      </c>
      <c r="J34" s="291">
        <v>-5.8000000000000003E-2</v>
      </c>
      <c r="K34" s="292">
        <v>5.0000000000000001E-4</v>
      </c>
      <c r="L34" s="290"/>
      <c r="M34" s="291">
        <v>2.9710000000000001</v>
      </c>
      <c r="N34" s="291"/>
      <c r="O34" s="293"/>
      <c r="P34" s="290">
        <v>40.118000000000002</v>
      </c>
      <c r="Q34" s="291">
        <v>7.0389999999999997</v>
      </c>
      <c r="R34" s="291">
        <v>-7.4999999999999997E-2</v>
      </c>
      <c r="S34" s="292">
        <v>5.0000000000000001E-4</v>
      </c>
      <c r="T34" s="290">
        <v>29.602</v>
      </c>
      <c r="U34" s="291">
        <v>16.599</v>
      </c>
      <c r="V34" s="291">
        <v>-0.26100000000000001</v>
      </c>
      <c r="W34" s="292">
        <v>1.6999999999999999E-3</v>
      </c>
      <c r="X34" s="290">
        <v>40.412999999999997</v>
      </c>
      <c r="Y34" s="291">
        <v>9.8770000000000007</v>
      </c>
      <c r="Z34" s="291">
        <v>-0.14199999999999999</v>
      </c>
      <c r="AA34" s="292">
        <v>1.1999999999999999E-3</v>
      </c>
      <c r="AB34" s="290"/>
      <c r="AC34" s="291">
        <v>3.2</v>
      </c>
      <c r="AD34" s="291"/>
      <c r="AE34" s="293"/>
      <c r="AF34" s="290">
        <v>40.122999999999998</v>
      </c>
      <c r="AG34" s="291">
        <v>9.9979999999999993</v>
      </c>
      <c r="AH34" s="291">
        <v>-0.14499999999999999</v>
      </c>
      <c r="AI34" s="292">
        <v>1.1999999999999999E-3</v>
      </c>
      <c r="AJ34" s="290">
        <v>239.80799999999999</v>
      </c>
      <c r="AK34" s="291">
        <v>12.724</v>
      </c>
      <c r="AL34" s="291">
        <v>-9.1999999999999998E-2</v>
      </c>
      <c r="AM34" s="292">
        <v>1E-3</v>
      </c>
      <c r="AN34" s="290"/>
      <c r="AO34" s="291"/>
      <c r="AP34" s="291"/>
      <c r="AQ34" s="293"/>
      <c r="AR34" s="290">
        <v>239.80799999999999</v>
      </c>
      <c r="AS34" s="291">
        <v>12.724</v>
      </c>
      <c r="AT34" s="291">
        <v>-9.1999999999999998E-2</v>
      </c>
      <c r="AU34" s="292">
        <v>1E-3</v>
      </c>
      <c r="AV34" s="290">
        <v>501.01100000000002</v>
      </c>
      <c r="AW34" s="291">
        <v>26.018000000000001</v>
      </c>
      <c r="AX34" s="291">
        <v>-0.17199999999999999</v>
      </c>
      <c r="AY34" s="292">
        <v>1E-3</v>
      </c>
      <c r="AZ34" s="290"/>
      <c r="BA34" s="291"/>
      <c r="BB34" s="291"/>
      <c r="BC34" s="293"/>
      <c r="BD34" s="290">
        <v>501.01100000000002</v>
      </c>
      <c r="BE34" s="291">
        <v>26.018000000000001</v>
      </c>
      <c r="BF34" s="291">
        <v>-0.17199999999999999</v>
      </c>
      <c r="BG34" s="292">
        <v>1E-3</v>
      </c>
      <c r="BH34" s="290">
        <v>298.79899999999998</v>
      </c>
      <c r="BI34" s="291">
        <v>26.254999999999999</v>
      </c>
      <c r="BJ34" s="291">
        <v>-0.28499999999999998</v>
      </c>
      <c r="BK34" s="292">
        <v>2.0999999999999999E-3</v>
      </c>
      <c r="BL34" s="290"/>
      <c r="BM34" s="291"/>
      <c r="BN34" s="291"/>
      <c r="BO34" s="293"/>
      <c r="BP34" s="290">
        <v>298.79899999999998</v>
      </c>
      <c r="BQ34" s="291">
        <v>26.254999999999999</v>
      </c>
      <c r="BR34" s="291">
        <v>-0.28499999999999998</v>
      </c>
      <c r="BS34" s="292">
        <v>2.0999999999999999E-3</v>
      </c>
    </row>
    <row r="35" spans="1:71" ht="13.5" customHeight="1">
      <c r="A35" s="23"/>
      <c r="B35" s="294">
        <v>2018</v>
      </c>
      <c r="C35" s="22"/>
      <c r="D35" s="290">
        <v>39.600999999999999</v>
      </c>
      <c r="E35" s="291">
        <v>8.4160000000000004</v>
      </c>
      <c r="F35" s="291">
        <v>-9.6000000000000002E-2</v>
      </c>
      <c r="G35" s="292">
        <v>5.9999999999999995E-4</v>
      </c>
      <c r="H35" s="290">
        <v>44.412999999999997</v>
      </c>
      <c r="I35" s="291">
        <v>6.3680000000000003</v>
      </c>
      <c r="J35" s="291">
        <v>-6.0999999999999999E-2</v>
      </c>
      <c r="K35" s="292">
        <v>5.0000000000000001E-4</v>
      </c>
      <c r="L35" s="290"/>
      <c r="M35" s="291">
        <v>3.125</v>
      </c>
      <c r="N35" s="291"/>
      <c r="O35" s="293"/>
      <c r="P35" s="290">
        <v>41.826000000000001</v>
      </c>
      <c r="Q35" s="291">
        <v>7.3440000000000003</v>
      </c>
      <c r="R35" s="291">
        <v>-7.8E-2</v>
      </c>
      <c r="S35" s="292">
        <v>5.9999999999999995E-4</v>
      </c>
      <c r="T35" s="290">
        <v>29.888999999999999</v>
      </c>
      <c r="U35" s="291">
        <v>16.760000000000002</v>
      </c>
      <c r="V35" s="291">
        <v>-0.26300000000000001</v>
      </c>
      <c r="W35" s="292">
        <v>1.6999999999999999E-3</v>
      </c>
      <c r="X35" s="290">
        <v>42.427999999999997</v>
      </c>
      <c r="Y35" s="291">
        <v>10.37</v>
      </c>
      <c r="Z35" s="291">
        <v>-0.15</v>
      </c>
      <c r="AA35" s="292">
        <v>1.2999999999999999E-3</v>
      </c>
      <c r="AB35" s="290"/>
      <c r="AC35" s="291">
        <v>3.3769999999999998</v>
      </c>
      <c r="AD35" s="291"/>
      <c r="AE35" s="293"/>
      <c r="AF35" s="290">
        <v>42.073999999999998</v>
      </c>
      <c r="AG35" s="291">
        <v>10.486000000000001</v>
      </c>
      <c r="AH35" s="291">
        <v>-0.152</v>
      </c>
      <c r="AI35" s="292">
        <v>1.2999999999999999E-3</v>
      </c>
      <c r="AJ35" s="290">
        <v>253.86600000000001</v>
      </c>
      <c r="AK35" s="291">
        <v>13.468999999999999</v>
      </c>
      <c r="AL35" s="291">
        <v>-9.7000000000000003E-2</v>
      </c>
      <c r="AM35" s="292">
        <v>1.1000000000000001E-3</v>
      </c>
      <c r="AN35" s="290"/>
      <c r="AO35" s="291"/>
      <c r="AP35" s="291"/>
      <c r="AQ35" s="293"/>
      <c r="AR35" s="290">
        <v>253.86600000000001</v>
      </c>
      <c r="AS35" s="291">
        <v>13.468999999999999</v>
      </c>
      <c r="AT35" s="291">
        <v>-9.7000000000000003E-2</v>
      </c>
      <c r="AU35" s="292">
        <v>1.1000000000000001E-3</v>
      </c>
      <c r="AV35" s="290">
        <v>527.91700000000003</v>
      </c>
      <c r="AW35" s="291">
        <v>27.416</v>
      </c>
      <c r="AX35" s="291">
        <v>-0.182</v>
      </c>
      <c r="AY35" s="292">
        <v>1.1000000000000001E-3</v>
      </c>
      <c r="AZ35" s="290"/>
      <c r="BA35" s="291"/>
      <c r="BB35" s="291"/>
      <c r="BC35" s="293"/>
      <c r="BD35" s="290">
        <v>527.91700000000003</v>
      </c>
      <c r="BE35" s="291">
        <v>27.416</v>
      </c>
      <c r="BF35" s="291">
        <v>-0.182</v>
      </c>
      <c r="BG35" s="292">
        <v>1.1000000000000001E-3</v>
      </c>
      <c r="BH35" s="290">
        <v>316.13299999999998</v>
      </c>
      <c r="BI35" s="291">
        <v>27.777999999999999</v>
      </c>
      <c r="BJ35" s="291">
        <v>-0.30199999999999999</v>
      </c>
      <c r="BK35" s="292">
        <v>2.2000000000000001E-3</v>
      </c>
      <c r="BL35" s="290"/>
      <c r="BM35" s="291"/>
      <c r="BN35" s="291"/>
      <c r="BO35" s="293"/>
      <c r="BP35" s="290">
        <v>316.13299999999998</v>
      </c>
      <c r="BQ35" s="291">
        <v>27.777999999999999</v>
      </c>
      <c r="BR35" s="291">
        <v>-0.30199999999999999</v>
      </c>
      <c r="BS35" s="292">
        <v>2.2000000000000001E-3</v>
      </c>
    </row>
    <row r="36" spans="1:71" ht="13.5" customHeight="1">
      <c r="A36" s="23"/>
      <c r="B36" s="294">
        <v>2019</v>
      </c>
      <c r="C36" s="22"/>
      <c r="D36" s="290">
        <v>36.817999999999998</v>
      </c>
      <c r="E36" s="291">
        <v>7.8239999999999998</v>
      </c>
      <c r="F36" s="291">
        <v>-8.8999999999999996E-2</v>
      </c>
      <c r="G36" s="292">
        <v>5.9999999999999995E-4</v>
      </c>
      <c r="H36" s="290">
        <v>41.497</v>
      </c>
      <c r="I36" s="291">
        <v>5.95</v>
      </c>
      <c r="J36" s="291">
        <v>-5.7000000000000002E-2</v>
      </c>
      <c r="K36" s="292">
        <v>5.0000000000000001E-4</v>
      </c>
      <c r="L36" s="290"/>
      <c r="M36" s="291">
        <v>3.173</v>
      </c>
      <c r="N36" s="291"/>
      <c r="O36" s="293"/>
      <c r="P36" s="290">
        <v>38.874000000000002</v>
      </c>
      <c r="Q36" s="291">
        <v>6.8550000000000004</v>
      </c>
      <c r="R36" s="291">
        <v>-7.2999999999999995E-2</v>
      </c>
      <c r="S36" s="292">
        <v>5.0000000000000001E-4</v>
      </c>
      <c r="T36" s="290">
        <v>27.745999999999999</v>
      </c>
      <c r="U36" s="291">
        <v>15.558999999999999</v>
      </c>
      <c r="V36" s="291">
        <v>-0.24399999999999999</v>
      </c>
      <c r="W36" s="292">
        <v>1.6000000000000001E-3</v>
      </c>
      <c r="X36" s="290">
        <v>39.418999999999997</v>
      </c>
      <c r="Y36" s="291">
        <v>9.6340000000000003</v>
      </c>
      <c r="Z36" s="291">
        <v>-0.13900000000000001</v>
      </c>
      <c r="AA36" s="292">
        <v>1.1999999999999999E-3</v>
      </c>
      <c r="AB36" s="290"/>
      <c r="AC36" s="291">
        <v>3.4380000000000002</v>
      </c>
      <c r="AD36" s="291"/>
      <c r="AE36" s="293"/>
      <c r="AF36" s="290">
        <v>39.054000000000002</v>
      </c>
      <c r="AG36" s="291">
        <v>9.7349999999999994</v>
      </c>
      <c r="AH36" s="291">
        <v>-0.14099999999999999</v>
      </c>
      <c r="AI36" s="292">
        <v>1.1999999999999999E-3</v>
      </c>
      <c r="AJ36" s="290">
        <v>236.51599999999999</v>
      </c>
      <c r="AK36" s="291">
        <v>12.548999999999999</v>
      </c>
      <c r="AL36" s="291">
        <v>-9.0999999999999998E-2</v>
      </c>
      <c r="AM36" s="292">
        <v>1E-3</v>
      </c>
      <c r="AN36" s="290"/>
      <c r="AO36" s="291"/>
      <c r="AP36" s="291"/>
      <c r="AQ36" s="293"/>
      <c r="AR36" s="290">
        <v>236.51599999999999</v>
      </c>
      <c r="AS36" s="291">
        <v>12.548999999999999</v>
      </c>
      <c r="AT36" s="291">
        <v>-9.0999999999999998E-2</v>
      </c>
      <c r="AU36" s="292">
        <v>1E-3</v>
      </c>
      <c r="AV36" s="290">
        <v>491.14400000000001</v>
      </c>
      <c r="AW36" s="291">
        <v>25.506</v>
      </c>
      <c r="AX36" s="291">
        <v>-0.16900000000000001</v>
      </c>
      <c r="AY36" s="292">
        <v>1E-3</v>
      </c>
      <c r="AZ36" s="290"/>
      <c r="BA36" s="291"/>
      <c r="BB36" s="291"/>
      <c r="BC36" s="293"/>
      <c r="BD36" s="290">
        <v>491.14400000000001</v>
      </c>
      <c r="BE36" s="291">
        <v>25.506</v>
      </c>
      <c r="BF36" s="291">
        <v>-0.16900000000000001</v>
      </c>
      <c r="BG36" s="292">
        <v>1E-3</v>
      </c>
      <c r="BH36" s="290">
        <v>295.25700000000001</v>
      </c>
      <c r="BI36" s="291">
        <v>25.943000000000001</v>
      </c>
      <c r="BJ36" s="291">
        <v>-0.28199999999999997</v>
      </c>
      <c r="BK36" s="292">
        <v>2.0999999999999999E-3</v>
      </c>
      <c r="BL36" s="290"/>
      <c r="BM36" s="291"/>
      <c r="BN36" s="291"/>
      <c r="BO36" s="293"/>
      <c r="BP36" s="290">
        <v>295.25700000000001</v>
      </c>
      <c r="BQ36" s="291">
        <v>25.943000000000001</v>
      </c>
      <c r="BR36" s="291">
        <v>-0.28199999999999997</v>
      </c>
      <c r="BS36" s="292">
        <v>2.0999999999999999E-3</v>
      </c>
    </row>
    <row r="37" spans="1:71" ht="13.5" customHeight="1">
      <c r="A37" s="23"/>
      <c r="B37" s="294">
        <v>2020</v>
      </c>
      <c r="C37" s="22"/>
      <c r="D37" s="290">
        <v>33.109000000000002</v>
      </c>
      <c r="E37" s="291">
        <v>7.0359999999999996</v>
      </c>
      <c r="F37" s="291">
        <v>-0.08</v>
      </c>
      <c r="G37" s="292">
        <v>5.0000000000000001E-4</v>
      </c>
      <c r="H37" s="290">
        <v>37.691000000000003</v>
      </c>
      <c r="I37" s="291">
        <v>5.4039999999999999</v>
      </c>
      <c r="J37" s="291">
        <v>-5.1999999999999998E-2</v>
      </c>
      <c r="K37" s="292">
        <v>4.0000000000000002E-4</v>
      </c>
      <c r="L37" s="290"/>
      <c r="M37" s="291">
        <v>2.9870000000000001</v>
      </c>
      <c r="N37" s="291"/>
      <c r="O37" s="293"/>
      <c r="P37" s="290">
        <v>35.026000000000003</v>
      </c>
      <c r="Q37" s="291">
        <v>6.202</v>
      </c>
      <c r="R37" s="291">
        <v>-6.6000000000000003E-2</v>
      </c>
      <c r="S37" s="292">
        <v>5.0000000000000001E-4</v>
      </c>
      <c r="T37" s="290">
        <v>25.166</v>
      </c>
      <c r="U37" s="291">
        <v>14.111000000000001</v>
      </c>
      <c r="V37" s="291">
        <v>-0.222</v>
      </c>
      <c r="W37" s="292">
        <v>1.4E-3</v>
      </c>
      <c r="X37" s="290">
        <v>35.764000000000003</v>
      </c>
      <c r="Y37" s="291">
        <v>8.7409999999999997</v>
      </c>
      <c r="Z37" s="291">
        <v>-0.126</v>
      </c>
      <c r="AA37" s="292">
        <v>1.1000000000000001E-3</v>
      </c>
      <c r="AB37" s="290"/>
      <c r="AC37" s="291">
        <v>3.4039999999999999</v>
      </c>
      <c r="AD37" s="291"/>
      <c r="AE37" s="293"/>
      <c r="AF37" s="290">
        <v>35.438000000000002</v>
      </c>
      <c r="AG37" s="291">
        <v>8.8320000000000007</v>
      </c>
      <c r="AH37" s="291">
        <v>-0.128</v>
      </c>
      <c r="AI37" s="292">
        <v>1.1000000000000001E-3</v>
      </c>
      <c r="AJ37" s="290">
        <v>216.95699999999999</v>
      </c>
      <c r="AK37" s="291">
        <v>11.510999999999999</v>
      </c>
      <c r="AL37" s="291">
        <v>-8.3000000000000004E-2</v>
      </c>
      <c r="AM37" s="292">
        <v>8.9999999999999998E-4</v>
      </c>
      <c r="AN37" s="290"/>
      <c r="AO37" s="291"/>
      <c r="AP37" s="291"/>
      <c r="AQ37" s="293"/>
      <c r="AR37" s="290">
        <v>216.95699999999999</v>
      </c>
      <c r="AS37" s="291">
        <v>11.510999999999999</v>
      </c>
      <c r="AT37" s="291">
        <v>-8.3000000000000004E-2</v>
      </c>
      <c r="AU37" s="292">
        <v>8.9999999999999998E-4</v>
      </c>
      <c r="AV37" s="290">
        <v>449.94499999999999</v>
      </c>
      <c r="AW37" s="291">
        <v>23.366</v>
      </c>
      <c r="AX37" s="291">
        <v>-0.155</v>
      </c>
      <c r="AY37" s="292">
        <v>8.9999999999999998E-4</v>
      </c>
      <c r="AZ37" s="290"/>
      <c r="BA37" s="291"/>
      <c r="BB37" s="291"/>
      <c r="BC37" s="293"/>
      <c r="BD37" s="290">
        <v>449.94499999999999</v>
      </c>
      <c r="BE37" s="291">
        <v>23.366</v>
      </c>
      <c r="BF37" s="291">
        <v>-0.155</v>
      </c>
      <c r="BG37" s="292">
        <v>8.9999999999999998E-4</v>
      </c>
      <c r="BH37" s="290">
        <v>271.767</v>
      </c>
      <c r="BI37" s="291">
        <v>23.879000000000001</v>
      </c>
      <c r="BJ37" s="291">
        <v>-0.26</v>
      </c>
      <c r="BK37" s="292">
        <v>1.9E-3</v>
      </c>
      <c r="BL37" s="290"/>
      <c r="BM37" s="291"/>
      <c r="BN37" s="291"/>
      <c r="BO37" s="293"/>
      <c r="BP37" s="290">
        <v>271.767</v>
      </c>
      <c r="BQ37" s="291">
        <v>23.879000000000001</v>
      </c>
      <c r="BR37" s="291">
        <v>-0.26</v>
      </c>
      <c r="BS37" s="292">
        <v>1.9E-3</v>
      </c>
    </row>
    <row r="38" spans="1:71" ht="13.5" customHeight="1">
      <c r="A38" s="23"/>
      <c r="B38" s="294">
        <v>2021</v>
      </c>
      <c r="C38" s="22"/>
      <c r="D38" s="290">
        <v>33.061</v>
      </c>
      <c r="E38" s="291">
        <v>7.0259999999999998</v>
      </c>
      <c r="F38" s="291">
        <v>-0.08</v>
      </c>
      <c r="G38" s="292">
        <v>5.0000000000000001E-4</v>
      </c>
      <c r="H38" s="290">
        <v>38.000999999999998</v>
      </c>
      <c r="I38" s="291">
        <v>5.4480000000000004</v>
      </c>
      <c r="J38" s="291">
        <v>-5.1999999999999998E-2</v>
      </c>
      <c r="K38" s="292">
        <v>4.0000000000000002E-4</v>
      </c>
      <c r="L38" s="290"/>
      <c r="M38" s="291">
        <v>3.0939999999999999</v>
      </c>
      <c r="N38" s="291"/>
      <c r="O38" s="293"/>
      <c r="P38" s="290">
        <v>34.957000000000001</v>
      </c>
      <c r="Q38" s="291">
        <v>6.2229999999999999</v>
      </c>
      <c r="R38" s="291">
        <v>-6.6000000000000003E-2</v>
      </c>
      <c r="S38" s="292">
        <v>5.0000000000000001E-4</v>
      </c>
      <c r="T38" s="290">
        <v>25.388000000000002</v>
      </c>
      <c r="U38" s="291">
        <v>14.236000000000001</v>
      </c>
      <c r="V38" s="291">
        <v>-0.223</v>
      </c>
      <c r="W38" s="292">
        <v>1.4E-3</v>
      </c>
      <c r="X38" s="290">
        <v>36.168999999999997</v>
      </c>
      <c r="Y38" s="291">
        <v>8.84</v>
      </c>
      <c r="Z38" s="291">
        <v>-0.128</v>
      </c>
      <c r="AA38" s="292">
        <v>1.1000000000000001E-3</v>
      </c>
      <c r="AB38" s="290"/>
      <c r="AC38" s="291">
        <v>3.766</v>
      </c>
      <c r="AD38" s="291"/>
      <c r="AE38" s="293"/>
      <c r="AF38" s="290">
        <v>35.819000000000003</v>
      </c>
      <c r="AG38" s="291">
        <v>8.9290000000000003</v>
      </c>
      <c r="AH38" s="291">
        <v>-0.129</v>
      </c>
      <c r="AI38" s="292">
        <v>1.1000000000000001E-3</v>
      </c>
      <c r="AJ38" s="290">
        <v>220.928</v>
      </c>
      <c r="AK38" s="291">
        <v>11.722</v>
      </c>
      <c r="AL38" s="291">
        <v>-8.5000000000000006E-2</v>
      </c>
      <c r="AM38" s="292">
        <v>8.9999999999999998E-4</v>
      </c>
      <c r="AN38" s="290"/>
      <c r="AO38" s="291"/>
      <c r="AP38" s="291"/>
      <c r="AQ38" s="293"/>
      <c r="AR38" s="290">
        <v>220.928</v>
      </c>
      <c r="AS38" s="291">
        <v>11.722</v>
      </c>
      <c r="AT38" s="291">
        <v>-8.5000000000000006E-2</v>
      </c>
      <c r="AU38" s="292">
        <v>8.9999999999999998E-4</v>
      </c>
      <c r="AV38" s="290">
        <v>458</v>
      </c>
      <c r="AW38" s="291">
        <v>23.785</v>
      </c>
      <c r="AX38" s="291">
        <v>-0.158</v>
      </c>
      <c r="AY38" s="292">
        <v>8.9999999999999998E-4</v>
      </c>
      <c r="AZ38" s="290"/>
      <c r="BA38" s="291"/>
      <c r="BB38" s="291"/>
      <c r="BC38" s="293"/>
      <c r="BD38" s="290">
        <v>458</v>
      </c>
      <c r="BE38" s="291">
        <v>23.785</v>
      </c>
      <c r="BF38" s="291">
        <v>-0.158</v>
      </c>
      <c r="BG38" s="292">
        <v>8.9999999999999998E-4</v>
      </c>
      <c r="BH38" s="290">
        <v>278.08600000000001</v>
      </c>
      <c r="BI38" s="291">
        <v>24.434999999999999</v>
      </c>
      <c r="BJ38" s="291">
        <v>-0.26600000000000001</v>
      </c>
      <c r="BK38" s="292">
        <v>1.9E-3</v>
      </c>
      <c r="BL38" s="290"/>
      <c r="BM38" s="291"/>
      <c r="BN38" s="291"/>
      <c r="BO38" s="293"/>
      <c r="BP38" s="290">
        <v>278.08600000000001</v>
      </c>
      <c r="BQ38" s="291">
        <v>24.434999999999999</v>
      </c>
      <c r="BR38" s="291">
        <v>-0.26600000000000001</v>
      </c>
      <c r="BS38" s="292">
        <v>1.9E-3</v>
      </c>
    </row>
    <row r="39" spans="1:71" ht="13.5" customHeight="1">
      <c r="A39" s="23"/>
      <c r="B39" s="294">
        <v>2022</v>
      </c>
      <c r="C39" s="22"/>
      <c r="D39" s="290">
        <v>33.682000000000002</v>
      </c>
      <c r="E39" s="291">
        <v>7.1580000000000004</v>
      </c>
      <c r="F39" s="291">
        <v>-8.2000000000000003E-2</v>
      </c>
      <c r="G39" s="292">
        <v>5.0000000000000001E-4</v>
      </c>
      <c r="H39" s="290">
        <v>38.975000000000001</v>
      </c>
      <c r="I39" s="291">
        <v>5.5880000000000001</v>
      </c>
      <c r="J39" s="291">
        <v>-5.3999999999999999E-2</v>
      </c>
      <c r="K39" s="292">
        <v>4.0000000000000002E-4</v>
      </c>
      <c r="L39" s="290"/>
      <c r="M39" s="291">
        <v>3.0249999999999999</v>
      </c>
      <c r="N39" s="291"/>
      <c r="O39" s="293"/>
      <c r="P39" s="290">
        <v>35.482999999999997</v>
      </c>
      <c r="Q39" s="291">
        <v>6.3529999999999998</v>
      </c>
      <c r="R39" s="291">
        <v>-6.7000000000000004E-2</v>
      </c>
      <c r="S39" s="292">
        <v>5.0000000000000001E-4</v>
      </c>
      <c r="T39" s="290">
        <v>25.632999999999999</v>
      </c>
      <c r="U39" s="291">
        <v>14.372999999999999</v>
      </c>
      <c r="V39" s="291">
        <v>-0.22600000000000001</v>
      </c>
      <c r="W39" s="292">
        <v>1.5E-3</v>
      </c>
      <c r="X39" s="290">
        <v>37.244</v>
      </c>
      <c r="Y39" s="291">
        <v>9.1029999999999998</v>
      </c>
      <c r="Z39" s="291">
        <v>-0.13100000000000001</v>
      </c>
      <c r="AA39" s="292">
        <v>1.1000000000000001E-3</v>
      </c>
      <c r="AB39" s="290"/>
      <c r="AC39" s="291">
        <v>3.8679999999999999</v>
      </c>
      <c r="AD39" s="291"/>
      <c r="AE39" s="293"/>
      <c r="AF39" s="290">
        <v>36.848999999999997</v>
      </c>
      <c r="AG39" s="291">
        <v>9.1859999999999999</v>
      </c>
      <c r="AH39" s="291">
        <v>-0.13300000000000001</v>
      </c>
      <c r="AI39" s="292">
        <v>1.1000000000000001E-3</v>
      </c>
      <c r="AJ39" s="290">
        <v>228.904</v>
      </c>
      <c r="AK39" s="291">
        <v>12.145</v>
      </c>
      <c r="AL39" s="291">
        <v>-8.7999999999999995E-2</v>
      </c>
      <c r="AM39" s="292">
        <v>1E-3</v>
      </c>
      <c r="AN39" s="290"/>
      <c r="AO39" s="291"/>
      <c r="AP39" s="291"/>
      <c r="AQ39" s="293"/>
      <c r="AR39" s="290">
        <v>228.904</v>
      </c>
      <c r="AS39" s="291">
        <v>12.145</v>
      </c>
      <c r="AT39" s="291">
        <v>-8.7999999999999995E-2</v>
      </c>
      <c r="AU39" s="292">
        <v>1E-3</v>
      </c>
      <c r="AV39" s="290">
        <v>474.34199999999998</v>
      </c>
      <c r="AW39" s="291">
        <v>24.632999999999999</v>
      </c>
      <c r="AX39" s="291">
        <v>-0.16300000000000001</v>
      </c>
      <c r="AY39" s="292">
        <v>1E-3</v>
      </c>
      <c r="AZ39" s="290"/>
      <c r="BA39" s="291"/>
      <c r="BB39" s="291"/>
      <c r="BC39" s="293"/>
      <c r="BD39" s="290">
        <v>474.34199999999998</v>
      </c>
      <c r="BE39" s="291">
        <v>24.632999999999999</v>
      </c>
      <c r="BF39" s="291">
        <v>-0.16300000000000001</v>
      </c>
      <c r="BG39" s="292">
        <v>1E-3</v>
      </c>
      <c r="BH39" s="290">
        <v>289.54700000000003</v>
      </c>
      <c r="BI39" s="291">
        <v>25.442</v>
      </c>
      <c r="BJ39" s="291">
        <v>-0.27700000000000002</v>
      </c>
      <c r="BK39" s="292">
        <v>2E-3</v>
      </c>
      <c r="BL39" s="290"/>
      <c r="BM39" s="291"/>
      <c r="BN39" s="291"/>
      <c r="BO39" s="293"/>
      <c r="BP39" s="290">
        <v>289.54700000000003</v>
      </c>
      <c r="BQ39" s="291">
        <v>25.442</v>
      </c>
      <c r="BR39" s="291">
        <v>-0.27700000000000002</v>
      </c>
      <c r="BS39" s="292">
        <v>2E-3</v>
      </c>
    </row>
    <row r="40" spans="1:71" ht="13.5" customHeight="1">
      <c r="A40" s="23"/>
      <c r="B40" s="294">
        <v>2023</v>
      </c>
      <c r="C40" s="22"/>
      <c r="D40" s="290">
        <v>33.4</v>
      </c>
      <c r="E40" s="291">
        <v>7.0979999999999999</v>
      </c>
      <c r="F40" s="291">
        <v>-8.1000000000000003E-2</v>
      </c>
      <c r="G40" s="292">
        <v>5.0000000000000001E-4</v>
      </c>
      <c r="H40" s="290">
        <v>38.872</v>
      </c>
      <c r="I40" s="291">
        <v>5.5730000000000004</v>
      </c>
      <c r="J40" s="291">
        <v>-5.3999999999999999E-2</v>
      </c>
      <c r="K40" s="292">
        <v>4.0000000000000002E-4</v>
      </c>
      <c r="L40" s="290"/>
      <c r="M40" s="291">
        <v>2.9380000000000002</v>
      </c>
      <c r="N40" s="291"/>
      <c r="O40" s="293"/>
      <c r="P40" s="290">
        <v>34.970999999999997</v>
      </c>
      <c r="Q40" s="291">
        <v>6.3049999999999997</v>
      </c>
      <c r="R40" s="291">
        <v>-6.7000000000000004E-2</v>
      </c>
      <c r="S40" s="292">
        <v>5.0000000000000001E-4</v>
      </c>
      <c r="T40" s="290">
        <v>25.638000000000002</v>
      </c>
      <c r="U40" s="291">
        <v>14.375999999999999</v>
      </c>
      <c r="V40" s="291">
        <v>-0.22600000000000001</v>
      </c>
      <c r="W40" s="292">
        <v>1.5E-3</v>
      </c>
      <c r="X40" s="290">
        <v>37.323</v>
      </c>
      <c r="Y40" s="291">
        <v>9.1219999999999999</v>
      </c>
      <c r="Z40" s="291">
        <v>-0.13200000000000001</v>
      </c>
      <c r="AA40" s="292">
        <v>1.1000000000000001E-3</v>
      </c>
      <c r="AB40" s="290"/>
      <c r="AC40" s="291">
        <v>3.915</v>
      </c>
      <c r="AD40" s="291"/>
      <c r="AE40" s="293"/>
      <c r="AF40" s="290">
        <v>36.884999999999998</v>
      </c>
      <c r="AG40" s="291">
        <v>9.2010000000000005</v>
      </c>
      <c r="AH40" s="291">
        <v>-0.13300000000000001</v>
      </c>
      <c r="AI40" s="292">
        <v>1.1000000000000001E-3</v>
      </c>
      <c r="AJ40" s="290">
        <v>230.37</v>
      </c>
      <c r="AK40" s="291">
        <v>12.223000000000001</v>
      </c>
      <c r="AL40" s="291">
        <v>-8.7999999999999995E-2</v>
      </c>
      <c r="AM40" s="292">
        <v>1E-3</v>
      </c>
      <c r="AN40" s="290"/>
      <c r="AO40" s="291"/>
      <c r="AP40" s="291"/>
      <c r="AQ40" s="293"/>
      <c r="AR40" s="290">
        <v>230.37</v>
      </c>
      <c r="AS40" s="291">
        <v>12.223000000000001</v>
      </c>
      <c r="AT40" s="291">
        <v>-8.7999999999999995E-2</v>
      </c>
      <c r="AU40" s="292">
        <v>1E-3</v>
      </c>
      <c r="AV40" s="290">
        <v>477.149</v>
      </c>
      <c r="AW40" s="291">
        <v>24.779</v>
      </c>
      <c r="AX40" s="291">
        <v>-0.16400000000000001</v>
      </c>
      <c r="AY40" s="292">
        <v>1E-3</v>
      </c>
      <c r="AZ40" s="290"/>
      <c r="BA40" s="291"/>
      <c r="BB40" s="291"/>
      <c r="BC40" s="293"/>
      <c r="BD40" s="290">
        <v>477.149</v>
      </c>
      <c r="BE40" s="291">
        <v>24.779</v>
      </c>
      <c r="BF40" s="291">
        <v>-0.16400000000000001</v>
      </c>
      <c r="BG40" s="292">
        <v>1E-3</v>
      </c>
      <c r="BH40" s="290">
        <v>292.86599999999999</v>
      </c>
      <c r="BI40" s="291">
        <v>25.733000000000001</v>
      </c>
      <c r="BJ40" s="291">
        <v>-0.28000000000000003</v>
      </c>
      <c r="BK40" s="292">
        <v>2.0999999999999999E-3</v>
      </c>
      <c r="BL40" s="290"/>
      <c r="BM40" s="291"/>
      <c r="BN40" s="291"/>
      <c r="BO40" s="293"/>
      <c r="BP40" s="290">
        <v>292.86599999999999</v>
      </c>
      <c r="BQ40" s="291">
        <v>25.733000000000001</v>
      </c>
      <c r="BR40" s="291">
        <v>-0.28000000000000003</v>
      </c>
      <c r="BS40" s="292">
        <v>2.0999999999999999E-3</v>
      </c>
    </row>
    <row r="41" spans="1:71" ht="13.5" customHeight="1">
      <c r="A41" s="23"/>
      <c r="B41" s="294">
        <v>2024</v>
      </c>
      <c r="C41" s="22"/>
      <c r="D41" s="290">
        <v>33.11</v>
      </c>
      <c r="E41" s="291">
        <v>7.0369999999999999</v>
      </c>
      <c r="F41" s="291">
        <v>-0.08</v>
      </c>
      <c r="G41" s="292">
        <v>5.0000000000000001E-4</v>
      </c>
      <c r="H41" s="290">
        <v>38.811999999999998</v>
      </c>
      <c r="I41" s="291">
        <v>5.5650000000000004</v>
      </c>
      <c r="J41" s="291">
        <v>-5.3999999999999999E-2</v>
      </c>
      <c r="K41" s="292">
        <v>4.0000000000000002E-4</v>
      </c>
      <c r="L41" s="290"/>
      <c r="M41" s="291">
        <v>2.8330000000000002</v>
      </c>
      <c r="N41" s="291"/>
      <c r="O41" s="293"/>
      <c r="P41" s="290">
        <v>34.35</v>
      </c>
      <c r="Q41" s="291">
        <v>6.2450000000000001</v>
      </c>
      <c r="R41" s="291">
        <v>-6.6000000000000003E-2</v>
      </c>
      <c r="S41" s="292">
        <v>5.0000000000000001E-4</v>
      </c>
      <c r="T41" s="290">
        <v>25.574999999999999</v>
      </c>
      <c r="U41" s="291">
        <v>14.340999999999999</v>
      </c>
      <c r="V41" s="291">
        <v>-0.22500000000000001</v>
      </c>
      <c r="W41" s="292">
        <v>1.5E-3</v>
      </c>
      <c r="X41" s="290">
        <v>37.429000000000002</v>
      </c>
      <c r="Y41" s="291">
        <v>9.1479999999999997</v>
      </c>
      <c r="Z41" s="291">
        <v>-0.13200000000000001</v>
      </c>
      <c r="AA41" s="292">
        <v>1.1000000000000001E-3</v>
      </c>
      <c r="AB41" s="290"/>
      <c r="AC41" s="291">
        <v>3.9060000000000001</v>
      </c>
      <c r="AD41" s="291"/>
      <c r="AE41" s="293"/>
      <c r="AF41" s="290">
        <v>36.921999999999997</v>
      </c>
      <c r="AG41" s="291">
        <v>9.2189999999999994</v>
      </c>
      <c r="AH41" s="291">
        <v>-0.13300000000000001</v>
      </c>
      <c r="AI41" s="292">
        <v>1.1000000000000001E-3</v>
      </c>
      <c r="AJ41" s="290">
        <v>231.80199999999999</v>
      </c>
      <c r="AK41" s="291">
        <v>12.298999999999999</v>
      </c>
      <c r="AL41" s="291">
        <v>-8.8999999999999996E-2</v>
      </c>
      <c r="AM41" s="292">
        <v>1E-3</v>
      </c>
      <c r="AN41" s="290"/>
      <c r="AO41" s="291"/>
      <c r="AP41" s="291"/>
      <c r="AQ41" s="293"/>
      <c r="AR41" s="290">
        <v>231.80199999999999</v>
      </c>
      <c r="AS41" s="291">
        <v>12.298999999999999</v>
      </c>
      <c r="AT41" s="291">
        <v>-8.8999999999999996E-2</v>
      </c>
      <c r="AU41" s="292">
        <v>1E-3</v>
      </c>
      <c r="AV41" s="290">
        <v>479.85700000000003</v>
      </c>
      <c r="AW41" s="291">
        <v>24.92</v>
      </c>
      <c r="AX41" s="291">
        <v>-0.16500000000000001</v>
      </c>
      <c r="AY41" s="292">
        <v>1E-3</v>
      </c>
      <c r="AZ41" s="290"/>
      <c r="BA41" s="291"/>
      <c r="BB41" s="291"/>
      <c r="BC41" s="293"/>
      <c r="BD41" s="290">
        <v>479.85700000000003</v>
      </c>
      <c r="BE41" s="291">
        <v>24.92</v>
      </c>
      <c r="BF41" s="291">
        <v>-0.16500000000000001</v>
      </c>
      <c r="BG41" s="292">
        <v>1E-3</v>
      </c>
      <c r="BH41" s="290">
        <v>296.13900000000001</v>
      </c>
      <c r="BI41" s="291">
        <v>26.021000000000001</v>
      </c>
      <c r="BJ41" s="291">
        <v>-0.28299999999999997</v>
      </c>
      <c r="BK41" s="292">
        <v>2.0999999999999999E-3</v>
      </c>
      <c r="BL41" s="290"/>
      <c r="BM41" s="291"/>
      <c r="BN41" s="291"/>
      <c r="BO41" s="293"/>
      <c r="BP41" s="290">
        <v>296.13900000000001</v>
      </c>
      <c r="BQ41" s="291">
        <v>26.021000000000001</v>
      </c>
      <c r="BR41" s="291">
        <v>-0.28299999999999997</v>
      </c>
      <c r="BS41" s="292">
        <v>2.0999999999999999E-3</v>
      </c>
    </row>
    <row r="42" spans="1:71" ht="13.5" customHeight="1">
      <c r="A42" s="23"/>
      <c r="B42" s="294">
        <v>2025</v>
      </c>
      <c r="C42" s="22"/>
      <c r="D42" s="290">
        <v>32.947000000000003</v>
      </c>
      <c r="E42" s="291">
        <v>7.0019999999999998</v>
      </c>
      <c r="F42" s="291">
        <v>-0.08</v>
      </c>
      <c r="G42" s="292">
        <v>5.0000000000000001E-4</v>
      </c>
      <c r="H42" s="290">
        <v>38.838000000000001</v>
      </c>
      <c r="I42" s="291">
        <v>5.5679999999999996</v>
      </c>
      <c r="J42" s="291">
        <v>-5.3999999999999999E-2</v>
      </c>
      <c r="K42" s="292">
        <v>4.0000000000000002E-4</v>
      </c>
      <c r="L42" s="290"/>
      <c r="M42" s="291">
        <v>2.81</v>
      </c>
      <c r="N42" s="291"/>
      <c r="O42" s="293"/>
      <c r="P42" s="290">
        <v>33.606000000000002</v>
      </c>
      <c r="Q42" s="291">
        <v>6.1820000000000004</v>
      </c>
      <c r="R42" s="291">
        <v>-6.5000000000000002E-2</v>
      </c>
      <c r="S42" s="292">
        <v>5.0000000000000001E-4</v>
      </c>
      <c r="T42" s="290">
        <v>25.122</v>
      </c>
      <c r="U42" s="291">
        <v>14.087</v>
      </c>
      <c r="V42" s="291">
        <v>-0.221</v>
      </c>
      <c r="W42" s="292">
        <v>1.4E-3</v>
      </c>
      <c r="X42" s="290">
        <v>37.137999999999998</v>
      </c>
      <c r="Y42" s="291">
        <v>9.077</v>
      </c>
      <c r="Z42" s="291">
        <v>-0.13100000000000001</v>
      </c>
      <c r="AA42" s="292">
        <v>1.1000000000000001E-3</v>
      </c>
      <c r="AB42" s="290"/>
      <c r="AC42" s="291">
        <v>4.008</v>
      </c>
      <c r="AD42" s="291"/>
      <c r="AE42" s="293"/>
      <c r="AF42" s="290">
        <v>36.493000000000002</v>
      </c>
      <c r="AG42" s="291">
        <v>9.1329999999999991</v>
      </c>
      <c r="AH42" s="291">
        <v>-0.13200000000000001</v>
      </c>
      <c r="AI42" s="292">
        <v>1.1000000000000001E-3</v>
      </c>
      <c r="AJ42" s="290">
        <v>232.535</v>
      </c>
      <c r="AK42" s="291">
        <v>12.337999999999999</v>
      </c>
      <c r="AL42" s="291">
        <v>-8.8999999999999996E-2</v>
      </c>
      <c r="AM42" s="292">
        <v>1E-3</v>
      </c>
      <c r="AN42" s="290"/>
      <c r="AO42" s="291"/>
      <c r="AP42" s="291"/>
      <c r="AQ42" s="293"/>
      <c r="AR42" s="290">
        <v>232.535</v>
      </c>
      <c r="AS42" s="291">
        <v>12.337999999999999</v>
      </c>
      <c r="AT42" s="291">
        <v>-8.8999999999999996E-2</v>
      </c>
      <c r="AU42" s="292">
        <v>1E-3</v>
      </c>
      <c r="AV42" s="290">
        <v>476.77800000000002</v>
      </c>
      <c r="AW42" s="291">
        <v>24.76</v>
      </c>
      <c r="AX42" s="291">
        <v>-0.16400000000000001</v>
      </c>
      <c r="AY42" s="292">
        <v>1E-3</v>
      </c>
      <c r="AZ42" s="290"/>
      <c r="BA42" s="291"/>
      <c r="BB42" s="291"/>
      <c r="BC42" s="293"/>
      <c r="BD42" s="290">
        <v>476.77800000000002</v>
      </c>
      <c r="BE42" s="291">
        <v>24.76</v>
      </c>
      <c r="BF42" s="291">
        <v>-0.16400000000000001</v>
      </c>
      <c r="BG42" s="292">
        <v>1E-3</v>
      </c>
      <c r="BH42" s="290">
        <v>299.827</v>
      </c>
      <c r="BI42" s="291">
        <v>26.344999999999999</v>
      </c>
      <c r="BJ42" s="291">
        <v>-0.28599999999999998</v>
      </c>
      <c r="BK42" s="292">
        <v>2.0999999999999999E-3</v>
      </c>
      <c r="BL42" s="290"/>
      <c r="BM42" s="291"/>
      <c r="BN42" s="291"/>
      <c r="BO42" s="293"/>
      <c r="BP42" s="290">
        <v>299.827</v>
      </c>
      <c r="BQ42" s="291">
        <v>26.344999999999999</v>
      </c>
      <c r="BR42" s="291">
        <v>-0.28599999999999998</v>
      </c>
      <c r="BS42" s="292">
        <v>2.0999999999999999E-3</v>
      </c>
    </row>
    <row r="43" spans="1:71" ht="13.5" customHeight="1">
      <c r="A43" s="23"/>
      <c r="B43" s="294">
        <v>2026</v>
      </c>
      <c r="C43" s="22"/>
      <c r="D43" s="290">
        <v>32.945</v>
      </c>
      <c r="E43" s="291">
        <v>7.0010000000000003</v>
      </c>
      <c r="F43" s="291">
        <v>-0.08</v>
      </c>
      <c r="G43" s="292">
        <v>5.0000000000000001E-4</v>
      </c>
      <c r="H43" s="290">
        <v>39.021999999999998</v>
      </c>
      <c r="I43" s="291">
        <v>5.5949999999999998</v>
      </c>
      <c r="J43" s="291">
        <v>-5.3999999999999999E-2</v>
      </c>
      <c r="K43" s="292">
        <v>4.0000000000000002E-4</v>
      </c>
      <c r="L43" s="290"/>
      <c r="M43" s="291">
        <v>2.8</v>
      </c>
      <c r="N43" s="291"/>
      <c r="O43" s="293"/>
      <c r="P43" s="290">
        <v>32.921999999999997</v>
      </c>
      <c r="Q43" s="291">
        <v>6.1379999999999999</v>
      </c>
      <c r="R43" s="291">
        <v>-6.4000000000000001E-2</v>
      </c>
      <c r="S43" s="292">
        <v>4.0000000000000002E-4</v>
      </c>
      <c r="T43" s="290">
        <v>24.895</v>
      </c>
      <c r="U43" s="291">
        <v>13.96</v>
      </c>
      <c r="V43" s="291">
        <v>-0.219</v>
      </c>
      <c r="W43" s="292">
        <v>1.4E-3</v>
      </c>
      <c r="X43" s="290">
        <v>37.06</v>
      </c>
      <c r="Y43" s="291">
        <v>9.0579999999999998</v>
      </c>
      <c r="Z43" s="291">
        <v>-0.13100000000000001</v>
      </c>
      <c r="AA43" s="292">
        <v>1.1000000000000001E-3</v>
      </c>
      <c r="AB43" s="290"/>
      <c r="AC43" s="291">
        <v>4.0659999999999998</v>
      </c>
      <c r="AD43" s="291"/>
      <c r="AE43" s="293"/>
      <c r="AF43" s="290">
        <v>36.279000000000003</v>
      </c>
      <c r="AG43" s="291">
        <v>9.0990000000000002</v>
      </c>
      <c r="AH43" s="291">
        <v>-0.13100000000000001</v>
      </c>
      <c r="AI43" s="292">
        <v>1.1000000000000001E-3</v>
      </c>
      <c r="AJ43" s="290">
        <v>234.12700000000001</v>
      </c>
      <c r="AK43" s="291">
        <v>12.422000000000001</v>
      </c>
      <c r="AL43" s="291">
        <v>-0.09</v>
      </c>
      <c r="AM43" s="292">
        <v>1E-3</v>
      </c>
      <c r="AN43" s="290"/>
      <c r="AO43" s="291"/>
      <c r="AP43" s="291"/>
      <c r="AQ43" s="293"/>
      <c r="AR43" s="290">
        <v>234.12700000000001</v>
      </c>
      <c r="AS43" s="291">
        <v>12.422000000000001</v>
      </c>
      <c r="AT43" s="291">
        <v>-0.09</v>
      </c>
      <c r="AU43" s="292">
        <v>1E-3</v>
      </c>
      <c r="AV43" s="290">
        <v>475.423</v>
      </c>
      <c r="AW43" s="291">
        <v>24.69</v>
      </c>
      <c r="AX43" s="291">
        <v>-0.16400000000000001</v>
      </c>
      <c r="AY43" s="292">
        <v>1E-3</v>
      </c>
      <c r="AZ43" s="290"/>
      <c r="BA43" s="291"/>
      <c r="BB43" s="291"/>
      <c r="BC43" s="293"/>
      <c r="BD43" s="290">
        <v>475.423</v>
      </c>
      <c r="BE43" s="291">
        <v>24.69</v>
      </c>
      <c r="BF43" s="291">
        <v>-0.16400000000000001</v>
      </c>
      <c r="BG43" s="292">
        <v>1E-3</v>
      </c>
      <c r="BH43" s="290">
        <v>304.62200000000001</v>
      </c>
      <c r="BI43" s="291">
        <v>26.765999999999998</v>
      </c>
      <c r="BJ43" s="291">
        <v>-0.29099999999999998</v>
      </c>
      <c r="BK43" s="292">
        <v>2.0999999999999999E-3</v>
      </c>
      <c r="BL43" s="290"/>
      <c r="BM43" s="291"/>
      <c r="BN43" s="291"/>
      <c r="BO43" s="293"/>
      <c r="BP43" s="290">
        <v>304.62200000000001</v>
      </c>
      <c r="BQ43" s="291">
        <v>26.765999999999998</v>
      </c>
      <c r="BR43" s="291">
        <v>-0.29099999999999998</v>
      </c>
      <c r="BS43" s="292">
        <v>2.0999999999999999E-3</v>
      </c>
    </row>
    <row r="44" spans="1:71" ht="13.5" customHeight="1">
      <c r="A44" s="23"/>
      <c r="B44" s="294">
        <v>2027</v>
      </c>
      <c r="C44" s="22"/>
      <c r="D44" s="290">
        <v>32.825000000000003</v>
      </c>
      <c r="E44" s="291">
        <v>6.976</v>
      </c>
      <c r="F44" s="291">
        <v>-7.9000000000000001E-2</v>
      </c>
      <c r="G44" s="292">
        <v>5.0000000000000001E-4</v>
      </c>
      <c r="H44" s="290">
        <v>38.999000000000002</v>
      </c>
      <c r="I44" s="291">
        <v>5.5919999999999996</v>
      </c>
      <c r="J44" s="291">
        <v>-5.3999999999999999E-2</v>
      </c>
      <c r="K44" s="292">
        <v>4.0000000000000002E-4</v>
      </c>
      <c r="L44" s="290"/>
      <c r="M44" s="291">
        <v>2.7229999999999999</v>
      </c>
      <c r="N44" s="291"/>
      <c r="O44" s="293"/>
      <c r="P44" s="290">
        <v>32.072000000000003</v>
      </c>
      <c r="Q44" s="291">
        <v>6.0579999999999998</v>
      </c>
      <c r="R44" s="291">
        <v>-6.2E-2</v>
      </c>
      <c r="S44" s="292">
        <v>4.0000000000000002E-4</v>
      </c>
      <c r="T44" s="290">
        <v>24.228999999999999</v>
      </c>
      <c r="U44" s="291">
        <v>13.586</v>
      </c>
      <c r="V44" s="291">
        <v>-0.21299999999999999</v>
      </c>
      <c r="W44" s="292">
        <v>1.4E-3</v>
      </c>
      <c r="X44" s="290">
        <v>36.863</v>
      </c>
      <c r="Y44" s="291">
        <v>9.0090000000000003</v>
      </c>
      <c r="Z44" s="291">
        <v>-0.13</v>
      </c>
      <c r="AA44" s="292">
        <v>1.1000000000000001E-3</v>
      </c>
      <c r="AB44" s="290"/>
      <c r="AC44" s="291">
        <v>4</v>
      </c>
      <c r="AD44" s="291"/>
      <c r="AE44" s="293"/>
      <c r="AF44" s="290">
        <v>35.905000000000001</v>
      </c>
      <c r="AG44" s="291">
        <v>9.0259999999999998</v>
      </c>
      <c r="AH44" s="291">
        <v>-0.13</v>
      </c>
      <c r="AI44" s="292">
        <v>1.1000000000000001E-3</v>
      </c>
      <c r="AJ44" s="290">
        <v>234.595</v>
      </c>
      <c r="AK44" s="291">
        <v>12.446999999999999</v>
      </c>
      <c r="AL44" s="291">
        <v>-0.09</v>
      </c>
      <c r="AM44" s="292">
        <v>1E-3</v>
      </c>
      <c r="AN44" s="290"/>
      <c r="AO44" s="291"/>
      <c r="AP44" s="291"/>
      <c r="AQ44" s="293"/>
      <c r="AR44" s="290">
        <v>234.595</v>
      </c>
      <c r="AS44" s="291">
        <v>12.446999999999999</v>
      </c>
      <c r="AT44" s="291">
        <v>-0.09</v>
      </c>
      <c r="AU44" s="292">
        <v>1E-3</v>
      </c>
      <c r="AV44" s="290">
        <v>472.084</v>
      </c>
      <c r="AW44" s="291">
        <v>24.515999999999998</v>
      </c>
      <c r="AX44" s="291">
        <v>-0.16200000000000001</v>
      </c>
      <c r="AY44" s="292">
        <v>1E-3</v>
      </c>
      <c r="AZ44" s="290"/>
      <c r="BA44" s="291"/>
      <c r="BB44" s="291"/>
      <c r="BC44" s="293"/>
      <c r="BD44" s="290">
        <v>472.084</v>
      </c>
      <c r="BE44" s="291">
        <v>24.515999999999998</v>
      </c>
      <c r="BF44" s="291">
        <v>-0.16200000000000001</v>
      </c>
      <c r="BG44" s="292">
        <v>1E-3</v>
      </c>
      <c r="BH44" s="290">
        <v>307.92399999999998</v>
      </c>
      <c r="BI44" s="291">
        <v>27.056000000000001</v>
      </c>
      <c r="BJ44" s="291">
        <v>-0.29399999999999998</v>
      </c>
      <c r="BK44" s="292">
        <v>2.2000000000000001E-3</v>
      </c>
      <c r="BL44" s="290"/>
      <c r="BM44" s="291"/>
      <c r="BN44" s="291"/>
      <c r="BO44" s="293"/>
      <c r="BP44" s="290">
        <v>307.92399999999998</v>
      </c>
      <c r="BQ44" s="291">
        <v>27.056000000000001</v>
      </c>
      <c r="BR44" s="291">
        <v>-0.29399999999999998</v>
      </c>
      <c r="BS44" s="292">
        <v>2.2000000000000001E-3</v>
      </c>
    </row>
    <row r="45" spans="1:71" ht="13.5" customHeight="1">
      <c r="A45" s="23"/>
      <c r="B45" s="294">
        <v>2028</v>
      </c>
      <c r="C45" s="22"/>
      <c r="D45" s="290">
        <v>32.744</v>
      </c>
      <c r="E45" s="291">
        <v>6.9589999999999996</v>
      </c>
      <c r="F45" s="291">
        <v>-7.9000000000000001E-2</v>
      </c>
      <c r="G45" s="292">
        <v>5.0000000000000001E-4</v>
      </c>
      <c r="H45" s="290">
        <v>38.96</v>
      </c>
      <c r="I45" s="291">
        <v>5.5860000000000003</v>
      </c>
      <c r="J45" s="291">
        <v>-5.3999999999999999E-2</v>
      </c>
      <c r="K45" s="292">
        <v>4.0000000000000002E-4</v>
      </c>
      <c r="L45" s="290"/>
      <c r="M45" s="291">
        <v>2.6949999999999998</v>
      </c>
      <c r="N45" s="291"/>
      <c r="O45" s="293"/>
      <c r="P45" s="290">
        <v>31.227</v>
      </c>
      <c r="Q45" s="291">
        <v>5.9820000000000002</v>
      </c>
      <c r="R45" s="291">
        <v>-6.0999999999999999E-2</v>
      </c>
      <c r="S45" s="292">
        <v>4.0000000000000002E-4</v>
      </c>
      <c r="T45" s="290">
        <v>24.018000000000001</v>
      </c>
      <c r="U45" s="291">
        <v>13.468</v>
      </c>
      <c r="V45" s="291">
        <v>-0.21099999999999999</v>
      </c>
      <c r="W45" s="292">
        <v>1.4E-3</v>
      </c>
      <c r="X45" s="290">
        <v>36.72</v>
      </c>
      <c r="Y45" s="291">
        <v>8.9740000000000002</v>
      </c>
      <c r="Z45" s="291">
        <v>-0.129</v>
      </c>
      <c r="AA45" s="292">
        <v>1.1000000000000001E-3</v>
      </c>
      <c r="AB45" s="290"/>
      <c r="AC45" s="291">
        <v>3.9889999999999999</v>
      </c>
      <c r="AD45" s="291"/>
      <c r="AE45" s="293"/>
      <c r="AF45" s="290">
        <v>35.548999999999999</v>
      </c>
      <c r="AG45" s="291">
        <v>8.9670000000000005</v>
      </c>
      <c r="AH45" s="291">
        <v>-0.128</v>
      </c>
      <c r="AI45" s="292">
        <v>1.1000000000000001E-3</v>
      </c>
      <c r="AJ45" s="290">
        <v>235.077</v>
      </c>
      <c r="AK45" s="291">
        <v>12.473000000000001</v>
      </c>
      <c r="AL45" s="291">
        <v>-0.09</v>
      </c>
      <c r="AM45" s="292">
        <v>1E-3</v>
      </c>
      <c r="AN45" s="290"/>
      <c r="AO45" s="291"/>
      <c r="AP45" s="291"/>
      <c r="AQ45" s="293"/>
      <c r="AR45" s="290">
        <v>235.077</v>
      </c>
      <c r="AS45" s="291">
        <v>12.473000000000001</v>
      </c>
      <c r="AT45" s="291">
        <v>-0.09</v>
      </c>
      <c r="AU45" s="292">
        <v>1E-3</v>
      </c>
      <c r="AV45" s="290">
        <v>469.24700000000001</v>
      </c>
      <c r="AW45" s="291">
        <v>24.369</v>
      </c>
      <c r="AX45" s="291">
        <v>-0.161</v>
      </c>
      <c r="AY45" s="292">
        <v>1E-3</v>
      </c>
      <c r="AZ45" s="290"/>
      <c r="BA45" s="291"/>
      <c r="BB45" s="291"/>
      <c r="BC45" s="293"/>
      <c r="BD45" s="290">
        <v>469.24700000000001</v>
      </c>
      <c r="BE45" s="291">
        <v>24.369</v>
      </c>
      <c r="BF45" s="291">
        <v>-0.161</v>
      </c>
      <c r="BG45" s="292">
        <v>1E-3</v>
      </c>
      <c r="BH45" s="290">
        <v>311.19</v>
      </c>
      <c r="BI45" s="291">
        <v>27.343</v>
      </c>
      <c r="BJ45" s="291">
        <v>-0.29699999999999999</v>
      </c>
      <c r="BK45" s="292">
        <v>2.2000000000000001E-3</v>
      </c>
      <c r="BL45" s="290"/>
      <c r="BM45" s="291"/>
      <c r="BN45" s="291"/>
      <c r="BO45" s="293"/>
      <c r="BP45" s="290">
        <v>311.19</v>
      </c>
      <c r="BQ45" s="291">
        <v>27.343</v>
      </c>
      <c r="BR45" s="291">
        <v>-0.29699999999999999</v>
      </c>
      <c r="BS45" s="292">
        <v>2.2000000000000001E-3</v>
      </c>
    </row>
    <row r="46" spans="1:71" ht="13.5" customHeight="1">
      <c r="A46" s="23"/>
      <c r="B46" s="294">
        <v>2029</v>
      </c>
      <c r="C46" s="22"/>
      <c r="D46" s="290">
        <v>32.698</v>
      </c>
      <c r="E46" s="291">
        <v>6.9489999999999998</v>
      </c>
      <c r="F46" s="291">
        <v>-7.9000000000000001E-2</v>
      </c>
      <c r="G46" s="292">
        <v>5.0000000000000001E-4</v>
      </c>
      <c r="H46" s="290">
        <v>38.914999999999999</v>
      </c>
      <c r="I46" s="291">
        <v>5.5789999999999997</v>
      </c>
      <c r="J46" s="291">
        <v>-5.3999999999999999E-2</v>
      </c>
      <c r="K46" s="292">
        <v>4.0000000000000002E-4</v>
      </c>
      <c r="L46" s="290"/>
      <c r="M46" s="291">
        <v>2.6549999999999998</v>
      </c>
      <c r="N46" s="291"/>
      <c r="O46" s="293"/>
      <c r="P46" s="290">
        <v>30.393999999999998</v>
      </c>
      <c r="Q46" s="291">
        <v>5.9050000000000002</v>
      </c>
      <c r="R46" s="291">
        <v>-0.06</v>
      </c>
      <c r="S46" s="292">
        <v>4.0000000000000002E-4</v>
      </c>
      <c r="T46" s="290">
        <v>23.841000000000001</v>
      </c>
      <c r="U46" s="291">
        <v>13.369</v>
      </c>
      <c r="V46" s="291">
        <v>-0.21</v>
      </c>
      <c r="W46" s="292">
        <v>1.4E-3</v>
      </c>
      <c r="X46" s="290">
        <v>36.618000000000002</v>
      </c>
      <c r="Y46" s="291">
        <v>8.9499999999999993</v>
      </c>
      <c r="Z46" s="291">
        <v>-0.129</v>
      </c>
      <c r="AA46" s="292">
        <v>1.1000000000000001E-3</v>
      </c>
      <c r="AB46" s="290"/>
      <c r="AC46" s="291">
        <v>3.9470000000000001</v>
      </c>
      <c r="AD46" s="291"/>
      <c r="AE46" s="293"/>
      <c r="AF46" s="290">
        <v>35.198</v>
      </c>
      <c r="AG46" s="291">
        <v>8.9130000000000003</v>
      </c>
      <c r="AH46" s="291">
        <v>-0.127</v>
      </c>
      <c r="AI46" s="292">
        <v>1.1000000000000001E-3</v>
      </c>
      <c r="AJ46" s="290">
        <v>235.59200000000001</v>
      </c>
      <c r="AK46" s="291">
        <v>12.5</v>
      </c>
      <c r="AL46" s="291">
        <v>-0.09</v>
      </c>
      <c r="AM46" s="292">
        <v>1E-3</v>
      </c>
      <c r="AN46" s="290"/>
      <c r="AO46" s="291"/>
      <c r="AP46" s="291"/>
      <c r="AQ46" s="293"/>
      <c r="AR46" s="290">
        <v>235.59200000000001</v>
      </c>
      <c r="AS46" s="291">
        <v>12.5</v>
      </c>
      <c r="AT46" s="291">
        <v>-0.09</v>
      </c>
      <c r="AU46" s="292">
        <v>1E-3</v>
      </c>
      <c r="AV46" s="290">
        <v>466.84500000000003</v>
      </c>
      <c r="AW46" s="291">
        <v>24.244</v>
      </c>
      <c r="AX46" s="291">
        <v>-0.161</v>
      </c>
      <c r="AY46" s="292">
        <v>1E-3</v>
      </c>
      <c r="AZ46" s="290"/>
      <c r="BA46" s="291"/>
      <c r="BB46" s="291"/>
      <c r="BC46" s="293"/>
      <c r="BD46" s="290">
        <v>466.84500000000003</v>
      </c>
      <c r="BE46" s="291">
        <v>24.244</v>
      </c>
      <c r="BF46" s="291">
        <v>-0.161</v>
      </c>
      <c r="BG46" s="292">
        <v>1E-3</v>
      </c>
      <c r="BH46" s="290">
        <v>314.41199999999998</v>
      </c>
      <c r="BI46" s="291">
        <v>27.626000000000001</v>
      </c>
      <c r="BJ46" s="291">
        <v>-0.3</v>
      </c>
      <c r="BK46" s="292">
        <v>2.2000000000000001E-3</v>
      </c>
      <c r="BL46" s="290"/>
      <c r="BM46" s="291"/>
      <c r="BN46" s="291"/>
      <c r="BO46" s="293"/>
      <c r="BP46" s="290">
        <v>314.41199999999998</v>
      </c>
      <c r="BQ46" s="291">
        <v>27.626000000000001</v>
      </c>
      <c r="BR46" s="291">
        <v>-0.3</v>
      </c>
      <c r="BS46" s="292">
        <v>2.2000000000000001E-3</v>
      </c>
    </row>
    <row r="47" spans="1:71" ht="13.5" customHeight="1">
      <c r="A47" s="23"/>
      <c r="B47" s="294">
        <v>2030</v>
      </c>
      <c r="C47" s="22"/>
      <c r="D47" s="290">
        <v>32.25</v>
      </c>
      <c r="E47" s="291">
        <v>6.8540000000000001</v>
      </c>
      <c r="F47" s="291">
        <v>-7.8E-2</v>
      </c>
      <c r="G47" s="292">
        <v>5.0000000000000001E-4</v>
      </c>
      <c r="H47" s="290">
        <v>38.402999999999999</v>
      </c>
      <c r="I47" s="291">
        <v>5.5060000000000002</v>
      </c>
      <c r="J47" s="291">
        <v>-5.2999999999999999E-2</v>
      </c>
      <c r="K47" s="292">
        <v>4.0000000000000002E-4</v>
      </c>
      <c r="L47" s="290"/>
      <c r="M47" s="291">
        <v>2.6859999999999999</v>
      </c>
      <c r="N47" s="291"/>
      <c r="O47" s="293"/>
      <c r="P47" s="290">
        <v>29.196000000000002</v>
      </c>
      <c r="Q47" s="291">
        <v>5.7670000000000003</v>
      </c>
      <c r="R47" s="291">
        <v>-5.8000000000000003E-2</v>
      </c>
      <c r="S47" s="292">
        <v>4.0000000000000002E-4</v>
      </c>
      <c r="T47" s="290">
        <v>23.22</v>
      </c>
      <c r="U47" s="291">
        <v>13.02</v>
      </c>
      <c r="V47" s="291">
        <v>-0.20399999999999999</v>
      </c>
      <c r="W47" s="292">
        <v>1.2999999999999999E-3</v>
      </c>
      <c r="X47" s="290">
        <v>35.979999999999997</v>
      </c>
      <c r="Y47" s="291">
        <v>8.7940000000000005</v>
      </c>
      <c r="Z47" s="291">
        <v>-0.127</v>
      </c>
      <c r="AA47" s="292">
        <v>1.1000000000000001E-3</v>
      </c>
      <c r="AB47" s="290"/>
      <c r="AC47" s="291">
        <v>4.0049999999999999</v>
      </c>
      <c r="AD47" s="291"/>
      <c r="AE47" s="293"/>
      <c r="AF47" s="290">
        <v>34.299999999999997</v>
      </c>
      <c r="AG47" s="291">
        <v>8.7289999999999992</v>
      </c>
      <c r="AH47" s="291">
        <v>-0.124</v>
      </c>
      <c r="AI47" s="292">
        <v>1E-3</v>
      </c>
      <c r="AJ47" s="290">
        <v>234.66</v>
      </c>
      <c r="AK47" s="291">
        <v>12.45</v>
      </c>
      <c r="AL47" s="291">
        <v>-0.09</v>
      </c>
      <c r="AM47" s="292">
        <v>1E-3</v>
      </c>
      <c r="AN47" s="290"/>
      <c r="AO47" s="291"/>
      <c r="AP47" s="291"/>
      <c r="AQ47" s="293"/>
      <c r="AR47" s="290">
        <v>234.66</v>
      </c>
      <c r="AS47" s="291">
        <v>12.45</v>
      </c>
      <c r="AT47" s="291">
        <v>-0.09</v>
      </c>
      <c r="AU47" s="292">
        <v>1E-3</v>
      </c>
      <c r="AV47" s="290">
        <v>456.363</v>
      </c>
      <c r="AW47" s="291">
        <v>23.7</v>
      </c>
      <c r="AX47" s="291">
        <v>-0.157</v>
      </c>
      <c r="AY47" s="292">
        <v>8.9999999999999998E-4</v>
      </c>
      <c r="AZ47" s="290"/>
      <c r="BA47" s="291"/>
      <c r="BB47" s="291"/>
      <c r="BC47" s="293"/>
      <c r="BD47" s="290">
        <v>456.363</v>
      </c>
      <c r="BE47" s="291">
        <v>23.7</v>
      </c>
      <c r="BF47" s="291">
        <v>-0.157</v>
      </c>
      <c r="BG47" s="292">
        <v>8.9999999999999998E-4</v>
      </c>
      <c r="BH47" s="290">
        <v>317.59399999999999</v>
      </c>
      <c r="BI47" s="291">
        <v>27.905999999999999</v>
      </c>
      <c r="BJ47" s="291">
        <v>-0.30299999999999999</v>
      </c>
      <c r="BK47" s="292">
        <v>2.2000000000000001E-3</v>
      </c>
      <c r="BL47" s="290"/>
      <c r="BM47" s="291"/>
      <c r="BN47" s="291"/>
      <c r="BO47" s="293"/>
      <c r="BP47" s="290">
        <v>317.59399999999999</v>
      </c>
      <c r="BQ47" s="291">
        <v>27.905999999999999</v>
      </c>
      <c r="BR47" s="291">
        <v>-0.30299999999999999</v>
      </c>
      <c r="BS47" s="292">
        <v>2.2000000000000001E-3</v>
      </c>
    </row>
    <row r="48" spans="1:71" ht="13.5" customHeight="1">
      <c r="A48" s="23"/>
      <c r="B48" s="294">
        <v>2031</v>
      </c>
      <c r="C48" s="22"/>
      <c r="D48" s="290">
        <v>31.956</v>
      </c>
      <c r="E48" s="291">
        <v>6.7910000000000004</v>
      </c>
      <c r="F48" s="291">
        <v>-7.6999999999999999E-2</v>
      </c>
      <c r="G48" s="292">
        <v>5.0000000000000001E-4</v>
      </c>
      <c r="H48" s="290">
        <v>38.033000000000001</v>
      </c>
      <c r="I48" s="291">
        <v>5.4530000000000003</v>
      </c>
      <c r="J48" s="291">
        <v>-5.1999999999999998E-2</v>
      </c>
      <c r="K48" s="292">
        <v>4.0000000000000002E-4</v>
      </c>
      <c r="L48" s="290"/>
      <c r="M48" s="291">
        <v>2.6629999999999998</v>
      </c>
      <c r="N48" s="291"/>
      <c r="O48" s="293"/>
      <c r="P48" s="290">
        <v>28.170999999999999</v>
      </c>
      <c r="Q48" s="291">
        <v>5.6479999999999997</v>
      </c>
      <c r="R48" s="291">
        <v>-5.6000000000000001E-2</v>
      </c>
      <c r="S48" s="292">
        <v>4.0000000000000002E-4</v>
      </c>
      <c r="T48" s="290">
        <v>23.123999999999999</v>
      </c>
      <c r="U48" s="291">
        <v>12.965999999999999</v>
      </c>
      <c r="V48" s="291">
        <v>-0.20399999999999999</v>
      </c>
      <c r="W48" s="292">
        <v>1.2999999999999999E-3</v>
      </c>
      <c r="X48" s="290">
        <v>35.564999999999998</v>
      </c>
      <c r="Y48" s="291">
        <v>8.6920000000000002</v>
      </c>
      <c r="Z48" s="291">
        <v>-0.125</v>
      </c>
      <c r="AA48" s="292">
        <v>1.1000000000000001E-3</v>
      </c>
      <c r="AB48" s="290"/>
      <c r="AC48" s="291">
        <v>3.984</v>
      </c>
      <c r="AD48" s="291"/>
      <c r="AE48" s="293"/>
      <c r="AF48" s="290">
        <v>33.625</v>
      </c>
      <c r="AG48" s="291">
        <v>8.6020000000000003</v>
      </c>
      <c r="AH48" s="291">
        <v>-0.122</v>
      </c>
      <c r="AI48" s="292">
        <v>1E-3</v>
      </c>
      <c r="AJ48" s="290">
        <v>234.94499999999999</v>
      </c>
      <c r="AK48" s="291">
        <v>12.465999999999999</v>
      </c>
      <c r="AL48" s="291">
        <v>-0.09</v>
      </c>
      <c r="AM48" s="292">
        <v>1E-3</v>
      </c>
      <c r="AN48" s="290"/>
      <c r="AO48" s="291"/>
      <c r="AP48" s="291"/>
      <c r="AQ48" s="293"/>
      <c r="AR48" s="290">
        <v>234.94499999999999</v>
      </c>
      <c r="AS48" s="291">
        <v>12.465999999999999</v>
      </c>
      <c r="AT48" s="291">
        <v>-0.09</v>
      </c>
      <c r="AU48" s="292">
        <v>1E-3</v>
      </c>
      <c r="AV48" s="290">
        <v>448.49400000000003</v>
      </c>
      <c r="AW48" s="291">
        <v>23.291</v>
      </c>
      <c r="AX48" s="291">
        <v>-0.154</v>
      </c>
      <c r="AY48" s="292">
        <v>8.9999999999999998E-4</v>
      </c>
      <c r="AZ48" s="290"/>
      <c r="BA48" s="291"/>
      <c r="BB48" s="291"/>
      <c r="BC48" s="293"/>
      <c r="BD48" s="290">
        <v>448.49400000000003</v>
      </c>
      <c r="BE48" s="291">
        <v>23.291</v>
      </c>
      <c r="BF48" s="291">
        <v>-0.154</v>
      </c>
      <c r="BG48" s="292">
        <v>8.9999999999999998E-4</v>
      </c>
      <c r="BH48" s="290">
        <v>322.19</v>
      </c>
      <c r="BI48" s="291">
        <v>28.31</v>
      </c>
      <c r="BJ48" s="291">
        <v>-0.308</v>
      </c>
      <c r="BK48" s="292">
        <v>2.3E-3</v>
      </c>
      <c r="BL48" s="290"/>
      <c r="BM48" s="291"/>
      <c r="BN48" s="291"/>
      <c r="BO48" s="293"/>
      <c r="BP48" s="290">
        <v>322.19</v>
      </c>
      <c r="BQ48" s="291">
        <v>28.31</v>
      </c>
      <c r="BR48" s="291">
        <v>-0.308</v>
      </c>
      <c r="BS48" s="292">
        <v>2.3E-3</v>
      </c>
    </row>
    <row r="49" spans="1:71" ht="13.5" customHeight="1">
      <c r="A49" s="23"/>
      <c r="B49" s="294">
        <v>2032</v>
      </c>
      <c r="C49" s="22"/>
      <c r="D49" s="290">
        <v>31.576000000000001</v>
      </c>
      <c r="E49" s="291">
        <v>6.71</v>
      </c>
      <c r="F49" s="291">
        <v>-7.5999999999999998E-2</v>
      </c>
      <c r="G49" s="292">
        <v>5.0000000000000001E-4</v>
      </c>
      <c r="H49" s="290">
        <v>37.484999999999999</v>
      </c>
      <c r="I49" s="291">
        <v>5.3739999999999997</v>
      </c>
      <c r="J49" s="291">
        <v>-5.1999999999999998E-2</v>
      </c>
      <c r="K49" s="292">
        <v>4.0000000000000002E-4</v>
      </c>
      <c r="L49" s="290"/>
      <c r="M49" s="291">
        <v>2.5920000000000001</v>
      </c>
      <c r="N49" s="291"/>
      <c r="O49" s="293"/>
      <c r="P49" s="290">
        <v>27.093</v>
      </c>
      <c r="Q49" s="291">
        <v>5.5039999999999996</v>
      </c>
      <c r="R49" s="291">
        <v>-5.3999999999999999E-2</v>
      </c>
      <c r="S49" s="292">
        <v>4.0000000000000002E-4</v>
      </c>
      <c r="T49" s="290">
        <v>22.666</v>
      </c>
      <c r="U49" s="291">
        <v>12.71</v>
      </c>
      <c r="V49" s="291">
        <v>-0.2</v>
      </c>
      <c r="W49" s="292">
        <v>1.2999999999999999E-3</v>
      </c>
      <c r="X49" s="290">
        <v>35.143000000000001</v>
      </c>
      <c r="Y49" s="291">
        <v>8.5890000000000004</v>
      </c>
      <c r="Z49" s="291">
        <v>-0.124</v>
      </c>
      <c r="AA49" s="292">
        <v>1E-3</v>
      </c>
      <c r="AB49" s="290"/>
      <c r="AC49" s="291">
        <v>3.8889999999999998</v>
      </c>
      <c r="AD49" s="291"/>
      <c r="AE49" s="293"/>
      <c r="AF49" s="290">
        <v>32.923999999999999</v>
      </c>
      <c r="AG49" s="291">
        <v>8.4640000000000004</v>
      </c>
      <c r="AH49" s="291">
        <v>-0.12</v>
      </c>
      <c r="AI49" s="292">
        <v>1E-3</v>
      </c>
      <c r="AJ49" s="290">
        <v>234.149</v>
      </c>
      <c r="AK49" s="291">
        <v>12.423</v>
      </c>
      <c r="AL49" s="291">
        <v>-0.09</v>
      </c>
      <c r="AM49" s="292">
        <v>1E-3</v>
      </c>
      <c r="AN49" s="290"/>
      <c r="AO49" s="291"/>
      <c r="AP49" s="291"/>
      <c r="AQ49" s="293"/>
      <c r="AR49" s="290">
        <v>234.149</v>
      </c>
      <c r="AS49" s="291">
        <v>12.423</v>
      </c>
      <c r="AT49" s="291">
        <v>-0.09</v>
      </c>
      <c r="AU49" s="292">
        <v>1E-3</v>
      </c>
      <c r="AV49" s="290">
        <v>439.49400000000003</v>
      </c>
      <c r="AW49" s="291">
        <v>22.824000000000002</v>
      </c>
      <c r="AX49" s="291">
        <v>-0.151</v>
      </c>
      <c r="AY49" s="292">
        <v>8.9999999999999998E-4</v>
      </c>
      <c r="AZ49" s="290"/>
      <c r="BA49" s="291"/>
      <c r="BB49" s="291"/>
      <c r="BC49" s="293"/>
      <c r="BD49" s="290">
        <v>439.49400000000003</v>
      </c>
      <c r="BE49" s="291">
        <v>22.824000000000002</v>
      </c>
      <c r="BF49" s="291">
        <v>-0.151</v>
      </c>
      <c r="BG49" s="292">
        <v>8.9999999999999998E-4</v>
      </c>
      <c r="BH49" s="290">
        <v>325.30900000000003</v>
      </c>
      <c r="BI49" s="291">
        <v>28.584</v>
      </c>
      <c r="BJ49" s="291">
        <v>-0.311</v>
      </c>
      <c r="BK49" s="292">
        <v>2.3E-3</v>
      </c>
      <c r="BL49" s="290"/>
      <c r="BM49" s="291"/>
      <c r="BN49" s="291"/>
      <c r="BO49" s="293"/>
      <c r="BP49" s="290">
        <v>325.30900000000003</v>
      </c>
      <c r="BQ49" s="291">
        <v>28.584</v>
      </c>
      <c r="BR49" s="291">
        <v>-0.311</v>
      </c>
      <c r="BS49" s="292">
        <v>2.3E-3</v>
      </c>
    </row>
    <row r="50" spans="1:71" ht="13.5" customHeight="1">
      <c r="A50" s="23"/>
      <c r="B50" s="294">
        <v>2033</v>
      </c>
      <c r="C50" s="22"/>
      <c r="D50" s="290">
        <v>31.216999999999999</v>
      </c>
      <c r="E50" s="291">
        <v>6.6340000000000003</v>
      </c>
      <c r="F50" s="291">
        <v>-7.5999999999999998E-2</v>
      </c>
      <c r="G50" s="292">
        <v>5.0000000000000001E-4</v>
      </c>
      <c r="H50" s="290">
        <v>37.014000000000003</v>
      </c>
      <c r="I50" s="291">
        <v>5.3070000000000004</v>
      </c>
      <c r="J50" s="291">
        <v>-5.0999999999999997E-2</v>
      </c>
      <c r="K50" s="292">
        <v>4.0000000000000002E-4</v>
      </c>
      <c r="L50" s="290"/>
      <c r="M50" s="291">
        <v>2.5139999999999998</v>
      </c>
      <c r="N50" s="291"/>
      <c r="O50" s="293"/>
      <c r="P50" s="290">
        <v>26.097999999999999</v>
      </c>
      <c r="Q50" s="291">
        <v>5.3659999999999997</v>
      </c>
      <c r="R50" s="291">
        <v>-5.1999999999999998E-2</v>
      </c>
      <c r="S50" s="292">
        <v>4.0000000000000002E-4</v>
      </c>
      <c r="T50" s="290">
        <v>22.225999999999999</v>
      </c>
      <c r="U50" s="291">
        <v>12.462999999999999</v>
      </c>
      <c r="V50" s="291">
        <v>-0.19600000000000001</v>
      </c>
      <c r="W50" s="292">
        <v>1.2999999999999999E-3</v>
      </c>
      <c r="X50" s="290">
        <v>34.762</v>
      </c>
      <c r="Y50" s="291">
        <v>8.4960000000000004</v>
      </c>
      <c r="Z50" s="291">
        <v>-0.123</v>
      </c>
      <c r="AA50" s="292">
        <v>1E-3</v>
      </c>
      <c r="AB50" s="290"/>
      <c r="AC50" s="291">
        <v>3.7839999999999998</v>
      </c>
      <c r="AD50" s="291"/>
      <c r="AE50" s="293"/>
      <c r="AF50" s="290">
        <v>32.255000000000003</v>
      </c>
      <c r="AG50" s="291">
        <v>8.3309999999999995</v>
      </c>
      <c r="AH50" s="291">
        <v>-0.11700000000000001</v>
      </c>
      <c r="AI50" s="292">
        <v>1E-3</v>
      </c>
      <c r="AJ50" s="290">
        <v>233.44</v>
      </c>
      <c r="AK50" s="291">
        <v>12.385999999999999</v>
      </c>
      <c r="AL50" s="291">
        <v>-0.09</v>
      </c>
      <c r="AM50" s="292">
        <v>1E-3</v>
      </c>
      <c r="AN50" s="290"/>
      <c r="AO50" s="291"/>
      <c r="AP50" s="291"/>
      <c r="AQ50" s="293"/>
      <c r="AR50" s="290">
        <v>233.44</v>
      </c>
      <c r="AS50" s="291">
        <v>12.385999999999999</v>
      </c>
      <c r="AT50" s="291">
        <v>-0.09</v>
      </c>
      <c r="AU50" s="292">
        <v>1E-3</v>
      </c>
      <c r="AV50" s="290">
        <v>431.83199999999999</v>
      </c>
      <c r="AW50" s="291">
        <v>22.425999999999998</v>
      </c>
      <c r="AX50" s="291">
        <v>-0.14899999999999999</v>
      </c>
      <c r="AY50" s="292">
        <v>8.9999999999999998E-4</v>
      </c>
      <c r="AZ50" s="290"/>
      <c r="BA50" s="291"/>
      <c r="BB50" s="291"/>
      <c r="BC50" s="293"/>
      <c r="BD50" s="290">
        <v>431.83199999999999</v>
      </c>
      <c r="BE50" s="291">
        <v>22.425999999999998</v>
      </c>
      <c r="BF50" s="291">
        <v>-0.14899999999999999</v>
      </c>
      <c r="BG50" s="292">
        <v>8.9999999999999998E-4</v>
      </c>
      <c r="BH50" s="290">
        <v>328.39600000000002</v>
      </c>
      <c r="BI50" s="291">
        <v>28.855</v>
      </c>
      <c r="BJ50" s="291">
        <v>-0.314</v>
      </c>
      <c r="BK50" s="292">
        <v>2.3E-3</v>
      </c>
      <c r="BL50" s="290"/>
      <c r="BM50" s="291"/>
      <c r="BN50" s="291"/>
      <c r="BO50" s="293"/>
      <c r="BP50" s="290">
        <v>328.39600000000002</v>
      </c>
      <c r="BQ50" s="291">
        <v>28.855</v>
      </c>
      <c r="BR50" s="291">
        <v>-0.314</v>
      </c>
      <c r="BS50" s="292">
        <v>2.3E-3</v>
      </c>
    </row>
    <row r="51" spans="1:71" ht="13.5" customHeight="1">
      <c r="A51" s="23"/>
      <c r="B51" s="294">
        <v>2034</v>
      </c>
      <c r="C51" s="22"/>
      <c r="D51" s="290">
        <v>30.884</v>
      </c>
      <c r="E51" s="291">
        <v>6.5629999999999997</v>
      </c>
      <c r="F51" s="291">
        <v>-7.4999999999999997E-2</v>
      </c>
      <c r="G51" s="292">
        <v>5.0000000000000001E-4</v>
      </c>
      <c r="H51" s="290">
        <v>36.612000000000002</v>
      </c>
      <c r="I51" s="291">
        <v>5.2489999999999997</v>
      </c>
      <c r="J51" s="291">
        <v>-0.05</v>
      </c>
      <c r="K51" s="292">
        <v>4.0000000000000002E-4</v>
      </c>
      <c r="L51" s="290"/>
      <c r="M51" s="291">
        <v>2.4689999999999999</v>
      </c>
      <c r="N51" s="291"/>
      <c r="O51" s="293"/>
      <c r="P51" s="290">
        <v>25.178999999999998</v>
      </c>
      <c r="Q51" s="291">
        <v>5.2409999999999997</v>
      </c>
      <c r="R51" s="291">
        <v>-5.0999999999999997E-2</v>
      </c>
      <c r="S51" s="292">
        <v>4.0000000000000002E-4</v>
      </c>
      <c r="T51" s="290">
        <v>21.675999999999998</v>
      </c>
      <c r="U51" s="291">
        <v>12.154999999999999</v>
      </c>
      <c r="V51" s="291">
        <v>-0.191</v>
      </c>
      <c r="W51" s="292">
        <v>1.1999999999999999E-3</v>
      </c>
      <c r="X51" s="290">
        <v>34.508000000000003</v>
      </c>
      <c r="Y51" s="291">
        <v>8.4339999999999993</v>
      </c>
      <c r="Z51" s="291">
        <v>-0.122</v>
      </c>
      <c r="AA51" s="292">
        <v>1E-3</v>
      </c>
      <c r="AB51" s="290"/>
      <c r="AC51" s="291">
        <v>3.7250000000000001</v>
      </c>
      <c r="AD51" s="291"/>
      <c r="AE51" s="293"/>
      <c r="AF51" s="290">
        <v>31.693000000000001</v>
      </c>
      <c r="AG51" s="291">
        <v>8.2260000000000009</v>
      </c>
      <c r="AH51" s="291">
        <v>-0.115</v>
      </c>
      <c r="AI51" s="292">
        <v>1E-3</v>
      </c>
      <c r="AJ51" s="290">
        <v>232.84100000000001</v>
      </c>
      <c r="AK51" s="291">
        <v>12.353999999999999</v>
      </c>
      <c r="AL51" s="291">
        <v>-8.8999999999999996E-2</v>
      </c>
      <c r="AM51" s="292">
        <v>1E-3</v>
      </c>
      <c r="AN51" s="290"/>
      <c r="AO51" s="291"/>
      <c r="AP51" s="291"/>
      <c r="AQ51" s="293"/>
      <c r="AR51" s="290">
        <v>232.84100000000001</v>
      </c>
      <c r="AS51" s="291">
        <v>12.353999999999999</v>
      </c>
      <c r="AT51" s="291">
        <v>-8.8999999999999996E-2</v>
      </c>
      <c r="AU51" s="292">
        <v>1E-3</v>
      </c>
      <c r="AV51" s="290">
        <v>425.16899999999998</v>
      </c>
      <c r="AW51" s="291">
        <v>22.08</v>
      </c>
      <c r="AX51" s="291">
        <v>-0.14599999999999999</v>
      </c>
      <c r="AY51" s="292">
        <v>8.9999999999999998E-4</v>
      </c>
      <c r="AZ51" s="290"/>
      <c r="BA51" s="291"/>
      <c r="BB51" s="291"/>
      <c r="BC51" s="293"/>
      <c r="BD51" s="290">
        <v>425.16899999999998</v>
      </c>
      <c r="BE51" s="291">
        <v>22.08</v>
      </c>
      <c r="BF51" s="291">
        <v>-0.14599999999999999</v>
      </c>
      <c r="BG51" s="292">
        <v>8.9999999999999998E-4</v>
      </c>
      <c r="BH51" s="290">
        <v>331.45</v>
      </c>
      <c r="BI51" s="291">
        <v>29.123999999999999</v>
      </c>
      <c r="BJ51" s="291">
        <v>-0.317</v>
      </c>
      <c r="BK51" s="292">
        <v>2.3E-3</v>
      </c>
      <c r="BL51" s="290"/>
      <c r="BM51" s="291"/>
      <c r="BN51" s="291"/>
      <c r="BO51" s="293"/>
      <c r="BP51" s="290">
        <v>331.45</v>
      </c>
      <c r="BQ51" s="291">
        <v>29.123999999999999</v>
      </c>
      <c r="BR51" s="291">
        <v>-0.317</v>
      </c>
      <c r="BS51" s="292">
        <v>2.3E-3</v>
      </c>
    </row>
    <row r="52" spans="1:71" ht="13.5" customHeight="1">
      <c r="A52" s="23"/>
      <c r="B52" s="294">
        <v>2035</v>
      </c>
      <c r="C52" s="22"/>
      <c r="D52" s="290">
        <v>30.594999999999999</v>
      </c>
      <c r="E52" s="291">
        <v>6.5019999999999998</v>
      </c>
      <c r="F52" s="291">
        <v>-7.3999999999999996E-2</v>
      </c>
      <c r="G52" s="292">
        <v>5.0000000000000001E-4</v>
      </c>
      <c r="H52" s="290">
        <v>36.274000000000001</v>
      </c>
      <c r="I52" s="291">
        <v>5.2009999999999996</v>
      </c>
      <c r="J52" s="291">
        <v>-0.05</v>
      </c>
      <c r="K52" s="292">
        <v>4.0000000000000002E-4</v>
      </c>
      <c r="L52" s="290"/>
      <c r="M52" s="291">
        <v>2.4239999999999999</v>
      </c>
      <c r="N52" s="291"/>
      <c r="O52" s="293"/>
      <c r="P52" s="290">
        <v>24.344999999999999</v>
      </c>
      <c r="Q52" s="291">
        <v>5.125</v>
      </c>
      <c r="R52" s="291">
        <v>-4.9000000000000002E-2</v>
      </c>
      <c r="S52" s="292">
        <v>2.9999999999999997E-4</v>
      </c>
      <c r="T52" s="290">
        <v>21.905000000000001</v>
      </c>
      <c r="U52" s="291">
        <v>12.282999999999999</v>
      </c>
      <c r="V52" s="291">
        <v>-0.193</v>
      </c>
      <c r="W52" s="292">
        <v>1.1999999999999999E-3</v>
      </c>
      <c r="X52" s="290">
        <v>34.296999999999997</v>
      </c>
      <c r="Y52" s="291">
        <v>8.3819999999999997</v>
      </c>
      <c r="Z52" s="291">
        <v>-0.121</v>
      </c>
      <c r="AA52" s="292">
        <v>1E-3</v>
      </c>
      <c r="AB52" s="290"/>
      <c r="AC52" s="291">
        <v>3.665</v>
      </c>
      <c r="AD52" s="291"/>
      <c r="AE52" s="293"/>
      <c r="AF52" s="290">
        <v>31.189</v>
      </c>
      <c r="AG52" s="291">
        <v>8.1430000000000007</v>
      </c>
      <c r="AH52" s="291">
        <v>-0.114</v>
      </c>
      <c r="AI52" s="292">
        <v>1E-3</v>
      </c>
      <c r="AJ52" s="290">
        <v>232.37200000000001</v>
      </c>
      <c r="AK52" s="291">
        <v>12.329000000000001</v>
      </c>
      <c r="AL52" s="291">
        <v>-8.8999999999999996E-2</v>
      </c>
      <c r="AM52" s="292">
        <v>1E-3</v>
      </c>
      <c r="AN52" s="290"/>
      <c r="AO52" s="291"/>
      <c r="AP52" s="291"/>
      <c r="AQ52" s="293"/>
      <c r="AR52" s="290">
        <v>232.37200000000001</v>
      </c>
      <c r="AS52" s="291">
        <v>12.329000000000001</v>
      </c>
      <c r="AT52" s="291">
        <v>-8.8999999999999996E-2</v>
      </c>
      <c r="AU52" s="292">
        <v>1E-3</v>
      </c>
      <c r="AV52" s="290">
        <v>420.18900000000002</v>
      </c>
      <c r="AW52" s="291">
        <v>21.821000000000002</v>
      </c>
      <c r="AX52" s="291">
        <v>-0.14499999999999999</v>
      </c>
      <c r="AY52" s="292">
        <v>8.9999999999999998E-4</v>
      </c>
      <c r="AZ52" s="290"/>
      <c r="BA52" s="291"/>
      <c r="BB52" s="291"/>
      <c r="BC52" s="293"/>
      <c r="BD52" s="290">
        <v>420.18900000000002</v>
      </c>
      <c r="BE52" s="291">
        <v>21.821000000000002</v>
      </c>
      <c r="BF52" s="291">
        <v>-0.14499999999999999</v>
      </c>
      <c r="BG52" s="292">
        <v>8.9999999999999998E-4</v>
      </c>
      <c r="BH52" s="290">
        <v>334.49799999999999</v>
      </c>
      <c r="BI52" s="291">
        <v>29.390999999999998</v>
      </c>
      <c r="BJ52" s="291">
        <v>-0.31900000000000001</v>
      </c>
      <c r="BK52" s="292">
        <v>2.3E-3</v>
      </c>
      <c r="BL52" s="290"/>
      <c r="BM52" s="291"/>
      <c r="BN52" s="291"/>
      <c r="BO52" s="293"/>
      <c r="BP52" s="290">
        <v>334.49799999999999</v>
      </c>
      <c r="BQ52" s="291">
        <v>29.390999999999998</v>
      </c>
      <c r="BR52" s="291">
        <v>-0.31900000000000001</v>
      </c>
      <c r="BS52" s="292">
        <v>2.3E-3</v>
      </c>
    </row>
    <row r="53" spans="1:71" ht="13.5" customHeight="1">
      <c r="A53" s="23"/>
      <c r="B53" s="294">
        <v>2036</v>
      </c>
      <c r="C53" s="22"/>
      <c r="D53" s="290">
        <v>30.212</v>
      </c>
      <c r="E53" s="291">
        <v>6.42</v>
      </c>
      <c r="F53" s="291">
        <v>-7.2999999999999995E-2</v>
      </c>
      <c r="G53" s="292">
        <v>5.0000000000000001E-4</v>
      </c>
      <c r="H53" s="290">
        <v>35.771000000000001</v>
      </c>
      <c r="I53" s="291">
        <v>5.1289999999999996</v>
      </c>
      <c r="J53" s="291">
        <v>-4.9000000000000002E-2</v>
      </c>
      <c r="K53" s="292">
        <v>4.0000000000000002E-4</v>
      </c>
      <c r="L53" s="290"/>
      <c r="M53" s="291">
        <v>2.399</v>
      </c>
      <c r="N53" s="291"/>
      <c r="O53" s="293"/>
      <c r="P53" s="290">
        <v>23.468</v>
      </c>
      <c r="Q53" s="291">
        <v>5.0019999999999998</v>
      </c>
      <c r="R53" s="291">
        <v>-4.7E-2</v>
      </c>
      <c r="S53" s="292">
        <v>2.9999999999999997E-4</v>
      </c>
      <c r="T53" s="290">
        <v>21.571000000000002</v>
      </c>
      <c r="U53" s="291">
        <v>12.096</v>
      </c>
      <c r="V53" s="291">
        <v>-0.19</v>
      </c>
      <c r="W53" s="292">
        <v>1.1999999999999999E-3</v>
      </c>
      <c r="X53" s="290">
        <v>33.932000000000002</v>
      </c>
      <c r="Y53" s="291">
        <v>8.2929999999999993</v>
      </c>
      <c r="Z53" s="291">
        <v>-0.12</v>
      </c>
      <c r="AA53" s="292">
        <v>1E-3</v>
      </c>
      <c r="AB53" s="290"/>
      <c r="AC53" s="291">
        <v>3.633</v>
      </c>
      <c r="AD53" s="291"/>
      <c r="AE53" s="293"/>
      <c r="AF53" s="290">
        <v>30.53</v>
      </c>
      <c r="AG53" s="291">
        <v>8.0180000000000007</v>
      </c>
      <c r="AH53" s="291">
        <v>-0.112</v>
      </c>
      <c r="AI53" s="292">
        <v>8.9999999999999998E-4</v>
      </c>
      <c r="AJ53" s="290">
        <v>230.774</v>
      </c>
      <c r="AK53" s="291">
        <v>12.244</v>
      </c>
      <c r="AL53" s="291">
        <v>-8.8999999999999996E-2</v>
      </c>
      <c r="AM53" s="292">
        <v>1E-3</v>
      </c>
      <c r="AN53" s="290"/>
      <c r="AO53" s="291"/>
      <c r="AP53" s="291"/>
      <c r="AQ53" s="293"/>
      <c r="AR53" s="290">
        <v>230.774</v>
      </c>
      <c r="AS53" s="291">
        <v>12.244</v>
      </c>
      <c r="AT53" s="291">
        <v>-8.8999999999999996E-2</v>
      </c>
      <c r="AU53" s="292">
        <v>1E-3</v>
      </c>
      <c r="AV53" s="290">
        <v>414.661</v>
      </c>
      <c r="AW53" s="291">
        <v>21.533999999999999</v>
      </c>
      <c r="AX53" s="291">
        <v>-0.14299999999999999</v>
      </c>
      <c r="AY53" s="292">
        <v>8.9999999999999998E-4</v>
      </c>
      <c r="AZ53" s="290"/>
      <c r="BA53" s="291"/>
      <c r="BB53" s="291"/>
      <c r="BC53" s="293"/>
      <c r="BD53" s="290">
        <v>414.661</v>
      </c>
      <c r="BE53" s="291">
        <v>21.533999999999999</v>
      </c>
      <c r="BF53" s="291">
        <v>-0.14299999999999999</v>
      </c>
      <c r="BG53" s="292">
        <v>8.9999999999999998E-4</v>
      </c>
      <c r="BH53" s="290">
        <v>335.64100000000002</v>
      </c>
      <c r="BI53" s="291">
        <v>29.492000000000001</v>
      </c>
      <c r="BJ53" s="291">
        <v>-0.32100000000000001</v>
      </c>
      <c r="BK53" s="292">
        <v>2.3999999999999998E-3</v>
      </c>
      <c r="BL53" s="290"/>
      <c r="BM53" s="291"/>
      <c r="BN53" s="291"/>
      <c r="BO53" s="293"/>
      <c r="BP53" s="290">
        <v>335.64100000000002</v>
      </c>
      <c r="BQ53" s="291">
        <v>29.492000000000001</v>
      </c>
      <c r="BR53" s="291">
        <v>-0.32100000000000001</v>
      </c>
      <c r="BS53" s="292">
        <v>2.3999999999999998E-3</v>
      </c>
    </row>
    <row r="54" spans="1:71" ht="13.5" customHeight="1">
      <c r="A54" s="23"/>
      <c r="B54" s="294">
        <v>2037</v>
      </c>
      <c r="C54" s="22"/>
      <c r="D54" s="290">
        <v>29.864000000000001</v>
      </c>
      <c r="E54" s="291">
        <v>6.3470000000000004</v>
      </c>
      <c r="F54" s="291">
        <v>-7.1999999999999995E-2</v>
      </c>
      <c r="G54" s="292">
        <v>5.0000000000000001E-4</v>
      </c>
      <c r="H54" s="290">
        <v>35.33</v>
      </c>
      <c r="I54" s="291">
        <v>5.0659999999999998</v>
      </c>
      <c r="J54" s="291">
        <v>-4.9000000000000002E-2</v>
      </c>
      <c r="K54" s="292">
        <v>4.0000000000000002E-4</v>
      </c>
      <c r="L54" s="290"/>
      <c r="M54" s="291">
        <v>2.3839999999999999</v>
      </c>
      <c r="N54" s="291"/>
      <c r="O54" s="293"/>
      <c r="P54" s="290">
        <v>22.667000000000002</v>
      </c>
      <c r="Q54" s="291">
        <v>4.8920000000000003</v>
      </c>
      <c r="R54" s="291">
        <v>-4.5999999999999999E-2</v>
      </c>
      <c r="S54" s="292">
        <v>2.9999999999999997E-4</v>
      </c>
      <c r="T54" s="290">
        <v>21.324999999999999</v>
      </c>
      <c r="U54" s="291">
        <v>11.958</v>
      </c>
      <c r="V54" s="291">
        <v>-0.188</v>
      </c>
      <c r="W54" s="292">
        <v>1.1999999999999999E-3</v>
      </c>
      <c r="X54" s="290">
        <v>33.595999999999997</v>
      </c>
      <c r="Y54" s="291">
        <v>8.2110000000000003</v>
      </c>
      <c r="Z54" s="291">
        <v>-0.11799999999999999</v>
      </c>
      <c r="AA54" s="292">
        <v>1E-3</v>
      </c>
      <c r="AB54" s="290"/>
      <c r="AC54" s="291">
        <v>3.6150000000000002</v>
      </c>
      <c r="AD54" s="291"/>
      <c r="AE54" s="293"/>
      <c r="AF54" s="290">
        <v>29.902999999999999</v>
      </c>
      <c r="AG54" s="291">
        <v>7.9020000000000001</v>
      </c>
      <c r="AH54" s="291">
        <v>-0.109</v>
      </c>
      <c r="AI54" s="292">
        <v>8.9999999999999998E-4</v>
      </c>
      <c r="AJ54" s="290">
        <v>229.39400000000001</v>
      </c>
      <c r="AK54" s="291">
        <v>12.170999999999999</v>
      </c>
      <c r="AL54" s="291">
        <v>-8.7999999999999995E-2</v>
      </c>
      <c r="AM54" s="292">
        <v>1E-3</v>
      </c>
      <c r="AN54" s="290"/>
      <c r="AO54" s="291"/>
      <c r="AP54" s="291"/>
      <c r="AQ54" s="293"/>
      <c r="AR54" s="290">
        <v>229.39400000000001</v>
      </c>
      <c r="AS54" s="291">
        <v>12.170999999999999</v>
      </c>
      <c r="AT54" s="291">
        <v>-8.7999999999999995E-2</v>
      </c>
      <c r="AU54" s="292">
        <v>1E-3</v>
      </c>
      <c r="AV54" s="290">
        <v>410.428</v>
      </c>
      <c r="AW54" s="291">
        <v>21.314</v>
      </c>
      <c r="AX54" s="291">
        <v>-0.14099999999999999</v>
      </c>
      <c r="AY54" s="292">
        <v>8.0000000000000004E-4</v>
      </c>
      <c r="AZ54" s="290"/>
      <c r="BA54" s="291"/>
      <c r="BB54" s="291"/>
      <c r="BC54" s="293"/>
      <c r="BD54" s="290">
        <v>410.428</v>
      </c>
      <c r="BE54" s="291">
        <v>21.314</v>
      </c>
      <c r="BF54" s="291">
        <v>-0.14099999999999999</v>
      </c>
      <c r="BG54" s="292">
        <v>8.0000000000000004E-4</v>
      </c>
      <c r="BH54" s="290">
        <v>336.78399999999999</v>
      </c>
      <c r="BI54" s="291">
        <v>29.591999999999999</v>
      </c>
      <c r="BJ54" s="291">
        <v>-0.32200000000000001</v>
      </c>
      <c r="BK54" s="292">
        <v>2.3999999999999998E-3</v>
      </c>
      <c r="BL54" s="290"/>
      <c r="BM54" s="291"/>
      <c r="BN54" s="291"/>
      <c r="BO54" s="293"/>
      <c r="BP54" s="290">
        <v>336.78399999999999</v>
      </c>
      <c r="BQ54" s="291">
        <v>29.591999999999999</v>
      </c>
      <c r="BR54" s="291">
        <v>-0.32200000000000001</v>
      </c>
      <c r="BS54" s="292">
        <v>2.3999999999999998E-3</v>
      </c>
    </row>
    <row r="55" spans="1:71" ht="13.5" customHeight="1">
      <c r="A55" s="23"/>
      <c r="B55" s="294">
        <v>2038</v>
      </c>
      <c r="C55" s="22"/>
      <c r="D55" s="290">
        <v>29.556999999999999</v>
      </c>
      <c r="E55" s="291">
        <v>6.2809999999999997</v>
      </c>
      <c r="F55" s="291">
        <v>-7.1999999999999995E-2</v>
      </c>
      <c r="G55" s="292">
        <v>5.0000000000000001E-4</v>
      </c>
      <c r="H55" s="290">
        <v>34.969000000000001</v>
      </c>
      <c r="I55" s="291">
        <v>5.0140000000000002</v>
      </c>
      <c r="J55" s="291">
        <v>-4.8000000000000001E-2</v>
      </c>
      <c r="K55" s="292">
        <v>4.0000000000000002E-4</v>
      </c>
      <c r="L55" s="290"/>
      <c r="M55" s="291">
        <v>2.3540000000000001</v>
      </c>
      <c r="N55" s="291"/>
      <c r="O55" s="293"/>
      <c r="P55" s="290">
        <v>21.956</v>
      </c>
      <c r="Q55" s="291">
        <v>4.79</v>
      </c>
      <c r="R55" s="291">
        <v>-4.3999999999999997E-2</v>
      </c>
      <c r="S55" s="292">
        <v>2.9999999999999997E-4</v>
      </c>
      <c r="T55" s="290">
        <v>20.808</v>
      </c>
      <c r="U55" s="291">
        <v>11.667999999999999</v>
      </c>
      <c r="V55" s="291">
        <v>-0.183</v>
      </c>
      <c r="W55" s="292">
        <v>1.1999999999999999E-3</v>
      </c>
      <c r="X55" s="290">
        <v>33.277999999999999</v>
      </c>
      <c r="Y55" s="291">
        <v>8.1329999999999991</v>
      </c>
      <c r="Z55" s="291">
        <v>-0.11700000000000001</v>
      </c>
      <c r="AA55" s="292">
        <v>1E-3</v>
      </c>
      <c r="AB55" s="290"/>
      <c r="AC55" s="291">
        <v>3.5750000000000002</v>
      </c>
      <c r="AD55" s="291"/>
      <c r="AE55" s="293"/>
      <c r="AF55" s="290">
        <v>29.286000000000001</v>
      </c>
      <c r="AG55" s="291">
        <v>7.782</v>
      </c>
      <c r="AH55" s="291">
        <v>-0.107</v>
      </c>
      <c r="AI55" s="292">
        <v>8.9999999999999998E-4</v>
      </c>
      <c r="AJ55" s="290">
        <v>228.22</v>
      </c>
      <c r="AK55" s="291">
        <v>12.109</v>
      </c>
      <c r="AL55" s="291">
        <v>-8.7999999999999995E-2</v>
      </c>
      <c r="AM55" s="292">
        <v>1E-3</v>
      </c>
      <c r="AN55" s="290"/>
      <c r="AO55" s="291"/>
      <c r="AP55" s="291"/>
      <c r="AQ55" s="293"/>
      <c r="AR55" s="290">
        <v>228.22</v>
      </c>
      <c r="AS55" s="291">
        <v>12.109</v>
      </c>
      <c r="AT55" s="291">
        <v>-8.7999999999999995E-2</v>
      </c>
      <c r="AU55" s="292">
        <v>1E-3</v>
      </c>
      <c r="AV55" s="290">
        <v>407.51100000000002</v>
      </c>
      <c r="AW55" s="291">
        <v>21.163</v>
      </c>
      <c r="AX55" s="291">
        <v>-0.14000000000000001</v>
      </c>
      <c r="AY55" s="292">
        <v>8.0000000000000004E-4</v>
      </c>
      <c r="AZ55" s="290"/>
      <c r="BA55" s="291"/>
      <c r="BB55" s="291"/>
      <c r="BC55" s="293"/>
      <c r="BD55" s="290">
        <v>407.51100000000002</v>
      </c>
      <c r="BE55" s="291">
        <v>21.163</v>
      </c>
      <c r="BF55" s="291">
        <v>-0.14000000000000001</v>
      </c>
      <c r="BG55" s="292">
        <v>8.0000000000000004E-4</v>
      </c>
      <c r="BH55" s="290">
        <v>337.92500000000001</v>
      </c>
      <c r="BI55" s="291">
        <v>29.692</v>
      </c>
      <c r="BJ55" s="291">
        <v>-0.32300000000000001</v>
      </c>
      <c r="BK55" s="292">
        <v>2.3999999999999998E-3</v>
      </c>
      <c r="BL55" s="290"/>
      <c r="BM55" s="291"/>
      <c r="BN55" s="291"/>
      <c r="BO55" s="293"/>
      <c r="BP55" s="290">
        <v>337.92500000000001</v>
      </c>
      <c r="BQ55" s="291">
        <v>29.692</v>
      </c>
      <c r="BR55" s="291">
        <v>-0.32300000000000001</v>
      </c>
      <c r="BS55" s="292">
        <v>2.3999999999999998E-3</v>
      </c>
    </row>
    <row r="56" spans="1:71" ht="13.5" customHeight="1">
      <c r="A56" s="23"/>
      <c r="B56" s="294">
        <v>2039</v>
      </c>
      <c r="C56" s="22"/>
      <c r="D56" s="290">
        <v>29.298999999999999</v>
      </c>
      <c r="E56" s="291">
        <v>6.226</v>
      </c>
      <c r="F56" s="291">
        <v>-7.0999999999999994E-2</v>
      </c>
      <c r="G56" s="292">
        <v>5.0000000000000001E-4</v>
      </c>
      <c r="H56" s="290">
        <v>34.706000000000003</v>
      </c>
      <c r="I56" s="291">
        <v>4.976</v>
      </c>
      <c r="J56" s="291">
        <v>-4.8000000000000001E-2</v>
      </c>
      <c r="K56" s="292">
        <v>4.0000000000000002E-4</v>
      </c>
      <c r="L56" s="290"/>
      <c r="M56" s="291">
        <v>2.379</v>
      </c>
      <c r="N56" s="291"/>
      <c r="O56" s="293"/>
      <c r="P56" s="290">
        <v>21.335000000000001</v>
      </c>
      <c r="Q56" s="291">
        <v>4.7160000000000002</v>
      </c>
      <c r="R56" s="291">
        <v>-4.2999999999999997E-2</v>
      </c>
      <c r="S56" s="292">
        <v>2.9999999999999997E-4</v>
      </c>
      <c r="T56" s="290">
        <v>20.8</v>
      </c>
      <c r="U56" s="291">
        <v>11.664</v>
      </c>
      <c r="V56" s="291">
        <v>-0.183</v>
      </c>
      <c r="W56" s="292">
        <v>1.1999999999999999E-3</v>
      </c>
      <c r="X56" s="290">
        <v>33.116999999999997</v>
      </c>
      <c r="Y56" s="291">
        <v>8.0939999999999994</v>
      </c>
      <c r="Z56" s="291">
        <v>-0.11700000000000001</v>
      </c>
      <c r="AA56" s="292">
        <v>1E-3</v>
      </c>
      <c r="AB56" s="290"/>
      <c r="AC56" s="291">
        <v>3.6160000000000001</v>
      </c>
      <c r="AD56" s="291"/>
      <c r="AE56" s="293"/>
      <c r="AF56" s="290">
        <v>28.824999999999999</v>
      </c>
      <c r="AG56" s="291">
        <v>7.7149999999999999</v>
      </c>
      <c r="AH56" s="291">
        <v>-0.106</v>
      </c>
      <c r="AI56" s="292">
        <v>8.9999999999999998E-4</v>
      </c>
      <c r="AJ56" s="290">
        <v>227.28299999999999</v>
      </c>
      <c r="AK56" s="291">
        <v>12.058999999999999</v>
      </c>
      <c r="AL56" s="291">
        <v>-8.6999999999999994E-2</v>
      </c>
      <c r="AM56" s="292">
        <v>1E-3</v>
      </c>
      <c r="AN56" s="290"/>
      <c r="AO56" s="291"/>
      <c r="AP56" s="291"/>
      <c r="AQ56" s="293"/>
      <c r="AR56" s="290">
        <v>227.28299999999999</v>
      </c>
      <c r="AS56" s="291">
        <v>12.058999999999999</v>
      </c>
      <c r="AT56" s="291">
        <v>-8.6999999999999994E-2</v>
      </c>
      <c r="AU56" s="292">
        <v>1E-3</v>
      </c>
      <c r="AV56" s="290">
        <v>405.63799999999998</v>
      </c>
      <c r="AW56" s="291">
        <v>21.065999999999999</v>
      </c>
      <c r="AX56" s="291">
        <v>-0.14000000000000001</v>
      </c>
      <c r="AY56" s="292">
        <v>8.0000000000000004E-4</v>
      </c>
      <c r="AZ56" s="290"/>
      <c r="BA56" s="291"/>
      <c r="BB56" s="291"/>
      <c r="BC56" s="293"/>
      <c r="BD56" s="290">
        <v>405.63799999999998</v>
      </c>
      <c r="BE56" s="291">
        <v>21.065999999999999</v>
      </c>
      <c r="BF56" s="291">
        <v>-0.14000000000000001</v>
      </c>
      <c r="BG56" s="292">
        <v>8.0000000000000004E-4</v>
      </c>
      <c r="BH56" s="290">
        <v>339.10700000000003</v>
      </c>
      <c r="BI56" s="291">
        <v>29.795999999999999</v>
      </c>
      <c r="BJ56" s="291">
        <v>-0.32400000000000001</v>
      </c>
      <c r="BK56" s="292">
        <v>2.3999999999999998E-3</v>
      </c>
      <c r="BL56" s="290"/>
      <c r="BM56" s="291"/>
      <c r="BN56" s="291"/>
      <c r="BO56" s="293"/>
      <c r="BP56" s="290">
        <v>339.10700000000003</v>
      </c>
      <c r="BQ56" s="291">
        <v>29.795999999999999</v>
      </c>
      <c r="BR56" s="291">
        <v>-0.32400000000000001</v>
      </c>
      <c r="BS56" s="292">
        <v>2.3999999999999998E-3</v>
      </c>
    </row>
    <row r="57" spans="1:71" ht="13.5" customHeight="1">
      <c r="A57" s="23"/>
      <c r="B57" s="294">
        <v>2040</v>
      </c>
      <c r="C57" s="22"/>
      <c r="D57" s="290">
        <v>29.058</v>
      </c>
      <c r="E57" s="291">
        <v>6.1749999999999998</v>
      </c>
      <c r="F57" s="291">
        <v>-7.0000000000000007E-2</v>
      </c>
      <c r="G57" s="292">
        <v>5.0000000000000001E-4</v>
      </c>
      <c r="H57" s="290">
        <v>34.43</v>
      </c>
      <c r="I57" s="291">
        <v>4.9359999999999999</v>
      </c>
      <c r="J57" s="291">
        <v>-4.7E-2</v>
      </c>
      <c r="K57" s="292">
        <v>4.0000000000000002E-4</v>
      </c>
      <c r="L57" s="290"/>
      <c r="M57" s="291">
        <v>2.335</v>
      </c>
      <c r="N57" s="291"/>
      <c r="O57" s="293"/>
      <c r="P57" s="290">
        <v>20.695</v>
      </c>
      <c r="Q57" s="291">
        <v>4.62</v>
      </c>
      <c r="R57" s="291">
        <v>-4.2000000000000003E-2</v>
      </c>
      <c r="S57" s="292">
        <v>2.9999999999999997E-4</v>
      </c>
      <c r="T57" s="290">
        <v>20.722000000000001</v>
      </c>
      <c r="U57" s="291">
        <v>11.62</v>
      </c>
      <c r="V57" s="291">
        <v>-0.182</v>
      </c>
      <c r="W57" s="292">
        <v>1.1999999999999999E-3</v>
      </c>
      <c r="X57" s="290">
        <v>32.982999999999997</v>
      </c>
      <c r="Y57" s="291">
        <v>8.0609999999999999</v>
      </c>
      <c r="Z57" s="291">
        <v>-0.11600000000000001</v>
      </c>
      <c r="AA57" s="292">
        <v>1E-3</v>
      </c>
      <c r="AB57" s="290"/>
      <c r="AC57" s="291">
        <v>3.5489999999999999</v>
      </c>
      <c r="AD57" s="291"/>
      <c r="AE57" s="293"/>
      <c r="AF57" s="290">
        <v>28.388000000000002</v>
      </c>
      <c r="AG57" s="291">
        <v>7.6390000000000002</v>
      </c>
      <c r="AH57" s="291">
        <v>-0.104</v>
      </c>
      <c r="AI57" s="292">
        <v>8.9999999999999998E-4</v>
      </c>
      <c r="AJ57" s="290">
        <v>226.613</v>
      </c>
      <c r="AK57" s="291">
        <v>12.023</v>
      </c>
      <c r="AL57" s="291">
        <v>-8.6999999999999994E-2</v>
      </c>
      <c r="AM57" s="292">
        <v>8.9999999999999998E-4</v>
      </c>
      <c r="AN57" s="290"/>
      <c r="AO57" s="291"/>
      <c r="AP57" s="291"/>
      <c r="AQ57" s="293"/>
      <c r="AR57" s="290">
        <v>226.613</v>
      </c>
      <c r="AS57" s="291">
        <v>12.023</v>
      </c>
      <c r="AT57" s="291">
        <v>-8.6999999999999994E-2</v>
      </c>
      <c r="AU57" s="292">
        <v>8.9999999999999998E-4</v>
      </c>
      <c r="AV57" s="290">
        <v>404.69</v>
      </c>
      <c r="AW57" s="291">
        <v>21.015999999999998</v>
      </c>
      <c r="AX57" s="291">
        <v>-0.13900000000000001</v>
      </c>
      <c r="AY57" s="292">
        <v>8.0000000000000004E-4</v>
      </c>
      <c r="AZ57" s="290"/>
      <c r="BA57" s="291"/>
      <c r="BB57" s="291"/>
      <c r="BC57" s="293"/>
      <c r="BD57" s="290">
        <v>404.69</v>
      </c>
      <c r="BE57" s="291">
        <v>21.015999999999998</v>
      </c>
      <c r="BF57" s="291">
        <v>-0.13900000000000001</v>
      </c>
      <c r="BG57" s="292">
        <v>8.0000000000000004E-4</v>
      </c>
      <c r="BH57" s="290">
        <v>340.35500000000002</v>
      </c>
      <c r="BI57" s="291">
        <v>29.905999999999999</v>
      </c>
      <c r="BJ57" s="291">
        <v>-0.32500000000000001</v>
      </c>
      <c r="BK57" s="292">
        <v>2.3999999999999998E-3</v>
      </c>
      <c r="BL57" s="290"/>
      <c r="BM57" s="291"/>
      <c r="BN57" s="291"/>
      <c r="BO57" s="293"/>
      <c r="BP57" s="290">
        <v>340.35500000000002</v>
      </c>
      <c r="BQ57" s="291">
        <v>29.905999999999999</v>
      </c>
      <c r="BR57" s="291">
        <v>-0.32500000000000001</v>
      </c>
      <c r="BS57" s="292">
        <v>2.3999999999999998E-3</v>
      </c>
    </row>
    <row r="58" spans="1:71" ht="13.5" customHeight="1">
      <c r="A58" s="23"/>
      <c r="B58" s="294">
        <v>2041</v>
      </c>
      <c r="C58" s="22"/>
      <c r="D58" s="290">
        <v>28.780999999999999</v>
      </c>
      <c r="E58" s="291">
        <v>6.1159999999999997</v>
      </c>
      <c r="F58" s="291">
        <v>-7.0000000000000007E-2</v>
      </c>
      <c r="G58" s="292">
        <v>5.0000000000000001E-4</v>
      </c>
      <c r="H58" s="290">
        <v>34.000999999999998</v>
      </c>
      <c r="I58" s="291">
        <v>4.875</v>
      </c>
      <c r="J58" s="291">
        <v>-4.7E-2</v>
      </c>
      <c r="K58" s="292">
        <v>4.0000000000000002E-4</v>
      </c>
      <c r="L58" s="290"/>
      <c r="M58" s="291">
        <v>2.3260000000000001</v>
      </c>
      <c r="N58" s="291"/>
      <c r="O58" s="293"/>
      <c r="P58" s="290">
        <v>20.045000000000002</v>
      </c>
      <c r="Q58" s="291">
        <v>4.5309999999999997</v>
      </c>
      <c r="R58" s="291">
        <v>-4.1000000000000002E-2</v>
      </c>
      <c r="S58" s="292">
        <v>2.9999999999999997E-4</v>
      </c>
      <c r="T58" s="290">
        <v>20.585999999999999</v>
      </c>
      <c r="U58" s="291">
        <v>11.542999999999999</v>
      </c>
      <c r="V58" s="291">
        <v>-0.18099999999999999</v>
      </c>
      <c r="W58" s="292">
        <v>1.1999999999999999E-3</v>
      </c>
      <c r="X58" s="290">
        <v>32.756</v>
      </c>
      <c r="Y58" s="291">
        <v>8.0060000000000002</v>
      </c>
      <c r="Z58" s="291">
        <v>-0.115</v>
      </c>
      <c r="AA58" s="292">
        <v>1E-3</v>
      </c>
      <c r="AB58" s="290"/>
      <c r="AC58" s="291">
        <v>3.536</v>
      </c>
      <c r="AD58" s="291"/>
      <c r="AE58" s="293"/>
      <c r="AF58" s="290">
        <v>27.884</v>
      </c>
      <c r="AG58" s="291">
        <v>7.5510000000000002</v>
      </c>
      <c r="AH58" s="291">
        <v>-0.10299999999999999</v>
      </c>
      <c r="AI58" s="292">
        <v>8.9999999999999998E-4</v>
      </c>
      <c r="AJ58" s="290">
        <v>226.06299999999999</v>
      </c>
      <c r="AK58" s="291">
        <v>11.994</v>
      </c>
      <c r="AL58" s="291">
        <v>-8.6999999999999994E-2</v>
      </c>
      <c r="AM58" s="292">
        <v>8.9999999999999998E-4</v>
      </c>
      <c r="AN58" s="290"/>
      <c r="AO58" s="291"/>
      <c r="AP58" s="291"/>
      <c r="AQ58" s="293"/>
      <c r="AR58" s="290">
        <v>226.06299999999999</v>
      </c>
      <c r="AS58" s="291">
        <v>11.994</v>
      </c>
      <c r="AT58" s="291">
        <v>-8.6999999999999994E-2</v>
      </c>
      <c r="AU58" s="292">
        <v>8.9999999999999998E-4</v>
      </c>
      <c r="AV58" s="290">
        <v>404.29899999999998</v>
      </c>
      <c r="AW58" s="291">
        <v>20.995999999999999</v>
      </c>
      <c r="AX58" s="291">
        <v>-0.13900000000000001</v>
      </c>
      <c r="AY58" s="292">
        <v>8.0000000000000004E-4</v>
      </c>
      <c r="AZ58" s="290"/>
      <c r="BA58" s="291"/>
      <c r="BB58" s="291"/>
      <c r="BC58" s="293"/>
      <c r="BD58" s="290">
        <v>404.29899999999998</v>
      </c>
      <c r="BE58" s="291">
        <v>20.995999999999999</v>
      </c>
      <c r="BF58" s="291">
        <v>-0.13900000000000001</v>
      </c>
      <c r="BG58" s="292">
        <v>8.0000000000000004E-4</v>
      </c>
      <c r="BH58" s="290">
        <v>341.51600000000002</v>
      </c>
      <c r="BI58" s="291">
        <v>30.007999999999999</v>
      </c>
      <c r="BJ58" s="291">
        <v>-0.32600000000000001</v>
      </c>
      <c r="BK58" s="292">
        <v>2.3999999999999998E-3</v>
      </c>
      <c r="BL58" s="290"/>
      <c r="BM58" s="291"/>
      <c r="BN58" s="291"/>
      <c r="BO58" s="293"/>
      <c r="BP58" s="290">
        <v>341.51600000000002</v>
      </c>
      <c r="BQ58" s="291">
        <v>30.007999999999999</v>
      </c>
      <c r="BR58" s="291">
        <v>-0.32600000000000001</v>
      </c>
      <c r="BS58" s="292">
        <v>2.3999999999999998E-3</v>
      </c>
    </row>
    <row r="59" spans="1:71" ht="13.5" customHeight="1">
      <c r="A59" s="23"/>
      <c r="B59" s="294">
        <v>2042</v>
      </c>
      <c r="C59" s="22"/>
      <c r="D59" s="290">
        <v>28.623000000000001</v>
      </c>
      <c r="E59" s="291">
        <v>6.0830000000000002</v>
      </c>
      <c r="F59" s="291">
        <v>-6.9000000000000006E-2</v>
      </c>
      <c r="G59" s="292">
        <v>5.0000000000000001E-4</v>
      </c>
      <c r="H59" s="290">
        <v>33.823</v>
      </c>
      <c r="I59" s="291">
        <v>4.8490000000000002</v>
      </c>
      <c r="J59" s="291">
        <v>-4.7E-2</v>
      </c>
      <c r="K59" s="292">
        <v>4.0000000000000002E-4</v>
      </c>
      <c r="L59" s="290"/>
      <c r="M59" s="291">
        <v>2.3180000000000001</v>
      </c>
      <c r="N59" s="291"/>
      <c r="O59" s="293"/>
      <c r="P59" s="290">
        <v>19.538</v>
      </c>
      <c r="Q59" s="291">
        <v>4.4649999999999999</v>
      </c>
      <c r="R59" s="291">
        <v>-0.04</v>
      </c>
      <c r="S59" s="292">
        <v>2.9999999999999997E-4</v>
      </c>
      <c r="T59" s="290">
        <v>20.552</v>
      </c>
      <c r="U59" s="291">
        <v>11.523999999999999</v>
      </c>
      <c r="V59" s="291">
        <v>-0.18099999999999999</v>
      </c>
      <c r="W59" s="292">
        <v>1.1999999999999999E-3</v>
      </c>
      <c r="X59" s="290">
        <v>32.689</v>
      </c>
      <c r="Y59" s="291">
        <v>7.9889999999999999</v>
      </c>
      <c r="Z59" s="291">
        <v>-0.115</v>
      </c>
      <c r="AA59" s="292">
        <v>1E-3</v>
      </c>
      <c r="AB59" s="290"/>
      <c r="AC59" s="291">
        <v>3.5190000000000001</v>
      </c>
      <c r="AD59" s="291"/>
      <c r="AE59" s="293"/>
      <c r="AF59" s="290">
        <v>27.521000000000001</v>
      </c>
      <c r="AG59" s="291">
        <v>7.4980000000000002</v>
      </c>
      <c r="AH59" s="291">
        <v>-0.10199999999999999</v>
      </c>
      <c r="AI59" s="292">
        <v>8.0000000000000004E-4</v>
      </c>
      <c r="AJ59" s="290">
        <v>225.631</v>
      </c>
      <c r="AK59" s="291">
        <v>11.971</v>
      </c>
      <c r="AL59" s="291">
        <v>-8.6999999999999994E-2</v>
      </c>
      <c r="AM59" s="292">
        <v>8.9999999999999998E-4</v>
      </c>
      <c r="AN59" s="290"/>
      <c r="AO59" s="291"/>
      <c r="AP59" s="291"/>
      <c r="AQ59" s="293"/>
      <c r="AR59" s="290">
        <v>225.631</v>
      </c>
      <c r="AS59" s="291">
        <v>11.971</v>
      </c>
      <c r="AT59" s="291">
        <v>-8.6999999999999994E-2</v>
      </c>
      <c r="AU59" s="292">
        <v>8.9999999999999998E-4</v>
      </c>
      <c r="AV59" s="290">
        <v>404.24200000000002</v>
      </c>
      <c r="AW59" s="291">
        <v>20.992999999999999</v>
      </c>
      <c r="AX59" s="291">
        <v>-0.13900000000000001</v>
      </c>
      <c r="AY59" s="292">
        <v>8.0000000000000004E-4</v>
      </c>
      <c r="AZ59" s="290"/>
      <c r="BA59" s="291"/>
      <c r="BB59" s="291"/>
      <c r="BC59" s="293"/>
      <c r="BD59" s="290">
        <v>404.24200000000002</v>
      </c>
      <c r="BE59" s="291">
        <v>20.992999999999999</v>
      </c>
      <c r="BF59" s="291">
        <v>-0.13900000000000001</v>
      </c>
      <c r="BG59" s="292">
        <v>8.0000000000000004E-4</v>
      </c>
      <c r="BH59" s="290">
        <v>342.61700000000002</v>
      </c>
      <c r="BI59" s="291">
        <v>30.105</v>
      </c>
      <c r="BJ59" s="291">
        <v>-0.32700000000000001</v>
      </c>
      <c r="BK59" s="292">
        <v>2.3999999999999998E-3</v>
      </c>
      <c r="BL59" s="290"/>
      <c r="BM59" s="291"/>
      <c r="BN59" s="291"/>
      <c r="BO59" s="293"/>
      <c r="BP59" s="290">
        <v>342.61700000000002</v>
      </c>
      <c r="BQ59" s="291">
        <v>30.105</v>
      </c>
      <c r="BR59" s="291">
        <v>-0.32700000000000001</v>
      </c>
      <c r="BS59" s="292">
        <v>2.3999999999999998E-3</v>
      </c>
    </row>
    <row r="60" spans="1:71" ht="13.5" customHeight="1">
      <c r="A60" s="23"/>
      <c r="B60" s="294">
        <v>2043</v>
      </c>
      <c r="C60" s="22"/>
      <c r="D60" s="290">
        <v>28.498000000000001</v>
      </c>
      <c r="E60" s="291">
        <v>6.056</v>
      </c>
      <c r="F60" s="291">
        <v>-6.9000000000000006E-2</v>
      </c>
      <c r="G60" s="292">
        <v>5.0000000000000001E-4</v>
      </c>
      <c r="H60" s="290">
        <v>33.695999999999998</v>
      </c>
      <c r="I60" s="291">
        <v>4.8310000000000004</v>
      </c>
      <c r="J60" s="291">
        <v>-4.5999999999999999E-2</v>
      </c>
      <c r="K60" s="292">
        <v>4.0000000000000002E-4</v>
      </c>
      <c r="L60" s="290"/>
      <c r="M60" s="291">
        <v>2.3090000000000002</v>
      </c>
      <c r="N60" s="291"/>
      <c r="O60" s="293"/>
      <c r="P60" s="290">
        <v>19.085000000000001</v>
      </c>
      <c r="Q60" s="291">
        <v>4.4059999999999997</v>
      </c>
      <c r="R60" s="291">
        <v>-3.9E-2</v>
      </c>
      <c r="S60" s="292">
        <v>2.9999999999999997E-4</v>
      </c>
      <c r="T60" s="290">
        <v>20.533999999999999</v>
      </c>
      <c r="U60" s="291">
        <v>11.513999999999999</v>
      </c>
      <c r="V60" s="291">
        <v>-0.18099999999999999</v>
      </c>
      <c r="W60" s="292">
        <v>1.1999999999999999E-3</v>
      </c>
      <c r="X60" s="290">
        <v>32.65</v>
      </c>
      <c r="Y60" s="291">
        <v>7.98</v>
      </c>
      <c r="Z60" s="291">
        <v>-0.115</v>
      </c>
      <c r="AA60" s="292">
        <v>1E-3</v>
      </c>
      <c r="AB60" s="290"/>
      <c r="AC60" s="291">
        <v>3.5</v>
      </c>
      <c r="AD60" s="291"/>
      <c r="AE60" s="293"/>
      <c r="AF60" s="290">
        <v>27.181000000000001</v>
      </c>
      <c r="AG60" s="291">
        <v>7.45</v>
      </c>
      <c r="AH60" s="291">
        <v>-0.1</v>
      </c>
      <c r="AI60" s="292">
        <v>8.0000000000000004E-4</v>
      </c>
      <c r="AJ60" s="290">
        <v>225.33099999999999</v>
      </c>
      <c r="AK60" s="291">
        <v>11.955</v>
      </c>
      <c r="AL60" s="291">
        <v>-8.5999999999999993E-2</v>
      </c>
      <c r="AM60" s="292">
        <v>8.9999999999999998E-4</v>
      </c>
      <c r="AN60" s="290"/>
      <c r="AO60" s="291"/>
      <c r="AP60" s="291"/>
      <c r="AQ60" s="293"/>
      <c r="AR60" s="290">
        <v>225.33099999999999</v>
      </c>
      <c r="AS60" s="291">
        <v>11.955</v>
      </c>
      <c r="AT60" s="291">
        <v>-8.5999999999999993E-2</v>
      </c>
      <c r="AU60" s="292">
        <v>8.9999999999999998E-4</v>
      </c>
      <c r="AV60" s="290">
        <v>404.48700000000002</v>
      </c>
      <c r="AW60" s="291">
        <v>21.006</v>
      </c>
      <c r="AX60" s="291">
        <v>-0.13900000000000001</v>
      </c>
      <c r="AY60" s="292">
        <v>8.0000000000000004E-4</v>
      </c>
      <c r="AZ60" s="290"/>
      <c r="BA60" s="291"/>
      <c r="BB60" s="291"/>
      <c r="BC60" s="293"/>
      <c r="BD60" s="290">
        <v>404.48700000000002</v>
      </c>
      <c r="BE60" s="291">
        <v>21.006</v>
      </c>
      <c r="BF60" s="291">
        <v>-0.13900000000000001</v>
      </c>
      <c r="BG60" s="292">
        <v>8.0000000000000004E-4</v>
      </c>
      <c r="BH60" s="290">
        <v>343.71300000000002</v>
      </c>
      <c r="BI60" s="291">
        <v>30.201000000000001</v>
      </c>
      <c r="BJ60" s="291">
        <v>-0.32800000000000001</v>
      </c>
      <c r="BK60" s="292">
        <v>2.3999999999999998E-3</v>
      </c>
      <c r="BL60" s="290"/>
      <c r="BM60" s="291"/>
      <c r="BN60" s="291"/>
      <c r="BO60" s="293"/>
      <c r="BP60" s="290">
        <v>343.71300000000002</v>
      </c>
      <c r="BQ60" s="291">
        <v>30.201000000000001</v>
      </c>
      <c r="BR60" s="291">
        <v>-0.32800000000000001</v>
      </c>
      <c r="BS60" s="292">
        <v>2.3999999999999998E-3</v>
      </c>
    </row>
    <row r="61" spans="1:71" ht="13.5" customHeight="1">
      <c r="A61" s="23"/>
      <c r="B61" s="294">
        <v>2044</v>
      </c>
      <c r="C61" s="22"/>
      <c r="D61" s="290">
        <v>28.414000000000001</v>
      </c>
      <c r="E61" s="291">
        <v>6.0389999999999997</v>
      </c>
      <c r="F61" s="291">
        <v>-6.9000000000000006E-2</v>
      </c>
      <c r="G61" s="292">
        <v>5.0000000000000001E-4</v>
      </c>
      <c r="H61" s="290">
        <v>33.616</v>
      </c>
      <c r="I61" s="291">
        <v>4.82</v>
      </c>
      <c r="J61" s="291">
        <v>-4.5999999999999999E-2</v>
      </c>
      <c r="K61" s="292">
        <v>4.0000000000000002E-4</v>
      </c>
      <c r="L61" s="290"/>
      <c r="M61" s="291">
        <v>2.2989999999999999</v>
      </c>
      <c r="N61" s="291"/>
      <c r="O61" s="293"/>
      <c r="P61" s="290">
        <v>18.670000000000002</v>
      </c>
      <c r="Q61" s="291">
        <v>4.3540000000000001</v>
      </c>
      <c r="R61" s="291">
        <v>-3.7999999999999999E-2</v>
      </c>
      <c r="S61" s="292">
        <v>2.9999999999999997E-4</v>
      </c>
      <c r="T61" s="290">
        <v>20.530999999999999</v>
      </c>
      <c r="U61" s="291">
        <v>11.513</v>
      </c>
      <c r="V61" s="291">
        <v>-0.18099999999999999</v>
      </c>
      <c r="W61" s="292">
        <v>1.1999999999999999E-3</v>
      </c>
      <c r="X61" s="290">
        <v>32.637999999999998</v>
      </c>
      <c r="Y61" s="291">
        <v>7.9770000000000003</v>
      </c>
      <c r="Z61" s="291">
        <v>-0.115</v>
      </c>
      <c r="AA61" s="292">
        <v>1E-3</v>
      </c>
      <c r="AB61" s="290"/>
      <c r="AC61" s="291">
        <v>3.48</v>
      </c>
      <c r="AD61" s="291"/>
      <c r="AE61" s="293"/>
      <c r="AF61" s="290">
        <v>26.869</v>
      </c>
      <c r="AG61" s="291">
        <v>7.407</v>
      </c>
      <c r="AH61" s="291">
        <v>-9.9000000000000005E-2</v>
      </c>
      <c r="AI61" s="292">
        <v>8.0000000000000004E-4</v>
      </c>
      <c r="AJ61" s="290">
        <v>225.14099999999999</v>
      </c>
      <c r="AK61" s="291">
        <v>11.945</v>
      </c>
      <c r="AL61" s="291">
        <v>-8.5999999999999993E-2</v>
      </c>
      <c r="AM61" s="292">
        <v>8.9999999999999998E-4</v>
      </c>
      <c r="AN61" s="290"/>
      <c r="AO61" s="291"/>
      <c r="AP61" s="291"/>
      <c r="AQ61" s="293"/>
      <c r="AR61" s="290">
        <v>225.14099999999999</v>
      </c>
      <c r="AS61" s="291">
        <v>11.945</v>
      </c>
      <c r="AT61" s="291">
        <v>-8.5999999999999993E-2</v>
      </c>
      <c r="AU61" s="292">
        <v>8.9999999999999998E-4</v>
      </c>
      <c r="AV61" s="290">
        <v>404.96600000000001</v>
      </c>
      <c r="AW61" s="291">
        <v>21.030999999999999</v>
      </c>
      <c r="AX61" s="291">
        <v>-0.13900000000000001</v>
      </c>
      <c r="AY61" s="292">
        <v>8.0000000000000004E-4</v>
      </c>
      <c r="AZ61" s="290"/>
      <c r="BA61" s="291"/>
      <c r="BB61" s="291"/>
      <c r="BC61" s="293"/>
      <c r="BD61" s="290">
        <v>404.96600000000001</v>
      </c>
      <c r="BE61" s="291">
        <v>21.030999999999999</v>
      </c>
      <c r="BF61" s="291">
        <v>-0.13900000000000001</v>
      </c>
      <c r="BG61" s="292">
        <v>8.0000000000000004E-4</v>
      </c>
      <c r="BH61" s="290">
        <v>344.815</v>
      </c>
      <c r="BI61" s="291">
        <v>30.297999999999998</v>
      </c>
      <c r="BJ61" s="291">
        <v>-0.32900000000000001</v>
      </c>
      <c r="BK61" s="292">
        <v>2.3999999999999998E-3</v>
      </c>
      <c r="BL61" s="290"/>
      <c r="BM61" s="291"/>
      <c r="BN61" s="291"/>
      <c r="BO61" s="293"/>
      <c r="BP61" s="290">
        <v>344.815</v>
      </c>
      <c r="BQ61" s="291">
        <v>30.297999999999998</v>
      </c>
      <c r="BR61" s="291">
        <v>-0.32900000000000001</v>
      </c>
      <c r="BS61" s="292">
        <v>2.3999999999999998E-3</v>
      </c>
    </row>
    <row r="62" spans="1:71" ht="13.5" customHeight="1">
      <c r="A62" s="23"/>
      <c r="B62" s="294">
        <v>2045</v>
      </c>
      <c r="C62" s="22"/>
      <c r="D62" s="290">
        <v>28.370999999999999</v>
      </c>
      <c r="E62" s="291">
        <v>6.0289999999999999</v>
      </c>
      <c r="F62" s="291">
        <v>-6.9000000000000006E-2</v>
      </c>
      <c r="G62" s="292">
        <v>5.0000000000000001E-4</v>
      </c>
      <c r="H62" s="290">
        <v>33.582000000000001</v>
      </c>
      <c r="I62" s="291">
        <v>4.8150000000000004</v>
      </c>
      <c r="J62" s="291">
        <v>-4.5999999999999999E-2</v>
      </c>
      <c r="K62" s="292">
        <v>4.0000000000000002E-4</v>
      </c>
      <c r="L62" s="290"/>
      <c r="M62" s="291">
        <v>2.29</v>
      </c>
      <c r="N62" s="291"/>
      <c r="O62" s="293"/>
      <c r="P62" s="290">
        <v>18.312999999999999</v>
      </c>
      <c r="Q62" s="291">
        <v>4.3090000000000002</v>
      </c>
      <c r="R62" s="291">
        <v>-3.6999999999999998E-2</v>
      </c>
      <c r="S62" s="292">
        <v>2.9999999999999997E-4</v>
      </c>
      <c r="T62" s="290">
        <v>20.541</v>
      </c>
      <c r="U62" s="291">
        <v>11.518000000000001</v>
      </c>
      <c r="V62" s="291">
        <v>-0.18099999999999999</v>
      </c>
      <c r="W62" s="292">
        <v>1.1999999999999999E-3</v>
      </c>
      <c r="X62" s="290">
        <v>32.649000000000001</v>
      </c>
      <c r="Y62" s="291">
        <v>7.9790000000000001</v>
      </c>
      <c r="Z62" s="291">
        <v>-0.115</v>
      </c>
      <c r="AA62" s="292">
        <v>1E-3</v>
      </c>
      <c r="AB62" s="290"/>
      <c r="AC62" s="291">
        <v>3.4580000000000002</v>
      </c>
      <c r="AD62" s="291"/>
      <c r="AE62" s="293"/>
      <c r="AF62" s="290">
        <v>26.582000000000001</v>
      </c>
      <c r="AG62" s="291">
        <v>7.3689999999999998</v>
      </c>
      <c r="AH62" s="291">
        <v>-9.9000000000000005E-2</v>
      </c>
      <c r="AI62" s="292">
        <v>8.0000000000000004E-4</v>
      </c>
      <c r="AJ62" s="290">
        <v>225.041</v>
      </c>
      <c r="AK62" s="291">
        <v>11.94</v>
      </c>
      <c r="AL62" s="291">
        <v>-8.5999999999999993E-2</v>
      </c>
      <c r="AM62" s="292">
        <v>8.9999999999999998E-4</v>
      </c>
      <c r="AN62" s="290"/>
      <c r="AO62" s="291"/>
      <c r="AP62" s="291"/>
      <c r="AQ62" s="293"/>
      <c r="AR62" s="290">
        <v>225.041</v>
      </c>
      <c r="AS62" s="291">
        <v>11.94</v>
      </c>
      <c r="AT62" s="291">
        <v>-8.5999999999999993E-2</v>
      </c>
      <c r="AU62" s="292">
        <v>8.9999999999999998E-4</v>
      </c>
      <c r="AV62" s="290">
        <v>405.62</v>
      </c>
      <c r="AW62" s="291">
        <v>21.065000000000001</v>
      </c>
      <c r="AX62" s="291">
        <v>-0.14000000000000001</v>
      </c>
      <c r="AY62" s="292">
        <v>8.0000000000000004E-4</v>
      </c>
      <c r="AZ62" s="290"/>
      <c r="BA62" s="291"/>
      <c r="BB62" s="291"/>
      <c r="BC62" s="293"/>
      <c r="BD62" s="290">
        <v>405.62</v>
      </c>
      <c r="BE62" s="291">
        <v>21.065000000000001</v>
      </c>
      <c r="BF62" s="291">
        <v>-0.14000000000000001</v>
      </c>
      <c r="BG62" s="292">
        <v>8.0000000000000004E-4</v>
      </c>
      <c r="BH62" s="290">
        <v>345.92399999999998</v>
      </c>
      <c r="BI62" s="291">
        <v>30.395</v>
      </c>
      <c r="BJ62" s="291">
        <v>-0.33</v>
      </c>
      <c r="BK62" s="292">
        <v>2.3999999999999998E-3</v>
      </c>
      <c r="BL62" s="290"/>
      <c r="BM62" s="291"/>
      <c r="BN62" s="291"/>
      <c r="BO62" s="293"/>
      <c r="BP62" s="290">
        <v>345.92399999999998</v>
      </c>
      <c r="BQ62" s="291">
        <v>30.395</v>
      </c>
      <c r="BR62" s="291">
        <v>-0.33</v>
      </c>
      <c r="BS62" s="292">
        <v>2.3999999999999998E-3</v>
      </c>
    </row>
    <row r="63" spans="1:71" ht="13.5" customHeight="1">
      <c r="A63" s="23"/>
      <c r="B63" s="294">
        <v>2046</v>
      </c>
      <c r="C63" s="22"/>
      <c r="D63" s="290">
        <v>28.375</v>
      </c>
      <c r="E63" s="291">
        <v>6.03</v>
      </c>
      <c r="F63" s="291">
        <v>-6.9000000000000006E-2</v>
      </c>
      <c r="G63" s="292">
        <v>5.0000000000000001E-4</v>
      </c>
      <c r="H63" s="290">
        <v>33.573999999999998</v>
      </c>
      <c r="I63" s="291">
        <v>4.8140000000000001</v>
      </c>
      <c r="J63" s="291">
        <v>-4.5999999999999999E-2</v>
      </c>
      <c r="K63" s="292">
        <v>4.0000000000000002E-4</v>
      </c>
      <c r="L63" s="290"/>
      <c r="M63" s="291">
        <v>2.2799999999999998</v>
      </c>
      <c r="N63" s="291"/>
      <c r="O63" s="293"/>
      <c r="P63" s="290">
        <v>17.989999999999998</v>
      </c>
      <c r="Q63" s="291">
        <v>4.2699999999999996</v>
      </c>
      <c r="R63" s="291">
        <v>-3.5999999999999997E-2</v>
      </c>
      <c r="S63" s="292">
        <v>2.9999999999999997E-4</v>
      </c>
      <c r="T63" s="290">
        <v>20.475000000000001</v>
      </c>
      <c r="U63" s="291">
        <v>11.481</v>
      </c>
      <c r="V63" s="291">
        <v>-0.18</v>
      </c>
      <c r="W63" s="292">
        <v>1.1999999999999999E-3</v>
      </c>
      <c r="X63" s="290">
        <v>32.472999999999999</v>
      </c>
      <c r="Y63" s="291">
        <v>7.9370000000000003</v>
      </c>
      <c r="Z63" s="291">
        <v>-0.114</v>
      </c>
      <c r="AA63" s="292">
        <v>1E-3</v>
      </c>
      <c r="AB63" s="290"/>
      <c r="AC63" s="291">
        <v>3.4359999999999999</v>
      </c>
      <c r="AD63" s="291"/>
      <c r="AE63" s="293"/>
      <c r="AF63" s="290">
        <v>26.158000000000001</v>
      </c>
      <c r="AG63" s="291">
        <v>7.2949999999999999</v>
      </c>
      <c r="AH63" s="291">
        <v>-9.7000000000000003E-2</v>
      </c>
      <c r="AI63" s="292">
        <v>8.0000000000000004E-4</v>
      </c>
      <c r="AJ63" s="290">
        <v>224.923</v>
      </c>
      <c r="AK63" s="291">
        <v>11.933999999999999</v>
      </c>
      <c r="AL63" s="291">
        <v>-8.5999999999999993E-2</v>
      </c>
      <c r="AM63" s="292">
        <v>8.9999999999999998E-4</v>
      </c>
      <c r="AN63" s="290"/>
      <c r="AO63" s="291"/>
      <c r="AP63" s="291"/>
      <c r="AQ63" s="293"/>
      <c r="AR63" s="290">
        <v>224.923</v>
      </c>
      <c r="AS63" s="291">
        <v>11.933999999999999</v>
      </c>
      <c r="AT63" s="291">
        <v>-8.5999999999999993E-2</v>
      </c>
      <c r="AU63" s="292">
        <v>8.9999999999999998E-4</v>
      </c>
      <c r="AV63" s="290">
        <v>406.28699999999998</v>
      </c>
      <c r="AW63" s="291">
        <v>21.099</v>
      </c>
      <c r="AX63" s="291">
        <v>-0.14000000000000001</v>
      </c>
      <c r="AY63" s="292">
        <v>8.0000000000000004E-4</v>
      </c>
      <c r="AZ63" s="290"/>
      <c r="BA63" s="291"/>
      <c r="BB63" s="291"/>
      <c r="BC63" s="293"/>
      <c r="BD63" s="290">
        <v>406.28699999999998</v>
      </c>
      <c r="BE63" s="291">
        <v>21.099</v>
      </c>
      <c r="BF63" s="291">
        <v>-0.14000000000000001</v>
      </c>
      <c r="BG63" s="292">
        <v>8.0000000000000004E-4</v>
      </c>
      <c r="BH63" s="290">
        <v>347.04</v>
      </c>
      <c r="BI63" s="291">
        <v>30.492999999999999</v>
      </c>
      <c r="BJ63" s="291">
        <v>-0.33100000000000002</v>
      </c>
      <c r="BK63" s="292">
        <v>2.3999999999999998E-3</v>
      </c>
      <c r="BL63" s="290"/>
      <c r="BM63" s="291"/>
      <c r="BN63" s="291"/>
      <c r="BO63" s="293"/>
      <c r="BP63" s="290">
        <v>347.04</v>
      </c>
      <c r="BQ63" s="291">
        <v>30.492999999999999</v>
      </c>
      <c r="BR63" s="291">
        <v>-0.33100000000000002</v>
      </c>
      <c r="BS63" s="292">
        <v>2.3999999999999998E-3</v>
      </c>
    </row>
    <row r="64" spans="1:71" ht="13.5" customHeight="1">
      <c r="A64" s="23"/>
      <c r="B64" s="294">
        <v>2047</v>
      </c>
      <c r="C64" s="22"/>
      <c r="D64" s="290">
        <v>28.402000000000001</v>
      </c>
      <c r="E64" s="291">
        <v>6.0359999999999996</v>
      </c>
      <c r="F64" s="291">
        <v>-6.9000000000000006E-2</v>
      </c>
      <c r="G64" s="292">
        <v>5.0000000000000001E-4</v>
      </c>
      <c r="H64" s="290">
        <v>33.595999999999997</v>
      </c>
      <c r="I64" s="291">
        <v>4.8170000000000002</v>
      </c>
      <c r="J64" s="291">
        <v>-4.5999999999999999E-2</v>
      </c>
      <c r="K64" s="292">
        <v>4.0000000000000002E-4</v>
      </c>
      <c r="L64" s="290"/>
      <c r="M64" s="291">
        <v>2.27</v>
      </c>
      <c r="N64" s="291"/>
      <c r="O64" s="293"/>
      <c r="P64" s="290">
        <v>17.690999999999999</v>
      </c>
      <c r="Q64" s="291">
        <v>4.234</v>
      </c>
      <c r="R64" s="291">
        <v>-3.5999999999999997E-2</v>
      </c>
      <c r="S64" s="292">
        <v>2.0000000000000001E-4</v>
      </c>
      <c r="T64" s="290">
        <v>20.513000000000002</v>
      </c>
      <c r="U64" s="291">
        <v>11.502000000000001</v>
      </c>
      <c r="V64" s="291">
        <v>-0.18099999999999999</v>
      </c>
      <c r="W64" s="292">
        <v>1.1999999999999999E-3</v>
      </c>
      <c r="X64" s="290">
        <v>32.533999999999999</v>
      </c>
      <c r="Y64" s="291">
        <v>7.9509999999999996</v>
      </c>
      <c r="Z64" s="291">
        <v>-0.115</v>
      </c>
      <c r="AA64" s="292">
        <v>1E-3</v>
      </c>
      <c r="AB64" s="290"/>
      <c r="AC64" s="291">
        <v>3.4119999999999999</v>
      </c>
      <c r="AD64" s="291"/>
      <c r="AE64" s="293"/>
      <c r="AF64" s="290">
        <v>25.928000000000001</v>
      </c>
      <c r="AG64" s="291">
        <v>7.2679999999999998</v>
      </c>
      <c r="AH64" s="291">
        <v>-9.6000000000000002E-2</v>
      </c>
      <c r="AI64" s="292">
        <v>8.0000000000000004E-4</v>
      </c>
      <c r="AJ64" s="290">
        <v>224.965</v>
      </c>
      <c r="AK64" s="291">
        <v>11.936</v>
      </c>
      <c r="AL64" s="291">
        <v>-8.5999999999999993E-2</v>
      </c>
      <c r="AM64" s="292">
        <v>8.9999999999999998E-4</v>
      </c>
      <c r="AN64" s="290"/>
      <c r="AO64" s="291"/>
      <c r="AP64" s="291"/>
      <c r="AQ64" s="293"/>
      <c r="AR64" s="290">
        <v>224.965</v>
      </c>
      <c r="AS64" s="291">
        <v>11.936</v>
      </c>
      <c r="AT64" s="291">
        <v>-8.5999999999999993E-2</v>
      </c>
      <c r="AU64" s="292">
        <v>8.9999999999999998E-4</v>
      </c>
      <c r="AV64" s="290">
        <v>407.245</v>
      </c>
      <c r="AW64" s="291">
        <v>21.149000000000001</v>
      </c>
      <c r="AX64" s="291">
        <v>-0.14000000000000001</v>
      </c>
      <c r="AY64" s="292">
        <v>8.0000000000000004E-4</v>
      </c>
      <c r="AZ64" s="290"/>
      <c r="BA64" s="291"/>
      <c r="BB64" s="291"/>
      <c r="BC64" s="293"/>
      <c r="BD64" s="290">
        <v>407.245</v>
      </c>
      <c r="BE64" s="291">
        <v>21.149000000000001</v>
      </c>
      <c r="BF64" s="291">
        <v>-0.14000000000000001</v>
      </c>
      <c r="BG64" s="292">
        <v>8.0000000000000004E-4</v>
      </c>
      <c r="BH64" s="290">
        <v>348.16199999999998</v>
      </c>
      <c r="BI64" s="291">
        <v>30.591999999999999</v>
      </c>
      <c r="BJ64" s="291">
        <v>-0.33300000000000002</v>
      </c>
      <c r="BK64" s="292">
        <v>2.3999999999999998E-3</v>
      </c>
      <c r="BL64" s="290"/>
      <c r="BM64" s="291"/>
      <c r="BN64" s="291"/>
      <c r="BO64" s="293"/>
      <c r="BP64" s="290">
        <v>348.16199999999998</v>
      </c>
      <c r="BQ64" s="291">
        <v>30.591999999999999</v>
      </c>
      <c r="BR64" s="291">
        <v>-0.33300000000000002</v>
      </c>
      <c r="BS64" s="292">
        <v>2.3999999999999998E-3</v>
      </c>
    </row>
    <row r="65" spans="1:71" ht="13.5" customHeight="1">
      <c r="A65" s="23"/>
      <c r="B65" s="294">
        <v>2048</v>
      </c>
      <c r="C65" s="22"/>
      <c r="D65" s="290">
        <v>28.446000000000002</v>
      </c>
      <c r="E65" s="291">
        <v>6.0449999999999999</v>
      </c>
      <c r="F65" s="291">
        <v>-6.9000000000000006E-2</v>
      </c>
      <c r="G65" s="292">
        <v>5.0000000000000001E-4</v>
      </c>
      <c r="H65" s="290">
        <v>33.64</v>
      </c>
      <c r="I65" s="291">
        <v>4.8230000000000004</v>
      </c>
      <c r="J65" s="291">
        <v>-4.5999999999999999E-2</v>
      </c>
      <c r="K65" s="292">
        <v>4.0000000000000002E-4</v>
      </c>
      <c r="L65" s="290"/>
      <c r="M65" s="291">
        <v>2.2599999999999998</v>
      </c>
      <c r="N65" s="291"/>
      <c r="O65" s="293"/>
      <c r="P65" s="290">
        <v>17.413</v>
      </c>
      <c r="Q65" s="291">
        <v>4.202</v>
      </c>
      <c r="R65" s="291">
        <v>-3.5000000000000003E-2</v>
      </c>
      <c r="S65" s="292">
        <v>2.0000000000000001E-4</v>
      </c>
      <c r="T65" s="290">
        <v>20.556000000000001</v>
      </c>
      <c r="U65" s="291">
        <v>11.526</v>
      </c>
      <c r="V65" s="291">
        <v>-0.18099999999999999</v>
      </c>
      <c r="W65" s="292">
        <v>1.1999999999999999E-3</v>
      </c>
      <c r="X65" s="290">
        <v>32.603999999999999</v>
      </c>
      <c r="Y65" s="291">
        <v>7.9690000000000003</v>
      </c>
      <c r="Z65" s="291">
        <v>-0.115</v>
      </c>
      <c r="AA65" s="292">
        <v>1E-3</v>
      </c>
      <c r="AB65" s="290"/>
      <c r="AC65" s="291">
        <v>3.3879999999999999</v>
      </c>
      <c r="AD65" s="291"/>
      <c r="AE65" s="293"/>
      <c r="AF65" s="290">
        <v>25.712</v>
      </c>
      <c r="AG65" s="291">
        <v>7.2430000000000003</v>
      </c>
      <c r="AH65" s="291">
        <v>-9.6000000000000002E-2</v>
      </c>
      <c r="AI65" s="292">
        <v>8.0000000000000004E-4</v>
      </c>
      <c r="AJ65" s="290">
        <v>225.04400000000001</v>
      </c>
      <c r="AK65" s="291">
        <v>11.94</v>
      </c>
      <c r="AL65" s="291">
        <v>-8.5999999999999993E-2</v>
      </c>
      <c r="AM65" s="292">
        <v>8.9999999999999998E-4</v>
      </c>
      <c r="AN65" s="290"/>
      <c r="AO65" s="291"/>
      <c r="AP65" s="291"/>
      <c r="AQ65" s="293"/>
      <c r="AR65" s="290">
        <v>225.04400000000001</v>
      </c>
      <c r="AS65" s="291">
        <v>11.94</v>
      </c>
      <c r="AT65" s="291">
        <v>-8.5999999999999993E-2</v>
      </c>
      <c r="AU65" s="292">
        <v>8.9999999999999998E-4</v>
      </c>
      <c r="AV65" s="290">
        <v>408.26400000000001</v>
      </c>
      <c r="AW65" s="291">
        <v>21.202000000000002</v>
      </c>
      <c r="AX65" s="291">
        <v>-0.14000000000000001</v>
      </c>
      <c r="AY65" s="292">
        <v>8.0000000000000004E-4</v>
      </c>
      <c r="AZ65" s="290"/>
      <c r="BA65" s="291"/>
      <c r="BB65" s="291"/>
      <c r="BC65" s="293"/>
      <c r="BD65" s="290">
        <v>408.26400000000001</v>
      </c>
      <c r="BE65" s="291">
        <v>21.202000000000002</v>
      </c>
      <c r="BF65" s="291">
        <v>-0.14000000000000001</v>
      </c>
      <c r="BG65" s="292">
        <v>8.0000000000000004E-4</v>
      </c>
      <c r="BH65" s="290">
        <v>349.291</v>
      </c>
      <c r="BI65" s="291">
        <v>30.690999999999999</v>
      </c>
      <c r="BJ65" s="291">
        <v>-0.33400000000000002</v>
      </c>
      <c r="BK65" s="292">
        <v>2.3999999999999998E-3</v>
      </c>
      <c r="BL65" s="290"/>
      <c r="BM65" s="291"/>
      <c r="BN65" s="291"/>
      <c r="BO65" s="293"/>
      <c r="BP65" s="290">
        <v>349.291</v>
      </c>
      <c r="BQ65" s="291">
        <v>30.690999999999999</v>
      </c>
      <c r="BR65" s="291">
        <v>-0.33400000000000002</v>
      </c>
      <c r="BS65" s="292">
        <v>2.3999999999999998E-3</v>
      </c>
    </row>
    <row r="66" spans="1:71" ht="13.5" customHeight="1">
      <c r="A66" s="23"/>
      <c r="B66" s="294">
        <v>2049</v>
      </c>
      <c r="C66" s="22"/>
      <c r="D66" s="290">
        <v>28.503</v>
      </c>
      <c r="E66" s="291">
        <v>6.0570000000000004</v>
      </c>
      <c r="F66" s="291">
        <v>-6.9000000000000006E-2</v>
      </c>
      <c r="G66" s="292">
        <v>5.0000000000000001E-4</v>
      </c>
      <c r="H66" s="290">
        <v>33.698999999999998</v>
      </c>
      <c r="I66" s="291">
        <v>4.8319999999999999</v>
      </c>
      <c r="J66" s="291">
        <v>-4.5999999999999999E-2</v>
      </c>
      <c r="K66" s="292">
        <v>4.0000000000000002E-4</v>
      </c>
      <c r="L66" s="290"/>
      <c r="M66" s="291">
        <v>2.2490000000000001</v>
      </c>
      <c r="N66" s="291"/>
      <c r="O66" s="293"/>
      <c r="P66" s="290">
        <v>17.158999999999999</v>
      </c>
      <c r="Q66" s="291">
        <v>4.1719999999999997</v>
      </c>
      <c r="R66" s="291">
        <v>-3.5000000000000003E-2</v>
      </c>
      <c r="S66" s="292">
        <v>2.0000000000000001E-4</v>
      </c>
      <c r="T66" s="290">
        <v>20.603000000000002</v>
      </c>
      <c r="U66" s="291">
        <v>11.553000000000001</v>
      </c>
      <c r="V66" s="291">
        <v>-0.18099999999999999</v>
      </c>
      <c r="W66" s="292">
        <v>1.1999999999999999E-3</v>
      </c>
      <c r="X66" s="290">
        <v>32.680999999999997</v>
      </c>
      <c r="Y66" s="291">
        <v>7.9870000000000001</v>
      </c>
      <c r="Z66" s="291">
        <v>-0.115</v>
      </c>
      <c r="AA66" s="292">
        <v>1E-3</v>
      </c>
      <c r="AB66" s="290"/>
      <c r="AC66" s="291">
        <v>3.3620000000000001</v>
      </c>
      <c r="AD66" s="291"/>
      <c r="AE66" s="293"/>
      <c r="AF66" s="290">
        <v>25.501999999999999</v>
      </c>
      <c r="AG66" s="291">
        <v>7.218</v>
      </c>
      <c r="AH66" s="291">
        <v>-9.5000000000000001E-2</v>
      </c>
      <c r="AI66" s="292">
        <v>8.0000000000000004E-4</v>
      </c>
      <c r="AJ66" s="290">
        <v>225.155</v>
      </c>
      <c r="AK66" s="291">
        <v>11.946</v>
      </c>
      <c r="AL66" s="291">
        <v>-8.5999999999999993E-2</v>
      </c>
      <c r="AM66" s="292">
        <v>8.9999999999999998E-4</v>
      </c>
      <c r="AN66" s="290"/>
      <c r="AO66" s="291"/>
      <c r="AP66" s="291"/>
      <c r="AQ66" s="293"/>
      <c r="AR66" s="290">
        <v>225.155</v>
      </c>
      <c r="AS66" s="291">
        <v>11.946</v>
      </c>
      <c r="AT66" s="291">
        <v>-8.5999999999999993E-2</v>
      </c>
      <c r="AU66" s="292">
        <v>8.9999999999999998E-4</v>
      </c>
      <c r="AV66" s="290">
        <v>409.33699999999999</v>
      </c>
      <c r="AW66" s="291">
        <v>21.257999999999999</v>
      </c>
      <c r="AX66" s="291">
        <v>-0.14099999999999999</v>
      </c>
      <c r="AY66" s="292">
        <v>8.0000000000000004E-4</v>
      </c>
      <c r="AZ66" s="290"/>
      <c r="BA66" s="291"/>
      <c r="BB66" s="291"/>
      <c r="BC66" s="293"/>
      <c r="BD66" s="290">
        <v>409.33699999999999</v>
      </c>
      <c r="BE66" s="291">
        <v>21.257999999999999</v>
      </c>
      <c r="BF66" s="291">
        <v>-0.14099999999999999</v>
      </c>
      <c r="BG66" s="292">
        <v>8.0000000000000004E-4</v>
      </c>
      <c r="BH66" s="290">
        <v>350.42599999999999</v>
      </c>
      <c r="BI66" s="291">
        <v>30.791</v>
      </c>
      <c r="BJ66" s="291">
        <v>-0.33500000000000002</v>
      </c>
      <c r="BK66" s="292">
        <v>2.5000000000000001E-3</v>
      </c>
      <c r="BL66" s="290"/>
      <c r="BM66" s="291"/>
      <c r="BN66" s="291"/>
      <c r="BO66" s="293"/>
      <c r="BP66" s="290">
        <v>350.42599999999999</v>
      </c>
      <c r="BQ66" s="291">
        <v>30.791</v>
      </c>
      <c r="BR66" s="291">
        <v>-0.33500000000000002</v>
      </c>
      <c r="BS66" s="292">
        <v>2.5000000000000001E-3</v>
      </c>
    </row>
    <row r="67" spans="1:71" ht="13.5" customHeight="1">
      <c r="A67" s="23"/>
      <c r="B67" s="294">
        <v>2050</v>
      </c>
      <c r="C67" s="22"/>
      <c r="D67" s="290">
        <v>28.57</v>
      </c>
      <c r="E67" s="291">
        <v>6.0720000000000001</v>
      </c>
      <c r="F67" s="291">
        <v>-6.9000000000000006E-2</v>
      </c>
      <c r="G67" s="292">
        <v>5.0000000000000001E-4</v>
      </c>
      <c r="H67" s="290">
        <v>33.770000000000003</v>
      </c>
      <c r="I67" s="291">
        <v>4.8419999999999996</v>
      </c>
      <c r="J67" s="291">
        <v>-4.7E-2</v>
      </c>
      <c r="K67" s="292">
        <v>4.0000000000000002E-4</v>
      </c>
      <c r="L67" s="290"/>
      <c r="M67" s="291">
        <v>2.2389999999999999</v>
      </c>
      <c r="N67" s="291"/>
      <c r="O67" s="293"/>
      <c r="P67" s="290">
        <v>16.916</v>
      </c>
      <c r="Q67" s="291">
        <v>4.1429999999999998</v>
      </c>
      <c r="R67" s="291">
        <v>-3.4000000000000002E-2</v>
      </c>
      <c r="S67" s="292">
        <v>2.0000000000000001E-4</v>
      </c>
      <c r="T67" s="290">
        <v>20.652999999999999</v>
      </c>
      <c r="U67" s="291">
        <v>11.581</v>
      </c>
      <c r="V67" s="291">
        <v>-0.182</v>
      </c>
      <c r="W67" s="292">
        <v>1.1999999999999999E-3</v>
      </c>
      <c r="X67" s="290">
        <v>32.764000000000003</v>
      </c>
      <c r="Y67" s="291">
        <v>8.0079999999999991</v>
      </c>
      <c r="Z67" s="291">
        <v>-0.11600000000000001</v>
      </c>
      <c r="AA67" s="292">
        <v>1E-3</v>
      </c>
      <c r="AB67" s="290"/>
      <c r="AC67" s="291">
        <v>3.3359999999999999</v>
      </c>
      <c r="AD67" s="291"/>
      <c r="AE67" s="293"/>
      <c r="AF67" s="290">
        <v>25.303000000000001</v>
      </c>
      <c r="AG67" s="291">
        <v>7.1950000000000003</v>
      </c>
      <c r="AH67" s="291">
        <v>-9.4E-2</v>
      </c>
      <c r="AI67" s="292">
        <v>8.0000000000000004E-4</v>
      </c>
      <c r="AJ67" s="290">
        <v>225.28700000000001</v>
      </c>
      <c r="AK67" s="291">
        <v>11.952999999999999</v>
      </c>
      <c r="AL67" s="291">
        <v>-8.5999999999999993E-2</v>
      </c>
      <c r="AM67" s="292">
        <v>8.9999999999999998E-4</v>
      </c>
      <c r="AN67" s="290"/>
      <c r="AO67" s="291"/>
      <c r="AP67" s="291"/>
      <c r="AQ67" s="293"/>
      <c r="AR67" s="290">
        <v>225.28700000000001</v>
      </c>
      <c r="AS67" s="291">
        <v>11.952999999999999</v>
      </c>
      <c r="AT67" s="291">
        <v>-8.5999999999999993E-2</v>
      </c>
      <c r="AU67" s="292">
        <v>8.9999999999999998E-4</v>
      </c>
      <c r="AV67" s="290">
        <v>410.447</v>
      </c>
      <c r="AW67" s="291">
        <v>21.315000000000001</v>
      </c>
      <c r="AX67" s="291">
        <v>-0.14099999999999999</v>
      </c>
      <c r="AY67" s="292">
        <v>8.0000000000000004E-4</v>
      </c>
      <c r="AZ67" s="290"/>
      <c r="BA67" s="291"/>
      <c r="BB67" s="291"/>
      <c r="BC67" s="293"/>
      <c r="BD67" s="290">
        <v>410.447</v>
      </c>
      <c r="BE67" s="291">
        <v>21.315000000000001</v>
      </c>
      <c r="BF67" s="291">
        <v>-0.14099999999999999</v>
      </c>
      <c r="BG67" s="292">
        <v>8.0000000000000004E-4</v>
      </c>
      <c r="BH67" s="290">
        <v>351.56799999999998</v>
      </c>
      <c r="BI67" s="291">
        <v>30.890999999999998</v>
      </c>
      <c r="BJ67" s="291">
        <v>-0.33600000000000002</v>
      </c>
      <c r="BK67" s="292">
        <v>2.5000000000000001E-3</v>
      </c>
      <c r="BL67" s="290"/>
      <c r="BM67" s="291"/>
      <c r="BN67" s="291"/>
      <c r="BO67" s="293"/>
      <c r="BP67" s="290">
        <v>351.56799999999998</v>
      </c>
      <c r="BQ67" s="291">
        <v>30.890999999999998</v>
      </c>
      <c r="BR67" s="291">
        <v>-0.33600000000000002</v>
      </c>
      <c r="BS67" s="292">
        <v>2.5000000000000001E-3</v>
      </c>
    </row>
    <row r="68" spans="1:71" ht="13.5" customHeight="1">
      <c r="A68" s="23"/>
      <c r="B68" s="294">
        <v>2051</v>
      </c>
      <c r="C68" s="22"/>
      <c r="D68" s="290">
        <v>28.666</v>
      </c>
      <c r="E68" s="291">
        <v>6.0919999999999996</v>
      </c>
      <c r="F68" s="291">
        <v>-6.9000000000000006E-2</v>
      </c>
      <c r="G68" s="292">
        <v>5.0000000000000001E-4</v>
      </c>
      <c r="H68" s="290">
        <v>33.880000000000003</v>
      </c>
      <c r="I68" s="291">
        <v>4.8579999999999997</v>
      </c>
      <c r="J68" s="291">
        <v>-4.7E-2</v>
      </c>
      <c r="K68" s="292">
        <v>4.0000000000000002E-4</v>
      </c>
      <c r="L68" s="290"/>
      <c r="M68" s="291">
        <v>2.2389999999999999</v>
      </c>
      <c r="N68" s="291"/>
      <c r="O68" s="293"/>
      <c r="P68" s="290">
        <v>16.972999999999999</v>
      </c>
      <c r="Q68" s="291">
        <v>4.1529999999999996</v>
      </c>
      <c r="R68" s="291">
        <v>-3.4000000000000002E-2</v>
      </c>
      <c r="S68" s="292">
        <v>2.0000000000000001E-4</v>
      </c>
      <c r="T68" s="290">
        <v>20.722999999999999</v>
      </c>
      <c r="U68" s="291">
        <v>11.62</v>
      </c>
      <c r="V68" s="291">
        <v>-0.182</v>
      </c>
      <c r="W68" s="292">
        <v>1.1999999999999999E-3</v>
      </c>
      <c r="X68" s="290">
        <v>32.871000000000002</v>
      </c>
      <c r="Y68" s="291">
        <v>8.0340000000000007</v>
      </c>
      <c r="Z68" s="291">
        <v>-0.11600000000000001</v>
      </c>
      <c r="AA68" s="292">
        <v>1E-3</v>
      </c>
      <c r="AB68" s="290"/>
      <c r="AC68" s="291">
        <v>3.3359999999999999</v>
      </c>
      <c r="AD68" s="291"/>
      <c r="AE68" s="293"/>
      <c r="AF68" s="290">
        <v>25.385999999999999</v>
      </c>
      <c r="AG68" s="291">
        <v>7.2160000000000002</v>
      </c>
      <c r="AH68" s="291">
        <v>-9.5000000000000001E-2</v>
      </c>
      <c r="AI68" s="292">
        <v>8.0000000000000004E-4</v>
      </c>
      <c r="AJ68" s="290">
        <v>226.023</v>
      </c>
      <c r="AK68" s="291">
        <v>11.992000000000001</v>
      </c>
      <c r="AL68" s="291">
        <v>-8.6999999999999994E-2</v>
      </c>
      <c r="AM68" s="292">
        <v>8.9999999999999998E-4</v>
      </c>
      <c r="AN68" s="290"/>
      <c r="AO68" s="291"/>
      <c r="AP68" s="291"/>
      <c r="AQ68" s="293"/>
      <c r="AR68" s="290">
        <v>226.023</v>
      </c>
      <c r="AS68" s="291">
        <v>11.992000000000001</v>
      </c>
      <c r="AT68" s="291">
        <v>-8.6999999999999994E-2</v>
      </c>
      <c r="AU68" s="292">
        <v>8.9999999999999998E-4</v>
      </c>
      <c r="AV68" s="290">
        <v>411.78800000000001</v>
      </c>
      <c r="AW68" s="291">
        <v>21.385000000000002</v>
      </c>
      <c r="AX68" s="291">
        <v>-0.14199999999999999</v>
      </c>
      <c r="AY68" s="292">
        <v>8.0000000000000004E-4</v>
      </c>
      <c r="AZ68" s="290"/>
      <c r="BA68" s="291"/>
      <c r="BB68" s="291"/>
      <c r="BC68" s="293"/>
      <c r="BD68" s="290">
        <v>411.78800000000001</v>
      </c>
      <c r="BE68" s="291">
        <v>21.385000000000002</v>
      </c>
      <c r="BF68" s="291">
        <v>-0.14199999999999999</v>
      </c>
      <c r="BG68" s="292">
        <v>8.0000000000000004E-4</v>
      </c>
      <c r="BH68" s="290">
        <v>352.71699999999998</v>
      </c>
      <c r="BI68" s="291">
        <v>30.992000000000001</v>
      </c>
      <c r="BJ68" s="291">
        <v>-0.33700000000000002</v>
      </c>
      <c r="BK68" s="292">
        <v>2.5000000000000001E-3</v>
      </c>
      <c r="BL68" s="290"/>
      <c r="BM68" s="291"/>
      <c r="BN68" s="291"/>
      <c r="BO68" s="293"/>
      <c r="BP68" s="290">
        <v>352.71699999999998</v>
      </c>
      <c r="BQ68" s="291">
        <v>30.992000000000001</v>
      </c>
      <c r="BR68" s="291">
        <v>-0.33700000000000002</v>
      </c>
      <c r="BS68" s="292">
        <v>2.5000000000000001E-3</v>
      </c>
    </row>
    <row r="69" spans="1:71" ht="13.5" customHeight="1">
      <c r="A69" s="23"/>
      <c r="B69" s="294">
        <v>2052</v>
      </c>
      <c r="C69" s="22"/>
      <c r="D69" s="290">
        <v>28.763000000000002</v>
      </c>
      <c r="E69" s="291">
        <v>6.1130000000000004</v>
      </c>
      <c r="F69" s="291">
        <v>-7.0000000000000007E-2</v>
      </c>
      <c r="G69" s="292">
        <v>5.0000000000000001E-4</v>
      </c>
      <c r="H69" s="290">
        <v>33.991</v>
      </c>
      <c r="I69" s="291">
        <v>4.8739999999999997</v>
      </c>
      <c r="J69" s="291">
        <v>-4.7E-2</v>
      </c>
      <c r="K69" s="292">
        <v>4.0000000000000002E-4</v>
      </c>
      <c r="L69" s="290"/>
      <c r="M69" s="291">
        <v>2.2389999999999999</v>
      </c>
      <c r="N69" s="291"/>
      <c r="O69" s="293"/>
      <c r="P69" s="290">
        <v>17.03</v>
      </c>
      <c r="Q69" s="291">
        <v>4.1639999999999997</v>
      </c>
      <c r="R69" s="291">
        <v>-3.5000000000000003E-2</v>
      </c>
      <c r="S69" s="292">
        <v>2.0000000000000001E-4</v>
      </c>
      <c r="T69" s="290">
        <v>20.792999999999999</v>
      </c>
      <c r="U69" s="291">
        <v>11.66</v>
      </c>
      <c r="V69" s="291">
        <v>-0.183</v>
      </c>
      <c r="W69" s="292">
        <v>1.1999999999999999E-3</v>
      </c>
      <c r="X69" s="290">
        <v>32.978999999999999</v>
      </c>
      <c r="Y69" s="291">
        <v>8.06</v>
      </c>
      <c r="Z69" s="291">
        <v>-0.11600000000000001</v>
      </c>
      <c r="AA69" s="292">
        <v>1E-3</v>
      </c>
      <c r="AB69" s="290"/>
      <c r="AC69" s="291">
        <v>3.3359999999999999</v>
      </c>
      <c r="AD69" s="291"/>
      <c r="AE69" s="293"/>
      <c r="AF69" s="290">
        <v>25.469000000000001</v>
      </c>
      <c r="AG69" s="291">
        <v>7.2370000000000001</v>
      </c>
      <c r="AH69" s="291">
        <v>-9.5000000000000001E-2</v>
      </c>
      <c r="AI69" s="292">
        <v>8.0000000000000004E-4</v>
      </c>
      <c r="AJ69" s="290">
        <v>226.76300000000001</v>
      </c>
      <c r="AK69" s="291">
        <v>12.031000000000001</v>
      </c>
      <c r="AL69" s="291">
        <v>-8.6999999999999994E-2</v>
      </c>
      <c r="AM69" s="292">
        <v>8.9999999999999998E-4</v>
      </c>
      <c r="AN69" s="290"/>
      <c r="AO69" s="291"/>
      <c r="AP69" s="291"/>
      <c r="AQ69" s="293"/>
      <c r="AR69" s="290">
        <v>226.76300000000001</v>
      </c>
      <c r="AS69" s="291">
        <v>12.031000000000001</v>
      </c>
      <c r="AT69" s="291">
        <v>-8.6999999999999994E-2</v>
      </c>
      <c r="AU69" s="292">
        <v>8.9999999999999998E-4</v>
      </c>
      <c r="AV69" s="290">
        <v>413.137</v>
      </c>
      <c r="AW69" s="291">
        <v>21.454999999999998</v>
      </c>
      <c r="AX69" s="291">
        <v>-0.14199999999999999</v>
      </c>
      <c r="AY69" s="292">
        <v>8.0000000000000004E-4</v>
      </c>
      <c r="AZ69" s="290"/>
      <c r="BA69" s="291"/>
      <c r="BB69" s="291"/>
      <c r="BC69" s="293"/>
      <c r="BD69" s="290">
        <v>413.137</v>
      </c>
      <c r="BE69" s="291">
        <v>21.454999999999998</v>
      </c>
      <c r="BF69" s="291">
        <v>-0.14199999999999999</v>
      </c>
      <c r="BG69" s="292">
        <v>8.0000000000000004E-4</v>
      </c>
      <c r="BH69" s="290">
        <v>353.87200000000001</v>
      </c>
      <c r="BI69" s="291">
        <v>31.094000000000001</v>
      </c>
      <c r="BJ69" s="291">
        <v>-0.33800000000000002</v>
      </c>
      <c r="BK69" s="292">
        <v>2.5000000000000001E-3</v>
      </c>
      <c r="BL69" s="290"/>
      <c r="BM69" s="291"/>
      <c r="BN69" s="291"/>
      <c r="BO69" s="293"/>
      <c r="BP69" s="290">
        <v>353.87200000000001</v>
      </c>
      <c r="BQ69" s="291">
        <v>31.094000000000001</v>
      </c>
      <c r="BR69" s="291">
        <v>-0.33800000000000002</v>
      </c>
      <c r="BS69" s="292">
        <v>2.5000000000000001E-3</v>
      </c>
    </row>
    <row r="70" spans="1:71" ht="13.5" customHeight="1">
      <c r="A70" s="23"/>
      <c r="B70" s="294">
        <v>2053</v>
      </c>
      <c r="C70" s="22"/>
      <c r="D70" s="290">
        <v>28.861000000000001</v>
      </c>
      <c r="E70" s="291">
        <v>6.133</v>
      </c>
      <c r="F70" s="291">
        <v>-7.0000000000000007E-2</v>
      </c>
      <c r="G70" s="292">
        <v>5.0000000000000001E-4</v>
      </c>
      <c r="H70" s="290">
        <v>34.103000000000002</v>
      </c>
      <c r="I70" s="291">
        <v>4.8899999999999997</v>
      </c>
      <c r="J70" s="291">
        <v>-4.7E-2</v>
      </c>
      <c r="K70" s="292">
        <v>4.0000000000000002E-4</v>
      </c>
      <c r="L70" s="290"/>
      <c r="M70" s="291">
        <v>2.2389999999999999</v>
      </c>
      <c r="N70" s="291"/>
      <c r="O70" s="293"/>
      <c r="P70" s="290">
        <v>17.087</v>
      </c>
      <c r="Q70" s="291">
        <v>4.1749999999999998</v>
      </c>
      <c r="R70" s="291">
        <v>-3.5000000000000003E-2</v>
      </c>
      <c r="S70" s="292">
        <v>2.0000000000000001E-4</v>
      </c>
      <c r="T70" s="290">
        <v>20.864000000000001</v>
      </c>
      <c r="U70" s="291">
        <v>11.699</v>
      </c>
      <c r="V70" s="291">
        <v>-0.184</v>
      </c>
      <c r="W70" s="292">
        <v>1.1999999999999999E-3</v>
      </c>
      <c r="X70" s="290">
        <v>33.087000000000003</v>
      </c>
      <c r="Y70" s="291">
        <v>8.0869999999999997</v>
      </c>
      <c r="Z70" s="291">
        <v>-0.11700000000000001</v>
      </c>
      <c r="AA70" s="292">
        <v>1E-3</v>
      </c>
      <c r="AB70" s="290"/>
      <c r="AC70" s="291">
        <v>3.3359999999999999</v>
      </c>
      <c r="AD70" s="291"/>
      <c r="AE70" s="293"/>
      <c r="AF70" s="290">
        <v>25.553000000000001</v>
      </c>
      <c r="AG70" s="291">
        <v>7.2590000000000003</v>
      </c>
      <c r="AH70" s="291">
        <v>-9.5000000000000001E-2</v>
      </c>
      <c r="AI70" s="292">
        <v>8.0000000000000004E-4</v>
      </c>
      <c r="AJ70" s="290">
        <v>227.50800000000001</v>
      </c>
      <c r="AK70" s="291">
        <v>12.071</v>
      </c>
      <c r="AL70" s="291">
        <v>-8.6999999999999994E-2</v>
      </c>
      <c r="AM70" s="292">
        <v>1E-3</v>
      </c>
      <c r="AN70" s="290"/>
      <c r="AO70" s="291"/>
      <c r="AP70" s="291"/>
      <c r="AQ70" s="293"/>
      <c r="AR70" s="290">
        <v>227.50800000000001</v>
      </c>
      <c r="AS70" s="291">
        <v>12.071</v>
      </c>
      <c r="AT70" s="291">
        <v>-8.6999999999999994E-2</v>
      </c>
      <c r="AU70" s="292">
        <v>1E-3</v>
      </c>
      <c r="AV70" s="290">
        <v>414.49400000000003</v>
      </c>
      <c r="AW70" s="291">
        <v>21.524999999999999</v>
      </c>
      <c r="AX70" s="291">
        <v>-0.14299999999999999</v>
      </c>
      <c r="AY70" s="292">
        <v>8.9999999999999998E-4</v>
      </c>
      <c r="AZ70" s="290"/>
      <c r="BA70" s="291"/>
      <c r="BB70" s="291"/>
      <c r="BC70" s="293"/>
      <c r="BD70" s="290">
        <v>414.49400000000003</v>
      </c>
      <c r="BE70" s="291">
        <v>21.524999999999999</v>
      </c>
      <c r="BF70" s="291">
        <v>-0.14299999999999999</v>
      </c>
      <c r="BG70" s="292">
        <v>8.9999999999999998E-4</v>
      </c>
      <c r="BH70" s="290">
        <v>355.03399999999999</v>
      </c>
      <c r="BI70" s="291">
        <v>31.196000000000002</v>
      </c>
      <c r="BJ70" s="291">
        <v>-0.33900000000000002</v>
      </c>
      <c r="BK70" s="292">
        <v>2.5000000000000001E-3</v>
      </c>
      <c r="BL70" s="290"/>
      <c r="BM70" s="291"/>
      <c r="BN70" s="291"/>
      <c r="BO70" s="293"/>
      <c r="BP70" s="290">
        <v>355.03399999999999</v>
      </c>
      <c r="BQ70" s="291">
        <v>31.196000000000002</v>
      </c>
      <c r="BR70" s="291">
        <v>-0.33900000000000002</v>
      </c>
      <c r="BS70" s="292">
        <v>2.5000000000000001E-3</v>
      </c>
    </row>
    <row r="71" spans="1:71" ht="13.5" customHeight="1">
      <c r="A71" s="23"/>
      <c r="B71" s="294">
        <v>2054</v>
      </c>
      <c r="C71" s="22"/>
      <c r="D71" s="290">
        <v>28.959</v>
      </c>
      <c r="E71" s="291">
        <v>6.1539999999999999</v>
      </c>
      <c r="F71" s="291">
        <v>-7.0000000000000007E-2</v>
      </c>
      <c r="G71" s="292">
        <v>5.0000000000000001E-4</v>
      </c>
      <c r="H71" s="290">
        <v>34.215000000000003</v>
      </c>
      <c r="I71" s="291">
        <v>4.9059999999999997</v>
      </c>
      <c r="J71" s="291">
        <v>-4.7E-2</v>
      </c>
      <c r="K71" s="292">
        <v>4.0000000000000002E-4</v>
      </c>
      <c r="L71" s="290"/>
      <c r="M71" s="291">
        <v>2.2389999999999999</v>
      </c>
      <c r="N71" s="291"/>
      <c r="O71" s="293"/>
      <c r="P71" s="290">
        <v>17.143999999999998</v>
      </c>
      <c r="Q71" s="291">
        <v>4.1849999999999996</v>
      </c>
      <c r="R71" s="291">
        <v>-3.5000000000000003E-2</v>
      </c>
      <c r="S71" s="292">
        <v>2.0000000000000001E-4</v>
      </c>
      <c r="T71" s="290">
        <v>20.934999999999999</v>
      </c>
      <c r="U71" s="291">
        <v>11.739000000000001</v>
      </c>
      <c r="V71" s="291">
        <v>-0.184</v>
      </c>
      <c r="W71" s="292">
        <v>1.1999999999999999E-3</v>
      </c>
      <c r="X71" s="290">
        <v>33.195999999999998</v>
      </c>
      <c r="Y71" s="291">
        <v>8.1129999999999995</v>
      </c>
      <c r="Z71" s="291">
        <v>-0.11700000000000001</v>
      </c>
      <c r="AA71" s="292">
        <v>1E-3</v>
      </c>
      <c r="AB71" s="290"/>
      <c r="AC71" s="291">
        <v>3.3359999999999999</v>
      </c>
      <c r="AD71" s="291"/>
      <c r="AE71" s="293"/>
      <c r="AF71" s="290">
        <v>25.637</v>
      </c>
      <c r="AG71" s="291">
        <v>7.28</v>
      </c>
      <c r="AH71" s="291">
        <v>-9.6000000000000002E-2</v>
      </c>
      <c r="AI71" s="292">
        <v>8.0000000000000004E-4</v>
      </c>
      <c r="AJ71" s="290">
        <v>228.25700000000001</v>
      </c>
      <c r="AK71" s="291">
        <v>12.111000000000001</v>
      </c>
      <c r="AL71" s="291">
        <v>-8.7999999999999995E-2</v>
      </c>
      <c r="AM71" s="292">
        <v>1E-3</v>
      </c>
      <c r="AN71" s="290"/>
      <c r="AO71" s="291"/>
      <c r="AP71" s="291"/>
      <c r="AQ71" s="293"/>
      <c r="AR71" s="290">
        <v>228.25700000000001</v>
      </c>
      <c r="AS71" s="291">
        <v>12.111000000000001</v>
      </c>
      <c r="AT71" s="291">
        <v>-8.7999999999999995E-2</v>
      </c>
      <c r="AU71" s="292">
        <v>1E-3</v>
      </c>
      <c r="AV71" s="290">
        <v>415.858</v>
      </c>
      <c r="AW71" s="291">
        <v>21.596</v>
      </c>
      <c r="AX71" s="291">
        <v>-0.14299999999999999</v>
      </c>
      <c r="AY71" s="292">
        <v>8.9999999999999998E-4</v>
      </c>
      <c r="AZ71" s="290"/>
      <c r="BA71" s="291"/>
      <c r="BB71" s="291"/>
      <c r="BC71" s="293"/>
      <c r="BD71" s="290">
        <v>415.858</v>
      </c>
      <c r="BE71" s="291">
        <v>21.596</v>
      </c>
      <c r="BF71" s="291">
        <v>-0.14299999999999999</v>
      </c>
      <c r="BG71" s="292">
        <v>8.9999999999999998E-4</v>
      </c>
      <c r="BH71" s="290">
        <v>356.20299999999997</v>
      </c>
      <c r="BI71" s="291">
        <v>31.297999999999998</v>
      </c>
      <c r="BJ71" s="291">
        <v>-0.34</v>
      </c>
      <c r="BK71" s="292">
        <v>2.5000000000000001E-3</v>
      </c>
      <c r="BL71" s="290"/>
      <c r="BM71" s="291"/>
      <c r="BN71" s="291"/>
      <c r="BO71" s="293"/>
      <c r="BP71" s="290">
        <v>356.20299999999997</v>
      </c>
      <c r="BQ71" s="291">
        <v>31.297999999999998</v>
      </c>
      <c r="BR71" s="291">
        <v>-0.34</v>
      </c>
      <c r="BS71" s="292">
        <v>2.5000000000000001E-3</v>
      </c>
    </row>
    <row r="72" spans="1:71" ht="13.5" customHeight="1">
      <c r="A72" s="23"/>
      <c r="B72" s="294">
        <v>2055</v>
      </c>
      <c r="C72" s="22"/>
      <c r="D72" s="290">
        <v>29.058</v>
      </c>
      <c r="E72" s="291">
        <v>6.1749999999999998</v>
      </c>
      <c r="F72" s="291">
        <v>-7.0000000000000007E-2</v>
      </c>
      <c r="G72" s="292">
        <v>5.0000000000000001E-4</v>
      </c>
      <c r="H72" s="290">
        <v>34.328000000000003</v>
      </c>
      <c r="I72" s="291">
        <v>4.9219999999999997</v>
      </c>
      <c r="J72" s="291">
        <v>-4.7E-2</v>
      </c>
      <c r="K72" s="292">
        <v>4.0000000000000002E-4</v>
      </c>
      <c r="L72" s="290"/>
      <c r="M72" s="291">
        <v>2.2389999999999999</v>
      </c>
      <c r="N72" s="291"/>
      <c r="O72" s="293"/>
      <c r="P72" s="290">
        <v>17.202000000000002</v>
      </c>
      <c r="Q72" s="291">
        <v>4.1959999999999997</v>
      </c>
      <c r="R72" s="291">
        <v>-3.5000000000000003E-2</v>
      </c>
      <c r="S72" s="292">
        <v>2.0000000000000001E-4</v>
      </c>
      <c r="T72" s="290">
        <v>21.006</v>
      </c>
      <c r="U72" s="291">
        <v>11.779</v>
      </c>
      <c r="V72" s="291">
        <v>-0.185</v>
      </c>
      <c r="W72" s="292">
        <v>1.1999999999999999E-3</v>
      </c>
      <c r="X72" s="290">
        <v>33.305999999999997</v>
      </c>
      <c r="Y72" s="291">
        <v>8.14</v>
      </c>
      <c r="Z72" s="291">
        <v>-0.11700000000000001</v>
      </c>
      <c r="AA72" s="292">
        <v>1E-3</v>
      </c>
      <c r="AB72" s="290"/>
      <c r="AC72" s="291">
        <v>3.3359999999999999</v>
      </c>
      <c r="AD72" s="291"/>
      <c r="AE72" s="293"/>
      <c r="AF72" s="290">
        <v>25.722000000000001</v>
      </c>
      <c r="AG72" s="291">
        <v>7.3019999999999996</v>
      </c>
      <c r="AH72" s="291">
        <v>-9.6000000000000002E-2</v>
      </c>
      <c r="AI72" s="292">
        <v>8.0000000000000004E-4</v>
      </c>
      <c r="AJ72" s="290">
        <v>229.011</v>
      </c>
      <c r="AK72" s="291">
        <v>12.151</v>
      </c>
      <c r="AL72" s="291">
        <v>-8.7999999999999995E-2</v>
      </c>
      <c r="AM72" s="292">
        <v>1E-3</v>
      </c>
      <c r="AN72" s="290"/>
      <c r="AO72" s="291"/>
      <c r="AP72" s="291"/>
      <c r="AQ72" s="293"/>
      <c r="AR72" s="290">
        <v>229.011</v>
      </c>
      <c r="AS72" s="291">
        <v>12.151</v>
      </c>
      <c r="AT72" s="291">
        <v>-8.7999999999999995E-2</v>
      </c>
      <c r="AU72" s="292">
        <v>1E-3</v>
      </c>
      <c r="AV72" s="290">
        <v>417.23099999999999</v>
      </c>
      <c r="AW72" s="291">
        <v>21.667999999999999</v>
      </c>
      <c r="AX72" s="291">
        <v>-0.14399999999999999</v>
      </c>
      <c r="AY72" s="292">
        <v>8.9999999999999998E-4</v>
      </c>
      <c r="AZ72" s="290"/>
      <c r="BA72" s="291"/>
      <c r="BB72" s="291"/>
      <c r="BC72" s="293"/>
      <c r="BD72" s="290">
        <v>417.23099999999999</v>
      </c>
      <c r="BE72" s="291">
        <v>21.667999999999999</v>
      </c>
      <c r="BF72" s="291">
        <v>-0.14399999999999999</v>
      </c>
      <c r="BG72" s="292">
        <v>8.9999999999999998E-4</v>
      </c>
      <c r="BH72" s="290">
        <v>357.37900000000002</v>
      </c>
      <c r="BI72" s="291">
        <v>31.402000000000001</v>
      </c>
      <c r="BJ72" s="291">
        <v>-0.34100000000000003</v>
      </c>
      <c r="BK72" s="292">
        <v>2.5000000000000001E-3</v>
      </c>
      <c r="BL72" s="290"/>
      <c r="BM72" s="291"/>
      <c r="BN72" s="291"/>
      <c r="BO72" s="293"/>
      <c r="BP72" s="290">
        <v>357.37900000000002</v>
      </c>
      <c r="BQ72" s="291">
        <v>31.402000000000001</v>
      </c>
      <c r="BR72" s="291">
        <v>-0.34100000000000003</v>
      </c>
      <c r="BS72" s="292">
        <v>2.5000000000000001E-3</v>
      </c>
    </row>
    <row r="73" spans="1:71" ht="13.5" customHeight="1">
      <c r="A73" s="23"/>
      <c r="B73" s="294">
        <v>2056</v>
      </c>
      <c r="C73" s="22"/>
      <c r="D73" s="290">
        <v>29.157</v>
      </c>
      <c r="E73" s="291">
        <v>6.1959999999999997</v>
      </c>
      <c r="F73" s="291">
        <v>-7.0999999999999994E-2</v>
      </c>
      <c r="G73" s="292">
        <v>5.0000000000000001E-4</v>
      </c>
      <c r="H73" s="290">
        <v>34.442</v>
      </c>
      <c r="I73" s="291">
        <v>4.9379999999999997</v>
      </c>
      <c r="J73" s="291">
        <v>-4.8000000000000001E-2</v>
      </c>
      <c r="K73" s="292">
        <v>4.0000000000000002E-4</v>
      </c>
      <c r="L73" s="290"/>
      <c r="M73" s="291">
        <v>2.2389999999999999</v>
      </c>
      <c r="N73" s="291"/>
      <c r="O73" s="293"/>
      <c r="P73" s="290">
        <v>17.260000000000002</v>
      </c>
      <c r="Q73" s="291">
        <v>4.2069999999999999</v>
      </c>
      <c r="R73" s="291">
        <v>-3.5000000000000003E-2</v>
      </c>
      <c r="S73" s="292">
        <v>2.0000000000000001E-4</v>
      </c>
      <c r="T73" s="290">
        <v>21.077999999999999</v>
      </c>
      <c r="U73" s="291">
        <v>11.819000000000001</v>
      </c>
      <c r="V73" s="291">
        <v>-0.186</v>
      </c>
      <c r="W73" s="292">
        <v>1.1999999999999999E-3</v>
      </c>
      <c r="X73" s="290">
        <v>33.415999999999997</v>
      </c>
      <c r="Y73" s="291">
        <v>8.1669999999999998</v>
      </c>
      <c r="Z73" s="291">
        <v>-0.11799999999999999</v>
      </c>
      <c r="AA73" s="292">
        <v>1E-3</v>
      </c>
      <c r="AB73" s="290"/>
      <c r="AC73" s="291">
        <v>3.3359999999999999</v>
      </c>
      <c r="AD73" s="291"/>
      <c r="AE73" s="293"/>
      <c r="AF73" s="290">
        <v>25.806999999999999</v>
      </c>
      <c r="AG73" s="291">
        <v>7.3239999999999998</v>
      </c>
      <c r="AH73" s="291">
        <v>-9.6000000000000002E-2</v>
      </c>
      <c r="AI73" s="292">
        <v>8.0000000000000004E-4</v>
      </c>
      <c r="AJ73" s="290">
        <v>229.76900000000001</v>
      </c>
      <c r="AK73" s="291">
        <v>12.191000000000001</v>
      </c>
      <c r="AL73" s="291">
        <v>-8.7999999999999995E-2</v>
      </c>
      <c r="AM73" s="292">
        <v>1E-3</v>
      </c>
      <c r="AN73" s="290"/>
      <c r="AO73" s="291"/>
      <c r="AP73" s="291"/>
      <c r="AQ73" s="293"/>
      <c r="AR73" s="290">
        <v>229.76900000000001</v>
      </c>
      <c r="AS73" s="291">
        <v>12.191000000000001</v>
      </c>
      <c r="AT73" s="291">
        <v>-8.7999999999999995E-2</v>
      </c>
      <c r="AU73" s="292">
        <v>1E-3</v>
      </c>
      <c r="AV73" s="290">
        <v>418.61200000000002</v>
      </c>
      <c r="AW73" s="291">
        <v>21.739000000000001</v>
      </c>
      <c r="AX73" s="291">
        <v>-0.14399999999999999</v>
      </c>
      <c r="AY73" s="292">
        <v>8.9999999999999998E-4</v>
      </c>
      <c r="AZ73" s="290"/>
      <c r="BA73" s="291"/>
      <c r="BB73" s="291"/>
      <c r="BC73" s="293"/>
      <c r="BD73" s="290">
        <v>418.61200000000002</v>
      </c>
      <c r="BE73" s="291">
        <v>21.739000000000001</v>
      </c>
      <c r="BF73" s="291">
        <v>-0.14399999999999999</v>
      </c>
      <c r="BG73" s="292">
        <v>8.9999999999999998E-4</v>
      </c>
      <c r="BH73" s="290">
        <v>358.56200000000001</v>
      </c>
      <c r="BI73" s="291">
        <v>31.506</v>
      </c>
      <c r="BJ73" s="291">
        <v>-0.34200000000000003</v>
      </c>
      <c r="BK73" s="292">
        <v>2.5000000000000001E-3</v>
      </c>
      <c r="BL73" s="290"/>
      <c r="BM73" s="291"/>
      <c r="BN73" s="291"/>
      <c r="BO73" s="293"/>
      <c r="BP73" s="290">
        <v>358.56200000000001</v>
      </c>
      <c r="BQ73" s="291">
        <v>31.506</v>
      </c>
      <c r="BR73" s="291">
        <v>-0.34200000000000003</v>
      </c>
      <c r="BS73" s="292">
        <v>2.5000000000000001E-3</v>
      </c>
    </row>
    <row r="74" spans="1:71" ht="13.5" customHeight="1">
      <c r="A74" s="23"/>
      <c r="B74" s="294">
        <v>2057</v>
      </c>
      <c r="C74" s="22"/>
      <c r="D74" s="290">
        <v>29.257000000000001</v>
      </c>
      <c r="E74" s="291">
        <v>6.218</v>
      </c>
      <c r="F74" s="291">
        <v>-7.0999999999999994E-2</v>
      </c>
      <c r="G74" s="292">
        <v>5.0000000000000001E-4</v>
      </c>
      <c r="H74" s="290">
        <v>34.555999999999997</v>
      </c>
      <c r="I74" s="291">
        <v>4.9539999999999997</v>
      </c>
      <c r="J74" s="291">
        <v>-4.8000000000000001E-2</v>
      </c>
      <c r="K74" s="292">
        <v>4.0000000000000002E-4</v>
      </c>
      <c r="L74" s="290"/>
      <c r="M74" s="291">
        <v>2.2389999999999999</v>
      </c>
      <c r="N74" s="291"/>
      <c r="O74" s="293"/>
      <c r="P74" s="290">
        <v>17.318000000000001</v>
      </c>
      <c r="Q74" s="291">
        <v>4.218</v>
      </c>
      <c r="R74" s="291">
        <v>-3.5000000000000003E-2</v>
      </c>
      <c r="S74" s="292">
        <v>2.0000000000000001E-4</v>
      </c>
      <c r="T74" s="290">
        <v>21.15</v>
      </c>
      <c r="U74" s="291">
        <v>11.86</v>
      </c>
      <c r="V74" s="291">
        <v>-0.186</v>
      </c>
      <c r="W74" s="292">
        <v>1.1999999999999999E-3</v>
      </c>
      <c r="X74" s="290">
        <v>33.527000000000001</v>
      </c>
      <c r="Y74" s="291">
        <v>8.1940000000000008</v>
      </c>
      <c r="Z74" s="291">
        <v>-0.11799999999999999</v>
      </c>
      <c r="AA74" s="292">
        <v>1E-3</v>
      </c>
      <c r="AB74" s="290"/>
      <c r="AC74" s="291">
        <v>3.3359999999999999</v>
      </c>
      <c r="AD74" s="291"/>
      <c r="AE74" s="293"/>
      <c r="AF74" s="290">
        <v>25.893000000000001</v>
      </c>
      <c r="AG74" s="291">
        <v>7.3460000000000001</v>
      </c>
      <c r="AH74" s="291">
        <v>-9.7000000000000003E-2</v>
      </c>
      <c r="AI74" s="292">
        <v>8.0000000000000004E-4</v>
      </c>
      <c r="AJ74" s="290">
        <v>230.53100000000001</v>
      </c>
      <c r="AK74" s="291">
        <v>12.231</v>
      </c>
      <c r="AL74" s="291">
        <v>-8.7999999999999995E-2</v>
      </c>
      <c r="AM74" s="292">
        <v>1E-3</v>
      </c>
      <c r="AN74" s="290"/>
      <c r="AO74" s="291"/>
      <c r="AP74" s="291"/>
      <c r="AQ74" s="293"/>
      <c r="AR74" s="290">
        <v>230.53100000000001</v>
      </c>
      <c r="AS74" s="291">
        <v>12.231</v>
      </c>
      <c r="AT74" s="291">
        <v>-8.7999999999999995E-2</v>
      </c>
      <c r="AU74" s="292">
        <v>1E-3</v>
      </c>
      <c r="AV74" s="290">
        <v>420.00099999999998</v>
      </c>
      <c r="AW74" s="291">
        <v>21.811</v>
      </c>
      <c r="AX74" s="291">
        <v>-0.14499999999999999</v>
      </c>
      <c r="AY74" s="292">
        <v>8.9999999999999998E-4</v>
      </c>
      <c r="AZ74" s="290"/>
      <c r="BA74" s="291"/>
      <c r="BB74" s="291"/>
      <c r="BC74" s="293"/>
      <c r="BD74" s="290">
        <v>420.00099999999998</v>
      </c>
      <c r="BE74" s="291">
        <v>21.811</v>
      </c>
      <c r="BF74" s="291">
        <v>-0.14499999999999999</v>
      </c>
      <c r="BG74" s="292">
        <v>8.9999999999999998E-4</v>
      </c>
      <c r="BH74" s="290">
        <v>359.75099999999998</v>
      </c>
      <c r="BI74" s="291">
        <v>31.61</v>
      </c>
      <c r="BJ74" s="291">
        <v>-0.34399999999999997</v>
      </c>
      <c r="BK74" s="292">
        <v>2.5000000000000001E-3</v>
      </c>
      <c r="BL74" s="290"/>
      <c r="BM74" s="291"/>
      <c r="BN74" s="291"/>
      <c r="BO74" s="293"/>
      <c r="BP74" s="290">
        <v>359.75099999999998</v>
      </c>
      <c r="BQ74" s="291">
        <v>31.61</v>
      </c>
      <c r="BR74" s="291">
        <v>-0.34399999999999997</v>
      </c>
      <c r="BS74" s="292">
        <v>2.5000000000000001E-3</v>
      </c>
    </row>
    <row r="75" spans="1:71" ht="13.5" customHeight="1">
      <c r="A75" s="23"/>
      <c r="B75" s="294">
        <v>2058</v>
      </c>
      <c r="C75" s="22"/>
      <c r="D75" s="290">
        <v>29.358000000000001</v>
      </c>
      <c r="E75" s="291">
        <v>6.2389999999999999</v>
      </c>
      <c r="F75" s="291">
        <v>-7.0999999999999994E-2</v>
      </c>
      <c r="G75" s="292">
        <v>5.0000000000000001E-4</v>
      </c>
      <c r="H75" s="290">
        <v>34.670999999999999</v>
      </c>
      <c r="I75" s="291">
        <v>4.9710000000000001</v>
      </c>
      <c r="J75" s="291">
        <v>-4.8000000000000001E-2</v>
      </c>
      <c r="K75" s="292">
        <v>4.0000000000000002E-4</v>
      </c>
      <c r="L75" s="290"/>
      <c r="M75" s="291">
        <v>2.2389999999999999</v>
      </c>
      <c r="N75" s="291"/>
      <c r="O75" s="293"/>
      <c r="P75" s="290">
        <v>17.376999999999999</v>
      </c>
      <c r="Q75" s="291">
        <v>4.2290000000000001</v>
      </c>
      <c r="R75" s="291">
        <v>-3.5000000000000003E-2</v>
      </c>
      <c r="S75" s="292">
        <v>2.0000000000000001E-4</v>
      </c>
      <c r="T75" s="290">
        <v>21.222999999999999</v>
      </c>
      <c r="U75" s="291">
        <v>11.901</v>
      </c>
      <c r="V75" s="291">
        <v>-0.187</v>
      </c>
      <c r="W75" s="292">
        <v>1.1999999999999999E-3</v>
      </c>
      <c r="X75" s="290">
        <v>33.637999999999998</v>
      </c>
      <c r="Y75" s="291">
        <v>8.2210000000000001</v>
      </c>
      <c r="Z75" s="291">
        <v>-0.11899999999999999</v>
      </c>
      <c r="AA75" s="292">
        <v>1E-3</v>
      </c>
      <c r="AB75" s="290"/>
      <c r="AC75" s="291">
        <v>3.3359999999999999</v>
      </c>
      <c r="AD75" s="291"/>
      <c r="AE75" s="293"/>
      <c r="AF75" s="290">
        <v>25.978999999999999</v>
      </c>
      <c r="AG75" s="291">
        <v>7.3680000000000003</v>
      </c>
      <c r="AH75" s="291">
        <v>-9.7000000000000003E-2</v>
      </c>
      <c r="AI75" s="292">
        <v>8.0000000000000004E-4</v>
      </c>
      <c r="AJ75" s="290">
        <v>231.298</v>
      </c>
      <c r="AK75" s="291">
        <v>12.272</v>
      </c>
      <c r="AL75" s="291">
        <v>-8.8999999999999996E-2</v>
      </c>
      <c r="AM75" s="292">
        <v>1E-3</v>
      </c>
      <c r="AN75" s="290"/>
      <c r="AO75" s="291"/>
      <c r="AP75" s="291"/>
      <c r="AQ75" s="293"/>
      <c r="AR75" s="290">
        <v>231.298</v>
      </c>
      <c r="AS75" s="291">
        <v>12.272</v>
      </c>
      <c r="AT75" s="291">
        <v>-8.8999999999999996E-2</v>
      </c>
      <c r="AU75" s="292">
        <v>1E-3</v>
      </c>
      <c r="AV75" s="290">
        <v>421.39800000000002</v>
      </c>
      <c r="AW75" s="291">
        <v>21.884</v>
      </c>
      <c r="AX75" s="291">
        <v>-0.14499999999999999</v>
      </c>
      <c r="AY75" s="292">
        <v>8.9999999999999998E-4</v>
      </c>
      <c r="AZ75" s="290"/>
      <c r="BA75" s="291"/>
      <c r="BB75" s="291"/>
      <c r="BC75" s="293"/>
      <c r="BD75" s="290">
        <v>421.39800000000002</v>
      </c>
      <c r="BE75" s="291">
        <v>21.884</v>
      </c>
      <c r="BF75" s="291">
        <v>-0.14499999999999999</v>
      </c>
      <c r="BG75" s="292">
        <v>8.9999999999999998E-4</v>
      </c>
      <c r="BH75" s="290">
        <v>360.94799999999998</v>
      </c>
      <c r="BI75" s="291">
        <v>31.715</v>
      </c>
      <c r="BJ75" s="291">
        <v>-0.34499999999999997</v>
      </c>
      <c r="BK75" s="292">
        <v>2.5000000000000001E-3</v>
      </c>
      <c r="BL75" s="290"/>
      <c r="BM75" s="291"/>
      <c r="BN75" s="291"/>
      <c r="BO75" s="293"/>
      <c r="BP75" s="290">
        <v>360.94799999999998</v>
      </c>
      <c r="BQ75" s="291">
        <v>31.715</v>
      </c>
      <c r="BR75" s="291">
        <v>-0.34499999999999997</v>
      </c>
      <c r="BS75" s="292">
        <v>2.5000000000000001E-3</v>
      </c>
    </row>
    <row r="76" spans="1:71" ht="13.5" customHeight="1">
      <c r="A76" s="23"/>
      <c r="B76" s="294">
        <v>2059</v>
      </c>
      <c r="C76" s="22"/>
      <c r="D76" s="290">
        <v>29.459</v>
      </c>
      <c r="E76" s="291">
        <v>6.2610000000000001</v>
      </c>
      <c r="F76" s="291">
        <v>-7.0999999999999994E-2</v>
      </c>
      <c r="G76" s="292">
        <v>5.0000000000000001E-4</v>
      </c>
      <c r="H76" s="290">
        <v>34.786999999999999</v>
      </c>
      <c r="I76" s="291">
        <v>4.9880000000000004</v>
      </c>
      <c r="J76" s="291">
        <v>-4.8000000000000001E-2</v>
      </c>
      <c r="K76" s="292">
        <v>4.0000000000000002E-4</v>
      </c>
      <c r="L76" s="290"/>
      <c r="M76" s="291">
        <v>2.2389999999999999</v>
      </c>
      <c r="N76" s="291"/>
      <c r="O76" s="293"/>
      <c r="P76" s="290">
        <v>17.436</v>
      </c>
      <c r="Q76" s="291">
        <v>4.24</v>
      </c>
      <c r="R76" s="291">
        <v>-3.5000000000000003E-2</v>
      </c>
      <c r="S76" s="292">
        <v>2.0000000000000001E-4</v>
      </c>
      <c r="T76" s="290">
        <v>21.295999999999999</v>
      </c>
      <c r="U76" s="291">
        <v>11.942</v>
      </c>
      <c r="V76" s="291">
        <v>-0.187</v>
      </c>
      <c r="W76" s="292">
        <v>1.1999999999999999E-3</v>
      </c>
      <c r="X76" s="290">
        <v>33.75</v>
      </c>
      <c r="Y76" s="291">
        <v>8.2490000000000006</v>
      </c>
      <c r="Z76" s="291">
        <v>-0.11899999999999999</v>
      </c>
      <c r="AA76" s="292">
        <v>1E-3</v>
      </c>
      <c r="AB76" s="290"/>
      <c r="AC76" s="291">
        <v>3.3359999999999999</v>
      </c>
      <c r="AD76" s="291"/>
      <c r="AE76" s="293"/>
      <c r="AF76" s="290">
        <v>26.065999999999999</v>
      </c>
      <c r="AG76" s="291">
        <v>7.391</v>
      </c>
      <c r="AH76" s="291">
        <v>-9.7000000000000003E-2</v>
      </c>
      <c r="AI76" s="292">
        <v>8.0000000000000004E-4</v>
      </c>
      <c r="AJ76" s="290">
        <v>232.06899999999999</v>
      </c>
      <c r="AK76" s="291">
        <v>12.313000000000001</v>
      </c>
      <c r="AL76" s="291">
        <v>-8.8999999999999996E-2</v>
      </c>
      <c r="AM76" s="292">
        <v>1E-3</v>
      </c>
      <c r="AN76" s="290"/>
      <c r="AO76" s="291"/>
      <c r="AP76" s="291"/>
      <c r="AQ76" s="293"/>
      <c r="AR76" s="290">
        <v>232.06899999999999</v>
      </c>
      <c r="AS76" s="291">
        <v>12.313000000000001</v>
      </c>
      <c r="AT76" s="291">
        <v>-8.8999999999999996E-2</v>
      </c>
      <c r="AU76" s="292">
        <v>1E-3</v>
      </c>
      <c r="AV76" s="290">
        <v>422.803</v>
      </c>
      <c r="AW76" s="291">
        <v>21.957000000000001</v>
      </c>
      <c r="AX76" s="291">
        <v>-0.14499999999999999</v>
      </c>
      <c r="AY76" s="292">
        <v>8.9999999999999998E-4</v>
      </c>
      <c r="AZ76" s="290"/>
      <c r="BA76" s="291"/>
      <c r="BB76" s="291"/>
      <c r="BC76" s="293"/>
      <c r="BD76" s="290">
        <v>422.803</v>
      </c>
      <c r="BE76" s="291">
        <v>21.957000000000001</v>
      </c>
      <c r="BF76" s="291">
        <v>-0.14499999999999999</v>
      </c>
      <c r="BG76" s="292">
        <v>8.9999999999999998E-4</v>
      </c>
      <c r="BH76" s="290">
        <v>362.15199999999999</v>
      </c>
      <c r="BI76" s="291">
        <v>31.821000000000002</v>
      </c>
      <c r="BJ76" s="291">
        <v>-0.34599999999999997</v>
      </c>
      <c r="BK76" s="292">
        <v>2.5000000000000001E-3</v>
      </c>
      <c r="BL76" s="290"/>
      <c r="BM76" s="291"/>
      <c r="BN76" s="291"/>
      <c r="BO76" s="293"/>
      <c r="BP76" s="290">
        <v>362.15199999999999</v>
      </c>
      <c r="BQ76" s="291">
        <v>31.821000000000002</v>
      </c>
      <c r="BR76" s="291">
        <v>-0.34599999999999997</v>
      </c>
      <c r="BS76" s="292">
        <v>2.5000000000000001E-3</v>
      </c>
    </row>
    <row r="77" spans="1:71" ht="13.5" customHeight="1">
      <c r="A77" s="23"/>
      <c r="B77" s="294">
        <v>2060</v>
      </c>
      <c r="C77" s="22"/>
      <c r="D77" s="290">
        <v>29.561</v>
      </c>
      <c r="E77" s="291">
        <v>6.282</v>
      </c>
      <c r="F77" s="291">
        <v>-7.1999999999999995E-2</v>
      </c>
      <c r="G77" s="292">
        <v>5.0000000000000001E-4</v>
      </c>
      <c r="H77" s="290">
        <v>34.902999999999999</v>
      </c>
      <c r="I77" s="291">
        <v>5.0039999999999996</v>
      </c>
      <c r="J77" s="291">
        <v>-4.8000000000000001E-2</v>
      </c>
      <c r="K77" s="292">
        <v>4.0000000000000002E-4</v>
      </c>
      <c r="L77" s="290"/>
      <c r="M77" s="291">
        <v>2.2389999999999999</v>
      </c>
      <c r="N77" s="291"/>
      <c r="O77" s="293"/>
      <c r="P77" s="290">
        <v>17.495999999999999</v>
      </c>
      <c r="Q77" s="291">
        <v>4.2510000000000003</v>
      </c>
      <c r="R77" s="291">
        <v>-3.5000000000000003E-2</v>
      </c>
      <c r="S77" s="292">
        <v>2.0000000000000001E-4</v>
      </c>
      <c r="T77" s="290">
        <v>21.37</v>
      </c>
      <c r="U77" s="291">
        <v>11.983000000000001</v>
      </c>
      <c r="V77" s="291">
        <v>-0.188</v>
      </c>
      <c r="W77" s="292">
        <v>1.1999999999999999E-3</v>
      </c>
      <c r="X77" s="290">
        <v>33.863</v>
      </c>
      <c r="Y77" s="291">
        <v>8.2759999999999998</v>
      </c>
      <c r="Z77" s="291">
        <v>-0.11899999999999999</v>
      </c>
      <c r="AA77" s="292">
        <v>1E-3</v>
      </c>
      <c r="AB77" s="290"/>
      <c r="AC77" s="291">
        <v>3.3359999999999999</v>
      </c>
      <c r="AD77" s="291"/>
      <c r="AE77" s="293"/>
      <c r="AF77" s="290">
        <v>26.152999999999999</v>
      </c>
      <c r="AG77" s="291">
        <v>7.4130000000000003</v>
      </c>
      <c r="AH77" s="291">
        <v>-9.8000000000000004E-2</v>
      </c>
      <c r="AI77" s="292">
        <v>8.0000000000000004E-4</v>
      </c>
      <c r="AJ77" s="290">
        <v>232.845</v>
      </c>
      <c r="AK77" s="291">
        <v>12.353999999999999</v>
      </c>
      <c r="AL77" s="291">
        <v>-8.8999999999999996E-2</v>
      </c>
      <c r="AM77" s="292">
        <v>1E-3</v>
      </c>
      <c r="AN77" s="290"/>
      <c r="AO77" s="291"/>
      <c r="AP77" s="291"/>
      <c r="AQ77" s="293"/>
      <c r="AR77" s="290">
        <v>232.845</v>
      </c>
      <c r="AS77" s="291">
        <v>12.353999999999999</v>
      </c>
      <c r="AT77" s="291">
        <v>-8.8999999999999996E-2</v>
      </c>
      <c r="AU77" s="292">
        <v>1E-3</v>
      </c>
      <c r="AV77" s="290">
        <v>424.21699999999998</v>
      </c>
      <c r="AW77" s="291">
        <v>22.03</v>
      </c>
      <c r="AX77" s="291">
        <v>-0.14599999999999999</v>
      </c>
      <c r="AY77" s="292">
        <v>8.9999999999999998E-4</v>
      </c>
      <c r="AZ77" s="290"/>
      <c r="BA77" s="291"/>
      <c r="BB77" s="291"/>
      <c r="BC77" s="293"/>
      <c r="BD77" s="290">
        <v>424.21699999999998</v>
      </c>
      <c r="BE77" s="291">
        <v>22.03</v>
      </c>
      <c r="BF77" s="291">
        <v>-0.14599999999999999</v>
      </c>
      <c r="BG77" s="292">
        <v>8.9999999999999998E-4</v>
      </c>
      <c r="BH77" s="290">
        <v>363.363</v>
      </c>
      <c r="BI77" s="291">
        <v>31.928000000000001</v>
      </c>
      <c r="BJ77" s="291">
        <v>-0.34699999999999998</v>
      </c>
      <c r="BK77" s="292">
        <v>2.5000000000000001E-3</v>
      </c>
      <c r="BL77" s="290"/>
      <c r="BM77" s="291"/>
      <c r="BN77" s="291"/>
      <c r="BO77" s="293"/>
      <c r="BP77" s="290">
        <v>363.363</v>
      </c>
      <c r="BQ77" s="291">
        <v>31.928000000000001</v>
      </c>
      <c r="BR77" s="291">
        <v>-0.34699999999999998</v>
      </c>
      <c r="BS77" s="292">
        <v>2.5000000000000001E-3</v>
      </c>
    </row>
    <row r="78" spans="1:71" ht="13.5" customHeight="1">
      <c r="A78" s="23"/>
      <c r="B78" s="294">
        <v>2061</v>
      </c>
      <c r="C78" s="22"/>
      <c r="D78" s="290">
        <v>29.663</v>
      </c>
      <c r="E78" s="291">
        <v>6.3040000000000003</v>
      </c>
      <c r="F78" s="291">
        <v>-7.1999999999999995E-2</v>
      </c>
      <c r="G78" s="292">
        <v>5.0000000000000001E-4</v>
      </c>
      <c r="H78" s="290">
        <v>35.020000000000003</v>
      </c>
      <c r="I78" s="291">
        <v>5.0209999999999999</v>
      </c>
      <c r="J78" s="291">
        <v>-4.8000000000000001E-2</v>
      </c>
      <c r="K78" s="292">
        <v>4.0000000000000002E-4</v>
      </c>
      <c r="L78" s="290"/>
      <c r="M78" s="291">
        <v>2.2389999999999999</v>
      </c>
      <c r="N78" s="291"/>
      <c r="O78" s="293"/>
      <c r="P78" s="290">
        <v>17.556000000000001</v>
      </c>
      <c r="Q78" s="291">
        <v>4.2619999999999996</v>
      </c>
      <c r="R78" s="291">
        <v>-3.5999999999999997E-2</v>
      </c>
      <c r="S78" s="292">
        <v>2.0000000000000001E-4</v>
      </c>
      <c r="T78" s="290">
        <v>21.443999999999999</v>
      </c>
      <c r="U78" s="291">
        <v>12.023999999999999</v>
      </c>
      <c r="V78" s="291">
        <v>-0.189</v>
      </c>
      <c r="W78" s="292">
        <v>1.1999999999999999E-3</v>
      </c>
      <c r="X78" s="290">
        <v>33.976999999999997</v>
      </c>
      <c r="Y78" s="291">
        <v>8.3040000000000003</v>
      </c>
      <c r="Z78" s="291">
        <v>-0.12</v>
      </c>
      <c r="AA78" s="292">
        <v>1E-3</v>
      </c>
      <c r="AB78" s="290"/>
      <c r="AC78" s="291">
        <v>3.3359999999999999</v>
      </c>
      <c r="AD78" s="291"/>
      <c r="AE78" s="293"/>
      <c r="AF78" s="290">
        <v>26.241</v>
      </c>
      <c r="AG78" s="291">
        <v>7.4359999999999999</v>
      </c>
      <c r="AH78" s="291">
        <v>-9.8000000000000004E-2</v>
      </c>
      <c r="AI78" s="292">
        <v>8.0000000000000004E-4</v>
      </c>
      <c r="AJ78" s="290">
        <v>233.625</v>
      </c>
      <c r="AK78" s="291">
        <v>12.396000000000001</v>
      </c>
      <c r="AL78" s="291">
        <v>-0.09</v>
      </c>
      <c r="AM78" s="292">
        <v>1E-3</v>
      </c>
      <c r="AN78" s="290"/>
      <c r="AO78" s="291"/>
      <c r="AP78" s="291"/>
      <c r="AQ78" s="293"/>
      <c r="AR78" s="290">
        <v>233.625</v>
      </c>
      <c r="AS78" s="291">
        <v>12.396000000000001</v>
      </c>
      <c r="AT78" s="291">
        <v>-0.09</v>
      </c>
      <c r="AU78" s="292">
        <v>1E-3</v>
      </c>
      <c r="AV78" s="290">
        <v>425.63900000000001</v>
      </c>
      <c r="AW78" s="291">
        <v>22.103999999999999</v>
      </c>
      <c r="AX78" s="291">
        <v>-0.14599999999999999</v>
      </c>
      <c r="AY78" s="292">
        <v>8.9999999999999998E-4</v>
      </c>
      <c r="AZ78" s="290"/>
      <c r="BA78" s="291"/>
      <c r="BB78" s="291"/>
      <c r="BC78" s="293"/>
      <c r="BD78" s="290">
        <v>425.63900000000001</v>
      </c>
      <c r="BE78" s="291">
        <v>22.103999999999999</v>
      </c>
      <c r="BF78" s="291">
        <v>-0.14599999999999999</v>
      </c>
      <c r="BG78" s="292">
        <v>8.9999999999999998E-4</v>
      </c>
      <c r="BH78" s="290">
        <v>364.58</v>
      </c>
      <c r="BI78" s="291">
        <v>32.034999999999997</v>
      </c>
      <c r="BJ78" s="291">
        <v>-0.34799999999999998</v>
      </c>
      <c r="BK78" s="292">
        <v>2.5999999999999999E-3</v>
      </c>
      <c r="BL78" s="290"/>
      <c r="BM78" s="291"/>
      <c r="BN78" s="291"/>
      <c r="BO78" s="293"/>
      <c r="BP78" s="290">
        <v>364.58</v>
      </c>
      <c r="BQ78" s="291">
        <v>32.034999999999997</v>
      </c>
      <c r="BR78" s="291">
        <v>-0.34799999999999998</v>
      </c>
      <c r="BS78" s="292">
        <v>2.5999999999999999E-3</v>
      </c>
    </row>
    <row r="79" spans="1:71" ht="13.5" customHeight="1">
      <c r="A79" s="23"/>
      <c r="B79" s="294">
        <v>2062</v>
      </c>
      <c r="C79" s="22"/>
      <c r="D79" s="290">
        <v>29.765999999999998</v>
      </c>
      <c r="E79" s="291">
        <v>6.3259999999999996</v>
      </c>
      <c r="F79" s="291">
        <v>-7.1999999999999995E-2</v>
      </c>
      <c r="G79" s="292">
        <v>5.0000000000000001E-4</v>
      </c>
      <c r="H79" s="290">
        <v>35.137999999999998</v>
      </c>
      <c r="I79" s="291">
        <v>5.0380000000000003</v>
      </c>
      <c r="J79" s="291">
        <v>-4.8000000000000001E-2</v>
      </c>
      <c r="K79" s="292">
        <v>4.0000000000000002E-4</v>
      </c>
      <c r="L79" s="290"/>
      <c r="M79" s="291">
        <v>2.2389999999999999</v>
      </c>
      <c r="N79" s="291"/>
      <c r="O79" s="293"/>
      <c r="P79" s="290">
        <v>17.616</v>
      </c>
      <c r="Q79" s="291">
        <v>4.274</v>
      </c>
      <c r="R79" s="291">
        <v>-3.5999999999999997E-2</v>
      </c>
      <c r="S79" s="292">
        <v>2.0000000000000001E-4</v>
      </c>
      <c r="T79" s="290">
        <v>21.518000000000001</v>
      </c>
      <c r="U79" s="291">
        <v>12.066000000000001</v>
      </c>
      <c r="V79" s="291">
        <v>-0.189</v>
      </c>
      <c r="W79" s="292">
        <v>1.1999999999999999E-3</v>
      </c>
      <c r="X79" s="290">
        <v>34.091000000000001</v>
      </c>
      <c r="Y79" s="291">
        <v>8.3320000000000007</v>
      </c>
      <c r="Z79" s="291">
        <v>-0.12</v>
      </c>
      <c r="AA79" s="292">
        <v>1E-3</v>
      </c>
      <c r="AB79" s="290"/>
      <c r="AC79" s="291">
        <v>3.3359999999999999</v>
      </c>
      <c r="AD79" s="291"/>
      <c r="AE79" s="293"/>
      <c r="AF79" s="290">
        <v>26.329000000000001</v>
      </c>
      <c r="AG79" s="291">
        <v>7.4580000000000002</v>
      </c>
      <c r="AH79" s="291">
        <v>-9.8000000000000004E-2</v>
      </c>
      <c r="AI79" s="292">
        <v>8.0000000000000004E-4</v>
      </c>
      <c r="AJ79" s="290">
        <v>234.41</v>
      </c>
      <c r="AK79" s="291">
        <v>12.436999999999999</v>
      </c>
      <c r="AL79" s="291">
        <v>-0.09</v>
      </c>
      <c r="AM79" s="292">
        <v>1E-3</v>
      </c>
      <c r="AN79" s="290"/>
      <c r="AO79" s="291"/>
      <c r="AP79" s="291"/>
      <c r="AQ79" s="293"/>
      <c r="AR79" s="290">
        <v>234.41</v>
      </c>
      <c r="AS79" s="291">
        <v>12.436999999999999</v>
      </c>
      <c r="AT79" s="291">
        <v>-0.09</v>
      </c>
      <c r="AU79" s="292">
        <v>1E-3</v>
      </c>
      <c r="AV79" s="290">
        <v>427.06900000000002</v>
      </c>
      <c r="AW79" s="291">
        <v>22.178000000000001</v>
      </c>
      <c r="AX79" s="291">
        <v>-0.14699999999999999</v>
      </c>
      <c r="AY79" s="292">
        <v>8.9999999999999998E-4</v>
      </c>
      <c r="AZ79" s="290"/>
      <c r="BA79" s="291"/>
      <c r="BB79" s="291"/>
      <c r="BC79" s="293"/>
      <c r="BD79" s="290">
        <v>427.06900000000002</v>
      </c>
      <c r="BE79" s="291">
        <v>22.178000000000001</v>
      </c>
      <c r="BF79" s="291">
        <v>-0.14699999999999999</v>
      </c>
      <c r="BG79" s="292">
        <v>8.9999999999999998E-4</v>
      </c>
      <c r="BH79" s="290">
        <v>365.80500000000001</v>
      </c>
      <c r="BI79" s="291">
        <v>32.142000000000003</v>
      </c>
      <c r="BJ79" s="291">
        <v>-0.34899999999999998</v>
      </c>
      <c r="BK79" s="292">
        <v>2.5999999999999999E-3</v>
      </c>
      <c r="BL79" s="290"/>
      <c r="BM79" s="291"/>
      <c r="BN79" s="291"/>
      <c r="BO79" s="293"/>
      <c r="BP79" s="290">
        <v>365.80500000000001</v>
      </c>
      <c r="BQ79" s="291">
        <v>32.142000000000003</v>
      </c>
      <c r="BR79" s="291">
        <v>-0.34899999999999998</v>
      </c>
      <c r="BS79" s="292">
        <v>2.5999999999999999E-3</v>
      </c>
    </row>
    <row r="80" spans="1:71" ht="13.5" customHeight="1">
      <c r="A80" s="23"/>
      <c r="B80" s="294">
        <v>2063</v>
      </c>
      <c r="C80" s="22"/>
      <c r="D80" s="290">
        <v>29.869</v>
      </c>
      <c r="E80" s="291">
        <v>6.3479999999999999</v>
      </c>
      <c r="F80" s="291">
        <v>-7.1999999999999995E-2</v>
      </c>
      <c r="G80" s="292">
        <v>5.0000000000000001E-4</v>
      </c>
      <c r="H80" s="290">
        <v>35.256</v>
      </c>
      <c r="I80" s="291">
        <v>5.0549999999999997</v>
      </c>
      <c r="J80" s="291">
        <v>-4.9000000000000002E-2</v>
      </c>
      <c r="K80" s="292">
        <v>4.0000000000000002E-4</v>
      </c>
      <c r="L80" s="290"/>
      <c r="M80" s="291">
        <v>2.2389999999999999</v>
      </c>
      <c r="N80" s="291"/>
      <c r="O80" s="293"/>
      <c r="P80" s="290">
        <v>17.675999999999998</v>
      </c>
      <c r="Q80" s="291">
        <v>4.2850000000000001</v>
      </c>
      <c r="R80" s="291">
        <v>-3.5999999999999997E-2</v>
      </c>
      <c r="S80" s="292">
        <v>2.0000000000000001E-4</v>
      </c>
      <c r="T80" s="290">
        <v>21.593</v>
      </c>
      <c r="U80" s="291">
        <v>12.108000000000001</v>
      </c>
      <c r="V80" s="291">
        <v>-0.19</v>
      </c>
      <c r="W80" s="292">
        <v>1.1999999999999999E-3</v>
      </c>
      <c r="X80" s="290">
        <v>34.206000000000003</v>
      </c>
      <c r="Y80" s="291">
        <v>8.36</v>
      </c>
      <c r="Z80" s="291">
        <v>-0.121</v>
      </c>
      <c r="AA80" s="292">
        <v>1E-3</v>
      </c>
      <c r="AB80" s="290"/>
      <c r="AC80" s="291">
        <v>3.3359999999999999</v>
      </c>
      <c r="AD80" s="291"/>
      <c r="AE80" s="293"/>
      <c r="AF80" s="290">
        <v>26.417999999999999</v>
      </c>
      <c r="AG80" s="291">
        <v>7.4809999999999999</v>
      </c>
      <c r="AH80" s="291">
        <v>-9.9000000000000005E-2</v>
      </c>
      <c r="AI80" s="292">
        <v>8.0000000000000004E-4</v>
      </c>
      <c r="AJ80" s="290">
        <v>235.2</v>
      </c>
      <c r="AK80" s="291">
        <v>12.478999999999999</v>
      </c>
      <c r="AL80" s="291">
        <v>-0.09</v>
      </c>
      <c r="AM80" s="292">
        <v>1E-3</v>
      </c>
      <c r="AN80" s="290"/>
      <c r="AO80" s="291"/>
      <c r="AP80" s="291"/>
      <c r="AQ80" s="293"/>
      <c r="AR80" s="290">
        <v>235.2</v>
      </c>
      <c r="AS80" s="291">
        <v>12.478999999999999</v>
      </c>
      <c r="AT80" s="291">
        <v>-0.09</v>
      </c>
      <c r="AU80" s="292">
        <v>1E-3</v>
      </c>
      <c r="AV80" s="290">
        <v>428.50700000000001</v>
      </c>
      <c r="AW80" s="291">
        <v>22.253</v>
      </c>
      <c r="AX80" s="291">
        <v>-0.14699999999999999</v>
      </c>
      <c r="AY80" s="292">
        <v>8.9999999999999998E-4</v>
      </c>
      <c r="AZ80" s="290"/>
      <c r="BA80" s="291"/>
      <c r="BB80" s="291"/>
      <c r="BC80" s="293"/>
      <c r="BD80" s="290">
        <v>428.50700000000001</v>
      </c>
      <c r="BE80" s="291">
        <v>22.253</v>
      </c>
      <c r="BF80" s="291">
        <v>-0.14699999999999999</v>
      </c>
      <c r="BG80" s="292">
        <v>8.9999999999999998E-4</v>
      </c>
      <c r="BH80" s="290">
        <v>367.03699999999998</v>
      </c>
      <c r="BI80" s="291">
        <v>32.25</v>
      </c>
      <c r="BJ80" s="291">
        <v>-0.35099999999999998</v>
      </c>
      <c r="BK80" s="292">
        <v>2.5999999999999999E-3</v>
      </c>
      <c r="BL80" s="290"/>
      <c r="BM80" s="291"/>
      <c r="BN80" s="291"/>
      <c r="BO80" s="293"/>
      <c r="BP80" s="290">
        <v>367.03699999999998</v>
      </c>
      <c r="BQ80" s="291">
        <v>32.25</v>
      </c>
      <c r="BR80" s="291">
        <v>-0.35099999999999998</v>
      </c>
      <c r="BS80" s="292">
        <v>2.5999999999999999E-3</v>
      </c>
    </row>
    <row r="81" spans="1:71" ht="13.5" customHeight="1">
      <c r="A81" s="23"/>
      <c r="B81" s="294">
        <v>2064</v>
      </c>
      <c r="C81" s="22"/>
      <c r="D81" s="290">
        <v>29.974</v>
      </c>
      <c r="E81" s="291">
        <v>6.37</v>
      </c>
      <c r="F81" s="291">
        <v>-7.2999999999999995E-2</v>
      </c>
      <c r="G81" s="292">
        <v>5.0000000000000001E-4</v>
      </c>
      <c r="H81" s="290">
        <v>35.375</v>
      </c>
      <c r="I81" s="291">
        <v>5.0720000000000001</v>
      </c>
      <c r="J81" s="291">
        <v>-4.9000000000000002E-2</v>
      </c>
      <c r="K81" s="292">
        <v>4.0000000000000002E-4</v>
      </c>
      <c r="L81" s="290"/>
      <c r="M81" s="291">
        <v>2.2389999999999999</v>
      </c>
      <c r="N81" s="291"/>
      <c r="O81" s="293"/>
      <c r="P81" s="290">
        <v>17.736999999999998</v>
      </c>
      <c r="Q81" s="291">
        <v>4.2960000000000003</v>
      </c>
      <c r="R81" s="291">
        <v>-3.5999999999999997E-2</v>
      </c>
      <c r="S81" s="292">
        <v>2.0000000000000001E-4</v>
      </c>
      <c r="T81" s="290">
        <v>21.667999999999999</v>
      </c>
      <c r="U81" s="291">
        <v>12.15</v>
      </c>
      <c r="V81" s="291">
        <v>-0.191</v>
      </c>
      <c r="W81" s="292">
        <v>1.1999999999999999E-3</v>
      </c>
      <c r="X81" s="290">
        <v>34.320999999999998</v>
      </c>
      <c r="Y81" s="291">
        <v>8.3879999999999999</v>
      </c>
      <c r="Z81" s="291">
        <v>-0.121</v>
      </c>
      <c r="AA81" s="292">
        <v>1E-3</v>
      </c>
      <c r="AB81" s="290"/>
      <c r="AC81" s="291">
        <v>3.3359999999999999</v>
      </c>
      <c r="AD81" s="291"/>
      <c r="AE81" s="293"/>
      <c r="AF81" s="290">
        <v>26.507000000000001</v>
      </c>
      <c r="AG81" s="291">
        <v>7.5039999999999996</v>
      </c>
      <c r="AH81" s="291">
        <v>-9.9000000000000005E-2</v>
      </c>
      <c r="AI81" s="292">
        <v>8.0000000000000004E-4</v>
      </c>
      <c r="AJ81" s="290">
        <v>235.994</v>
      </c>
      <c r="AK81" s="291">
        <v>12.521000000000001</v>
      </c>
      <c r="AL81" s="291">
        <v>-9.0999999999999998E-2</v>
      </c>
      <c r="AM81" s="292">
        <v>1E-3</v>
      </c>
      <c r="AN81" s="290"/>
      <c r="AO81" s="291"/>
      <c r="AP81" s="291"/>
      <c r="AQ81" s="293"/>
      <c r="AR81" s="290">
        <v>235.994</v>
      </c>
      <c r="AS81" s="291">
        <v>12.521000000000001</v>
      </c>
      <c r="AT81" s="291">
        <v>-9.0999999999999998E-2</v>
      </c>
      <c r="AU81" s="292">
        <v>1E-3</v>
      </c>
      <c r="AV81" s="290">
        <v>429.95400000000001</v>
      </c>
      <c r="AW81" s="291">
        <v>22.327999999999999</v>
      </c>
      <c r="AX81" s="291">
        <v>-0.14799999999999999</v>
      </c>
      <c r="AY81" s="292">
        <v>8.9999999999999998E-4</v>
      </c>
      <c r="AZ81" s="290"/>
      <c r="BA81" s="291"/>
      <c r="BB81" s="291"/>
      <c r="BC81" s="293"/>
      <c r="BD81" s="290">
        <v>429.95400000000001</v>
      </c>
      <c r="BE81" s="291">
        <v>22.327999999999999</v>
      </c>
      <c r="BF81" s="291">
        <v>-0.14799999999999999</v>
      </c>
      <c r="BG81" s="292">
        <v>8.9999999999999998E-4</v>
      </c>
      <c r="BH81" s="290">
        <v>368.27699999999999</v>
      </c>
      <c r="BI81" s="291">
        <v>32.359000000000002</v>
      </c>
      <c r="BJ81" s="291">
        <v>-0.35199999999999998</v>
      </c>
      <c r="BK81" s="292">
        <v>2.5999999999999999E-3</v>
      </c>
      <c r="BL81" s="290"/>
      <c r="BM81" s="291"/>
      <c r="BN81" s="291"/>
      <c r="BO81" s="293"/>
      <c r="BP81" s="290">
        <v>368.27699999999999</v>
      </c>
      <c r="BQ81" s="291">
        <v>32.359000000000002</v>
      </c>
      <c r="BR81" s="291">
        <v>-0.35199999999999998</v>
      </c>
      <c r="BS81" s="292">
        <v>2.5999999999999999E-3</v>
      </c>
    </row>
    <row r="82" spans="1:71" ht="13.5" customHeight="1">
      <c r="A82" s="23"/>
      <c r="B82" s="294">
        <v>2065</v>
      </c>
      <c r="C82" s="22"/>
      <c r="D82" s="290">
        <v>30.077999999999999</v>
      </c>
      <c r="E82" s="291">
        <v>6.3920000000000003</v>
      </c>
      <c r="F82" s="291">
        <v>-7.2999999999999995E-2</v>
      </c>
      <c r="G82" s="292">
        <v>5.0000000000000001E-4</v>
      </c>
      <c r="H82" s="290">
        <v>35.494999999999997</v>
      </c>
      <c r="I82" s="291">
        <v>5.0890000000000004</v>
      </c>
      <c r="J82" s="291">
        <v>-4.9000000000000002E-2</v>
      </c>
      <c r="K82" s="292">
        <v>4.0000000000000002E-4</v>
      </c>
      <c r="L82" s="290"/>
      <c r="M82" s="291">
        <v>2.2389999999999999</v>
      </c>
      <c r="N82" s="291"/>
      <c r="O82" s="293"/>
      <c r="P82" s="290">
        <v>17.798999999999999</v>
      </c>
      <c r="Q82" s="291">
        <v>4.3079999999999998</v>
      </c>
      <c r="R82" s="291">
        <v>-3.5999999999999997E-2</v>
      </c>
      <c r="S82" s="292">
        <v>2.9999999999999997E-4</v>
      </c>
      <c r="T82" s="290">
        <v>21.744</v>
      </c>
      <c r="U82" s="291">
        <v>12.193</v>
      </c>
      <c r="V82" s="291">
        <v>-0.191</v>
      </c>
      <c r="W82" s="292">
        <v>1.1999999999999999E-3</v>
      </c>
      <c r="X82" s="290">
        <v>34.436999999999998</v>
      </c>
      <c r="Y82" s="291">
        <v>8.4169999999999998</v>
      </c>
      <c r="Z82" s="291">
        <v>-0.121</v>
      </c>
      <c r="AA82" s="292">
        <v>1E-3</v>
      </c>
      <c r="AB82" s="290"/>
      <c r="AC82" s="291">
        <v>3.3359999999999999</v>
      </c>
      <c r="AD82" s="291"/>
      <c r="AE82" s="293"/>
      <c r="AF82" s="290">
        <v>26.597000000000001</v>
      </c>
      <c r="AG82" s="291">
        <v>7.5270000000000001</v>
      </c>
      <c r="AH82" s="291">
        <v>-9.9000000000000005E-2</v>
      </c>
      <c r="AI82" s="292">
        <v>8.0000000000000004E-4</v>
      </c>
      <c r="AJ82" s="290">
        <v>236.79300000000001</v>
      </c>
      <c r="AK82" s="291">
        <v>12.564</v>
      </c>
      <c r="AL82" s="291">
        <v>-9.0999999999999998E-2</v>
      </c>
      <c r="AM82" s="292">
        <v>1E-3</v>
      </c>
      <c r="AN82" s="290"/>
      <c r="AO82" s="291"/>
      <c r="AP82" s="291"/>
      <c r="AQ82" s="293"/>
      <c r="AR82" s="290">
        <v>236.79300000000001</v>
      </c>
      <c r="AS82" s="291">
        <v>12.564</v>
      </c>
      <c r="AT82" s="291">
        <v>-9.0999999999999998E-2</v>
      </c>
      <c r="AU82" s="292">
        <v>1E-3</v>
      </c>
      <c r="AV82" s="290">
        <v>431.41</v>
      </c>
      <c r="AW82" s="291">
        <v>22.404</v>
      </c>
      <c r="AX82" s="291">
        <v>-0.14799999999999999</v>
      </c>
      <c r="AY82" s="292">
        <v>8.9999999999999998E-4</v>
      </c>
      <c r="AZ82" s="290"/>
      <c r="BA82" s="291"/>
      <c r="BB82" s="291"/>
      <c r="BC82" s="293"/>
      <c r="BD82" s="290">
        <v>431.41</v>
      </c>
      <c r="BE82" s="291">
        <v>22.404</v>
      </c>
      <c r="BF82" s="291">
        <v>-0.14799999999999999</v>
      </c>
      <c r="BG82" s="292">
        <v>8.9999999999999998E-4</v>
      </c>
      <c r="BH82" s="290">
        <v>369.524</v>
      </c>
      <c r="BI82" s="291">
        <v>32.469000000000001</v>
      </c>
      <c r="BJ82" s="291">
        <v>-0.35299999999999998</v>
      </c>
      <c r="BK82" s="292">
        <v>2.5999999999999999E-3</v>
      </c>
      <c r="BL82" s="290"/>
      <c r="BM82" s="291"/>
      <c r="BN82" s="291"/>
      <c r="BO82" s="293"/>
      <c r="BP82" s="290">
        <v>369.524</v>
      </c>
      <c r="BQ82" s="291">
        <v>32.469000000000001</v>
      </c>
      <c r="BR82" s="291">
        <v>-0.35299999999999998</v>
      </c>
      <c r="BS82" s="292">
        <v>2.5999999999999999E-3</v>
      </c>
    </row>
    <row r="83" spans="1:71" ht="13.5" customHeight="1">
      <c r="A83" s="23"/>
      <c r="B83" s="294">
        <v>2066</v>
      </c>
      <c r="C83" s="22"/>
      <c r="D83" s="290">
        <v>30.184000000000001</v>
      </c>
      <c r="E83" s="291">
        <v>6.415</v>
      </c>
      <c r="F83" s="291">
        <v>-7.2999999999999995E-2</v>
      </c>
      <c r="G83" s="292">
        <v>5.0000000000000001E-4</v>
      </c>
      <c r="H83" s="290">
        <v>35.615000000000002</v>
      </c>
      <c r="I83" s="291">
        <v>5.1059999999999999</v>
      </c>
      <c r="J83" s="291">
        <v>-4.9000000000000002E-2</v>
      </c>
      <c r="K83" s="292">
        <v>4.0000000000000002E-4</v>
      </c>
      <c r="L83" s="290"/>
      <c r="M83" s="291">
        <v>2.2389999999999999</v>
      </c>
      <c r="N83" s="291"/>
      <c r="O83" s="293"/>
      <c r="P83" s="290">
        <v>17.86</v>
      </c>
      <c r="Q83" s="291">
        <v>4.319</v>
      </c>
      <c r="R83" s="291">
        <v>-3.5999999999999997E-2</v>
      </c>
      <c r="S83" s="292">
        <v>2.9999999999999997E-4</v>
      </c>
      <c r="T83" s="290">
        <v>21.82</v>
      </c>
      <c r="U83" s="291">
        <v>12.234999999999999</v>
      </c>
      <c r="V83" s="291">
        <v>-0.192</v>
      </c>
      <c r="W83" s="292">
        <v>1.1999999999999999E-3</v>
      </c>
      <c r="X83" s="290">
        <v>34.554000000000002</v>
      </c>
      <c r="Y83" s="291">
        <v>8.4450000000000003</v>
      </c>
      <c r="Z83" s="291">
        <v>-0.122</v>
      </c>
      <c r="AA83" s="292">
        <v>1E-3</v>
      </c>
      <c r="AB83" s="290"/>
      <c r="AC83" s="291">
        <v>3.3359999999999999</v>
      </c>
      <c r="AD83" s="291"/>
      <c r="AE83" s="293"/>
      <c r="AF83" s="290">
        <v>26.687000000000001</v>
      </c>
      <c r="AG83" s="291">
        <v>7.55</v>
      </c>
      <c r="AH83" s="291">
        <v>-0.1</v>
      </c>
      <c r="AI83" s="292">
        <v>8.0000000000000004E-4</v>
      </c>
      <c r="AJ83" s="290">
        <v>237.59700000000001</v>
      </c>
      <c r="AK83" s="291">
        <v>12.606</v>
      </c>
      <c r="AL83" s="291">
        <v>-9.0999999999999998E-2</v>
      </c>
      <c r="AM83" s="292">
        <v>1E-3</v>
      </c>
      <c r="AN83" s="290"/>
      <c r="AO83" s="291"/>
      <c r="AP83" s="291"/>
      <c r="AQ83" s="293"/>
      <c r="AR83" s="290">
        <v>237.59700000000001</v>
      </c>
      <c r="AS83" s="291">
        <v>12.606</v>
      </c>
      <c r="AT83" s="291">
        <v>-9.0999999999999998E-2</v>
      </c>
      <c r="AU83" s="292">
        <v>1E-3</v>
      </c>
      <c r="AV83" s="290">
        <v>432.87400000000002</v>
      </c>
      <c r="AW83" s="291">
        <v>22.48</v>
      </c>
      <c r="AX83" s="291">
        <v>-0.14899999999999999</v>
      </c>
      <c r="AY83" s="292">
        <v>8.9999999999999998E-4</v>
      </c>
      <c r="AZ83" s="290"/>
      <c r="BA83" s="291"/>
      <c r="BB83" s="291"/>
      <c r="BC83" s="293"/>
      <c r="BD83" s="290">
        <v>432.87400000000002</v>
      </c>
      <c r="BE83" s="291">
        <v>22.48</v>
      </c>
      <c r="BF83" s="291">
        <v>-0.14899999999999999</v>
      </c>
      <c r="BG83" s="292">
        <v>8.9999999999999998E-4</v>
      </c>
      <c r="BH83" s="290">
        <v>370.77699999999999</v>
      </c>
      <c r="BI83" s="291">
        <v>32.579000000000001</v>
      </c>
      <c r="BJ83" s="291">
        <v>-0.35399999999999998</v>
      </c>
      <c r="BK83" s="292">
        <v>2.5999999999999999E-3</v>
      </c>
      <c r="BL83" s="290"/>
      <c r="BM83" s="291"/>
      <c r="BN83" s="291"/>
      <c r="BO83" s="293"/>
      <c r="BP83" s="290">
        <v>370.77699999999999</v>
      </c>
      <c r="BQ83" s="291">
        <v>32.579000000000001</v>
      </c>
      <c r="BR83" s="291">
        <v>-0.35399999999999998</v>
      </c>
      <c r="BS83" s="292">
        <v>2.5999999999999999E-3</v>
      </c>
    </row>
    <row r="84" spans="1:71" ht="13.5" customHeight="1">
      <c r="A84" s="23"/>
      <c r="B84" s="294">
        <v>2067</v>
      </c>
      <c r="C84" s="22"/>
      <c r="D84" s="290">
        <v>30.29</v>
      </c>
      <c r="E84" s="291">
        <v>6.4370000000000003</v>
      </c>
      <c r="F84" s="291">
        <v>-7.2999999999999995E-2</v>
      </c>
      <c r="G84" s="292">
        <v>5.0000000000000001E-4</v>
      </c>
      <c r="H84" s="290">
        <v>35.735999999999997</v>
      </c>
      <c r="I84" s="291">
        <v>5.1239999999999997</v>
      </c>
      <c r="J84" s="291">
        <v>-4.9000000000000002E-2</v>
      </c>
      <c r="K84" s="292">
        <v>4.0000000000000002E-4</v>
      </c>
      <c r="L84" s="290"/>
      <c r="M84" s="291">
        <v>2.2389999999999999</v>
      </c>
      <c r="N84" s="291"/>
      <c r="O84" s="293"/>
      <c r="P84" s="290">
        <v>17.922000000000001</v>
      </c>
      <c r="Q84" s="291">
        <v>4.3310000000000004</v>
      </c>
      <c r="R84" s="291">
        <v>-3.5999999999999997E-2</v>
      </c>
      <c r="S84" s="292">
        <v>2.9999999999999997E-4</v>
      </c>
      <c r="T84" s="290">
        <v>21.896000000000001</v>
      </c>
      <c r="U84" s="291">
        <v>12.278</v>
      </c>
      <c r="V84" s="291">
        <v>-0.193</v>
      </c>
      <c r="W84" s="292">
        <v>1.1999999999999999E-3</v>
      </c>
      <c r="X84" s="290">
        <v>34.671999999999997</v>
      </c>
      <c r="Y84" s="291">
        <v>8.4740000000000002</v>
      </c>
      <c r="Z84" s="291">
        <v>-0.122</v>
      </c>
      <c r="AA84" s="292">
        <v>1E-3</v>
      </c>
      <c r="AB84" s="290"/>
      <c r="AC84" s="291">
        <v>3.3359999999999999</v>
      </c>
      <c r="AD84" s="291"/>
      <c r="AE84" s="293"/>
      <c r="AF84" s="290">
        <v>26.777999999999999</v>
      </c>
      <c r="AG84" s="291">
        <v>7.5739999999999998</v>
      </c>
      <c r="AH84" s="291">
        <v>-0.1</v>
      </c>
      <c r="AI84" s="292">
        <v>8.0000000000000004E-4</v>
      </c>
      <c r="AJ84" s="290">
        <v>238.405</v>
      </c>
      <c r="AK84" s="291">
        <v>12.648999999999999</v>
      </c>
      <c r="AL84" s="291">
        <v>-9.0999999999999998E-2</v>
      </c>
      <c r="AM84" s="292">
        <v>1E-3</v>
      </c>
      <c r="AN84" s="290"/>
      <c r="AO84" s="291"/>
      <c r="AP84" s="291"/>
      <c r="AQ84" s="293"/>
      <c r="AR84" s="290">
        <v>238.405</v>
      </c>
      <c r="AS84" s="291">
        <v>12.648999999999999</v>
      </c>
      <c r="AT84" s="291">
        <v>-9.0999999999999998E-2</v>
      </c>
      <c r="AU84" s="292">
        <v>1E-3</v>
      </c>
      <c r="AV84" s="290">
        <v>434.346</v>
      </c>
      <c r="AW84" s="291">
        <v>22.556000000000001</v>
      </c>
      <c r="AX84" s="291">
        <v>-0.14899999999999999</v>
      </c>
      <c r="AY84" s="292">
        <v>8.9999999999999998E-4</v>
      </c>
      <c r="AZ84" s="290"/>
      <c r="BA84" s="291"/>
      <c r="BB84" s="291"/>
      <c r="BC84" s="293"/>
      <c r="BD84" s="290">
        <v>434.346</v>
      </c>
      <c r="BE84" s="291">
        <v>22.556000000000001</v>
      </c>
      <c r="BF84" s="291">
        <v>-0.14899999999999999</v>
      </c>
      <c r="BG84" s="292">
        <v>8.9999999999999998E-4</v>
      </c>
      <c r="BH84" s="290">
        <v>372.03899999999999</v>
      </c>
      <c r="BI84" s="291">
        <v>32.69</v>
      </c>
      <c r="BJ84" s="291">
        <v>-0.35499999999999998</v>
      </c>
      <c r="BK84" s="292">
        <v>2.5999999999999999E-3</v>
      </c>
      <c r="BL84" s="290"/>
      <c r="BM84" s="291"/>
      <c r="BN84" s="291"/>
      <c r="BO84" s="293"/>
      <c r="BP84" s="290">
        <v>372.03899999999999</v>
      </c>
      <c r="BQ84" s="291">
        <v>32.69</v>
      </c>
      <c r="BR84" s="291">
        <v>-0.35499999999999998</v>
      </c>
      <c r="BS84" s="292">
        <v>2.5999999999999999E-3</v>
      </c>
    </row>
    <row r="85" spans="1:71" ht="13.5" customHeight="1">
      <c r="A85" s="23"/>
      <c r="B85" s="294">
        <v>2068</v>
      </c>
      <c r="C85" s="22"/>
      <c r="D85" s="290">
        <v>30.396000000000001</v>
      </c>
      <c r="E85" s="291">
        <v>6.46</v>
      </c>
      <c r="F85" s="291">
        <v>-7.3999999999999996E-2</v>
      </c>
      <c r="G85" s="292">
        <v>5.0000000000000001E-4</v>
      </c>
      <c r="H85" s="290">
        <v>35.857999999999997</v>
      </c>
      <c r="I85" s="291">
        <v>5.141</v>
      </c>
      <c r="J85" s="291">
        <v>-4.9000000000000002E-2</v>
      </c>
      <c r="K85" s="292">
        <v>4.0000000000000002E-4</v>
      </c>
      <c r="L85" s="290"/>
      <c r="M85" s="291">
        <v>2.2389999999999999</v>
      </c>
      <c r="N85" s="291"/>
      <c r="O85" s="293"/>
      <c r="P85" s="290">
        <v>17.984000000000002</v>
      </c>
      <c r="Q85" s="291">
        <v>4.3419999999999996</v>
      </c>
      <c r="R85" s="291">
        <v>-3.5999999999999997E-2</v>
      </c>
      <c r="S85" s="292">
        <v>2.9999999999999997E-4</v>
      </c>
      <c r="T85" s="290">
        <v>21.974</v>
      </c>
      <c r="U85" s="291">
        <v>12.321</v>
      </c>
      <c r="V85" s="291">
        <v>-0.193</v>
      </c>
      <c r="W85" s="292">
        <v>1.1999999999999999E-3</v>
      </c>
      <c r="X85" s="290">
        <v>34.79</v>
      </c>
      <c r="Y85" s="291">
        <v>8.5030000000000001</v>
      </c>
      <c r="Z85" s="291">
        <v>-0.123</v>
      </c>
      <c r="AA85" s="292">
        <v>1E-3</v>
      </c>
      <c r="AB85" s="290"/>
      <c r="AC85" s="291">
        <v>3.3359999999999999</v>
      </c>
      <c r="AD85" s="291"/>
      <c r="AE85" s="293"/>
      <c r="AF85" s="290">
        <v>26.87</v>
      </c>
      <c r="AG85" s="291">
        <v>7.5970000000000004</v>
      </c>
      <c r="AH85" s="291">
        <v>-0.1</v>
      </c>
      <c r="AI85" s="292">
        <v>8.0000000000000004E-4</v>
      </c>
      <c r="AJ85" s="290">
        <v>239.21799999999999</v>
      </c>
      <c r="AK85" s="291">
        <v>12.692</v>
      </c>
      <c r="AL85" s="291">
        <v>-9.1999999999999998E-2</v>
      </c>
      <c r="AM85" s="292">
        <v>1E-3</v>
      </c>
      <c r="AN85" s="290"/>
      <c r="AO85" s="291"/>
      <c r="AP85" s="291"/>
      <c r="AQ85" s="293"/>
      <c r="AR85" s="290">
        <v>239.21799999999999</v>
      </c>
      <c r="AS85" s="291">
        <v>12.692</v>
      </c>
      <c r="AT85" s="291">
        <v>-9.1999999999999998E-2</v>
      </c>
      <c r="AU85" s="292">
        <v>1E-3</v>
      </c>
      <c r="AV85" s="290">
        <v>435.827</v>
      </c>
      <c r="AW85" s="291">
        <v>22.632999999999999</v>
      </c>
      <c r="AX85" s="291">
        <v>-0.15</v>
      </c>
      <c r="AY85" s="292">
        <v>8.9999999999999998E-4</v>
      </c>
      <c r="AZ85" s="290"/>
      <c r="BA85" s="291"/>
      <c r="BB85" s="291"/>
      <c r="BC85" s="293"/>
      <c r="BD85" s="290">
        <v>435.827</v>
      </c>
      <c r="BE85" s="291">
        <v>22.632999999999999</v>
      </c>
      <c r="BF85" s="291">
        <v>-0.15</v>
      </c>
      <c r="BG85" s="292">
        <v>8.9999999999999998E-4</v>
      </c>
      <c r="BH85" s="290">
        <v>373.30799999999999</v>
      </c>
      <c r="BI85" s="291">
        <v>32.801000000000002</v>
      </c>
      <c r="BJ85" s="291">
        <v>-0.35699999999999998</v>
      </c>
      <c r="BK85" s="292">
        <v>2.5999999999999999E-3</v>
      </c>
      <c r="BL85" s="290"/>
      <c r="BM85" s="291"/>
      <c r="BN85" s="291"/>
      <c r="BO85" s="293"/>
      <c r="BP85" s="290">
        <v>373.30799999999999</v>
      </c>
      <c r="BQ85" s="291">
        <v>32.801000000000002</v>
      </c>
      <c r="BR85" s="291">
        <v>-0.35699999999999998</v>
      </c>
      <c r="BS85" s="292">
        <v>2.5999999999999999E-3</v>
      </c>
    </row>
    <row r="86" spans="1:71" ht="13.5" customHeight="1">
      <c r="A86" s="23"/>
      <c r="B86" s="294">
        <v>2069</v>
      </c>
      <c r="C86" s="22"/>
      <c r="D86" s="290">
        <v>30.298999999999999</v>
      </c>
      <c r="E86" s="291">
        <v>6.4390000000000001</v>
      </c>
      <c r="F86" s="291">
        <v>-7.2999999999999995E-2</v>
      </c>
      <c r="G86" s="292">
        <v>5.0000000000000001E-4</v>
      </c>
      <c r="H86" s="290">
        <v>35.728999999999999</v>
      </c>
      <c r="I86" s="291">
        <v>5.1230000000000002</v>
      </c>
      <c r="J86" s="291">
        <v>-4.9000000000000002E-2</v>
      </c>
      <c r="K86" s="292">
        <v>4.0000000000000002E-4</v>
      </c>
      <c r="L86" s="290"/>
      <c r="M86" s="291">
        <v>2.2389999999999999</v>
      </c>
      <c r="N86" s="291"/>
      <c r="O86" s="293"/>
      <c r="P86" s="290">
        <v>17.923999999999999</v>
      </c>
      <c r="Q86" s="291">
        <v>4.3310000000000004</v>
      </c>
      <c r="R86" s="291">
        <v>-3.5999999999999997E-2</v>
      </c>
      <c r="S86" s="292">
        <v>2.9999999999999997E-4</v>
      </c>
      <c r="T86" s="290">
        <v>21.902999999999999</v>
      </c>
      <c r="U86" s="291">
        <v>12.282</v>
      </c>
      <c r="V86" s="291">
        <v>-0.193</v>
      </c>
      <c r="W86" s="292">
        <v>1.1999999999999999E-3</v>
      </c>
      <c r="X86" s="290">
        <v>34.664000000000001</v>
      </c>
      <c r="Y86" s="291">
        <v>8.4719999999999995</v>
      </c>
      <c r="Z86" s="291">
        <v>-0.122</v>
      </c>
      <c r="AA86" s="292">
        <v>1E-3</v>
      </c>
      <c r="AB86" s="290"/>
      <c r="AC86" s="291">
        <v>3.3359999999999999</v>
      </c>
      <c r="AD86" s="291"/>
      <c r="AE86" s="293"/>
      <c r="AF86" s="290">
        <v>26.773</v>
      </c>
      <c r="AG86" s="291">
        <v>7.5730000000000004</v>
      </c>
      <c r="AH86" s="291">
        <v>-0.1</v>
      </c>
      <c r="AI86" s="292">
        <v>8.0000000000000004E-4</v>
      </c>
      <c r="AJ86" s="290">
        <v>238.35300000000001</v>
      </c>
      <c r="AK86" s="291">
        <v>12.646000000000001</v>
      </c>
      <c r="AL86" s="291">
        <v>-9.0999999999999998E-2</v>
      </c>
      <c r="AM86" s="292">
        <v>1E-3</v>
      </c>
      <c r="AN86" s="290"/>
      <c r="AO86" s="291"/>
      <c r="AP86" s="291"/>
      <c r="AQ86" s="293"/>
      <c r="AR86" s="290">
        <v>238.35300000000001</v>
      </c>
      <c r="AS86" s="291">
        <v>12.646000000000001</v>
      </c>
      <c r="AT86" s="291">
        <v>-9.0999999999999998E-2</v>
      </c>
      <c r="AU86" s="292">
        <v>1E-3</v>
      </c>
      <c r="AV86" s="290">
        <v>434.25200000000001</v>
      </c>
      <c r="AW86" s="291">
        <v>22.550999999999998</v>
      </c>
      <c r="AX86" s="291">
        <v>-0.14899999999999999</v>
      </c>
      <c r="AY86" s="292">
        <v>8.9999999999999998E-4</v>
      </c>
      <c r="AZ86" s="290"/>
      <c r="BA86" s="291"/>
      <c r="BB86" s="291"/>
      <c r="BC86" s="293"/>
      <c r="BD86" s="290">
        <v>434.25200000000001</v>
      </c>
      <c r="BE86" s="291">
        <v>22.550999999999998</v>
      </c>
      <c r="BF86" s="291">
        <v>-0.14899999999999999</v>
      </c>
      <c r="BG86" s="292">
        <v>8.9999999999999998E-4</v>
      </c>
      <c r="BH86" s="290">
        <v>371.95800000000003</v>
      </c>
      <c r="BI86" s="291">
        <v>32.683</v>
      </c>
      <c r="BJ86" s="291">
        <v>-0.35499999999999998</v>
      </c>
      <c r="BK86" s="292">
        <v>2.5999999999999999E-3</v>
      </c>
      <c r="BL86" s="290"/>
      <c r="BM86" s="291"/>
      <c r="BN86" s="291"/>
      <c r="BO86" s="293"/>
      <c r="BP86" s="290">
        <v>371.95800000000003</v>
      </c>
      <c r="BQ86" s="291">
        <v>32.683</v>
      </c>
      <c r="BR86" s="291">
        <v>-0.35499999999999998</v>
      </c>
      <c r="BS86" s="292">
        <v>2.5999999999999999E-3</v>
      </c>
    </row>
    <row r="87" spans="1:71" ht="13.5" customHeight="1">
      <c r="A87" s="23"/>
      <c r="B87" s="294">
        <v>2070</v>
      </c>
      <c r="C87" s="22"/>
      <c r="D87" s="290">
        <v>30.407</v>
      </c>
      <c r="E87" s="291">
        <v>6.4619999999999997</v>
      </c>
      <c r="F87" s="291">
        <v>-7.3999999999999996E-2</v>
      </c>
      <c r="G87" s="292">
        <v>5.0000000000000001E-4</v>
      </c>
      <c r="H87" s="290">
        <v>35.851999999999997</v>
      </c>
      <c r="I87" s="291">
        <v>5.14</v>
      </c>
      <c r="J87" s="291">
        <v>-4.9000000000000002E-2</v>
      </c>
      <c r="K87" s="292">
        <v>4.0000000000000002E-4</v>
      </c>
      <c r="L87" s="290"/>
      <c r="M87" s="291">
        <v>2.2389999999999999</v>
      </c>
      <c r="N87" s="291"/>
      <c r="O87" s="293"/>
      <c r="P87" s="290">
        <v>17.986999999999998</v>
      </c>
      <c r="Q87" s="291">
        <v>4.343</v>
      </c>
      <c r="R87" s="291">
        <v>-3.5999999999999997E-2</v>
      </c>
      <c r="S87" s="292">
        <v>2.9999999999999997E-4</v>
      </c>
      <c r="T87" s="290">
        <v>21.981000000000002</v>
      </c>
      <c r="U87" s="291">
        <v>12.326000000000001</v>
      </c>
      <c r="V87" s="291">
        <v>-0.193</v>
      </c>
      <c r="W87" s="292">
        <v>1.1999999999999999E-3</v>
      </c>
      <c r="X87" s="290">
        <v>34.783999999999999</v>
      </c>
      <c r="Y87" s="291">
        <v>8.5009999999999994</v>
      </c>
      <c r="Z87" s="291">
        <v>-0.123</v>
      </c>
      <c r="AA87" s="292">
        <v>1E-3</v>
      </c>
      <c r="AB87" s="290"/>
      <c r="AC87" s="291">
        <v>3.3359999999999999</v>
      </c>
      <c r="AD87" s="291"/>
      <c r="AE87" s="293"/>
      <c r="AF87" s="290">
        <v>26.866</v>
      </c>
      <c r="AG87" s="291">
        <v>7.5960000000000001</v>
      </c>
      <c r="AH87" s="291">
        <v>-0.1</v>
      </c>
      <c r="AI87" s="292">
        <v>8.0000000000000004E-4</v>
      </c>
      <c r="AJ87" s="290">
        <v>239.17599999999999</v>
      </c>
      <c r="AK87" s="291">
        <v>12.69</v>
      </c>
      <c r="AL87" s="291">
        <v>-9.1999999999999998E-2</v>
      </c>
      <c r="AM87" s="292">
        <v>1E-3</v>
      </c>
      <c r="AN87" s="290"/>
      <c r="AO87" s="291"/>
      <c r="AP87" s="291"/>
      <c r="AQ87" s="293"/>
      <c r="AR87" s="290">
        <v>239.17599999999999</v>
      </c>
      <c r="AS87" s="291">
        <v>12.69</v>
      </c>
      <c r="AT87" s="291">
        <v>-9.1999999999999998E-2</v>
      </c>
      <c r="AU87" s="292">
        <v>1E-3</v>
      </c>
      <c r="AV87" s="290">
        <v>435.75</v>
      </c>
      <c r="AW87" s="291">
        <v>22.629000000000001</v>
      </c>
      <c r="AX87" s="291">
        <v>-0.15</v>
      </c>
      <c r="AY87" s="292">
        <v>8.9999999999999998E-4</v>
      </c>
      <c r="AZ87" s="290"/>
      <c r="BA87" s="291"/>
      <c r="BB87" s="291"/>
      <c r="BC87" s="293"/>
      <c r="BD87" s="290">
        <v>435.75</v>
      </c>
      <c r="BE87" s="291">
        <v>22.629000000000001</v>
      </c>
      <c r="BF87" s="291">
        <v>-0.15</v>
      </c>
      <c r="BG87" s="292">
        <v>8.9999999999999998E-4</v>
      </c>
      <c r="BH87" s="290">
        <v>373.24200000000002</v>
      </c>
      <c r="BI87" s="291">
        <v>32.795999999999999</v>
      </c>
      <c r="BJ87" s="291">
        <v>-0.35599999999999998</v>
      </c>
      <c r="BK87" s="292">
        <v>2.5999999999999999E-3</v>
      </c>
      <c r="BL87" s="290"/>
      <c r="BM87" s="291"/>
      <c r="BN87" s="291"/>
      <c r="BO87" s="293"/>
      <c r="BP87" s="290">
        <v>373.24200000000002</v>
      </c>
      <c r="BQ87" s="291">
        <v>32.795999999999999</v>
      </c>
      <c r="BR87" s="291">
        <v>-0.35599999999999998</v>
      </c>
      <c r="BS87" s="292">
        <v>2.5999999999999999E-3</v>
      </c>
    </row>
    <row r="88" spans="1:71" ht="13.5" customHeight="1">
      <c r="A88" s="23"/>
      <c r="B88" s="294">
        <v>2071</v>
      </c>
      <c r="C88" s="22"/>
      <c r="D88" s="290">
        <v>30.515000000000001</v>
      </c>
      <c r="E88" s="291">
        <v>6.4850000000000003</v>
      </c>
      <c r="F88" s="291">
        <v>-7.3999999999999996E-2</v>
      </c>
      <c r="G88" s="292">
        <v>5.0000000000000001E-4</v>
      </c>
      <c r="H88" s="290">
        <v>35.975999999999999</v>
      </c>
      <c r="I88" s="291">
        <v>5.1580000000000004</v>
      </c>
      <c r="J88" s="291">
        <v>-0.05</v>
      </c>
      <c r="K88" s="292">
        <v>4.0000000000000002E-4</v>
      </c>
      <c r="L88" s="290"/>
      <c r="M88" s="291">
        <v>2.2389999999999999</v>
      </c>
      <c r="N88" s="291"/>
      <c r="O88" s="293"/>
      <c r="P88" s="290">
        <v>18.050999999999998</v>
      </c>
      <c r="Q88" s="291">
        <v>4.3550000000000004</v>
      </c>
      <c r="R88" s="291">
        <v>-3.6999999999999998E-2</v>
      </c>
      <c r="S88" s="292">
        <v>2.9999999999999997E-4</v>
      </c>
      <c r="T88" s="290">
        <v>22.06</v>
      </c>
      <c r="U88" s="291">
        <v>12.37</v>
      </c>
      <c r="V88" s="291">
        <v>-0.19400000000000001</v>
      </c>
      <c r="W88" s="292">
        <v>1.2999999999999999E-3</v>
      </c>
      <c r="X88" s="290">
        <v>34.904000000000003</v>
      </c>
      <c r="Y88" s="291">
        <v>8.5310000000000006</v>
      </c>
      <c r="Z88" s="291">
        <v>-0.123</v>
      </c>
      <c r="AA88" s="292">
        <v>1E-3</v>
      </c>
      <c r="AB88" s="290"/>
      <c r="AC88" s="291">
        <v>3.3359999999999999</v>
      </c>
      <c r="AD88" s="291"/>
      <c r="AE88" s="293"/>
      <c r="AF88" s="290">
        <v>26.959</v>
      </c>
      <c r="AG88" s="291">
        <v>7.62</v>
      </c>
      <c r="AH88" s="291">
        <v>-0.10100000000000001</v>
      </c>
      <c r="AI88" s="292">
        <v>8.0000000000000004E-4</v>
      </c>
      <c r="AJ88" s="290">
        <v>240.00299999999999</v>
      </c>
      <c r="AK88" s="291">
        <v>12.734</v>
      </c>
      <c r="AL88" s="291">
        <v>-9.1999999999999998E-2</v>
      </c>
      <c r="AM88" s="292">
        <v>1E-3</v>
      </c>
      <c r="AN88" s="290"/>
      <c r="AO88" s="291"/>
      <c r="AP88" s="291"/>
      <c r="AQ88" s="293"/>
      <c r="AR88" s="290">
        <v>240.00299999999999</v>
      </c>
      <c r="AS88" s="291">
        <v>12.734</v>
      </c>
      <c r="AT88" s="291">
        <v>-9.1999999999999998E-2</v>
      </c>
      <c r="AU88" s="292">
        <v>1E-3</v>
      </c>
      <c r="AV88" s="290">
        <v>437.25799999999998</v>
      </c>
      <c r="AW88" s="291">
        <v>22.707999999999998</v>
      </c>
      <c r="AX88" s="291">
        <v>-0.15</v>
      </c>
      <c r="AY88" s="292">
        <v>8.9999999999999998E-4</v>
      </c>
      <c r="AZ88" s="290"/>
      <c r="BA88" s="291"/>
      <c r="BB88" s="291"/>
      <c r="BC88" s="293"/>
      <c r="BD88" s="290">
        <v>437.25799999999998</v>
      </c>
      <c r="BE88" s="291">
        <v>22.707999999999998</v>
      </c>
      <c r="BF88" s="291">
        <v>-0.15</v>
      </c>
      <c r="BG88" s="292">
        <v>8.9999999999999998E-4</v>
      </c>
      <c r="BH88" s="290">
        <v>374.53300000000002</v>
      </c>
      <c r="BI88" s="291">
        <v>32.908999999999999</v>
      </c>
      <c r="BJ88" s="291">
        <v>-0.35799999999999998</v>
      </c>
      <c r="BK88" s="292">
        <v>2.5999999999999999E-3</v>
      </c>
      <c r="BL88" s="290"/>
      <c r="BM88" s="291"/>
      <c r="BN88" s="291"/>
      <c r="BO88" s="293"/>
      <c r="BP88" s="290">
        <v>374.53300000000002</v>
      </c>
      <c r="BQ88" s="291">
        <v>32.908999999999999</v>
      </c>
      <c r="BR88" s="291">
        <v>-0.35799999999999998</v>
      </c>
      <c r="BS88" s="292">
        <v>2.5999999999999999E-3</v>
      </c>
    </row>
    <row r="89" spans="1:71" ht="13.5" customHeight="1">
      <c r="A89" s="23"/>
      <c r="B89" s="294">
        <v>2072</v>
      </c>
      <c r="C89" s="22"/>
      <c r="D89" s="290">
        <v>30.623999999999999</v>
      </c>
      <c r="E89" s="291">
        <v>6.508</v>
      </c>
      <c r="F89" s="291">
        <v>-7.3999999999999996E-2</v>
      </c>
      <c r="G89" s="292">
        <v>5.0000000000000001E-4</v>
      </c>
      <c r="H89" s="290">
        <v>36.100999999999999</v>
      </c>
      <c r="I89" s="291">
        <v>5.1760000000000002</v>
      </c>
      <c r="J89" s="291">
        <v>-0.05</v>
      </c>
      <c r="K89" s="292">
        <v>4.0000000000000002E-4</v>
      </c>
      <c r="L89" s="290"/>
      <c r="M89" s="291">
        <v>2.2389999999999999</v>
      </c>
      <c r="N89" s="291"/>
      <c r="O89" s="293"/>
      <c r="P89" s="290">
        <v>18.114000000000001</v>
      </c>
      <c r="Q89" s="291">
        <v>4.367</v>
      </c>
      <c r="R89" s="291">
        <v>-3.6999999999999998E-2</v>
      </c>
      <c r="S89" s="292">
        <v>2.9999999999999997E-4</v>
      </c>
      <c r="T89" s="290">
        <v>22.138999999999999</v>
      </c>
      <c r="U89" s="291">
        <v>12.414</v>
      </c>
      <c r="V89" s="291">
        <v>-0.19500000000000001</v>
      </c>
      <c r="W89" s="292">
        <v>1.2999999999999999E-3</v>
      </c>
      <c r="X89" s="290">
        <v>35.024999999999999</v>
      </c>
      <c r="Y89" s="291">
        <v>8.56</v>
      </c>
      <c r="Z89" s="291">
        <v>-0.123</v>
      </c>
      <c r="AA89" s="292">
        <v>1E-3</v>
      </c>
      <c r="AB89" s="290"/>
      <c r="AC89" s="291">
        <v>3.3359999999999999</v>
      </c>
      <c r="AD89" s="291"/>
      <c r="AE89" s="293"/>
      <c r="AF89" s="290">
        <v>27.052</v>
      </c>
      <c r="AG89" s="291">
        <v>7.6440000000000001</v>
      </c>
      <c r="AH89" s="291">
        <v>-0.10100000000000001</v>
      </c>
      <c r="AI89" s="292">
        <v>8.0000000000000004E-4</v>
      </c>
      <c r="AJ89" s="290">
        <v>240.83500000000001</v>
      </c>
      <c r="AK89" s="291">
        <v>12.778</v>
      </c>
      <c r="AL89" s="291">
        <v>-9.1999999999999998E-2</v>
      </c>
      <c r="AM89" s="292">
        <v>1E-3</v>
      </c>
      <c r="AN89" s="290"/>
      <c r="AO89" s="291"/>
      <c r="AP89" s="291"/>
      <c r="AQ89" s="293"/>
      <c r="AR89" s="290">
        <v>240.83500000000001</v>
      </c>
      <c r="AS89" s="291">
        <v>12.778</v>
      </c>
      <c r="AT89" s="291">
        <v>-9.1999999999999998E-2</v>
      </c>
      <c r="AU89" s="292">
        <v>1E-3</v>
      </c>
      <c r="AV89" s="290">
        <v>438.774</v>
      </c>
      <c r="AW89" s="291">
        <v>22.786000000000001</v>
      </c>
      <c r="AX89" s="291">
        <v>-0.151</v>
      </c>
      <c r="AY89" s="292">
        <v>8.9999999999999998E-4</v>
      </c>
      <c r="AZ89" s="290"/>
      <c r="BA89" s="291"/>
      <c r="BB89" s="291"/>
      <c r="BC89" s="293"/>
      <c r="BD89" s="290">
        <v>438.774</v>
      </c>
      <c r="BE89" s="291">
        <v>22.786000000000001</v>
      </c>
      <c r="BF89" s="291">
        <v>-0.151</v>
      </c>
      <c r="BG89" s="292">
        <v>8.9999999999999998E-4</v>
      </c>
      <c r="BH89" s="290">
        <v>375.83100000000002</v>
      </c>
      <c r="BI89" s="291">
        <v>33.023000000000003</v>
      </c>
      <c r="BJ89" s="291">
        <v>-0.35899999999999999</v>
      </c>
      <c r="BK89" s="292">
        <v>2.5999999999999999E-3</v>
      </c>
      <c r="BL89" s="290"/>
      <c r="BM89" s="291"/>
      <c r="BN89" s="291"/>
      <c r="BO89" s="293"/>
      <c r="BP89" s="290">
        <v>375.83100000000002</v>
      </c>
      <c r="BQ89" s="291">
        <v>33.023000000000003</v>
      </c>
      <c r="BR89" s="291">
        <v>-0.35899999999999999</v>
      </c>
      <c r="BS89" s="292">
        <v>2.5999999999999999E-3</v>
      </c>
    </row>
    <row r="90" spans="1:71" ht="13.5" customHeight="1">
      <c r="A90" s="23"/>
      <c r="B90" s="294">
        <v>2073</v>
      </c>
      <c r="C90" s="22"/>
      <c r="D90" s="290">
        <v>30.734000000000002</v>
      </c>
      <c r="E90" s="291">
        <v>6.532</v>
      </c>
      <c r="F90" s="291">
        <v>-7.3999999999999996E-2</v>
      </c>
      <c r="G90" s="292">
        <v>5.0000000000000001E-4</v>
      </c>
      <c r="H90" s="290">
        <v>36.225999999999999</v>
      </c>
      <c r="I90" s="291">
        <v>5.194</v>
      </c>
      <c r="J90" s="291">
        <v>-0.05</v>
      </c>
      <c r="K90" s="292">
        <v>4.0000000000000002E-4</v>
      </c>
      <c r="L90" s="290"/>
      <c r="M90" s="291">
        <v>2.2389999999999999</v>
      </c>
      <c r="N90" s="291"/>
      <c r="O90" s="293"/>
      <c r="P90" s="290">
        <v>18.178999999999998</v>
      </c>
      <c r="Q90" s="291">
        <v>4.3789999999999996</v>
      </c>
      <c r="R90" s="291">
        <v>-3.6999999999999998E-2</v>
      </c>
      <c r="S90" s="292">
        <v>2.9999999999999997E-4</v>
      </c>
      <c r="T90" s="290">
        <v>22.218</v>
      </c>
      <c r="U90" s="291">
        <v>12.459</v>
      </c>
      <c r="V90" s="291">
        <v>-0.19600000000000001</v>
      </c>
      <c r="W90" s="292">
        <v>1.2999999999999999E-3</v>
      </c>
      <c r="X90" s="290">
        <v>35.146999999999998</v>
      </c>
      <c r="Y90" s="291">
        <v>8.59</v>
      </c>
      <c r="Z90" s="291">
        <v>-0.124</v>
      </c>
      <c r="AA90" s="292">
        <v>1E-3</v>
      </c>
      <c r="AB90" s="290"/>
      <c r="AC90" s="291">
        <v>3.3359999999999999</v>
      </c>
      <c r="AD90" s="291"/>
      <c r="AE90" s="293"/>
      <c r="AF90" s="290">
        <v>27.146000000000001</v>
      </c>
      <c r="AG90" s="291">
        <v>7.6680000000000001</v>
      </c>
      <c r="AH90" s="291">
        <v>-0.10100000000000001</v>
      </c>
      <c r="AI90" s="292">
        <v>8.0000000000000004E-4</v>
      </c>
      <c r="AJ90" s="290">
        <v>241.672</v>
      </c>
      <c r="AK90" s="291">
        <v>12.821999999999999</v>
      </c>
      <c r="AL90" s="291">
        <v>-9.2999999999999999E-2</v>
      </c>
      <c r="AM90" s="292">
        <v>1E-3</v>
      </c>
      <c r="AN90" s="290"/>
      <c r="AO90" s="291"/>
      <c r="AP90" s="291"/>
      <c r="AQ90" s="293"/>
      <c r="AR90" s="290">
        <v>241.672</v>
      </c>
      <c r="AS90" s="291">
        <v>12.821999999999999</v>
      </c>
      <c r="AT90" s="291">
        <v>-9.2999999999999999E-2</v>
      </c>
      <c r="AU90" s="292">
        <v>1E-3</v>
      </c>
      <c r="AV90" s="290">
        <v>440.29899999999998</v>
      </c>
      <c r="AW90" s="291">
        <v>22.866</v>
      </c>
      <c r="AX90" s="291">
        <v>-0.151</v>
      </c>
      <c r="AY90" s="292">
        <v>8.9999999999999998E-4</v>
      </c>
      <c r="AZ90" s="290"/>
      <c r="BA90" s="291"/>
      <c r="BB90" s="291"/>
      <c r="BC90" s="293"/>
      <c r="BD90" s="290">
        <v>440.29899999999998</v>
      </c>
      <c r="BE90" s="291">
        <v>22.866</v>
      </c>
      <c r="BF90" s="291">
        <v>-0.151</v>
      </c>
      <c r="BG90" s="292">
        <v>8.9999999999999998E-4</v>
      </c>
      <c r="BH90" s="290">
        <v>377.13799999999998</v>
      </c>
      <c r="BI90" s="291">
        <v>33.137999999999998</v>
      </c>
      <c r="BJ90" s="291">
        <v>-0.36</v>
      </c>
      <c r="BK90" s="292">
        <v>2.5999999999999999E-3</v>
      </c>
      <c r="BL90" s="290"/>
      <c r="BM90" s="291"/>
      <c r="BN90" s="291"/>
      <c r="BO90" s="293"/>
      <c r="BP90" s="290">
        <v>377.13799999999998</v>
      </c>
      <c r="BQ90" s="291">
        <v>33.137999999999998</v>
      </c>
      <c r="BR90" s="291">
        <v>-0.36</v>
      </c>
      <c r="BS90" s="292">
        <v>2.5999999999999999E-3</v>
      </c>
    </row>
    <row r="91" spans="1:71" ht="13.5" customHeight="1">
      <c r="A91" s="23"/>
      <c r="B91" s="294">
        <v>2074</v>
      </c>
      <c r="C91" s="22"/>
      <c r="D91" s="290">
        <v>30.844999999999999</v>
      </c>
      <c r="E91" s="291">
        <v>6.5549999999999997</v>
      </c>
      <c r="F91" s="291">
        <v>-7.4999999999999997E-2</v>
      </c>
      <c r="G91" s="292">
        <v>5.0000000000000001E-4</v>
      </c>
      <c r="H91" s="290">
        <v>36.351999999999997</v>
      </c>
      <c r="I91" s="291">
        <v>5.2119999999999997</v>
      </c>
      <c r="J91" s="291">
        <v>-0.05</v>
      </c>
      <c r="K91" s="292">
        <v>4.0000000000000002E-4</v>
      </c>
      <c r="L91" s="290"/>
      <c r="M91" s="291">
        <v>2.2389999999999999</v>
      </c>
      <c r="N91" s="291"/>
      <c r="O91" s="293"/>
      <c r="P91" s="290">
        <v>18.242999999999999</v>
      </c>
      <c r="Q91" s="291">
        <v>4.391</v>
      </c>
      <c r="R91" s="291">
        <v>-3.6999999999999998E-2</v>
      </c>
      <c r="S91" s="292">
        <v>2.9999999999999997E-4</v>
      </c>
      <c r="T91" s="290">
        <v>22.297999999999998</v>
      </c>
      <c r="U91" s="291">
        <v>12.503</v>
      </c>
      <c r="V91" s="291">
        <v>-0.19600000000000001</v>
      </c>
      <c r="W91" s="292">
        <v>1.2999999999999999E-3</v>
      </c>
      <c r="X91" s="290">
        <v>35.270000000000003</v>
      </c>
      <c r="Y91" s="291">
        <v>8.6199999999999992</v>
      </c>
      <c r="Z91" s="291">
        <v>-0.124</v>
      </c>
      <c r="AA91" s="292">
        <v>1.1000000000000001E-3</v>
      </c>
      <c r="AB91" s="290"/>
      <c r="AC91" s="291">
        <v>3.3359999999999999</v>
      </c>
      <c r="AD91" s="291"/>
      <c r="AE91" s="293"/>
      <c r="AF91" s="290">
        <v>27.241</v>
      </c>
      <c r="AG91" s="291">
        <v>7.6929999999999996</v>
      </c>
      <c r="AH91" s="291">
        <v>-0.10199999999999999</v>
      </c>
      <c r="AI91" s="292">
        <v>8.0000000000000004E-4</v>
      </c>
      <c r="AJ91" s="290">
        <v>242.51400000000001</v>
      </c>
      <c r="AK91" s="291">
        <v>12.867000000000001</v>
      </c>
      <c r="AL91" s="291">
        <v>-9.2999999999999999E-2</v>
      </c>
      <c r="AM91" s="292">
        <v>1E-3</v>
      </c>
      <c r="AN91" s="290"/>
      <c r="AO91" s="291"/>
      <c r="AP91" s="291"/>
      <c r="AQ91" s="293"/>
      <c r="AR91" s="290">
        <v>242.51400000000001</v>
      </c>
      <c r="AS91" s="291">
        <v>12.867000000000001</v>
      </c>
      <c r="AT91" s="291">
        <v>-9.2999999999999999E-2</v>
      </c>
      <c r="AU91" s="292">
        <v>1E-3</v>
      </c>
      <c r="AV91" s="290">
        <v>441.83300000000003</v>
      </c>
      <c r="AW91" s="291">
        <v>22.945</v>
      </c>
      <c r="AX91" s="291">
        <v>-0.152</v>
      </c>
      <c r="AY91" s="292">
        <v>8.9999999999999998E-4</v>
      </c>
      <c r="AZ91" s="290"/>
      <c r="BA91" s="291"/>
      <c r="BB91" s="291"/>
      <c r="BC91" s="293"/>
      <c r="BD91" s="290">
        <v>441.83300000000003</v>
      </c>
      <c r="BE91" s="291">
        <v>22.945</v>
      </c>
      <c r="BF91" s="291">
        <v>-0.152</v>
      </c>
      <c r="BG91" s="292">
        <v>8.9999999999999998E-4</v>
      </c>
      <c r="BH91" s="290">
        <v>378.452</v>
      </c>
      <c r="BI91" s="291">
        <v>33.253</v>
      </c>
      <c r="BJ91" s="291">
        <v>-0.36099999999999999</v>
      </c>
      <c r="BK91" s="292">
        <v>2.7000000000000001E-3</v>
      </c>
      <c r="BL91" s="290"/>
      <c r="BM91" s="291"/>
      <c r="BN91" s="291"/>
      <c r="BO91" s="293"/>
      <c r="BP91" s="290">
        <v>378.452</v>
      </c>
      <c r="BQ91" s="291">
        <v>33.253</v>
      </c>
      <c r="BR91" s="291">
        <v>-0.36099999999999999</v>
      </c>
      <c r="BS91" s="292">
        <v>2.7000000000000001E-3</v>
      </c>
    </row>
    <row r="92" spans="1:71" ht="13.5" customHeight="1">
      <c r="A92" s="23"/>
      <c r="B92" s="294">
        <v>2075</v>
      </c>
      <c r="C92" s="22"/>
      <c r="D92" s="290">
        <v>30.956</v>
      </c>
      <c r="E92" s="291">
        <v>6.5789999999999997</v>
      </c>
      <c r="F92" s="291">
        <v>-7.4999999999999997E-2</v>
      </c>
      <c r="G92" s="292">
        <v>5.0000000000000001E-4</v>
      </c>
      <c r="H92" s="290">
        <v>36.478999999999999</v>
      </c>
      <c r="I92" s="291">
        <v>5.23</v>
      </c>
      <c r="J92" s="291">
        <v>-0.05</v>
      </c>
      <c r="K92" s="292">
        <v>4.0000000000000002E-4</v>
      </c>
      <c r="L92" s="290"/>
      <c r="M92" s="291">
        <v>2.2389999999999999</v>
      </c>
      <c r="N92" s="291"/>
      <c r="O92" s="293"/>
      <c r="P92" s="290">
        <v>18.308</v>
      </c>
      <c r="Q92" s="291">
        <v>4.4029999999999996</v>
      </c>
      <c r="R92" s="291">
        <v>-3.6999999999999998E-2</v>
      </c>
      <c r="S92" s="292">
        <v>2.9999999999999997E-4</v>
      </c>
      <c r="T92" s="290">
        <v>22.378</v>
      </c>
      <c r="U92" s="291">
        <v>12.548</v>
      </c>
      <c r="V92" s="291">
        <v>-0.19700000000000001</v>
      </c>
      <c r="W92" s="292">
        <v>1.2999999999999999E-3</v>
      </c>
      <c r="X92" s="290">
        <v>35.393000000000001</v>
      </c>
      <c r="Y92" s="291">
        <v>8.65</v>
      </c>
      <c r="Z92" s="291">
        <v>-0.125</v>
      </c>
      <c r="AA92" s="292">
        <v>1.1000000000000001E-3</v>
      </c>
      <c r="AB92" s="290"/>
      <c r="AC92" s="291">
        <v>3.3359999999999999</v>
      </c>
      <c r="AD92" s="291"/>
      <c r="AE92" s="293"/>
      <c r="AF92" s="290">
        <v>27.335999999999999</v>
      </c>
      <c r="AG92" s="291">
        <v>7.7169999999999996</v>
      </c>
      <c r="AH92" s="291">
        <v>-0.10199999999999999</v>
      </c>
      <c r="AI92" s="292">
        <v>8.0000000000000004E-4</v>
      </c>
      <c r="AJ92" s="290">
        <v>243.36099999999999</v>
      </c>
      <c r="AK92" s="291">
        <v>12.912000000000001</v>
      </c>
      <c r="AL92" s="291">
        <v>-9.2999999999999999E-2</v>
      </c>
      <c r="AM92" s="292">
        <v>1E-3</v>
      </c>
      <c r="AN92" s="290"/>
      <c r="AO92" s="291"/>
      <c r="AP92" s="291"/>
      <c r="AQ92" s="293"/>
      <c r="AR92" s="290">
        <v>243.36099999999999</v>
      </c>
      <c r="AS92" s="291">
        <v>12.912000000000001</v>
      </c>
      <c r="AT92" s="291">
        <v>-9.2999999999999999E-2</v>
      </c>
      <c r="AU92" s="292">
        <v>1E-3</v>
      </c>
      <c r="AV92" s="290">
        <v>443.37599999999998</v>
      </c>
      <c r="AW92" s="291">
        <v>23.024999999999999</v>
      </c>
      <c r="AX92" s="291">
        <v>-0.153</v>
      </c>
      <c r="AY92" s="292">
        <v>8.9999999999999998E-4</v>
      </c>
      <c r="AZ92" s="290"/>
      <c r="BA92" s="291"/>
      <c r="BB92" s="291"/>
      <c r="BC92" s="293"/>
      <c r="BD92" s="290">
        <v>443.37599999999998</v>
      </c>
      <c r="BE92" s="291">
        <v>23.024999999999999</v>
      </c>
      <c r="BF92" s="291">
        <v>-0.153</v>
      </c>
      <c r="BG92" s="292">
        <v>8.9999999999999998E-4</v>
      </c>
      <c r="BH92" s="290">
        <v>379.774</v>
      </c>
      <c r="BI92" s="291">
        <v>33.369999999999997</v>
      </c>
      <c r="BJ92" s="291">
        <v>-0.36299999999999999</v>
      </c>
      <c r="BK92" s="292">
        <v>2.7000000000000001E-3</v>
      </c>
      <c r="BL92" s="290"/>
      <c r="BM92" s="291"/>
      <c r="BN92" s="291"/>
      <c r="BO92" s="293"/>
      <c r="BP92" s="290">
        <v>379.774</v>
      </c>
      <c r="BQ92" s="291">
        <v>33.369999999999997</v>
      </c>
      <c r="BR92" s="291">
        <v>-0.36299999999999999</v>
      </c>
      <c r="BS92" s="292">
        <v>2.7000000000000001E-3</v>
      </c>
    </row>
    <row r="93" spans="1:71" ht="13.5" customHeight="1">
      <c r="A93" s="23"/>
      <c r="B93" s="294">
        <v>2076</v>
      </c>
      <c r="C93" s="22"/>
      <c r="D93" s="290">
        <v>31.067</v>
      </c>
      <c r="E93" s="291">
        <v>6.6020000000000003</v>
      </c>
      <c r="F93" s="291">
        <v>-7.4999999999999997E-2</v>
      </c>
      <c r="G93" s="292">
        <v>5.0000000000000001E-4</v>
      </c>
      <c r="H93" s="290">
        <v>36.606999999999999</v>
      </c>
      <c r="I93" s="291">
        <v>5.2489999999999997</v>
      </c>
      <c r="J93" s="291">
        <v>-0.05</v>
      </c>
      <c r="K93" s="292">
        <v>4.0000000000000002E-4</v>
      </c>
      <c r="L93" s="290"/>
      <c r="M93" s="291">
        <v>2.2389999999999999</v>
      </c>
      <c r="N93" s="291"/>
      <c r="O93" s="293"/>
      <c r="P93" s="290">
        <v>18.373000000000001</v>
      </c>
      <c r="Q93" s="291">
        <v>4.415</v>
      </c>
      <c r="R93" s="291">
        <v>-3.6999999999999998E-2</v>
      </c>
      <c r="S93" s="292">
        <v>2.9999999999999997E-4</v>
      </c>
      <c r="T93" s="290">
        <v>22.459</v>
      </c>
      <c r="U93" s="291">
        <v>12.593999999999999</v>
      </c>
      <c r="V93" s="291">
        <v>-0.19800000000000001</v>
      </c>
      <c r="W93" s="292">
        <v>1.2999999999999999E-3</v>
      </c>
      <c r="X93" s="290">
        <v>35.517000000000003</v>
      </c>
      <c r="Y93" s="291">
        <v>8.68</v>
      </c>
      <c r="Z93" s="291">
        <v>-0.125</v>
      </c>
      <c r="AA93" s="292">
        <v>1.1000000000000001E-3</v>
      </c>
      <c r="AB93" s="290"/>
      <c r="AC93" s="291">
        <v>3.3359999999999999</v>
      </c>
      <c r="AD93" s="291"/>
      <c r="AE93" s="293"/>
      <c r="AF93" s="290">
        <v>27.431999999999999</v>
      </c>
      <c r="AG93" s="291">
        <v>7.742</v>
      </c>
      <c r="AH93" s="291">
        <v>-0.10199999999999999</v>
      </c>
      <c r="AI93" s="292">
        <v>8.0000000000000004E-4</v>
      </c>
      <c r="AJ93" s="290">
        <v>244.21299999999999</v>
      </c>
      <c r="AK93" s="291">
        <v>12.957000000000001</v>
      </c>
      <c r="AL93" s="291">
        <v>-9.4E-2</v>
      </c>
      <c r="AM93" s="292">
        <v>1E-3</v>
      </c>
      <c r="AN93" s="290"/>
      <c r="AO93" s="291"/>
      <c r="AP93" s="291"/>
      <c r="AQ93" s="293"/>
      <c r="AR93" s="290">
        <v>244.21299999999999</v>
      </c>
      <c r="AS93" s="291">
        <v>12.957000000000001</v>
      </c>
      <c r="AT93" s="291">
        <v>-9.4E-2</v>
      </c>
      <c r="AU93" s="292">
        <v>1E-3</v>
      </c>
      <c r="AV93" s="290">
        <v>444.928</v>
      </c>
      <c r="AW93" s="291">
        <v>23.106000000000002</v>
      </c>
      <c r="AX93" s="291">
        <v>-0.153</v>
      </c>
      <c r="AY93" s="292">
        <v>8.9999999999999998E-4</v>
      </c>
      <c r="AZ93" s="290"/>
      <c r="BA93" s="291"/>
      <c r="BB93" s="291"/>
      <c r="BC93" s="293"/>
      <c r="BD93" s="290">
        <v>444.928</v>
      </c>
      <c r="BE93" s="291">
        <v>23.106000000000002</v>
      </c>
      <c r="BF93" s="291">
        <v>-0.153</v>
      </c>
      <c r="BG93" s="292">
        <v>8.9999999999999998E-4</v>
      </c>
      <c r="BH93" s="290">
        <v>381.10300000000001</v>
      </c>
      <c r="BI93" s="291">
        <v>33.485999999999997</v>
      </c>
      <c r="BJ93" s="291">
        <v>-0.36399999999999999</v>
      </c>
      <c r="BK93" s="292">
        <v>2.7000000000000001E-3</v>
      </c>
      <c r="BL93" s="290"/>
      <c r="BM93" s="291"/>
      <c r="BN93" s="291"/>
      <c r="BO93" s="293"/>
      <c r="BP93" s="290">
        <v>381.10300000000001</v>
      </c>
      <c r="BQ93" s="291">
        <v>33.485999999999997</v>
      </c>
      <c r="BR93" s="291">
        <v>-0.36399999999999999</v>
      </c>
      <c r="BS93" s="292">
        <v>2.7000000000000001E-3</v>
      </c>
    </row>
    <row r="94" spans="1:71" ht="13.5" customHeight="1">
      <c r="A94" s="23"/>
      <c r="B94" s="294">
        <v>2077</v>
      </c>
      <c r="C94" s="22"/>
      <c r="D94" s="290">
        <v>31.18</v>
      </c>
      <c r="E94" s="291">
        <v>6.6260000000000003</v>
      </c>
      <c r="F94" s="291">
        <v>-7.4999999999999997E-2</v>
      </c>
      <c r="G94" s="292">
        <v>5.0000000000000001E-4</v>
      </c>
      <c r="H94" s="290">
        <v>36.735999999999997</v>
      </c>
      <c r="I94" s="291">
        <v>5.2670000000000003</v>
      </c>
      <c r="J94" s="291">
        <v>-5.0999999999999997E-2</v>
      </c>
      <c r="K94" s="292">
        <v>4.0000000000000002E-4</v>
      </c>
      <c r="L94" s="290"/>
      <c r="M94" s="291">
        <v>2.2389999999999999</v>
      </c>
      <c r="N94" s="291"/>
      <c r="O94" s="293"/>
      <c r="P94" s="290">
        <v>18.439</v>
      </c>
      <c r="Q94" s="291">
        <v>4.4279999999999999</v>
      </c>
      <c r="R94" s="291">
        <v>-3.6999999999999998E-2</v>
      </c>
      <c r="S94" s="292">
        <v>2.9999999999999997E-4</v>
      </c>
      <c r="T94" s="290">
        <v>22.54</v>
      </c>
      <c r="U94" s="291">
        <v>12.638999999999999</v>
      </c>
      <c r="V94" s="291">
        <v>-0.19800000000000001</v>
      </c>
      <c r="W94" s="292">
        <v>1.2999999999999999E-3</v>
      </c>
      <c r="X94" s="290">
        <v>35.640999999999998</v>
      </c>
      <c r="Y94" s="291">
        <v>8.7110000000000003</v>
      </c>
      <c r="Z94" s="291">
        <v>-0.126</v>
      </c>
      <c r="AA94" s="292">
        <v>1.1000000000000001E-3</v>
      </c>
      <c r="AB94" s="290"/>
      <c r="AC94" s="291">
        <v>3.3359999999999999</v>
      </c>
      <c r="AD94" s="291"/>
      <c r="AE94" s="293"/>
      <c r="AF94" s="290">
        <v>27.529</v>
      </c>
      <c r="AG94" s="291">
        <v>7.7670000000000003</v>
      </c>
      <c r="AH94" s="291">
        <v>-0.10299999999999999</v>
      </c>
      <c r="AI94" s="292">
        <v>8.9999999999999998E-4</v>
      </c>
      <c r="AJ94" s="290">
        <v>245.07</v>
      </c>
      <c r="AK94" s="291">
        <v>13.003</v>
      </c>
      <c r="AL94" s="291">
        <v>-9.4E-2</v>
      </c>
      <c r="AM94" s="292">
        <v>1E-3</v>
      </c>
      <c r="AN94" s="290"/>
      <c r="AO94" s="291"/>
      <c r="AP94" s="291"/>
      <c r="AQ94" s="293"/>
      <c r="AR94" s="290">
        <v>245.07</v>
      </c>
      <c r="AS94" s="291">
        <v>13.003</v>
      </c>
      <c r="AT94" s="291">
        <v>-9.4E-2</v>
      </c>
      <c r="AU94" s="292">
        <v>1E-3</v>
      </c>
      <c r="AV94" s="290">
        <v>446.49</v>
      </c>
      <c r="AW94" s="291">
        <v>23.187000000000001</v>
      </c>
      <c r="AX94" s="291">
        <v>-0.154</v>
      </c>
      <c r="AY94" s="292">
        <v>8.9999999999999998E-4</v>
      </c>
      <c r="AZ94" s="290"/>
      <c r="BA94" s="291"/>
      <c r="BB94" s="291"/>
      <c r="BC94" s="293"/>
      <c r="BD94" s="290">
        <v>446.49</v>
      </c>
      <c r="BE94" s="291">
        <v>23.187000000000001</v>
      </c>
      <c r="BF94" s="291">
        <v>-0.154</v>
      </c>
      <c r="BG94" s="292">
        <v>8.9999999999999998E-4</v>
      </c>
      <c r="BH94" s="290">
        <v>382.44</v>
      </c>
      <c r="BI94" s="291">
        <v>33.603999999999999</v>
      </c>
      <c r="BJ94" s="291">
        <v>-0.36499999999999999</v>
      </c>
      <c r="BK94" s="292">
        <v>2.7000000000000001E-3</v>
      </c>
      <c r="BL94" s="290"/>
      <c r="BM94" s="291"/>
      <c r="BN94" s="291"/>
      <c r="BO94" s="293"/>
      <c r="BP94" s="290">
        <v>382.44</v>
      </c>
      <c r="BQ94" s="291">
        <v>33.603999999999999</v>
      </c>
      <c r="BR94" s="291">
        <v>-0.36499999999999999</v>
      </c>
      <c r="BS94" s="292">
        <v>2.7000000000000001E-3</v>
      </c>
    </row>
    <row r="95" spans="1:71" ht="13.5" customHeight="1">
      <c r="A95" s="23"/>
      <c r="B95" s="294">
        <v>2078</v>
      </c>
      <c r="C95" s="22"/>
      <c r="D95" s="290">
        <v>31.292999999999999</v>
      </c>
      <c r="E95" s="291">
        <v>6.65</v>
      </c>
      <c r="F95" s="291">
        <v>-7.5999999999999998E-2</v>
      </c>
      <c r="G95" s="292">
        <v>5.0000000000000001E-4</v>
      </c>
      <c r="H95" s="290">
        <v>36.865000000000002</v>
      </c>
      <c r="I95" s="291">
        <v>5.2850000000000001</v>
      </c>
      <c r="J95" s="291">
        <v>-5.0999999999999997E-2</v>
      </c>
      <c r="K95" s="292">
        <v>4.0000000000000002E-4</v>
      </c>
      <c r="L95" s="290"/>
      <c r="M95" s="291">
        <v>2.2389999999999999</v>
      </c>
      <c r="N95" s="291"/>
      <c r="O95" s="293"/>
      <c r="P95" s="290">
        <v>18.504999999999999</v>
      </c>
      <c r="Q95" s="291">
        <v>4.4400000000000004</v>
      </c>
      <c r="R95" s="291">
        <v>-3.7999999999999999E-2</v>
      </c>
      <c r="S95" s="292">
        <v>2.9999999999999997E-4</v>
      </c>
      <c r="T95" s="290">
        <v>22.622</v>
      </c>
      <c r="U95" s="291">
        <v>12.685</v>
      </c>
      <c r="V95" s="291">
        <v>-0.19900000000000001</v>
      </c>
      <c r="W95" s="292">
        <v>1.2999999999999999E-3</v>
      </c>
      <c r="X95" s="290">
        <v>35.767000000000003</v>
      </c>
      <c r="Y95" s="291">
        <v>8.7409999999999997</v>
      </c>
      <c r="Z95" s="291">
        <v>-0.126</v>
      </c>
      <c r="AA95" s="292">
        <v>1.1000000000000001E-3</v>
      </c>
      <c r="AB95" s="290"/>
      <c r="AC95" s="291">
        <v>3.3359999999999999</v>
      </c>
      <c r="AD95" s="291"/>
      <c r="AE95" s="293"/>
      <c r="AF95" s="290">
        <v>27.625</v>
      </c>
      <c r="AG95" s="291">
        <v>7.7919999999999998</v>
      </c>
      <c r="AH95" s="291">
        <v>-0.10299999999999999</v>
      </c>
      <c r="AI95" s="292">
        <v>8.9999999999999998E-4</v>
      </c>
      <c r="AJ95" s="290">
        <v>245.93199999999999</v>
      </c>
      <c r="AK95" s="291">
        <v>13.048</v>
      </c>
      <c r="AL95" s="291">
        <v>-9.4E-2</v>
      </c>
      <c r="AM95" s="292">
        <v>1E-3</v>
      </c>
      <c r="AN95" s="290"/>
      <c r="AO95" s="291"/>
      <c r="AP95" s="291"/>
      <c r="AQ95" s="293"/>
      <c r="AR95" s="290">
        <v>245.93199999999999</v>
      </c>
      <c r="AS95" s="291">
        <v>13.048</v>
      </c>
      <c r="AT95" s="291">
        <v>-9.4E-2</v>
      </c>
      <c r="AU95" s="292">
        <v>1E-3</v>
      </c>
      <c r="AV95" s="290">
        <v>448.06</v>
      </c>
      <c r="AW95" s="291">
        <v>23.268999999999998</v>
      </c>
      <c r="AX95" s="291">
        <v>-0.154</v>
      </c>
      <c r="AY95" s="292">
        <v>8.9999999999999998E-4</v>
      </c>
      <c r="AZ95" s="290"/>
      <c r="BA95" s="291"/>
      <c r="BB95" s="291"/>
      <c r="BC95" s="293"/>
      <c r="BD95" s="290">
        <v>448.06</v>
      </c>
      <c r="BE95" s="291">
        <v>23.268999999999998</v>
      </c>
      <c r="BF95" s="291">
        <v>-0.154</v>
      </c>
      <c r="BG95" s="292">
        <v>8.9999999999999998E-4</v>
      </c>
      <c r="BH95" s="290">
        <v>383.786</v>
      </c>
      <c r="BI95" s="291">
        <v>33.722000000000001</v>
      </c>
      <c r="BJ95" s="291">
        <v>-0.36699999999999999</v>
      </c>
      <c r="BK95" s="292">
        <v>2.7000000000000001E-3</v>
      </c>
      <c r="BL95" s="290"/>
      <c r="BM95" s="291"/>
      <c r="BN95" s="291"/>
      <c r="BO95" s="293"/>
      <c r="BP95" s="290">
        <v>383.786</v>
      </c>
      <c r="BQ95" s="291">
        <v>33.722000000000001</v>
      </c>
      <c r="BR95" s="291">
        <v>-0.36699999999999999</v>
      </c>
      <c r="BS95" s="292">
        <v>2.7000000000000001E-3</v>
      </c>
    </row>
    <row r="96" spans="1:71" ht="13.5" customHeight="1">
      <c r="A96" s="23"/>
      <c r="B96" s="294">
        <v>2079</v>
      </c>
      <c r="C96" s="22"/>
      <c r="D96" s="290">
        <v>31.405999999999999</v>
      </c>
      <c r="E96" s="291">
        <v>6.6740000000000004</v>
      </c>
      <c r="F96" s="291">
        <v>-7.5999999999999998E-2</v>
      </c>
      <c r="G96" s="292">
        <v>5.0000000000000001E-4</v>
      </c>
      <c r="H96" s="290">
        <v>36.994999999999997</v>
      </c>
      <c r="I96" s="291">
        <v>5.3040000000000003</v>
      </c>
      <c r="J96" s="291">
        <v>-5.0999999999999997E-2</v>
      </c>
      <c r="K96" s="292">
        <v>4.0000000000000002E-4</v>
      </c>
      <c r="L96" s="290"/>
      <c r="M96" s="291">
        <v>2.2389999999999999</v>
      </c>
      <c r="N96" s="291"/>
      <c r="O96" s="293"/>
      <c r="P96" s="290">
        <v>18.571999999999999</v>
      </c>
      <c r="Q96" s="291">
        <v>4.452</v>
      </c>
      <c r="R96" s="291">
        <v>-3.7999999999999999E-2</v>
      </c>
      <c r="S96" s="292">
        <v>2.9999999999999997E-4</v>
      </c>
      <c r="T96" s="290">
        <v>22.704000000000001</v>
      </c>
      <c r="U96" s="291">
        <v>12.731</v>
      </c>
      <c r="V96" s="291">
        <v>-0.2</v>
      </c>
      <c r="W96" s="292">
        <v>1.2999999999999999E-3</v>
      </c>
      <c r="X96" s="290">
        <v>35.893000000000001</v>
      </c>
      <c r="Y96" s="291">
        <v>8.7720000000000002</v>
      </c>
      <c r="Z96" s="291">
        <v>-0.127</v>
      </c>
      <c r="AA96" s="292">
        <v>1.1000000000000001E-3</v>
      </c>
      <c r="AB96" s="290"/>
      <c r="AC96" s="291">
        <v>3.3359999999999999</v>
      </c>
      <c r="AD96" s="291"/>
      <c r="AE96" s="293"/>
      <c r="AF96" s="290">
        <v>27.722999999999999</v>
      </c>
      <c r="AG96" s="291">
        <v>7.8170000000000002</v>
      </c>
      <c r="AH96" s="291">
        <v>-0.10299999999999999</v>
      </c>
      <c r="AI96" s="292">
        <v>8.9999999999999998E-4</v>
      </c>
      <c r="AJ96" s="290">
        <v>246.79900000000001</v>
      </c>
      <c r="AK96" s="291">
        <v>13.093999999999999</v>
      </c>
      <c r="AL96" s="291">
        <v>-9.5000000000000001E-2</v>
      </c>
      <c r="AM96" s="292">
        <v>1E-3</v>
      </c>
      <c r="AN96" s="290"/>
      <c r="AO96" s="291"/>
      <c r="AP96" s="291"/>
      <c r="AQ96" s="293"/>
      <c r="AR96" s="290">
        <v>246.79900000000001</v>
      </c>
      <c r="AS96" s="291">
        <v>13.093999999999999</v>
      </c>
      <c r="AT96" s="291">
        <v>-9.5000000000000001E-2</v>
      </c>
      <c r="AU96" s="292">
        <v>1E-3</v>
      </c>
      <c r="AV96" s="290">
        <v>449.64</v>
      </c>
      <c r="AW96" s="291">
        <v>23.350999999999999</v>
      </c>
      <c r="AX96" s="291">
        <v>-0.155</v>
      </c>
      <c r="AY96" s="292">
        <v>8.9999999999999998E-4</v>
      </c>
      <c r="AZ96" s="290"/>
      <c r="BA96" s="291"/>
      <c r="BB96" s="291"/>
      <c r="BC96" s="293"/>
      <c r="BD96" s="290">
        <v>449.64</v>
      </c>
      <c r="BE96" s="291">
        <v>23.350999999999999</v>
      </c>
      <c r="BF96" s="291">
        <v>-0.155</v>
      </c>
      <c r="BG96" s="292">
        <v>8.9999999999999998E-4</v>
      </c>
      <c r="BH96" s="290">
        <v>385.13900000000001</v>
      </c>
      <c r="BI96" s="291">
        <v>33.841000000000001</v>
      </c>
      <c r="BJ96" s="291">
        <v>-0.36799999999999999</v>
      </c>
      <c r="BK96" s="292">
        <v>2.7000000000000001E-3</v>
      </c>
      <c r="BL96" s="290"/>
      <c r="BM96" s="291"/>
      <c r="BN96" s="291"/>
      <c r="BO96" s="293"/>
      <c r="BP96" s="290">
        <v>385.13900000000001</v>
      </c>
      <c r="BQ96" s="291">
        <v>33.841000000000001</v>
      </c>
      <c r="BR96" s="291">
        <v>-0.36799999999999999</v>
      </c>
      <c r="BS96" s="292">
        <v>2.7000000000000001E-3</v>
      </c>
    </row>
    <row r="97" spans="1:71" ht="13.5" customHeight="1">
      <c r="A97" s="23"/>
      <c r="B97" s="294">
        <v>2080</v>
      </c>
      <c r="C97" s="22"/>
      <c r="D97" s="290">
        <v>31.521000000000001</v>
      </c>
      <c r="E97" s="291">
        <v>6.6989999999999998</v>
      </c>
      <c r="F97" s="291">
        <v>-7.5999999999999998E-2</v>
      </c>
      <c r="G97" s="292">
        <v>5.0000000000000001E-4</v>
      </c>
      <c r="H97" s="290">
        <v>37.125</v>
      </c>
      <c r="I97" s="291">
        <v>5.3230000000000004</v>
      </c>
      <c r="J97" s="291">
        <v>-5.0999999999999997E-2</v>
      </c>
      <c r="K97" s="292">
        <v>4.0000000000000002E-4</v>
      </c>
      <c r="L97" s="290"/>
      <c r="M97" s="291">
        <v>2.2389999999999999</v>
      </c>
      <c r="N97" s="291"/>
      <c r="O97" s="293"/>
      <c r="P97" s="290">
        <v>18.638000000000002</v>
      </c>
      <c r="Q97" s="291">
        <v>4.4649999999999999</v>
      </c>
      <c r="R97" s="291">
        <v>-3.7999999999999999E-2</v>
      </c>
      <c r="S97" s="292">
        <v>2.9999999999999997E-4</v>
      </c>
      <c r="T97" s="290">
        <v>22.786000000000001</v>
      </c>
      <c r="U97" s="291">
        <v>12.776999999999999</v>
      </c>
      <c r="V97" s="291">
        <v>-0.20100000000000001</v>
      </c>
      <c r="W97" s="292">
        <v>1.2999999999999999E-3</v>
      </c>
      <c r="X97" s="290">
        <v>36.018999999999998</v>
      </c>
      <c r="Y97" s="291">
        <v>8.8030000000000008</v>
      </c>
      <c r="Z97" s="291">
        <v>-0.127</v>
      </c>
      <c r="AA97" s="292">
        <v>1.1000000000000001E-3</v>
      </c>
      <c r="AB97" s="290"/>
      <c r="AC97" s="291">
        <v>3.3359999999999999</v>
      </c>
      <c r="AD97" s="291"/>
      <c r="AE97" s="293"/>
      <c r="AF97" s="290">
        <v>27.821000000000002</v>
      </c>
      <c r="AG97" s="291">
        <v>7.8419999999999996</v>
      </c>
      <c r="AH97" s="291">
        <v>-0.104</v>
      </c>
      <c r="AI97" s="292">
        <v>8.9999999999999998E-4</v>
      </c>
      <c r="AJ97" s="290">
        <v>247.67099999999999</v>
      </c>
      <c r="AK97" s="291">
        <v>13.141</v>
      </c>
      <c r="AL97" s="291">
        <v>-9.5000000000000001E-2</v>
      </c>
      <c r="AM97" s="292">
        <v>1E-3</v>
      </c>
      <c r="AN97" s="290"/>
      <c r="AO97" s="291"/>
      <c r="AP97" s="291"/>
      <c r="AQ97" s="293"/>
      <c r="AR97" s="290">
        <v>247.67099999999999</v>
      </c>
      <c r="AS97" s="291">
        <v>13.141</v>
      </c>
      <c r="AT97" s="291">
        <v>-9.5000000000000001E-2</v>
      </c>
      <c r="AU97" s="292">
        <v>1E-3</v>
      </c>
      <c r="AV97" s="290">
        <v>451.22899999999998</v>
      </c>
      <c r="AW97" s="291">
        <v>23.433</v>
      </c>
      <c r="AX97" s="291">
        <v>-0.155</v>
      </c>
      <c r="AY97" s="292">
        <v>8.9999999999999998E-4</v>
      </c>
      <c r="AZ97" s="290"/>
      <c r="BA97" s="291"/>
      <c r="BB97" s="291"/>
      <c r="BC97" s="293"/>
      <c r="BD97" s="290">
        <v>451.22899999999998</v>
      </c>
      <c r="BE97" s="291">
        <v>23.433</v>
      </c>
      <c r="BF97" s="291">
        <v>-0.155</v>
      </c>
      <c r="BG97" s="292">
        <v>8.9999999999999998E-4</v>
      </c>
      <c r="BH97" s="290">
        <v>386.49900000000002</v>
      </c>
      <c r="BI97" s="291">
        <v>33.960999999999999</v>
      </c>
      <c r="BJ97" s="291">
        <v>-0.36899999999999999</v>
      </c>
      <c r="BK97" s="292">
        <v>2.7000000000000001E-3</v>
      </c>
      <c r="BL97" s="290"/>
      <c r="BM97" s="291"/>
      <c r="BN97" s="291"/>
      <c r="BO97" s="293"/>
      <c r="BP97" s="290">
        <v>386.49900000000002</v>
      </c>
      <c r="BQ97" s="291">
        <v>33.960999999999999</v>
      </c>
      <c r="BR97" s="291">
        <v>-0.36899999999999999</v>
      </c>
      <c r="BS97" s="292">
        <v>2.7000000000000001E-3</v>
      </c>
    </row>
    <row r="98" spans="1:71" ht="13.5" customHeight="1">
      <c r="A98" s="23"/>
      <c r="B98" s="294">
        <v>2081</v>
      </c>
      <c r="C98" s="22"/>
      <c r="D98" s="290">
        <v>31.635999999999999</v>
      </c>
      <c r="E98" s="291">
        <v>6.7229999999999999</v>
      </c>
      <c r="F98" s="291">
        <v>-7.6999999999999999E-2</v>
      </c>
      <c r="G98" s="292">
        <v>5.0000000000000001E-4</v>
      </c>
      <c r="H98" s="290">
        <v>37.256999999999998</v>
      </c>
      <c r="I98" s="291">
        <v>5.3419999999999996</v>
      </c>
      <c r="J98" s="291">
        <v>-5.0999999999999997E-2</v>
      </c>
      <c r="K98" s="292">
        <v>4.0000000000000002E-4</v>
      </c>
      <c r="L98" s="290"/>
      <c r="M98" s="291">
        <v>2.2389999999999999</v>
      </c>
      <c r="N98" s="291"/>
      <c r="O98" s="293"/>
      <c r="P98" s="290">
        <v>18.706</v>
      </c>
      <c r="Q98" s="291">
        <v>4.4770000000000003</v>
      </c>
      <c r="R98" s="291">
        <v>-3.7999999999999999E-2</v>
      </c>
      <c r="S98" s="292">
        <v>2.9999999999999997E-4</v>
      </c>
      <c r="T98" s="290">
        <v>22.87</v>
      </c>
      <c r="U98" s="291">
        <v>12.824</v>
      </c>
      <c r="V98" s="291">
        <v>-0.20100000000000001</v>
      </c>
      <c r="W98" s="292">
        <v>1.2999999999999999E-3</v>
      </c>
      <c r="X98" s="290">
        <v>36.146999999999998</v>
      </c>
      <c r="Y98" s="291">
        <v>8.8339999999999996</v>
      </c>
      <c r="Z98" s="291">
        <v>-0.127</v>
      </c>
      <c r="AA98" s="292">
        <v>1.1000000000000001E-3</v>
      </c>
      <c r="AB98" s="290"/>
      <c r="AC98" s="291">
        <v>3.3359999999999999</v>
      </c>
      <c r="AD98" s="291"/>
      <c r="AE98" s="293"/>
      <c r="AF98" s="290">
        <v>27.92</v>
      </c>
      <c r="AG98" s="291">
        <v>7.867</v>
      </c>
      <c r="AH98" s="291">
        <v>-0.104</v>
      </c>
      <c r="AI98" s="292">
        <v>8.9999999999999998E-4</v>
      </c>
      <c r="AJ98" s="290">
        <v>248.54900000000001</v>
      </c>
      <c r="AK98" s="291">
        <v>13.186999999999999</v>
      </c>
      <c r="AL98" s="291">
        <v>-9.5000000000000001E-2</v>
      </c>
      <c r="AM98" s="292">
        <v>1E-3</v>
      </c>
      <c r="AN98" s="290"/>
      <c r="AO98" s="291"/>
      <c r="AP98" s="291"/>
      <c r="AQ98" s="293"/>
      <c r="AR98" s="290">
        <v>248.54900000000001</v>
      </c>
      <c r="AS98" s="291">
        <v>13.186999999999999</v>
      </c>
      <c r="AT98" s="291">
        <v>-9.5000000000000001E-2</v>
      </c>
      <c r="AU98" s="292">
        <v>1E-3</v>
      </c>
      <c r="AV98" s="290">
        <v>452.827</v>
      </c>
      <c r="AW98" s="291">
        <v>23.515999999999998</v>
      </c>
      <c r="AX98" s="291">
        <v>-0.156</v>
      </c>
      <c r="AY98" s="292">
        <v>8.9999999999999998E-4</v>
      </c>
      <c r="AZ98" s="290"/>
      <c r="BA98" s="291"/>
      <c r="BB98" s="291"/>
      <c r="BC98" s="293"/>
      <c r="BD98" s="290">
        <v>452.827</v>
      </c>
      <c r="BE98" s="291">
        <v>23.515999999999998</v>
      </c>
      <c r="BF98" s="291">
        <v>-0.156</v>
      </c>
      <c r="BG98" s="292">
        <v>8.9999999999999998E-4</v>
      </c>
      <c r="BH98" s="290">
        <v>387.86799999999999</v>
      </c>
      <c r="BI98" s="291">
        <v>34.081000000000003</v>
      </c>
      <c r="BJ98" s="291">
        <v>-0.37</v>
      </c>
      <c r="BK98" s="292">
        <v>2.7000000000000001E-3</v>
      </c>
      <c r="BL98" s="290"/>
      <c r="BM98" s="291"/>
      <c r="BN98" s="291"/>
      <c r="BO98" s="293"/>
      <c r="BP98" s="290">
        <v>387.86799999999999</v>
      </c>
      <c r="BQ98" s="291">
        <v>34.081000000000003</v>
      </c>
      <c r="BR98" s="291">
        <v>-0.37</v>
      </c>
      <c r="BS98" s="292">
        <v>2.7000000000000001E-3</v>
      </c>
    </row>
    <row r="99" spans="1:71" ht="13.5" customHeight="1">
      <c r="A99" s="23"/>
      <c r="B99" s="294">
        <v>2082</v>
      </c>
      <c r="C99" s="22"/>
      <c r="D99" s="290">
        <v>31.751000000000001</v>
      </c>
      <c r="E99" s="291">
        <v>6.7480000000000002</v>
      </c>
      <c r="F99" s="291">
        <v>-7.6999999999999999E-2</v>
      </c>
      <c r="G99" s="292">
        <v>5.0000000000000001E-4</v>
      </c>
      <c r="H99" s="290">
        <v>37.389000000000003</v>
      </c>
      <c r="I99" s="291">
        <v>5.3609999999999998</v>
      </c>
      <c r="J99" s="291">
        <v>-5.1999999999999998E-2</v>
      </c>
      <c r="K99" s="292">
        <v>4.0000000000000002E-4</v>
      </c>
      <c r="L99" s="290"/>
      <c r="M99" s="291">
        <v>2.2389999999999999</v>
      </c>
      <c r="N99" s="291"/>
      <c r="O99" s="293"/>
      <c r="P99" s="290">
        <v>18.773</v>
      </c>
      <c r="Q99" s="291">
        <v>4.49</v>
      </c>
      <c r="R99" s="291">
        <v>-3.7999999999999999E-2</v>
      </c>
      <c r="S99" s="292">
        <v>2.9999999999999997E-4</v>
      </c>
      <c r="T99" s="290">
        <v>22.952999999999999</v>
      </c>
      <c r="U99" s="291">
        <v>12.871</v>
      </c>
      <c r="V99" s="291">
        <v>-0.20200000000000001</v>
      </c>
      <c r="W99" s="292">
        <v>1.2999999999999999E-3</v>
      </c>
      <c r="X99" s="290">
        <v>36.274999999999999</v>
      </c>
      <c r="Y99" s="291">
        <v>8.8659999999999997</v>
      </c>
      <c r="Z99" s="291">
        <v>-0.128</v>
      </c>
      <c r="AA99" s="292">
        <v>1.1000000000000001E-3</v>
      </c>
      <c r="AB99" s="290"/>
      <c r="AC99" s="291">
        <v>3.3359999999999999</v>
      </c>
      <c r="AD99" s="291"/>
      <c r="AE99" s="293"/>
      <c r="AF99" s="290">
        <v>28.018999999999998</v>
      </c>
      <c r="AG99" s="291">
        <v>7.8929999999999998</v>
      </c>
      <c r="AH99" s="291">
        <v>-0.105</v>
      </c>
      <c r="AI99" s="292">
        <v>8.9999999999999998E-4</v>
      </c>
      <c r="AJ99" s="290">
        <v>249.43100000000001</v>
      </c>
      <c r="AK99" s="291">
        <v>13.234</v>
      </c>
      <c r="AL99" s="291">
        <v>-9.6000000000000002E-2</v>
      </c>
      <c r="AM99" s="292">
        <v>1E-3</v>
      </c>
      <c r="AN99" s="290"/>
      <c r="AO99" s="291"/>
      <c r="AP99" s="291"/>
      <c r="AQ99" s="293"/>
      <c r="AR99" s="290">
        <v>249.43100000000001</v>
      </c>
      <c r="AS99" s="291">
        <v>13.234</v>
      </c>
      <c r="AT99" s="291">
        <v>-9.6000000000000002E-2</v>
      </c>
      <c r="AU99" s="292">
        <v>1E-3</v>
      </c>
      <c r="AV99" s="290">
        <v>454.43400000000003</v>
      </c>
      <c r="AW99" s="291">
        <v>23.6</v>
      </c>
      <c r="AX99" s="291">
        <v>-0.156</v>
      </c>
      <c r="AY99" s="292">
        <v>8.9999999999999998E-4</v>
      </c>
      <c r="AZ99" s="290"/>
      <c r="BA99" s="291"/>
      <c r="BB99" s="291"/>
      <c r="BC99" s="293"/>
      <c r="BD99" s="290">
        <v>454.43400000000003</v>
      </c>
      <c r="BE99" s="291">
        <v>23.6</v>
      </c>
      <c r="BF99" s="291">
        <v>-0.156</v>
      </c>
      <c r="BG99" s="292">
        <v>8.9999999999999998E-4</v>
      </c>
      <c r="BH99" s="290">
        <v>389.245</v>
      </c>
      <c r="BI99" s="291">
        <v>34.201999999999998</v>
      </c>
      <c r="BJ99" s="291">
        <v>-0.372</v>
      </c>
      <c r="BK99" s="292">
        <v>2.7000000000000001E-3</v>
      </c>
      <c r="BL99" s="290"/>
      <c r="BM99" s="291"/>
      <c r="BN99" s="291"/>
      <c r="BO99" s="293"/>
      <c r="BP99" s="290">
        <v>389.245</v>
      </c>
      <c r="BQ99" s="291">
        <v>34.201999999999998</v>
      </c>
      <c r="BR99" s="291">
        <v>-0.372</v>
      </c>
      <c r="BS99" s="292">
        <v>2.7000000000000001E-3</v>
      </c>
    </row>
    <row r="100" spans="1:71" ht="13.5" customHeight="1">
      <c r="A100" s="23"/>
      <c r="B100" s="294">
        <v>2083</v>
      </c>
      <c r="C100" s="22"/>
      <c r="D100" s="290">
        <v>31.867999999999999</v>
      </c>
      <c r="E100" s="291">
        <v>6.7720000000000002</v>
      </c>
      <c r="F100" s="291">
        <v>-7.6999999999999999E-2</v>
      </c>
      <c r="G100" s="292">
        <v>5.0000000000000001E-4</v>
      </c>
      <c r="H100" s="290">
        <v>37.521999999999998</v>
      </c>
      <c r="I100" s="291">
        <v>5.38</v>
      </c>
      <c r="J100" s="291">
        <v>-5.1999999999999998E-2</v>
      </c>
      <c r="K100" s="292">
        <v>4.0000000000000002E-4</v>
      </c>
      <c r="L100" s="290"/>
      <c r="M100" s="291">
        <v>2.2389999999999999</v>
      </c>
      <c r="N100" s="291"/>
      <c r="O100" s="293"/>
      <c r="P100" s="290">
        <v>18.841000000000001</v>
      </c>
      <c r="Q100" s="291">
        <v>4.5030000000000001</v>
      </c>
      <c r="R100" s="291">
        <v>-3.7999999999999999E-2</v>
      </c>
      <c r="S100" s="292">
        <v>2.9999999999999997E-4</v>
      </c>
      <c r="T100" s="290">
        <v>23.036999999999999</v>
      </c>
      <c r="U100" s="291">
        <v>12.917999999999999</v>
      </c>
      <c r="V100" s="291">
        <v>-0.20300000000000001</v>
      </c>
      <c r="W100" s="292">
        <v>1.2999999999999999E-3</v>
      </c>
      <c r="X100" s="290">
        <v>36.404000000000003</v>
      </c>
      <c r="Y100" s="291">
        <v>8.8970000000000002</v>
      </c>
      <c r="Z100" s="291">
        <v>-0.128</v>
      </c>
      <c r="AA100" s="292">
        <v>1.1000000000000001E-3</v>
      </c>
      <c r="AB100" s="290"/>
      <c r="AC100" s="291">
        <v>3.3359999999999999</v>
      </c>
      <c r="AD100" s="291"/>
      <c r="AE100" s="293"/>
      <c r="AF100" s="290">
        <v>28.119</v>
      </c>
      <c r="AG100" s="291">
        <v>7.9180000000000001</v>
      </c>
      <c r="AH100" s="291">
        <v>-0.105</v>
      </c>
      <c r="AI100" s="292">
        <v>8.9999999999999998E-4</v>
      </c>
      <c r="AJ100" s="290">
        <v>250.31899999999999</v>
      </c>
      <c r="AK100" s="291">
        <v>13.281000000000001</v>
      </c>
      <c r="AL100" s="291">
        <v>-9.6000000000000002E-2</v>
      </c>
      <c r="AM100" s="292">
        <v>1E-3</v>
      </c>
      <c r="AN100" s="290"/>
      <c r="AO100" s="291"/>
      <c r="AP100" s="291"/>
      <c r="AQ100" s="293"/>
      <c r="AR100" s="290">
        <v>250.31899999999999</v>
      </c>
      <c r="AS100" s="291">
        <v>13.281000000000001</v>
      </c>
      <c r="AT100" s="291">
        <v>-9.6000000000000002E-2</v>
      </c>
      <c r="AU100" s="292">
        <v>1E-3</v>
      </c>
      <c r="AV100" s="290">
        <v>456.05099999999999</v>
      </c>
      <c r="AW100" s="291">
        <v>23.684000000000001</v>
      </c>
      <c r="AX100" s="291">
        <v>-0.157</v>
      </c>
      <c r="AY100" s="292">
        <v>8.9999999999999998E-4</v>
      </c>
      <c r="AZ100" s="290"/>
      <c r="BA100" s="291"/>
      <c r="BB100" s="291"/>
      <c r="BC100" s="293"/>
      <c r="BD100" s="290">
        <v>456.05099999999999</v>
      </c>
      <c r="BE100" s="291">
        <v>23.684000000000001</v>
      </c>
      <c r="BF100" s="291">
        <v>-0.157</v>
      </c>
      <c r="BG100" s="292">
        <v>8.9999999999999998E-4</v>
      </c>
      <c r="BH100" s="290">
        <v>390.63</v>
      </c>
      <c r="BI100" s="291">
        <v>34.323999999999998</v>
      </c>
      <c r="BJ100" s="291">
        <v>-0.373</v>
      </c>
      <c r="BK100" s="292">
        <v>2.7000000000000001E-3</v>
      </c>
      <c r="BL100" s="290"/>
      <c r="BM100" s="291"/>
      <c r="BN100" s="291"/>
      <c r="BO100" s="293"/>
      <c r="BP100" s="290">
        <v>390.63</v>
      </c>
      <c r="BQ100" s="291">
        <v>34.323999999999998</v>
      </c>
      <c r="BR100" s="291">
        <v>-0.373</v>
      </c>
      <c r="BS100" s="292">
        <v>2.7000000000000001E-3</v>
      </c>
    </row>
    <row r="101" spans="1:71" ht="13.5" customHeight="1">
      <c r="A101" s="23"/>
      <c r="B101" s="294">
        <v>2084</v>
      </c>
      <c r="C101" s="22"/>
      <c r="D101" s="290">
        <v>31.984999999999999</v>
      </c>
      <c r="E101" s="291">
        <v>6.7969999999999997</v>
      </c>
      <c r="F101" s="291">
        <v>-7.6999999999999999E-2</v>
      </c>
      <c r="G101" s="292">
        <v>5.0000000000000001E-4</v>
      </c>
      <c r="H101" s="290">
        <v>37.655999999999999</v>
      </c>
      <c r="I101" s="291">
        <v>5.399</v>
      </c>
      <c r="J101" s="291">
        <v>-5.1999999999999998E-2</v>
      </c>
      <c r="K101" s="292">
        <v>4.0000000000000002E-4</v>
      </c>
      <c r="L101" s="290"/>
      <c r="M101" s="291">
        <v>2.2389999999999999</v>
      </c>
      <c r="N101" s="291"/>
      <c r="O101" s="293"/>
      <c r="P101" s="290">
        <v>18.91</v>
      </c>
      <c r="Q101" s="291">
        <v>4.516</v>
      </c>
      <c r="R101" s="291">
        <v>-3.7999999999999999E-2</v>
      </c>
      <c r="S101" s="292">
        <v>2.9999999999999997E-4</v>
      </c>
      <c r="T101" s="290">
        <v>23.122</v>
      </c>
      <c r="U101" s="291">
        <v>12.965</v>
      </c>
      <c r="V101" s="291">
        <v>-0.20399999999999999</v>
      </c>
      <c r="W101" s="292">
        <v>1.2999999999999999E-3</v>
      </c>
      <c r="X101" s="290">
        <v>36.533999999999999</v>
      </c>
      <c r="Y101" s="291">
        <v>8.9290000000000003</v>
      </c>
      <c r="Z101" s="291">
        <v>-0.129</v>
      </c>
      <c r="AA101" s="292">
        <v>1.1000000000000001E-3</v>
      </c>
      <c r="AB101" s="290"/>
      <c r="AC101" s="291">
        <v>3.3359999999999999</v>
      </c>
      <c r="AD101" s="291"/>
      <c r="AE101" s="293"/>
      <c r="AF101" s="290">
        <v>28.219000000000001</v>
      </c>
      <c r="AG101" s="291">
        <v>7.944</v>
      </c>
      <c r="AH101" s="291">
        <v>-0.105</v>
      </c>
      <c r="AI101" s="292">
        <v>8.9999999999999998E-4</v>
      </c>
      <c r="AJ101" s="290">
        <v>251.21100000000001</v>
      </c>
      <c r="AK101" s="291">
        <v>13.329000000000001</v>
      </c>
      <c r="AL101" s="291">
        <v>-9.6000000000000002E-2</v>
      </c>
      <c r="AM101" s="292">
        <v>1.1000000000000001E-3</v>
      </c>
      <c r="AN101" s="290"/>
      <c r="AO101" s="291"/>
      <c r="AP101" s="291"/>
      <c r="AQ101" s="293"/>
      <c r="AR101" s="290">
        <v>251.21100000000001</v>
      </c>
      <c r="AS101" s="291">
        <v>13.329000000000001</v>
      </c>
      <c r="AT101" s="291">
        <v>-9.6000000000000002E-2</v>
      </c>
      <c r="AU101" s="292">
        <v>1.1000000000000001E-3</v>
      </c>
      <c r="AV101" s="290">
        <v>457.678</v>
      </c>
      <c r="AW101" s="291">
        <v>23.768000000000001</v>
      </c>
      <c r="AX101" s="291">
        <v>-0.157</v>
      </c>
      <c r="AY101" s="292">
        <v>8.9999999999999998E-4</v>
      </c>
      <c r="AZ101" s="290"/>
      <c r="BA101" s="291"/>
      <c r="BB101" s="291"/>
      <c r="BC101" s="293"/>
      <c r="BD101" s="290">
        <v>457.678</v>
      </c>
      <c r="BE101" s="291">
        <v>23.768000000000001</v>
      </c>
      <c r="BF101" s="291">
        <v>-0.157</v>
      </c>
      <c r="BG101" s="292">
        <v>8.9999999999999998E-4</v>
      </c>
      <c r="BH101" s="290">
        <v>392.024</v>
      </c>
      <c r="BI101" s="291">
        <v>34.445999999999998</v>
      </c>
      <c r="BJ101" s="291">
        <v>-0.374</v>
      </c>
      <c r="BK101" s="292">
        <v>2.7000000000000001E-3</v>
      </c>
      <c r="BL101" s="290"/>
      <c r="BM101" s="291"/>
      <c r="BN101" s="291"/>
      <c r="BO101" s="293"/>
      <c r="BP101" s="290">
        <v>392.024</v>
      </c>
      <c r="BQ101" s="291">
        <v>34.445999999999998</v>
      </c>
      <c r="BR101" s="291">
        <v>-0.374</v>
      </c>
      <c r="BS101" s="292">
        <v>2.7000000000000001E-3</v>
      </c>
    </row>
    <row r="102" spans="1:71" ht="13.5" customHeight="1">
      <c r="A102" s="23"/>
      <c r="B102" s="294">
        <v>2085</v>
      </c>
      <c r="C102" s="22"/>
      <c r="D102" s="290">
        <v>32.103000000000002</v>
      </c>
      <c r="E102" s="291">
        <v>6.8220000000000001</v>
      </c>
      <c r="F102" s="291">
        <v>-7.8E-2</v>
      </c>
      <c r="G102" s="292">
        <v>5.0000000000000001E-4</v>
      </c>
      <c r="H102" s="290">
        <v>37.790999999999997</v>
      </c>
      <c r="I102" s="291">
        <v>5.4180000000000001</v>
      </c>
      <c r="J102" s="291">
        <v>-5.1999999999999998E-2</v>
      </c>
      <c r="K102" s="292">
        <v>4.0000000000000002E-4</v>
      </c>
      <c r="L102" s="290"/>
      <c r="M102" s="291">
        <v>2.2389999999999999</v>
      </c>
      <c r="N102" s="291"/>
      <c r="O102" s="293"/>
      <c r="P102" s="290">
        <v>18.978999999999999</v>
      </c>
      <c r="Q102" s="291">
        <v>4.5279999999999996</v>
      </c>
      <c r="R102" s="291">
        <v>-3.7999999999999999E-2</v>
      </c>
      <c r="S102" s="292">
        <v>2.9999999999999997E-4</v>
      </c>
      <c r="T102" s="290">
        <v>23.207000000000001</v>
      </c>
      <c r="U102" s="291">
        <v>13.013</v>
      </c>
      <c r="V102" s="291">
        <v>-0.20399999999999999</v>
      </c>
      <c r="W102" s="292">
        <v>1.2999999999999999E-3</v>
      </c>
      <c r="X102" s="290">
        <v>36.664999999999999</v>
      </c>
      <c r="Y102" s="291">
        <v>8.9610000000000003</v>
      </c>
      <c r="Z102" s="291">
        <v>-0.129</v>
      </c>
      <c r="AA102" s="292">
        <v>1.1000000000000001E-3</v>
      </c>
      <c r="AB102" s="290"/>
      <c r="AC102" s="291">
        <v>3.3359999999999999</v>
      </c>
      <c r="AD102" s="291"/>
      <c r="AE102" s="293"/>
      <c r="AF102" s="290">
        <v>28.32</v>
      </c>
      <c r="AG102" s="291">
        <v>7.97</v>
      </c>
      <c r="AH102" s="291">
        <v>-0.106</v>
      </c>
      <c r="AI102" s="292">
        <v>8.9999999999999998E-4</v>
      </c>
      <c r="AJ102" s="290">
        <v>252.10900000000001</v>
      </c>
      <c r="AK102" s="291">
        <v>13.375999999999999</v>
      </c>
      <c r="AL102" s="291">
        <v>-9.7000000000000003E-2</v>
      </c>
      <c r="AM102" s="292">
        <v>1.1000000000000001E-3</v>
      </c>
      <c r="AN102" s="290"/>
      <c r="AO102" s="291"/>
      <c r="AP102" s="291"/>
      <c r="AQ102" s="293"/>
      <c r="AR102" s="290">
        <v>252.10900000000001</v>
      </c>
      <c r="AS102" s="291">
        <v>13.375999999999999</v>
      </c>
      <c r="AT102" s="291">
        <v>-9.7000000000000003E-2</v>
      </c>
      <c r="AU102" s="292">
        <v>1.1000000000000001E-3</v>
      </c>
      <c r="AV102" s="290">
        <v>459.31400000000002</v>
      </c>
      <c r="AW102" s="291">
        <v>23.853000000000002</v>
      </c>
      <c r="AX102" s="291">
        <v>-0.158</v>
      </c>
      <c r="AY102" s="292">
        <v>8.9999999999999998E-4</v>
      </c>
      <c r="AZ102" s="290"/>
      <c r="BA102" s="291"/>
      <c r="BB102" s="291"/>
      <c r="BC102" s="293"/>
      <c r="BD102" s="290">
        <v>459.31400000000002</v>
      </c>
      <c r="BE102" s="291">
        <v>23.853000000000002</v>
      </c>
      <c r="BF102" s="291">
        <v>-0.158</v>
      </c>
      <c r="BG102" s="292">
        <v>8.9999999999999998E-4</v>
      </c>
      <c r="BH102" s="290">
        <v>393.42500000000001</v>
      </c>
      <c r="BI102" s="291">
        <v>34.569000000000003</v>
      </c>
      <c r="BJ102" s="291">
        <v>-0.376</v>
      </c>
      <c r="BK102" s="292">
        <v>2.8E-3</v>
      </c>
      <c r="BL102" s="290"/>
      <c r="BM102" s="291"/>
      <c r="BN102" s="291"/>
      <c r="BO102" s="293"/>
      <c r="BP102" s="290">
        <v>393.42500000000001</v>
      </c>
      <c r="BQ102" s="291">
        <v>34.569000000000003</v>
      </c>
      <c r="BR102" s="291">
        <v>-0.376</v>
      </c>
      <c r="BS102" s="292">
        <v>2.8E-3</v>
      </c>
    </row>
    <row r="103" spans="1:71" ht="13.5" customHeight="1">
      <c r="A103" s="23"/>
      <c r="B103" s="294">
        <v>2086</v>
      </c>
      <c r="C103" s="22"/>
      <c r="D103" s="290">
        <v>32.220999999999997</v>
      </c>
      <c r="E103" s="291">
        <v>6.8470000000000004</v>
      </c>
      <c r="F103" s="291">
        <v>-7.8E-2</v>
      </c>
      <c r="G103" s="292">
        <v>5.0000000000000001E-4</v>
      </c>
      <c r="H103" s="290">
        <v>37.926000000000002</v>
      </c>
      <c r="I103" s="291">
        <v>5.4379999999999997</v>
      </c>
      <c r="J103" s="291">
        <v>-5.1999999999999998E-2</v>
      </c>
      <c r="K103" s="292">
        <v>4.0000000000000002E-4</v>
      </c>
      <c r="L103" s="290"/>
      <c r="M103" s="291">
        <v>2.2389999999999999</v>
      </c>
      <c r="N103" s="291"/>
      <c r="O103" s="293"/>
      <c r="P103" s="290">
        <v>19.047999999999998</v>
      </c>
      <c r="Q103" s="291">
        <v>4.5410000000000004</v>
      </c>
      <c r="R103" s="291">
        <v>-3.9E-2</v>
      </c>
      <c r="S103" s="292">
        <v>2.9999999999999997E-4</v>
      </c>
      <c r="T103" s="290">
        <v>23.292999999999999</v>
      </c>
      <c r="U103" s="291">
        <v>13.061</v>
      </c>
      <c r="V103" s="291">
        <v>-0.20499999999999999</v>
      </c>
      <c r="W103" s="292">
        <v>1.2999999999999999E-3</v>
      </c>
      <c r="X103" s="290">
        <v>36.795999999999999</v>
      </c>
      <c r="Y103" s="291">
        <v>8.9930000000000003</v>
      </c>
      <c r="Z103" s="291">
        <v>-0.13</v>
      </c>
      <c r="AA103" s="292">
        <v>1.1000000000000001E-3</v>
      </c>
      <c r="AB103" s="290"/>
      <c r="AC103" s="291">
        <v>3.3359999999999999</v>
      </c>
      <c r="AD103" s="291"/>
      <c r="AE103" s="293"/>
      <c r="AF103" s="290">
        <v>28.422000000000001</v>
      </c>
      <c r="AG103" s="291">
        <v>7.9960000000000004</v>
      </c>
      <c r="AH103" s="291">
        <v>-0.106</v>
      </c>
      <c r="AI103" s="292">
        <v>8.9999999999999998E-4</v>
      </c>
      <c r="AJ103" s="290">
        <v>253.012</v>
      </c>
      <c r="AK103" s="291">
        <v>13.423999999999999</v>
      </c>
      <c r="AL103" s="291">
        <v>-9.7000000000000003E-2</v>
      </c>
      <c r="AM103" s="292">
        <v>1.1000000000000001E-3</v>
      </c>
      <c r="AN103" s="290"/>
      <c r="AO103" s="291"/>
      <c r="AP103" s="291"/>
      <c r="AQ103" s="293"/>
      <c r="AR103" s="290">
        <v>253.012</v>
      </c>
      <c r="AS103" s="291">
        <v>13.423999999999999</v>
      </c>
      <c r="AT103" s="291">
        <v>-9.7000000000000003E-2</v>
      </c>
      <c r="AU103" s="292">
        <v>1.1000000000000001E-3</v>
      </c>
      <c r="AV103" s="290">
        <v>460.959</v>
      </c>
      <c r="AW103" s="291">
        <v>23.937999999999999</v>
      </c>
      <c r="AX103" s="291">
        <v>-0.159</v>
      </c>
      <c r="AY103" s="292">
        <v>8.9999999999999998E-4</v>
      </c>
      <c r="AZ103" s="290"/>
      <c r="BA103" s="291"/>
      <c r="BB103" s="291"/>
      <c r="BC103" s="293"/>
      <c r="BD103" s="290">
        <v>460.959</v>
      </c>
      <c r="BE103" s="291">
        <v>23.937999999999999</v>
      </c>
      <c r="BF103" s="291">
        <v>-0.159</v>
      </c>
      <c r="BG103" s="292">
        <v>8.9999999999999998E-4</v>
      </c>
      <c r="BH103" s="290">
        <v>394.834</v>
      </c>
      <c r="BI103" s="291">
        <v>34.692999999999998</v>
      </c>
      <c r="BJ103" s="291">
        <v>-0.377</v>
      </c>
      <c r="BK103" s="292">
        <v>2.8E-3</v>
      </c>
      <c r="BL103" s="290"/>
      <c r="BM103" s="291"/>
      <c r="BN103" s="291"/>
      <c r="BO103" s="293"/>
      <c r="BP103" s="290">
        <v>394.834</v>
      </c>
      <c r="BQ103" s="291">
        <v>34.692999999999998</v>
      </c>
      <c r="BR103" s="291">
        <v>-0.377</v>
      </c>
      <c r="BS103" s="292">
        <v>2.8E-3</v>
      </c>
    </row>
    <row r="104" spans="1:71" ht="13.5" customHeight="1">
      <c r="A104" s="23"/>
      <c r="B104" s="294">
        <v>2087</v>
      </c>
      <c r="C104" s="22"/>
      <c r="D104" s="290">
        <v>32.340000000000003</v>
      </c>
      <c r="E104" s="291">
        <v>6.8730000000000002</v>
      </c>
      <c r="F104" s="291">
        <v>-7.8E-2</v>
      </c>
      <c r="G104" s="292">
        <v>5.0000000000000001E-4</v>
      </c>
      <c r="H104" s="290">
        <v>38.061999999999998</v>
      </c>
      <c r="I104" s="291">
        <v>5.4569999999999999</v>
      </c>
      <c r="J104" s="291">
        <v>-5.1999999999999998E-2</v>
      </c>
      <c r="K104" s="292">
        <v>4.0000000000000002E-4</v>
      </c>
      <c r="L104" s="290"/>
      <c r="M104" s="291">
        <v>2.2389999999999999</v>
      </c>
      <c r="N104" s="291"/>
      <c r="O104" s="293"/>
      <c r="P104" s="290">
        <v>19.117999999999999</v>
      </c>
      <c r="Q104" s="291">
        <v>4.5540000000000003</v>
      </c>
      <c r="R104" s="291">
        <v>-3.9E-2</v>
      </c>
      <c r="S104" s="292">
        <v>2.9999999999999997E-4</v>
      </c>
      <c r="T104" s="290">
        <v>23.379000000000001</v>
      </c>
      <c r="U104" s="291">
        <v>13.109</v>
      </c>
      <c r="V104" s="291">
        <v>-0.20599999999999999</v>
      </c>
      <c r="W104" s="292">
        <v>1.2999999999999999E-3</v>
      </c>
      <c r="X104" s="290">
        <v>36.927999999999997</v>
      </c>
      <c r="Y104" s="291">
        <v>9.0250000000000004</v>
      </c>
      <c r="Z104" s="291">
        <v>-0.13</v>
      </c>
      <c r="AA104" s="292">
        <v>1.1000000000000001E-3</v>
      </c>
      <c r="AB104" s="290"/>
      <c r="AC104" s="291">
        <v>3.3359999999999999</v>
      </c>
      <c r="AD104" s="291"/>
      <c r="AE104" s="293"/>
      <c r="AF104" s="290">
        <v>28.524000000000001</v>
      </c>
      <c r="AG104" s="291">
        <v>8.0220000000000002</v>
      </c>
      <c r="AH104" s="291">
        <v>-0.106</v>
      </c>
      <c r="AI104" s="292">
        <v>8.9999999999999998E-4</v>
      </c>
      <c r="AJ104" s="290">
        <v>253.92099999999999</v>
      </c>
      <c r="AK104" s="291">
        <v>13.472</v>
      </c>
      <c r="AL104" s="291">
        <v>-9.7000000000000003E-2</v>
      </c>
      <c r="AM104" s="292">
        <v>1.1000000000000001E-3</v>
      </c>
      <c r="AN104" s="290"/>
      <c r="AO104" s="291"/>
      <c r="AP104" s="291"/>
      <c r="AQ104" s="293"/>
      <c r="AR104" s="290">
        <v>253.92099999999999</v>
      </c>
      <c r="AS104" s="291">
        <v>13.472</v>
      </c>
      <c r="AT104" s="291">
        <v>-9.7000000000000003E-2</v>
      </c>
      <c r="AU104" s="292">
        <v>1.1000000000000001E-3</v>
      </c>
      <c r="AV104" s="290">
        <v>462.61500000000001</v>
      </c>
      <c r="AW104" s="291">
        <v>24.024000000000001</v>
      </c>
      <c r="AX104" s="291">
        <v>-0.159</v>
      </c>
      <c r="AY104" s="292">
        <v>8.9999999999999998E-4</v>
      </c>
      <c r="AZ104" s="290"/>
      <c r="BA104" s="291"/>
      <c r="BB104" s="291"/>
      <c r="BC104" s="293"/>
      <c r="BD104" s="290">
        <v>462.61500000000001</v>
      </c>
      <c r="BE104" s="291">
        <v>24.024000000000001</v>
      </c>
      <c r="BF104" s="291">
        <v>-0.159</v>
      </c>
      <c r="BG104" s="292">
        <v>8.9999999999999998E-4</v>
      </c>
      <c r="BH104" s="290">
        <v>396.25200000000001</v>
      </c>
      <c r="BI104" s="291">
        <v>34.817</v>
      </c>
      <c r="BJ104" s="291">
        <v>-0.378</v>
      </c>
      <c r="BK104" s="292">
        <v>2.8E-3</v>
      </c>
      <c r="BL104" s="290"/>
      <c r="BM104" s="291"/>
      <c r="BN104" s="291"/>
      <c r="BO104" s="293"/>
      <c r="BP104" s="290">
        <v>396.25200000000001</v>
      </c>
      <c r="BQ104" s="291">
        <v>34.817</v>
      </c>
      <c r="BR104" s="291">
        <v>-0.378</v>
      </c>
      <c r="BS104" s="292">
        <v>2.8E-3</v>
      </c>
    </row>
    <row r="105" spans="1:71" ht="13.5" customHeight="1">
      <c r="A105" s="23"/>
      <c r="B105" s="294">
        <v>2088</v>
      </c>
      <c r="C105" s="22"/>
      <c r="D105" s="290">
        <v>32.46</v>
      </c>
      <c r="E105" s="291">
        <v>6.8979999999999997</v>
      </c>
      <c r="F105" s="291">
        <v>-7.9000000000000001E-2</v>
      </c>
      <c r="G105" s="292">
        <v>5.0000000000000001E-4</v>
      </c>
      <c r="H105" s="290">
        <v>38.198999999999998</v>
      </c>
      <c r="I105" s="291">
        <v>5.4770000000000003</v>
      </c>
      <c r="J105" s="291">
        <v>-5.2999999999999999E-2</v>
      </c>
      <c r="K105" s="292">
        <v>4.0000000000000002E-4</v>
      </c>
      <c r="L105" s="290"/>
      <c r="M105" s="291">
        <v>2.2389999999999999</v>
      </c>
      <c r="N105" s="291"/>
      <c r="O105" s="293"/>
      <c r="P105" s="290">
        <v>19.187999999999999</v>
      </c>
      <c r="Q105" s="291">
        <v>4.5670000000000002</v>
      </c>
      <c r="R105" s="291">
        <v>-3.9E-2</v>
      </c>
      <c r="S105" s="292">
        <v>2.9999999999999997E-4</v>
      </c>
      <c r="T105" s="290">
        <v>23.465</v>
      </c>
      <c r="U105" s="291">
        <v>13.157999999999999</v>
      </c>
      <c r="V105" s="291">
        <v>-0.20699999999999999</v>
      </c>
      <c r="W105" s="292">
        <v>1.2999999999999999E-3</v>
      </c>
      <c r="X105" s="290">
        <v>37.061</v>
      </c>
      <c r="Y105" s="291">
        <v>9.0579999999999998</v>
      </c>
      <c r="Z105" s="291">
        <v>-0.13100000000000001</v>
      </c>
      <c r="AA105" s="292">
        <v>1.1000000000000001E-3</v>
      </c>
      <c r="AB105" s="290"/>
      <c r="AC105" s="291">
        <v>3.3359999999999999</v>
      </c>
      <c r="AD105" s="291"/>
      <c r="AE105" s="293"/>
      <c r="AF105" s="290">
        <v>28.626999999999999</v>
      </c>
      <c r="AG105" s="291">
        <v>8.0489999999999995</v>
      </c>
      <c r="AH105" s="291">
        <v>-0.107</v>
      </c>
      <c r="AI105" s="292">
        <v>8.9999999999999998E-4</v>
      </c>
      <c r="AJ105" s="290">
        <v>254.83500000000001</v>
      </c>
      <c r="AK105" s="291">
        <v>13.521000000000001</v>
      </c>
      <c r="AL105" s="291">
        <v>-9.8000000000000004E-2</v>
      </c>
      <c r="AM105" s="292">
        <v>1.1000000000000001E-3</v>
      </c>
      <c r="AN105" s="290"/>
      <c r="AO105" s="291"/>
      <c r="AP105" s="291"/>
      <c r="AQ105" s="293"/>
      <c r="AR105" s="290">
        <v>254.83500000000001</v>
      </c>
      <c r="AS105" s="291">
        <v>13.521000000000001</v>
      </c>
      <c r="AT105" s="291">
        <v>-9.8000000000000004E-2</v>
      </c>
      <c r="AU105" s="292">
        <v>1.1000000000000001E-3</v>
      </c>
      <c r="AV105" s="290">
        <v>464.28</v>
      </c>
      <c r="AW105" s="291">
        <v>24.111000000000001</v>
      </c>
      <c r="AX105" s="291">
        <v>-0.16</v>
      </c>
      <c r="AY105" s="292">
        <v>1E-3</v>
      </c>
      <c r="AZ105" s="290"/>
      <c r="BA105" s="291"/>
      <c r="BB105" s="291"/>
      <c r="BC105" s="293"/>
      <c r="BD105" s="290">
        <v>464.28</v>
      </c>
      <c r="BE105" s="291">
        <v>24.111000000000001</v>
      </c>
      <c r="BF105" s="291">
        <v>-0.16</v>
      </c>
      <c r="BG105" s="292">
        <v>1E-3</v>
      </c>
      <c r="BH105" s="290">
        <v>397.678</v>
      </c>
      <c r="BI105" s="291">
        <v>34.942999999999998</v>
      </c>
      <c r="BJ105" s="291">
        <v>-0.38</v>
      </c>
      <c r="BK105" s="292">
        <v>2.8E-3</v>
      </c>
      <c r="BL105" s="290"/>
      <c r="BM105" s="291"/>
      <c r="BN105" s="291"/>
      <c r="BO105" s="293"/>
      <c r="BP105" s="290">
        <v>397.678</v>
      </c>
      <c r="BQ105" s="291">
        <v>34.942999999999998</v>
      </c>
      <c r="BR105" s="291">
        <v>-0.38</v>
      </c>
      <c r="BS105" s="292">
        <v>2.8E-3</v>
      </c>
    </row>
    <row r="106" spans="1:71" ht="13.5" customHeight="1" thickBot="1">
      <c r="A106" s="35"/>
      <c r="B106" s="295">
        <v>2089</v>
      </c>
      <c r="C106" s="58"/>
      <c r="D106" s="296">
        <v>32.58</v>
      </c>
      <c r="E106" s="297">
        <v>6.9240000000000004</v>
      </c>
      <c r="F106" s="297">
        <v>-7.9000000000000001E-2</v>
      </c>
      <c r="G106" s="298">
        <v>5.0000000000000001E-4</v>
      </c>
      <c r="H106" s="296">
        <v>38.337000000000003</v>
      </c>
      <c r="I106" s="297">
        <v>5.4969999999999999</v>
      </c>
      <c r="J106" s="297">
        <v>-5.2999999999999999E-2</v>
      </c>
      <c r="K106" s="298">
        <v>4.0000000000000002E-4</v>
      </c>
      <c r="L106" s="296"/>
      <c r="M106" s="297">
        <v>2.2389999999999999</v>
      </c>
      <c r="N106" s="297"/>
      <c r="O106" s="299"/>
      <c r="P106" s="296">
        <v>19.257999999999999</v>
      </c>
      <c r="Q106" s="297">
        <v>4.5810000000000004</v>
      </c>
      <c r="R106" s="297">
        <v>-3.9E-2</v>
      </c>
      <c r="S106" s="298">
        <v>2.9999999999999997E-4</v>
      </c>
      <c r="T106" s="296">
        <v>23.552</v>
      </c>
      <c r="U106" s="297">
        <v>13.207000000000001</v>
      </c>
      <c r="V106" s="297">
        <v>-0.20699999999999999</v>
      </c>
      <c r="W106" s="298">
        <v>1.2999999999999999E-3</v>
      </c>
      <c r="X106" s="296">
        <v>37.195</v>
      </c>
      <c r="Y106" s="297">
        <v>9.0909999999999993</v>
      </c>
      <c r="Z106" s="297">
        <v>-0.13100000000000001</v>
      </c>
      <c r="AA106" s="298">
        <v>1.1000000000000001E-3</v>
      </c>
      <c r="AB106" s="296"/>
      <c r="AC106" s="297">
        <v>3.3359999999999999</v>
      </c>
      <c r="AD106" s="297"/>
      <c r="AE106" s="299"/>
      <c r="AF106" s="296">
        <v>28.73</v>
      </c>
      <c r="AG106" s="297">
        <v>8.0749999999999993</v>
      </c>
      <c r="AH106" s="297">
        <v>-0.107</v>
      </c>
      <c r="AI106" s="298">
        <v>8.9999999999999998E-4</v>
      </c>
      <c r="AJ106" s="296">
        <v>255.75399999999999</v>
      </c>
      <c r="AK106" s="297">
        <v>13.57</v>
      </c>
      <c r="AL106" s="297">
        <v>-9.8000000000000004E-2</v>
      </c>
      <c r="AM106" s="298">
        <v>1.1000000000000001E-3</v>
      </c>
      <c r="AN106" s="296"/>
      <c r="AO106" s="297"/>
      <c r="AP106" s="297"/>
      <c r="AQ106" s="299"/>
      <c r="AR106" s="296">
        <v>255.75399999999999</v>
      </c>
      <c r="AS106" s="297">
        <v>13.57</v>
      </c>
      <c r="AT106" s="297">
        <v>-9.8000000000000004E-2</v>
      </c>
      <c r="AU106" s="298">
        <v>1.1000000000000001E-3</v>
      </c>
      <c r="AV106" s="296">
        <v>465.95400000000001</v>
      </c>
      <c r="AW106" s="297">
        <v>24.198</v>
      </c>
      <c r="AX106" s="297">
        <v>-0.16</v>
      </c>
      <c r="AY106" s="298">
        <v>1E-3</v>
      </c>
      <c r="AZ106" s="296"/>
      <c r="BA106" s="297"/>
      <c r="BB106" s="297"/>
      <c r="BC106" s="299"/>
      <c r="BD106" s="296">
        <v>465.95400000000001</v>
      </c>
      <c r="BE106" s="297">
        <v>24.198</v>
      </c>
      <c r="BF106" s="297">
        <v>-0.16</v>
      </c>
      <c r="BG106" s="298">
        <v>1E-3</v>
      </c>
      <c r="BH106" s="296">
        <v>399.113</v>
      </c>
      <c r="BI106" s="297">
        <v>35.069000000000003</v>
      </c>
      <c r="BJ106" s="297">
        <v>-0.38100000000000001</v>
      </c>
      <c r="BK106" s="298">
        <v>2.8E-3</v>
      </c>
      <c r="BL106" s="296"/>
      <c r="BM106" s="297"/>
      <c r="BN106" s="297"/>
      <c r="BO106" s="299"/>
      <c r="BP106" s="296">
        <v>399.113</v>
      </c>
      <c r="BQ106" s="297">
        <v>35.069000000000003</v>
      </c>
      <c r="BR106" s="297">
        <v>-0.38100000000000001</v>
      </c>
      <c r="BS106" s="298">
        <v>2.8E-3</v>
      </c>
    </row>
    <row r="107" spans="1:71" ht="13.5" customHeight="1" thickTop="1" thickBot="1"/>
    <row r="108" spans="1:71" ht="13.5" customHeight="1" thickBot="1">
      <c r="D108" s="204" t="s">
        <v>479</v>
      </c>
    </row>
  </sheetData>
  <mergeCells count="10">
    <mergeCell ref="T1:AI1"/>
    <mergeCell ref="AJ1:AY1"/>
    <mergeCell ref="BH1:BS1"/>
    <mergeCell ref="E6:S6"/>
    <mergeCell ref="A7:B7"/>
    <mergeCell ref="A8:B8"/>
    <mergeCell ref="A10:B10"/>
    <mergeCell ref="A11:B11"/>
    <mergeCell ref="A12:B12"/>
    <mergeCell ref="D1:S1"/>
  </mergeCells>
  <hyperlinks>
    <hyperlink ref="A18:B18" location="A1.2.12!D29" display="Cars" xr:uid="{00000000-0004-0000-1800-000000000000}"/>
    <hyperlink ref="A19:B19" location="A1.2.12!T29" display="LGVs" xr:uid="{00000000-0004-0000-1800-000001000000}"/>
    <hyperlink ref="A11" location="Contents!A1" display="Contents" xr:uid="{00000000-0004-0000-1800-000002000000}"/>
    <hyperlink ref="A11:B11" r:id="rId1" display="WebTAG Unit 3.5.6" xr:uid="{00000000-0004-0000-1800-000003000000}"/>
    <hyperlink ref="A10" location="Contents!A1" display="Contents" xr:uid="{00000000-0004-0000-1800-000004000000}"/>
    <hyperlink ref="A10:B10" location="Contents!A1" tooltip="Contents page" display="Contents" xr:uid="{00000000-0004-0000-1800-000005000000}"/>
    <hyperlink ref="A18" location="A1.3.12!D1" tooltip="Cars" display="Cars" xr:uid="{00000000-0004-0000-1800-000006000000}"/>
    <hyperlink ref="B18" location="A1.3.12!T1" tooltip="Light Goods Vehicles" display="LGVs" xr:uid="{00000000-0004-0000-1800-000007000000}"/>
    <hyperlink ref="A19" location="A1.3.12!AJ1" tooltip="Other Goods Vehicles" display="OGVs" xr:uid="{00000000-0004-0000-1800-000008000000}"/>
    <hyperlink ref="B19" location="A1.3.12!BH1" tooltip="Public Service Vehicles" display="PSVs" xr:uid="{00000000-0004-0000-1800-000009000000}"/>
    <hyperlink ref="A12:B12" r:id="rId2" tooltip="Unit A1.3 User &amp; Provider Impacts" display="WebTAG Unit A 1.3" xr:uid="{00000000-0004-0000-1800-00000A000000}"/>
    <hyperlink ref="D108" location="A1.3.12!D27" tooltip="Top of this page" display="Top" xr:uid="{00000000-0004-0000-1800-00000B000000}"/>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6"/>
  </sheetPr>
  <dimension ref="A1:AJ109"/>
  <sheetViews>
    <sheetView topLeftCell="A4" zoomScale="70" zoomScaleNormal="70" workbookViewId="0">
      <selection activeCell="D27" sqref="D27:AI106"/>
    </sheetView>
  </sheetViews>
  <sheetFormatPr defaultColWidth="12.81640625" defaultRowHeight="13.5" customHeight="1"/>
  <cols>
    <col min="1" max="16384" width="12.81640625" style="5"/>
  </cols>
  <sheetData>
    <row r="1" spans="1:36" ht="55" customHeight="1">
      <c r="A1" s="4"/>
      <c r="C1" s="4"/>
      <c r="D1" s="1201"/>
      <c r="E1" s="1201"/>
      <c r="F1" s="1201"/>
      <c r="G1" s="1201"/>
      <c r="H1" s="1201"/>
      <c r="I1" s="1201"/>
      <c r="J1" s="1201"/>
      <c r="K1" s="1201"/>
      <c r="L1" s="1201"/>
      <c r="M1" s="1201"/>
      <c r="N1" s="1201"/>
      <c r="O1" s="1201"/>
      <c r="P1" s="1201"/>
      <c r="Q1" s="1201"/>
      <c r="R1" s="1201"/>
      <c r="S1" s="1201"/>
      <c r="T1" s="1201"/>
      <c r="U1" s="1201"/>
      <c r="V1" s="1201"/>
      <c r="W1" s="1201"/>
      <c r="X1" s="1201"/>
      <c r="Y1" s="1201"/>
      <c r="Z1" s="1201"/>
      <c r="AA1" s="1201"/>
      <c r="AB1" s="1201"/>
      <c r="AC1" s="1201"/>
      <c r="AD1" s="1201"/>
      <c r="AE1" s="1201"/>
      <c r="AF1" s="1201"/>
      <c r="AG1" s="1201"/>
      <c r="AH1" s="1201"/>
      <c r="AI1" s="1201"/>
    </row>
    <row r="2" spans="1:36" s="7" customFormat="1" ht="5.15" customHeight="1">
      <c r="AJ2" s="11"/>
    </row>
    <row r="3" spans="1:36" s="7" customFormat="1" ht="20.149999999999999" customHeight="1">
      <c r="A3" s="7" t="s">
        <v>710</v>
      </c>
      <c r="B3" s="140"/>
      <c r="C3" s="140"/>
      <c r="D3" s="10"/>
      <c r="F3" s="11"/>
      <c r="H3" s="9"/>
      <c r="I3" s="140"/>
      <c r="O3" s="140"/>
      <c r="P3" s="140"/>
      <c r="Q3" s="140"/>
      <c r="R3" s="10"/>
      <c r="AH3" s="10"/>
    </row>
    <row r="4" spans="1:36" ht="20.149999999999999" customHeight="1" thickBot="1">
      <c r="A4" s="12" t="s">
        <v>711</v>
      </c>
      <c r="B4" s="13"/>
      <c r="C4" s="13"/>
      <c r="D4" s="15"/>
      <c r="E4" s="15"/>
      <c r="F4" s="15"/>
      <c r="G4" s="15"/>
      <c r="H4" s="260"/>
      <c r="I4" s="13"/>
      <c r="J4" s="15"/>
      <c r="K4" s="15"/>
      <c r="L4" s="15"/>
      <c r="M4" s="15"/>
      <c r="N4" s="15"/>
      <c r="O4" s="300"/>
      <c r="P4" s="15"/>
      <c r="Q4" s="15"/>
      <c r="R4" s="14"/>
      <c r="S4" s="15"/>
      <c r="T4" s="15"/>
      <c r="U4" s="15"/>
      <c r="V4" s="15"/>
      <c r="W4" s="15"/>
      <c r="X4" s="15"/>
      <c r="Y4" s="15"/>
      <c r="Z4" s="15"/>
      <c r="AA4" s="15"/>
      <c r="AB4" s="15"/>
      <c r="AC4" s="15"/>
      <c r="AD4" s="15"/>
      <c r="AE4" s="15"/>
      <c r="AF4" s="15"/>
      <c r="AG4" s="15"/>
      <c r="AH4" s="62"/>
      <c r="AI4" s="15"/>
    </row>
    <row r="5" spans="1:36" ht="10" customHeight="1" thickTop="1" thickBot="1">
      <c r="A5" s="40"/>
      <c r="B5" s="18"/>
      <c r="C5" s="18"/>
      <c r="E5" s="19"/>
      <c r="I5" s="18"/>
      <c r="K5" s="19"/>
      <c r="O5" s="24"/>
      <c r="R5" s="976"/>
      <c r="AH5" s="976"/>
    </row>
    <row r="6" spans="1:36" ht="13.5" customHeight="1" thickTop="1">
      <c r="A6" s="20" t="s">
        <v>430</v>
      </c>
      <c r="B6" s="20"/>
      <c r="E6" s="1167" t="s">
        <v>142</v>
      </c>
      <c r="F6" s="1214"/>
      <c r="G6" s="1214"/>
      <c r="H6" s="1214"/>
      <c r="I6" s="1214"/>
      <c r="J6" s="1214"/>
      <c r="K6" s="1214"/>
      <c r="L6" s="1214"/>
      <c r="M6" s="1214"/>
      <c r="N6" s="1214"/>
      <c r="O6" s="1214"/>
      <c r="P6" s="1214"/>
      <c r="Q6" s="1214"/>
      <c r="R6" s="1214"/>
      <c r="S6" s="1215"/>
    </row>
    <row r="7" spans="1:36" ht="13.5" customHeight="1">
      <c r="A7" s="1183" t="s">
        <v>584</v>
      </c>
      <c r="B7" s="1184"/>
      <c r="D7" s="22"/>
      <c r="E7" s="261" t="s">
        <v>656</v>
      </c>
      <c r="F7" s="4"/>
      <c r="S7" s="22"/>
    </row>
    <row r="8" spans="1:36" ht="13.5" customHeight="1">
      <c r="A8" s="1187">
        <v>44682</v>
      </c>
      <c r="B8" s="1188"/>
      <c r="C8" s="18"/>
      <c r="D8" s="34"/>
      <c r="E8" s="5" t="s">
        <v>688</v>
      </c>
      <c r="F8" s="24"/>
      <c r="I8" s="5" t="s">
        <v>658</v>
      </c>
      <c r="S8" s="22"/>
    </row>
    <row r="9" spans="1:36" ht="13.5" customHeight="1" thickBot="1">
      <c r="A9" s="20" t="s">
        <v>435</v>
      </c>
      <c r="B9" s="25"/>
      <c r="D9" s="34"/>
      <c r="E9" s="5" t="s">
        <v>659</v>
      </c>
      <c r="S9" s="22"/>
    </row>
    <row r="10" spans="1:36" ht="13.5" customHeight="1" thickBot="1">
      <c r="A10" s="1176" t="s">
        <v>438</v>
      </c>
      <c r="B10" s="1186"/>
      <c r="D10" s="34"/>
      <c r="E10" s="5" t="s">
        <v>689</v>
      </c>
      <c r="S10" s="22"/>
    </row>
    <row r="11" spans="1:36" ht="13.5" customHeight="1" thickBot="1">
      <c r="A11" s="1176" t="s">
        <v>440</v>
      </c>
      <c r="B11" s="1186"/>
      <c r="D11" s="34"/>
      <c r="E11" s="5" t="s">
        <v>661</v>
      </c>
      <c r="F11" s="26"/>
      <c r="G11" s="26"/>
      <c r="H11" s="26"/>
      <c r="I11" s="26"/>
      <c r="J11" s="26"/>
      <c r="K11" s="26"/>
      <c r="L11" s="26"/>
      <c r="M11" s="26"/>
      <c r="N11" s="26"/>
      <c r="O11" s="26"/>
      <c r="P11" s="26"/>
      <c r="Q11" s="26"/>
      <c r="R11" s="26"/>
      <c r="S11" s="27"/>
    </row>
    <row r="12" spans="1:36" ht="13.5" customHeight="1" thickBot="1">
      <c r="A12" s="1176" t="s">
        <v>441</v>
      </c>
      <c r="B12" s="1186"/>
      <c r="D12" s="34"/>
      <c r="E12" s="5" t="s">
        <v>662</v>
      </c>
      <c r="S12" s="22"/>
    </row>
    <row r="13" spans="1:36" ht="13.5" customHeight="1">
      <c r="A13" s="20" t="s">
        <v>444</v>
      </c>
      <c r="B13" s="28"/>
      <c r="C13" s="18"/>
      <c r="D13" s="34"/>
      <c r="E13" s="5" t="s">
        <v>690</v>
      </c>
      <c r="S13" s="22"/>
    </row>
    <row r="14" spans="1:36" ht="13.5" customHeight="1">
      <c r="A14" s="30" t="s">
        <v>446</v>
      </c>
      <c r="B14" s="64">
        <v>2010</v>
      </c>
      <c r="C14" s="18"/>
      <c r="D14" s="34"/>
      <c r="E14" s="5" t="s">
        <v>712</v>
      </c>
      <c r="S14" s="22"/>
    </row>
    <row r="15" spans="1:36" ht="13.5" customHeight="1">
      <c r="A15" s="5" t="s">
        <v>589</v>
      </c>
      <c r="B15" s="147">
        <v>2010</v>
      </c>
      <c r="C15" s="18"/>
      <c r="D15" s="34"/>
      <c r="E15" s="5" t="s">
        <v>692</v>
      </c>
      <c r="S15" s="22"/>
    </row>
    <row r="16" spans="1:36" ht="13.5" customHeight="1">
      <c r="B16" s="31"/>
      <c r="C16" s="18"/>
      <c r="D16" s="34"/>
      <c r="E16" s="5" t="s">
        <v>693</v>
      </c>
      <c r="S16" s="22"/>
    </row>
    <row r="17" spans="1:35" ht="13.5" customHeight="1" thickBot="1">
      <c r="A17" s="20" t="s">
        <v>451</v>
      </c>
      <c r="B17" s="25"/>
      <c r="C17" s="18"/>
      <c r="D17" s="34"/>
      <c r="E17" s="5" t="s">
        <v>713</v>
      </c>
      <c r="S17" s="22"/>
    </row>
    <row r="18" spans="1:35" ht="13.5" customHeight="1" thickBot="1">
      <c r="A18" s="1176" t="s">
        <v>87</v>
      </c>
      <c r="B18" s="1186"/>
      <c r="C18" s="18"/>
      <c r="D18" s="34"/>
      <c r="E18" s="5" t="s">
        <v>714</v>
      </c>
      <c r="S18" s="22"/>
    </row>
    <row r="19" spans="1:35" ht="13.5" customHeight="1" thickBot="1">
      <c r="A19" s="1176" t="s">
        <v>89</v>
      </c>
      <c r="B19" s="1186"/>
      <c r="C19" s="18"/>
      <c r="D19" s="34"/>
      <c r="E19" s="5" t="s">
        <v>715</v>
      </c>
      <c r="S19" s="22"/>
    </row>
    <row r="20" spans="1:35" ht="13.5" customHeight="1" thickBot="1">
      <c r="A20" s="263"/>
      <c r="B20" s="263"/>
      <c r="C20" s="18"/>
      <c r="D20" s="34"/>
      <c r="E20" s="35" t="s">
        <v>697</v>
      </c>
      <c r="F20" s="36"/>
      <c r="G20" s="36"/>
      <c r="H20" s="36"/>
      <c r="I20" s="36"/>
      <c r="J20" s="36"/>
      <c r="K20" s="36"/>
      <c r="L20" s="36"/>
      <c r="M20" s="36"/>
      <c r="N20" s="36"/>
      <c r="O20" s="36"/>
      <c r="P20" s="36"/>
      <c r="Q20" s="36"/>
      <c r="R20" s="36"/>
      <c r="S20" s="37"/>
    </row>
    <row r="21" spans="1:35" ht="13.5" customHeight="1" thickTop="1">
      <c r="A21" s="1178"/>
      <c r="B21" s="1178"/>
      <c r="C21" s="18"/>
      <c r="D21" s="31"/>
      <c r="E21" s="19"/>
      <c r="I21" s="18"/>
      <c r="J21" s="24"/>
      <c r="K21" s="19"/>
      <c r="O21" s="24"/>
      <c r="AH21" s="976"/>
    </row>
    <row r="22" spans="1:35" ht="13.5" customHeight="1" thickBot="1">
      <c r="A22" s="55"/>
      <c r="B22" s="55"/>
      <c r="C22" s="55"/>
    </row>
    <row r="23" spans="1:35" ht="13.5" customHeight="1" thickTop="1" thickBot="1">
      <c r="A23" s="211" t="s">
        <v>716</v>
      </c>
      <c r="B23" s="43"/>
      <c r="C23" s="212"/>
      <c r="D23" s="211" t="str">
        <f>CONCATENATE("Average Vehicle Fuel / Energy Cost Formulae Parameter Values (p, ",$B$14," prices): Non-Work (Including VAT)")</f>
        <v>Average Vehicle Fuel / Energy Cost Formulae Parameter Values (p, 2010 prices): Non-Work (Including VAT)</v>
      </c>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212"/>
    </row>
    <row r="24" spans="1:35" ht="13.5" customHeight="1" thickTop="1" thickBot="1">
      <c r="A24" s="25"/>
      <c r="B24" s="25"/>
      <c r="C24" s="76"/>
      <c r="D24" s="270" t="s">
        <v>87</v>
      </c>
      <c r="E24" s="271"/>
      <c r="F24" s="271"/>
      <c r="G24" s="271"/>
      <c r="H24" s="271"/>
      <c r="I24" s="271"/>
      <c r="J24" s="271"/>
      <c r="K24" s="271"/>
      <c r="L24" s="271"/>
      <c r="M24" s="271"/>
      <c r="N24" s="271"/>
      <c r="O24" s="271"/>
      <c r="P24" s="271"/>
      <c r="Q24" s="271"/>
      <c r="R24" s="271"/>
      <c r="S24" s="272"/>
      <c r="T24" s="45" t="s">
        <v>89</v>
      </c>
      <c r="U24" s="271"/>
      <c r="V24" s="271"/>
      <c r="W24" s="271"/>
      <c r="X24" s="271"/>
      <c r="Y24" s="271"/>
      <c r="Z24" s="271"/>
      <c r="AA24" s="271"/>
      <c r="AB24" s="271"/>
      <c r="AC24" s="271"/>
      <c r="AD24" s="271"/>
      <c r="AE24" s="271"/>
      <c r="AF24" s="271"/>
      <c r="AG24" s="271"/>
      <c r="AH24" s="271"/>
      <c r="AI24" s="272"/>
    </row>
    <row r="25" spans="1:35" ht="13.5" customHeight="1" thickTop="1" thickBot="1">
      <c r="A25" s="25"/>
      <c r="B25" s="301"/>
      <c r="C25" s="76"/>
      <c r="D25" s="217" t="s">
        <v>672</v>
      </c>
      <c r="E25" s="71"/>
      <c r="F25" s="71"/>
      <c r="G25" s="276"/>
      <c r="H25" s="270" t="s">
        <v>673</v>
      </c>
      <c r="I25" s="71"/>
      <c r="J25" s="71"/>
      <c r="K25" s="72"/>
      <c r="L25" s="270" t="s">
        <v>674</v>
      </c>
      <c r="M25" s="71"/>
      <c r="N25" s="71"/>
      <c r="O25" s="72"/>
      <c r="P25" s="270" t="s">
        <v>699</v>
      </c>
      <c r="Q25" s="71"/>
      <c r="R25" s="71"/>
      <c r="S25" s="72"/>
      <c r="T25" s="270" t="s">
        <v>675</v>
      </c>
      <c r="U25" s="71"/>
      <c r="V25" s="71"/>
      <c r="W25" s="72"/>
      <c r="X25" s="270" t="s">
        <v>676</v>
      </c>
      <c r="Y25" s="71"/>
      <c r="Z25" s="71"/>
      <c r="AA25" s="72"/>
      <c r="AB25" s="71" t="s">
        <v>677</v>
      </c>
      <c r="AC25" s="71"/>
      <c r="AD25" s="71"/>
      <c r="AE25" s="71"/>
      <c r="AF25" s="270" t="s">
        <v>700</v>
      </c>
      <c r="AG25" s="71"/>
      <c r="AH25" s="71"/>
      <c r="AI25" s="72"/>
    </row>
    <row r="26" spans="1:35" ht="13.5" customHeight="1" thickTop="1" thickBot="1">
      <c r="A26" s="302"/>
      <c r="B26" s="277" t="s">
        <v>474</v>
      </c>
      <c r="C26" s="70"/>
      <c r="D26" s="281" t="s">
        <v>681</v>
      </c>
      <c r="E26" s="279" t="s">
        <v>682</v>
      </c>
      <c r="F26" s="279" t="s">
        <v>683</v>
      </c>
      <c r="G26" s="280" t="s">
        <v>684</v>
      </c>
      <c r="H26" s="281" t="s">
        <v>681</v>
      </c>
      <c r="I26" s="279" t="s">
        <v>682</v>
      </c>
      <c r="J26" s="279" t="s">
        <v>683</v>
      </c>
      <c r="K26" s="280" t="s">
        <v>684</v>
      </c>
      <c r="L26" s="281" t="s">
        <v>681</v>
      </c>
      <c r="M26" s="279" t="s">
        <v>682</v>
      </c>
      <c r="N26" s="279" t="s">
        <v>683</v>
      </c>
      <c r="O26" s="280" t="s">
        <v>684</v>
      </c>
      <c r="P26" s="281" t="s">
        <v>681</v>
      </c>
      <c r="Q26" s="279" t="s">
        <v>682</v>
      </c>
      <c r="R26" s="279" t="s">
        <v>683</v>
      </c>
      <c r="S26" s="280" t="s">
        <v>684</v>
      </c>
      <c r="T26" s="281" t="s">
        <v>681</v>
      </c>
      <c r="U26" s="279" t="s">
        <v>682</v>
      </c>
      <c r="V26" s="279" t="s">
        <v>683</v>
      </c>
      <c r="W26" s="280" t="s">
        <v>684</v>
      </c>
      <c r="X26" s="281" t="s">
        <v>681</v>
      </c>
      <c r="Y26" s="279" t="s">
        <v>682</v>
      </c>
      <c r="Z26" s="279" t="s">
        <v>683</v>
      </c>
      <c r="AA26" s="280" t="s">
        <v>684</v>
      </c>
      <c r="AB26" s="281" t="s">
        <v>681</v>
      </c>
      <c r="AC26" s="279" t="s">
        <v>682</v>
      </c>
      <c r="AD26" s="279" t="s">
        <v>683</v>
      </c>
      <c r="AE26" s="280" t="s">
        <v>684</v>
      </c>
      <c r="AF26" s="281" t="s">
        <v>681</v>
      </c>
      <c r="AG26" s="279" t="s">
        <v>682</v>
      </c>
      <c r="AH26" s="279" t="s">
        <v>683</v>
      </c>
      <c r="AI26" s="280" t="s">
        <v>684</v>
      </c>
    </row>
    <row r="27" spans="1:35" ht="13.5" customHeight="1" thickTop="1">
      <c r="A27" s="23"/>
      <c r="B27" s="289">
        <v>2010</v>
      </c>
      <c r="C27" s="22"/>
      <c r="D27" s="285">
        <v>55.168999999999997</v>
      </c>
      <c r="E27" s="286">
        <v>11.724</v>
      </c>
      <c r="F27" s="286">
        <v>-0.13400000000000001</v>
      </c>
      <c r="G27" s="287">
        <v>8.9999999999999998E-4</v>
      </c>
      <c r="H27" s="285">
        <v>60.454000000000001</v>
      </c>
      <c r="I27" s="286">
        <v>8.6679999999999993</v>
      </c>
      <c r="J27" s="286">
        <v>-8.3000000000000004E-2</v>
      </c>
      <c r="K27" s="287">
        <v>6.9999999999999999E-4</v>
      </c>
      <c r="L27" s="285"/>
      <c r="M27" s="286">
        <v>2.6850000000000001</v>
      </c>
      <c r="N27" s="286"/>
      <c r="O27" s="288"/>
      <c r="P27" s="285">
        <v>57.298000000000002</v>
      </c>
      <c r="Q27" s="286">
        <v>10.49</v>
      </c>
      <c r="R27" s="286">
        <v>-0.113</v>
      </c>
      <c r="S27" s="287">
        <v>8.0000000000000004E-4</v>
      </c>
      <c r="T27" s="285">
        <v>40.869</v>
      </c>
      <c r="U27" s="286">
        <v>22.917000000000002</v>
      </c>
      <c r="V27" s="286">
        <v>-0.36</v>
      </c>
      <c r="W27" s="287">
        <v>2.3E-3</v>
      </c>
      <c r="X27" s="285">
        <v>55.905000000000001</v>
      </c>
      <c r="Y27" s="286">
        <v>13.663</v>
      </c>
      <c r="Z27" s="286">
        <v>-0.19700000000000001</v>
      </c>
      <c r="AA27" s="287">
        <v>1.6999999999999999E-3</v>
      </c>
      <c r="AB27" s="285"/>
      <c r="AC27" s="286">
        <v>2.919</v>
      </c>
      <c r="AD27" s="286"/>
      <c r="AE27" s="288"/>
      <c r="AF27" s="285">
        <v>55.335000000000001</v>
      </c>
      <c r="AG27" s="286">
        <v>13.973000000000001</v>
      </c>
      <c r="AH27" s="286">
        <v>-0.20300000000000001</v>
      </c>
      <c r="AI27" s="287">
        <v>1.6999999999999999E-3</v>
      </c>
    </row>
    <row r="28" spans="1:35" ht="13.5" customHeight="1">
      <c r="A28" s="23"/>
      <c r="B28" s="289">
        <v>2011</v>
      </c>
      <c r="C28" s="22"/>
      <c r="D28" s="290">
        <v>61.218000000000004</v>
      </c>
      <c r="E28" s="291">
        <v>13.01</v>
      </c>
      <c r="F28" s="291">
        <v>-0.14799999999999999</v>
      </c>
      <c r="G28" s="292">
        <v>1E-3</v>
      </c>
      <c r="H28" s="290">
        <v>68.290000000000006</v>
      </c>
      <c r="I28" s="291">
        <v>9.7910000000000004</v>
      </c>
      <c r="J28" s="291">
        <v>-9.4E-2</v>
      </c>
      <c r="K28" s="292">
        <v>6.9999999999999999E-4</v>
      </c>
      <c r="L28" s="290"/>
      <c r="M28" s="291">
        <v>2.8450000000000002</v>
      </c>
      <c r="N28" s="291"/>
      <c r="O28" s="293"/>
      <c r="P28" s="290">
        <v>64.213999999999999</v>
      </c>
      <c r="Q28" s="291">
        <v>11.641</v>
      </c>
      <c r="R28" s="291">
        <v>-0.125</v>
      </c>
      <c r="S28" s="292">
        <v>8.9999999999999998E-4</v>
      </c>
      <c r="T28" s="290">
        <v>45.703000000000003</v>
      </c>
      <c r="U28" s="291">
        <v>25.628</v>
      </c>
      <c r="V28" s="291">
        <v>-0.40200000000000002</v>
      </c>
      <c r="W28" s="292">
        <v>2.5999999999999999E-3</v>
      </c>
      <c r="X28" s="290">
        <v>63.594999999999999</v>
      </c>
      <c r="Y28" s="291">
        <v>15.542999999999999</v>
      </c>
      <c r="Z28" s="291">
        <v>-0.224</v>
      </c>
      <c r="AA28" s="292">
        <v>1.9E-3</v>
      </c>
      <c r="AB28" s="290"/>
      <c r="AC28" s="291">
        <v>3.0950000000000002</v>
      </c>
      <c r="AD28" s="291"/>
      <c r="AE28" s="293"/>
      <c r="AF28" s="290">
        <v>62.982999999999997</v>
      </c>
      <c r="AG28" s="291">
        <v>15.845000000000001</v>
      </c>
      <c r="AH28" s="291">
        <v>-0.23</v>
      </c>
      <c r="AI28" s="292">
        <v>1.9E-3</v>
      </c>
    </row>
    <row r="29" spans="1:35" ht="13.5" customHeight="1">
      <c r="A29" s="23"/>
      <c r="B29" s="294">
        <v>2012</v>
      </c>
      <c r="C29" s="22"/>
      <c r="D29" s="290">
        <v>60.984000000000002</v>
      </c>
      <c r="E29" s="291">
        <v>12.96</v>
      </c>
      <c r="F29" s="291">
        <v>-0.14799999999999999</v>
      </c>
      <c r="G29" s="292">
        <v>1E-3</v>
      </c>
      <c r="H29" s="290">
        <v>68.016999999999996</v>
      </c>
      <c r="I29" s="291">
        <v>9.7520000000000007</v>
      </c>
      <c r="J29" s="291">
        <v>-9.4E-2</v>
      </c>
      <c r="K29" s="292">
        <v>6.9999999999999999E-4</v>
      </c>
      <c r="L29" s="290"/>
      <c r="M29" s="291">
        <v>2.9790000000000001</v>
      </c>
      <c r="N29" s="291"/>
      <c r="O29" s="293"/>
      <c r="P29" s="290">
        <v>64.102999999999994</v>
      </c>
      <c r="Q29" s="291">
        <v>11.529</v>
      </c>
      <c r="R29" s="291">
        <v>-0.124</v>
      </c>
      <c r="S29" s="292">
        <v>8.9999999999999998E-4</v>
      </c>
      <c r="T29" s="290">
        <v>45.945999999999998</v>
      </c>
      <c r="U29" s="291">
        <v>25.763999999999999</v>
      </c>
      <c r="V29" s="291">
        <v>-0.40400000000000003</v>
      </c>
      <c r="W29" s="292">
        <v>2.5999999999999999E-3</v>
      </c>
      <c r="X29" s="290">
        <v>63.664999999999999</v>
      </c>
      <c r="Y29" s="291">
        <v>15.56</v>
      </c>
      <c r="Z29" s="291">
        <v>-0.224</v>
      </c>
      <c r="AA29" s="292">
        <v>1.9E-3</v>
      </c>
      <c r="AB29" s="290"/>
      <c r="AC29" s="291">
        <v>3.2170000000000001</v>
      </c>
      <c r="AD29" s="291"/>
      <c r="AE29" s="293"/>
      <c r="AF29" s="290">
        <v>63.097000000000001</v>
      </c>
      <c r="AG29" s="291">
        <v>15.839</v>
      </c>
      <c r="AH29" s="291">
        <v>-0.22900000000000001</v>
      </c>
      <c r="AI29" s="292">
        <v>1.9E-3</v>
      </c>
    </row>
    <row r="30" spans="1:35" ht="13.5" customHeight="1">
      <c r="A30" s="23"/>
      <c r="B30" s="294">
        <v>2013</v>
      </c>
      <c r="C30" s="22"/>
      <c r="D30" s="290">
        <v>58.884999999999998</v>
      </c>
      <c r="E30" s="291">
        <v>12.513999999999999</v>
      </c>
      <c r="F30" s="291">
        <v>-0.14299999999999999</v>
      </c>
      <c r="G30" s="292">
        <v>8.9999999999999998E-4</v>
      </c>
      <c r="H30" s="290">
        <v>65.551000000000002</v>
      </c>
      <c r="I30" s="291">
        <v>9.3979999999999997</v>
      </c>
      <c r="J30" s="291">
        <v>-0.09</v>
      </c>
      <c r="K30" s="292">
        <v>6.9999999999999999E-4</v>
      </c>
      <c r="L30" s="290"/>
      <c r="M30" s="291">
        <v>3.109</v>
      </c>
      <c r="N30" s="291"/>
      <c r="O30" s="293"/>
      <c r="P30" s="290">
        <v>61.97</v>
      </c>
      <c r="Q30" s="291">
        <v>11.058999999999999</v>
      </c>
      <c r="R30" s="291">
        <v>-0.11799999999999999</v>
      </c>
      <c r="S30" s="292">
        <v>8.0000000000000004E-4</v>
      </c>
      <c r="T30" s="290">
        <v>44.75</v>
      </c>
      <c r="U30" s="291">
        <v>25.093</v>
      </c>
      <c r="V30" s="291">
        <v>-0.39400000000000002</v>
      </c>
      <c r="W30" s="292">
        <v>2.5000000000000001E-3</v>
      </c>
      <c r="X30" s="290">
        <v>61.86</v>
      </c>
      <c r="Y30" s="291">
        <v>15.119</v>
      </c>
      <c r="Z30" s="291">
        <v>-0.218</v>
      </c>
      <c r="AA30" s="292">
        <v>1.8E-3</v>
      </c>
      <c r="AB30" s="290"/>
      <c r="AC30" s="291">
        <v>3.3610000000000002</v>
      </c>
      <c r="AD30" s="291"/>
      <c r="AE30" s="293"/>
      <c r="AF30" s="290">
        <v>61.351999999999997</v>
      </c>
      <c r="AG30" s="291">
        <v>15.369</v>
      </c>
      <c r="AH30" s="291">
        <v>-0.223</v>
      </c>
      <c r="AI30" s="292">
        <v>1.9E-3</v>
      </c>
    </row>
    <row r="31" spans="1:35" ht="13.5" customHeight="1">
      <c r="A31" s="23"/>
      <c r="B31" s="294">
        <v>2014</v>
      </c>
      <c r="C31" s="22"/>
      <c r="D31" s="290">
        <v>54.478999999999999</v>
      </c>
      <c r="E31" s="291">
        <v>11.577999999999999</v>
      </c>
      <c r="F31" s="291">
        <v>-0.13200000000000001</v>
      </c>
      <c r="G31" s="292">
        <v>8.9999999999999998E-4</v>
      </c>
      <c r="H31" s="290">
        <v>60.664999999999999</v>
      </c>
      <c r="I31" s="291">
        <v>8.6980000000000004</v>
      </c>
      <c r="J31" s="291">
        <v>-8.4000000000000005E-2</v>
      </c>
      <c r="K31" s="292">
        <v>6.9999999999999999E-4</v>
      </c>
      <c r="L31" s="290"/>
      <c r="M31" s="291">
        <v>3.1659999999999999</v>
      </c>
      <c r="N31" s="291"/>
      <c r="O31" s="293"/>
      <c r="P31" s="290">
        <v>57.43</v>
      </c>
      <c r="Q31" s="291">
        <v>10.176</v>
      </c>
      <c r="R31" s="291">
        <v>-0.108</v>
      </c>
      <c r="S31" s="292">
        <v>8.0000000000000004E-4</v>
      </c>
      <c r="T31" s="290">
        <v>42.027000000000001</v>
      </c>
      <c r="U31" s="291">
        <v>23.565999999999999</v>
      </c>
      <c r="V31" s="291">
        <v>-0.37</v>
      </c>
      <c r="W31" s="292">
        <v>2.3999999999999998E-3</v>
      </c>
      <c r="X31" s="290">
        <v>57.762999999999998</v>
      </c>
      <c r="Y31" s="291">
        <v>14.117000000000001</v>
      </c>
      <c r="Z31" s="291">
        <v>-0.20399999999999999</v>
      </c>
      <c r="AA31" s="292">
        <v>1.6999999999999999E-3</v>
      </c>
      <c r="AB31" s="290"/>
      <c r="AC31" s="291">
        <v>3.3889999999999998</v>
      </c>
      <c r="AD31" s="291"/>
      <c r="AE31" s="293"/>
      <c r="AF31" s="290">
        <v>57.317</v>
      </c>
      <c r="AG31" s="291">
        <v>14.332000000000001</v>
      </c>
      <c r="AH31" s="291">
        <v>-0.20699999999999999</v>
      </c>
      <c r="AI31" s="292">
        <v>1.6999999999999999E-3</v>
      </c>
    </row>
    <row r="32" spans="1:35" ht="13.5" customHeight="1">
      <c r="A32" s="23"/>
      <c r="B32" s="294">
        <v>2015</v>
      </c>
      <c r="C32" s="22"/>
      <c r="D32" s="290">
        <v>46.593000000000004</v>
      </c>
      <c r="E32" s="291">
        <v>9.9019999999999992</v>
      </c>
      <c r="F32" s="291">
        <v>-0.113</v>
      </c>
      <c r="G32" s="292">
        <v>6.9999999999999999E-4</v>
      </c>
      <c r="H32" s="290">
        <v>51.2</v>
      </c>
      <c r="I32" s="291">
        <v>7.3410000000000002</v>
      </c>
      <c r="J32" s="291">
        <v>-7.0999999999999994E-2</v>
      </c>
      <c r="K32" s="292">
        <v>5.9999999999999995E-4</v>
      </c>
      <c r="L32" s="290"/>
      <c r="M32" s="291">
        <v>3.1269999999999998</v>
      </c>
      <c r="N32" s="291"/>
      <c r="O32" s="293"/>
      <c r="P32" s="290">
        <v>48.82</v>
      </c>
      <c r="Q32" s="291">
        <v>8.609</v>
      </c>
      <c r="R32" s="291">
        <v>-9.0999999999999998E-2</v>
      </c>
      <c r="S32" s="292">
        <v>6.9999999999999999E-4</v>
      </c>
      <c r="T32" s="290">
        <v>35.5</v>
      </c>
      <c r="U32" s="291">
        <v>19.905999999999999</v>
      </c>
      <c r="V32" s="291">
        <v>-0.312</v>
      </c>
      <c r="W32" s="292">
        <v>2E-3</v>
      </c>
      <c r="X32" s="290">
        <v>49.241999999999997</v>
      </c>
      <c r="Y32" s="291">
        <v>12.035</v>
      </c>
      <c r="Z32" s="291">
        <v>-0.17399999999999999</v>
      </c>
      <c r="AA32" s="292">
        <v>1.5E-3</v>
      </c>
      <c r="AB32" s="290"/>
      <c r="AC32" s="291">
        <v>3.3319999999999999</v>
      </c>
      <c r="AD32" s="291"/>
      <c r="AE32" s="293"/>
      <c r="AF32" s="290">
        <v>48.871000000000002</v>
      </c>
      <c r="AG32" s="291">
        <v>12.196999999999999</v>
      </c>
      <c r="AH32" s="291">
        <v>-0.17599999999999999</v>
      </c>
      <c r="AI32" s="292">
        <v>1.5E-3</v>
      </c>
    </row>
    <row r="33" spans="1:35" ht="13.5" customHeight="1">
      <c r="A33" s="23"/>
      <c r="B33" s="294">
        <v>2016</v>
      </c>
      <c r="C33" s="22"/>
      <c r="D33" s="290">
        <v>44.081000000000003</v>
      </c>
      <c r="E33" s="291">
        <v>9.3680000000000003</v>
      </c>
      <c r="F33" s="291">
        <v>-0.107</v>
      </c>
      <c r="G33" s="292">
        <v>6.9999999999999999E-4</v>
      </c>
      <c r="H33" s="290">
        <v>47.472999999999999</v>
      </c>
      <c r="I33" s="291">
        <v>6.806</v>
      </c>
      <c r="J33" s="291">
        <v>-6.5000000000000002E-2</v>
      </c>
      <c r="K33" s="292">
        <v>5.0000000000000001E-4</v>
      </c>
      <c r="L33" s="290"/>
      <c r="M33" s="291">
        <v>3.0449999999999999</v>
      </c>
      <c r="N33" s="291"/>
      <c r="O33" s="293"/>
      <c r="P33" s="290">
        <v>45.7</v>
      </c>
      <c r="Q33" s="291">
        <v>8.0370000000000008</v>
      </c>
      <c r="R33" s="291">
        <v>-8.5000000000000006E-2</v>
      </c>
      <c r="S33" s="292">
        <v>5.9999999999999995E-4</v>
      </c>
      <c r="T33" s="290">
        <v>34.087000000000003</v>
      </c>
      <c r="U33" s="291">
        <v>19.114000000000001</v>
      </c>
      <c r="V33" s="291">
        <v>-0.3</v>
      </c>
      <c r="W33" s="292">
        <v>1.9E-3</v>
      </c>
      <c r="X33" s="290">
        <v>45.89</v>
      </c>
      <c r="Y33" s="291">
        <v>11.215999999999999</v>
      </c>
      <c r="Z33" s="291">
        <v>-0.16200000000000001</v>
      </c>
      <c r="AA33" s="292">
        <v>1.4E-3</v>
      </c>
      <c r="AB33" s="290"/>
      <c r="AC33" s="291">
        <v>3.2679999999999998</v>
      </c>
      <c r="AD33" s="291"/>
      <c r="AE33" s="293"/>
      <c r="AF33" s="290">
        <v>45.578000000000003</v>
      </c>
      <c r="AG33" s="291">
        <v>11.363</v>
      </c>
      <c r="AH33" s="291">
        <v>-0.16400000000000001</v>
      </c>
      <c r="AI33" s="292">
        <v>1.4E-3</v>
      </c>
    </row>
    <row r="34" spans="1:35" ht="13.5" customHeight="1">
      <c r="A34" s="23"/>
      <c r="B34" s="294">
        <v>2017</v>
      </c>
      <c r="C34" s="22"/>
      <c r="D34" s="290">
        <v>46.113</v>
      </c>
      <c r="E34" s="291">
        <v>9.8000000000000007</v>
      </c>
      <c r="F34" s="291">
        <v>-0.112</v>
      </c>
      <c r="G34" s="292">
        <v>6.9999999999999999E-4</v>
      </c>
      <c r="H34" s="290">
        <v>50.405999999999999</v>
      </c>
      <c r="I34" s="291">
        <v>7.2270000000000003</v>
      </c>
      <c r="J34" s="291">
        <v>-7.0000000000000007E-2</v>
      </c>
      <c r="K34" s="292">
        <v>5.0000000000000001E-4</v>
      </c>
      <c r="L34" s="290"/>
      <c r="M34" s="291">
        <v>3.12</v>
      </c>
      <c r="N34" s="291"/>
      <c r="O34" s="293"/>
      <c r="P34" s="290">
        <v>48.140999999999998</v>
      </c>
      <c r="Q34" s="291">
        <v>8.4450000000000003</v>
      </c>
      <c r="R34" s="291">
        <v>-8.8999999999999996E-2</v>
      </c>
      <c r="S34" s="292">
        <v>5.9999999999999995E-4</v>
      </c>
      <c r="T34" s="290">
        <v>35.521999999999998</v>
      </c>
      <c r="U34" s="291">
        <v>19.919</v>
      </c>
      <c r="V34" s="291">
        <v>-0.313</v>
      </c>
      <c r="W34" s="292">
        <v>2E-3</v>
      </c>
      <c r="X34" s="290">
        <v>48.496000000000002</v>
      </c>
      <c r="Y34" s="291">
        <v>11.853</v>
      </c>
      <c r="Z34" s="291">
        <v>-0.17100000000000001</v>
      </c>
      <c r="AA34" s="292">
        <v>1.4E-3</v>
      </c>
      <c r="AB34" s="290"/>
      <c r="AC34" s="291">
        <v>3.36</v>
      </c>
      <c r="AD34" s="291"/>
      <c r="AE34" s="293"/>
      <c r="AF34" s="290">
        <v>48.148000000000003</v>
      </c>
      <c r="AG34" s="291">
        <v>11.997</v>
      </c>
      <c r="AH34" s="291">
        <v>-0.17299999999999999</v>
      </c>
      <c r="AI34" s="292">
        <v>1.5E-3</v>
      </c>
    </row>
    <row r="35" spans="1:35" ht="13.5" customHeight="1">
      <c r="A35" s="23"/>
      <c r="B35" s="294">
        <v>2018</v>
      </c>
      <c r="C35" s="22"/>
      <c r="D35" s="290">
        <v>47.521000000000001</v>
      </c>
      <c r="E35" s="291">
        <v>10.099</v>
      </c>
      <c r="F35" s="291">
        <v>-0.115</v>
      </c>
      <c r="G35" s="292">
        <v>8.0000000000000004E-4</v>
      </c>
      <c r="H35" s="290">
        <v>53.295999999999999</v>
      </c>
      <c r="I35" s="291">
        <v>7.641</v>
      </c>
      <c r="J35" s="291">
        <v>-7.3999999999999996E-2</v>
      </c>
      <c r="K35" s="292">
        <v>5.9999999999999995E-4</v>
      </c>
      <c r="L35" s="290"/>
      <c r="M35" s="291">
        <v>3.2810000000000001</v>
      </c>
      <c r="N35" s="291"/>
      <c r="O35" s="293"/>
      <c r="P35" s="290">
        <v>50.191000000000003</v>
      </c>
      <c r="Q35" s="291">
        <v>8.81</v>
      </c>
      <c r="R35" s="291">
        <v>-9.2999999999999999E-2</v>
      </c>
      <c r="S35" s="292">
        <v>6.9999999999999999E-4</v>
      </c>
      <c r="T35" s="290">
        <v>35.866999999999997</v>
      </c>
      <c r="U35" s="291">
        <v>20.111999999999998</v>
      </c>
      <c r="V35" s="291">
        <v>-0.316</v>
      </c>
      <c r="W35" s="292">
        <v>2E-3</v>
      </c>
      <c r="X35" s="290">
        <v>50.914000000000001</v>
      </c>
      <c r="Y35" s="291">
        <v>12.444000000000001</v>
      </c>
      <c r="Z35" s="291">
        <v>-0.18</v>
      </c>
      <c r="AA35" s="292">
        <v>1.5E-3</v>
      </c>
      <c r="AB35" s="290"/>
      <c r="AC35" s="291">
        <v>3.5459999999999998</v>
      </c>
      <c r="AD35" s="291"/>
      <c r="AE35" s="293"/>
      <c r="AF35" s="290">
        <v>50.488</v>
      </c>
      <c r="AG35" s="291">
        <v>12.582000000000001</v>
      </c>
      <c r="AH35" s="291">
        <v>-0.182</v>
      </c>
      <c r="AI35" s="292">
        <v>1.5E-3</v>
      </c>
    </row>
    <row r="36" spans="1:35" ht="13.5" customHeight="1">
      <c r="A36" s="23"/>
      <c r="B36" s="294">
        <v>2019</v>
      </c>
      <c r="C36" s="22"/>
      <c r="D36" s="290">
        <v>44.180999999999997</v>
      </c>
      <c r="E36" s="291">
        <v>9.3889999999999993</v>
      </c>
      <c r="F36" s="291">
        <v>-0.107</v>
      </c>
      <c r="G36" s="292">
        <v>6.9999999999999999E-4</v>
      </c>
      <c r="H36" s="290">
        <v>49.796999999999997</v>
      </c>
      <c r="I36" s="291">
        <v>7.14</v>
      </c>
      <c r="J36" s="291">
        <v>-6.9000000000000006E-2</v>
      </c>
      <c r="K36" s="292">
        <v>5.0000000000000001E-4</v>
      </c>
      <c r="L36" s="290"/>
      <c r="M36" s="291">
        <v>3.3319999999999999</v>
      </c>
      <c r="N36" s="291"/>
      <c r="O36" s="293"/>
      <c r="P36" s="290">
        <v>46.649000000000001</v>
      </c>
      <c r="Q36" s="291">
        <v>8.2219999999999995</v>
      </c>
      <c r="R36" s="291">
        <v>-8.6999999999999994E-2</v>
      </c>
      <c r="S36" s="292">
        <v>5.9999999999999995E-4</v>
      </c>
      <c r="T36" s="290">
        <v>33.295999999999999</v>
      </c>
      <c r="U36" s="291">
        <v>18.670000000000002</v>
      </c>
      <c r="V36" s="291">
        <v>-0.29299999999999998</v>
      </c>
      <c r="W36" s="292">
        <v>1.9E-3</v>
      </c>
      <c r="X36" s="290">
        <v>47.302999999999997</v>
      </c>
      <c r="Y36" s="291">
        <v>11.561</v>
      </c>
      <c r="Z36" s="291">
        <v>-0.16700000000000001</v>
      </c>
      <c r="AA36" s="292">
        <v>1.4E-3</v>
      </c>
      <c r="AB36" s="290"/>
      <c r="AC36" s="291">
        <v>3.61</v>
      </c>
      <c r="AD36" s="291"/>
      <c r="AE36" s="293"/>
      <c r="AF36" s="290">
        <v>46.865000000000002</v>
      </c>
      <c r="AG36" s="291">
        <v>11.68</v>
      </c>
      <c r="AH36" s="291">
        <v>-0.16900000000000001</v>
      </c>
      <c r="AI36" s="292">
        <v>1.4E-3</v>
      </c>
    </row>
    <row r="37" spans="1:35" ht="13.5" customHeight="1">
      <c r="A37" s="23"/>
      <c r="B37" s="294">
        <v>2020</v>
      </c>
      <c r="C37" s="22"/>
      <c r="D37" s="290">
        <v>39.729999999999997</v>
      </c>
      <c r="E37" s="291">
        <v>8.4429999999999996</v>
      </c>
      <c r="F37" s="291">
        <v>-9.6000000000000002E-2</v>
      </c>
      <c r="G37" s="292">
        <v>5.9999999999999995E-4</v>
      </c>
      <c r="H37" s="290">
        <v>45.228999999999999</v>
      </c>
      <c r="I37" s="291">
        <v>6.4850000000000003</v>
      </c>
      <c r="J37" s="291">
        <v>-6.2E-2</v>
      </c>
      <c r="K37" s="292">
        <v>5.0000000000000001E-4</v>
      </c>
      <c r="L37" s="290"/>
      <c r="M37" s="291">
        <v>3.137</v>
      </c>
      <c r="N37" s="291"/>
      <c r="O37" s="293"/>
      <c r="P37" s="290">
        <v>42.030999999999999</v>
      </c>
      <c r="Q37" s="291">
        <v>7.4379999999999997</v>
      </c>
      <c r="R37" s="291">
        <v>-7.9000000000000001E-2</v>
      </c>
      <c r="S37" s="292">
        <v>5.9999999999999995E-4</v>
      </c>
      <c r="T37" s="290">
        <v>30.199000000000002</v>
      </c>
      <c r="U37" s="291">
        <v>16.934000000000001</v>
      </c>
      <c r="V37" s="291">
        <v>-0.26600000000000001</v>
      </c>
      <c r="W37" s="292">
        <v>1.6999999999999999E-3</v>
      </c>
      <c r="X37" s="290">
        <v>42.915999999999997</v>
      </c>
      <c r="Y37" s="291">
        <v>10.489000000000001</v>
      </c>
      <c r="Z37" s="291">
        <v>-0.151</v>
      </c>
      <c r="AA37" s="292">
        <v>1.2999999999999999E-3</v>
      </c>
      <c r="AB37" s="290"/>
      <c r="AC37" s="291">
        <v>3.5739999999999998</v>
      </c>
      <c r="AD37" s="291"/>
      <c r="AE37" s="293"/>
      <c r="AF37" s="290">
        <v>42.524999999999999</v>
      </c>
      <c r="AG37" s="291">
        <v>10.597</v>
      </c>
      <c r="AH37" s="291">
        <v>-0.153</v>
      </c>
      <c r="AI37" s="292">
        <v>1.2999999999999999E-3</v>
      </c>
    </row>
    <row r="38" spans="1:35" ht="13.5" customHeight="1">
      <c r="A38" s="23"/>
      <c r="B38" s="294">
        <v>2021</v>
      </c>
      <c r="C38" s="22"/>
      <c r="D38" s="290">
        <v>39.673000000000002</v>
      </c>
      <c r="E38" s="291">
        <v>8.4309999999999992</v>
      </c>
      <c r="F38" s="291">
        <v>-9.6000000000000002E-2</v>
      </c>
      <c r="G38" s="292">
        <v>5.9999999999999995E-4</v>
      </c>
      <c r="H38" s="290">
        <v>45.600999999999999</v>
      </c>
      <c r="I38" s="291">
        <v>6.5380000000000003</v>
      </c>
      <c r="J38" s="291">
        <v>-6.3E-2</v>
      </c>
      <c r="K38" s="292">
        <v>5.0000000000000001E-4</v>
      </c>
      <c r="L38" s="290"/>
      <c r="M38" s="291">
        <v>3.2480000000000002</v>
      </c>
      <c r="N38" s="291"/>
      <c r="O38" s="293"/>
      <c r="P38" s="290">
        <v>41.948999999999998</v>
      </c>
      <c r="Q38" s="291">
        <v>7.4610000000000003</v>
      </c>
      <c r="R38" s="291">
        <v>-7.9000000000000001E-2</v>
      </c>
      <c r="S38" s="292">
        <v>5.9999999999999995E-4</v>
      </c>
      <c r="T38" s="290">
        <v>30.466000000000001</v>
      </c>
      <c r="U38" s="291">
        <v>17.084</v>
      </c>
      <c r="V38" s="291">
        <v>-0.26800000000000002</v>
      </c>
      <c r="W38" s="292">
        <v>1.6999999999999999E-3</v>
      </c>
      <c r="X38" s="290">
        <v>43.402000000000001</v>
      </c>
      <c r="Y38" s="291">
        <v>10.608000000000001</v>
      </c>
      <c r="Z38" s="291">
        <v>-0.153</v>
      </c>
      <c r="AA38" s="292">
        <v>1.2999999999999999E-3</v>
      </c>
      <c r="AB38" s="290"/>
      <c r="AC38" s="291">
        <v>3.9540000000000002</v>
      </c>
      <c r="AD38" s="291"/>
      <c r="AE38" s="293"/>
      <c r="AF38" s="290">
        <v>42.982999999999997</v>
      </c>
      <c r="AG38" s="291">
        <v>10.712999999999999</v>
      </c>
      <c r="AH38" s="291">
        <v>-0.155</v>
      </c>
      <c r="AI38" s="292">
        <v>1.2999999999999999E-3</v>
      </c>
    </row>
    <row r="39" spans="1:35" ht="13.5" customHeight="1">
      <c r="A39" s="23"/>
      <c r="B39" s="294">
        <v>2022</v>
      </c>
      <c r="C39" s="22"/>
      <c r="D39" s="290">
        <v>40.418999999999997</v>
      </c>
      <c r="E39" s="291">
        <v>8.59</v>
      </c>
      <c r="F39" s="291">
        <v>-9.8000000000000004E-2</v>
      </c>
      <c r="G39" s="292">
        <v>5.9999999999999995E-4</v>
      </c>
      <c r="H39" s="290">
        <v>46.768999999999998</v>
      </c>
      <c r="I39" s="291">
        <v>6.7060000000000004</v>
      </c>
      <c r="J39" s="291">
        <v>-6.5000000000000002E-2</v>
      </c>
      <c r="K39" s="292">
        <v>5.0000000000000001E-4</v>
      </c>
      <c r="L39" s="290"/>
      <c r="M39" s="291">
        <v>3.1760000000000002</v>
      </c>
      <c r="N39" s="291"/>
      <c r="O39" s="293"/>
      <c r="P39" s="290">
        <v>42.579000000000001</v>
      </c>
      <c r="Q39" s="291">
        <v>7.6150000000000002</v>
      </c>
      <c r="R39" s="291">
        <v>-8.1000000000000003E-2</v>
      </c>
      <c r="S39" s="292">
        <v>5.9999999999999995E-4</v>
      </c>
      <c r="T39" s="290">
        <v>30.759</v>
      </c>
      <c r="U39" s="291">
        <v>17.248000000000001</v>
      </c>
      <c r="V39" s="291">
        <v>-0.27100000000000002</v>
      </c>
      <c r="W39" s="292">
        <v>1.6999999999999999E-3</v>
      </c>
      <c r="X39" s="290">
        <v>44.692999999999998</v>
      </c>
      <c r="Y39" s="291">
        <v>10.923</v>
      </c>
      <c r="Z39" s="291">
        <v>-0.158</v>
      </c>
      <c r="AA39" s="292">
        <v>1.2999999999999999E-3</v>
      </c>
      <c r="AB39" s="290"/>
      <c r="AC39" s="291">
        <v>4.0609999999999999</v>
      </c>
      <c r="AD39" s="291"/>
      <c r="AE39" s="293"/>
      <c r="AF39" s="290">
        <v>44.219000000000001</v>
      </c>
      <c r="AG39" s="291">
        <v>11.021000000000001</v>
      </c>
      <c r="AH39" s="291">
        <v>-0.159</v>
      </c>
      <c r="AI39" s="292">
        <v>1.2999999999999999E-3</v>
      </c>
    </row>
    <row r="40" spans="1:35" ht="13.5" customHeight="1">
      <c r="A40" s="23"/>
      <c r="B40" s="294">
        <v>2023</v>
      </c>
      <c r="C40" s="22"/>
      <c r="D40" s="290">
        <v>40.08</v>
      </c>
      <c r="E40" s="291">
        <v>8.5180000000000007</v>
      </c>
      <c r="F40" s="291">
        <v>-9.7000000000000003E-2</v>
      </c>
      <c r="G40" s="292">
        <v>5.9999999999999995E-4</v>
      </c>
      <c r="H40" s="290">
        <v>46.646999999999998</v>
      </c>
      <c r="I40" s="291">
        <v>6.6879999999999997</v>
      </c>
      <c r="J40" s="291">
        <v>-6.4000000000000001E-2</v>
      </c>
      <c r="K40" s="292">
        <v>5.0000000000000001E-4</v>
      </c>
      <c r="L40" s="290"/>
      <c r="M40" s="291">
        <v>3.085</v>
      </c>
      <c r="N40" s="291"/>
      <c r="O40" s="293"/>
      <c r="P40" s="290">
        <v>41.965000000000003</v>
      </c>
      <c r="Q40" s="291">
        <v>7.5540000000000003</v>
      </c>
      <c r="R40" s="291">
        <v>-0.08</v>
      </c>
      <c r="S40" s="292">
        <v>5.9999999999999995E-4</v>
      </c>
      <c r="T40" s="290">
        <v>30.765999999999998</v>
      </c>
      <c r="U40" s="291">
        <v>17.251999999999999</v>
      </c>
      <c r="V40" s="291">
        <v>-0.27100000000000002</v>
      </c>
      <c r="W40" s="292">
        <v>1.6999999999999999E-3</v>
      </c>
      <c r="X40" s="290">
        <v>44.786999999999999</v>
      </c>
      <c r="Y40" s="291">
        <v>10.946</v>
      </c>
      <c r="Z40" s="291">
        <v>-0.158</v>
      </c>
      <c r="AA40" s="292">
        <v>1.2999999999999999E-3</v>
      </c>
      <c r="AB40" s="290"/>
      <c r="AC40" s="291">
        <v>4.1109999999999998</v>
      </c>
      <c r="AD40" s="291"/>
      <c r="AE40" s="293"/>
      <c r="AF40" s="290">
        <v>44.262</v>
      </c>
      <c r="AG40" s="291">
        <v>11.038</v>
      </c>
      <c r="AH40" s="291">
        <v>-0.159</v>
      </c>
      <c r="AI40" s="292">
        <v>1.2999999999999999E-3</v>
      </c>
    </row>
    <row r="41" spans="1:35" ht="13.5" customHeight="1">
      <c r="A41" s="23"/>
      <c r="B41" s="294">
        <v>2024</v>
      </c>
      <c r="C41" s="22"/>
      <c r="D41" s="290">
        <v>39.732999999999997</v>
      </c>
      <c r="E41" s="291">
        <v>8.4440000000000008</v>
      </c>
      <c r="F41" s="291">
        <v>-9.6000000000000002E-2</v>
      </c>
      <c r="G41" s="292">
        <v>5.9999999999999995E-4</v>
      </c>
      <c r="H41" s="290">
        <v>46.573999999999998</v>
      </c>
      <c r="I41" s="291">
        <v>6.6779999999999999</v>
      </c>
      <c r="J41" s="291">
        <v>-6.4000000000000001E-2</v>
      </c>
      <c r="K41" s="292">
        <v>5.0000000000000001E-4</v>
      </c>
      <c r="L41" s="290"/>
      <c r="M41" s="291">
        <v>2.9740000000000002</v>
      </c>
      <c r="N41" s="291"/>
      <c r="O41" s="293"/>
      <c r="P41" s="290">
        <v>41.22</v>
      </c>
      <c r="Q41" s="291">
        <v>7.4779999999999998</v>
      </c>
      <c r="R41" s="291">
        <v>-7.9000000000000001E-2</v>
      </c>
      <c r="S41" s="292">
        <v>5.9999999999999995E-4</v>
      </c>
      <c r="T41" s="290">
        <v>30.69</v>
      </c>
      <c r="U41" s="291">
        <v>17.209</v>
      </c>
      <c r="V41" s="291">
        <v>-0.27</v>
      </c>
      <c r="W41" s="292">
        <v>1.6999999999999999E-3</v>
      </c>
      <c r="X41" s="290">
        <v>44.914999999999999</v>
      </c>
      <c r="Y41" s="291">
        <v>10.977</v>
      </c>
      <c r="Z41" s="291">
        <v>-0.158</v>
      </c>
      <c r="AA41" s="292">
        <v>1.2999999999999999E-3</v>
      </c>
      <c r="AB41" s="290"/>
      <c r="AC41" s="291">
        <v>4.1020000000000003</v>
      </c>
      <c r="AD41" s="291"/>
      <c r="AE41" s="293"/>
      <c r="AF41" s="290">
        <v>44.305999999999997</v>
      </c>
      <c r="AG41" s="291">
        <v>11.058</v>
      </c>
      <c r="AH41" s="291">
        <v>-0.16</v>
      </c>
      <c r="AI41" s="292">
        <v>1.2999999999999999E-3</v>
      </c>
    </row>
    <row r="42" spans="1:35" ht="13.5" customHeight="1">
      <c r="A42" s="23"/>
      <c r="B42" s="294">
        <v>2025</v>
      </c>
      <c r="C42" s="22"/>
      <c r="D42" s="290">
        <v>39.536999999999999</v>
      </c>
      <c r="E42" s="291">
        <v>8.4019999999999992</v>
      </c>
      <c r="F42" s="291">
        <v>-9.6000000000000002E-2</v>
      </c>
      <c r="G42" s="292">
        <v>5.9999999999999995E-4</v>
      </c>
      <c r="H42" s="290">
        <v>46.604999999999997</v>
      </c>
      <c r="I42" s="291">
        <v>6.6820000000000004</v>
      </c>
      <c r="J42" s="291">
        <v>-6.4000000000000001E-2</v>
      </c>
      <c r="K42" s="292">
        <v>5.0000000000000001E-4</v>
      </c>
      <c r="L42" s="290"/>
      <c r="M42" s="291">
        <v>2.95</v>
      </c>
      <c r="N42" s="291"/>
      <c r="O42" s="293"/>
      <c r="P42" s="290">
        <v>40.326999999999998</v>
      </c>
      <c r="Q42" s="291">
        <v>7.3959999999999999</v>
      </c>
      <c r="R42" s="291">
        <v>-7.8E-2</v>
      </c>
      <c r="S42" s="292">
        <v>5.0000000000000001E-4</v>
      </c>
      <c r="T42" s="290">
        <v>30.146000000000001</v>
      </c>
      <c r="U42" s="291">
        <v>16.904</v>
      </c>
      <c r="V42" s="291">
        <v>-0.26500000000000001</v>
      </c>
      <c r="W42" s="292">
        <v>1.6999999999999999E-3</v>
      </c>
      <c r="X42" s="290">
        <v>44.566000000000003</v>
      </c>
      <c r="Y42" s="291">
        <v>10.891999999999999</v>
      </c>
      <c r="Z42" s="291">
        <v>-0.157</v>
      </c>
      <c r="AA42" s="292">
        <v>1.2999999999999999E-3</v>
      </c>
      <c r="AB42" s="290"/>
      <c r="AC42" s="291">
        <v>4.2080000000000002</v>
      </c>
      <c r="AD42" s="291"/>
      <c r="AE42" s="293"/>
      <c r="AF42" s="290">
        <v>43.792000000000002</v>
      </c>
      <c r="AG42" s="291">
        <v>10.952999999999999</v>
      </c>
      <c r="AH42" s="291">
        <v>-0.158</v>
      </c>
      <c r="AI42" s="292">
        <v>1.2999999999999999E-3</v>
      </c>
    </row>
    <row r="43" spans="1:35" ht="13.5" customHeight="1">
      <c r="A43" s="23"/>
      <c r="B43" s="294">
        <v>2026</v>
      </c>
      <c r="C43" s="22"/>
      <c r="D43" s="290">
        <v>39.533999999999999</v>
      </c>
      <c r="E43" s="291">
        <v>8.4019999999999992</v>
      </c>
      <c r="F43" s="291">
        <v>-9.6000000000000002E-2</v>
      </c>
      <c r="G43" s="292">
        <v>5.9999999999999995E-4</v>
      </c>
      <c r="H43" s="290">
        <v>46.826999999999998</v>
      </c>
      <c r="I43" s="291">
        <v>6.7140000000000004</v>
      </c>
      <c r="J43" s="291">
        <v>-6.5000000000000002E-2</v>
      </c>
      <c r="K43" s="292">
        <v>5.0000000000000001E-4</v>
      </c>
      <c r="L43" s="290"/>
      <c r="M43" s="291">
        <v>2.94</v>
      </c>
      <c r="N43" s="291"/>
      <c r="O43" s="293"/>
      <c r="P43" s="290">
        <v>39.506</v>
      </c>
      <c r="Q43" s="291">
        <v>7.335</v>
      </c>
      <c r="R43" s="291">
        <v>-7.5999999999999998E-2</v>
      </c>
      <c r="S43" s="292">
        <v>5.0000000000000001E-4</v>
      </c>
      <c r="T43" s="290">
        <v>29.873999999999999</v>
      </c>
      <c r="U43" s="291">
        <v>16.751999999999999</v>
      </c>
      <c r="V43" s="291">
        <v>-0.26300000000000001</v>
      </c>
      <c r="W43" s="292">
        <v>1.6999999999999999E-3</v>
      </c>
      <c r="X43" s="290">
        <v>44.472000000000001</v>
      </c>
      <c r="Y43" s="291">
        <v>10.869</v>
      </c>
      <c r="Z43" s="291">
        <v>-0.157</v>
      </c>
      <c r="AA43" s="292">
        <v>1.2999999999999999E-3</v>
      </c>
      <c r="AB43" s="290"/>
      <c r="AC43" s="291">
        <v>4.2699999999999996</v>
      </c>
      <c r="AD43" s="291"/>
      <c r="AE43" s="293"/>
      <c r="AF43" s="290">
        <v>43.534999999999997</v>
      </c>
      <c r="AG43" s="291">
        <v>10.911</v>
      </c>
      <c r="AH43" s="291">
        <v>-0.157</v>
      </c>
      <c r="AI43" s="292">
        <v>1.2999999999999999E-3</v>
      </c>
    </row>
    <row r="44" spans="1:35" ht="13.5" customHeight="1">
      <c r="A44" s="23"/>
      <c r="B44" s="294">
        <v>2027</v>
      </c>
      <c r="C44" s="22"/>
      <c r="D44" s="290">
        <v>39.39</v>
      </c>
      <c r="E44" s="291">
        <v>8.3710000000000004</v>
      </c>
      <c r="F44" s="291">
        <v>-9.5000000000000001E-2</v>
      </c>
      <c r="G44" s="292">
        <v>5.9999999999999995E-4</v>
      </c>
      <c r="H44" s="290">
        <v>46.798999999999999</v>
      </c>
      <c r="I44" s="291">
        <v>6.71</v>
      </c>
      <c r="J44" s="291">
        <v>-6.5000000000000002E-2</v>
      </c>
      <c r="K44" s="292">
        <v>5.0000000000000001E-4</v>
      </c>
      <c r="L44" s="290"/>
      <c r="M44" s="291">
        <v>2.859</v>
      </c>
      <c r="N44" s="291"/>
      <c r="O44" s="293"/>
      <c r="P44" s="290">
        <v>38.485999999999997</v>
      </c>
      <c r="Q44" s="291">
        <v>7.2320000000000002</v>
      </c>
      <c r="R44" s="291">
        <v>-7.4999999999999997E-2</v>
      </c>
      <c r="S44" s="292">
        <v>5.0000000000000001E-4</v>
      </c>
      <c r="T44" s="290">
        <v>29.074999999999999</v>
      </c>
      <c r="U44" s="291">
        <v>16.303000000000001</v>
      </c>
      <c r="V44" s="291">
        <v>-0.25600000000000001</v>
      </c>
      <c r="W44" s="292">
        <v>1.6999999999999999E-3</v>
      </c>
      <c r="X44" s="290">
        <v>44.234999999999999</v>
      </c>
      <c r="Y44" s="291">
        <v>10.811</v>
      </c>
      <c r="Z44" s="291">
        <v>-0.156</v>
      </c>
      <c r="AA44" s="292">
        <v>1.2999999999999999E-3</v>
      </c>
      <c r="AB44" s="290"/>
      <c r="AC44" s="291">
        <v>4.2</v>
      </c>
      <c r="AD44" s="291"/>
      <c r="AE44" s="293"/>
      <c r="AF44" s="290">
        <v>43.085999999999999</v>
      </c>
      <c r="AG44" s="291">
        <v>10.82</v>
      </c>
      <c r="AH44" s="291">
        <v>-0.155</v>
      </c>
      <c r="AI44" s="292">
        <v>1.2999999999999999E-3</v>
      </c>
    </row>
    <row r="45" spans="1:35" ht="13.5" customHeight="1">
      <c r="A45" s="23"/>
      <c r="B45" s="294">
        <v>2028</v>
      </c>
      <c r="C45" s="22"/>
      <c r="D45" s="290">
        <v>39.292999999999999</v>
      </c>
      <c r="E45" s="291">
        <v>8.35</v>
      </c>
      <c r="F45" s="291">
        <v>-9.5000000000000001E-2</v>
      </c>
      <c r="G45" s="292">
        <v>5.9999999999999995E-4</v>
      </c>
      <c r="H45" s="290">
        <v>46.752000000000002</v>
      </c>
      <c r="I45" s="291">
        <v>6.7030000000000003</v>
      </c>
      <c r="J45" s="291">
        <v>-6.4000000000000001E-2</v>
      </c>
      <c r="K45" s="292">
        <v>5.0000000000000001E-4</v>
      </c>
      <c r="L45" s="290"/>
      <c r="M45" s="291">
        <v>2.83</v>
      </c>
      <c r="N45" s="291"/>
      <c r="O45" s="293"/>
      <c r="P45" s="290">
        <v>37.472000000000001</v>
      </c>
      <c r="Q45" s="291">
        <v>7.133</v>
      </c>
      <c r="R45" s="291">
        <v>-7.2999999999999995E-2</v>
      </c>
      <c r="S45" s="292">
        <v>5.0000000000000001E-4</v>
      </c>
      <c r="T45" s="290">
        <v>28.821999999999999</v>
      </c>
      <c r="U45" s="291">
        <v>16.161999999999999</v>
      </c>
      <c r="V45" s="291">
        <v>-0.254</v>
      </c>
      <c r="W45" s="292">
        <v>1.6000000000000001E-3</v>
      </c>
      <c r="X45" s="290">
        <v>44.063000000000002</v>
      </c>
      <c r="Y45" s="291">
        <v>10.769</v>
      </c>
      <c r="Z45" s="291">
        <v>-0.155</v>
      </c>
      <c r="AA45" s="292">
        <v>1.2999999999999999E-3</v>
      </c>
      <c r="AB45" s="290"/>
      <c r="AC45" s="291">
        <v>4.1879999999999997</v>
      </c>
      <c r="AD45" s="291"/>
      <c r="AE45" s="293"/>
      <c r="AF45" s="290">
        <v>42.658999999999999</v>
      </c>
      <c r="AG45" s="291">
        <v>10.746</v>
      </c>
      <c r="AH45" s="291">
        <v>-0.154</v>
      </c>
      <c r="AI45" s="292">
        <v>1.2999999999999999E-3</v>
      </c>
    </row>
    <row r="46" spans="1:35" ht="13.5" customHeight="1">
      <c r="A46" s="23"/>
      <c r="B46" s="294">
        <v>2029</v>
      </c>
      <c r="C46" s="22"/>
      <c r="D46" s="290">
        <v>39.238</v>
      </c>
      <c r="E46" s="291">
        <v>8.3390000000000004</v>
      </c>
      <c r="F46" s="291">
        <v>-9.5000000000000001E-2</v>
      </c>
      <c r="G46" s="292">
        <v>5.9999999999999995E-4</v>
      </c>
      <c r="H46" s="290">
        <v>46.698</v>
      </c>
      <c r="I46" s="291">
        <v>6.6950000000000003</v>
      </c>
      <c r="J46" s="291">
        <v>-6.4000000000000001E-2</v>
      </c>
      <c r="K46" s="292">
        <v>5.0000000000000001E-4</v>
      </c>
      <c r="L46" s="290"/>
      <c r="M46" s="291">
        <v>2.7879999999999998</v>
      </c>
      <c r="N46" s="291"/>
      <c r="O46" s="293"/>
      <c r="P46" s="290">
        <v>36.472999999999999</v>
      </c>
      <c r="Q46" s="291">
        <v>7.032</v>
      </c>
      <c r="R46" s="291">
        <v>-7.1999999999999995E-2</v>
      </c>
      <c r="S46" s="292">
        <v>5.0000000000000001E-4</v>
      </c>
      <c r="T46" s="290">
        <v>28.61</v>
      </c>
      <c r="U46" s="291">
        <v>16.042999999999999</v>
      </c>
      <c r="V46" s="291">
        <v>-0.252</v>
      </c>
      <c r="W46" s="292">
        <v>1.6000000000000001E-3</v>
      </c>
      <c r="X46" s="290">
        <v>43.941000000000003</v>
      </c>
      <c r="Y46" s="291">
        <v>10.739000000000001</v>
      </c>
      <c r="Z46" s="291">
        <v>-0.155</v>
      </c>
      <c r="AA46" s="292">
        <v>1.2999999999999999E-3</v>
      </c>
      <c r="AB46" s="290"/>
      <c r="AC46" s="291">
        <v>4.1440000000000001</v>
      </c>
      <c r="AD46" s="291"/>
      <c r="AE46" s="293"/>
      <c r="AF46" s="290">
        <v>42.237000000000002</v>
      </c>
      <c r="AG46" s="291">
        <v>10.678000000000001</v>
      </c>
      <c r="AH46" s="291">
        <v>-0.153</v>
      </c>
      <c r="AI46" s="292">
        <v>1.2999999999999999E-3</v>
      </c>
    </row>
    <row r="47" spans="1:35" ht="13.5" customHeight="1">
      <c r="A47" s="23"/>
      <c r="B47" s="294">
        <v>2030</v>
      </c>
      <c r="C47" s="22"/>
      <c r="D47" s="290">
        <v>38.700000000000003</v>
      </c>
      <c r="E47" s="291">
        <v>8.2240000000000002</v>
      </c>
      <c r="F47" s="291">
        <v>-9.4E-2</v>
      </c>
      <c r="G47" s="292">
        <v>5.9999999999999995E-4</v>
      </c>
      <c r="H47" s="290">
        <v>46.082999999999998</v>
      </c>
      <c r="I47" s="291">
        <v>6.6070000000000002</v>
      </c>
      <c r="J47" s="291">
        <v>-6.4000000000000001E-2</v>
      </c>
      <c r="K47" s="292">
        <v>5.0000000000000001E-4</v>
      </c>
      <c r="L47" s="290"/>
      <c r="M47" s="291">
        <v>2.8210000000000002</v>
      </c>
      <c r="N47" s="291"/>
      <c r="O47" s="293"/>
      <c r="P47" s="290">
        <v>35.034999999999997</v>
      </c>
      <c r="Q47" s="291">
        <v>6.8579999999999997</v>
      </c>
      <c r="R47" s="291">
        <v>-6.9000000000000006E-2</v>
      </c>
      <c r="S47" s="292">
        <v>5.0000000000000001E-4</v>
      </c>
      <c r="T47" s="290">
        <v>27.864000000000001</v>
      </c>
      <c r="U47" s="291">
        <v>15.624000000000001</v>
      </c>
      <c r="V47" s="291">
        <v>-0.245</v>
      </c>
      <c r="W47" s="292">
        <v>1.6000000000000001E-3</v>
      </c>
      <c r="X47" s="290">
        <v>43.176000000000002</v>
      </c>
      <c r="Y47" s="291">
        <v>10.552</v>
      </c>
      <c r="Z47" s="291">
        <v>-0.152</v>
      </c>
      <c r="AA47" s="292">
        <v>1.2999999999999999E-3</v>
      </c>
      <c r="AB47" s="290"/>
      <c r="AC47" s="291">
        <v>4.2050000000000001</v>
      </c>
      <c r="AD47" s="291"/>
      <c r="AE47" s="293"/>
      <c r="AF47" s="290">
        <v>41.16</v>
      </c>
      <c r="AG47" s="291">
        <v>10.452</v>
      </c>
      <c r="AH47" s="291">
        <v>-0.14899999999999999</v>
      </c>
      <c r="AI47" s="292">
        <v>1.1999999999999999E-3</v>
      </c>
    </row>
    <row r="48" spans="1:35" ht="13.5" customHeight="1">
      <c r="A48" s="23"/>
      <c r="B48" s="294">
        <v>2031</v>
      </c>
      <c r="C48" s="22"/>
      <c r="D48" s="290">
        <v>38.347000000000001</v>
      </c>
      <c r="E48" s="291">
        <v>8.1489999999999991</v>
      </c>
      <c r="F48" s="291">
        <v>-9.2999999999999999E-2</v>
      </c>
      <c r="G48" s="292">
        <v>5.9999999999999995E-4</v>
      </c>
      <c r="H48" s="290">
        <v>45.64</v>
      </c>
      <c r="I48" s="291">
        <v>6.5439999999999996</v>
      </c>
      <c r="J48" s="291">
        <v>-6.3E-2</v>
      </c>
      <c r="K48" s="292">
        <v>5.0000000000000001E-4</v>
      </c>
      <c r="L48" s="290"/>
      <c r="M48" s="291">
        <v>2.7970000000000002</v>
      </c>
      <c r="N48" s="291"/>
      <c r="O48" s="293"/>
      <c r="P48" s="290">
        <v>33.805</v>
      </c>
      <c r="Q48" s="291">
        <v>6.7069999999999999</v>
      </c>
      <c r="R48" s="291">
        <v>-6.7000000000000004E-2</v>
      </c>
      <c r="S48" s="292">
        <v>5.0000000000000001E-4</v>
      </c>
      <c r="T48" s="290">
        <v>27.748999999999999</v>
      </c>
      <c r="U48" s="291">
        <v>15.56</v>
      </c>
      <c r="V48" s="291">
        <v>-0.24399999999999999</v>
      </c>
      <c r="W48" s="292">
        <v>1.6000000000000001E-3</v>
      </c>
      <c r="X48" s="290">
        <v>42.677999999999997</v>
      </c>
      <c r="Y48" s="291">
        <v>10.430999999999999</v>
      </c>
      <c r="Z48" s="291">
        <v>-0.15</v>
      </c>
      <c r="AA48" s="292">
        <v>1.2999999999999999E-3</v>
      </c>
      <c r="AB48" s="290"/>
      <c r="AC48" s="291">
        <v>4.1829999999999998</v>
      </c>
      <c r="AD48" s="291"/>
      <c r="AE48" s="293"/>
      <c r="AF48" s="290">
        <v>40.35</v>
      </c>
      <c r="AG48" s="291">
        <v>10.295999999999999</v>
      </c>
      <c r="AH48" s="291">
        <v>-0.14599999999999999</v>
      </c>
      <c r="AI48" s="292">
        <v>1.1999999999999999E-3</v>
      </c>
    </row>
    <row r="49" spans="1:35" ht="13.5" customHeight="1">
      <c r="A49" s="23"/>
      <c r="B49" s="294">
        <v>2032</v>
      </c>
      <c r="C49" s="22"/>
      <c r="D49" s="290">
        <v>37.890999999999998</v>
      </c>
      <c r="E49" s="291">
        <v>8.0530000000000008</v>
      </c>
      <c r="F49" s="291">
        <v>-9.1999999999999998E-2</v>
      </c>
      <c r="G49" s="292">
        <v>5.9999999999999995E-4</v>
      </c>
      <c r="H49" s="290">
        <v>44.981999999999999</v>
      </c>
      <c r="I49" s="291">
        <v>6.4489999999999998</v>
      </c>
      <c r="J49" s="291">
        <v>-6.2E-2</v>
      </c>
      <c r="K49" s="292">
        <v>5.0000000000000001E-4</v>
      </c>
      <c r="L49" s="290"/>
      <c r="M49" s="291">
        <v>2.7210000000000001</v>
      </c>
      <c r="N49" s="291"/>
      <c r="O49" s="293"/>
      <c r="P49" s="290">
        <v>32.511000000000003</v>
      </c>
      <c r="Q49" s="291">
        <v>6.5289999999999999</v>
      </c>
      <c r="R49" s="291">
        <v>-6.5000000000000002E-2</v>
      </c>
      <c r="S49" s="292">
        <v>5.0000000000000001E-4</v>
      </c>
      <c r="T49" s="290">
        <v>27.2</v>
      </c>
      <c r="U49" s="291">
        <v>15.252000000000001</v>
      </c>
      <c r="V49" s="291">
        <v>-0.23899999999999999</v>
      </c>
      <c r="W49" s="292">
        <v>1.5E-3</v>
      </c>
      <c r="X49" s="290">
        <v>42.171999999999997</v>
      </c>
      <c r="Y49" s="291">
        <v>10.307</v>
      </c>
      <c r="Z49" s="291">
        <v>-0.14899999999999999</v>
      </c>
      <c r="AA49" s="292">
        <v>1.2999999999999999E-3</v>
      </c>
      <c r="AB49" s="290"/>
      <c r="AC49" s="291">
        <v>4.0830000000000002</v>
      </c>
      <c r="AD49" s="291"/>
      <c r="AE49" s="293"/>
      <c r="AF49" s="290">
        <v>39.509</v>
      </c>
      <c r="AG49" s="291">
        <v>10.125999999999999</v>
      </c>
      <c r="AH49" s="291">
        <v>-0.14399999999999999</v>
      </c>
      <c r="AI49" s="292">
        <v>1.1999999999999999E-3</v>
      </c>
    </row>
    <row r="50" spans="1:35" ht="13.5" customHeight="1">
      <c r="A50" s="23"/>
      <c r="B50" s="294">
        <v>2033</v>
      </c>
      <c r="C50" s="22"/>
      <c r="D50" s="290">
        <v>37.46</v>
      </c>
      <c r="E50" s="291">
        <v>7.9610000000000003</v>
      </c>
      <c r="F50" s="291">
        <v>-9.0999999999999998E-2</v>
      </c>
      <c r="G50" s="292">
        <v>5.9999999999999995E-4</v>
      </c>
      <c r="H50" s="290">
        <v>44.417000000000002</v>
      </c>
      <c r="I50" s="291">
        <v>6.3680000000000003</v>
      </c>
      <c r="J50" s="291">
        <v>-6.0999999999999999E-2</v>
      </c>
      <c r="K50" s="292">
        <v>5.0000000000000001E-4</v>
      </c>
      <c r="L50" s="290"/>
      <c r="M50" s="291">
        <v>2.64</v>
      </c>
      <c r="N50" s="291"/>
      <c r="O50" s="293"/>
      <c r="P50" s="290">
        <v>31.318000000000001</v>
      </c>
      <c r="Q50" s="291">
        <v>6.3570000000000002</v>
      </c>
      <c r="R50" s="291">
        <v>-6.3E-2</v>
      </c>
      <c r="S50" s="292">
        <v>4.0000000000000002E-4</v>
      </c>
      <c r="T50" s="290">
        <v>26.670999999999999</v>
      </c>
      <c r="U50" s="291">
        <v>14.956</v>
      </c>
      <c r="V50" s="291">
        <v>-0.23499999999999999</v>
      </c>
      <c r="W50" s="292">
        <v>1.5E-3</v>
      </c>
      <c r="X50" s="290">
        <v>41.713999999999999</v>
      </c>
      <c r="Y50" s="291">
        <v>10.195</v>
      </c>
      <c r="Z50" s="291">
        <v>-0.14699999999999999</v>
      </c>
      <c r="AA50" s="292">
        <v>1.1999999999999999E-3</v>
      </c>
      <c r="AB50" s="290"/>
      <c r="AC50" s="291">
        <v>3.9729999999999999</v>
      </c>
      <c r="AD50" s="291"/>
      <c r="AE50" s="293"/>
      <c r="AF50" s="290">
        <v>38.706000000000003</v>
      </c>
      <c r="AG50" s="291">
        <v>9.9629999999999992</v>
      </c>
      <c r="AH50" s="291">
        <v>-0.14099999999999999</v>
      </c>
      <c r="AI50" s="292">
        <v>1.1999999999999999E-3</v>
      </c>
    </row>
    <row r="51" spans="1:35" ht="13.5" customHeight="1">
      <c r="A51" s="23"/>
      <c r="B51" s="294">
        <v>2034</v>
      </c>
      <c r="C51" s="22"/>
      <c r="D51" s="290">
        <v>37.061</v>
      </c>
      <c r="E51" s="291">
        <v>7.8760000000000003</v>
      </c>
      <c r="F51" s="291">
        <v>-0.09</v>
      </c>
      <c r="G51" s="292">
        <v>5.9999999999999995E-4</v>
      </c>
      <c r="H51" s="290">
        <v>43.933999999999997</v>
      </c>
      <c r="I51" s="291">
        <v>6.2990000000000004</v>
      </c>
      <c r="J51" s="291">
        <v>-6.0999999999999999E-2</v>
      </c>
      <c r="K51" s="292">
        <v>5.0000000000000001E-4</v>
      </c>
      <c r="L51" s="290"/>
      <c r="M51" s="291">
        <v>2.5920000000000001</v>
      </c>
      <c r="N51" s="291"/>
      <c r="O51" s="293"/>
      <c r="P51" s="290">
        <v>30.215</v>
      </c>
      <c r="Q51" s="291">
        <v>6.202</v>
      </c>
      <c r="R51" s="291">
        <v>-6.0999999999999999E-2</v>
      </c>
      <c r="S51" s="292">
        <v>4.0000000000000002E-4</v>
      </c>
      <c r="T51" s="290">
        <v>26.012</v>
      </c>
      <c r="U51" s="291">
        <v>14.586</v>
      </c>
      <c r="V51" s="291">
        <v>-0.22900000000000001</v>
      </c>
      <c r="W51" s="292">
        <v>1.5E-3</v>
      </c>
      <c r="X51" s="290">
        <v>41.408999999999999</v>
      </c>
      <c r="Y51" s="291">
        <v>10.121</v>
      </c>
      <c r="Z51" s="291">
        <v>-0.14599999999999999</v>
      </c>
      <c r="AA51" s="292">
        <v>1.1999999999999999E-3</v>
      </c>
      <c r="AB51" s="290"/>
      <c r="AC51" s="291">
        <v>3.911</v>
      </c>
      <c r="AD51" s="291"/>
      <c r="AE51" s="293"/>
      <c r="AF51" s="290">
        <v>38.031999999999996</v>
      </c>
      <c r="AG51" s="291">
        <v>9.8330000000000002</v>
      </c>
      <c r="AH51" s="291">
        <v>-0.13900000000000001</v>
      </c>
      <c r="AI51" s="292">
        <v>1.1999999999999999E-3</v>
      </c>
    </row>
    <row r="52" spans="1:35" ht="13.5" customHeight="1">
      <c r="A52" s="23"/>
      <c r="B52" s="294">
        <v>2035</v>
      </c>
      <c r="C52" s="22"/>
      <c r="D52" s="290">
        <v>36.713999999999999</v>
      </c>
      <c r="E52" s="291">
        <v>7.8019999999999996</v>
      </c>
      <c r="F52" s="291">
        <v>-8.8999999999999996E-2</v>
      </c>
      <c r="G52" s="292">
        <v>5.9999999999999995E-4</v>
      </c>
      <c r="H52" s="290">
        <v>43.529000000000003</v>
      </c>
      <c r="I52" s="291">
        <v>6.2409999999999997</v>
      </c>
      <c r="J52" s="291">
        <v>-0.06</v>
      </c>
      <c r="K52" s="292">
        <v>5.0000000000000001E-4</v>
      </c>
      <c r="L52" s="290"/>
      <c r="M52" s="291">
        <v>2.5449999999999999</v>
      </c>
      <c r="N52" s="291"/>
      <c r="O52" s="293"/>
      <c r="P52" s="290">
        <v>29.213000000000001</v>
      </c>
      <c r="Q52" s="291">
        <v>6.0579999999999998</v>
      </c>
      <c r="R52" s="291">
        <v>-5.8999999999999997E-2</v>
      </c>
      <c r="S52" s="292">
        <v>4.0000000000000002E-4</v>
      </c>
      <c r="T52" s="290">
        <v>26.286000000000001</v>
      </c>
      <c r="U52" s="291">
        <v>14.74</v>
      </c>
      <c r="V52" s="291">
        <v>-0.23100000000000001</v>
      </c>
      <c r="W52" s="292">
        <v>1.5E-3</v>
      </c>
      <c r="X52" s="290">
        <v>41.155999999999999</v>
      </c>
      <c r="Y52" s="291">
        <v>10.058999999999999</v>
      </c>
      <c r="Z52" s="291">
        <v>-0.14499999999999999</v>
      </c>
      <c r="AA52" s="292">
        <v>1.1999999999999999E-3</v>
      </c>
      <c r="AB52" s="290"/>
      <c r="AC52" s="291">
        <v>3.8490000000000002</v>
      </c>
      <c r="AD52" s="291"/>
      <c r="AE52" s="293"/>
      <c r="AF52" s="290">
        <v>37.427</v>
      </c>
      <c r="AG52" s="291">
        <v>9.7289999999999992</v>
      </c>
      <c r="AH52" s="291">
        <v>-0.13700000000000001</v>
      </c>
      <c r="AI52" s="292">
        <v>1.1000000000000001E-3</v>
      </c>
    </row>
    <row r="53" spans="1:35" ht="13.5" customHeight="1">
      <c r="A53" s="23"/>
      <c r="B53" s="294">
        <v>2036</v>
      </c>
      <c r="C53" s="22"/>
      <c r="D53" s="290">
        <v>36.253999999999998</v>
      </c>
      <c r="E53" s="291">
        <v>7.7050000000000001</v>
      </c>
      <c r="F53" s="291">
        <v>-8.7999999999999995E-2</v>
      </c>
      <c r="G53" s="292">
        <v>5.9999999999999995E-4</v>
      </c>
      <c r="H53" s="290">
        <v>42.924999999999997</v>
      </c>
      <c r="I53" s="291">
        <v>6.1539999999999999</v>
      </c>
      <c r="J53" s="291">
        <v>-5.8999999999999997E-2</v>
      </c>
      <c r="K53" s="292">
        <v>5.0000000000000001E-4</v>
      </c>
      <c r="L53" s="290"/>
      <c r="M53" s="291">
        <v>2.5190000000000001</v>
      </c>
      <c r="N53" s="291"/>
      <c r="O53" s="293"/>
      <c r="P53" s="290">
        <v>28.161000000000001</v>
      </c>
      <c r="Q53" s="291">
        <v>5.9059999999999997</v>
      </c>
      <c r="R53" s="291">
        <v>-5.7000000000000002E-2</v>
      </c>
      <c r="S53" s="292">
        <v>4.0000000000000002E-4</v>
      </c>
      <c r="T53" s="290">
        <v>25.885000000000002</v>
      </c>
      <c r="U53" s="291">
        <v>14.515000000000001</v>
      </c>
      <c r="V53" s="291">
        <v>-0.22800000000000001</v>
      </c>
      <c r="W53" s="292">
        <v>1.5E-3</v>
      </c>
      <c r="X53" s="290">
        <v>40.718000000000004</v>
      </c>
      <c r="Y53" s="291">
        <v>9.952</v>
      </c>
      <c r="Z53" s="291">
        <v>-0.14399999999999999</v>
      </c>
      <c r="AA53" s="292">
        <v>1.1999999999999999E-3</v>
      </c>
      <c r="AB53" s="290"/>
      <c r="AC53" s="291">
        <v>3.8140000000000001</v>
      </c>
      <c r="AD53" s="291"/>
      <c r="AE53" s="293"/>
      <c r="AF53" s="290">
        <v>36.636000000000003</v>
      </c>
      <c r="AG53" s="291">
        <v>9.5739999999999998</v>
      </c>
      <c r="AH53" s="291">
        <v>-0.13400000000000001</v>
      </c>
      <c r="AI53" s="292">
        <v>1.1000000000000001E-3</v>
      </c>
    </row>
    <row r="54" spans="1:35" ht="13.5" customHeight="1">
      <c r="A54" s="23"/>
      <c r="B54" s="294">
        <v>2037</v>
      </c>
      <c r="C54" s="22"/>
      <c r="D54" s="290">
        <v>35.835999999999999</v>
      </c>
      <c r="E54" s="291">
        <v>7.6159999999999997</v>
      </c>
      <c r="F54" s="291">
        <v>-8.6999999999999994E-2</v>
      </c>
      <c r="G54" s="292">
        <v>5.9999999999999995E-4</v>
      </c>
      <c r="H54" s="290">
        <v>42.396999999999998</v>
      </c>
      <c r="I54" s="291">
        <v>6.0789999999999997</v>
      </c>
      <c r="J54" s="291">
        <v>-5.8000000000000003E-2</v>
      </c>
      <c r="K54" s="292">
        <v>5.0000000000000001E-4</v>
      </c>
      <c r="L54" s="290"/>
      <c r="M54" s="291">
        <v>2.5030000000000001</v>
      </c>
      <c r="N54" s="291"/>
      <c r="O54" s="293"/>
      <c r="P54" s="290">
        <v>27.201000000000001</v>
      </c>
      <c r="Q54" s="291">
        <v>5.7679999999999998</v>
      </c>
      <c r="R54" s="291">
        <v>-5.5E-2</v>
      </c>
      <c r="S54" s="292">
        <v>4.0000000000000002E-4</v>
      </c>
      <c r="T54" s="290">
        <v>25.59</v>
      </c>
      <c r="U54" s="291">
        <v>14.35</v>
      </c>
      <c r="V54" s="291">
        <v>-0.22500000000000001</v>
      </c>
      <c r="W54" s="292">
        <v>1.5E-3</v>
      </c>
      <c r="X54" s="290">
        <v>40.314999999999998</v>
      </c>
      <c r="Y54" s="291">
        <v>9.8529999999999998</v>
      </c>
      <c r="Z54" s="291">
        <v>-0.14199999999999999</v>
      </c>
      <c r="AA54" s="292">
        <v>1.1999999999999999E-3</v>
      </c>
      <c r="AB54" s="290"/>
      <c r="AC54" s="291">
        <v>3.7959999999999998</v>
      </c>
      <c r="AD54" s="291"/>
      <c r="AE54" s="293"/>
      <c r="AF54" s="290">
        <v>35.884</v>
      </c>
      <c r="AG54" s="291">
        <v>9.43</v>
      </c>
      <c r="AH54" s="291">
        <v>-0.13100000000000001</v>
      </c>
      <c r="AI54" s="292">
        <v>1.1000000000000001E-3</v>
      </c>
    </row>
    <row r="55" spans="1:35" ht="13.5" customHeight="1">
      <c r="A55" s="23"/>
      <c r="B55" s="294">
        <v>2038</v>
      </c>
      <c r="C55" s="22"/>
      <c r="D55" s="290">
        <v>35.469000000000001</v>
      </c>
      <c r="E55" s="291">
        <v>7.5380000000000003</v>
      </c>
      <c r="F55" s="291">
        <v>-8.5999999999999993E-2</v>
      </c>
      <c r="G55" s="292">
        <v>5.9999999999999995E-4</v>
      </c>
      <c r="H55" s="290">
        <v>41.963000000000001</v>
      </c>
      <c r="I55" s="291">
        <v>6.016</v>
      </c>
      <c r="J55" s="291">
        <v>-5.8000000000000003E-2</v>
      </c>
      <c r="K55" s="292">
        <v>5.0000000000000001E-4</v>
      </c>
      <c r="L55" s="290"/>
      <c r="M55" s="291">
        <v>2.472</v>
      </c>
      <c r="N55" s="291"/>
      <c r="O55" s="293"/>
      <c r="P55" s="290">
        <v>26.347000000000001</v>
      </c>
      <c r="Q55" s="291">
        <v>5.641</v>
      </c>
      <c r="R55" s="291">
        <v>-5.2999999999999999E-2</v>
      </c>
      <c r="S55" s="292">
        <v>4.0000000000000002E-4</v>
      </c>
      <c r="T55" s="290">
        <v>24.97</v>
      </c>
      <c r="U55" s="291">
        <v>14.002000000000001</v>
      </c>
      <c r="V55" s="291">
        <v>-0.22</v>
      </c>
      <c r="W55" s="292">
        <v>1.4E-3</v>
      </c>
      <c r="X55" s="290">
        <v>39.933999999999997</v>
      </c>
      <c r="Y55" s="291">
        <v>9.76</v>
      </c>
      <c r="Z55" s="291">
        <v>-0.14099999999999999</v>
      </c>
      <c r="AA55" s="292">
        <v>1.1999999999999999E-3</v>
      </c>
      <c r="AB55" s="290"/>
      <c r="AC55" s="291">
        <v>3.7530000000000001</v>
      </c>
      <c r="AD55" s="291"/>
      <c r="AE55" s="293"/>
      <c r="AF55" s="290">
        <v>35.143000000000001</v>
      </c>
      <c r="AG55" s="291">
        <v>9.282</v>
      </c>
      <c r="AH55" s="291">
        <v>-0.129</v>
      </c>
      <c r="AI55" s="292">
        <v>1.1000000000000001E-3</v>
      </c>
    </row>
    <row r="56" spans="1:35" ht="13.5" customHeight="1">
      <c r="A56" s="23"/>
      <c r="B56" s="294">
        <v>2039</v>
      </c>
      <c r="C56" s="22"/>
      <c r="D56" s="290">
        <v>35.158000000000001</v>
      </c>
      <c r="E56" s="291">
        <v>7.4720000000000004</v>
      </c>
      <c r="F56" s="291">
        <v>-8.5000000000000006E-2</v>
      </c>
      <c r="G56" s="292">
        <v>5.9999999999999995E-4</v>
      </c>
      <c r="H56" s="290">
        <v>41.646999999999998</v>
      </c>
      <c r="I56" s="291">
        <v>5.9710000000000001</v>
      </c>
      <c r="J56" s="291">
        <v>-5.7000000000000002E-2</v>
      </c>
      <c r="K56" s="292">
        <v>5.0000000000000001E-4</v>
      </c>
      <c r="L56" s="290"/>
      <c r="M56" s="291">
        <v>2.4980000000000002</v>
      </c>
      <c r="N56" s="291"/>
      <c r="O56" s="293"/>
      <c r="P56" s="290">
        <v>25.602</v>
      </c>
      <c r="Q56" s="291">
        <v>5.5469999999999997</v>
      </c>
      <c r="R56" s="291">
        <v>-5.1999999999999998E-2</v>
      </c>
      <c r="S56" s="292">
        <v>4.0000000000000002E-4</v>
      </c>
      <c r="T56" s="290">
        <v>24.96</v>
      </c>
      <c r="U56" s="291">
        <v>13.996</v>
      </c>
      <c r="V56" s="291">
        <v>-0.22</v>
      </c>
      <c r="W56" s="292">
        <v>1.4E-3</v>
      </c>
      <c r="X56" s="290">
        <v>39.741</v>
      </c>
      <c r="Y56" s="291">
        <v>9.7129999999999992</v>
      </c>
      <c r="Z56" s="291">
        <v>-0.14000000000000001</v>
      </c>
      <c r="AA56" s="292">
        <v>1.1999999999999999E-3</v>
      </c>
      <c r="AB56" s="290"/>
      <c r="AC56" s="291">
        <v>3.7970000000000002</v>
      </c>
      <c r="AD56" s="291"/>
      <c r="AE56" s="293"/>
      <c r="AF56" s="290">
        <v>34.590000000000003</v>
      </c>
      <c r="AG56" s="291">
        <v>9.1950000000000003</v>
      </c>
      <c r="AH56" s="291">
        <v>-0.127</v>
      </c>
      <c r="AI56" s="292">
        <v>1.1000000000000001E-3</v>
      </c>
    </row>
    <row r="57" spans="1:35" ht="13.5" customHeight="1">
      <c r="A57" s="23"/>
      <c r="B57" s="294">
        <v>2040</v>
      </c>
      <c r="C57" s="22"/>
      <c r="D57" s="290">
        <v>34.869</v>
      </c>
      <c r="E57" s="291">
        <v>7.41</v>
      </c>
      <c r="F57" s="291">
        <v>-8.4000000000000005E-2</v>
      </c>
      <c r="G57" s="292">
        <v>5.9999999999999995E-4</v>
      </c>
      <c r="H57" s="290">
        <v>41.316000000000003</v>
      </c>
      <c r="I57" s="291">
        <v>5.9240000000000004</v>
      </c>
      <c r="J57" s="291">
        <v>-5.7000000000000002E-2</v>
      </c>
      <c r="K57" s="292">
        <v>4.0000000000000002E-4</v>
      </c>
      <c r="L57" s="290"/>
      <c r="M57" s="291">
        <v>2.4510000000000001</v>
      </c>
      <c r="N57" s="291"/>
      <c r="O57" s="293"/>
      <c r="P57" s="290">
        <v>24.834</v>
      </c>
      <c r="Q57" s="291">
        <v>5.4279999999999999</v>
      </c>
      <c r="R57" s="291">
        <v>-0.05</v>
      </c>
      <c r="S57" s="292">
        <v>2.9999999999999997E-4</v>
      </c>
      <c r="T57" s="290">
        <v>24.867000000000001</v>
      </c>
      <c r="U57" s="291">
        <v>13.944000000000001</v>
      </c>
      <c r="V57" s="291">
        <v>-0.219</v>
      </c>
      <c r="W57" s="292">
        <v>1.4E-3</v>
      </c>
      <c r="X57" s="290">
        <v>39.579000000000001</v>
      </c>
      <c r="Y57" s="291">
        <v>9.673</v>
      </c>
      <c r="Z57" s="291">
        <v>-0.14000000000000001</v>
      </c>
      <c r="AA57" s="292">
        <v>1.1999999999999999E-3</v>
      </c>
      <c r="AB57" s="290"/>
      <c r="AC57" s="291">
        <v>3.7269999999999999</v>
      </c>
      <c r="AD57" s="291"/>
      <c r="AE57" s="293"/>
      <c r="AF57" s="290">
        <v>34.064999999999998</v>
      </c>
      <c r="AG57" s="291">
        <v>9.1010000000000009</v>
      </c>
      <c r="AH57" s="291">
        <v>-0.125</v>
      </c>
      <c r="AI57" s="292">
        <v>1E-3</v>
      </c>
    </row>
    <row r="58" spans="1:35" ht="13.5" customHeight="1">
      <c r="A58" s="23"/>
      <c r="B58" s="294">
        <v>2041</v>
      </c>
      <c r="C58" s="22"/>
      <c r="D58" s="290">
        <v>34.536999999999999</v>
      </c>
      <c r="E58" s="291">
        <v>7.34</v>
      </c>
      <c r="F58" s="291">
        <v>-8.4000000000000005E-2</v>
      </c>
      <c r="G58" s="292">
        <v>5.9999999999999995E-4</v>
      </c>
      <c r="H58" s="290">
        <v>40.801000000000002</v>
      </c>
      <c r="I58" s="291">
        <v>5.85</v>
      </c>
      <c r="J58" s="291">
        <v>-5.6000000000000001E-2</v>
      </c>
      <c r="K58" s="292">
        <v>4.0000000000000002E-4</v>
      </c>
      <c r="L58" s="290"/>
      <c r="M58" s="291">
        <v>2.4430000000000001</v>
      </c>
      <c r="N58" s="291"/>
      <c r="O58" s="293"/>
      <c r="P58" s="290">
        <v>24.055</v>
      </c>
      <c r="Q58" s="291">
        <v>5.3170000000000002</v>
      </c>
      <c r="R58" s="291">
        <v>-4.9000000000000002E-2</v>
      </c>
      <c r="S58" s="292">
        <v>2.9999999999999997E-4</v>
      </c>
      <c r="T58" s="290">
        <v>24.702999999999999</v>
      </c>
      <c r="U58" s="291">
        <v>13.852</v>
      </c>
      <c r="V58" s="291">
        <v>-0.217</v>
      </c>
      <c r="W58" s="292">
        <v>1.4E-3</v>
      </c>
      <c r="X58" s="290">
        <v>39.307000000000002</v>
      </c>
      <c r="Y58" s="291">
        <v>9.6069999999999993</v>
      </c>
      <c r="Z58" s="291">
        <v>-0.13900000000000001</v>
      </c>
      <c r="AA58" s="292">
        <v>1.1999999999999999E-3</v>
      </c>
      <c r="AB58" s="290"/>
      <c r="AC58" s="291">
        <v>3.7120000000000002</v>
      </c>
      <c r="AD58" s="291"/>
      <c r="AE58" s="293"/>
      <c r="AF58" s="290">
        <v>33.460999999999999</v>
      </c>
      <c r="AG58" s="291">
        <v>8.9909999999999997</v>
      </c>
      <c r="AH58" s="291">
        <v>-0.123</v>
      </c>
      <c r="AI58" s="292">
        <v>1E-3</v>
      </c>
    </row>
    <row r="59" spans="1:35" ht="13.5" customHeight="1">
      <c r="A59" s="23"/>
      <c r="B59" s="294">
        <v>2042</v>
      </c>
      <c r="C59" s="22"/>
      <c r="D59" s="290">
        <v>34.347999999999999</v>
      </c>
      <c r="E59" s="291">
        <v>7.3</v>
      </c>
      <c r="F59" s="291">
        <v>-8.3000000000000004E-2</v>
      </c>
      <c r="G59" s="292">
        <v>5.9999999999999995E-4</v>
      </c>
      <c r="H59" s="290">
        <v>40.587000000000003</v>
      </c>
      <c r="I59" s="291">
        <v>5.819</v>
      </c>
      <c r="J59" s="291">
        <v>-5.6000000000000001E-2</v>
      </c>
      <c r="K59" s="292">
        <v>4.0000000000000002E-4</v>
      </c>
      <c r="L59" s="290"/>
      <c r="M59" s="291">
        <v>2.4329999999999998</v>
      </c>
      <c r="N59" s="291"/>
      <c r="O59" s="293"/>
      <c r="P59" s="290">
        <v>23.445</v>
      </c>
      <c r="Q59" s="291">
        <v>5.2329999999999997</v>
      </c>
      <c r="R59" s="291">
        <v>-4.7E-2</v>
      </c>
      <c r="S59" s="292">
        <v>2.9999999999999997E-4</v>
      </c>
      <c r="T59" s="290">
        <v>24.661999999999999</v>
      </c>
      <c r="U59" s="291">
        <v>13.829000000000001</v>
      </c>
      <c r="V59" s="291">
        <v>-0.217</v>
      </c>
      <c r="W59" s="292">
        <v>1.4E-3</v>
      </c>
      <c r="X59" s="290">
        <v>39.226999999999997</v>
      </c>
      <c r="Y59" s="291">
        <v>9.5869999999999997</v>
      </c>
      <c r="Z59" s="291">
        <v>-0.13800000000000001</v>
      </c>
      <c r="AA59" s="292">
        <v>1.1999999999999999E-3</v>
      </c>
      <c r="AB59" s="290"/>
      <c r="AC59" s="291">
        <v>3.6949999999999998</v>
      </c>
      <c r="AD59" s="291"/>
      <c r="AE59" s="293"/>
      <c r="AF59" s="290">
        <v>33.024999999999999</v>
      </c>
      <c r="AG59" s="291">
        <v>8.9220000000000006</v>
      </c>
      <c r="AH59" s="291">
        <v>-0.122</v>
      </c>
      <c r="AI59" s="292">
        <v>1E-3</v>
      </c>
    </row>
    <row r="60" spans="1:35" ht="13.5" customHeight="1">
      <c r="A60" s="23"/>
      <c r="B60" s="294">
        <v>2043</v>
      </c>
      <c r="C60" s="22"/>
      <c r="D60" s="290">
        <v>34.198</v>
      </c>
      <c r="E60" s="291">
        <v>7.2679999999999998</v>
      </c>
      <c r="F60" s="291">
        <v>-8.3000000000000004E-2</v>
      </c>
      <c r="G60" s="292">
        <v>5.0000000000000001E-4</v>
      </c>
      <c r="H60" s="290">
        <v>40.435000000000002</v>
      </c>
      <c r="I60" s="291">
        <v>5.7969999999999997</v>
      </c>
      <c r="J60" s="291">
        <v>-5.6000000000000001E-2</v>
      </c>
      <c r="K60" s="292">
        <v>4.0000000000000002E-4</v>
      </c>
      <c r="L60" s="290"/>
      <c r="M60" s="291">
        <v>2.4239999999999999</v>
      </c>
      <c r="N60" s="291"/>
      <c r="O60" s="293"/>
      <c r="P60" s="290">
        <v>22.902000000000001</v>
      </c>
      <c r="Q60" s="291">
        <v>5.1589999999999998</v>
      </c>
      <c r="R60" s="291">
        <v>-4.5999999999999999E-2</v>
      </c>
      <c r="S60" s="292">
        <v>2.9999999999999997E-4</v>
      </c>
      <c r="T60" s="290">
        <v>24.640999999999998</v>
      </c>
      <c r="U60" s="291">
        <v>13.817</v>
      </c>
      <c r="V60" s="291">
        <v>-0.217</v>
      </c>
      <c r="W60" s="292">
        <v>1.4E-3</v>
      </c>
      <c r="X60" s="290">
        <v>39.18</v>
      </c>
      <c r="Y60" s="291">
        <v>9.5760000000000005</v>
      </c>
      <c r="Z60" s="291">
        <v>-0.13800000000000001</v>
      </c>
      <c r="AA60" s="292">
        <v>1.1999999999999999E-3</v>
      </c>
      <c r="AB60" s="290"/>
      <c r="AC60" s="291">
        <v>3.6749999999999998</v>
      </c>
      <c r="AD60" s="291"/>
      <c r="AE60" s="293"/>
      <c r="AF60" s="290">
        <v>32.618000000000002</v>
      </c>
      <c r="AG60" s="291">
        <v>8.86</v>
      </c>
      <c r="AH60" s="291">
        <v>-0.121</v>
      </c>
      <c r="AI60" s="292">
        <v>1E-3</v>
      </c>
    </row>
    <row r="61" spans="1:35" ht="13.5" customHeight="1">
      <c r="A61" s="23"/>
      <c r="B61" s="294">
        <v>2044</v>
      </c>
      <c r="C61" s="22"/>
      <c r="D61" s="290">
        <v>34.097000000000001</v>
      </c>
      <c r="E61" s="291">
        <v>7.2460000000000004</v>
      </c>
      <c r="F61" s="291">
        <v>-8.3000000000000004E-2</v>
      </c>
      <c r="G61" s="292">
        <v>5.0000000000000001E-4</v>
      </c>
      <c r="H61" s="290">
        <v>40.338999999999999</v>
      </c>
      <c r="I61" s="291">
        <v>5.7839999999999998</v>
      </c>
      <c r="J61" s="291">
        <v>-5.6000000000000001E-2</v>
      </c>
      <c r="K61" s="292">
        <v>4.0000000000000002E-4</v>
      </c>
      <c r="L61" s="290"/>
      <c r="M61" s="291">
        <v>2.4140000000000001</v>
      </c>
      <c r="N61" s="291"/>
      <c r="O61" s="293"/>
      <c r="P61" s="290">
        <v>22.405000000000001</v>
      </c>
      <c r="Q61" s="291">
        <v>5.093</v>
      </c>
      <c r="R61" s="291">
        <v>-4.4999999999999998E-2</v>
      </c>
      <c r="S61" s="292">
        <v>2.9999999999999997E-4</v>
      </c>
      <c r="T61" s="290">
        <v>24.638000000000002</v>
      </c>
      <c r="U61" s="291">
        <v>13.815</v>
      </c>
      <c r="V61" s="291">
        <v>-0.217</v>
      </c>
      <c r="W61" s="292">
        <v>1.4E-3</v>
      </c>
      <c r="X61" s="290">
        <v>39.164999999999999</v>
      </c>
      <c r="Y61" s="291">
        <v>9.5719999999999992</v>
      </c>
      <c r="Z61" s="291">
        <v>-0.13800000000000001</v>
      </c>
      <c r="AA61" s="292">
        <v>1.1999999999999999E-3</v>
      </c>
      <c r="AB61" s="290"/>
      <c r="AC61" s="291">
        <v>3.6539999999999999</v>
      </c>
      <c r="AD61" s="291"/>
      <c r="AE61" s="293"/>
      <c r="AF61" s="290">
        <v>32.243000000000002</v>
      </c>
      <c r="AG61" s="291">
        <v>8.8049999999999997</v>
      </c>
      <c r="AH61" s="291">
        <v>-0.11899999999999999</v>
      </c>
      <c r="AI61" s="292">
        <v>1E-3</v>
      </c>
    </row>
    <row r="62" spans="1:35" ht="13.5" customHeight="1">
      <c r="A62" s="23"/>
      <c r="B62" s="294">
        <v>2045</v>
      </c>
      <c r="C62" s="22"/>
      <c r="D62" s="290">
        <v>34.045999999999999</v>
      </c>
      <c r="E62" s="291">
        <v>7.2350000000000003</v>
      </c>
      <c r="F62" s="291">
        <v>-8.2000000000000003E-2</v>
      </c>
      <c r="G62" s="292">
        <v>5.0000000000000001E-4</v>
      </c>
      <c r="H62" s="290">
        <v>40.298000000000002</v>
      </c>
      <c r="I62" s="291">
        <v>5.7779999999999996</v>
      </c>
      <c r="J62" s="291">
        <v>-5.6000000000000001E-2</v>
      </c>
      <c r="K62" s="292">
        <v>4.0000000000000002E-4</v>
      </c>
      <c r="L62" s="290"/>
      <c r="M62" s="291">
        <v>2.4039999999999999</v>
      </c>
      <c r="N62" s="291"/>
      <c r="O62" s="293"/>
      <c r="P62" s="290">
        <v>21.975000000000001</v>
      </c>
      <c r="Q62" s="291">
        <v>5.0359999999999996</v>
      </c>
      <c r="R62" s="291">
        <v>-4.3999999999999997E-2</v>
      </c>
      <c r="S62" s="292">
        <v>2.9999999999999997E-4</v>
      </c>
      <c r="T62" s="290">
        <v>24.649000000000001</v>
      </c>
      <c r="U62" s="291">
        <v>13.821999999999999</v>
      </c>
      <c r="V62" s="291">
        <v>-0.217</v>
      </c>
      <c r="W62" s="292">
        <v>1.4E-3</v>
      </c>
      <c r="X62" s="290">
        <v>39.177999999999997</v>
      </c>
      <c r="Y62" s="291">
        <v>9.5749999999999993</v>
      </c>
      <c r="Z62" s="291">
        <v>-0.13800000000000001</v>
      </c>
      <c r="AA62" s="292">
        <v>1.1999999999999999E-3</v>
      </c>
      <c r="AB62" s="290"/>
      <c r="AC62" s="291">
        <v>3.6309999999999998</v>
      </c>
      <c r="AD62" s="291"/>
      <c r="AE62" s="293"/>
      <c r="AF62" s="290">
        <v>31.898</v>
      </c>
      <c r="AG62" s="291">
        <v>8.7550000000000008</v>
      </c>
      <c r="AH62" s="291">
        <v>-0.11799999999999999</v>
      </c>
      <c r="AI62" s="292">
        <v>1E-3</v>
      </c>
    </row>
    <row r="63" spans="1:35" ht="13.5" customHeight="1">
      <c r="A63" s="23"/>
      <c r="B63" s="294">
        <v>2046</v>
      </c>
      <c r="C63" s="22"/>
      <c r="D63" s="290">
        <v>34.049999999999997</v>
      </c>
      <c r="E63" s="291">
        <v>7.2359999999999998</v>
      </c>
      <c r="F63" s="291">
        <v>-8.2000000000000003E-2</v>
      </c>
      <c r="G63" s="292">
        <v>5.0000000000000001E-4</v>
      </c>
      <c r="H63" s="290">
        <v>40.289000000000001</v>
      </c>
      <c r="I63" s="291">
        <v>5.7759999999999998</v>
      </c>
      <c r="J63" s="291">
        <v>-5.6000000000000001E-2</v>
      </c>
      <c r="K63" s="292">
        <v>4.0000000000000002E-4</v>
      </c>
      <c r="L63" s="290"/>
      <c r="M63" s="291">
        <v>2.3940000000000001</v>
      </c>
      <c r="N63" s="291"/>
      <c r="O63" s="293"/>
      <c r="P63" s="290">
        <v>21.588999999999999</v>
      </c>
      <c r="Q63" s="291">
        <v>4.9859999999999998</v>
      </c>
      <c r="R63" s="291">
        <v>-4.3999999999999997E-2</v>
      </c>
      <c r="S63" s="292">
        <v>2.9999999999999997E-4</v>
      </c>
      <c r="T63" s="290">
        <v>24.57</v>
      </c>
      <c r="U63" s="291">
        <v>13.776999999999999</v>
      </c>
      <c r="V63" s="291">
        <v>-0.216</v>
      </c>
      <c r="W63" s="292">
        <v>1.4E-3</v>
      </c>
      <c r="X63" s="290">
        <v>38.966999999999999</v>
      </c>
      <c r="Y63" s="291">
        <v>9.5239999999999991</v>
      </c>
      <c r="Z63" s="291">
        <v>-0.13700000000000001</v>
      </c>
      <c r="AA63" s="292">
        <v>1.1999999999999999E-3</v>
      </c>
      <c r="AB63" s="290"/>
      <c r="AC63" s="291">
        <v>3.6070000000000002</v>
      </c>
      <c r="AD63" s="291"/>
      <c r="AE63" s="293"/>
      <c r="AF63" s="290">
        <v>31.388999999999999</v>
      </c>
      <c r="AG63" s="291">
        <v>8.6620000000000008</v>
      </c>
      <c r="AH63" s="291">
        <v>-0.11600000000000001</v>
      </c>
      <c r="AI63" s="292">
        <v>1E-3</v>
      </c>
    </row>
    <row r="64" spans="1:35" ht="13.5" customHeight="1">
      <c r="A64" s="23"/>
      <c r="B64" s="294">
        <v>2047</v>
      </c>
      <c r="C64" s="22"/>
      <c r="D64" s="290">
        <v>34.082000000000001</v>
      </c>
      <c r="E64" s="291">
        <v>7.2430000000000003</v>
      </c>
      <c r="F64" s="291">
        <v>-8.3000000000000004E-2</v>
      </c>
      <c r="G64" s="292">
        <v>5.0000000000000001E-4</v>
      </c>
      <c r="H64" s="290">
        <v>40.314999999999998</v>
      </c>
      <c r="I64" s="291">
        <v>5.78</v>
      </c>
      <c r="J64" s="291">
        <v>-5.6000000000000001E-2</v>
      </c>
      <c r="K64" s="292">
        <v>4.0000000000000002E-4</v>
      </c>
      <c r="L64" s="290"/>
      <c r="M64" s="291">
        <v>2.3839999999999999</v>
      </c>
      <c r="N64" s="291"/>
      <c r="O64" s="293"/>
      <c r="P64" s="290">
        <v>21.228999999999999</v>
      </c>
      <c r="Q64" s="291">
        <v>4.9409999999999998</v>
      </c>
      <c r="R64" s="291">
        <v>-4.2999999999999997E-2</v>
      </c>
      <c r="S64" s="292">
        <v>2.9999999999999997E-4</v>
      </c>
      <c r="T64" s="290">
        <v>24.614999999999998</v>
      </c>
      <c r="U64" s="291">
        <v>13.803000000000001</v>
      </c>
      <c r="V64" s="291">
        <v>-0.217</v>
      </c>
      <c r="W64" s="292">
        <v>1.4E-3</v>
      </c>
      <c r="X64" s="290">
        <v>39.04</v>
      </c>
      <c r="Y64" s="291">
        <v>9.5419999999999998</v>
      </c>
      <c r="Z64" s="291">
        <v>-0.13800000000000001</v>
      </c>
      <c r="AA64" s="292">
        <v>1.1999999999999999E-3</v>
      </c>
      <c r="AB64" s="290"/>
      <c r="AC64" s="291">
        <v>3.5830000000000002</v>
      </c>
      <c r="AD64" s="291"/>
      <c r="AE64" s="293"/>
      <c r="AF64" s="290">
        <v>31.114000000000001</v>
      </c>
      <c r="AG64" s="291">
        <v>8.6259999999999994</v>
      </c>
      <c r="AH64" s="291">
        <v>-0.11600000000000001</v>
      </c>
      <c r="AI64" s="292">
        <v>1E-3</v>
      </c>
    </row>
    <row r="65" spans="1:35" ht="13.5" customHeight="1">
      <c r="A65" s="23"/>
      <c r="B65" s="294">
        <v>2048</v>
      </c>
      <c r="C65" s="22"/>
      <c r="D65" s="290">
        <v>34.134999999999998</v>
      </c>
      <c r="E65" s="291">
        <v>7.2539999999999996</v>
      </c>
      <c r="F65" s="291">
        <v>-8.3000000000000004E-2</v>
      </c>
      <c r="G65" s="292">
        <v>5.0000000000000001E-4</v>
      </c>
      <c r="H65" s="290">
        <v>40.366999999999997</v>
      </c>
      <c r="I65" s="291">
        <v>5.7880000000000003</v>
      </c>
      <c r="J65" s="291">
        <v>-5.6000000000000001E-2</v>
      </c>
      <c r="K65" s="292">
        <v>4.0000000000000002E-4</v>
      </c>
      <c r="L65" s="290"/>
      <c r="M65" s="291">
        <v>2.3730000000000002</v>
      </c>
      <c r="N65" s="291"/>
      <c r="O65" s="293"/>
      <c r="P65" s="290">
        <v>20.896000000000001</v>
      </c>
      <c r="Q65" s="291">
        <v>4.8979999999999997</v>
      </c>
      <c r="R65" s="291">
        <v>-4.2000000000000003E-2</v>
      </c>
      <c r="S65" s="292">
        <v>2.9999999999999997E-4</v>
      </c>
      <c r="T65" s="290">
        <v>24.667000000000002</v>
      </c>
      <c r="U65" s="291">
        <v>13.832000000000001</v>
      </c>
      <c r="V65" s="291">
        <v>-0.217</v>
      </c>
      <c r="W65" s="292">
        <v>1.4E-3</v>
      </c>
      <c r="X65" s="290">
        <v>39.125</v>
      </c>
      <c r="Y65" s="291">
        <v>9.5619999999999994</v>
      </c>
      <c r="Z65" s="291">
        <v>-0.13800000000000001</v>
      </c>
      <c r="AA65" s="292">
        <v>1.1999999999999999E-3</v>
      </c>
      <c r="AB65" s="290"/>
      <c r="AC65" s="291">
        <v>3.5569999999999999</v>
      </c>
      <c r="AD65" s="291"/>
      <c r="AE65" s="293"/>
      <c r="AF65" s="290">
        <v>30.853999999999999</v>
      </c>
      <c r="AG65" s="291">
        <v>8.5920000000000005</v>
      </c>
      <c r="AH65" s="291">
        <v>-0.115</v>
      </c>
      <c r="AI65" s="292">
        <v>1E-3</v>
      </c>
    </row>
    <row r="66" spans="1:35" ht="13.5" customHeight="1">
      <c r="A66" s="23"/>
      <c r="B66" s="294">
        <v>2049</v>
      </c>
      <c r="C66" s="22"/>
      <c r="D66" s="290">
        <v>34.204000000000001</v>
      </c>
      <c r="E66" s="291">
        <v>7.2690000000000001</v>
      </c>
      <c r="F66" s="291">
        <v>-8.3000000000000004E-2</v>
      </c>
      <c r="G66" s="292">
        <v>5.0000000000000001E-4</v>
      </c>
      <c r="H66" s="290">
        <v>40.439</v>
      </c>
      <c r="I66" s="291">
        <v>5.798</v>
      </c>
      <c r="J66" s="291">
        <v>-5.6000000000000001E-2</v>
      </c>
      <c r="K66" s="292">
        <v>4.0000000000000002E-4</v>
      </c>
      <c r="L66" s="290"/>
      <c r="M66" s="291">
        <v>2.3620000000000001</v>
      </c>
      <c r="N66" s="291"/>
      <c r="O66" s="293"/>
      <c r="P66" s="290">
        <v>20.591000000000001</v>
      </c>
      <c r="Q66" s="291">
        <v>4.8600000000000003</v>
      </c>
      <c r="R66" s="291">
        <v>-4.2000000000000003E-2</v>
      </c>
      <c r="S66" s="292">
        <v>2.9999999999999997E-4</v>
      </c>
      <c r="T66" s="290">
        <v>24.722999999999999</v>
      </c>
      <c r="U66" s="291">
        <v>13.863</v>
      </c>
      <c r="V66" s="291">
        <v>-0.218</v>
      </c>
      <c r="W66" s="292">
        <v>1.4E-3</v>
      </c>
      <c r="X66" s="290">
        <v>39.218000000000004</v>
      </c>
      <c r="Y66" s="291">
        <v>9.5850000000000009</v>
      </c>
      <c r="Z66" s="291">
        <v>-0.13800000000000001</v>
      </c>
      <c r="AA66" s="292">
        <v>1.1999999999999999E-3</v>
      </c>
      <c r="AB66" s="290"/>
      <c r="AC66" s="291">
        <v>3.5310000000000001</v>
      </c>
      <c r="AD66" s="291"/>
      <c r="AE66" s="293"/>
      <c r="AF66" s="290">
        <v>30.602</v>
      </c>
      <c r="AG66" s="291">
        <v>8.5589999999999993</v>
      </c>
      <c r="AH66" s="291">
        <v>-0.114</v>
      </c>
      <c r="AI66" s="292">
        <v>8.9999999999999998E-4</v>
      </c>
    </row>
    <row r="67" spans="1:35" ht="13.5" customHeight="1">
      <c r="A67" s="23"/>
      <c r="B67" s="294">
        <v>2050</v>
      </c>
      <c r="C67" s="22"/>
      <c r="D67" s="290">
        <v>34.283999999999999</v>
      </c>
      <c r="E67" s="291">
        <v>7.2859999999999996</v>
      </c>
      <c r="F67" s="291">
        <v>-8.3000000000000004E-2</v>
      </c>
      <c r="G67" s="292">
        <v>5.0000000000000001E-4</v>
      </c>
      <c r="H67" s="290">
        <v>40.524000000000001</v>
      </c>
      <c r="I67" s="291">
        <v>5.81</v>
      </c>
      <c r="J67" s="291">
        <v>-5.6000000000000001E-2</v>
      </c>
      <c r="K67" s="292">
        <v>4.0000000000000002E-4</v>
      </c>
      <c r="L67" s="290"/>
      <c r="M67" s="291">
        <v>2.351</v>
      </c>
      <c r="N67" s="291"/>
      <c r="O67" s="293"/>
      <c r="P67" s="290">
        <v>20.3</v>
      </c>
      <c r="Q67" s="291">
        <v>4.8230000000000004</v>
      </c>
      <c r="R67" s="291">
        <v>-4.1000000000000002E-2</v>
      </c>
      <c r="S67" s="292">
        <v>2.9999999999999997E-4</v>
      </c>
      <c r="T67" s="290">
        <v>24.783999999999999</v>
      </c>
      <c r="U67" s="291">
        <v>13.897</v>
      </c>
      <c r="V67" s="291">
        <v>-0.218</v>
      </c>
      <c r="W67" s="292">
        <v>1.4E-3</v>
      </c>
      <c r="X67" s="290">
        <v>39.317</v>
      </c>
      <c r="Y67" s="291">
        <v>9.609</v>
      </c>
      <c r="Z67" s="291">
        <v>-0.13900000000000001</v>
      </c>
      <c r="AA67" s="292">
        <v>1.1999999999999999E-3</v>
      </c>
      <c r="AB67" s="290"/>
      <c r="AC67" s="291">
        <v>3.5030000000000001</v>
      </c>
      <c r="AD67" s="291"/>
      <c r="AE67" s="293"/>
      <c r="AF67" s="290">
        <v>30.364000000000001</v>
      </c>
      <c r="AG67" s="291">
        <v>8.5280000000000005</v>
      </c>
      <c r="AH67" s="291">
        <v>-0.113</v>
      </c>
      <c r="AI67" s="292">
        <v>8.9999999999999998E-4</v>
      </c>
    </row>
    <row r="68" spans="1:35" ht="13.5" customHeight="1">
      <c r="A68" s="23"/>
      <c r="B68" s="294">
        <v>2051</v>
      </c>
      <c r="C68" s="22"/>
      <c r="D68" s="290">
        <v>34.4</v>
      </c>
      <c r="E68" s="291">
        <v>7.31</v>
      </c>
      <c r="F68" s="291">
        <v>-8.3000000000000004E-2</v>
      </c>
      <c r="G68" s="292">
        <v>5.9999999999999995E-4</v>
      </c>
      <c r="H68" s="290">
        <v>40.655999999999999</v>
      </c>
      <c r="I68" s="291">
        <v>5.8289999999999997</v>
      </c>
      <c r="J68" s="291">
        <v>-5.6000000000000001E-2</v>
      </c>
      <c r="K68" s="292">
        <v>4.0000000000000002E-4</v>
      </c>
      <c r="L68" s="290"/>
      <c r="M68" s="291">
        <v>2.351</v>
      </c>
      <c r="N68" s="291"/>
      <c r="O68" s="293"/>
      <c r="P68" s="290">
        <v>20.367000000000001</v>
      </c>
      <c r="Q68" s="291">
        <v>4.8360000000000003</v>
      </c>
      <c r="R68" s="291">
        <v>-4.1000000000000002E-2</v>
      </c>
      <c r="S68" s="292">
        <v>2.9999999999999997E-4</v>
      </c>
      <c r="T68" s="290">
        <v>24.867999999999999</v>
      </c>
      <c r="U68" s="291">
        <v>13.944000000000001</v>
      </c>
      <c r="V68" s="291">
        <v>-0.219</v>
      </c>
      <c r="W68" s="292">
        <v>1.4E-3</v>
      </c>
      <c r="X68" s="290">
        <v>39.445</v>
      </c>
      <c r="Y68" s="291">
        <v>9.641</v>
      </c>
      <c r="Z68" s="291">
        <v>-0.13900000000000001</v>
      </c>
      <c r="AA68" s="292">
        <v>1.1999999999999999E-3</v>
      </c>
      <c r="AB68" s="290"/>
      <c r="AC68" s="291">
        <v>3.5030000000000001</v>
      </c>
      <c r="AD68" s="291"/>
      <c r="AE68" s="293"/>
      <c r="AF68" s="290">
        <v>30.463000000000001</v>
      </c>
      <c r="AG68" s="291">
        <v>8.5540000000000003</v>
      </c>
      <c r="AH68" s="291">
        <v>-0.114</v>
      </c>
      <c r="AI68" s="292">
        <v>8.9999999999999998E-4</v>
      </c>
    </row>
    <row r="69" spans="1:35" ht="13.5" customHeight="1">
      <c r="A69" s="23"/>
      <c r="B69" s="294">
        <v>2052</v>
      </c>
      <c r="C69" s="22"/>
      <c r="D69" s="290">
        <v>34.515999999999998</v>
      </c>
      <c r="E69" s="291">
        <v>7.335</v>
      </c>
      <c r="F69" s="291">
        <v>-8.4000000000000005E-2</v>
      </c>
      <c r="G69" s="292">
        <v>5.9999999999999995E-4</v>
      </c>
      <c r="H69" s="290">
        <v>40.79</v>
      </c>
      <c r="I69" s="291">
        <v>5.8479999999999999</v>
      </c>
      <c r="J69" s="291">
        <v>-5.6000000000000001E-2</v>
      </c>
      <c r="K69" s="292">
        <v>4.0000000000000002E-4</v>
      </c>
      <c r="L69" s="290"/>
      <c r="M69" s="291">
        <v>2.351</v>
      </c>
      <c r="N69" s="291"/>
      <c r="O69" s="293"/>
      <c r="P69" s="290">
        <v>20.436</v>
      </c>
      <c r="Q69" s="291">
        <v>4.8479999999999999</v>
      </c>
      <c r="R69" s="291">
        <v>-4.1000000000000002E-2</v>
      </c>
      <c r="S69" s="292">
        <v>2.9999999999999997E-4</v>
      </c>
      <c r="T69" s="290">
        <v>24.952000000000002</v>
      </c>
      <c r="U69" s="291">
        <v>13.992000000000001</v>
      </c>
      <c r="V69" s="291">
        <v>-0.22</v>
      </c>
      <c r="W69" s="292">
        <v>1.4E-3</v>
      </c>
      <c r="X69" s="290">
        <v>39.575000000000003</v>
      </c>
      <c r="Y69" s="291">
        <v>9.6720000000000006</v>
      </c>
      <c r="Z69" s="291">
        <v>-0.14000000000000001</v>
      </c>
      <c r="AA69" s="292">
        <v>1.1999999999999999E-3</v>
      </c>
      <c r="AB69" s="290"/>
      <c r="AC69" s="291">
        <v>3.5030000000000001</v>
      </c>
      <c r="AD69" s="291"/>
      <c r="AE69" s="293"/>
      <c r="AF69" s="290">
        <v>30.562999999999999</v>
      </c>
      <c r="AG69" s="291">
        <v>8.5790000000000006</v>
      </c>
      <c r="AH69" s="291">
        <v>-0.114</v>
      </c>
      <c r="AI69" s="292">
        <v>8.9999999999999998E-4</v>
      </c>
    </row>
    <row r="70" spans="1:35" ht="13.5" customHeight="1">
      <c r="A70" s="23"/>
      <c r="B70" s="294">
        <v>2053</v>
      </c>
      <c r="C70" s="22"/>
      <c r="D70" s="290">
        <v>34.633000000000003</v>
      </c>
      <c r="E70" s="291">
        <v>7.36</v>
      </c>
      <c r="F70" s="291">
        <v>-8.4000000000000005E-2</v>
      </c>
      <c r="G70" s="292">
        <v>5.9999999999999995E-4</v>
      </c>
      <c r="H70" s="290">
        <v>40.923999999999999</v>
      </c>
      <c r="I70" s="291">
        <v>5.867</v>
      </c>
      <c r="J70" s="291">
        <v>-5.6000000000000001E-2</v>
      </c>
      <c r="K70" s="292">
        <v>4.0000000000000002E-4</v>
      </c>
      <c r="L70" s="290"/>
      <c r="M70" s="291">
        <v>2.351</v>
      </c>
      <c r="N70" s="291"/>
      <c r="O70" s="293"/>
      <c r="P70" s="290">
        <v>20.504000000000001</v>
      </c>
      <c r="Q70" s="291">
        <v>4.8609999999999998</v>
      </c>
      <c r="R70" s="291">
        <v>-4.2000000000000003E-2</v>
      </c>
      <c r="S70" s="292">
        <v>2.9999999999999997E-4</v>
      </c>
      <c r="T70" s="290">
        <v>25.036999999999999</v>
      </c>
      <c r="U70" s="291">
        <v>14.039</v>
      </c>
      <c r="V70" s="291">
        <v>-0.22</v>
      </c>
      <c r="W70" s="292">
        <v>1.4E-3</v>
      </c>
      <c r="X70" s="290">
        <v>39.704999999999998</v>
      </c>
      <c r="Y70" s="291">
        <v>9.7040000000000006</v>
      </c>
      <c r="Z70" s="291">
        <v>-0.14000000000000001</v>
      </c>
      <c r="AA70" s="292">
        <v>1.1999999999999999E-3</v>
      </c>
      <c r="AB70" s="290"/>
      <c r="AC70" s="291">
        <v>3.5030000000000001</v>
      </c>
      <c r="AD70" s="291"/>
      <c r="AE70" s="293"/>
      <c r="AF70" s="290">
        <v>30.664000000000001</v>
      </c>
      <c r="AG70" s="291">
        <v>8.6050000000000004</v>
      </c>
      <c r="AH70" s="291">
        <v>-0.114</v>
      </c>
      <c r="AI70" s="292">
        <v>8.9999999999999998E-4</v>
      </c>
    </row>
    <row r="71" spans="1:35" ht="13.5" customHeight="1">
      <c r="A71" s="23"/>
      <c r="B71" s="294">
        <v>2054</v>
      </c>
      <c r="C71" s="22"/>
      <c r="D71" s="290">
        <v>34.750999999999998</v>
      </c>
      <c r="E71" s="291">
        <v>7.3849999999999998</v>
      </c>
      <c r="F71" s="291">
        <v>-8.4000000000000005E-2</v>
      </c>
      <c r="G71" s="292">
        <v>5.9999999999999995E-4</v>
      </c>
      <c r="H71" s="290">
        <v>41.058</v>
      </c>
      <c r="I71" s="291">
        <v>5.8869999999999996</v>
      </c>
      <c r="J71" s="291">
        <v>-5.7000000000000002E-2</v>
      </c>
      <c r="K71" s="292">
        <v>4.0000000000000002E-4</v>
      </c>
      <c r="L71" s="290"/>
      <c r="M71" s="291">
        <v>2.351</v>
      </c>
      <c r="N71" s="291"/>
      <c r="O71" s="293"/>
      <c r="P71" s="290">
        <v>20.573</v>
      </c>
      <c r="Q71" s="291">
        <v>4.8739999999999997</v>
      </c>
      <c r="R71" s="291">
        <v>-4.2000000000000003E-2</v>
      </c>
      <c r="S71" s="292">
        <v>2.9999999999999997E-4</v>
      </c>
      <c r="T71" s="290">
        <v>25.122</v>
      </c>
      <c r="U71" s="291">
        <v>14.087</v>
      </c>
      <c r="V71" s="291">
        <v>-0.221</v>
      </c>
      <c r="W71" s="292">
        <v>1.4E-3</v>
      </c>
      <c r="X71" s="290">
        <v>39.835000000000001</v>
      </c>
      <c r="Y71" s="291">
        <v>9.7360000000000007</v>
      </c>
      <c r="Z71" s="291">
        <v>-0.14000000000000001</v>
      </c>
      <c r="AA71" s="292">
        <v>1.1999999999999999E-3</v>
      </c>
      <c r="AB71" s="290"/>
      <c r="AC71" s="291">
        <v>3.5030000000000001</v>
      </c>
      <c r="AD71" s="291"/>
      <c r="AE71" s="293"/>
      <c r="AF71" s="290">
        <v>30.765000000000001</v>
      </c>
      <c r="AG71" s="291">
        <v>8.6310000000000002</v>
      </c>
      <c r="AH71" s="291">
        <v>-0.115</v>
      </c>
      <c r="AI71" s="292">
        <v>1E-3</v>
      </c>
    </row>
    <row r="72" spans="1:35" ht="13.5" customHeight="1">
      <c r="A72" s="23"/>
      <c r="B72" s="294">
        <v>2055</v>
      </c>
      <c r="C72" s="22"/>
      <c r="D72" s="290">
        <v>34.869999999999997</v>
      </c>
      <c r="E72" s="291">
        <v>7.41</v>
      </c>
      <c r="F72" s="291">
        <v>-8.4000000000000005E-2</v>
      </c>
      <c r="G72" s="292">
        <v>5.9999999999999995E-4</v>
      </c>
      <c r="H72" s="290">
        <v>41.194000000000003</v>
      </c>
      <c r="I72" s="291">
        <v>5.9059999999999997</v>
      </c>
      <c r="J72" s="291">
        <v>-5.7000000000000002E-2</v>
      </c>
      <c r="K72" s="292">
        <v>4.0000000000000002E-4</v>
      </c>
      <c r="L72" s="290"/>
      <c r="M72" s="291">
        <v>2.351</v>
      </c>
      <c r="N72" s="291"/>
      <c r="O72" s="293"/>
      <c r="P72" s="290">
        <v>20.641999999999999</v>
      </c>
      <c r="Q72" s="291">
        <v>4.8869999999999996</v>
      </c>
      <c r="R72" s="291">
        <v>-4.2000000000000003E-2</v>
      </c>
      <c r="S72" s="292">
        <v>2.9999999999999997E-4</v>
      </c>
      <c r="T72" s="290">
        <v>25.207000000000001</v>
      </c>
      <c r="U72" s="291">
        <v>14.135</v>
      </c>
      <c r="V72" s="291">
        <v>-0.222</v>
      </c>
      <c r="W72" s="292">
        <v>1.4E-3</v>
      </c>
      <c r="X72" s="290">
        <v>39.966999999999999</v>
      </c>
      <c r="Y72" s="291">
        <v>9.7680000000000007</v>
      </c>
      <c r="Z72" s="291">
        <v>-0.14099999999999999</v>
      </c>
      <c r="AA72" s="292">
        <v>1.1999999999999999E-3</v>
      </c>
      <c r="AB72" s="290"/>
      <c r="AC72" s="291">
        <v>3.5030000000000001</v>
      </c>
      <c r="AD72" s="291"/>
      <c r="AE72" s="293"/>
      <c r="AF72" s="290">
        <v>30.866</v>
      </c>
      <c r="AG72" s="291">
        <v>8.657</v>
      </c>
      <c r="AH72" s="291">
        <v>-0.115</v>
      </c>
      <c r="AI72" s="292">
        <v>1E-3</v>
      </c>
    </row>
    <row r="73" spans="1:35" ht="13.5" customHeight="1">
      <c r="A73" s="23"/>
      <c r="B73" s="294">
        <v>2056</v>
      </c>
      <c r="C73" s="22"/>
      <c r="D73" s="290">
        <v>34.988999999999997</v>
      </c>
      <c r="E73" s="291">
        <v>7.4359999999999999</v>
      </c>
      <c r="F73" s="291">
        <v>-8.5000000000000006E-2</v>
      </c>
      <c r="G73" s="292">
        <v>5.9999999999999995E-4</v>
      </c>
      <c r="H73" s="290">
        <v>41.33</v>
      </c>
      <c r="I73" s="291">
        <v>5.9260000000000002</v>
      </c>
      <c r="J73" s="291">
        <v>-5.7000000000000002E-2</v>
      </c>
      <c r="K73" s="292">
        <v>4.0000000000000002E-4</v>
      </c>
      <c r="L73" s="290"/>
      <c r="M73" s="291">
        <v>2.351</v>
      </c>
      <c r="N73" s="291"/>
      <c r="O73" s="293"/>
      <c r="P73" s="290">
        <v>20.712</v>
      </c>
      <c r="Q73" s="291">
        <v>4.9000000000000004</v>
      </c>
      <c r="R73" s="291">
        <v>-4.2000000000000003E-2</v>
      </c>
      <c r="S73" s="292">
        <v>2.9999999999999997E-4</v>
      </c>
      <c r="T73" s="290">
        <v>25.294</v>
      </c>
      <c r="U73" s="291">
        <v>14.183</v>
      </c>
      <c r="V73" s="291">
        <v>-0.223</v>
      </c>
      <c r="W73" s="292">
        <v>1.4E-3</v>
      </c>
      <c r="X73" s="290">
        <v>40.098999999999997</v>
      </c>
      <c r="Y73" s="291">
        <v>9.8000000000000007</v>
      </c>
      <c r="Z73" s="291">
        <v>-0.14099999999999999</v>
      </c>
      <c r="AA73" s="292">
        <v>1.1999999999999999E-3</v>
      </c>
      <c r="AB73" s="290"/>
      <c r="AC73" s="291">
        <v>3.5030000000000001</v>
      </c>
      <c r="AD73" s="291"/>
      <c r="AE73" s="293"/>
      <c r="AF73" s="290">
        <v>30.969000000000001</v>
      </c>
      <c r="AG73" s="291">
        <v>8.6839999999999993</v>
      </c>
      <c r="AH73" s="291">
        <v>-0.11600000000000001</v>
      </c>
      <c r="AI73" s="292">
        <v>1E-3</v>
      </c>
    </row>
    <row r="74" spans="1:35" ht="13.5" customHeight="1">
      <c r="A74" s="23"/>
      <c r="B74" s="294">
        <v>2057</v>
      </c>
      <c r="C74" s="22"/>
      <c r="D74" s="290">
        <v>35.109000000000002</v>
      </c>
      <c r="E74" s="291">
        <v>7.4610000000000003</v>
      </c>
      <c r="F74" s="291">
        <v>-8.5000000000000006E-2</v>
      </c>
      <c r="G74" s="292">
        <v>5.9999999999999995E-4</v>
      </c>
      <c r="H74" s="290">
        <v>41.466999999999999</v>
      </c>
      <c r="I74" s="291">
        <v>5.9450000000000003</v>
      </c>
      <c r="J74" s="291">
        <v>-5.7000000000000002E-2</v>
      </c>
      <c r="K74" s="292">
        <v>5.0000000000000001E-4</v>
      </c>
      <c r="L74" s="290"/>
      <c r="M74" s="291">
        <v>2.351</v>
      </c>
      <c r="N74" s="291"/>
      <c r="O74" s="293"/>
      <c r="P74" s="290">
        <v>20.782</v>
      </c>
      <c r="Q74" s="291">
        <v>4.9130000000000003</v>
      </c>
      <c r="R74" s="291">
        <v>-4.2000000000000003E-2</v>
      </c>
      <c r="S74" s="292">
        <v>2.9999999999999997E-4</v>
      </c>
      <c r="T74" s="290">
        <v>25.38</v>
      </c>
      <c r="U74" s="291">
        <v>14.231999999999999</v>
      </c>
      <c r="V74" s="291">
        <v>-0.223</v>
      </c>
      <c r="W74" s="292">
        <v>1.4E-3</v>
      </c>
      <c r="X74" s="290">
        <v>40.231999999999999</v>
      </c>
      <c r="Y74" s="291">
        <v>9.8330000000000002</v>
      </c>
      <c r="Z74" s="291">
        <v>-0.14199999999999999</v>
      </c>
      <c r="AA74" s="292">
        <v>1.1999999999999999E-3</v>
      </c>
      <c r="AB74" s="290"/>
      <c r="AC74" s="291">
        <v>3.5030000000000001</v>
      </c>
      <c r="AD74" s="291"/>
      <c r="AE74" s="293"/>
      <c r="AF74" s="290">
        <v>31.071000000000002</v>
      </c>
      <c r="AG74" s="291">
        <v>8.7100000000000009</v>
      </c>
      <c r="AH74" s="291">
        <v>-0.11600000000000001</v>
      </c>
      <c r="AI74" s="292">
        <v>1E-3</v>
      </c>
    </row>
    <row r="75" spans="1:35" ht="13.5" customHeight="1">
      <c r="A75" s="23"/>
      <c r="B75" s="294">
        <v>2058</v>
      </c>
      <c r="C75" s="22"/>
      <c r="D75" s="290">
        <v>35.228999999999999</v>
      </c>
      <c r="E75" s="291">
        <v>7.4870000000000001</v>
      </c>
      <c r="F75" s="291">
        <v>-8.5000000000000006E-2</v>
      </c>
      <c r="G75" s="292">
        <v>5.9999999999999995E-4</v>
      </c>
      <c r="H75" s="290">
        <v>41.604999999999997</v>
      </c>
      <c r="I75" s="291">
        <v>5.9649999999999999</v>
      </c>
      <c r="J75" s="291">
        <v>-5.7000000000000002E-2</v>
      </c>
      <c r="K75" s="292">
        <v>5.0000000000000001E-4</v>
      </c>
      <c r="L75" s="290"/>
      <c r="M75" s="291">
        <v>2.351</v>
      </c>
      <c r="N75" s="291"/>
      <c r="O75" s="293"/>
      <c r="P75" s="290">
        <v>20.853000000000002</v>
      </c>
      <c r="Q75" s="291">
        <v>4.9260000000000002</v>
      </c>
      <c r="R75" s="291">
        <v>-4.2000000000000003E-2</v>
      </c>
      <c r="S75" s="292">
        <v>2.9999999999999997E-4</v>
      </c>
      <c r="T75" s="290">
        <v>25.466999999999999</v>
      </c>
      <c r="U75" s="291">
        <v>14.281000000000001</v>
      </c>
      <c r="V75" s="291">
        <v>-0.224</v>
      </c>
      <c r="W75" s="292">
        <v>1.4E-3</v>
      </c>
      <c r="X75" s="290">
        <v>40.366</v>
      </c>
      <c r="Y75" s="291">
        <v>9.8659999999999997</v>
      </c>
      <c r="Z75" s="291">
        <v>-0.14199999999999999</v>
      </c>
      <c r="AA75" s="292">
        <v>1.1999999999999999E-3</v>
      </c>
      <c r="AB75" s="290"/>
      <c r="AC75" s="291">
        <v>3.5030000000000001</v>
      </c>
      <c r="AD75" s="291"/>
      <c r="AE75" s="293"/>
      <c r="AF75" s="290">
        <v>31.175000000000001</v>
      </c>
      <c r="AG75" s="291">
        <v>8.7370000000000001</v>
      </c>
      <c r="AH75" s="291">
        <v>-0.11600000000000001</v>
      </c>
      <c r="AI75" s="292">
        <v>1E-3</v>
      </c>
    </row>
    <row r="76" spans="1:35" ht="13.5" customHeight="1">
      <c r="A76" s="23"/>
      <c r="B76" s="294">
        <v>2059</v>
      </c>
      <c r="C76" s="22"/>
      <c r="D76" s="290">
        <v>35.350999999999999</v>
      </c>
      <c r="E76" s="291">
        <v>7.5129999999999999</v>
      </c>
      <c r="F76" s="291">
        <v>-8.5999999999999993E-2</v>
      </c>
      <c r="G76" s="292">
        <v>5.9999999999999995E-4</v>
      </c>
      <c r="H76" s="290">
        <v>41.744</v>
      </c>
      <c r="I76" s="291">
        <v>5.9850000000000003</v>
      </c>
      <c r="J76" s="291">
        <v>-5.8000000000000003E-2</v>
      </c>
      <c r="K76" s="292">
        <v>5.0000000000000001E-4</v>
      </c>
      <c r="L76" s="290"/>
      <c r="M76" s="291">
        <v>2.351</v>
      </c>
      <c r="N76" s="291"/>
      <c r="O76" s="293"/>
      <c r="P76" s="290">
        <v>20.923999999999999</v>
      </c>
      <c r="Q76" s="291">
        <v>4.9390000000000001</v>
      </c>
      <c r="R76" s="291">
        <v>-4.2000000000000003E-2</v>
      </c>
      <c r="S76" s="292">
        <v>2.9999999999999997E-4</v>
      </c>
      <c r="T76" s="290">
        <v>25.555</v>
      </c>
      <c r="U76" s="291">
        <v>14.33</v>
      </c>
      <c r="V76" s="291">
        <v>-0.22500000000000001</v>
      </c>
      <c r="W76" s="292">
        <v>1.5E-3</v>
      </c>
      <c r="X76" s="290">
        <v>40.500999999999998</v>
      </c>
      <c r="Y76" s="291">
        <v>9.8979999999999997</v>
      </c>
      <c r="Z76" s="291">
        <v>-0.14299999999999999</v>
      </c>
      <c r="AA76" s="292">
        <v>1.1999999999999999E-3</v>
      </c>
      <c r="AB76" s="290"/>
      <c r="AC76" s="291">
        <v>3.5030000000000001</v>
      </c>
      <c r="AD76" s="291"/>
      <c r="AE76" s="293"/>
      <c r="AF76" s="290">
        <v>31.279</v>
      </c>
      <c r="AG76" s="291">
        <v>8.7629999999999999</v>
      </c>
      <c r="AH76" s="291">
        <v>-0.11700000000000001</v>
      </c>
      <c r="AI76" s="292">
        <v>1E-3</v>
      </c>
    </row>
    <row r="77" spans="1:35" ht="13.5" customHeight="1">
      <c r="A77" s="23"/>
      <c r="B77" s="294">
        <v>2060</v>
      </c>
      <c r="C77" s="22"/>
      <c r="D77" s="290">
        <v>35.472999999999999</v>
      </c>
      <c r="E77" s="291">
        <v>7.5389999999999997</v>
      </c>
      <c r="F77" s="291">
        <v>-8.5999999999999993E-2</v>
      </c>
      <c r="G77" s="292">
        <v>5.9999999999999995E-4</v>
      </c>
      <c r="H77" s="290">
        <v>41.884</v>
      </c>
      <c r="I77" s="291">
        <v>6.0049999999999999</v>
      </c>
      <c r="J77" s="291">
        <v>-5.8000000000000003E-2</v>
      </c>
      <c r="K77" s="292">
        <v>5.0000000000000001E-4</v>
      </c>
      <c r="L77" s="290"/>
      <c r="M77" s="291">
        <v>2.351</v>
      </c>
      <c r="N77" s="291"/>
      <c r="O77" s="293"/>
      <c r="P77" s="290">
        <v>20.995000000000001</v>
      </c>
      <c r="Q77" s="291">
        <v>4.9530000000000003</v>
      </c>
      <c r="R77" s="291">
        <v>-4.2999999999999997E-2</v>
      </c>
      <c r="S77" s="292">
        <v>2.9999999999999997E-4</v>
      </c>
      <c r="T77" s="290">
        <v>25.643000000000001</v>
      </c>
      <c r="U77" s="291">
        <v>14.379</v>
      </c>
      <c r="V77" s="291">
        <v>-0.22600000000000001</v>
      </c>
      <c r="W77" s="292">
        <v>1.5E-3</v>
      </c>
      <c r="X77" s="290">
        <v>40.636000000000003</v>
      </c>
      <c r="Y77" s="291">
        <v>9.9320000000000004</v>
      </c>
      <c r="Z77" s="291">
        <v>-0.14299999999999999</v>
      </c>
      <c r="AA77" s="292">
        <v>1.1999999999999999E-3</v>
      </c>
      <c r="AB77" s="290"/>
      <c r="AC77" s="291">
        <v>3.5030000000000001</v>
      </c>
      <c r="AD77" s="291"/>
      <c r="AE77" s="293"/>
      <c r="AF77" s="290">
        <v>31.384</v>
      </c>
      <c r="AG77" s="291">
        <v>8.7899999999999991</v>
      </c>
      <c r="AH77" s="291">
        <v>-0.11700000000000001</v>
      </c>
      <c r="AI77" s="292">
        <v>1E-3</v>
      </c>
    </row>
    <row r="78" spans="1:35" ht="13.5" customHeight="1">
      <c r="A78" s="23"/>
      <c r="B78" s="294">
        <v>2061</v>
      </c>
      <c r="C78" s="22"/>
      <c r="D78" s="290">
        <v>35.595999999999997</v>
      </c>
      <c r="E78" s="291">
        <v>7.5650000000000004</v>
      </c>
      <c r="F78" s="291">
        <v>-8.5999999999999993E-2</v>
      </c>
      <c r="G78" s="292">
        <v>5.9999999999999995E-4</v>
      </c>
      <c r="H78" s="290">
        <v>42.024000000000001</v>
      </c>
      <c r="I78" s="291">
        <v>6.0250000000000004</v>
      </c>
      <c r="J78" s="291">
        <v>-5.8000000000000003E-2</v>
      </c>
      <c r="K78" s="292">
        <v>5.0000000000000001E-4</v>
      </c>
      <c r="L78" s="290"/>
      <c r="M78" s="291">
        <v>2.351</v>
      </c>
      <c r="N78" s="291"/>
      <c r="O78" s="293"/>
      <c r="P78" s="290">
        <v>21.067</v>
      </c>
      <c r="Q78" s="291">
        <v>4.9660000000000002</v>
      </c>
      <c r="R78" s="291">
        <v>-4.2999999999999997E-2</v>
      </c>
      <c r="S78" s="292">
        <v>2.9999999999999997E-4</v>
      </c>
      <c r="T78" s="290">
        <v>25.731999999999999</v>
      </c>
      <c r="U78" s="291">
        <v>14.429</v>
      </c>
      <c r="V78" s="291">
        <v>-0.22600000000000001</v>
      </c>
      <c r="W78" s="292">
        <v>1.5E-3</v>
      </c>
      <c r="X78" s="290">
        <v>40.771999999999998</v>
      </c>
      <c r="Y78" s="291">
        <v>9.9649999999999999</v>
      </c>
      <c r="Z78" s="291">
        <v>-0.14399999999999999</v>
      </c>
      <c r="AA78" s="292">
        <v>1.1999999999999999E-3</v>
      </c>
      <c r="AB78" s="290"/>
      <c r="AC78" s="291">
        <v>3.5030000000000001</v>
      </c>
      <c r="AD78" s="291"/>
      <c r="AE78" s="293"/>
      <c r="AF78" s="290">
        <v>31.489000000000001</v>
      </c>
      <c r="AG78" s="291">
        <v>8.8170000000000002</v>
      </c>
      <c r="AH78" s="291">
        <v>-0.11700000000000001</v>
      </c>
      <c r="AI78" s="292">
        <v>1E-3</v>
      </c>
    </row>
    <row r="79" spans="1:35" ht="13.5" customHeight="1">
      <c r="A79" s="23"/>
      <c r="B79" s="294">
        <v>2062</v>
      </c>
      <c r="C79" s="22"/>
      <c r="D79" s="290">
        <v>35.719000000000001</v>
      </c>
      <c r="E79" s="291">
        <v>7.5910000000000002</v>
      </c>
      <c r="F79" s="291">
        <v>-8.5999999999999993E-2</v>
      </c>
      <c r="G79" s="292">
        <v>5.9999999999999995E-4</v>
      </c>
      <c r="H79" s="290">
        <v>42.164999999999999</v>
      </c>
      <c r="I79" s="291">
        <v>6.0449999999999999</v>
      </c>
      <c r="J79" s="291">
        <v>-5.8000000000000003E-2</v>
      </c>
      <c r="K79" s="292">
        <v>5.0000000000000001E-4</v>
      </c>
      <c r="L79" s="290"/>
      <c r="M79" s="291">
        <v>2.351</v>
      </c>
      <c r="N79" s="291"/>
      <c r="O79" s="293"/>
      <c r="P79" s="290">
        <v>21.138999999999999</v>
      </c>
      <c r="Q79" s="291">
        <v>4.9800000000000004</v>
      </c>
      <c r="R79" s="291">
        <v>-4.2999999999999997E-2</v>
      </c>
      <c r="S79" s="292">
        <v>2.9999999999999997E-4</v>
      </c>
      <c r="T79" s="290">
        <v>25.821000000000002</v>
      </c>
      <c r="U79" s="291">
        <v>14.478999999999999</v>
      </c>
      <c r="V79" s="291">
        <v>-0.22700000000000001</v>
      </c>
      <c r="W79" s="292">
        <v>1.5E-3</v>
      </c>
      <c r="X79" s="290">
        <v>40.908999999999999</v>
      </c>
      <c r="Y79" s="291">
        <v>9.9979999999999993</v>
      </c>
      <c r="Z79" s="291">
        <v>-0.14399999999999999</v>
      </c>
      <c r="AA79" s="292">
        <v>1.1999999999999999E-3</v>
      </c>
      <c r="AB79" s="290"/>
      <c r="AC79" s="291">
        <v>3.5030000000000001</v>
      </c>
      <c r="AD79" s="291"/>
      <c r="AE79" s="293"/>
      <c r="AF79" s="290">
        <v>31.594999999999999</v>
      </c>
      <c r="AG79" s="291">
        <v>8.8450000000000006</v>
      </c>
      <c r="AH79" s="291">
        <v>-0.11799999999999999</v>
      </c>
      <c r="AI79" s="292">
        <v>1E-3</v>
      </c>
    </row>
    <row r="80" spans="1:35" ht="13.5" customHeight="1">
      <c r="A80" s="23"/>
      <c r="B80" s="294">
        <v>2063</v>
      </c>
      <c r="C80" s="22"/>
      <c r="D80" s="290">
        <v>35.843000000000004</v>
      </c>
      <c r="E80" s="291">
        <v>7.617</v>
      </c>
      <c r="F80" s="291">
        <v>-8.6999999999999994E-2</v>
      </c>
      <c r="G80" s="292">
        <v>5.9999999999999995E-4</v>
      </c>
      <c r="H80" s="290">
        <v>42.307000000000002</v>
      </c>
      <c r="I80" s="291">
        <v>6.0659999999999998</v>
      </c>
      <c r="J80" s="291">
        <v>-5.8000000000000003E-2</v>
      </c>
      <c r="K80" s="292">
        <v>5.0000000000000001E-4</v>
      </c>
      <c r="L80" s="290"/>
      <c r="M80" s="291">
        <v>2.351</v>
      </c>
      <c r="N80" s="291"/>
      <c r="O80" s="293"/>
      <c r="P80" s="290">
        <v>21.212</v>
      </c>
      <c r="Q80" s="291">
        <v>4.9930000000000003</v>
      </c>
      <c r="R80" s="291">
        <v>-4.2999999999999997E-2</v>
      </c>
      <c r="S80" s="292">
        <v>2.9999999999999997E-4</v>
      </c>
      <c r="T80" s="290">
        <v>25.911000000000001</v>
      </c>
      <c r="U80" s="291">
        <v>14.53</v>
      </c>
      <c r="V80" s="291">
        <v>-0.22800000000000001</v>
      </c>
      <c r="W80" s="292">
        <v>1.5E-3</v>
      </c>
      <c r="X80" s="290">
        <v>41.046999999999997</v>
      </c>
      <c r="Y80" s="291">
        <v>10.032</v>
      </c>
      <c r="Z80" s="291">
        <v>-0.14499999999999999</v>
      </c>
      <c r="AA80" s="292">
        <v>1.1999999999999999E-3</v>
      </c>
      <c r="AB80" s="290"/>
      <c r="AC80" s="291">
        <v>3.5030000000000001</v>
      </c>
      <c r="AD80" s="291"/>
      <c r="AE80" s="293"/>
      <c r="AF80" s="290">
        <v>31.702000000000002</v>
      </c>
      <c r="AG80" s="291">
        <v>8.8719999999999999</v>
      </c>
      <c r="AH80" s="291">
        <v>-0.11799999999999999</v>
      </c>
      <c r="AI80" s="292">
        <v>1E-3</v>
      </c>
    </row>
    <row r="81" spans="1:35" ht="13.5" customHeight="1">
      <c r="A81" s="23"/>
      <c r="B81" s="294">
        <v>2064</v>
      </c>
      <c r="C81" s="22"/>
      <c r="D81" s="290">
        <v>35.968000000000004</v>
      </c>
      <c r="E81" s="291">
        <v>7.6440000000000001</v>
      </c>
      <c r="F81" s="291">
        <v>-8.6999999999999994E-2</v>
      </c>
      <c r="G81" s="292">
        <v>5.9999999999999995E-4</v>
      </c>
      <c r="H81" s="290">
        <v>42.45</v>
      </c>
      <c r="I81" s="291">
        <v>6.0860000000000003</v>
      </c>
      <c r="J81" s="291">
        <v>-5.8999999999999997E-2</v>
      </c>
      <c r="K81" s="292">
        <v>5.0000000000000001E-4</v>
      </c>
      <c r="L81" s="290"/>
      <c r="M81" s="291">
        <v>2.351</v>
      </c>
      <c r="N81" s="291"/>
      <c r="O81" s="293"/>
      <c r="P81" s="290">
        <v>21.285</v>
      </c>
      <c r="Q81" s="291">
        <v>5.0069999999999997</v>
      </c>
      <c r="R81" s="291">
        <v>-4.2999999999999997E-2</v>
      </c>
      <c r="S81" s="292">
        <v>2.9999999999999997E-4</v>
      </c>
      <c r="T81" s="290">
        <v>26.001999999999999</v>
      </c>
      <c r="U81" s="291">
        <v>14.58</v>
      </c>
      <c r="V81" s="291">
        <v>-0.22900000000000001</v>
      </c>
      <c r="W81" s="292">
        <v>1.5E-3</v>
      </c>
      <c r="X81" s="290">
        <v>41.186</v>
      </c>
      <c r="Y81" s="291">
        <v>10.066000000000001</v>
      </c>
      <c r="Z81" s="291">
        <v>-0.14499999999999999</v>
      </c>
      <c r="AA81" s="292">
        <v>1.1999999999999999E-3</v>
      </c>
      <c r="AB81" s="290"/>
      <c r="AC81" s="291">
        <v>3.5030000000000001</v>
      </c>
      <c r="AD81" s="291"/>
      <c r="AE81" s="293"/>
      <c r="AF81" s="290">
        <v>31.809000000000001</v>
      </c>
      <c r="AG81" s="291">
        <v>8.9</v>
      </c>
      <c r="AH81" s="291">
        <v>-0.11899999999999999</v>
      </c>
      <c r="AI81" s="292">
        <v>1E-3</v>
      </c>
    </row>
    <row r="82" spans="1:35" ht="13.5" customHeight="1">
      <c r="A82" s="23"/>
      <c r="B82" s="294">
        <v>2065</v>
      </c>
      <c r="C82" s="22"/>
      <c r="D82" s="290">
        <v>36.094000000000001</v>
      </c>
      <c r="E82" s="291">
        <v>7.6710000000000003</v>
      </c>
      <c r="F82" s="291">
        <v>-8.6999999999999994E-2</v>
      </c>
      <c r="G82" s="292">
        <v>5.9999999999999995E-4</v>
      </c>
      <c r="H82" s="290">
        <v>42.594000000000001</v>
      </c>
      <c r="I82" s="291">
        <v>6.1070000000000002</v>
      </c>
      <c r="J82" s="291">
        <v>-5.8999999999999997E-2</v>
      </c>
      <c r="K82" s="292">
        <v>5.0000000000000001E-4</v>
      </c>
      <c r="L82" s="290"/>
      <c r="M82" s="291">
        <v>2.351</v>
      </c>
      <c r="N82" s="291"/>
      <c r="O82" s="293"/>
      <c r="P82" s="290">
        <v>21.358000000000001</v>
      </c>
      <c r="Q82" s="291">
        <v>5.0209999999999999</v>
      </c>
      <c r="R82" s="291">
        <v>-4.2999999999999997E-2</v>
      </c>
      <c r="S82" s="292">
        <v>2.9999999999999997E-4</v>
      </c>
      <c r="T82" s="290">
        <v>26.091999999999999</v>
      </c>
      <c r="U82" s="291">
        <v>14.631</v>
      </c>
      <c r="V82" s="291">
        <v>-0.23</v>
      </c>
      <c r="W82" s="292">
        <v>1.5E-3</v>
      </c>
      <c r="X82" s="290">
        <v>41.325000000000003</v>
      </c>
      <c r="Y82" s="291">
        <v>10.1</v>
      </c>
      <c r="Z82" s="291">
        <v>-0.14599999999999999</v>
      </c>
      <c r="AA82" s="292">
        <v>1.1999999999999999E-3</v>
      </c>
      <c r="AB82" s="290"/>
      <c r="AC82" s="291">
        <v>3.5030000000000001</v>
      </c>
      <c r="AD82" s="291"/>
      <c r="AE82" s="293"/>
      <c r="AF82" s="290">
        <v>31.917000000000002</v>
      </c>
      <c r="AG82" s="291">
        <v>8.9269999999999996</v>
      </c>
      <c r="AH82" s="291">
        <v>-0.11899999999999999</v>
      </c>
      <c r="AI82" s="292">
        <v>1E-3</v>
      </c>
    </row>
    <row r="83" spans="1:35" ht="13.5" customHeight="1">
      <c r="A83" s="23"/>
      <c r="B83" s="294">
        <v>2066</v>
      </c>
      <c r="C83" s="22"/>
      <c r="D83" s="290">
        <v>36.22</v>
      </c>
      <c r="E83" s="291">
        <v>7.6970000000000001</v>
      </c>
      <c r="F83" s="291">
        <v>-8.7999999999999995E-2</v>
      </c>
      <c r="G83" s="292">
        <v>5.9999999999999995E-4</v>
      </c>
      <c r="H83" s="290">
        <v>42.738</v>
      </c>
      <c r="I83" s="291">
        <v>6.1280000000000001</v>
      </c>
      <c r="J83" s="291">
        <v>-5.8999999999999997E-2</v>
      </c>
      <c r="K83" s="292">
        <v>5.0000000000000001E-4</v>
      </c>
      <c r="L83" s="290"/>
      <c r="M83" s="291">
        <v>2.351</v>
      </c>
      <c r="N83" s="291"/>
      <c r="O83" s="293"/>
      <c r="P83" s="290">
        <v>21.431999999999999</v>
      </c>
      <c r="Q83" s="291">
        <v>5.0339999999999998</v>
      </c>
      <c r="R83" s="291">
        <v>-4.2999999999999997E-2</v>
      </c>
      <c r="S83" s="292">
        <v>2.9999999999999997E-4</v>
      </c>
      <c r="T83" s="290">
        <v>26.184000000000001</v>
      </c>
      <c r="U83" s="291">
        <v>14.682</v>
      </c>
      <c r="V83" s="291">
        <v>-0.23</v>
      </c>
      <c r="W83" s="292">
        <v>1.5E-3</v>
      </c>
      <c r="X83" s="290">
        <v>41.465000000000003</v>
      </c>
      <c r="Y83" s="291">
        <v>10.134</v>
      </c>
      <c r="Z83" s="291">
        <v>-0.14599999999999999</v>
      </c>
      <c r="AA83" s="292">
        <v>1.1999999999999999E-3</v>
      </c>
      <c r="AB83" s="290"/>
      <c r="AC83" s="291">
        <v>3.5030000000000001</v>
      </c>
      <c r="AD83" s="291"/>
      <c r="AE83" s="293"/>
      <c r="AF83" s="290">
        <v>32.024999999999999</v>
      </c>
      <c r="AG83" s="291">
        <v>8.9550000000000001</v>
      </c>
      <c r="AH83" s="291">
        <v>-0.11899999999999999</v>
      </c>
      <c r="AI83" s="292">
        <v>1E-3</v>
      </c>
    </row>
    <row r="84" spans="1:35" ht="13.5" customHeight="1">
      <c r="A84" s="23"/>
      <c r="B84" s="294">
        <v>2067</v>
      </c>
      <c r="C84" s="22"/>
      <c r="D84" s="290">
        <v>36.347999999999999</v>
      </c>
      <c r="E84" s="291">
        <v>7.7240000000000002</v>
      </c>
      <c r="F84" s="291">
        <v>-8.7999999999999995E-2</v>
      </c>
      <c r="G84" s="292">
        <v>5.9999999999999995E-4</v>
      </c>
      <c r="H84" s="290">
        <v>42.884</v>
      </c>
      <c r="I84" s="291">
        <v>6.1479999999999997</v>
      </c>
      <c r="J84" s="291">
        <v>-5.8999999999999997E-2</v>
      </c>
      <c r="K84" s="292">
        <v>5.0000000000000001E-4</v>
      </c>
      <c r="L84" s="290"/>
      <c r="M84" s="291">
        <v>2.351</v>
      </c>
      <c r="N84" s="291"/>
      <c r="O84" s="293"/>
      <c r="P84" s="290">
        <v>21.507000000000001</v>
      </c>
      <c r="Q84" s="291">
        <v>5.048</v>
      </c>
      <c r="R84" s="291">
        <v>-4.3999999999999997E-2</v>
      </c>
      <c r="S84" s="292">
        <v>2.9999999999999997E-4</v>
      </c>
      <c r="T84" s="290">
        <v>26.276</v>
      </c>
      <c r="U84" s="291">
        <v>14.734</v>
      </c>
      <c r="V84" s="291">
        <v>-0.23100000000000001</v>
      </c>
      <c r="W84" s="292">
        <v>1.5E-3</v>
      </c>
      <c r="X84" s="290">
        <v>41.606000000000002</v>
      </c>
      <c r="Y84" s="291">
        <v>10.169</v>
      </c>
      <c r="Z84" s="291">
        <v>-0.14699999999999999</v>
      </c>
      <c r="AA84" s="292">
        <v>1.1999999999999999E-3</v>
      </c>
      <c r="AB84" s="290"/>
      <c r="AC84" s="291">
        <v>3.5030000000000001</v>
      </c>
      <c r="AD84" s="291"/>
      <c r="AE84" s="293"/>
      <c r="AF84" s="290">
        <v>32.134</v>
      </c>
      <c r="AG84" s="291">
        <v>8.9830000000000005</v>
      </c>
      <c r="AH84" s="291">
        <v>-0.12</v>
      </c>
      <c r="AI84" s="292">
        <v>1E-3</v>
      </c>
    </row>
    <row r="85" spans="1:35" ht="13.5" customHeight="1">
      <c r="A85" s="23"/>
      <c r="B85" s="294">
        <v>2068</v>
      </c>
      <c r="C85" s="22"/>
      <c r="D85" s="290">
        <v>36.475000000000001</v>
      </c>
      <c r="E85" s="291">
        <v>7.7519999999999998</v>
      </c>
      <c r="F85" s="291">
        <v>-8.7999999999999995E-2</v>
      </c>
      <c r="G85" s="292">
        <v>5.9999999999999995E-4</v>
      </c>
      <c r="H85" s="290">
        <v>43.03</v>
      </c>
      <c r="I85" s="291">
        <v>6.1689999999999996</v>
      </c>
      <c r="J85" s="291">
        <v>-5.8999999999999997E-2</v>
      </c>
      <c r="K85" s="292">
        <v>5.0000000000000001E-4</v>
      </c>
      <c r="L85" s="290"/>
      <c r="M85" s="291">
        <v>2.351</v>
      </c>
      <c r="N85" s="291"/>
      <c r="O85" s="293"/>
      <c r="P85" s="290">
        <v>21.581</v>
      </c>
      <c r="Q85" s="291">
        <v>5.0620000000000003</v>
      </c>
      <c r="R85" s="291">
        <v>-4.3999999999999997E-2</v>
      </c>
      <c r="S85" s="292">
        <v>2.9999999999999997E-4</v>
      </c>
      <c r="T85" s="290">
        <v>26.367999999999999</v>
      </c>
      <c r="U85" s="291">
        <v>14.786</v>
      </c>
      <c r="V85" s="291">
        <v>-0.23200000000000001</v>
      </c>
      <c r="W85" s="292">
        <v>1.5E-3</v>
      </c>
      <c r="X85" s="290">
        <v>41.747999999999998</v>
      </c>
      <c r="Y85" s="291">
        <v>10.202999999999999</v>
      </c>
      <c r="Z85" s="291">
        <v>-0.14699999999999999</v>
      </c>
      <c r="AA85" s="292">
        <v>1.1999999999999999E-3</v>
      </c>
      <c r="AB85" s="290"/>
      <c r="AC85" s="291">
        <v>3.5030000000000001</v>
      </c>
      <c r="AD85" s="291"/>
      <c r="AE85" s="293"/>
      <c r="AF85" s="290">
        <v>32.244</v>
      </c>
      <c r="AG85" s="291">
        <v>9.0109999999999992</v>
      </c>
      <c r="AH85" s="291">
        <v>-0.12</v>
      </c>
      <c r="AI85" s="292">
        <v>1E-3</v>
      </c>
    </row>
    <row r="86" spans="1:35" ht="13.5" customHeight="1">
      <c r="A86" s="23"/>
      <c r="B86" s="294">
        <v>2069</v>
      </c>
      <c r="C86" s="22"/>
      <c r="D86" s="290">
        <v>36.359000000000002</v>
      </c>
      <c r="E86" s="291">
        <v>7.7270000000000003</v>
      </c>
      <c r="F86" s="291">
        <v>-8.7999999999999995E-2</v>
      </c>
      <c r="G86" s="292">
        <v>5.9999999999999995E-4</v>
      </c>
      <c r="H86" s="290">
        <v>42.874000000000002</v>
      </c>
      <c r="I86" s="291">
        <v>6.1470000000000002</v>
      </c>
      <c r="J86" s="291">
        <v>-5.8999999999999997E-2</v>
      </c>
      <c r="K86" s="292">
        <v>5.0000000000000001E-4</v>
      </c>
      <c r="L86" s="290"/>
      <c r="M86" s="291">
        <v>2.351</v>
      </c>
      <c r="N86" s="291"/>
      <c r="O86" s="293"/>
      <c r="P86" s="290">
        <v>21.509</v>
      </c>
      <c r="Q86" s="291">
        <v>5.0490000000000004</v>
      </c>
      <c r="R86" s="291">
        <v>-4.3999999999999997E-2</v>
      </c>
      <c r="S86" s="292">
        <v>2.9999999999999997E-4</v>
      </c>
      <c r="T86" s="290">
        <v>26.283999999999999</v>
      </c>
      <c r="U86" s="291">
        <v>14.739000000000001</v>
      </c>
      <c r="V86" s="291">
        <v>-0.23100000000000001</v>
      </c>
      <c r="W86" s="292">
        <v>1.5E-3</v>
      </c>
      <c r="X86" s="290">
        <v>41.597000000000001</v>
      </c>
      <c r="Y86" s="291">
        <v>10.167</v>
      </c>
      <c r="Z86" s="291">
        <v>-0.14699999999999999</v>
      </c>
      <c r="AA86" s="292">
        <v>1.1999999999999999E-3</v>
      </c>
      <c r="AB86" s="290"/>
      <c r="AC86" s="291">
        <v>3.5030000000000001</v>
      </c>
      <c r="AD86" s="291"/>
      <c r="AE86" s="293"/>
      <c r="AF86" s="290">
        <v>32.128</v>
      </c>
      <c r="AG86" s="291">
        <v>8.9819999999999993</v>
      </c>
      <c r="AH86" s="291">
        <v>-0.12</v>
      </c>
      <c r="AI86" s="292">
        <v>1E-3</v>
      </c>
    </row>
    <row r="87" spans="1:35" ht="13.5" customHeight="1">
      <c r="A87" s="23"/>
      <c r="B87" s="294">
        <v>2070</v>
      </c>
      <c r="C87" s="22"/>
      <c r="D87" s="290">
        <v>36.488</v>
      </c>
      <c r="E87" s="291">
        <v>7.7539999999999996</v>
      </c>
      <c r="F87" s="291">
        <v>-8.7999999999999995E-2</v>
      </c>
      <c r="G87" s="292">
        <v>5.9999999999999995E-4</v>
      </c>
      <c r="H87" s="290">
        <v>43.021999999999998</v>
      </c>
      <c r="I87" s="291">
        <v>6.1680000000000001</v>
      </c>
      <c r="J87" s="291">
        <v>-5.8999999999999997E-2</v>
      </c>
      <c r="K87" s="292">
        <v>5.0000000000000001E-4</v>
      </c>
      <c r="L87" s="290"/>
      <c r="M87" s="291">
        <v>2.351</v>
      </c>
      <c r="N87" s="291"/>
      <c r="O87" s="293"/>
      <c r="P87" s="290">
        <v>21.585000000000001</v>
      </c>
      <c r="Q87" s="291">
        <v>5.0629999999999997</v>
      </c>
      <c r="R87" s="291">
        <v>-4.3999999999999997E-2</v>
      </c>
      <c r="S87" s="292">
        <v>2.9999999999999997E-4</v>
      </c>
      <c r="T87" s="290">
        <v>26.378</v>
      </c>
      <c r="U87" s="291">
        <v>14.791</v>
      </c>
      <c r="V87" s="291">
        <v>-0.23200000000000001</v>
      </c>
      <c r="W87" s="292">
        <v>1.5E-3</v>
      </c>
      <c r="X87" s="290">
        <v>41.741</v>
      </c>
      <c r="Y87" s="291">
        <v>10.202</v>
      </c>
      <c r="Z87" s="291">
        <v>-0.14699999999999999</v>
      </c>
      <c r="AA87" s="292">
        <v>1.1999999999999999E-3</v>
      </c>
      <c r="AB87" s="290"/>
      <c r="AC87" s="291">
        <v>3.5030000000000001</v>
      </c>
      <c r="AD87" s="291"/>
      <c r="AE87" s="293"/>
      <c r="AF87" s="290">
        <v>32.238999999999997</v>
      </c>
      <c r="AG87" s="291">
        <v>9.01</v>
      </c>
      <c r="AH87" s="291">
        <v>-0.12</v>
      </c>
      <c r="AI87" s="292">
        <v>1E-3</v>
      </c>
    </row>
    <row r="88" spans="1:35" ht="13.5" customHeight="1">
      <c r="A88" s="23"/>
      <c r="B88" s="294">
        <v>2071</v>
      </c>
      <c r="C88" s="22"/>
      <c r="D88" s="290">
        <v>36.618000000000002</v>
      </c>
      <c r="E88" s="291">
        <v>7.782</v>
      </c>
      <c r="F88" s="291">
        <v>-8.8999999999999996E-2</v>
      </c>
      <c r="G88" s="292">
        <v>5.9999999999999995E-4</v>
      </c>
      <c r="H88" s="290">
        <v>43.170999999999999</v>
      </c>
      <c r="I88" s="291">
        <v>6.19</v>
      </c>
      <c r="J88" s="291">
        <v>-0.06</v>
      </c>
      <c r="K88" s="292">
        <v>5.0000000000000001E-4</v>
      </c>
      <c r="L88" s="290"/>
      <c r="M88" s="291">
        <v>2.351</v>
      </c>
      <c r="N88" s="291"/>
      <c r="O88" s="293"/>
      <c r="P88" s="290">
        <v>21.661000000000001</v>
      </c>
      <c r="Q88" s="291">
        <v>5.077</v>
      </c>
      <c r="R88" s="291">
        <v>-4.3999999999999997E-2</v>
      </c>
      <c r="S88" s="292">
        <v>2.9999999999999997E-4</v>
      </c>
      <c r="T88" s="290">
        <v>26.472000000000001</v>
      </c>
      <c r="U88" s="291">
        <v>14.843999999999999</v>
      </c>
      <c r="V88" s="291">
        <v>-0.23300000000000001</v>
      </c>
      <c r="W88" s="292">
        <v>1.5E-3</v>
      </c>
      <c r="X88" s="290">
        <v>41.884999999999998</v>
      </c>
      <c r="Y88" s="291">
        <v>10.237</v>
      </c>
      <c r="Z88" s="291">
        <v>-0.14799999999999999</v>
      </c>
      <c r="AA88" s="292">
        <v>1.2999999999999999E-3</v>
      </c>
      <c r="AB88" s="290"/>
      <c r="AC88" s="291">
        <v>3.5030000000000001</v>
      </c>
      <c r="AD88" s="291"/>
      <c r="AE88" s="293"/>
      <c r="AF88" s="290">
        <v>32.35</v>
      </c>
      <c r="AG88" s="291">
        <v>9.0389999999999997</v>
      </c>
      <c r="AH88" s="291">
        <v>-0.121</v>
      </c>
      <c r="AI88" s="292">
        <v>1E-3</v>
      </c>
    </row>
    <row r="89" spans="1:35" ht="13.5" customHeight="1">
      <c r="A89" s="23"/>
      <c r="B89" s="294">
        <v>2072</v>
      </c>
      <c r="C89" s="22"/>
      <c r="D89" s="290">
        <v>36.749000000000002</v>
      </c>
      <c r="E89" s="291">
        <v>7.81</v>
      </c>
      <c r="F89" s="291">
        <v>-8.8999999999999996E-2</v>
      </c>
      <c r="G89" s="292">
        <v>5.9999999999999995E-4</v>
      </c>
      <c r="H89" s="290">
        <v>43.320999999999998</v>
      </c>
      <c r="I89" s="291">
        <v>6.2110000000000003</v>
      </c>
      <c r="J89" s="291">
        <v>-0.06</v>
      </c>
      <c r="K89" s="292">
        <v>5.0000000000000001E-4</v>
      </c>
      <c r="L89" s="290"/>
      <c r="M89" s="291">
        <v>2.351</v>
      </c>
      <c r="N89" s="291"/>
      <c r="O89" s="293"/>
      <c r="P89" s="290">
        <v>21.736999999999998</v>
      </c>
      <c r="Q89" s="291">
        <v>5.0919999999999996</v>
      </c>
      <c r="R89" s="291">
        <v>-4.3999999999999997E-2</v>
      </c>
      <c r="S89" s="292">
        <v>2.9999999999999997E-4</v>
      </c>
      <c r="T89" s="290">
        <v>26.565999999999999</v>
      </c>
      <c r="U89" s="291">
        <v>14.897</v>
      </c>
      <c r="V89" s="291">
        <v>-0.23400000000000001</v>
      </c>
      <c r="W89" s="292">
        <v>1.5E-3</v>
      </c>
      <c r="X89" s="290">
        <v>42.03</v>
      </c>
      <c r="Y89" s="291">
        <v>10.272</v>
      </c>
      <c r="Z89" s="291">
        <v>-0.14799999999999999</v>
      </c>
      <c r="AA89" s="292">
        <v>1.2999999999999999E-3</v>
      </c>
      <c r="AB89" s="290"/>
      <c r="AC89" s="291">
        <v>3.5030000000000001</v>
      </c>
      <c r="AD89" s="291"/>
      <c r="AE89" s="293"/>
      <c r="AF89" s="290">
        <v>32.463000000000001</v>
      </c>
      <c r="AG89" s="291">
        <v>9.0679999999999996</v>
      </c>
      <c r="AH89" s="291">
        <v>-0.121</v>
      </c>
      <c r="AI89" s="292">
        <v>1E-3</v>
      </c>
    </row>
    <row r="90" spans="1:35" ht="13.5" customHeight="1">
      <c r="A90" s="23"/>
      <c r="B90" s="294">
        <v>2073</v>
      </c>
      <c r="C90" s="22"/>
      <c r="D90" s="290">
        <v>36.881</v>
      </c>
      <c r="E90" s="291">
        <v>7.8380000000000001</v>
      </c>
      <c r="F90" s="291">
        <v>-8.8999999999999996E-2</v>
      </c>
      <c r="G90" s="292">
        <v>5.9999999999999995E-4</v>
      </c>
      <c r="H90" s="290">
        <v>43.470999999999997</v>
      </c>
      <c r="I90" s="291">
        <v>6.2329999999999997</v>
      </c>
      <c r="J90" s="291">
        <v>-0.06</v>
      </c>
      <c r="K90" s="292">
        <v>5.0000000000000001E-4</v>
      </c>
      <c r="L90" s="290"/>
      <c r="M90" s="291">
        <v>2.351</v>
      </c>
      <c r="N90" s="291"/>
      <c r="O90" s="293"/>
      <c r="P90" s="290">
        <v>21.814</v>
      </c>
      <c r="Q90" s="291">
        <v>5.1059999999999999</v>
      </c>
      <c r="R90" s="291">
        <v>-4.3999999999999997E-2</v>
      </c>
      <c r="S90" s="292">
        <v>2.9999999999999997E-4</v>
      </c>
      <c r="T90" s="290">
        <v>26.661000000000001</v>
      </c>
      <c r="U90" s="291">
        <v>14.95</v>
      </c>
      <c r="V90" s="291">
        <v>-0.23499999999999999</v>
      </c>
      <c r="W90" s="292">
        <v>1.5E-3</v>
      </c>
      <c r="X90" s="290">
        <v>42.176000000000002</v>
      </c>
      <c r="Y90" s="291">
        <v>10.308</v>
      </c>
      <c r="Z90" s="291">
        <v>-0.14899999999999999</v>
      </c>
      <c r="AA90" s="292">
        <v>1.2999999999999999E-3</v>
      </c>
      <c r="AB90" s="290"/>
      <c r="AC90" s="291">
        <v>3.5030000000000001</v>
      </c>
      <c r="AD90" s="291"/>
      <c r="AE90" s="293"/>
      <c r="AF90" s="290">
        <v>32.576000000000001</v>
      </c>
      <c r="AG90" s="291">
        <v>9.0969999999999995</v>
      </c>
      <c r="AH90" s="291">
        <v>-0.122</v>
      </c>
      <c r="AI90" s="292">
        <v>1E-3</v>
      </c>
    </row>
    <row r="91" spans="1:35" ht="13.5" customHeight="1">
      <c r="A91" s="23"/>
      <c r="B91" s="294">
        <v>2074</v>
      </c>
      <c r="C91" s="22"/>
      <c r="D91" s="290">
        <v>37.014000000000003</v>
      </c>
      <c r="E91" s="291">
        <v>7.8659999999999997</v>
      </c>
      <c r="F91" s="291">
        <v>-0.09</v>
      </c>
      <c r="G91" s="292">
        <v>5.9999999999999995E-4</v>
      </c>
      <c r="H91" s="290">
        <v>43.622999999999998</v>
      </c>
      <c r="I91" s="291">
        <v>6.2539999999999996</v>
      </c>
      <c r="J91" s="291">
        <v>-0.06</v>
      </c>
      <c r="K91" s="292">
        <v>5.0000000000000001E-4</v>
      </c>
      <c r="L91" s="290"/>
      <c r="M91" s="291">
        <v>2.351</v>
      </c>
      <c r="N91" s="291"/>
      <c r="O91" s="293"/>
      <c r="P91" s="290">
        <v>21.891999999999999</v>
      </c>
      <c r="Q91" s="291">
        <v>5.1210000000000004</v>
      </c>
      <c r="R91" s="291">
        <v>-4.3999999999999997E-2</v>
      </c>
      <c r="S91" s="292">
        <v>2.9999999999999997E-4</v>
      </c>
      <c r="T91" s="290">
        <v>26.757000000000001</v>
      </c>
      <c r="U91" s="291">
        <v>15.004</v>
      </c>
      <c r="V91" s="291">
        <v>-0.23599999999999999</v>
      </c>
      <c r="W91" s="292">
        <v>1.5E-3</v>
      </c>
      <c r="X91" s="290">
        <v>42.323</v>
      </c>
      <c r="Y91" s="291">
        <v>10.343999999999999</v>
      </c>
      <c r="Z91" s="291">
        <v>-0.14899999999999999</v>
      </c>
      <c r="AA91" s="292">
        <v>1.2999999999999999E-3</v>
      </c>
      <c r="AB91" s="290"/>
      <c r="AC91" s="291">
        <v>3.5030000000000001</v>
      </c>
      <c r="AD91" s="291"/>
      <c r="AE91" s="293"/>
      <c r="AF91" s="290">
        <v>32.689</v>
      </c>
      <c r="AG91" s="291">
        <v>9.1259999999999994</v>
      </c>
      <c r="AH91" s="291">
        <v>-0.122</v>
      </c>
      <c r="AI91" s="292">
        <v>1E-3</v>
      </c>
    </row>
    <row r="92" spans="1:35" ht="13.5" customHeight="1">
      <c r="A92" s="23"/>
      <c r="B92" s="294">
        <v>2075</v>
      </c>
      <c r="C92" s="22"/>
      <c r="D92" s="290">
        <v>37.146999999999998</v>
      </c>
      <c r="E92" s="291">
        <v>7.8940000000000001</v>
      </c>
      <c r="F92" s="291">
        <v>-0.09</v>
      </c>
      <c r="G92" s="292">
        <v>5.9999999999999995E-4</v>
      </c>
      <c r="H92" s="290">
        <v>43.774999999999999</v>
      </c>
      <c r="I92" s="291">
        <v>6.2759999999999998</v>
      </c>
      <c r="J92" s="291">
        <v>-0.06</v>
      </c>
      <c r="K92" s="292">
        <v>5.0000000000000001E-4</v>
      </c>
      <c r="L92" s="290"/>
      <c r="M92" s="291">
        <v>2.351</v>
      </c>
      <c r="N92" s="291"/>
      <c r="O92" s="293"/>
      <c r="P92" s="290">
        <v>21.97</v>
      </c>
      <c r="Q92" s="291">
        <v>5.1349999999999998</v>
      </c>
      <c r="R92" s="291">
        <v>-4.4999999999999998E-2</v>
      </c>
      <c r="S92" s="292">
        <v>2.9999999999999997E-4</v>
      </c>
      <c r="T92" s="290">
        <v>26.853999999999999</v>
      </c>
      <c r="U92" s="291">
        <v>15.058</v>
      </c>
      <c r="V92" s="291">
        <v>-0.23599999999999999</v>
      </c>
      <c r="W92" s="292">
        <v>1.5E-3</v>
      </c>
      <c r="X92" s="290">
        <v>42.470999999999997</v>
      </c>
      <c r="Y92" s="291">
        <v>10.38</v>
      </c>
      <c r="Z92" s="291">
        <v>-0.15</v>
      </c>
      <c r="AA92" s="292">
        <v>1.2999999999999999E-3</v>
      </c>
      <c r="AB92" s="290"/>
      <c r="AC92" s="291">
        <v>3.5030000000000001</v>
      </c>
      <c r="AD92" s="291"/>
      <c r="AE92" s="293"/>
      <c r="AF92" s="290">
        <v>32.804000000000002</v>
      </c>
      <c r="AG92" s="291">
        <v>9.1560000000000006</v>
      </c>
      <c r="AH92" s="291">
        <v>-0.122</v>
      </c>
      <c r="AI92" s="292">
        <v>1E-3</v>
      </c>
    </row>
    <row r="93" spans="1:35" ht="13.5" customHeight="1">
      <c r="A93" s="23"/>
      <c r="B93" s="294">
        <v>2076</v>
      </c>
      <c r="C93" s="22"/>
      <c r="D93" s="290">
        <v>37.280999999999999</v>
      </c>
      <c r="E93" s="291">
        <v>7.923</v>
      </c>
      <c r="F93" s="291">
        <v>-0.09</v>
      </c>
      <c r="G93" s="292">
        <v>5.9999999999999995E-4</v>
      </c>
      <c r="H93" s="290">
        <v>43.927999999999997</v>
      </c>
      <c r="I93" s="291">
        <v>6.298</v>
      </c>
      <c r="J93" s="291">
        <v>-6.0999999999999999E-2</v>
      </c>
      <c r="K93" s="292">
        <v>5.0000000000000001E-4</v>
      </c>
      <c r="L93" s="290"/>
      <c r="M93" s="291">
        <v>2.351</v>
      </c>
      <c r="N93" s="291"/>
      <c r="O93" s="293"/>
      <c r="P93" s="290">
        <v>22.047999999999998</v>
      </c>
      <c r="Q93" s="291">
        <v>5.15</v>
      </c>
      <c r="R93" s="291">
        <v>-4.4999999999999998E-2</v>
      </c>
      <c r="S93" s="292">
        <v>2.9999999999999997E-4</v>
      </c>
      <c r="T93" s="290">
        <v>26.95</v>
      </c>
      <c r="U93" s="291">
        <v>15.112</v>
      </c>
      <c r="V93" s="291">
        <v>-0.23699999999999999</v>
      </c>
      <c r="W93" s="292">
        <v>1.5E-3</v>
      </c>
      <c r="X93" s="290">
        <v>42.62</v>
      </c>
      <c r="Y93" s="291">
        <v>10.416</v>
      </c>
      <c r="Z93" s="291">
        <v>-0.15</v>
      </c>
      <c r="AA93" s="292">
        <v>1.2999999999999999E-3</v>
      </c>
      <c r="AB93" s="290"/>
      <c r="AC93" s="291">
        <v>3.5030000000000001</v>
      </c>
      <c r="AD93" s="291"/>
      <c r="AE93" s="293"/>
      <c r="AF93" s="290">
        <v>32.918999999999997</v>
      </c>
      <c r="AG93" s="291">
        <v>9.1850000000000005</v>
      </c>
      <c r="AH93" s="291">
        <v>-0.123</v>
      </c>
      <c r="AI93" s="292">
        <v>1E-3</v>
      </c>
    </row>
    <row r="94" spans="1:35" ht="13.5" customHeight="1">
      <c r="A94" s="23"/>
      <c r="B94" s="294">
        <v>2077</v>
      </c>
      <c r="C94" s="22"/>
      <c r="D94" s="290">
        <v>37.415999999999997</v>
      </c>
      <c r="E94" s="291">
        <v>7.9509999999999996</v>
      </c>
      <c r="F94" s="291">
        <v>-9.0999999999999998E-2</v>
      </c>
      <c r="G94" s="292">
        <v>5.9999999999999995E-4</v>
      </c>
      <c r="H94" s="290">
        <v>44.082999999999998</v>
      </c>
      <c r="I94" s="291">
        <v>6.32</v>
      </c>
      <c r="J94" s="291">
        <v>-6.0999999999999999E-2</v>
      </c>
      <c r="K94" s="292">
        <v>5.0000000000000001E-4</v>
      </c>
      <c r="L94" s="290"/>
      <c r="M94" s="291">
        <v>2.351</v>
      </c>
      <c r="N94" s="291"/>
      <c r="O94" s="293"/>
      <c r="P94" s="290">
        <v>22.126999999999999</v>
      </c>
      <c r="Q94" s="291">
        <v>5.165</v>
      </c>
      <c r="R94" s="291">
        <v>-4.4999999999999998E-2</v>
      </c>
      <c r="S94" s="292">
        <v>2.9999999999999997E-4</v>
      </c>
      <c r="T94" s="290">
        <v>27.047999999999998</v>
      </c>
      <c r="U94" s="291">
        <v>15.167</v>
      </c>
      <c r="V94" s="291">
        <v>-0.23799999999999999</v>
      </c>
      <c r="W94" s="292">
        <v>1.5E-3</v>
      </c>
      <c r="X94" s="290">
        <v>42.768999999999998</v>
      </c>
      <c r="Y94" s="291">
        <v>10.452999999999999</v>
      </c>
      <c r="Z94" s="291">
        <v>-0.151</v>
      </c>
      <c r="AA94" s="292">
        <v>1.2999999999999999E-3</v>
      </c>
      <c r="AB94" s="290"/>
      <c r="AC94" s="291">
        <v>3.5030000000000001</v>
      </c>
      <c r="AD94" s="291"/>
      <c r="AE94" s="293"/>
      <c r="AF94" s="290">
        <v>33.033999999999999</v>
      </c>
      <c r="AG94" s="291">
        <v>9.2149999999999999</v>
      </c>
      <c r="AH94" s="291">
        <v>-0.123</v>
      </c>
      <c r="AI94" s="292">
        <v>1E-3</v>
      </c>
    </row>
    <row r="95" spans="1:35" ht="13.5" customHeight="1">
      <c r="A95" s="23"/>
      <c r="B95" s="294">
        <v>2078</v>
      </c>
      <c r="C95" s="22"/>
      <c r="D95" s="290">
        <v>37.551000000000002</v>
      </c>
      <c r="E95" s="291">
        <v>7.98</v>
      </c>
      <c r="F95" s="291">
        <v>-9.0999999999999998E-2</v>
      </c>
      <c r="G95" s="292">
        <v>5.9999999999999995E-4</v>
      </c>
      <c r="H95" s="290">
        <v>44.238</v>
      </c>
      <c r="I95" s="291">
        <v>6.343</v>
      </c>
      <c r="J95" s="291">
        <v>-6.0999999999999999E-2</v>
      </c>
      <c r="K95" s="292">
        <v>5.0000000000000001E-4</v>
      </c>
      <c r="L95" s="290"/>
      <c r="M95" s="291">
        <v>2.351</v>
      </c>
      <c r="N95" s="291"/>
      <c r="O95" s="293"/>
      <c r="P95" s="290">
        <v>22.206</v>
      </c>
      <c r="Q95" s="291">
        <v>5.1790000000000003</v>
      </c>
      <c r="R95" s="291">
        <v>-4.4999999999999998E-2</v>
      </c>
      <c r="S95" s="292">
        <v>2.9999999999999997E-4</v>
      </c>
      <c r="T95" s="290">
        <v>27.146000000000001</v>
      </c>
      <c r="U95" s="291">
        <v>15.222</v>
      </c>
      <c r="V95" s="291">
        <v>-0.23899999999999999</v>
      </c>
      <c r="W95" s="292">
        <v>1.5E-3</v>
      </c>
      <c r="X95" s="290">
        <v>42.92</v>
      </c>
      <c r="Y95" s="291">
        <v>10.49</v>
      </c>
      <c r="Z95" s="291">
        <v>-0.151</v>
      </c>
      <c r="AA95" s="292">
        <v>1.2999999999999999E-3</v>
      </c>
      <c r="AB95" s="290"/>
      <c r="AC95" s="291">
        <v>3.5030000000000001</v>
      </c>
      <c r="AD95" s="291"/>
      <c r="AE95" s="293"/>
      <c r="AF95" s="290">
        <v>33.151000000000003</v>
      </c>
      <c r="AG95" s="291">
        <v>9.2449999999999992</v>
      </c>
      <c r="AH95" s="291">
        <v>-0.124</v>
      </c>
      <c r="AI95" s="292">
        <v>1E-3</v>
      </c>
    </row>
    <row r="96" spans="1:35" ht="13.5" customHeight="1">
      <c r="A96" s="23"/>
      <c r="B96" s="294">
        <v>2079</v>
      </c>
      <c r="C96" s="22"/>
      <c r="D96" s="290">
        <v>37.688000000000002</v>
      </c>
      <c r="E96" s="291">
        <v>8.0090000000000003</v>
      </c>
      <c r="F96" s="291">
        <v>-9.0999999999999998E-2</v>
      </c>
      <c r="G96" s="292">
        <v>5.9999999999999995E-4</v>
      </c>
      <c r="H96" s="290">
        <v>44.393999999999998</v>
      </c>
      <c r="I96" s="291">
        <v>6.3650000000000002</v>
      </c>
      <c r="J96" s="291">
        <v>-6.0999999999999999E-2</v>
      </c>
      <c r="K96" s="292">
        <v>5.0000000000000001E-4</v>
      </c>
      <c r="L96" s="290"/>
      <c r="M96" s="291">
        <v>2.351</v>
      </c>
      <c r="N96" s="291"/>
      <c r="O96" s="293"/>
      <c r="P96" s="290">
        <v>22.286000000000001</v>
      </c>
      <c r="Q96" s="291">
        <v>5.194</v>
      </c>
      <c r="R96" s="291">
        <v>-4.4999999999999998E-2</v>
      </c>
      <c r="S96" s="292">
        <v>2.9999999999999997E-4</v>
      </c>
      <c r="T96" s="290">
        <v>27.245000000000001</v>
      </c>
      <c r="U96" s="291">
        <v>15.276999999999999</v>
      </c>
      <c r="V96" s="291">
        <v>-0.24</v>
      </c>
      <c r="W96" s="292">
        <v>1.5E-3</v>
      </c>
      <c r="X96" s="290">
        <v>43.070999999999998</v>
      </c>
      <c r="Y96" s="291">
        <v>10.526999999999999</v>
      </c>
      <c r="Z96" s="291">
        <v>-0.152</v>
      </c>
      <c r="AA96" s="292">
        <v>1.2999999999999999E-3</v>
      </c>
      <c r="AB96" s="290"/>
      <c r="AC96" s="291">
        <v>3.5030000000000001</v>
      </c>
      <c r="AD96" s="291"/>
      <c r="AE96" s="293"/>
      <c r="AF96" s="290">
        <v>33.268000000000001</v>
      </c>
      <c r="AG96" s="291">
        <v>9.2750000000000004</v>
      </c>
      <c r="AH96" s="291">
        <v>-0.124</v>
      </c>
      <c r="AI96" s="292">
        <v>1E-3</v>
      </c>
    </row>
    <row r="97" spans="1:35" ht="13.5" customHeight="1">
      <c r="A97" s="23"/>
      <c r="B97" s="294">
        <v>2080</v>
      </c>
      <c r="C97" s="22"/>
      <c r="D97" s="290">
        <v>37.825000000000003</v>
      </c>
      <c r="E97" s="291">
        <v>8.0380000000000003</v>
      </c>
      <c r="F97" s="291">
        <v>-9.1999999999999998E-2</v>
      </c>
      <c r="G97" s="292">
        <v>5.9999999999999995E-4</v>
      </c>
      <c r="H97" s="290">
        <v>44.55</v>
      </c>
      <c r="I97" s="291">
        <v>6.3869999999999996</v>
      </c>
      <c r="J97" s="291">
        <v>-6.0999999999999999E-2</v>
      </c>
      <c r="K97" s="292">
        <v>5.0000000000000001E-4</v>
      </c>
      <c r="L97" s="290"/>
      <c r="M97" s="291">
        <v>2.351</v>
      </c>
      <c r="N97" s="291"/>
      <c r="O97" s="293"/>
      <c r="P97" s="290">
        <v>22.366</v>
      </c>
      <c r="Q97" s="291">
        <v>5.2089999999999996</v>
      </c>
      <c r="R97" s="291">
        <v>-4.4999999999999998E-2</v>
      </c>
      <c r="S97" s="292">
        <v>2.9999999999999997E-4</v>
      </c>
      <c r="T97" s="290">
        <v>27.344000000000001</v>
      </c>
      <c r="U97" s="291">
        <v>15.333</v>
      </c>
      <c r="V97" s="291">
        <v>-0.24099999999999999</v>
      </c>
      <c r="W97" s="292">
        <v>1.6000000000000001E-3</v>
      </c>
      <c r="X97" s="290">
        <v>43.222999999999999</v>
      </c>
      <c r="Y97" s="291">
        <v>10.564</v>
      </c>
      <c r="Z97" s="291">
        <v>-0.152</v>
      </c>
      <c r="AA97" s="292">
        <v>1.2999999999999999E-3</v>
      </c>
      <c r="AB97" s="290"/>
      <c r="AC97" s="291">
        <v>3.5030000000000001</v>
      </c>
      <c r="AD97" s="291"/>
      <c r="AE97" s="293"/>
      <c r="AF97" s="290">
        <v>33.384999999999998</v>
      </c>
      <c r="AG97" s="291">
        <v>9.3049999999999997</v>
      </c>
      <c r="AH97" s="291">
        <v>-0.125</v>
      </c>
      <c r="AI97" s="292">
        <v>1E-3</v>
      </c>
    </row>
    <row r="98" spans="1:35" ht="13.5" customHeight="1">
      <c r="A98" s="23"/>
      <c r="B98" s="294">
        <v>2081</v>
      </c>
      <c r="C98" s="22"/>
      <c r="D98" s="290">
        <v>37.963000000000001</v>
      </c>
      <c r="E98" s="291">
        <v>8.0679999999999996</v>
      </c>
      <c r="F98" s="291">
        <v>-9.1999999999999998E-2</v>
      </c>
      <c r="G98" s="292">
        <v>5.9999999999999995E-4</v>
      </c>
      <c r="H98" s="290">
        <v>44.707999999999998</v>
      </c>
      <c r="I98" s="291">
        <v>6.41</v>
      </c>
      <c r="J98" s="291">
        <v>-6.2E-2</v>
      </c>
      <c r="K98" s="292">
        <v>5.0000000000000001E-4</v>
      </c>
      <c r="L98" s="290"/>
      <c r="M98" s="291">
        <v>2.351</v>
      </c>
      <c r="N98" s="291"/>
      <c r="O98" s="293"/>
      <c r="P98" s="290">
        <v>22.446999999999999</v>
      </c>
      <c r="Q98" s="291">
        <v>5.2240000000000002</v>
      </c>
      <c r="R98" s="291">
        <v>-4.5999999999999999E-2</v>
      </c>
      <c r="S98" s="292">
        <v>2.9999999999999997E-4</v>
      </c>
      <c r="T98" s="290">
        <v>27.443000000000001</v>
      </c>
      <c r="U98" s="291">
        <v>15.388999999999999</v>
      </c>
      <c r="V98" s="291">
        <v>-0.24199999999999999</v>
      </c>
      <c r="W98" s="292">
        <v>1.6000000000000001E-3</v>
      </c>
      <c r="X98" s="290">
        <v>43.375999999999998</v>
      </c>
      <c r="Y98" s="291">
        <v>10.601000000000001</v>
      </c>
      <c r="Z98" s="291">
        <v>-0.153</v>
      </c>
      <c r="AA98" s="292">
        <v>1.2999999999999999E-3</v>
      </c>
      <c r="AB98" s="290"/>
      <c r="AC98" s="291">
        <v>3.5030000000000001</v>
      </c>
      <c r="AD98" s="291"/>
      <c r="AE98" s="293"/>
      <c r="AF98" s="290">
        <v>33.503999999999998</v>
      </c>
      <c r="AG98" s="291">
        <v>9.3350000000000009</v>
      </c>
      <c r="AH98" s="291">
        <v>-0.125</v>
      </c>
      <c r="AI98" s="292">
        <v>1E-3</v>
      </c>
    </row>
    <row r="99" spans="1:35" ht="13.5" customHeight="1">
      <c r="A99" s="23"/>
      <c r="B99" s="294">
        <v>2082</v>
      </c>
      <c r="C99" s="22"/>
      <c r="D99" s="290">
        <v>38.101999999999997</v>
      </c>
      <c r="E99" s="291">
        <v>8.0969999999999995</v>
      </c>
      <c r="F99" s="291">
        <v>-9.1999999999999998E-2</v>
      </c>
      <c r="G99" s="292">
        <v>5.9999999999999995E-4</v>
      </c>
      <c r="H99" s="290">
        <v>44.866999999999997</v>
      </c>
      <c r="I99" s="291">
        <v>6.4329999999999998</v>
      </c>
      <c r="J99" s="291">
        <v>-6.2E-2</v>
      </c>
      <c r="K99" s="292">
        <v>5.0000000000000001E-4</v>
      </c>
      <c r="L99" s="290"/>
      <c r="M99" s="291">
        <v>2.351</v>
      </c>
      <c r="N99" s="291"/>
      <c r="O99" s="293"/>
      <c r="P99" s="290">
        <v>22.527999999999999</v>
      </c>
      <c r="Q99" s="291">
        <v>5.2389999999999999</v>
      </c>
      <c r="R99" s="291">
        <v>-4.5999999999999999E-2</v>
      </c>
      <c r="S99" s="292">
        <v>2.9999999999999997E-4</v>
      </c>
      <c r="T99" s="290">
        <v>27.544</v>
      </c>
      <c r="U99" s="291">
        <v>15.445</v>
      </c>
      <c r="V99" s="291">
        <v>-0.24199999999999999</v>
      </c>
      <c r="W99" s="292">
        <v>1.6000000000000001E-3</v>
      </c>
      <c r="X99" s="290">
        <v>43.53</v>
      </c>
      <c r="Y99" s="291">
        <v>10.638999999999999</v>
      </c>
      <c r="Z99" s="291">
        <v>-0.153</v>
      </c>
      <c r="AA99" s="292">
        <v>1.2999999999999999E-3</v>
      </c>
      <c r="AB99" s="290"/>
      <c r="AC99" s="291">
        <v>3.5030000000000001</v>
      </c>
      <c r="AD99" s="291"/>
      <c r="AE99" s="293"/>
      <c r="AF99" s="290">
        <v>33.622999999999998</v>
      </c>
      <c r="AG99" s="291">
        <v>9.3659999999999997</v>
      </c>
      <c r="AH99" s="291">
        <v>-0.125</v>
      </c>
      <c r="AI99" s="292">
        <v>1E-3</v>
      </c>
    </row>
    <row r="100" spans="1:35" ht="13.5" customHeight="1">
      <c r="A100" s="23"/>
      <c r="B100" s="294">
        <v>2083</v>
      </c>
      <c r="C100" s="22"/>
      <c r="D100" s="290">
        <v>38.241</v>
      </c>
      <c r="E100" s="291">
        <v>8.1270000000000007</v>
      </c>
      <c r="F100" s="291">
        <v>-9.2999999999999999E-2</v>
      </c>
      <c r="G100" s="292">
        <v>5.9999999999999995E-4</v>
      </c>
      <c r="H100" s="290">
        <v>45.027000000000001</v>
      </c>
      <c r="I100" s="291">
        <v>6.4560000000000004</v>
      </c>
      <c r="J100" s="291">
        <v>-6.2E-2</v>
      </c>
      <c r="K100" s="292">
        <v>5.0000000000000001E-4</v>
      </c>
      <c r="L100" s="290"/>
      <c r="M100" s="291">
        <v>2.351</v>
      </c>
      <c r="N100" s="291"/>
      <c r="O100" s="293"/>
      <c r="P100" s="290">
        <v>22.61</v>
      </c>
      <c r="Q100" s="291">
        <v>5.2549999999999999</v>
      </c>
      <c r="R100" s="291">
        <v>-4.5999999999999999E-2</v>
      </c>
      <c r="S100" s="292">
        <v>2.9999999999999997E-4</v>
      </c>
      <c r="T100" s="290">
        <v>27.645</v>
      </c>
      <c r="U100" s="291">
        <v>15.502000000000001</v>
      </c>
      <c r="V100" s="291">
        <v>-0.24299999999999999</v>
      </c>
      <c r="W100" s="292">
        <v>1.6000000000000001E-3</v>
      </c>
      <c r="X100" s="290">
        <v>43.685000000000002</v>
      </c>
      <c r="Y100" s="291">
        <v>10.677</v>
      </c>
      <c r="Z100" s="291">
        <v>-0.154</v>
      </c>
      <c r="AA100" s="292">
        <v>1.2999999999999999E-3</v>
      </c>
      <c r="AB100" s="290"/>
      <c r="AC100" s="291">
        <v>3.5030000000000001</v>
      </c>
      <c r="AD100" s="291"/>
      <c r="AE100" s="293"/>
      <c r="AF100" s="290">
        <v>33.743000000000002</v>
      </c>
      <c r="AG100" s="291">
        <v>9.3970000000000002</v>
      </c>
      <c r="AH100" s="291">
        <v>-0.126</v>
      </c>
      <c r="AI100" s="292">
        <v>1E-3</v>
      </c>
    </row>
    <row r="101" spans="1:35" ht="13.5" customHeight="1">
      <c r="A101" s="23"/>
      <c r="B101" s="294">
        <v>2084</v>
      </c>
      <c r="C101" s="22"/>
      <c r="D101" s="290">
        <v>38.381999999999998</v>
      </c>
      <c r="E101" s="291">
        <v>8.157</v>
      </c>
      <c r="F101" s="291">
        <v>-9.2999999999999999E-2</v>
      </c>
      <c r="G101" s="292">
        <v>5.9999999999999995E-4</v>
      </c>
      <c r="H101" s="290">
        <v>45.186999999999998</v>
      </c>
      <c r="I101" s="291">
        <v>6.4790000000000001</v>
      </c>
      <c r="J101" s="291">
        <v>-6.2E-2</v>
      </c>
      <c r="K101" s="292">
        <v>5.0000000000000001E-4</v>
      </c>
      <c r="L101" s="290"/>
      <c r="M101" s="291">
        <v>2.351</v>
      </c>
      <c r="N101" s="291"/>
      <c r="O101" s="293"/>
      <c r="P101" s="290">
        <v>22.692</v>
      </c>
      <c r="Q101" s="291">
        <v>5.27</v>
      </c>
      <c r="R101" s="291">
        <v>-4.5999999999999999E-2</v>
      </c>
      <c r="S101" s="292">
        <v>2.9999999999999997E-4</v>
      </c>
      <c r="T101" s="290">
        <v>27.745999999999999</v>
      </c>
      <c r="U101" s="291">
        <v>15.558999999999999</v>
      </c>
      <c r="V101" s="291">
        <v>-0.24399999999999999</v>
      </c>
      <c r="W101" s="292">
        <v>1.6000000000000001E-3</v>
      </c>
      <c r="X101" s="290">
        <v>43.841000000000001</v>
      </c>
      <c r="Y101" s="291">
        <v>10.715</v>
      </c>
      <c r="Z101" s="291">
        <v>-0.155</v>
      </c>
      <c r="AA101" s="292">
        <v>1.2999999999999999E-3</v>
      </c>
      <c r="AB101" s="290"/>
      <c r="AC101" s="291">
        <v>3.5030000000000001</v>
      </c>
      <c r="AD101" s="291"/>
      <c r="AE101" s="293"/>
      <c r="AF101" s="290">
        <v>33.863</v>
      </c>
      <c r="AG101" s="291">
        <v>9.4280000000000008</v>
      </c>
      <c r="AH101" s="291">
        <v>-0.126</v>
      </c>
      <c r="AI101" s="292">
        <v>1E-3</v>
      </c>
    </row>
    <row r="102" spans="1:35" ht="13.5" customHeight="1">
      <c r="A102" s="23"/>
      <c r="B102" s="294">
        <v>2085</v>
      </c>
      <c r="C102" s="22"/>
      <c r="D102" s="290">
        <v>38.523000000000003</v>
      </c>
      <c r="E102" s="291">
        <v>8.1869999999999994</v>
      </c>
      <c r="F102" s="291">
        <v>-9.2999999999999999E-2</v>
      </c>
      <c r="G102" s="292">
        <v>5.9999999999999995E-4</v>
      </c>
      <c r="H102" s="290">
        <v>45.348999999999997</v>
      </c>
      <c r="I102" s="291">
        <v>6.5019999999999998</v>
      </c>
      <c r="J102" s="291">
        <v>-6.3E-2</v>
      </c>
      <c r="K102" s="292">
        <v>5.0000000000000001E-4</v>
      </c>
      <c r="L102" s="290"/>
      <c r="M102" s="291">
        <v>2.351</v>
      </c>
      <c r="N102" s="291"/>
      <c r="O102" s="293"/>
      <c r="P102" s="290">
        <v>22.774000000000001</v>
      </c>
      <c r="Q102" s="291">
        <v>5.2859999999999996</v>
      </c>
      <c r="R102" s="291">
        <v>-4.5999999999999999E-2</v>
      </c>
      <c r="S102" s="292">
        <v>2.9999999999999997E-4</v>
      </c>
      <c r="T102" s="290">
        <v>27.847999999999999</v>
      </c>
      <c r="U102" s="291">
        <v>15.616</v>
      </c>
      <c r="V102" s="291">
        <v>-0.245</v>
      </c>
      <c r="W102" s="292">
        <v>1.6000000000000001E-3</v>
      </c>
      <c r="X102" s="290">
        <v>43.997999999999998</v>
      </c>
      <c r="Y102" s="291">
        <v>10.753</v>
      </c>
      <c r="Z102" s="291">
        <v>-0.155</v>
      </c>
      <c r="AA102" s="292">
        <v>1.2999999999999999E-3</v>
      </c>
      <c r="AB102" s="290"/>
      <c r="AC102" s="291">
        <v>3.5030000000000001</v>
      </c>
      <c r="AD102" s="291"/>
      <c r="AE102" s="293"/>
      <c r="AF102" s="290">
        <v>33.984000000000002</v>
      </c>
      <c r="AG102" s="291">
        <v>9.4589999999999996</v>
      </c>
      <c r="AH102" s="291">
        <v>-0.127</v>
      </c>
      <c r="AI102" s="292">
        <v>1E-3</v>
      </c>
    </row>
    <row r="103" spans="1:35" ht="13.5" customHeight="1">
      <c r="A103" s="23"/>
      <c r="B103" s="294">
        <v>2086</v>
      </c>
      <c r="C103" s="22"/>
      <c r="D103" s="290">
        <v>38.664999999999999</v>
      </c>
      <c r="E103" s="291">
        <v>8.2170000000000005</v>
      </c>
      <c r="F103" s="291">
        <v>-9.4E-2</v>
      </c>
      <c r="G103" s="292">
        <v>5.9999999999999995E-4</v>
      </c>
      <c r="H103" s="290">
        <v>45.511000000000003</v>
      </c>
      <c r="I103" s="291">
        <v>6.5250000000000004</v>
      </c>
      <c r="J103" s="291">
        <v>-6.3E-2</v>
      </c>
      <c r="K103" s="292">
        <v>5.0000000000000001E-4</v>
      </c>
      <c r="L103" s="290"/>
      <c r="M103" s="291">
        <v>2.351</v>
      </c>
      <c r="N103" s="291"/>
      <c r="O103" s="293"/>
      <c r="P103" s="290">
        <v>22.858000000000001</v>
      </c>
      <c r="Q103" s="291">
        <v>5.3010000000000002</v>
      </c>
      <c r="R103" s="291">
        <v>-4.5999999999999999E-2</v>
      </c>
      <c r="S103" s="292">
        <v>2.9999999999999997E-4</v>
      </c>
      <c r="T103" s="290">
        <v>27.951000000000001</v>
      </c>
      <c r="U103" s="291">
        <v>15.673</v>
      </c>
      <c r="V103" s="291">
        <v>-0.246</v>
      </c>
      <c r="W103" s="292">
        <v>1.6000000000000001E-3</v>
      </c>
      <c r="X103" s="290">
        <v>44.155999999999999</v>
      </c>
      <c r="Y103" s="291">
        <v>10.792</v>
      </c>
      <c r="Z103" s="291">
        <v>-0.156</v>
      </c>
      <c r="AA103" s="292">
        <v>1.2999999999999999E-3</v>
      </c>
      <c r="AB103" s="290"/>
      <c r="AC103" s="291">
        <v>3.5030000000000001</v>
      </c>
      <c r="AD103" s="291"/>
      <c r="AE103" s="293"/>
      <c r="AF103" s="290">
        <v>34.106000000000002</v>
      </c>
      <c r="AG103" s="291">
        <v>9.49</v>
      </c>
      <c r="AH103" s="291">
        <v>-0.127</v>
      </c>
      <c r="AI103" s="292">
        <v>1.1000000000000001E-3</v>
      </c>
    </row>
    <row r="104" spans="1:35" ht="13.5" customHeight="1">
      <c r="A104" s="23"/>
      <c r="B104" s="294">
        <v>2087</v>
      </c>
      <c r="C104" s="22"/>
      <c r="D104" s="290">
        <v>38.808</v>
      </c>
      <c r="E104" s="291">
        <v>8.2469999999999999</v>
      </c>
      <c r="F104" s="291">
        <v>-9.4E-2</v>
      </c>
      <c r="G104" s="292">
        <v>5.9999999999999995E-4</v>
      </c>
      <c r="H104" s="290">
        <v>45.674999999999997</v>
      </c>
      <c r="I104" s="291">
        <v>6.5490000000000004</v>
      </c>
      <c r="J104" s="291">
        <v>-6.3E-2</v>
      </c>
      <c r="K104" s="292">
        <v>5.0000000000000001E-4</v>
      </c>
      <c r="L104" s="290"/>
      <c r="M104" s="291">
        <v>2.351</v>
      </c>
      <c r="N104" s="291"/>
      <c r="O104" s="293"/>
      <c r="P104" s="290">
        <v>22.940999999999999</v>
      </c>
      <c r="Q104" s="291">
        <v>5.3170000000000002</v>
      </c>
      <c r="R104" s="291">
        <v>-4.7E-2</v>
      </c>
      <c r="S104" s="292">
        <v>2.9999999999999997E-4</v>
      </c>
      <c r="T104" s="290">
        <v>28.053999999999998</v>
      </c>
      <c r="U104" s="291">
        <v>15.731</v>
      </c>
      <c r="V104" s="291">
        <v>-0.247</v>
      </c>
      <c r="W104" s="292">
        <v>1.6000000000000001E-3</v>
      </c>
      <c r="X104" s="290">
        <v>44.314</v>
      </c>
      <c r="Y104" s="291">
        <v>10.831</v>
      </c>
      <c r="Z104" s="291">
        <v>-0.156</v>
      </c>
      <c r="AA104" s="292">
        <v>1.2999999999999999E-3</v>
      </c>
      <c r="AB104" s="290"/>
      <c r="AC104" s="291">
        <v>3.5030000000000001</v>
      </c>
      <c r="AD104" s="291"/>
      <c r="AE104" s="293"/>
      <c r="AF104" s="290">
        <v>34.228999999999999</v>
      </c>
      <c r="AG104" s="291">
        <v>9.5220000000000002</v>
      </c>
      <c r="AH104" s="291">
        <v>-0.128</v>
      </c>
      <c r="AI104" s="292">
        <v>1.1000000000000001E-3</v>
      </c>
    </row>
    <row r="105" spans="1:35" ht="13.5" customHeight="1">
      <c r="A105" s="23"/>
      <c r="B105" s="294">
        <v>2088</v>
      </c>
      <c r="C105" s="22"/>
      <c r="D105" s="290">
        <v>38.951999999999998</v>
      </c>
      <c r="E105" s="291">
        <v>8.2780000000000005</v>
      </c>
      <c r="F105" s="291">
        <v>-9.4E-2</v>
      </c>
      <c r="G105" s="292">
        <v>5.9999999999999995E-4</v>
      </c>
      <c r="H105" s="290">
        <v>45.838999999999999</v>
      </c>
      <c r="I105" s="291">
        <v>6.5720000000000001</v>
      </c>
      <c r="J105" s="291">
        <v>-6.3E-2</v>
      </c>
      <c r="K105" s="292">
        <v>5.0000000000000001E-4</v>
      </c>
      <c r="L105" s="290"/>
      <c r="M105" s="291">
        <v>2.351</v>
      </c>
      <c r="N105" s="291"/>
      <c r="O105" s="293"/>
      <c r="P105" s="290">
        <v>23.024999999999999</v>
      </c>
      <c r="Q105" s="291">
        <v>5.3319999999999999</v>
      </c>
      <c r="R105" s="291">
        <v>-4.7E-2</v>
      </c>
      <c r="S105" s="292">
        <v>2.9999999999999997E-4</v>
      </c>
      <c r="T105" s="290">
        <v>28.158000000000001</v>
      </c>
      <c r="U105" s="291">
        <v>15.79</v>
      </c>
      <c r="V105" s="291">
        <v>-0.248</v>
      </c>
      <c r="W105" s="292">
        <v>1.6000000000000001E-3</v>
      </c>
      <c r="X105" s="290">
        <v>44.473999999999997</v>
      </c>
      <c r="Y105" s="291">
        <v>10.87</v>
      </c>
      <c r="Z105" s="291">
        <v>-0.157</v>
      </c>
      <c r="AA105" s="292">
        <v>1.2999999999999999E-3</v>
      </c>
      <c r="AB105" s="290"/>
      <c r="AC105" s="291">
        <v>3.5030000000000001</v>
      </c>
      <c r="AD105" s="291"/>
      <c r="AE105" s="293"/>
      <c r="AF105" s="290">
        <v>34.351999999999997</v>
      </c>
      <c r="AG105" s="291">
        <v>9.5530000000000008</v>
      </c>
      <c r="AH105" s="291">
        <v>-0.128</v>
      </c>
      <c r="AI105" s="292">
        <v>1.1000000000000001E-3</v>
      </c>
    </row>
    <row r="106" spans="1:35" ht="13.5" customHeight="1">
      <c r="A106" s="23"/>
      <c r="B106" s="294">
        <v>2089</v>
      </c>
      <c r="C106" s="22"/>
      <c r="D106" s="290">
        <v>39.095999999999997</v>
      </c>
      <c r="E106" s="291">
        <v>8.3089999999999993</v>
      </c>
      <c r="F106" s="291">
        <v>-9.5000000000000001E-2</v>
      </c>
      <c r="G106" s="292">
        <v>5.9999999999999995E-4</v>
      </c>
      <c r="H106" s="290">
        <v>46.003999999999998</v>
      </c>
      <c r="I106" s="291">
        <v>6.5960000000000001</v>
      </c>
      <c r="J106" s="291">
        <v>-6.3E-2</v>
      </c>
      <c r="K106" s="292">
        <v>5.0000000000000001E-4</v>
      </c>
      <c r="L106" s="290"/>
      <c r="M106" s="291">
        <v>2.351</v>
      </c>
      <c r="N106" s="291"/>
      <c r="O106" s="293"/>
      <c r="P106" s="290">
        <v>23.11</v>
      </c>
      <c r="Q106" s="291">
        <v>5.3479999999999999</v>
      </c>
      <c r="R106" s="291">
        <v>-4.7E-2</v>
      </c>
      <c r="S106" s="292">
        <v>2.9999999999999997E-4</v>
      </c>
      <c r="T106" s="290">
        <v>28.263000000000002</v>
      </c>
      <c r="U106" s="291">
        <v>15.848000000000001</v>
      </c>
      <c r="V106" s="291">
        <v>-0.249</v>
      </c>
      <c r="W106" s="292">
        <v>1.6000000000000001E-3</v>
      </c>
      <c r="X106" s="290">
        <v>44.634</v>
      </c>
      <c r="Y106" s="291">
        <v>10.909000000000001</v>
      </c>
      <c r="Z106" s="291">
        <v>-0.157</v>
      </c>
      <c r="AA106" s="292">
        <v>1.2999999999999999E-3</v>
      </c>
      <c r="AB106" s="290"/>
      <c r="AC106" s="291">
        <v>3.5030000000000001</v>
      </c>
      <c r="AD106" s="291"/>
      <c r="AE106" s="293"/>
      <c r="AF106" s="290">
        <v>34.475999999999999</v>
      </c>
      <c r="AG106" s="291">
        <v>9.5850000000000009</v>
      </c>
      <c r="AH106" s="291">
        <v>-0.129</v>
      </c>
      <c r="AI106" s="292">
        <v>1.1000000000000001E-3</v>
      </c>
    </row>
    <row r="107" spans="1:35" ht="13.5" customHeight="1" thickBot="1">
      <c r="A107" s="35"/>
      <c r="B107" s="55"/>
      <c r="C107" s="58"/>
      <c r="D107" s="35"/>
      <c r="E107" s="55"/>
      <c r="F107" s="55"/>
      <c r="G107" s="58"/>
      <c r="H107" s="35"/>
      <c r="I107" s="55"/>
      <c r="J107" s="55"/>
      <c r="K107" s="58"/>
      <c r="L107" s="35"/>
      <c r="M107" s="55"/>
      <c r="N107" s="55"/>
      <c r="O107" s="58"/>
      <c r="P107" s="35"/>
      <c r="Q107" s="55"/>
      <c r="R107" s="55"/>
      <c r="S107" s="58"/>
      <c r="T107" s="35"/>
      <c r="U107" s="55"/>
      <c r="V107" s="55"/>
      <c r="W107" s="58"/>
      <c r="X107" s="35"/>
      <c r="Y107" s="55"/>
      <c r="Z107" s="55"/>
      <c r="AA107" s="58"/>
      <c r="AB107" s="35"/>
      <c r="AC107" s="55"/>
      <c r="AD107" s="55"/>
      <c r="AE107" s="58"/>
      <c r="AF107" s="35"/>
      <c r="AG107" s="55"/>
      <c r="AH107" s="55"/>
      <c r="AI107" s="58"/>
    </row>
    <row r="108" spans="1:35" ht="13.5" customHeight="1" thickTop="1" thickBot="1"/>
    <row r="109" spans="1:35" ht="13.5" customHeight="1" thickBot="1">
      <c r="D109" s="204" t="s">
        <v>479</v>
      </c>
    </row>
  </sheetData>
  <mergeCells count="11">
    <mergeCell ref="A10:B10"/>
    <mergeCell ref="D1:S1"/>
    <mergeCell ref="T1:AI1"/>
    <mergeCell ref="E6:S6"/>
    <mergeCell ref="A7:B7"/>
    <mergeCell ref="A8:B8"/>
    <mergeCell ref="A11:B11"/>
    <mergeCell ref="A12:B12"/>
    <mergeCell ref="A18:B18"/>
    <mergeCell ref="A19:B19"/>
    <mergeCell ref="A21:B21"/>
  </mergeCells>
  <hyperlinks>
    <hyperlink ref="A18:B18" location="A1.3.13!D1" tooltip="Cars" display="Cars" xr:uid="{00000000-0004-0000-1900-000000000000}"/>
    <hyperlink ref="A19:B19" location="A1.3.13!T1" tooltip="Light Goods Vehicles" display="LGVs" xr:uid="{00000000-0004-0000-1900-000001000000}"/>
    <hyperlink ref="A11" location="Contents!A1" display="Contents" xr:uid="{00000000-0004-0000-1900-000002000000}"/>
    <hyperlink ref="A11:B11" r:id="rId1" display="WebTAG Unit 3.5.6" xr:uid="{00000000-0004-0000-1900-000003000000}"/>
    <hyperlink ref="A10" location="Contents!A1" display="Contents" xr:uid="{00000000-0004-0000-1900-000004000000}"/>
    <hyperlink ref="A10:B10" location="Contents!A1" tooltip="Contents page" display="Contents" xr:uid="{00000000-0004-0000-1900-000005000000}"/>
    <hyperlink ref="A12:B12" r:id="rId2" tooltip="Unit A1.3 User &amp; Provider Impacts" display="WebTAG Unit A 1.3" xr:uid="{00000000-0004-0000-1900-000006000000}"/>
    <hyperlink ref="D109" location="A1.3.13!D27" tooltip="Top of this page" display="Top" xr:uid="{00000000-0004-0000-1900-000007000000}"/>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6"/>
  </sheetPr>
  <dimension ref="A1:S40"/>
  <sheetViews>
    <sheetView zoomScale="70" zoomScaleNormal="70" workbookViewId="0">
      <selection activeCell="D5" sqref="D5:H5"/>
    </sheetView>
  </sheetViews>
  <sheetFormatPr defaultColWidth="12.81640625" defaultRowHeight="13.5" customHeight="1"/>
  <cols>
    <col min="1" max="16384" width="12.81640625" style="5"/>
  </cols>
  <sheetData>
    <row r="1" spans="1:19" ht="13">
      <c r="A1" s="4"/>
      <c r="C1" s="4"/>
      <c r="E1" s="4"/>
    </row>
    <row r="2" spans="1:19" s="7" customFormat="1" ht="18"/>
    <row r="3" spans="1:19" s="7" customFormat="1" ht="18">
      <c r="A3" s="7" t="s">
        <v>717</v>
      </c>
      <c r="B3" s="140"/>
      <c r="C3" s="140"/>
      <c r="D3" s="10"/>
      <c r="F3" s="11"/>
    </row>
    <row r="4" spans="1:19" ht="18.5" thickBot="1">
      <c r="A4" s="12" t="s">
        <v>194</v>
      </c>
      <c r="B4" s="13"/>
      <c r="C4" s="13"/>
      <c r="D4" s="15"/>
      <c r="E4" s="15"/>
      <c r="F4" s="15"/>
      <c r="G4" s="15"/>
      <c r="H4" s="15"/>
      <c r="I4" s="15"/>
      <c r="J4" s="15"/>
      <c r="K4" s="15"/>
      <c r="L4" s="15"/>
      <c r="M4" s="15"/>
      <c r="N4" s="15"/>
      <c r="O4" s="15"/>
      <c r="P4" s="15"/>
      <c r="Q4" s="15"/>
      <c r="R4" s="15"/>
      <c r="S4" s="15"/>
    </row>
    <row r="5" spans="1:19" ht="14" thickTop="1" thickBot="1">
      <c r="A5" s="40"/>
      <c r="B5" s="18"/>
      <c r="C5" s="18"/>
      <c r="E5" s="19"/>
    </row>
    <row r="6" spans="1:19" ht="15" thickTop="1">
      <c r="A6" s="20" t="s">
        <v>430</v>
      </c>
      <c r="B6" s="20"/>
      <c r="E6" s="1066" t="s">
        <v>142</v>
      </c>
      <c r="F6" s="1067"/>
      <c r="G6" s="1067"/>
      <c r="H6" s="1067"/>
      <c r="I6" s="1067"/>
      <c r="J6" s="1067"/>
      <c r="K6" s="1067"/>
      <c r="L6" s="1067"/>
      <c r="M6" s="1067"/>
      <c r="N6" s="1067"/>
      <c r="O6" s="1067"/>
      <c r="P6" s="1067"/>
      <c r="Q6" s="1067"/>
      <c r="R6" s="1067"/>
      <c r="S6" s="1076"/>
    </row>
    <row r="7" spans="1:19" ht="13">
      <c r="A7" s="1183" t="s">
        <v>528</v>
      </c>
      <c r="B7" s="1184"/>
      <c r="D7" s="22"/>
      <c r="E7" s="23" t="s">
        <v>718</v>
      </c>
      <c r="F7" s="4"/>
      <c r="S7" s="22"/>
    </row>
    <row r="8" spans="1:19" ht="13">
      <c r="A8" s="1171">
        <v>43983</v>
      </c>
      <c r="B8" s="1172"/>
      <c r="C8" s="18"/>
      <c r="D8" s="34"/>
      <c r="E8" s="23" t="s">
        <v>719</v>
      </c>
      <c r="F8" s="24"/>
      <c r="J8" s="5" t="s">
        <v>720</v>
      </c>
      <c r="S8" s="22"/>
    </row>
    <row r="9" spans="1:19" thickBot="1">
      <c r="A9" s="20" t="s">
        <v>435</v>
      </c>
      <c r="B9" s="25"/>
      <c r="D9" s="34"/>
      <c r="E9" s="23" t="s">
        <v>721</v>
      </c>
      <c r="S9" s="22"/>
    </row>
    <row r="10" spans="1:19" thickBot="1">
      <c r="A10" s="1176" t="s">
        <v>438</v>
      </c>
      <c r="B10" s="1185"/>
      <c r="D10" s="18"/>
      <c r="E10" s="23" t="s">
        <v>722</v>
      </c>
      <c r="S10" s="22"/>
    </row>
    <row r="11" spans="1:19" thickBot="1">
      <c r="A11" s="1176" t="s">
        <v>440</v>
      </c>
      <c r="B11" s="1186"/>
      <c r="D11" s="18"/>
      <c r="E11" s="23" t="s">
        <v>723</v>
      </c>
      <c r="F11" s="26"/>
      <c r="G11" s="26"/>
      <c r="H11" s="26"/>
      <c r="I11" s="26"/>
      <c r="J11" s="26"/>
      <c r="K11" s="26"/>
      <c r="L11" s="26"/>
      <c r="M11" s="26"/>
      <c r="N11" s="26"/>
      <c r="O11" s="26"/>
      <c r="P11" s="26"/>
      <c r="Q11" s="26"/>
      <c r="R11" s="26"/>
      <c r="S11" s="27"/>
    </row>
    <row r="12" spans="1:19" thickBot="1">
      <c r="A12" s="1176" t="s">
        <v>441</v>
      </c>
      <c r="B12" s="1186"/>
      <c r="D12" s="18"/>
      <c r="E12" s="23" t="s">
        <v>724</v>
      </c>
      <c r="S12" s="22"/>
    </row>
    <row r="13" spans="1:19" ht="13">
      <c r="A13" s="20" t="s">
        <v>444</v>
      </c>
      <c r="B13" s="28"/>
      <c r="C13" s="18"/>
      <c r="D13" s="18"/>
      <c r="E13" s="23" t="s">
        <v>725</v>
      </c>
      <c r="S13" s="22"/>
    </row>
    <row r="14" spans="1:19" ht="13">
      <c r="A14" s="30" t="s">
        <v>446</v>
      </c>
      <c r="B14" s="64">
        <v>2010</v>
      </c>
      <c r="C14" s="18"/>
      <c r="D14" s="18"/>
      <c r="E14" s="23"/>
      <c r="S14" s="22"/>
    </row>
    <row r="15" spans="1:19" ht="13">
      <c r="A15" s="5" t="s">
        <v>726</v>
      </c>
      <c r="B15" s="147">
        <v>2010</v>
      </c>
      <c r="C15" s="18"/>
      <c r="D15" s="18"/>
      <c r="E15" s="23" t="s">
        <v>727</v>
      </c>
      <c r="S15" s="22"/>
    </row>
    <row r="16" spans="1:19" ht="12.5">
      <c r="C16" s="18"/>
      <c r="D16" s="18"/>
      <c r="E16" s="23" t="s">
        <v>728</v>
      </c>
      <c r="S16" s="22"/>
    </row>
    <row r="17" spans="1:19" ht="13">
      <c r="A17" s="20" t="s">
        <v>451</v>
      </c>
      <c r="B17" s="25"/>
      <c r="C17" s="18"/>
      <c r="D17" s="18"/>
      <c r="E17" s="33"/>
      <c r="S17" s="22"/>
    </row>
    <row r="18" spans="1:19" ht="13">
      <c r="A18" s="1178"/>
      <c r="B18" s="1178"/>
      <c r="C18" s="18"/>
      <c r="D18" s="18"/>
      <c r="E18" s="23" t="s">
        <v>729</v>
      </c>
      <c r="S18" s="22"/>
    </row>
    <row r="19" spans="1:19" ht="13">
      <c r="A19" s="1069"/>
      <c r="B19" s="1069"/>
      <c r="C19" s="18"/>
      <c r="D19" s="34"/>
      <c r="E19" s="23" t="s">
        <v>730</v>
      </c>
      <c r="S19" s="22"/>
    </row>
    <row r="20" spans="1:19" thickBot="1">
      <c r="A20" s="1069"/>
      <c r="B20" s="1069"/>
      <c r="C20" s="18"/>
      <c r="D20" s="34"/>
      <c r="E20" s="35" t="s">
        <v>731</v>
      </c>
      <c r="F20" s="36"/>
      <c r="G20" s="36"/>
      <c r="H20" s="36"/>
      <c r="I20" s="36"/>
      <c r="J20" s="36"/>
      <c r="K20" s="36"/>
      <c r="L20" s="36"/>
      <c r="M20" s="36"/>
      <c r="N20" s="36"/>
      <c r="O20" s="36"/>
      <c r="P20" s="36"/>
      <c r="Q20" s="36"/>
      <c r="R20" s="36"/>
      <c r="S20" s="37"/>
    </row>
    <row r="21" spans="1:19" thickTop="1">
      <c r="A21" s="38"/>
      <c r="B21" s="39"/>
      <c r="C21" s="18"/>
      <c r="D21" s="31"/>
      <c r="E21" s="19"/>
    </row>
    <row r="22" spans="1:19" ht="13" thickBot="1">
      <c r="C22" s="55"/>
    </row>
    <row r="23" spans="1:19" thickTop="1">
      <c r="A23" s="1066" t="s">
        <v>732</v>
      </c>
      <c r="B23" s="1070"/>
      <c r="C23" s="382"/>
      <c r="D23" s="1070"/>
      <c r="E23" s="1071"/>
      <c r="G23" s="19"/>
    </row>
    <row r="24" spans="1:19" thickBot="1">
      <c r="A24" s="383" t="str">
        <f>CONCATENATE("(",B14," prices and ",B15," values)")</f>
        <v>(2010 prices and 2010 values)</v>
      </c>
      <c r="B24" s="384"/>
      <c r="C24" s="384"/>
      <c r="D24" s="385"/>
      <c r="E24" s="386"/>
    </row>
    <row r="25" spans="1:19" ht="15.65" customHeight="1" thickTop="1" thickBot="1">
      <c r="A25" s="1218" t="s">
        <v>671</v>
      </c>
      <c r="B25" s="1192"/>
      <c r="C25" s="1193"/>
      <c r="D25" s="1219" t="s">
        <v>733</v>
      </c>
      <c r="E25" s="1220"/>
    </row>
    <row r="26" spans="1:19" ht="14" thickTop="1" thickBot="1">
      <c r="A26" s="387"/>
      <c r="B26" s="233"/>
      <c r="C26" s="88"/>
      <c r="D26" s="388" t="s">
        <v>734</v>
      </c>
      <c r="E26" s="389" t="s">
        <v>735</v>
      </c>
    </row>
    <row r="27" spans="1:19" thickTop="1">
      <c r="A27" s="390" t="s">
        <v>249</v>
      </c>
      <c r="B27" s="391" t="s">
        <v>736</v>
      </c>
      <c r="C27" s="22"/>
      <c r="D27" s="392">
        <v>4.9660000000000002</v>
      </c>
      <c r="E27" s="393">
        <v>135.946</v>
      </c>
    </row>
    <row r="28" spans="1:19" ht="12.5">
      <c r="A28" s="23"/>
      <c r="B28" s="394" t="s">
        <v>737</v>
      </c>
      <c r="C28" s="22"/>
      <c r="D28" s="395">
        <v>4.9660000000000002</v>
      </c>
      <c r="E28" s="396">
        <v>135.946</v>
      </c>
    </row>
    <row r="29" spans="1:19" ht="12.5">
      <c r="A29" s="23"/>
      <c r="B29" s="394" t="s">
        <v>738</v>
      </c>
      <c r="C29" s="22"/>
      <c r="D29" s="395">
        <v>1.157</v>
      </c>
      <c r="E29" s="396">
        <v>135.946</v>
      </c>
    </row>
    <row r="30" spans="1:19" ht="12.5">
      <c r="A30" s="23"/>
      <c r="B30" s="394" t="s">
        <v>739</v>
      </c>
      <c r="C30" s="22"/>
      <c r="D30" s="395">
        <v>3.8460000000000001</v>
      </c>
      <c r="E30" s="396">
        <v>0</v>
      </c>
    </row>
    <row r="31" spans="1:19" ht="12.5">
      <c r="A31" s="23"/>
      <c r="B31" s="394" t="s">
        <v>740</v>
      </c>
      <c r="C31" s="22"/>
      <c r="D31" s="395">
        <v>3.8460000000000001</v>
      </c>
      <c r="E31" s="396">
        <v>0</v>
      </c>
    </row>
    <row r="32" spans="1:19" ht="12.5">
      <c r="A32" s="106"/>
      <c r="B32" s="397" t="s">
        <v>741</v>
      </c>
      <c r="C32" s="108"/>
      <c r="D32" s="398">
        <v>1.157</v>
      </c>
      <c r="E32" s="399">
        <v>0</v>
      </c>
    </row>
    <row r="33" spans="1:5" ht="13">
      <c r="A33" s="400" t="s">
        <v>89</v>
      </c>
      <c r="B33" s="394" t="s">
        <v>255</v>
      </c>
      <c r="C33" s="22"/>
      <c r="D33" s="401">
        <v>7.2130000000000001</v>
      </c>
      <c r="E33" s="402">
        <v>47.113</v>
      </c>
    </row>
    <row r="34" spans="1:5" ht="12.5">
      <c r="A34" s="23"/>
      <c r="B34" s="394" t="s">
        <v>738</v>
      </c>
      <c r="D34" s="395">
        <v>2.1699014560582421</v>
      </c>
      <c r="E34" s="403">
        <v>47.113</v>
      </c>
    </row>
    <row r="35" spans="1:5" ht="12.5">
      <c r="A35" s="23"/>
      <c r="B35" s="394" t="s">
        <v>257</v>
      </c>
      <c r="D35" s="395">
        <v>7.2130000000000001</v>
      </c>
      <c r="E35" s="403">
        <v>0</v>
      </c>
    </row>
    <row r="36" spans="1:5" ht="12.5">
      <c r="A36" s="106"/>
      <c r="B36" s="397" t="s">
        <v>742</v>
      </c>
      <c r="C36" s="404"/>
      <c r="D36" s="398">
        <v>2.1699014560582421</v>
      </c>
      <c r="E36" s="405">
        <v>0</v>
      </c>
    </row>
    <row r="37" spans="1:5" ht="13">
      <c r="A37" s="400" t="s">
        <v>572</v>
      </c>
      <c r="B37" s="394" t="s">
        <v>255</v>
      </c>
      <c r="C37" s="22"/>
      <c r="D37" s="395">
        <v>6.7140000000000004</v>
      </c>
      <c r="E37" s="396">
        <v>263.81700000000001</v>
      </c>
    </row>
    <row r="38" spans="1:5" ht="13">
      <c r="A38" s="400" t="s">
        <v>573</v>
      </c>
      <c r="B38" s="394" t="s">
        <v>255</v>
      </c>
      <c r="C38" s="22"/>
      <c r="D38" s="395">
        <v>13.061</v>
      </c>
      <c r="E38" s="396">
        <v>508.52499999999998</v>
      </c>
    </row>
    <row r="39" spans="1:5" thickBot="1">
      <c r="A39" s="406" t="s">
        <v>93</v>
      </c>
      <c r="B39" s="407" t="s">
        <v>255</v>
      </c>
      <c r="C39" s="58"/>
      <c r="D39" s="408">
        <v>30.460999999999999</v>
      </c>
      <c r="E39" s="409">
        <v>694.54700000000003</v>
      </c>
    </row>
    <row r="40" spans="1:5" thickTop="1">
      <c r="B40" s="410"/>
      <c r="D40" s="411"/>
      <c r="E40" s="411"/>
    </row>
  </sheetData>
  <mergeCells count="8">
    <mergeCell ref="A25:C25"/>
    <mergeCell ref="D25:E25"/>
    <mergeCell ref="A7:B7"/>
    <mergeCell ref="A8:B8"/>
    <mergeCell ref="A10:B10"/>
    <mergeCell ref="A11:B11"/>
    <mergeCell ref="A12:B12"/>
    <mergeCell ref="A18:B18"/>
  </mergeCells>
  <hyperlinks>
    <hyperlink ref="A11" location="Contents!A1" display="Contents" xr:uid="{00000000-0004-0000-1A00-000000000000}"/>
    <hyperlink ref="A11:B11" r:id="rId1" display="WebTAG Unit 3.5.6" xr:uid="{00000000-0004-0000-1A00-000001000000}"/>
    <hyperlink ref="A10" location="Contents!A1" display="Contents" xr:uid="{00000000-0004-0000-1A00-000002000000}"/>
    <hyperlink ref="A10:B10" location="Contents!A1" tooltip="Contents page" display="Contents" xr:uid="{00000000-0004-0000-1A00-000003000000}"/>
    <hyperlink ref="A12:B12" r:id="rId2" tooltip="Unit A1.3 User &amp; Provider Impacts" display="WebTAG Unit A 1.3" xr:uid="{00000000-0004-0000-1A00-000004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6"/>
  </sheetPr>
  <dimension ref="A1:S63"/>
  <sheetViews>
    <sheetView zoomScale="70" zoomScaleNormal="70" workbookViewId="0">
      <selection activeCell="L49" sqref="L49"/>
    </sheetView>
  </sheetViews>
  <sheetFormatPr defaultColWidth="12.81640625" defaultRowHeight="13.5" customHeight="1"/>
  <cols>
    <col min="1" max="16384" width="12.81640625" style="5"/>
  </cols>
  <sheetData>
    <row r="1" spans="1:19" ht="55" customHeight="1">
      <c r="A1" s="4"/>
      <c r="B1" s="4"/>
      <c r="D1" s="4"/>
    </row>
    <row r="2" spans="1:19" s="7" customFormat="1" ht="5.15" customHeight="1"/>
    <row r="3" spans="1:19" s="7" customFormat="1" ht="20.149999999999999" customHeight="1">
      <c r="A3" s="7" t="s">
        <v>743</v>
      </c>
      <c r="B3" s="140"/>
      <c r="C3" s="140"/>
      <c r="D3" s="10"/>
      <c r="F3" s="11"/>
    </row>
    <row r="4" spans="1:19" ht="20.149999999999999" customHeight="1" thickBot="1">
      <c r="A4" s="12" t="s">
        <v>744</v>
      </c>
      <c r="B4" s="13"/>
      <c r="C4" s="13"/>
      <c r="D4" s="15"/>
      <c r="E4" s="15"/>
      <c r="F4" s="15"/>
      <c r="G4" s="61"/>
      <c r="H4" s="15"/>
      <c r="I4" s="15"/>
      <c r="J4" s="15"/>
      <c r="K4" s="15"/>
      <c r="L4" s="15"/>
      <c r="M4" s="15"/>
      <c r="N4" s="15"/>
      <c r="O4" s="15"/>
      <c r="P4" s="15"/>
      <c r="Q4" s="15"/>
      <c r="R4" s="15"/>
      <c r="S4" s="15"/>
    </row>
    <row r="5" spans="1:19" ht="10" customHeight="1" thickTop="1" thickBot="1">
      <c r="A5" s="40"/>
      <c r="B5" s="18"/>
      <c r="C5" s="18"/>
      <c r="D5" s="31"/>
      <c r="E5" s="19"/>
      <c r="G5" s="4"/>
    </row>
    <row r="6" spans="1:19" ht="13.5" customHeight="1" thickTop="1">
      <c r="A6" s="20" t="s">
        <v>430</v>
      </c>
      <c r="B6" s="20"/>
      <c r="E6" s="1167" t="s">
        <v>142</v>
      </c>
      <c r="F6" s="1168"/>
      <c r="G6" s="1168"/>
      <c r="H6" s="1168"/>
      <c r="I6" s="1168"/>
      <c r="J6" s="1168"/>
      <c r="K6" s="1168"/>
      <c r="L6" s="1168"/>
      <c r="M6" s="1168"/>
      <c r="N6" s="1168"/>
      <c r="O6" s="1168"/>
      <c r="P6" s="1168"/>
      <c r="Q6" s="1168"/>
      <c r="R6" s="1168"/>
      <c r="S6" s="1217"/>
    </row>
    <row r="7" spans="1:19" ht="13.5" customHeight="1">
      <c r="A7" s="1183" t="s">
        <v>584</v>
      </c>
      <c r="B7" s="1184"/>
      <c r="D7" s="22"/>
      <c r="E7" s="23" t="s">
        <v>718</v>
      </c>
      <c r="F7" s="4"/>
      <c r="S7" s="22"/>
    </row>
    <row r="8" spans="1:19" ht="13.5" customHeight="1">
      <c r="A8" s="1171">
        <v>44682</v>
      </c>
      <c r="B8" s="1172"/>
      <c r="C8" s="18"/>
      <c r="D8" s="34"/>
      <c r="E8" s="23" t="s">
        <v>719</v>
      </c>
      <c r="F8" s="24"/>
      <c r="J8" s="5" t="s">
        <v>720</v>
      </c>
      <c r="S8" s="22"/>
    </row>
    <row r="9" spans="1:19" ht="13.5" customHeight="1" thickBot="1">
      <c r="A9" s="20" t="s">
        <v>435</v>
      </c>
      <c r="B9" s="25"/>
      <c r="D9" s="18"/>
      <c r="E9" s="23" t="s">
        <v>721</v>
      </c>
      <c r="S9" s="22"/>
    </row>
    <row r="10" spans="1:19" ht="13.5" customHeight="1" thickBot="1">
      <c r="A10" s="1176" t="s">
        <v>438</v>
      </c>
      <c r="B10" s="1185"/>
      <c r="D10" s="18"/>
      <c r="E10" s="23" t="s">
        <v>722</v>
      </c>
      <c r="S10" s="22"/>
    </row>
    <row r="11" spans="1:19" ht="13.5" customHeight="1" thickBot="1">
      <c r="A11" s="1176" t="s">
        <v>440</v>
      </c>
      <c r="B11" s="1186"/>
      <c r="D11" s="18"/>
      <c r="E11" s="23" t="s">
        <v>723</v>
      </c>
      <c r="F11" s="26"/>
      <c r="G11" s="26"/>
      <c r="H11" s="26"/>
      <c r="I11" s="26"/>
      <c r="J11" s="26"/>
      <c r="K11" s="26"/>
      <c r="L11" s="26"/>
      <c r="M11" s="26"/>
      <c r="N11" s="26"/>
      <c r="O11" s="26"/>
      <c r="P11" s="26"/>
      <c r="Q11" s="26"/>
      <c r="R11" s="26"/>
      <c r="S11" s="27"/>
    </row>
    <row r="12" spans="1:19" ht="13.5" customHeight="1" thickBot="1">
      <c r="A12" s="1176" t="s">
        <v>441</v>
      </c>
      <c r="B12" s="1186"/>
      <c r="D12" s="18"/>
      <c r="E12" s="23" t="s">
        <v>724</v>
      </c>
      <c r="S12" s="22"/>
    </row>
    <row r="13" spans="1:19" ht="13.5" customHeight="1">
      <c r="A13" s="20" t="s">
        <v>444</v>
      </c>
      <c r="B13" s="28"/>
      <c r="C13" s="18"/>
      <c r="D13" s="18"/>
      <c r="E13" s="23" t="s">
        <v>725</v>
      </c>
      <c r="S13" s="22"/>
    </row>
    <row r="14" spans="1:19" ht="13.5" customHeight="1">
      <c r="A14" s="30" t="s">
        <v>446</v>
      </c>
      <c r="B14" s="64">
        <v>2010</v>
      </c>
      <c r="C14" s="18"/>
      <c r="D14" s="18"/>
      <c r="E14" s="23"/>
      <c r="S14" s="22"/>
    </row>
    <row r="15" spans="1:19" ht="13.5" customHeight="1">
      <c r="A15" s="5" t="s">
        <v>589</v>
      </c>
      <c r="B15" s="147">
        <v>2010</v>
      </c>
      <c r="C15" s="18"/>
      <c r="D15" s="18"/>
      <c r="E15" s="23" t="s">
        <v>727</v>
      </c>
      <c r="S15" s="22"/>
    </row>
    <row r="16" spans="1:19" ht="13.5" customHeight="1">
      <c r="B16" s="29"/>
      <c r="C16" s="18"/>
      <c r="D16" s="18"/>
      <c r="E16" s="23" t="s">
        <v>728</v>
      </c>
      <c r="S16" s="22"/>
    </row>
    <row r="17" spans="1:19" ht="13.5" customHeight="1">
      <c r="A17" s="20" t="s">
        <v>451</v>
      </c>
      <c r="B17" s="25"/>
      <c r="C17" s="18"/>
      <c r="D17" s="18"/>
      <c r="E17" s="23" t="s">
        <v>745</v>
      </c>
      <c r="S17" s="22"/>
    </row>
    <row r="18" spans="1:19" ht="13.5" customHeight="1">
      <c r="A18" s="1178"/>
      <c r="B18" s="1178"/>
      <c r="C18" s="18"/>
      <c r="D18" s="18"/>
      <c r="E18" s="23" t="s">
        <v>746</v>
      </c>
      <c r="S18" s="22"/>
    </row>
    <row r="19" spans="1:19" ht="13.5" customHeight="1">
      <c r="A19" s="1178"/>
      <c r="B19" s="1178"/>
      <c r="C19" s="18"/>
      <c r="D19" s="34"/>
      <c r="E19" s="5" t="s">
        <v>747</v>
      </c>
      <c r="S19" s="22"/>
    </row>
    <row r="20" spans="1:19" ht="13.5" customHeight="1" thickBot="1">
      <c r="A20" s="1178"/>
      <c r="B20" s="1178"/>
      <c r="C20" s="18"/>
      <c r="D20" s="34"/>
      <c r="E20" s="35" t="s">
        <v>748</v>
      </c>
      <c r="F20" s="36"/>
      <c r="G20" s="36"/>
      <c r="H20" s="36"/>
      <c r="I20" s="36"/>
      <c r="J20" s="36"/>
      <c r="K20" s="36"/>
      <c r="L20" s="36"/>
      <c r="M20" s="36"/>
      <c r="N20" s="36"/>
      <c r="O20" s="36"/>
      <c r="P20" s="36"/>
      <c r="Q20" s="36"/>
      <c r="R20" s="36"/>
      <c r="S20" s="37"/>
    </row>
    <row r="21" spans="1:19" ht="13.5" customHeight="1" thickTop="1">
      <c r="A21" s="38"/>
      <c r="B21" s="39"/>
      <c r="C21" s="18"/>
      <c r="D21" s="31"/>
      <c r="E21" s="19"/>
      <c r="G21" s="4"/>
    </row>
    <row r="22" spans="1:19" ht="13.5" customHeight="1" thickBot="1">
      <c r="A22" s="55"/>
      <c r="B22" s="55"/>
      <c r="C22" s="55"/>
    </row>
    <row r="23" spans="1:19" ht="13.5" customHeight="1" thickTop="1" thickBot="1">
      <c r="A23" s="211" t="s">
        <v>749</v>
      </c>
      <c r="B23" s="43"/>
      <c r="C23" s="212"/>
      <c r="D23" s="303" t="str">
        <f>CONCATENATE("Forecast Non-Fuel Resource Vehicle Operating Costs (",B14," prices)")</f>
        <v>Forecast Non-Fuel Resource Vehicle Operating Costs (2010 prices)</v>
      </c>
      <c r="E23" s="42"/>
      <c r="F23" s="42"/>
      <c r="G23" s="42"/>
      <c r="H23" s="42"/>
      <c r="I23" s="304"/>
    </row>
    <row r="24" spans="1:19" ht="13.5" customHeight="1" thickTop="1">
      <c r="A24" s="25"/>
      <c r="B24" s="25"/>
      <c r="C24" s="76"/>
      <c r="D24" s="305" t="s">
        <v>750</v>
      </c>
      <c r="E24" s="305"/>
      <c r="F24" s="306" t="s">
        <v>751</v>
      </c>
      <c r="G24" s="307"/>
      <c r="H24" s="305" t="s">
        <v>699</v>
      </c>
      <c r="I24" s="307"/>
    </row>
    <row r="25" spans="1:19" ht="13.5" customHeight="1" thickBot="1">
      <c r="A25" s="25"/>
      <c r="B25" s="308" t="s">
        <v>474</v>
      </c>
      <c r="C25" s="76"/>
      <c r="D25" s="309" t="s">
        <v>752</v>
      </c>
      <c r="E25" s="310" t="s">
        <v>753</v>
      </c>
      <c r="F25" s="309" t="s">
        <v>752</v>
      </c>
      <c r="G25" s="310" t="s">
        <v>753</v>
      </c>
      <c r="H25" s="309" t="s">
        <v>752</v>
      </c>
      <c r="I25" s="311" t="s">
        <v>753</v>
      </c>
    </row>
    <row r="26" spans="1:19" ht="13.5" customHeight="1" thickTop="1">
      <c r="A26" s="283"/>
      <c r="B26" s="312">
        <f>B15</f>
        <v>2010</v>
      </c>
      <c r="C26" s="95"/>
      <c r="D26" s="313">
        <v>4.9660000000000002</v>
      </c>
      <c r="E26" s="314">
        <v>135.946</v>
      </c>
      <c r="F26" s="313">
        <v>3.8460000000000001</v>
      </c>
      <c r="G26" s="314">
        <v>0</v>
      </c>
      <c r="H26" s="313">
        <v>3.9809999999999999</v>
      </c>
      <c r="I26" s="314">
        <v>16.393999999999998</v>
      </c>
    </row>
    <row r="27" spans="1:19" ht="13.5" customHeight="1">
      <c r="A27" s="23"/>
      <c r="B27" s="198">
        <f>B26+1</f>
        <v>2011</v>
      </c>
      <c r="C27" s="22"/>
      <c r="D27" s="315">
        <v>4.9660000000000002</v>
      </c>
      <c r="E27" s="316">
        <v>135.946</v>
      </c>
      <c r="F27" s="315">
        <v>3.8460000000000001</v>
      </c>
      <c r="G27" s="316">
        <v>0</v>
      </c>
      <c r="H27" s="315">
        <v>3.9809999999999999</v>
      </c>
      <c r="I27" s="316">
        <v>16.393999999999998</v>
      </c>
    </row>
    <row r="28" spans="1:19" ht="13.5" customHeight="1">
      <c r="A28" s="23"/>
      <c r="B28" s="198">
        <f t="shared" ref="B28:B57" si="0">B27+1</f>
        <v>2012</v>
      </c>
      <c r="C28" s="22"/>
      <c r="D28" s="315">
        <v>4.9649999999999999</v>
      </c>
      <c r="E28" s="316">
        <v>135.946</v>
      </c>
      <c r="F28" s="315">
        <v>3.8450000000000002</v>
      </c>
      <c r="G28" s="316">
        <v>0</v>
      </c>
      <c r="H28" s="315">
        <v>3.98</v>
      </c>
      <c r="I28" s="316">
        <v>16.393999999999998</v>
      </c>
      <c r="J28" s="19"/>
    </row>
    <row r="29" spans="1:19" ht="13.5" customHeight="1">
      <c r="A29" s="23"/>
      <c r="B29" s="198">
        <f t="shared" si="0"/>
        <v>2013</v>
      </c>
      <c r="C29" s="22"/>
      <c r="D29" s="315">
        <v>4.9649999999999999</v>
      </c>
      <c r="E29" s="316">
        <v>135.946</v>
      </c>
      <c r="F29" s="315">
        <v>3.8450000000000002</v>
      </c>
      <c r="G29" s="316">
        <v>0</v>
      </c>
      <c r="H29" s="315">
        <v>3.98</v>
      </c>
      <c r="I29" s="316">
        <v>16.393999999999998</v>
      </c>
    </row>
    <row r="30" spans="1:19" ht="13.5" customHeight="1">
      <c r="A30" s="23"/>
      <c r="B30" s="198">
        <f t="shared" si="0"/>
        <v>2014</v>
      </c>
      <c r="C30" s="22"/>
      <c r="D30" s="315">
        <v>4.9630000000000001</v>
      </c>
      <c r="E30" s="316">
        <v>135.946</v>
      </c>
      <c r="F30" s="315">
        <v>3.8439999999999999</v>
      </c>
      <c r="G30" s="316">
        <v>0</v>
      </c>
      <c r="H30" s="315">
        <v>3.9790000000000001</v>
      </c>
      <c r="I30" s="316">
        <v>16.393999999999998</v>
      </c>
    </row>
    <row r="31" spans="1:19" ht="13.5" customHeight="1">
      <c r="A31" s="23"/>
      <c r="B31" s="198">
        <f t="shared" si="0"/>
        <v>2015</v>
      </c>
      <c r="C31" s="22"/>
      <c r="D31" s="315">
        <v>4.96</v>
      </c>
      <c r="E31" s="316">
        <v>135.946</v>
      </c>
      <c r="F31" s="315">
        <v>3.8410000000000002</v>
      </c>
      <c r="G31" s="316">
        <v>0</v>
      </c>
      <c r="H31" s="315">
        <v>3.976</v>
      </c>
      <c r="I31" s="316">
        <v>16.393999999999998</v>
      </c>
    </row>
    <row r="32" spans="1:19" ht="13.5" customHeight="1">
      <c r="A32" s="23"/>
      <c r="B32" s="198">
        <f t="shared" si="0"/>
        <v>2016</v>
      </c>
      <c r="C32" s="22"/>
      <c r="D32" s="315">
        <v>4.9560000000000004</v>
      </c>
      <c r="E32" s="316">
        <v>135.946</v>
      </c>
      <c r="F32" s="315">
        <v>3.839</v>
      </c>
      <c r="G32" s="316">
        <v>0</v>
      </c>
      <c r="H32" s="315">
        <v>3.9729999999999999</v>
      </c>
      <c r="I32" s="316">
        <v>16.393999999999998</v>
      </c>
      <c r="J32" s="19"/>
    </row>
    <row r="33" spans="1:9" ht="13.5" customHeight="1">
      <c r="A33" s="23"/>
      <c r="B33" s="198">
        <f t="shared" si="0"/>
        <v>2017</v>
      </c>
      <c r="C33" s="22"/>
      <c r="D33" s="315">
        <v>4.9509999999999996</v>
      </c>
      <c r="E33" s="316">
        <v>135.946</v>
      </c>
      <c r="F33" s="315">
        <v>3.835</v>
      </c>
      <c r="G33" s="316">
        <v>0</v>
      </c>
      <c r="H33" s="315">
        <v>3.97</v>
      </c>
      <c r="I33" s="316">
        <v>16.393999999999998</v>
      </c>
    </row>
    <row r="34" spans="1:9" ht="13.5" customHeight="1">
      <c r="A34" s="23"/>
      <c r="B34" s="198">
        <f t="shared" si="0"/>
        <v>2018</v>
      </c>
      <c r="C34" s="22"/>
      <c r="D34" s="315">
        <v>4.9450000000000003</v>
      </c>
      <c r="E34" s="316">
        <v>135.946</v>
      </c>
      <c r="F34" s="315">
        <v>3.831</v>
      </c>
      <c r="G34" s="316">
        <v>0</v>
      </c>
      <c r="H34" s="315">
        <v>3.9649999999999999</v>
      </c>
      <c r="I34" s="316">
        <v>16.393999999999998</v>
      </c>
    </row>
    <row r="35" spans="1:9" ht="13.5" customHeight="1">
      <c r="A35" s="23"/>
      <c r="B35" s="198">
        <f t="shared" si="0"/>
        <v>2019</v>
      </c>
      <c r="C35" s="22"/>
      <c r="D35" s="315">
        <v>4.9370000000000003</v>
      </c>
      <c r="E35" s="316">
        <v>135.946</v>
      </c>
      <c r="F35" s="315">
        <v>3.8260000000000001</v>
      </c>
      <c r="G35" s="316">
        <v>0</v>
      </c>
      <c r="H35" s="315">
        <v>3.96</v>
      </c>
      <c r="I35" s="316">
        <v>16.393999999999998</v>
      </c>
    </row>
    <row r="36" spans="1:9" ht="13.5" customHeight="1">
      <c r="A36" s="23"/>
      <c r="B36" s="198">
        <f t="shared" si="0"/>
        <v>2020</v>
      </c>
      <c r="C36" s="22"/>
      <c r="D36" s="315">
        <v>4.93</v>
      </c>
      <c r="E36" s="316">
        <v>135.946</v>
      </c>
      <c r="F36" s="315">
        <v>3.82</v>
      </c>
      <c r="G36" s="316">
        <v>0</v>
      </c>
      <c r="H36" s="315">
        <v>3.9540000000000002</v>
      </c>
      <c r="I36" s="316">
        <v>16.393999999999998</v>
      </c>
    </row>
    <row r="37" spans="1:9" ht="13.5" customHeight="1">
      <c r="A37" s="23"/>
      <c r="B37" s="198">
        <f t="shared" si="0"/>
        <v>2021</v>
      </c>
      <c r="C37" s="22"/>
      <c r="D37" s="315">
        <v>4.9139999999999997</v>
      </c>
      <c r="E37" s="316">
        <v>135.946</v>
      </c>
      <c r="F37" s="315">
        <v>3.8090000000000002</v>
      </c>
      <c r="G37" s="316">
        <v>0</v>
      </c>
      <c r="H37" s="315">
        <v>3.9430000000000001</v>
      </c>
      <c r="I37" s="316">
        <v>16.393999999999998</v>
      </c>
    </row>
    <row r="38" spans="1:9" ht="13.5" customHeight="1">
      <c r="A38" s="23"/>
      <c r="B38" s="198">
        <f t="shared" si="0"/>
        <v>2022</v>
      </c>
      <c r="C38" s="22"/>
      <c r="D38" s="315">
        <v>4.8929999999999998</v>
      </c>
      <c r="E38" s="316">
        <v>135.946</v>
      </c>
      <c r="F38" s="315">
        <v>3.794</v>
      </c>
      <c r="G38" s="316">
        <v>0</v>
      </c>
      <c r="H38" s="315">
        <v>3.927</v>
      </c>
      <c r="I38" s="316">
        <v>16.393999999999998</v>
      </c>
    </row>
    <row r="39" spans="1:9" ht="13.5" customHeight="1">
      <c r="A39" s="23"/>
      <c r="B39" s="198">
        <f t="shared" si="0"/>
        <v>2023</v>
      </c>
      <c r="C39" s="22"/>
      <c r="D39" s="315">
        <v>4.8650000000000002</v>
      </c>
      <c r="E39" s="316">
        <v>135.946</v>
      </c>
      <c r="F39" s="315">
        <v>3.7749999999999999</v>
      </c>
      <c r="G39" s="316">
        <v>0</v>
      </c>
      <c r="H39" s="315">
        <v>3.907</v>
      </c>
      <c r="I39" s="316">
        <v>16.393999999999998</v>
      </c>
    </row>
    <row r="40" spans="1:9" ht="13.5" customHeight="1">
      <c r="A40" s="23"/>
      <c r="B40" s="198">
        <f t="shared" si="0"/>
        <v>2024</v>
      </c>
      <c r="C40" s="22"/>
      <c r="D40" s="315">
        <v>4.8250000000000002</v>
      </c>
      <c r="E40" s="316">
        <v>135.946</v>
      </c>
      <c r="F40" s="315">
        <v>3.746</v>
      </c>
      <c r="G40" s="316">
        <v>0</v>
      </c>
      <c r="H40" s="315">
        <v>3.8769999999999998</v>
      </c>
      <c r="I40" s="316">
        <v>16.393999999999998</v>
      </c>
    </row>
    <row r="41" spans="1:9" ht="13.5" customHeight="1">
      <c r="A41" s="23"/>
      <c r="B41" s="198">
        <f t="shared" si="0"/>
        <v>2025</v>
      </c>
      <c r="C41" s="22"/>
      <c r="D41" s="315">
        <v>4.76</v>
      </c>
      <c r="E41" s="316">
        <v>135.946</v>
      </c>
      <c r="F41" s="315">
        <v>3.7010000000000001</v>
      </c>
      <c r="G41" s="316">
        <v>0</v>
      </c>
      <c r="H41" s="315">
        <v>3.8290000000000002</v>
      </c>
      <c r="I41" s="316">
        <v>16.393999999999998</v>
      </c>
    </row>
    <row r="42" spans="1:9" ht="13.5" customHeight="1">
      <c r="A42" s="23"/>
      <c r="B42" s="198">
        <f t="shared" si="0"/>
        <v>2026</v>
      </c>
      <c r="C42" s="22"/>
      <c r="D42" s="315">
        <v>4.6859999999999999</v>
      </c>
      <c r="E42" s="316">
        <v>135.946</v>
      </c>
      <c r="F42" s="315">
        <v>3.6480000000000001</v>
      </c>
      <c r="G42" s="316">
        <v>0</v>
      </c>
      <c r="H42" s="315">
        <v>3.774</v>
      </c>
      <c r="I42" s="316">
        <v>16.393999999999998</v>
      </c>
    </row>
    <row r="43" spans="1:9" ht="13.5" customHeight="1">
      <c r="A43" s="23"/>
      <c r="B43" s="198">
        <f t="shared" si="0"/>
        <v>2027</v>
      </c>
      <c r="C43" s="22"/>
      <c r="D43" s="315">
        <v>4.6100000000000003</v>
      </c>
      <c r="E43" s="316">
        <v>135.946</v>
      </c>
      <c r="F43" s="315">
        <v>3.5939999999999999</v>
      </c>
      <c r="G43" s="316">
        <v>0</v>
      </c>
      <c r="H43" s="315">
        <v>3.7170000000000001</v>
      </c>
      <c r="I43" s="316">
        <v>16.393999999999998</v>
      </c>
    </row>
    <row r="44" spans="1:9" ht="13.5" customHeight="1">
      <c r="A44" s="23"/>
      <c r="B44" s="198">
        <f t="shared" si="0"/>
        <v>2028</v>
      </c>
      <c r="C44" s="22"/>
      <c r="D44" s="315">
        <v>4.5309999999999997</v>
      </c>
      <c r="E44" s="316">
        <v>135.946</v>
      </c>
      <c r="F44" s="315">
        <v>3.5390000000000001</v>
      </c>
      <c r="G44" s="316">
        <v>0</v>
      </c>
      <c r="H44" s="315">
        <v>3.6589999999999998</v>
      </c>
      <c r="I44" s="316">
        <v>16.393999999999998</v>
      </c>
    </row>
    <row r="45" spans="1:9" ht="13.5" customHeight="1">
      <c r="A45" s="23"/>
      <c r="B45" s="198">
        <f t="shared" si="0"/>
        <v>2029</v>
      </c>
      <c r="C45" s="22"/>
      <c r="D45" s="315">
        <v>4.452</v>
      </c>
      <c r="E45" s="316">
        <v>135.946</v>
      </c>
      <c r="F45" s="315">
        <v>3.4830000000000001</v>
      </c>
      <c r="G45" s="316">
        <v>0</v>
      </c>
      <c r="H45" s="315">
        <v>3.6</v>
      </c>
      <c r="I45" s="316">
        <v>16.393999999999998</v>
      </c>
    </row>
    <row r="46" spans="1:9" ht="13.5" customHeight="1">
      <c r="A46" s="23"/>
      <c r="B46" s="198">
        <f t="shared" si="0"/>
        <v>2030</v>
      </c>
      <c r="C46" s="22"/>
      <c r="D46" s="315">
        <v>4.3710000000000004</v>
      </c>
      <c r="E46" s="316">
        <v>135.946</v>
      </c>
      <c r="F46" s="315">
        <v>3.4260000000000002</v>
      </c>
      <c r="G46" s="316">
        <v>0</v>
      </c>
      <c r="H46" s="315">
        <v>3.54</v>
      </c>
      <c r="I46" s="316">
        <v>16.393999999999998</v>
      </c>
    </row>
    <row r="47" spans="1:9" ht="13.5" customHeight="1">
      <c r="A47" s="23"/>
      <c r="B47" s="198">
        <f t="shared" si="0"/>
        <v>2031</v>
      </c>
      <c r="C47" s="22"/>
      <c r="D47" s="315">
        <v>4.2919999999999998</v>
      </c>
      <c r="E47" s="316">
        <v>135.946</v>
      </c>
      <c r="F47" s="315">
        <v>3.37</v>
      </c>
      <c r="G47" s="316">
        <v>0</v>
      </c>
      <c r="H47" s="315">
        <v>3.4809999999999999</v>
      </c>
      <c r="I47" s="316">
        <v>16.393999999999998</v>
      </c>
    </row>
    <row r="48" spans="1:9" ht="13.5" customHeight="1">
      <c r="A48" s="23"/>
      <c r="B48" s="198">
        <f t="shared" si="0"/>
        <v>2032</v>
      </c>
      <c r="C48" s="22"/>
      <c r="D48" s="315">
        <v>4.2149999999999999</v>
      </c>
      <c r="E48" s="316">
        <v>135.946</v>
      </c>
      <c r="F48" s="315">
        <v>3.3159999999999998</v>
      </c>
      <c r="G48" s="316">
        <v>0</v>
      </c>
      <c r="H48" s="315">
        <v>3.4239999999999999</v>
      </c>
      <c r="I48" s="316">
        <v>16.393999999999998</v>
      </c>
    </row>
    <row r="49" spans="1:9" ht="13.5" customHeight="1">
      <c r="A49" s="23"/>
      <c r="B49" s="198">
        <f t="shared" si="0"/>
        <v>2033</v>
      </c>
      <c r="C49" s="22"/>
      <c r="D49" s="315">
        <v>4.141</v>
      </c>
      <c r="E49" s="316">
        <v>135.946</v>
      </c>
      <c r="F49" s="315">
        <v>3.2639999999999998</v>
      </c>
      <c r="G49" s="316">
        <v>0</v>
      </c>
      <c r="H49" s="315">
        <v>3.3690000000000002</v>
      </c>
      <c r="I49" s="316">
        <v>16.393999999999998</v>
      </c>
    </row>
    <row r="50" spans="1:9" ht="13.5" customHeight="1">
      <c r="A50" s="23"/>
      <c r="B50" s="198">
        <f t="shared" si="0"/>
        <v>2034</v>
      </c>
      <c r="C50" s="22"/>
      <c r="D50" s="315">
        <v>4.069</v>
      </c>
      <c r="E50" s="316">
        <v>135.946</v>
      </c>
      <c r="F50" s="315">
        <v>3.2130000000000001</v>
      </c>
      <c r="G50" s="316">
        <v>0</v>
      </c>
      <c r="H50" s="315">
        <v>3.3159999999999998</v>
      </c>
      <c r="I50" s="316">
        <v>16.393999999999998</v>
      </c>
    </row>
    <row r="51" spans="1:9" ht="13.5" customHeight="1">
      <c r="A51" s="23"/>
      <c r="B51" s="198">
        <f t="shared" si="0"/>
        <v>2035</v>
      </c>
      <c r="C51" s="22"/>
      <c r="D51" s="315">
        <v>4.0010000000000003</v>
      </c>
      <c r="E51" s="316">
        <v>135.946</v>
      </c>
      <c r="F51" s="315">
        <v>3.165</v>
      </c>
      <c r="G51" s="316">
        <v>0</v>
      </c>
      <c r="H51" s="315">
        <v>3.266</v>
      </c>
      <c r="I51" s="316">
        <v>16.393999999999998</v>
      </c>
    </row>
    <row r="52" spans="1:9" ht="13.5" customHeight="1">
      <c r="A52" s="23"/>
      <c r="B52" s="198">
        <f t="shared" si="0"/>
        <v>2036</v>
      </c>
      <c r="C52" s="22"/>
      <c r="D52" s="315">
        <v>3.9359999999999999</v>
      </c>
      <c r="E52" s="316">
        <v>135.946</v>
      </c>
      <c r="F52" s="315">
        <v>3.1190000000000002</v>
      </c>
      <c r="G52" s="316">
        <v>0</v>
      </c>
      <c r="H52" s="315">
        <v>3.218</v>
      </c>
      <c r="I52" s="316">
        <v>16.393999999999998</v>
      </c>
    </row>
    <row r="53" spans="1:9" ht="13.5" customHeight="1">
      <c r="A53" s="23"/>
      <c r="B53" s="198">
        <f t="shared" si="0"/>
        <v>2037</v>
      </c>
      <c r="C53" s="22"/>
      <c r="D53" s="315">
        <v>3.875</v>
      </c>
      <c r="E53" s="316">
        <v>135.946</v>
      </c>
      <c r="F53" s="315">
        <v>3.0760000000000001</v>
      </c>
      <c r="G53" s="316">
        <v>0</v>
      </c>
      <c r="H53" s="315">
        <v>3.1720000000000002</v>
      </c>
      <c r="I53" s="316">
        <v>16.393999999999998</v>
      </c>
    </row>
    <row r="54" spans="1:9" ht="13.5" customHeight="1">
      <c r="A54" s="23"/>
      <c r="B54" s="198">
        <f t="shared" si="0"/>
        <v>2038</v>
      </c>
      <c r="C54" s="22"/>
      <c r="D54" s="315">
        <v>3.8170000000000002</v>
      </c>
      <c r="E54" s="316">
        <v>135.946</v>
      </c>
      <c r="F54" s="315">
        <v>3.0350000000000001</v>
      </c>
      <c r="G54" s="316">
        <v>0</v>
      </c>
      <c r="H54" s="315">
        <v>3.129</v>
      </c>
      <c r="I54" s="316">
        <v>16.393999999999998</v>
      </c>
    </row>
    <row r="55" spans="1:9" ht="13.5" customHeight="1">
      <c r="A55" s="23"/>
      <c r="B55" s="198">
        <f t="shared" si="0"/>
        <v>2039</v>
      </c>
      <c r="C55" s="22"/>
      <c r="D55" s="315">
        <v>3.7639999999999998</v>
      </c>
      <c r="E55" s="316">
        <v>135.946</v>
      </c>
      <c r="F55" s="315">
        <v>2.9980000000000002</v>
      </c>
      <c r="G55" s="316">
        <v>0</v>
      </c>
      <c r="H55" s="315">
        <v>3.09</v>
      </c>
      <c r="I55" s="316">
        <v>16.393999999999998</v>
      </c>
    </row>
    <row r="56" spans="1:9" ht="13.5" customHeight="1">
      <c r="A56" s="23"/>
      <c r="B56" s="198">
        <f t="shared" si="0"/>
        <v>2040</v>
      </c>
      <c r="C56" s="22"/>
      <c r="D56" s="315">
        <v>3.7069999999999999</v>
      </c>
      <c r="E56" s="316">
        <v>135.946</v>
      </c>
      <c r="F56" s="315">
        <v>2.9569999999999999</v>
      </c>
      <c r="G56" s="316">
        <v>0</v>
      </c>
      <c r="H56" s="315">
        <v>3.048</v>
      </c>
      <c r="I56" s="316">
        <v>16.393999999999998</v>
      </c>
    </row>
    <row r="57" spans="1:9" ht="13.5" customHeight="1">
      <c r="A57" s="23"/>
      <c r="B57" s="198">
        <f t="shared" si="0"/>
        <v>2041</v>
      </c>
      <c r="C57" s="22"/>
      <c r="D57" s="315">
        <v>3.6539999999999999</v>
      </c>
      <c r="E57" s="316">
        <v>135.946</v>
      </c>
      <c r="F57" s="315">
        <v>2.92</v>
      </c>
      <c r="G57" s="316">
        <v>0</v>
      </c>
      <c r="H57" s="315">
        <v>3.008</v>
      </c>
      <c r="I57" s="316">
        <v>16.393999999999998</v>
      </c>
    </row>
    <row r="58" spans="1:9" ht="13.5" customHeight="1">
      <c r="A58" s="23"/>
      <c r="B58" s="198">
        <f>B57+1</f>
        <v>2042</v>
      </c>
      <c r="C58" s="22"/>
      <c r="D58" s="315">
        <v>3.6040000000000001</v>
      </c>
      <c r="E58" s="316">
        <v>135.946</v>
      </c>
      <c r="F58" s="315">
        <v>2.8849999999999998</v>
      </c>
      <c r="G58" s="316">
        <v>0</v>
      </c>
      <c r="H58" s="315">
        <v>2.972</v>
      </c>
      <c r="I58" s="316">
        <v>16.393999999999998</v>
      </c>
    </row>
    <row r="59" spans="1:9" ht="13.5" customHeight="1">
      <c r="A59" s="23"/>
      <c r="B59" s="198">
        <f>B58+1</f>
        <v>2043</v>
      </c>
      <c r="C59" s="22"/>
      <c r="D59" s="315">
        <v>3.5579999999999998</v>
      </c>
      <c r="E59" s="316">
        <v>135.946</v>
      </c>
      <c r="F59" s="315">
        <v>2.8519999999999999</v>
      </c>
      <c r="G59" s="316">
        <v>0</v>
      </c>
      <c r="H59" s="315">
        <v>2.9369999999999998</v>
      </c>
      <c r="I59" s="316">
        <v>16.393999999999998</v>
      </c>
    </row>
    <row r="60" spans="1:9" ht="13.5" customHeight="1">
      <c r="A60" s="23"/>
      <c r="B60" s="198">
        <f>B59+1</f>
        <v>2044</v>
      </c>
      <c r="C60" s="22"/>
      <c r="D60" s="315">
        <v>3.512</v>
      </c>
      <c r="E60" s="316">
        <v>135.946</v>
      </c>
      <c r="F60" s="315">
        <v>2.82</v>
      </c>
      <c r="G60" s="316">
        <v>0</v>
      </c>
      <c r="H60" s="315">
        <v>2.903</v>
      </c>
      <c r="I60" s="316">
        <v>16.393999999999998</v>
      </c>
    </row>
    <row r="61" spans="1:9" ht="13.5" customHeight="1" thickBot="1">
      <c r="A61" s="35"/>
      <c r="B61" s="202">
        <f>B60+1</f>
        <v>2045</v>
      </c>
      <c r="C61" s="58"/>
      <c r="D61" s="317">
        <v>3.47</v>
      </c>
      <c r="E61" s="318">
        <v>135.946</v>
      </c>
      <c r="F61" s="317">
        <v>2.79</v>
      </c>
      <c r="G61" s="318">
        <v>0</v>
      </c>
      <c r="H61" s="317">
        <v>2.8719999999999999</v>
      </c>
      <c r="I61" s="318">
        <v>16.393999999999998</v>
      </c>
    </row>
    <row r="62" spans="1:9" ht="13.5" customHeight="1" thickTop="1" thickBot="1"/>
    <row r="63" spans="1:9" ht="13.5" customHeight="1" thickBot="1">
      <c r="D63" s="204" t="s">
        <v>479</v>
      </c>
    </row>
  </sheetData>
  <mergeCells count="9">
    <mergeCell ref="A18:B18"/>
    <mergeCell ref="A19:B19"/>
    <mergeCell ref="A20:B20"/>
    <mergeCell ref="E6:S6"/>
    <mergeCell ref="A7:B7"/>
    <mergeCell ref="A8:B8"/>
    <mergeCell ref="A10:B10"/>
    <mergeCell ref="A11:B11"/>
    <mergeCell ref="A12:B12"/>
  </mergeCells>
  <hyperlinks>
    <hyperlink ref="A11" location="Contents!A1" display="Contents" xr:uid="{00000000-0004-0000-1B00-000000000000}"/>
    <hyperlink ref="A11:B11" r:id="rId1" display="WebTAG Unit 3.5.6" xr:uid="{00000000-0004-0000-1B00-000001000000}"/>
    <hyperlink ref="A10" location="Contents!A1" display="Contents" xr:uid="{00000000-0004-0000-1B00-000002000000}"/>
    <hyperlink ref="A10:B10" location="Contents!A1" tooltip="Contents page" display="Contents" xr:uid="{00000000-0004-0000-1B00-000003000000}"/>
    <hyperlink ref="A12:B12" r:id="rId2" tooltip="Unit A1.3 User &amp; Provider Impacts" display="WebTAG Unit A 1.3" xr:uid="{00000000-0004-0000-1B00-000004000000}"/>
    <hyperlink ref="D63" location="A1.3.15!D26" tooltip="Top of this page" display="Top" xr:uid="{00000000-0004-0000-1B00-000005000000}"/>
  </hyperlinks>
  <pageMargins left="0.7" right="0.7" top="0.75" bottom="0.75" header="0.3" footer="0.3"/>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6"/>
  </sheetPr>
  <dimension ref="A1:U172"/>
  <sheetViews>
    <sheetView zoomScale="70" zoomScaleNormal="70" workbookViewId="0">
      <selection activeCell="D5" sqref="D5:H5"/>
    </sheetView>
  </sheetViews>
  <sheetFormatPr defaultColWidth="12.81640625" defaultRowHeight="13.5" customHeight="1"/>
  <cols>
    <col min="1" max="16384" width="12.81640625" style="6"/>
  </cols>
  <sheetData>
    <row r="1" spans="1:21" s="5" customFormat="1" ht="55" customHeight="1">
      <c r="A1" s="4"/>
      <c r="B1" s="4"/>
    </row>
    <row r="2" spans="1:21" s="7" customFormat="1" ht="5.15" customHeight="1">
      <c r="O2" s="319"/>
    </row>
    <row r="3" spans="1:21" s="7" customFormat="1" ht="20.149999999999999" customHeight="1">
      <c r="A3" s="7" t="s">
        <v>754</v>
      </c>
      <c r="B3" s="140"/>
      <c r="D3" s="10"/>
      <c r="H3" s="11"/>
      <c r="M3" s="9"/>
    </row>
    <row r="4" spans="1:21" s="5" customFormat="1" ht="20.149999999999999" customHeight="1" thickBot="1">
      <c r="A4" s="12" t="s">
        <v>755</v>
      </c>
      <c r="B4" s="13"/>
      <c r="C4" s="13"/>
      <c r="D4" s="14"/>
      <c r="E4" s="15"/>
      <c r="F4" s="15"/>
      <c r="G4" s="15"/>
      <c r="H4" s="15"/>
      <c r="I4" s="15"/>
      <c r="J4" s="206"/>
      <c r="K4" s="13"/>
      <c r="L4" s="259"/>
      <c r="M4" s="320"/>
      <c r="N4" s="15"/>
      <c r="O4" s="15"/>
      <c r="P4" s="15"/>
      <c r="Q4" s="15"/>
      <c r="R4" s="15"/>
      <c r="S4" s="15"/>
      <c r="T4" s="15"/>
      <c r="U4" s="15"/>
    </row>
    <row r="5" spans="1:21" s="5" customFormat="1" ht="10" customHeight="1" thickTop="1" thickBot="1">
      <c r="A5" s="40"/>
      <c r="B5" s="18"/>
      <c r="C5" s="18"/>
      <c r="D5" s="31"/>
    </row>
    <row r="6" spans="1:21" s="5" customFormat="1" ht="13.5" customHeight="1" thickTop="1">
      <c r="A6" s="20" t="s">
        <v>430</v>
      </c>
      <c r="B6" s="20"/>
      <c r="E6" s="1167" t="s">
        <v>142</v>
      </c>
      <c r="F6" s="1214"/>
      <c r="G6" s="1214"/>
      <c r="H6" s="1168"/>
      <c r="I6" s="1168"/>
      <c r="J6" s="1168"/>
      <c r="K6" s="1168"/>
      <c r="L6" s="1168"/>
      <c r="M6" s="1168"/>
      <c r="N6" s="1168"/>
      <c r="O6" s="1168"/>
      <c r="P6" s="1168"/>
      <c r="Q6" s="1168"/>
      <c r="R6" s="1168"/>
      <c r="S6" s="1168"/>
      <c r="T6" s="1168"/>
      <c r="U6" s="1217"/>
    </row>
    <row r="7" spans="1:21" s="5" customFormat="1" ht="13.5" customHeight="1">
      <c r="A7" s="1183" t="s">
        <v>528</v>
      </c>
      <c r="B7" s="1184"/>
      <c r="D7" s="22"/>
      <c r="E7" s="17" t="s">
        <v>639</v>
      </c>
      <c r="F7" s="987" t="s">
        <v>756</v>
      </c>
      <c r="G7" s="30" t="s">
        <v>757</v>
      </c>
      <c r="U7" s="22"/>
    </row>
    <row r="8" spans="1:21" s="5" customFormat="1" ht="13.5" customHeight="1">
      <c r="A8" s="1171">
        <v>43983</v>
      </c>
      <c r="B8" s="1172"/>
      <c r="C8" s="18"/>
      <c r="D8" s="34"/>
      <c r="F8" s="19"/>
      <c r="H8" s="24"/>
      <c r="U8" s="22"/>
    </row>
    <row r="9" spans="1:21" s="5" customFormat="1" ht="13.5" customHeight="1" thickBot="1">
      <c r="A9" s="20" t="s">
        <v>435</v>
      </c>
      <c r="B9" s="25"/>
      <c r="D9" s="18"/>
      <c r="E9" s="21" t="s">
        <v>618</v>
      </c>
      <c r="F9" s="321" t="s">
        <v>758</v>
      </c>
      <c r="U9" s="22"/>
    </row>
    <row r="10" spans="1:21" s="5" customFormat="1" ht="13.5" customHeight="1" thickBot="1">
      <c r="A10" s="1176" t="s">
        <v>438</v>
      </c>
      <c r="B10" s="1185"/>
      <c r="D10" s="18"/>
      <c r="E10" s="23"/>
      <c r="F10" s="321" t="s">
        <v>759</v>
      </c>
      <c r="U10" s="22"/>
    </row>
    <row r="11" spans="1:21" s="5" customFormat="1" ht="13.5" customHeight="1" thickBot="1">
      <c r="A11" s="1176" t="s">
        <v>760</v>
      </c>
      <c r="B11" s="1186"/>
      <c r="D11" s="18"/>
      <c r="E11" s="23"/>
      <c r="F11" s="321" t="s">
        <v>761</v>
      </c>
      <c r="H11" s="26"/>
      <c r="I11" s="26"/>
      <c r="J11" s="26"/>
      <c r="K11" s="26"/>
      <c r="L11" s="26"/>
      <c r="M11" s="26"/>
      <c r="N11" s="26"/>
      <c r="O11" s="26"/>
      <c r="P11" s="26"/>
      <c r="Q11" s="26"/>
      <c r="R11" s="26"/>
      <c r="S11" s="26"/>
      <c r="T11" s="26"/>
      <c r="U11" s="27"/>
    </row>
    <row r="12" spans="1:21" s="5" customFormat="1" ht="13.5" customHeight="1" thickBot="1">
      <c r="A12" s="1176" t="s">
        <v>762</v>
      </c>
      <c r="B12" s="1186"/>
      <c r="D12" s="18"/>
      <c r="E12" s="23"/>
      <c r="F12" s="321" t="s">
        <v>763</v>
      </c>
      <c r="U12" s="22"/>
    </row>
    <row r="13" spans="1:21" s="5" customFormat="1" ht="13.5" customHeight="1">
      <c r="A13" s="20" t="s">
        <v>444</v>
      </c>
      <c r="B13" s="28"/>
      <c r="C13" s="18"/>
      <c r="D13" s="18"/>
      <c r="E13" s="63"/>
      <c r="F13" s="26"/>
      <c r="G13" s="26"/>
      <c r="U13" s="22"/>
    </row>
    <row r="14" spans="1:21" s="5" customFormat="1" ht="13.5" customHeight="1">
      <c r="B14" s="29"/>
      <c r="C14" s="18"/>
      <c r="D14" s="18"/>
      <c r="E14" s="23"/>
      <c r="U14" s="22"/>
    </row>
    <row r="15" spans="1:21" s="5" customFormat="1" ht="13.5" customHeight="1">
      <c r="A15" s="30"/>
      <c r="B15" s="31"/>
      <c r="C15" s="18"/>
      <c r="D15" s="18"/>
      <c r="E15" s="23"/>
      <c r="U15" s="22"/>
    </row>
    <row r="16" spans="1:21" s="5" customFormat="1" ht="13.5" customHeight="1">
      <c r="A16" s="5" t="s">
        <v>589</v>
      </c>
      <c r="B16" s="147">
        <v>2010</v>
      </c>
      <c r="C16" s="18"/>
      <c r="D16" s="18"/>
      <c r="E16" s="23"/>
      <c r="U16" s="22"/>
    </row>
    <row r="17" spans="1:21" s="5" customFormat="1" ht="13.5" customHeight="1">
      <c r="A17" s="20" t="s">
        <v>451</v>
      </c>
      <c r="B17" s="25"/>
      <c r="C17" s="18"/>
      <c r="D17" s="18"/>
      <c r="E17" s="33"/>
      <c r="F17" s="17"/>
      <c r="G17" s="17"/>
      <c r="U17" s="22"/>
    </row>
    <row r="18" spans="1:21" s="5" customFormat="1" ht="13.5" customHeight="1">
      <c r="A18" s="1178"/>
      <c r="B18" s="1178"/>
      <c r="C18" s="18"/>
      <c r="D18" s="18"/>
      <c r="E18" s="23"/>
      <c r="U18" s="22"/>
    </row>
    <row r="19" spans="1:21" s="5" customFormat="1" ht="13.5" customHeight="1">
      <c r="A19" s="1178"/>
      <c r="B19" s="1178"/>
      <c r="C19" s="18"/>
      <c r="D19" s="18"/>
      <c r="E19" s="23" t="s">
        <v>764</v>
      </c>
      <c r="U19" s="22"/>
    </row>
    <row r="20" spans="1:21" s="5" customFormat="1" ht="13.5" customHeight="1" thickBot="1">
      <c r="A20" s="1178"/>
      <c r="B20" s="1178"/>
      <c r="C20" s="18"/>
      <c r="D20" s="34"/>
      <c r="E20" s="35" t="s">
        <v>765</v>
      </c>
      <c r="F20" s="55"/>
      <c r="G20" s="55"/>
      <c r="H20" s="36"/>
      <c r="I20" s="36"/>
      <c r="J20" s="36"/>
      <c r="K20" s="36"/>
      <c r="L20" s="36"/>
      <c r="M20" s="36"/>
      <c r="N20" s="36"/>
      <c r="O20" s="36"/>
      <c r="P20" s="36"/>
      <c r="Q20" s="36"/>
      <c r="R20" s="36"/>
      <c r="S20" s="36"/>
      <c r="T20" s="36"/>
      <c r="U20" s="37"/>
    </row>
    <row r="21" spans="1:21" s="5" customFormat="1" ht="13.5" customHeight="1" thickTop="1">
      <c r="A21" s="38"/>
      <c r="B21" s="39"/>
      <c r="C21" s="18"/>
      <c r="D21" s="31"/>
      <c r="E21" s="49"/>
      <c r="H21" s="40"/>
      <c r="I21" s="322"/>
    </row>
    <row r="22" spans="1:21" ht="13.5" customHeight="1" thickBot="1">
      <c r="B22" s="323"/>
      <c r="C22" s="323"/>
      <c r="D22" s="55"/>
      <c r="E22" s="55"/>
      <c r="F22" s="55"/>
      <c r="G22" s="55"/>
      <c r="H22" s="323"/>
      <c r="I22" s="4"/>
      <c r="J22" s="4"/>
      <c r="K22" s="4"/>
      <c r="L22" s="4"/>
      <c r="M22" s="4"/>
      <c r="N22" s="4"/>
      <c r="O22" s="4"/>
    </row>
    <row r="23" spans="1:21" ht="13.5" customHeight="1" thickTop="1" thickBot="1">
      <c r="A23" s="1221" t="s">
        <v>766</v>
      </c>
      <c r="B23" s="1222"/>
      <c r="C23" s="1222"/>
      <c r="D23" s="1222"/>
      <c r="E23" s="1222"/>
      <c r="F23" s="1222"/>
      <c r="G23" s="1222"/>
      <c r="H23" s="1223"/>
    </row>
    <row r="24" spans="1:21" ht="13.5" customHeight="1" thickTop="1">
      <c r="A24" s="324"/>
      <c r="B24" s="325"/>
      <c r="C24" s="326"/>
      <c r="D24" s="327" t="s">
        <v>630</v>
      </c>
      <c r="E24" s="327" t="s">
        <v>631</v>
      </c>
      <c r="F24" s="328" t="s">
        <v>611</v>
      </c>
      <c r="G24" s="328" t="s">
        <v>616</v>
      </c>
      <c r="H24" s="328" t="s">
        <v>616</v>
      </c>
    </row>
    <row r="25" spans="1:21" ht="13.5" customHeight="1">
      <c r="A25" s="329"/>
      <c r="B25" s="330"/>
      <c r="C25" s="331"/>
      <c r="D25" s="332"/>
      <c r="E25" s="332"/>
      <c r="F25" s="328" t="s">
        <v>632</v>
      </c>
      <c r="G25" s="328" t="s">
        <v>767</v>
      </c>
      <c r="H25" s="328" t="s">
        <v>634</v>
      </c>
    </row>
    <row r="26" spans="1:21" ht="13.5" customHeight="1" thickBot="1">
      <c r="A26" s="333"/>
      <c r="B26" s="334" t="s">
        <v>474</v>
      </c>
      <c r="C26" s="335"/>
      <c r="D26" s="336" t="s">
        <v>768</v>
      </c>
      <c r="E26" s="336" t="s">
        <v>768</v>
      </c>
      <c r="F26" s="336" t="s">
        <v>768</v>
      </c>
      <c r="G26" s="336" t="s">
        <v>769</v>
      </c>
      <c r="H26" s="337" t="s">
        <v>769</v>
      </c>
    </row>
    <row r="27" spans="1:21" ht="13.5" customHeight="1" thickTop="1">
      <c r="A27" s="52"/>
      <c r="B27" s="338">
        <f>B16</f>
        <v>2010</v>
      </c>
      <c r="D27" s="339">
        <v>2.2299199768831395</v>
      </c>
      <c r="E27" s="339">
        <v>2.5617129175583555</v>
      </c>
      <c r="F27" s="339">
        <v>2.9257703749999999</v>
      </c>
      <c r="G27" s="339">
        <v>0.38937841888483038</v>
      </c>
      <c r="H27" s="339">
        <v>0.36250442113580411</v>
      </c>
    </row>
    <row r="28" spans="1:21" ht="13.5" customHeight="1">
      <c r="A28" s="52"/>
      <c r="B28" s="338">
        <f>B27+1</f>
        <v>2011</v>
      </c>
      <c r="D28" s="339">
        <v>2.2111007756537502</v>
      </c>
      <c r="E28" s="339">
        <v>2.5665344417062501</v>
      </c>
      <c r="F28" s="339">
        <v>2.9257703749999999</v>
      </c>
      <c r="G28" s="339">
        <v>0.38377758893819225</v>
      </c>
      <c r="H28" s="339">
        <v>0.35568372953447902</v>
      </c>
      <c r="I28" s="340"/>
    </row>
    <row r="29" spans="1:21" ht="13.5" customHeight="1">
      <c r="A29" s="52"/>
      <c r="B29" s="338">
        <f t="shared" ref="B29:B92" si="0">B28+1</f>
        <v>2012</v>
      </c>
      <c r="D29" s="339">
        <v>2.210582655733675</v>
      </c>
      <c r="E29" s="339">
        <v>2.6087021457169537</v>
      </c>
      <c r="F29" s="339">
        <v>2.9257703749999999</v>
      </c>
      <c r="G29" s="339">
        <v>0.37657132794163034</v>
      </c>
      <c r="H29" s="339">
        <v>0.34847589599259055</v>
      </c>
      <c r="I29" s="340"/>
    </row>
    <row r="30" spans="1:21" ht="13.5" customHeight="1">
      <c r="A30" s="52"/>
      <c r="B30" s="338">
        <f t="shared" si="0"/>
        <v>2013</v>
      </c>
      <c r="D30" s="339">
        <v>2.2009017860009048</v>
      </c>
      <c r="E30" s="339">
        <v>2.5973386501148656</v>
      </c>
      <c r="F30" s="339">
        <v>2.8518362828182298</v>
      </c>
      <c r="G30" s="339">
        <v>0.36739163602512309</v>
      </c>
      <c r="H30" s="339">
        <v>0.34085894636280811</v>
      </c>
      <c r="I30" s="340"/>
    </row>
    <row r="31" spans="1:21" ht="13.5" customHeight="1">
      <c r="A31" s="52"/>
      <c r="B31" s="338">
        <f t="shared" si="0"/>
        <v>2014</v>
      </c>
      <c r="D31" s="339">
        <v>2.1890887342243337</v>
      </c>
      <c r="E31" s="339">
        <v>2.6013091383329261</v>
      </c>
      <c r="F31" s="339">
        <v>2.8559245042628429</v>
      </c>
      <c r="G31" s="339">
        <v>0.36044300365091569</v>
      </c>
      <c r="H31" s="339">
        <v>0.33280965924685701</v>
      </c>
      <c r="I31" s="340"/>
    </row>
    <row r="32" spans="1:21" ht="13.5" customHeight="1">
      <c r="A32" s="52"/>
      <c r="B32" s="338">
        <f t="shared" si="0"/>
        <v>2015</v>
      </c>
      <c r="D32" s="339">
        <v>2.1890887342243337</v>
      </c>
      <c r="E32" s="339">
        <v>2.6014175797454899</v>
      </c>
      <c r="F32" s="339">
        <v>2.8560361611886367</v>
      </c>
      <c r="G32" s="339">
        <v>0.35022013638393001</v>
      </c>
      <c r="H32" s="339">
        <v>0.32430349520164908</v>
      </c>
      <c r="I32" s="340"/>
    </row>
    <row r="33" spans="1:9" ht="13.5" customHeight="1">
      <c r="A33" s="52"/>
      <c r="B33" s="338">
        <f t="shared" si="0"/>
        <v>2016</v>
      </c>
      <c r="D33" s="339">
        <v>2.1890887342243337</v>
      </c>
      <c r="E33" s="339">
        <v>2.6015089173819628</v>
      </c>
      <c r="F33" s="339">
        <v>2.856130207175835</v>
      </c>
      <c r="G33" s="339">
        <v>0.33960660597723208</v>
      </c>
      <c r="H33" s="339">
        <v>0.31531452192715809</v>
      </c>
      <c r="I33" s="340"/>
    </row>
    <row r="34" spans="1:9" ht="13.5" customHeight="1">
      <c r="A34" s="52"/>
      <c r="B34" s="338">
        <f t="shared" si="0"/>
        <v>2017</v>
      </c>
      <c r="D34" s="339">
        <v>2.1595005987432501</v>
      </c>
      <c r="E34" s="339">
        <v>2.5561288764705132</v>
      </c>
      <c r="F34" s="339">
        <v>2.809404553749201</v>
      </c>
      <c r="G34" s="339">
        <v>0.329934063912868</v>
      </c>
      <c r="H34" s="339">
        <v>0.30581533520796539</v>
      </c>
      <c r="I34" s="340"/>
    </row>
    <row r="35" spans="1:9" ht="13.5" customHeight="1">
      <c r="A35" s="52"/>
      <c r="B35" s="338">
        <f t="shared" si="0"/>
        <v>2018</v>
      </c>
      <c r="D35" s="339">
        <v>2.1299124632621669</v>
      </c>
      <c r="E35" s="339">
        <v>2.5107488355590641</v>
      </c>
      <c r="F35" s="339">
        <v>2.7626789003225665</v>
      </c>
      <c r="G35" s="339">
        <v>0.31910400905329878</v>
      </c>
      <c r="H35" s="339">
        <v>0.29577697536745345</v>
      </c>
      <c r="I35" s="340"/>
    </row>
    <row r="36" spans="1:9" ht="13.5" customHeight="1">
      <c r="A36" s="52"/>
      <c r="B36" s="338">
        <f t="shared" si="0"/>
        <v>2019</v>
      </c>
      <c r="D36" s="339">
        <v>2.1003243277810837</v>
      </c>
      <c r="E36" s="339">
        <v>2.4653687946476155</v>
      </c>
      <c r="F36" s="339">
        <v>2.7159532468959324</v>
      </c>
      <c r="G36" s="339">
        <v>0.30765924109719711</v>
      </c>
      <c r="H36" s="339">
        <v>0.28516883897994511</v>
      </c>
      <c r="I36" s="340"/>
    </row>
    <row r="37" spans="1:9" ht="13.5" customHeight="1">
      <c r="A37" s="52"/>
      <c r="B37" s="338">
        <f t="shared" si="0"/>
        <v>2020</v>
      </c>
      <c r="D37" s="339">
        <v>2.0707361923000001</v>
      </c>
      <c r="E37" s="339">
        <v>2.4199887537361664</v>
      </c>
      <c r="F37" s="339">
        <v>2.6692275934692988</v>
      </c>
      <c r="G37" s="339">
        <v>0.29556486897559364</v>
      </c>
      <c r="H37" s="339">
        <v>0.27395858557163133</v>
      </c>
      <c r="I37" s="340"/>
    </row>
    <row r="38" spans="1:9" ht="13.5" customHeight="1">
      <c r="A38" s="52"/>
      <c r="B38" s="338">
        <f t="shared" si="0"/>
        <v>2021</v>
      </c>
      <c r="D38" s="339">
        <v>2.0707361923000001</v>
      </c>
      <c r="E38" s="339">
        <v>2.4199887537361664</v>
      </c>
      <c r="F38" s="339">
        <v>2.6692275934692988</v>
      </c>
      <c r="G38" s="339">
        <v>0.28278402120507734</v>
      </c>
      <c r="H38" s="339">
        <v>0.26211203902585051</v>
      </c>
      <c r="I38" s="340"/>
    </row>
    <row r="39" spans="1:9" ht="13.5" customHeight="1">
      <c r="A39" s="52"/>
      <c r="B39" s="338">
        <f t="shared" si="0"/>
        <v>2022</v>
      </c>
      <c r="D39" s="339">
        <v>2.0707361923000001</v>
      </c>
      <c r="E39" s="339">
        <v>2.4199887537361664</v>
      </c>
      <c r="F39" s="339">
        <v>2.6692275934692988</v>
      </c>
      <c r="G39" s="339">
        <v>0.2692777334796212</v>
      </c>
      <c r="H39" s="339">
        <v>0.24959308339213818</v>
      </c>
      <c r="I39" s="340"/>
    </row>
    <row r="40" spans="1:9" ht="13.5" customHeight="1">
      <c r="A40" s="52"/>
      <c r="B40" s="338">
        <f t="shared" si="0"/>
        <v>2023</v>
      </c>
      <c r="D40" s="339">
        <v>2.0707361923000001</v>
      </c>
      <c r="E40" s="339">
        <v>2.4199887537361664</v>
      </c>
      <c r="F40" s="339">
        <v>2.6692275934692988</v>
      </c>
      <c r="G40" s="339">
        <v>0.25500482988212858</v>
      </c>
      <c r="H40" s="339">
        <v>0.23636355278140711</v>
      </c>
      <c r="I40" s="340"/>
    </row>
    <row r="41" spans="1:9" ht="13.5" customHeight="1">
      <c r="A41" s="52"/>
      <c r="B41" s="338">
        <f t="shared" si="0"/>
        <v>2024</v>
      </c>
      <c r="D41" s="339">
        <v>2.0707361923000001</v>
      </c>
      <c r="E41" s="339">
        <v>2.4199887537361664</v>
      </c>
      <c r="F41" s="339">
        <v>2.6692275934692988</v>
      </c>
      <c r="G41" s="339">
        <v>0.23992179735355579</v>
      </c>
      <c r="H41" s="339">
        <v>0.22238311501158572</v>
      </c>
      <c r="I41" s="340"/>
    </row>
    <row r="42" spans="1:9" ht="13.5" customHeight="1">
      <c r="A42" s="52"/>
      <c r="B42" s="338">
        <f t="shared" si="0"/>
        <v>2025</v>
      </c>
      <c r="D42" s="339">
        <v>2.0707361923000001</v>
      </c>
      <c r="E42" s="339">
        <v>2.4199887537361664</v>
      </c>
      <c r="F42" s="339">
        <v>2.6692275934692988</v>
      </c>
      <c r="G42" s="339">
        <v>0.22398265303691164</v>
      </c>
      <c r="H42" s="339">
        <v>0.20760914864899169</v>
      </c>
      <c r="I42" s="340"/>
    </row>
    <row r="43" spans="1:9" ht="13.5" customHeight="1">
      <c r="A43" s="52"/>
      <c r="B43" s="338">
        <f t="shared" si="0"/>
        <v>2026</v>
      </c>
      <c r="D43" s="339">
        <v>2.0707361923000001</v>
      </c>
      <c r="E43" s="339">
        <v>2.4199887537361664</v>
      </c>
      <c r="F43" s="339">
        <v>2.6692275934692988</v>
      </c>
      <c r="G43" s="339">
        <v>0.20713880409171231</v>
      </c>
      <c r="H43" s="339">
        <v>0.19199661307058344</v>
      </c>
      <c r="I43" s="340"/>
    </row>
    <row r="44" spans="1:9" ht="13.5" customHeight="1">
      <c r="A44" s="52"/>
      <c r="B44" s="338">
        <f t="shared" si="0"/>
        <v>2027</v>
      </c>
      <c r="D44" s="339">
        <v>2.0707361923000001</v>
      </c>
      <c r="E44" s="339">
        <v>2.4199887537361664</v>
      </c>
      <c r="F44" s="339">
        <v>2.6692275934692988</v>
      </c>
      <c r="G44" s="339">
        <v>0.18933889955151495</v>
      </c>
      <c r="H44" s="339">
        <v>0.17549791115095442</v>
      </c>
    </row>
    <row r="45" spans="1:9" ht="13.5" customHeight="1">
      <c r="A45" s="52"/>
      <c r="B45" s="338">
        <f t="shared" si="0"/>
        <v>2028</v>
      </c>
      <c r="D45" s="339">
        <v>2.0707361923000001</v>
      </c>
      <c r="E45" s="339">
        <v>2.4199887537361664</v>
      </c>
      <c r="F45" s="339">
        <v>2.6692275934692988</v>
      </c>
      <c r="G45" s="339">
        <v>0.17052867377289696</v>
      </c>
      <c r="H45" s="339">
        <v>0.15806274415545216</v>
      </c>
    </row>
    <row r="46" spans="1:9" ht="13.5" customHeight="1">
      <c r="A46" s="52"/>
      <c r="B46" s="338">
        <f t="shared" si="0"/>
        <v>2029</v>
      </c>
      <c r="D46" s="339">
        <v>2.0707361923000001</v>
      </c>
      <c r="E46" s="339">
        <v>2.4199887537361664</v>
      </c>
      <c r="F46" s="339">
        <v>2.6692275934692988</v>
      </c>
      <c r="G46" s="339">
        <v>0.1506507809986099</v>
      </c>
      <c r="H46" s="339">
        <v>0.1396379583970408</v>
      </c>
    </row>
    <row r="47" spans="1:9" ht="13.5" customHeight="1">
      <c r="A47" s="52"/>
      <c r="B47" s="338">
        <f t="shared" si="0"/>
        <v>2030</v>
      </c>
      <c r="D47" s="339">
        <v>2.0707361923000001</v>
      </c>
      <c r="E47" s="339">
        <v>2.4199887537361664</v>
      </c>
      <c r="F47" s="339">
        <v>2.6692275934692988</v>
      </c>
      <c r="G47" s="339">
        <v>0.12964462053055192</v>
      </c>
      <c r="H47" s="339">
        <v>0.12016738318942002</v>
      </c>
    </row>
    <row r="48" spans="1:9" ht="13.5" customHeight="1">
      <c r="A48" s="52"/>
      <c r="B48" s="338">
        <f t="shared" si="0"/>
        <v>2031</v>
      </c>
      <c r="D48" s="339">
        <v>2.0707361923000001</v>
      </c>
      <c r="E48" s="339">
        <v>2.4199887537361664</v>
      </c>
      <c r="F48" s="339">
        <v>2.6692275934692988</v>
      </c>
      <c r="G48" s="339">
        <v>0.11551638230192907</v>
      </c>
      <c r="H48" s="339">
        <v>0.10707194266853667</v>
      </c>
    </row>
    <row r="49" spans="1:8" ht="13.5" customHeight="1">
      <c r="A49" s="52"/>
      <c r="B49" s="338">
        <f t="shared" si="0"/>
        <v>2032</v>
      </c>
      <c r="D49" s="339">
        <v>2.0707361923000001</v>
      </c>
      <c r="E49" s="339">
        <v>2.4199887537361664</v>
      </c>
      <c r="F49" s="339">
        <v>2.6692275934692988</v>
      </c>
      <c r="G49" s="339">
        <v>0.10292779234122398</v>
      </c>
      <c r="H49" s="339">
        <v>9.540359956697278E-2</v>
      </c>
    </row>
    <row r="50" spans="1:8" ht="13.5" customHeight="1">
      <c r="A50" s="52"/>
      <c r="B50" s="338">
        <f t="shared" si="0"/>
        <v>2033</v>
      </c>
      <c r="D50" s="339">
        <v>2.0707361923000001</v>
      </c>
      <c r="E50" s="339">
        <v>2.4199887537361664</v>
      </c>
      <c r="F50" s="339">
        <v>2.6692275934692988</v>
      </c>
      <c r="G50" s="339">
        <v>9.1711064916730936E-2</v>
      </c>
      <c r="H50" s="339">
        <v>8.500683356901384E-2</v>
      </c>
    </row>
    <row r="51" spans="1:8" ht="13.5" customHeight="1">
      <c r="A51" s="52"/>
      <c r="B51" s="338">
        <f t="shared" si="0"/>
        <v>2034</v>
      </c>
      <c r="D51" s="339">
        <v>2.0707361923000001</v>
      </c>
      <c r="E51" s="339">
        <v>2.4199887537361664</v>
      </c>
      <c r="F51" s="339">
        <v>2.6692275934692988</v>
      </c>
      <c r="G51" s="339">
        <v>8.1716699026023409E-2</v>
      </c>
      <c r="H51" s="339">
        <v>7.5743072444109341E-2</v>
      </c>
    </row>
    <row r="52" spans="1:8" ht="13.5" customHeight="1">
      <c r="A52" s="52"/>
      <c r="B52" s="338">
        <f t="shared" si="0"/>
        <v>2035</v>
      </c>
      <c r="D52" s="339">
        <v>2.0707361923000001</v>
      </c>
      <c r="E52" s="339">
        <v>2.4199887537361664</v>
      </c>
      <c r="F52" s="339">
        <v>2.6692275934692988</v>
      </c>
      <c r="G52" s="339">
        <v>7.2811485787158153E-2</v>
      </c>
      <c r="H52" s="339">
        <v>6.7488845101093334E-2</v>
      </c>
    </row>
    <row r="53" spans="1:8" ht="13.5" customHeight="1">
      <c r="A53" s="52"/>
      <c r="B53" s="338">
        <f t="shared" si="0"/>
        <v>2036</v>
      </c>
      <c r="D53" s="339">
        <v>2.0707361923000001</v>
      </c>
      <c r="E53" s="339">
        <v>2.4199887537361664</v>
      </c>
      <c r="F53" s="339">
        <v>2.6692275934692988</v>
      </c>
      <c r="G53" s="339">
        <v>6.4876732977738383E-2</v>
      </c>
      <c r="H53" s="339">
        <v>6.0134135916394285E-2</v>
      </c>
    </row>
    <row r="54" spans="1:8" ht="13.5" customHeight="1">
      <c r="A54" s="52"/>
      <c r="B54" s="338">
        <f t="shared" si="0"/>
        <v>2037</v>
      </c>
      <c r="D54" s="339">
        <v>2.0707361923000001</v>
      </c>
      <c r="E54" s="339">
        <v>2.4199887537361664</v>
      </c>
      <c r="F54" s="339">
        <v>2.6692275934692988</v>
      </c>
      <c r="G54" s="339">
        <v>5.7806683057786343E-2</v>
      </c>
      <c r="H54" s="339">
        <v>5.3580918402066406E-2</v>
      </c>
    </row>
    <row r="55" spans="1:8" ht="13.5" customHeight="1">
      <c r="A55" s="52"/>
      <c r="B55" s="338">
        <f t="shared" si="0"/>
        <v>2038</v>
      </c>
      <c r="D55" s="339">
        <v>2.0707361923000001</v>
      </c>
      <c r="E55" s="339">
        <v>2.4199887537361664</v>
      </c>
      <c r="F55" s="339">
        <v>2.6692275934692988</v>
      </c>
      <c r="G55" s="339">
        <v>5.1507103591205715E-2</v>
      </c>
      <c r="H55" s="339">
        <v>4.7741848669786993E-2</v>
      </c>
    </row>
    <row r="56" spans="1:8" ht="13.5" customHeight="1">
      <c r="A56" s="52"/>
      <c r="B56" s="338">
        <f t="shared" si="0"/>
        <v>2039</v>
      </c>
      <c r="D56" s="339">
        <v>2.0707361923000001</v>
      </c>
      <c r="E56" s="339">
        <v>2.4199887537361664</v>
      </c>
      <c r="F56" s="339">
        <v>2.6692275934692988</v>
      </c>
      <c r="G56" s="339">
        <v>4.5894031278410297E-2</v>
      </c>
      <c r="H56" s="339">
        <v>4.253910127678847E-2</v>
      </c>
    </row>
    <row r="57" spans="1:8" ht="13.5" customHeight="1">
      <c r="A57" s="52"/>
      <c r="B57" s="338">
        <f t="shared" si="0"/>
        <v>2040</v>
      </c>
      <c r="D57" s="339">
        <v>2.0707361923000001</v>
      </c>
      <c r="E57" s="339">
        <v>2.4199887537361664</v>
      </c>
      <c r="F57" s="339">
        <v>2.6692275934692988</v>
      </c>
      <c r="G57" s="339">
        <v>4.0892652860086767E-2</v>
      </c>
      <c r="H57" s="339">
        <v>3.7903331937417017E-2</v>
      </c>
    </row>
    <row r="58" spans="1:8" ht="13.5" customHeight="1">
      <c r="A58" s="52"/>
      <c r="B58" s="338">
        <f t="shared" si="0"/>
        <v>2041</v>
      </c>
      <c r="D58" s="339">
        <v>2.0707361923000001</v>
      </c>
      <c r="E58" s="339">
        <v>2.4199887537361664</v>
      </c>
      <c r="F58" s="339">
        <v>2.6692275934692988</v>
      </c>
      <c r="G58" s="339">
        <v>3.9563233790948664E-2</v>
      </c>
      <c r="H58" s="339">
        <v>3.667109561286553E-2</v>
      </c>
    </row>
    <row r="59" spans="1:8" ht="13.5" customHeight="1">
      <c r="A59" s="52"/>
      <c r="B59" s="338">
        <f t="shared" si="0"/>
        <v>2042</v>
      </c>
      <c r="D59" s="339">
        <v>2.0707361923000001</v>
      </c>
      <c r="E59" s="339">
        <v>2.4199887537361664</v>
      </c>
      <c r="F59" s="339">
        <v>2.6692275934692988</v>
      </c>
      <c r="G59" s="339">
        <v>3.8233814721810568E-2</v>
      </c>
      <c r="H59" s="339">
        <v>3.5438859288314035E-2</v>
      </c>
    </row>
    <row r="60" spans="1:8" ht="13.5" customHeight="1">
      <c r="A60" s="52"/>
      <c r="B60" s="338">
        <f t="shared" si="0"/>
        <v>2043</v>
      </c>
      <c r="D60" s="339">
        <v>2.0707361923000001</v>
      </c>
      <c r="E60" s="339">
        <v>2.4199887537361664</v>
      </c>
      <c r="F60" s="339">
        <v>2.6692275934692988</v>
      </c>
      <c r="G60" s="339">
        <v>3.6904395652672464E-2</v>
      </c>
      <c r="H60" s="339">
        <v>3.4206622963762541E-2</v>
      </c>
    </row>
    <row r="61" spans="1:8" ht="13.5" customHeight="1">
      <c r="A61" s="52"/>
      <c r="B61" s="338">
        <f t="shared" si="0"/>
        <v>2044</v>
      </c>
      <c r="D61" s="339">
        <v>2.0707361923000001</v>
      </c>
      <c r="E61" s="339">
        <v>2.4199887537361664</v>
      </c>
      <c r="F61" s="339">
        <v>2.6692275934692988</v>
      </c>
      <c r="G61" s="339">
        <v>3.5574976583534361E-2</v>
      </c>
      <c r="H61" s="339">
        <v>3.2974386639211054E-2</v>
      </c>
    </row>
    <row r="62" spans="1:8" ht="13.5" customHeight="1">
      <c r="A62" s="52"/>
      <c r="B62" s="338">
        <f t="shared" si="0"/>
        <v>2045</v>
      </c>
      <c r="D62" s="339">
        <v>2.0707361923000001</v>
      </c>
      <c r="E62" s="339">
        <v>2.4199887537361664</v>
      </c>
      <c r="F62" s="339">
        <v>2.6692275934692988</v>
      </c>
      <c r="G62" s="339">
        <v>3.4245557514396265E-2</v>
      </c>
      <c r="H62" s="339">
        <v>3.1742150314659559E-2</v>
      </c>
    </row>
    <row r="63" spans="1:8" ht="13.5" customHeight="1">
      <c r="A63" s="52"/>
      <c r="B63" s="338">
        <f t="shared" si="0"/>
        <v>2046</v>
      </c>
      <c r="D63" s="339">
        <v>2.0707361923000001</v>
      </c>
      <c r="E63" s="339">
        <v>2.4199887537361664</v>
      </c>
      <c r="F63" s="339">
        <v>2.6692275934692988</v>
      </c>
      <c r="G63" s="339">
        <v>3.2916138445258161E-2</v>
      </c>
      <c r="H63" s="339">
        <v>3.0509913990108065E-2</v>
      </c>
    </row>
    <row r="64" spans="1:8" ht="13.5" customHeight="1">
      <c r="A64" s="52"/>
      <c r="B64" s="338">
        <f t="shared" si="0"/>
        <v>2047</v>
      </c>
      <c r="D64" s="339">
        <v>2.0707361923000001</v>
      </c>
      <c r="E64" s="339">
        <v>2.4199887537361664</v>
      </c>
      <c r="F64" s="339">
        <v>2.6692275934692988</v>
      </c>
      <c r="G64" s="339">
        <v>3.1586719376120058E-2</v>
      </c>
      <c r="H64" s="339">
        <v>2.9277677665556574E-2</v>
      </c>
    </row>
    <row r="65" spans="1:8" ht="13.5" customHeight="1">
      <c r="A65" s="52"/>
      <c r="B65" s="338">
        <f t="shared" si="0"/>
        <v>2048</v>
      </c>
      <c r="D65" s="339">
        <v>2.0707361923000001</v>
      </c>
      <c r="E65" s="339">
        <v>2.4199887537361664</v>
      </c>
      <c r="F65" s="339">
        <v>2.6692275934692988</v>
      </c>
      <c r="G65" s="339">
        <v>3.0257300306981962E-2</v>
      </c>
      <c r="H65" s="339">
        <v>2.8045441341005083E-2</v>
      </c>
    </row>
    <row r="66" spans="1:8" ht="13.5" customHeight="1">
      <c r="A66" s="52"/>
      <c r="B66" s="338">
        <f t="shared" si="0"/>
        <v>2049</v>
      </c>
      <c r="D66" s="339">
        <v>2.0707361923000001</v>
      </c>
      <c r="E66" s="339">
        <v>2.4199887537361664</v>
      </c>
      <c r="F66" s="339">
        <v>2.6692275934692988</v>
      </c>
      <c r="G66" s="339">
        <v>2.8927881237843858E-2</v>
      </c>
      <c r="H66" s="339">
        <v>2.6813205016453588E-2</v>
      </c>
    </row>
    <row r="67" spans="1:8" ht="13.5" customHeight="1">
      <c r="A67" s="52"/>
      <c r="B67" s="338">
        <f t="shared" si="0"/>
        <v>2050</v>
      </c>
      <c r="D67" s="339">
        <v>2.0707361923000001</v>
      </c>
      <c r="E67" s="339">
        <v>2.4199887537361664</v>
      </c>
      <c r="F67" s="339">
        <v>2.6692275934692988</v>
      </c>
      <c r="G67" s="339">
        <v>2.7598462168705772E-2</v>
      </c>
      <c r="H67" s="339">
        <v>2.5580968691902111E-2</v>
      </c>
    </row>
    <row r="68" spans="1:8" ht="13.5" customHeight="1">
      <c r="A68" s="52"/>
      <c r="B68" s="338">
        <f t="shared" si="0"/>
        <v>2051</v>
      </c>
      <c r="D68" s="339">
        <v>2.0707361923000001</v>
      </c>
      <c r="E68" s="339">
        <v>2.4199887537361664</v>
      </c>
      <c r="F68" s="339">
        <v>2.6692275934692988</v>
      </c>
      <c r="G68" s="339">
        <v>2.7598462168705772E-2</v>
      </c>
      <c r="H68" s="339">
        <v>2.5580968691902111E-2</v>
      </c>
    </row>
    <row r="69" spans="1:8" ht="13.5" customHeight="1">
      <c r="A69" s="52"/>
      <c r="B69" s="338">
        <f t="shared" si="0"/>
        <v>2052</v>
      </c>
      <c r="D69" s="339">
        <v>2.0707361923000001</v>
      </c>
      <c r="E69" s="339">
        <v>2.4199887537361664</v>
      </c>
      <c r="F69" s="339">
        <v>2.6692275934692988</v>
      </c>
      <c r="G69" s="339">
        <v>2.7598462168705772E-2</v>
      </c>
      <c r="H69" s="339">
        <v>2.5580968691902111E-2</v>
      </c>
    </row>
    <row r="70" spans="1:8" ht="13.5" customHeight="1">
      <c r="A70" s="52"/>
      <c r="B70" s="338">
        <f t="shared" si="0"/>
        <v>2053</v>
      </c>
      <c r="D70" s="339">
        <v>2.0707361923000001</v>
      </c>
      <c r="E70" s="339">
        <v>2.4199887537361664</v>
      </c>
      <c r="F70" s="339">
        <v>2.6692275934692988</v>
      </c>
      <c r="G70" s="339">
        <v>2.7598462168705772E-2</v>
      </c>
      <c r="H70" s="339">
        <v>2.5580968691902111E-2</v>
      </c>
    </row>
    <row r="71" spans="1:8" ht="13.5" customHeight="1">
      <c r="A71" s="52"/>
      <c r="B71" s="338">
        <f t="shared" si="0"/>
        <v>2054</v>
      </c>
      <c r="D71" s="339">
        <v>2.0707361923000001</v>
      </c>
      <c r="E71" s="339">
        <v>2.4199887537361664</v>
      </c>
      <c r="F71" s="339">
        <v>2.6692275934692988</v>
      </c>
      <c r="G71" s="339">
        <v>2.7598462168705772E-2</v>
      </c>
      <c r="H71" s="339">
        <v>2.5580968691902111E-2</v>
      </c>
    </row>
    <row r="72" spans="1:8" ht="13.5" customHeight="1">
      <c r="A72" s="52"/>
      <c r="B72" s="338">
        <f t="shared" si="0"/>
        <v>2055</v>
      </c>
      <c r="D72" s="339">
        <v>2.0707361923000001</v>
      </c>
      <c r="E72" s="339">
        <v>2.4199887537361664</v>
      </c>
      <c r="F72" s="339">
        <v>2.6692275934692988</v>
      </c>
      <c r="G72" s="339">
        <v>2.7598462168705772E-2</v>
      </c>
      <c r="H72" s="339">
        <v>2.5580968691902111E-2</v>
      </c>
    </row>
    <row r="73" spans="1:8" ht="13.5" customHeight="1">
      <c r="A73" s="52"/>
      <c r="B73" s="338">
        <f t="shared" si="0"/>
        <v>2056</v>
      </c>
      <c r="D73" s="339">
        <v>2.0707361923000001</v>
      </c>
      <c r="E73" s="339">
        <v>2.4199887537361664</v>
      </c>
      <c r="F73" s="339">
        <v>2.6692275934692988</v>
      </c>
      <c r="G73" s="339">
        <v>2.7598462168705772E-2</v>
      </c>
      <c r="H73" s="339">
        <v>2.5580968691902111E-2</v>
      </c>
    </row>
    <row r="74" spans="1:8" ht="13.5" customHeight="1">
      <c r="A74" s="52"/>
      <c r="B74" s="338">
        <f t="shared" si="0"/>
        <v>2057</v>
      </c>
      <c r="D74" s="339">
        <v>2.0707361923000001</v>
      </c>
      <c r="E74" s="339">
        <v>2.4199887537361664</v>
      </c>
      <c r="F74" s="339">
        <v>2.6692275934692988</v>
      </c>
      <c r="G74" s="339">
        <v>2.7598462168705772E-2</v>
      </c>
      <c r="H74" s="339">
        <v>2.5580968691902111E-2</v>
      </c>
    </row>
    <row r="75" spans="1:8" ht="13.5" customHeight="1">
      <c r="A75" s="52"/>
      <c r="B75" s="338">
        <f t="shared" si="0"/>
        <v>2058</v>
      </c>
      <c r="D75" s="339">
        <v>2.0707361923000001</v>
      </c>
      <c r="E75" s="339">
        <v>2.4199887537361664</v>
      </c>
      <c r="F75" s="339">
        <v>2.6692275934692988</v>
      </c>
      <c r="G75" s="339">
        <v>2.7598462168705772E-2</v>
      </c>
      <c r="H75" s="339">
        <v>2.5580968691902111E-2</v>
      </c>
    </row>
    <row r="76" spans="1:8" ht="13.5" customHeight="1">
      <c r="A76" s="52"/>
      <c r="B76" s="338">
        <f t="shared" si="0"/>
        <v>2059</v>
      </c>
      <c r="D76" s="339">
        <v>2.0707361923000001</v>
      </c>
      <c r="E76" s="339">
        <v>2.4199887537361664</v>
      </c>
      <c r="F76" s="339">
        <v>2.6692275934692988</v>
      </c>
      <c r="G76" s="339">
        <v>2.7598462168705772E-2</v>
      </c>
      <c r="H76" s="339">
        <v>2.5580968691902111E-2</v>
      </c>
    </row>
    <row r="77" spans="1:8" ht="13.5" customHeight="1">
      <c r="A77" s="52"/>
      <c r="B77" s="338">
        <f t="shared" si="0"/>
        <v>2060</v>
      </c>
      <c r="D77" s="339">
        <v>2.0707361923000001</v>
      </c>
      <c r="E77" s="339">
        <v>2.4199887537361664</v>
      </c>
      <c r="F77" s="339">
        <v>2.6692275934692988</v>
      </c>
      <c r="G77" s="339">
        <v>2.7598462168705772E-2</v>
      </c>
      <c r="H77" s="339">
        <v>2.5580968691902111E-2</v>
      </c>
    </row>
    <row r="78" spans="1:8" ht="13.5" customHeight="1">
      <c r="A78" s="52"/>
      <c r="B78" s="338">
        <f t="shared" si="0"/>
        <v>2061</v>
      </c>
      <c r="D78" s="339">
        <v>2.0707361923000001</v>
      </c>
      <c r="E78" s="339">
        <v>2.4199887537361664</v>
      </c>
      <c r="F78" s="339">
        <v>2.6692275934692988</v>
      </c>
      <c r="G78" s="339">
        <v>2.7598462168705772E-2</v>
      </c>
      <c r="H78" s="339">
        <v>2.5580968691902111E-2</v>
      </c>
    </row>
    <row r="79" spans="1:8" ht="13.5" customHeight="1">
      <c r="A79" s="52"/>
      <c r="B79" s="338">
        <f t="shared" si="0"/>
        <v>2062</v>
      </c>
      <c r="D79" s="339">
        <v>2.0707361923000001</v>
      </c>
      <c r="E79" s="339">
        <v>2.4199887537361664</v>
      </c>
      <c r="F79" s="339">
        <v>2.6692275934692988</v>
      </c>
      <c r="G79" s="339">
        <v>2.7598462168705772E-2</v>
      </c>
      <c r="H79" s="339">
        <v>2.5580968691902111E-2</v>
      </c>
    </row>
    <row r="80" spans="1:8" ht="13.5" customHeight="1">
      <c r="A80" s="52"/>
      <c r="B80" s="338">
        <f t="shared" si="0"/>
        <v>2063</v>
      </c>
      <c r="D80" s="339">
        <v>2.0707361923000001</v>
      </c>
      <c r="E80" s="339">
        <v>2.4199887537361664</v>
      </c>
      <c r="F80" s="339">
        <v>2.6692275934692988</v>
      </c>
      <c r="G80" s="339">
        <v>2.7598462168705772E-2</v>
      </c>
      <c r="H80" s="339">
        <v>2.5580968691902111E-2</v>
      </c>
    </row>
    <row r="81" spans="1:8" ht="13.5" customHeight="1">
      <c r="A81" s="52"/>
      <c r="B81" s="338">
        <f t="shared" si="0"/>
        <v>2064</v>
      </c>
      <c r="D81" s="339">
        <v>2.0707361923000001</v>
      </c>
      <c r="E81" s="339">
        <v>2.4199887537361664</v>
      </c>
      <c r="F81" s="339">
        <v>2.6692275934692988</v>
      </c>
      <c r="G81" s="339">
        <v>2.7598462168705772E-2</v>
      </c>
      <c r="H81" s="339">
        <v>2.5580968691902111E-2</v>
      </c>
    </row>
    <row r="82" spans="1:8" ht="13.5" customHeight="1">
      <c r="A82" s="52"/>
      <c r="B82" s="338">
        <f t="shared" si="0"/>
        <v>2065</v>
      </c>
      <c r="D82" s="339">
        <v>2.0707361923000001</v>
      </c>
      <c r="E82" s="339">
        <v>2.4199887537361664</v>
      </c>
      <c r="F82" s="339">
        <v>2.6692275934692988</v>
      </c>
      <c r="G82" s="339">
        <v>2.7598462168705772E-2</v>
      </c>
      <c r="H82" s="339">
        <v>2.5580968691902111E-2</v>
      </c>
    </row>
    <row r="83" spans="1:8" ht="13.5" customHeight="1">
      <c r="A83" s="52"/>
      <c r="B83" s="338">
        <f t="shared" si="0"/>
        <v>2066</v>
      </c>
      <c r="D83" s="339">
        <v>2.0707361923000001</v>
      </c>
      <c r="E83" s="339">
        <v>2.4199887537361664</v>
      </c>
      <c r="F83" s="339">
        <v>2.6692275934692988</v>
      </c>
      <c r="G83" s="339">
        <v>2.7598462168705772E-2</v>
      </c>
      <c r="H83" s="339">
        <v>2.5580968691902111E-2</v>
      </c>
    </row>
    <row r="84" spans="1:8" ht="13.5" customHeight="1">
      <c r="A84" s="52"/>
      <c r="B84" s="338">
        <f t="shared" si="0"/>
        <v>2067</v>
      </c>
      <c r="D84" s="339">
        <v>2.0707361923000001</v>
      </c>
      <c r="E84" s="339">
        <v>2.4199887537361664</v>
      </c>
      <c r="F84" s="339">
        <v>2.6692275934692988</v>
      </c>
      <c r="G84" s="339">
        <v>2.7598462168705772E-2</v>
      </c>
      <c r="H84" s="339">
        <v>2.5580968691902111E-2</v>
      </c>
    </row>
    <row r="85" spans="1:8" ht="13.5" customHeight="1">
      <c r="A85" s="52"/>
      <c r="B85" s="338">
        <f t="shared" si="0"/>
        <v>2068</v>
      </c>
      <c r="D85" s="339">
        <v>2.0707361923000001</v>
      </c>
      <c r="E85" s="339">
        <v>2.4199887537361664</v>
      </c>
      <c r="F85" s="339">
        <v>2.6692275934692988</v>
      </c>
      <c r="G85" s="339">
        <v>2.7598462168705772E-2</v>
      </c>
      <c r="H85" s="339">
        <v>2.5580968691902111E-2</v>
      </c>
    </row>
    <row r="86" spans="1:8" ht="13.5" customHeight="1">
      <c r="A86" s="52"/>
      <c r="B86" s="338">
        <f t="shared" si="0"/>
        <v>2069</v>
      </c>
      <c r="D86" s="339">
        <v>2.0707361923000001</v>
      </c>
      <c r="E86" s="339">
        <v>2.4199887537361664</v>
      </c>
      <c r="F86" s="339">
        <v>2.6692275934692988</v>
      </c>
      <c r="G86" s="339">
        <v>2.7598462168705772E-2</v>
      </c>
      <c r="H86" s="339">
        <v>2.5580968691902111E-2</v>
      </c>
    </row>
    <row r="87" spans="1:8" ht="13.5" customHeight="1">
      <c r="A87" s="52"/>
      <c r="B87" s="338">
        <f t="shared" si="0"/>
        <v>2070</v>
      </c>
      <c r="D87" s="339">
        <v>2.0707361923000001</v>
      </c>
      <c r="E87" s="339">
        <v>2.4199887537361664</v>
      </c>
      <c r="F87" s="339">
        <v>2.6692275934692988</v>
      </c>
      <c r="G87" s="339">
        <v>2.7598462168705772E-2</v>
      </c>
      <c r="H87" s="339">
        <v>2.5580968691902111E-2</v>
      </c>
    </row>
    <row r="88" spans="1:8" ht="13.5" customHeight="1">
      <c r="A88" s="52"/>
      <c r="B88" s="338">
        <f t="shared" si="0"/>
        <v>2071</v>
      </c>
      <c r="D88" s="339">
        <v>2.0707361923000001</v>
      </c>
      <c r="E88" s="339">
        <v>2.4199887537361664</v>
      </c>
      <c r="F88" s="339">
        <v>2.6692275934692988</v>
      </c>
      <c r="G88" s="339">
        <v>2.7598462168705772E-2</v>
      </c>
      <c r="H88" s="339">
        <v>2.5580968691902111E-2</v>
      </c>
    </row>
    <row r="89" spans="1:8" ht="13.5" customHeight="1">
      <c r="A89" s="52"/>
      <c r="B89" s="338">
        <f t="shared" si="0"/>
        <v>2072</v>
      </c>
      <c r="D89" s="339">
        <v>2.0707361923000001</v>
      </c>
      <c r="E89" s="339">
        <v>2.4199887537361664</v>
      </c>
      <c r="F89" s="339">
        <v>2.6692275934692988</v>
      </c>
      <c r="G89" s="339">
        <v>2.7598462168705772E-2</v>
      </c>
      <c r="H89" s="339">
        <v>2.5580968691902111E-2</v>
      </c>
    </row>
    <row r="90" spans="1:8" ht="13.5" customHeight="1">
      <c r="A90" s="52"/>
      <c r="B90" s="338">
        <f t="shared" si="0"/>
        <v>2073</v>
      </c>
      <c r="D90" s="339">
        <v>2.0707361923000001</v>
      </c>
      <c r="E90" s="339">
        <v>2.4199887537361664</v>
      </c>
      <c r="F90" s="339">
        <v>2.6692275934692988</v>
      </c>
      <c r="G90" s="339">
        <v>2.7598462168705772E-2</v>
      </c>
      <c r="H90" s="339">
        <v>2.5580968691902111E-2</v>
      </c>
    </row>
    <row r="91" spans="1:8" ht="13.5" customHeight="1">
      <c r="A91" s="52"/>
      <c r="B91" s="338">
        <f t="shared" si="0"/>
        <v>2074</v>
      </c>
      <c r="D91" s="339">
        <v>2.0707361923000001</v>
      </c>
      <c r="E91" s="339">
        <v>2.4199887537361664</v>
      </c>
      <c r="F91" s="339">
        <v>2.6692275934692988</v>
      </c>
      <c r="G91" s="339">
        <v>2.7598462168705772E-2</v>
      </c>
      <c r="H91" s="339">
        <v>2.5580968691902111E-2</v>
      </c>
    </row>
    <row r="92" spans="1:8" ht="13.5" customHeight="1">
      <c r="A92" s="52"/>
      <c r="B92" s="338">
        <f t="shared" si="0"/>
        <v>2075</v>
      </c>
      <c r="D92" s="339">
        <v>2.0707361923000001</v>
      </c>
      <c r="E92" s="339">
        <v>2.4199887537361664</v>
      </c>
      <c r="F92" s="339">
        <v>2.6692275934692988</v>
      </c>
      <c r="G92" s="339">
        <v>2.7598462168705772E-2</v>
      </c>
      <c r="H92" s="339">
        <v>2.5580968691902111E-2</v>
      </c>
    </row>
    <row r="93" spans="1:8" ht="13.5" customHeight="1">
      <c r="A93" s="52"/>
      <c r="B93" s="338">
        <f t="shared" ref="B93:B117" si="1">B92+1</f>
        <v>2076</v>
      </c>
      <c r="D93" s="339">
        <v>2.0707361923000001</v>
      </c>
      <c r="E93" s="339">
        <v>2.4199887537361664</v>
      </c>
      <c r="F93" s="339">
        <v>2.6692275934692988</v>
      </c>
      <c r="G93" s="339">
        <v>2.7598462168705772E-2</v>
      </c>
      <c r="H93" s="339">
        <v>2.5580968691902111E-2</v>
      </c>
    </row>
    <row r="94" spans="1:8" ht="13.5" customHeight="1">
      <c r="A94" s="52"/>
      <c r="B94" s="338">
        <f t="shared" si="1"/>
        <v>2077</v>
      </c>
      <c r="D94" s="339">
        <v>2.0707361923000001</v>
      </c>
      <c r="E94" s="339">
        <v>2.4199887537361664</v>
      </c>
      <c r="F94" s="339">
        <v>2.6692275934692988</v>
      </c>
      <c r="G94" s="339">
        <v>2.7598462168705772E-2</v>
      </c>
      <c r="H94" s="339">
        <v>2.5580968691902111E-2</v>
      </c>
    </row>
    <row r="95" spans="1:8" ht="13.5" customHeight="1">
      <c r="A95" s="52"/>
      <c r="B95" s="338">
        <f t="shared" si="1"/>
        <v>2078</v>
      </c>
      <c r="D95" s="339">
        <v>2.0707361923000001</v>
      </c>
      <c r="E95" s="339">
        <v>2.4199887537361664</v>
      </c>
      <c r="F95" s="339">
        <v>2.6692275934692988</v>
      </c>
      <c r="G95" s="339">
        <v>2.7598462168705772E-2</v>
      </c>
      <c r="H95" s="339">
        <v>2.5580968691902111E-2</v>
      </c>
    </row>
    <row r="96" spans="1:8" ht="13.5" customHeight="1">
      <c r="A96" s="52"/>
      <c r="B96" s="338">
        <f t="shared" si="1"/>
        <v>2079</v>
      </c>
      <c r="D96" s="339">
        <v>2.0707361923000001</v>
      </c>
      <c r="E96" s="339">
        <v>2.4199887537361664</v>
      </c>
      <c r="F96" s="339">
        <v>2.6692275934692988</v>
      </c>
      <c r="G96" s="339">
        <v>2.7598462168705772E-2</v>
      </c>
      <c r="H96" s="339">
        <v>2.5580968691902111E-2</v>
      </c>
    </row>
    <row r="97" spans="1:8" ht="13.5" customHeight="1">
      <c r="A97" s="52"/>
      <c r="B97" s="338">
        <f t="shared" si="1"/>
        <v>2080</v>
      </c>
      <c r="D97" s="339">
        <v>2.0707361923000001</v>
      </c>
      <c r="E97" s="339">
        <v>2.4199887537361664</v>
      </c>
      <c r="F97" s="339">
        <v>2.6692275934692988</v>
      </c>
      <c r="G97" s="339">
        <v>2.7598462168705772E-2</v>
      </c>
      <c r="H97" s="339">
        <v>2.5580968691902111E-2</v>
      </c>
    </row>
    <row r="98" spans="1:8" ht="13.5" customHeight="1">
      <c r="A98" s="52"/>
      <c r="B98" s="338">
        <f t="shared" si="1"/>
        <v>2081</v>
      </c>
      <c r="D98" s="339">
        <v>2.0707361923000001</v>
      </c>
      <c r="E98" s="339">
        <v>2.4199887537361664</v>
      </c>
      <c r="F98" s="339">
        <v>2.6692275934692988</v>
      </c>
      <c r="G98" s="339">
        <v>2.7598462168705772E-2</v>
      </c>
      <c r="H98" s="339">
        <v>2.5580968691902111E-2</v>
      </c>
    </row>
    <row r="99" spans="1:8" ht="13.5" customHeight="1">
      <c r="A99" s="52"/>
      <c r="B99" s="338">
        <f t="shared" si="1"/>
        <v>2082</v>
      </c>
      <c r="D99" s="339">
        <v>2.0707361923000001</v>
      </c>
      <c r="E99" s="339">
        <v>2.4199887537361664</v>
      </c>
      <c r="F99" s="339">
        <v>2.6692275934692988</v>
      </c>
      <c r="G99" s="339">
        <v>2.7598462168705772E-2</v>
      </c>
      <c r="H99" s="339">
        <v>2.5580968691902111E-2</v>
      </c>
    </row>
    <row r="100" spans="1:8" ht="13.5" customHeight="1">
      <c r="A100" s="52"/>
      <c r="B100" s="338">
        <f t="shared" si="1"/>
        <v>2083</v>
      </c>
      <c r="D100" s="339">
        <v>2.0707361923000001</v>
      </c>
      <c r="E100" s="339">
        <v>2.4199887537361664</v>
      </c>
      <c r="F100" s="339">
        <v>2.6692275934692988</v>
      </c>
      <c r="G100" s="339">
        <v>2.7598462168705772E-2</v>
      </c>
      <c r="H100" s="339">
        <v>2.5580968691902111E-2</v>
      </c>
    </row>
    <row r="101" spans="1:8" ht="13.5" customHeight="1">
      <c r="A101" s="52"/>
      <c r="B101" s="338">
        <f t="shared" si="1"/>
        <v>2084</v>
      </c>
      <c r="D101" s="339">
        <v>2.0707361923000001</v>
      </c>
      <c r="E101" s="339">
        <v>2.4199887537361664</v>
      </c>
      <c r="F101" s="339">
        <v>2.6692275934692988</v>
      </c>
      <c r="G101" s="339">
        <v>2.7598462168705772E-2</v>
      </c>
      <c r="H101" s="339">
        <v>2.5580968691902111E-2</v>
      </c>
    </row>
    <row r="102" spans="1:8" ht="13.5" customHeight="1">
      <c r="A102" s="52"/>
      <c r="B102" s="338">
        <f t="shared" si="1"/>
        <v>2085</v>
      </c>
      <c r="D102" s="339">
        <v>2.0707361923000001</v>
      </c>
      <c r="E102" s="339">
        <v>2.4199887537361664</v>
      </c>
      <c r="F102" s="339">
        <v>2.6692275934692988</v>
      </c>
      <c r="G102" s="339">
        <v>2.7598462168705772E-2</v>
      </c>
      <c r="H102" s="339">
        <v>2.5580968691902111E-2</v>
      </c>
    </row>
    <row r="103" spans="1:8" ht="13.5" customHeight="1">
      <c r="A103" s="52"/>
      <c r="B103" s="338">
        <f t="shared" si="1"/>
        <v>2086</v>
      </c>
      <c r="D103" s="339">
        <v>2.0707361923000001</v>
      </c>
      <c r="E103" s="339">
        <v>2.4199887537361664</v>
      </c>
      <c r="F103" s="339">
        <v>2.6692275934692988</v>
      </c>
      <c r="G103" s="339">
        <v>2.7598462168705772E-2</v>
      </c>
      <c r="H103" s="339">
        <v>2.5580968691902111E-2</v>
      </c>
    </row>
    <row r="104" spans="1:8" ht="13.5" customHeight="1">
      <c r="A104" s="52"/>
      <c r="B104" s="338">
        <f t="shared" si="1"/>
        <v>2087</v>
      </c>
      <c r="D104" s="339">
        <v>2.0707361923000001</v>
      </c>
      <c r="E104" s="339">
        <v>2.4199887537361664</v>
      </c>
      <c r="F104" s="339">
        <v>2.6692275934692988</v>
      </c>
      <c r="G104" s="339">
        <v>2.7598462168705772E-2</v>
      </c>
      <c r="H104" s="339">
        <v>2.5580968691902111E-2</v>
      </c>
    </row>
    <row r="105" spans="1:8" ht="13.5" customHeight="1">
      <c r="A105" s="52"/>
      <c r="B105" s="338">
        <f t="shared" si="1"/>
        <v>2088</v>
      </c>
      <c r="D105" s="339">
        <v>2.0707361923000001</v>
      </c>
      <c r="E105" s="339">
        <v>2.4199887537361664</v>
      </c>
      <c r="F105" s="339">
        <v>2.6692275934692988</v>
      </c>
      <c r="G105" s="339">
        <v>2.7598462168705772E-2</v>
      </c>
      <c r="H105" s="339">
        <v>2.5580968691902111E-2</v>
      </c>
    </row>
    <row r="106" spans="1:8" ht="13.5" customHeight="1">
      <c r="A106" s="52"/>
      <c r="B106" s="338">
        <f t="shared" si="1"/>
        <v>2089</v>
      </c>
      <c r="D106" s="339">
        <v>2.0707361923000001</v>
      </c>
      <c r="E106" s="339">
        <v>2.4199887537361664</v>
      </c>
      <c r="F106" s="339">
        <v>2.6692275934692988</v>
      </c>
      <c r="G106" s="339">
        <v>2.7598462168705772E-2</v>
      </c>
      <c r="H106" s="339">
        <v>2.5580968691902111E-2</v>
      </c>
    </row>
    <row r="107" spans="1:8" ht="13.5" customHeight="1">
      <c r="A107" s="52"/>
      <c r="B107" s="338">
        <f t="shared" si="1"/>
        <v>2090</v>
      </c>
      <c r="D107" s="339">
        <v>2.0707361923000001</v>
      </c>
      <c r="E107" s="339">
        <v>2.4199887537361664</v>
      </c>
      <c r="F107" s="339">
        <v>2.6692275934692988</v>
      </c>
      <c r="G107" s="339">
        <v>2.7598462168705772E-2</v>
      </c>
      <c r="H107" s="339">
        <v>2.5580968691902111E-2</v>
      </c>
    </row>
    <row r="108" spans="1:8" ht="13.5" customHeight="1">
      <c r="A108" s="52"/>
      <c r="B108" s="338">
        <f t="shared" si="1"/>
        <v>2091</v>
      </c>
      <c r="D108" s="339">
        <v>2.0707361923000001</v>
      </c>
      <c r="E108" s="339">
        <v>2.4199887537361664</v>
      </c>
      <c r="F108" s="339">
        <v>2.6692275934692988</v>
      </c>
      <c r="G108" s="339">
        <v>2.7598462168705772E-2</v>
      </c>
      <c r="H108" s="339">
        <v>2.5580968691902111E-2</v>
      </c>
    </row>
    <row r="109" spans="1:8" ht="13.5" customHeight="1">
      <c r="A109" s="52"/>
      <c r="B109" s="338">
        <f t="shared" si="1"/>
        <v>2092</v>
      </c>
      <c r="D109" s="339">
        <v>2.0707361923000001</v>
      </c>
      <c r="E109" s="339">
        <v>2.4199887537361664</v>
      </c>
      <c r="F109" s="339">
        <v>2.6692275934692988</v>
      </c>
      <c r="G109" s="339">
        <v>2.7598462168705772E-2</v>
      </c>
      <c r="H109" s="339">
        <v>2.5580968691902111E-2</v>
      </c>
    </row>
    <row r="110" spans="1:8" ht="13.5" customHeight="1">
      <c r="A110" s="52"/>
      <c r="B110" s="338">
        <f t="shared" si="1"/>
        <v>2093</v>
      </c>
      <c r="D110" s="339">
        <v>2.0707361923000001</v>
      </c>
      <c r="E110" s="339">
        <v>2.4199887537361664</v>
      </c>
      <c r="F110" s="339">
        <v>2.6692275934692988</v>
      </c>
      <c r="G110" s="339">
        <v>2.7598462168705772E-2</v>
      </c>
      <c r="H110" s="339">
        <v>2.5580968691902111E-2</v>
      </c>
    </row>
    <row r="111" spans="1:8" ht="13.5" customHeight="1">
      <c r="A111" s="52"/>
      <c r="B111" s="338">
        <f t="shared" si="1"/>
        <v>2094</v>
      </c>
      <c r="D111" s="339">
        <v>2.0707361923000001</v>
      </c>
      <c r="E111" s="339">
        <v>2.4199887537361664</v>
      </c>
      <c r="F111" s="339">
        <v>2.6692275934692988</v>
      </c>
      <c r="G111" s="339">
        <v>2.7598462168705772E-2</v>
      </c>
      <c r="H111" s="339">
        <v>2.5580968691902111E-2</v>
      </c>
    </row>
    <row r="112" spans="1:8" ht="13.5" customHeight="1">
      <c r="A112" s="52"/>
      <c r="B112" s="338">
        <f t="shared" si="1"/>
        <v>2095</v>
      </c>
      <c r="D112" s="339">
        <v>2.0707361923000001</v>
      </c>
      <c r="E112" s="339">
        <v>2.4199887537361664</v>
      </c>
      <c r="F112" s="339">
        <v>2.6692275934692988</v>
      </c>
      <c r="G112" s="339">
        <v>2.7598462168705772E-2</v>
      </c>
      <c r="H112" s="339">
        <v>2.5580968691902111E-2</v>
      </c>
    </row>
    <row r="113" spans="1:8" ht="13.5" customHeight="1">
      <c r="A113" s="52"/>
      <c r="B113" s="338">
        <f t="shared" si="1"/>
        <v>2096</v>
      </c>
      <c r="D113" s="339">
        <v>2.0707361923000001</v>
      </c>
      <c r="E113" s="339">
        <v>2.4199887537361664</v>
      </c>
      <c r="F113" s="339">
        <v>2.6692275934692988</v>
      </c>
      <c r="G113" s="339">
        <v>2.7598462168705772E-2</v>
      </c>
      <c r="H113" s="339">
        <v>2.5580968691902111E-2</v>
      </c>
    </row>
    <row r="114" spans="1:8" ht="13.5" customHeight="1">
      <c r="A114" s="52"/>
      <c r="B114" s="338">
        <f t="shared" si="1"/>
        <v>2097</v>
      </c>
      <c r="D114" s="339">
        <v>2.0707361923000001</v>
      </c>
      <c r="E114" s="339">
        <v>2.4199887537361664</v>
      </c>
      <c r="F114" s="339">
        <v>2.6692275934692988</v>
      </c>
      <c r="G114" s="339">
        <v>2.7598462168705772E-2</v>
      </c>
      <c r="H114" s="339">
        <v>2.5580968691902111E-2</v>
      </c>
    </row>
    <row r="115" spans="1:8" ht="13.5" customHeight="1">
      <c r="A115" s="52"/>
      <c r="B115" s="338">
        <f t="shared" si="1"/>
        <v>2098</v>
      </c>
      <c r="D115" s="339">
        <v>2.0707361923000001</v>
      </c>
      <c r="E115" s="339">
        <v>2.4199887537361664</v>
      </c>
      <c r="F115" s="339">
        <v>2.6692275934692988</v>
      </c>
      <c r="G115" s="339">
        <v>2.7598462168705772E-2</v>
      </c>
      <c r="H115" s="339">
        <v>2.5580968691902111E-2</v>
      </c>
    </row>
    <row r="116" spans="1:8" ht="13.5" customHeight="1">
      <c r="A116" s="52"/>
      <c r="B116" s="338">
        <f t="shared" si="1"/>
        <v>2099</v>
      </c>
      <c r="D116" s="339">
        <v>2.0707361923000001</v>
      </c>
      <c r="E116" s="339">
        <v>2.4199887537361664</v>
      </c>
      <c r="F116" s="339">
        <v>2.6692275934692988</v>
      </c>
      <c r="G116" s="339">
        <v>2.7598462168705772E-2</v>
      </c>
      <c r="H116" s="339">
        <v>2.5580968691902111E-2</v>
      </c>
    </row>
    <row r="117" spans="1:8" ht="13.5" customHeight="1" thickBot="1">
      <c r="A117" s="988"/>
      <c r="B117" s="989">
        <f t="shared" si="1"/>
        <v>2100</v>
      </c>
      <c r="C117" s="990"/>
      <c r="D117" s="991">
        <v>2.0707361923000001</v>
      </c>
      <c r="E117" s="991">
        <v>2.4199887537361664</v>
      </c>
      <c r="F117" s="991">
        <v>2.6692275934692988</v>
      </c>
      <c r="G117" s="991">
        <v>2.7598462168705772E-2</v>
      </c>
      <c r="H117" s="991">
        <v>2.5580968691902111E-2</v>
      </c>
    </row>
    <row r="118" spans="1:8" ht="13.5" customHeight="1" thickTop="1" thickBot="1"/>
    <row r="119" spans="1:8" ht="13.5" customHeight="1" thickBot="1">
      <c r="D119" s="204" t="s">
        <v>479</v>
      </c>
    </row>
    <row r="167" spans="9:9" ht="13.5" customHeight="1">
      <c r="I167" s="341"/>
    </row>
    <row r="168" spans="9:9" ht="13.5" customHeight="1">
      <c r="I168" s="341"/>
    </row>
    <row r="169" spans="9:9" ht="13.5" customHeight="1">
      <c r="I169" s="341"/>
    </row>
    <row r="170" spans="9:9" ht="13.5" customHeight="1">
      <c r="I170" s="341"/>
    </row>
    <row r="171" spans="9:9" ht="13.5" customHeight="1">
      <c r="I171" s="341"/>
    </row>
    <row r="172" spans="9:9" ht="13.5" customHeight="1">
      <c r="I172" s="341"/>
    </row>
  </sheetData>
  <mergeCells count="10">
    <mergeCell ref="A18:B18"/>
    <mergeCell ref="A19:B19"/>
    <mergeCell ref="A20:B20"/>
    <mergeCell ref="A23:H23"/>
    <mergeCell ref="E6:U6"/>
    <mergeCell ref="A7:B7"/>
    <mergeCell ref="A8:B8"/>
    <mergeCell ref="A10:B10"/>
    <mergeCell ref="A11:B11"/>
    <mergeCell ref="A12:B12"/>
  </mergeCells>
  <hyperlinks>
    <hyperlink ref="M4" r:id="rId1" location="basket" display="DECC " xr:uid="{00000000-0004-0000-1C00-000000000000}"/>
    <hyperlink ref="D119" location="A3.3!D27" tooltip="Top of this page" display="Top" xr:uid="{00000000-0004-0000-1C00-000001000000}"/>
    <hyperlink ref="A11" location="Contents!A1" display="Contents" xr:uid="{00000000-0004-0000-1C00-000002000000}"/>
    <hyperlink ref="A11:B11" r:id="rId2" display="WebTAG Unit 3.3.5" xr:uid="{00000000-0004-0000-1C00-000003000000}"/>
    <hyperlink ref="A10" location="Contents!A1" display="Contents" xr:uid="{00000000-0004-0000-1C00-000004000000}"/>
    <hyperlink ref="A10:B10" location="Contents!A1" tooltip="Contents page" display="Contents" xr:uid="{00000000-0004-0000-1C00-000005000000}"/>
    <hyperlink ref="A12:B12" r:id="rId3" tooltip="Unit A3  Environmental Impact Appraisal" display="WebTAG Unit A 3" xr:uid="{00000000-0004-0000-1C00-000006000000}"/>
    <hyperlink ref="F7" r:id="rId4" display="BEIS, 2018" xr:uid="{00000000-0004-0000-1C00-000007000000}"/>
  </hyperlink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L109"/>
  <sheetViews>
    <sheetView tabSelected="1" zoomScaleNormal="100" workbookViewId="0">
      <selection activeCell="I5" sqref="I5"/>
    </sheetView>
  </sheetViews>
  <sheetFormatPr defaultColWidth="9.1796875" defaultRowHeight="15.5"/>
  <cols>
    <col min="1" max="1" width="4.26953125" style="378" customWidth="1"/>
    <col min="2" max="2" width="4.81640625" style="378" customWidth="1"/>
    <col min="3" max="3" width="30.26953125" style="378" customWidth="1"/>
    <col min="4" max="4" width="14.7265625" style="1022" customWidth="1"/>
    <col min="5" max="5" width="14.7265625" style="378" customWidth="1"/>
    <col min="6" max="6" width="14.7265625" style="913" customWidth="1"/>
    <col min="7" max="11" width="9.1796875" style="378"/>
    <col min="12" max="12" width="26.26953125" style="378" customWidth="1"/>
    <col min="13" max="16384" width="9.1796875" style="378"/>
  </cols>
  <sheetData>
    <row r="1" spans="1:9">
      <c r="A1" s="360" t="s">
        <v>63</v>
      </c>
    </row>
    <row r="3" spans="1:9">
      <c r="C3" s="378" t="s">
        <v>64</v>
      </c>
      <c r="D3" s="1121"/>
      <c r="E3" s="1122"/>
      <c r="F3" s="1122"/>
      <c r="G3" s="1122"/>
      <c r="H3" s="1123"/>
    </row>
    <row r="4" spans="1:9">
      <c r="D4" s="1124"/>
      <c r="E4" s="1124"/>
      <c r="F4" s="1124"/>
      <c r="G4" s="1124"/>
      <c r="H4" s="1124"/>
    </row>
    <row r="5" spans="1:9">
      <c r="C5" s="378" t="s">
        <v>65</v>
      </c>
      <c r="D5" s="1121"/>
      <c r="E5" s="1122"/>
      <c r="F5" s="1122"/>
      <c r="G5" s="1122"/>
      <c r="H5" s="1123"/>
    </row>
    <row r="7" spans="1:9">
      <c r="A7" s="360" t="s">
        <v>66</v>
      </c>
    </row>
    <row r="8" spans="1:9">
      <c r="C8" s="378" t="s">
        <v>67</v>
      </c>
      <c r="D8" s="736"/>
      <c r="F8" s="378" t="s">
        <v>68</v>
      </c>
    </row>
    <row r="10" spans="1:9" ht="30" customHeight="1">
      <c r="C10" s="378" t="s">
        <v>69</v>
      </c>
      <c r="D10" s="1121"/>
      <c r="E10" s="1122"/>
      <c r="F10" s="1122"/>
      <c r="G10" s="1122"/>
      <c r="H10" s="1123"/>
    </row>
    <row r="12" spans="1:9">
      <c r="C12" s="378" t="s">
        <v>70</v>
      </c>
      <c r="F12" s="740"/>
      <c r="G12" s="741"/>
    </row>
    <row r="13" spans="1:9">
      <c r="F13" s="740"/>
      <c r="G13" s="741"/>
    </row>
    <row r="14" spans="1:9">
      <c r="A14" s="360" t="s">
        <v>71</v>
      </c>
      <c r="F14" s="740"/>
      <c r="G14" s="741"/>
    </row>
    <row r="15" spans="1:9">
      <c r="F15" s="740"/>
      <c r="G15" s="741"/>
    </row>
    <row r="16" spans="1:9">
      <c r="C16" s="1023" t="s">
        <v>72</v>
      </c>
      <c r="D16" s="1056">
        <v>2021</v>
      </c>
      <c r="E16" s="1056">
        <v>2022</v>
      </c>
      <c r="F16" s="1056">
        <v>2023</v>
      </c>
      <c r="G16" s="1024">
        <v>2024</v>
      </c>
      <c r="H16" s="380">
        <v>2025</v>
      </c>
      <c r="I16" s="1025" t="s">
        <v>73</v>
      </c>
    </row>
    <row r="17" spans="1:10">
      <c r="C17" s="1026" t="s">
        <v>74</v>
      </c>
      <c r="D17" s="1038"/>
      <c r="E17" s="1038"/>
      <c r="F17" s="1039"/>
      <c r="G17" s="1040"/>
      <c r="H17" s="1041"/>
      <c r="I17" s="1027">
        <f>SUM(D17:H17)</f>
        <v>0</v>
      </c>
    </row>
    <row r="18" spans="1:10">
      <c r="C18" s="1026" t="s">
        <v>75</v>
      </c>
      <c r="D18" s="1038"/>
      <c r="E18" s="1038"/>
      <c r="F18" s="1039"/>
      <c r="G18" s="1040"/>
      <c r="H18" s="1041"/>
      <c r="I18" s="1028">
        <f>SUM(D18:H18)</f>
        <v>0</v>
      </c>
    </row>
    <row r="19" spans="1:10">
      <c r="C19" s="1029" t="s">
        <v>76</v>
      </c>
      <c r="D19" s="1039"/>
      <c r="E19" s="1038"/>
      <c r="F19" s="1039"/>
      <c r="G19" s="1040"/>
      <c r="H19" s="1041"/>
      <c r="I19" s="1030">
        <f>SUM(D19:H19)</f>
        <v>0</v>
      </c>
    </row>
    <row r="20" spans="1:10">
      <c r="C20" s="1031" t="s">
        <v>77</v>
      </c>
      <c r="D20" s="1032">
        <f>SUM(D17:D19)</f>
        <v>0</v>
      </c>
      <c r="E20" s="1032">
        <f>SUM(E17:E19)</f>
        <v>0</v>
      </c>
      <c r="F20" s="1032">
        <f>SUM(F17:F19)</f>
        <v>0</v>
      </c>
      <c r="G20" s="1033">
        <f>SUM(G17:G19)</f>
        <v>0</v>
      </c>
      <c r="H20" s="1032">
        <f>SUM(H17:H19)</f>
        <v>0</v>
      </c>
      <c r="I20" s="1028">
        <f>SUM(D20:H20)</f>
        <v>0</v>
      </c>
    </row>
    <row r="21" spans="1:10">
      <c r="F21" s="740"/>
      <c r="G21" s="741"/>
    </row>
    <row r="22" spans="1:10">
      <c r="D22" s="378"/>
      <c r="F22" s="378"/>
      <c r="G22" s="741"/>
    </row>
    <row r="23" spans="1:10">
      <c r="A23" s="360" t="s">
        <v>78</v>
      </c>
      <c r="C23" s="742"/>
      <c r="D23" s="737"/>
      <c r="E23" s="743"/>
      <c r="F23" s="740"/>
      <c r="G23" s="741"/>
    </row>
    <row r="24" spans="1:10" s="913" customFormat="1" ht="47.25" customHeight="1">
      <c r="B24" s="739"/>
      <c r="C24" s="747" t="s">
        <v>79</v>
      </c>
      <c r="D24" s="1053" t="s">
        <v>80</v>
      </c>
      <c r="E24" s="747" t="s">
        <v>81</v>
      </c>
      <c r="F24" s="1117" t="s">
        <v>82</v>
      </c>
      <c r="G24" s="1117"/>
      <c r="H24" s="1117"/>
      <c r="I24" s="1117"/>
      <c r="J24" s="1117"/>
    </row>
    <row r="25" spans="1:10">
      <c r="C25" s="1055" t="s">
        <v>83</v>
      </c>
      <c r="D25" s="1060"/>
      <c r="E25" s="380" t="s">
        <v>84</v>
      </c>
      <c r="F25" s="1125"/>
      <c r="G25" s="1125"/>
      <c r="H25" s="1125"/>
      <c r="I25" s="1125"/>
      <c r="J25" s="1125"/>
    </row>
    <row r="26" spans="1:10" ht="46.5">
      <c r="C26" s="744" t="s">
        <v>85</v>
      </c>
      <c r="D26" s="1060"/>
      <c r="E26" s="1054" t="s">
        <v>86</v>
      </c>
      <c r="F26" s="1125"/>
      <c r="G26" s="1125"/>
      <c r="H26" s="1125"/>
      <c r="I26" s="1125"/>
      <c r="J26" s="1125"/>
    </row>
    <row r="27" spans="1:10">
      <c r="C27" s="744" t="s">
        <v>87</v>
      </c>
      <c r="D27" s="1060"/>
      <c r="E27" s="380" t="s">
        <v>88</v>
      </c>
      <c r="F27" s="1119"/>
      <c r="G27" s="1119"/>
      <c r="H27" s="1119"/>
      <c r="I27" s="1119"/>
      <c r="J27" s="1119"/>
    </row>
    <row r="28" spans="1:10">
      <c r="C28" s="744" t="s">
        <v>89</v>
      </c>
      <c r="D28" s="1060"/>
      <c r="E28" s="380" t="s">
        <v>90</v>
      </c>
      <c r="F28" s="1119"/>
      <c r="G28" s="1119"/>
      <c r="H28" s="1119"/>
      <c r="I28" s="1119"/>
      <c r="J28" s="1119"/>
    </row>
    <row r="29" spans="1:10">
      <c r="C29" s="380" t="s">
        <v>91</v>
      </c>
      <c r="D29" s="1060"/>
      <c r="E29" s="380" t="s">
        <v>92</v>
      </c>
      <c r="F29" s="1119"/>
      <c r="G29" s="1119"/>
      <c r="H29" s="1119"/>
      <c r="I29" s="1119"/>
      <c r="J29" s="1119"/>
    </row>
    <row r="30" spans="1:10">
      <c r="C30" s="380" t="s">
        <v>93</v>
      </c>
      <c r="D30" s="1060"/>
      <c r="E30" s="380" t="s">
        <v>94</v>
      </c>
      <c r="F30" s="1119"/>
      <c r="G30" s="1119"/>
      <c r="H30" s="1119"/>
      <c r="I30" s="1119"/>
      <c r="J30" s="1119"/>
    </row>
    <row r="31" spans="1:10">
      <c r="C31" s="380" t="s">
        <v>12</v>
      </c>
      <c r="D31" s="1060"/>
      <c r="E31" s="380" t="s">
        <v>95</v>
      </c>
      <c r="F31" s="1119"/>
      <c r="G31" s="1119"/>
      <c r="H31" s="1119"/>
      <c r="I31" s="1119"/>
      <c r="J31" s="1119"/>
    </row>
    <row r="32" spans="1:10" ht="62">
      <c r="C32" s="380" t="s">
        <v>96</v>
      </c>
      <c r="D32" s="1060"/>
      <c r="E32" s="1054" t="s">
        <v>97</v>
      </c>
      <c r="F32" s="1119"/>
      <c r="G32" s="1119"/>
      <c r="H32" s="1119"/>
      <c r="I32" s="1119"/>
      <c r="J32" s="1119"/>
    </row>
    <row r="33" spans="1:10" s="748" customFormat="1">
      <c r="D33" s="749"/>
      <c r="E33" s="740"/>
      <c r="F33" s="740"/>
      <c r="G33" s="740"/>
    </row>
    <row r="34" spans="1:10" ht="112.5" customHeight="1">
      <c r="C34" s="968" t="s">
        <v>14</v>
      </c>
      <c r="D34" s="1120"/>
      <c r="E34" s="1120"/>
      <c r="F34" s="1120"/>
      <c r="G34" s="1120"/>
      <c r="H34" s="1120"/>
      <c r="I34" s="1120"/>
      <c r="J34" s="1120"/>
    </row>
    <row r="35" spans="1:10">
      <c r="G35" s="741"/>
    </row>
    <row r="36" spans="1:10">
      <c r="A36" s="360" t="s">
        <v>15</v>
      </c>
      <c r="G36" s="741"/>
    </row>
    <row r="37" spans="1:10">
      <c r="A37" s="360"/>
      <c r="G37" s="741"/>
    </row>
    <row r="38" spans="1:10" ht="47.25" customHeight="1">
      <c r="A38" s="360"/>
      <c r="C38" s="1053" t="s">
        <v>98</v>
      </c>
      <c r="D38" s="1053" t="s">
        <v>99</v>
      </c>
      <c r="E38" s="1053" t="s">
        <v>100</v>
      </c>
      <c r="F38" s="1117" t="s">
        <v>82</v>
      </c>
      <c r="G38" s="1117"/>
      <c r="H38" s="1117"/>
      <c r="I38" s="1117"/>
      <c r="J38" s="1117"/>
    </row>
    <row r="39" spans="1:10">
      <c r="C39" s="803" t="s">
        <v>101</v>
      </c>
      <c r="D39" s="950"/>
      <c r="E39" s="951"/>
      <c r="F39" s="1118"/>
      <c r="G39" s="1118"/>
      <c r="H39" s="1118"/>
      <c r="I39" s="1118"/>
      <c r="J39" s="1118"/>
    </row>
    <row r="40" spans="1:10">
      <c r="C40" s="804" t="s">
        <v>102</v>
      </c>
      <c r="D40" s="950"/>
      <c r="E40" s="951"/>
      <c r="F40" s="1118"/>
      <c r="G40" s="1118"/>
      <c r="H40" s="1118"/>
      <c r="I40" s="1118"/>
      <c r="J40" s="1118"/>
    </row>
    <row r="41" spans="1:10">
      <c r="C41" s="805" t="s">
        <v>103</v>
      </c>
      <c r="D41" s="950"/>
      <c r="E41" s="951"/>
      <c r="F41" s="1118"/>
      <c r="G41" s="1118"/>
      <c r="H41" s="1118"/>
      <c r="I41" s="1118"/>
      <c r="J41" s="1118"/>
    </row>
    <row r="42" spans="1:10">
      <c r="F42" s="1126"/>
      <c r="G42" s="1126"/>
      <c r="H42" s="1126"/>
      <c r="I42" s="1126"/>
      <c r="J42" s="1126"/>
    </row>
    <row r="43" spans="1:10">
      <c r="A43" s="360" t="s">
        <v>18</v>
      </c>
      <c r="F43" s="1126"/>
      <c r="G43" s="1126"/>
      <c r="H43" s="1126"/>
      <c r="I43" s="1126"/>
      <c r="J43" s="1126"/>
    </row>
    <row r="44" spans="1:10">
      <c r="A44" s="360"/>
      <c r="F44" s="1126"/>
      <c r="G44" s="1126"/>
      <c r="H44" s="1126"/>
      <c r="I44" s="1126"/>
      <c r="J44" s="1126"/>
    </row>
    <row r="45" spans="1:10" ht="47.25" customHeight="1">
      <c r="A45" s="360"/>
      <c r="C45" s="747" t="s">
        <v>79</v>
      </c>
      <c r="D45" s="1053" t="s">
        <v>80</v>
      </c>
      <c r="E45" s="747" t="s">
        <v>81</v>
      </c>
      <c r="F45" s="1117" t="s">
        <v>82</v>
      </c>
      <c r="G45" s="1117"/>
      <c r="H45" s="1117"/>
      <c r="I45" s="1117"/>
      <c r="J45" s="1117"/>
    </row>
    <row r="46" spans="1:10">
      <c r="C46" s="380" t="s">
        <v>19</v>
      </c>
      <c r="D46" s="1060"/>
      <c r="E46" s="380" t="s">
        <v>104</v>
      </c>
      <c r="F46" s="1118"/>
      <c r="G46" s="1118"/>
      <c r="H46" s="1118"/>
      <c r="I46" s="1118"/>
      <c r="J46" s="1118"/>
    </row>
    <row r="47" spans="1:10">
      <c r="F47" s="1126"/>
      <c r="G47" s="1126"/>
      <c r="H47" s="1126"/>
      <c r="I47" s="1126"/>
      <c r="J47" s="1126"/>
    </row>
    <row r="48" spans="1:10" ht="49.5" customHeight="1">
      <c r="A48" s="360" t="s">
        <v>105</v>
      </c>
      <c r="C48" s="913"/>
      <c r="F48" s="890"/>
      <c r="G48" s="890"/>
      <c r="H48" s="890"/>
      <c r="I48" s="890"/>
      <c r="J48" s="890"/>
    </row>
    <row r="49" spans="1:12" ht="47.25" customHeight="1">
      <c r="A49" s="360"/>
      <c r="C49" s="747" t="s">
        <v>79</v>
      </c>
      <c r="D49" s="1053" t="s">
        <v>106</v>
      </c>
      <c r="E49" s="747" t="s">
        <v>81</v>
      </c>
      <c r="F49" s="1117" t="s">
        <v>82</v>
      </c>
      <c r="G49" s="1117"/>
      <c r="H49" s="1117"/>
      <c r="I49" s="1117"/>
      <c r="J49" s="1117"/>
    </row>
    <row r="50" spans="1:12" ht="49.5" customHeight="1">
      <c r="C50" s="1054" t="s">
        <v>107</v>
      </c>
      <c r="D50" s="1139"/>
      <c r="E50" s="1139"/>
      <c r="F50" s="1139"/>
      <c r="G50" s="1139"/>
      <c r="H50" s="1139"/>
      <c r="I50" s="1139"/>
      <c r="J50" s="1139"/>
      <c r="L50" s="1132" t="s">
        <v>108</v>
      </c>
    </row>
    <row r="51" spans="1:12" ht="62">
      <c r="C51" s="744" t="s">
        <v>22</v>
      </c>
      <c r="D51" s="736"/>
      <c r="E51" s="380" t="s">
        <v>109</v>
      </c>
      <c r="F51" s="1118"/>
      <c r="G51" s="1118"/>
      <c r="H51" s="1118"/>
      <c r="I51" s="1118"/>
      <c r="J51" s="1118"/>
      <c r="L51" s="1132"/>
    </row>
    <row r="52" spans="1:12" ht="62">
      <c r="C52" s="744" t="s">
        <v>23</v>
      </c>
      <c r="D52" s="736"/>
      <c r="E52" s="380" t="s">
        <v>110</v>
      </c>
      <c r="F52" s="1118"/>
      <c r="G52" s="1118"/>
      <c r="H52" s="1118"/>
      <c r="I52" s="1118"/>
      <c r="J52" s="1118"/>
      <c r="L52" s="1132"/>
    </row>
    <row r="53" spans="1:12">
      <c r="D53" s="738"/>
      <c r="F53" s="1126"/>
      <c r="G53" s="1126"/>
      <c r="H53" s="1126"/>
      <c r="I53" s="1126"/>
      <c r="J53" s="1126"/>
    </row>
    <row r="54" spans="1:12">
      <c r="C54" s="745"/>
      <c r="D54" s="378"/>
      <c r="E54" s="746"/>
    </row>
    <row r="55" spans="1:12">
      <c r="A55" s="360" t="s">
        <v>24</v>
      </c>
      <c r="F55" s="1126"/>
      <c r="G55" s="1126"/>
      <c r="H55" s="1126"/>
      <c r="I55" s="1126"/>
      <c r="J55" s="1126"/>
    </row>
    <row r="56" spans="1:12">
      <c r="A56" s="360"/>
      <c r="F56" s="1126"/>
      <c r="G56" s="1126"/>
      <c r="H56" s="1126"/>
      <c r="I56" s="1126"/>
      <c r="J56" s="1126"/>
    </row>
    <row r="57" spans="1:12" ht="47.25" customHeight="1">
      <c r="A57" s="360"/>
      <c r="C57" s="747" t="s">
        <v>79</v>
      </c>
      <c r="D57" s="1053" t="s">
        <v>80</v>
      </c>
      <c r="E57" s="747" t="s">
        <v>81</v>
      </c>
      <c r="F57" s="1117" t="s">
        <v>82</v>
      </c>
      <c r="G57" s="1117"/>
      <c r="H57" s="1117"/>
      <c r="I57" s="1117"/>
      <c r="J57" s="1117"/>
    </row>
    <row r="58" spans="1:12" ht="49.5" customHeight="1">
      <c r="C58" s="1054" t="s">
        <v>25</v>
      </c>
      <c r="D58" s="1136"/>
      <c r="E58" s="1137"/>
      <c r="F58" s="1137"/>
      <c r="G58" s="1137"/>
      <c r="H58" s="1137"/>
      <c r="I58" s="1137"/>
      <c r="J58" s="1138"/>
    </row>
    <row r="59" spans="1:12" ht="49.5" customHeight="1">
      <c r="C59" s="1054" t="s">
        <v>26</v>
      </c>
      <c r="D59" s="736"/>
      <c r="E59" s="380"/>
      <c r="F59" s="1133"/>
      <c r="G59" s="1134"/>
      <c r="H59" s="1134"/>
      <c r="I59" s="1134"/>
      <c r="J59" s="1135"/>
    </row>
    <row r="60" spans="1:12" ht="49.5" customHeight="1">
      <c r="C60" s="1054" t="s">
        <v>27</v>
      </c>
      <c r="D60" s="736"/>
      <c r="E60" s="380"/>
      <c r="F60" s="1140"/>
      <c r="G60" s="1140"/>
      <c r="H60" s="1140"/>
      <c r="I60" s="1140"/>
      <c r="J60" s="1140"/>
    </row>
    <row r="61" spans="1:12" ht="15.65" customHeight="1">
      <c r="C61" s="1054"/>
      <c r="D61" s="380"/>
      <c r="E61" s="380"/>
      <c r="F61" s="1057"/>
      <c r="G61" s="1058"/>
      <c r="H61" s="1058"/>
      <c r="I61" s="1058"/>
      <c r="J61" s="1059"/>
    </row>
    <row r="62" spans="1:12">
      <c r="C62" s="1129" t="s">
        <v>111</v>
      </c>
      <c r="D62" s="1130"/>
      <c r="E62" s="1130"/>
      <c r="F62" s="1130"/>
      <c r="G62" s="1130"/>
      <c r="H62" s="1130"/>
      <c r="I62" s="1130"/>
      <c r="J62" s="1131"/>
    </row>
    <row r="63" spans="1:12">
      <c r="C63" s="380" t="s">
        <v>87</v>
      </c>
      <c r="D63" s="1034"/>
      <c r="E63" s="380"/>
      <c r="F63" s="1128"/>
      <c r="G63" s="1128"/>
      <c r="H63" s="1128"/>
      <c r="I63" s="1128"/>
      <c r="J63" s="1128"/>
    </row>
    <row r="64" spans="1:12">
      <c r="C64" s="364" t="s">
        <v>89</v>
      </c>
      <c r="D64" s="971"/>
      <c r="E64" s="380"/>
      <c r="F64" s="1128"/>
      <c r="G64" s="1128"/>
      <c r="H64" s="1128"/>
      <c r="I64" s="1128"/>
      <c r="J64" s="1128"/>
    </row>
    <row r="65" spans="1:10">
      <c r="C65" s="364" t="s">
        <v>91</v>
      </c>
      <c r="D65" s="971"/>
      <c r="E65" s="380"/>
      <c r="F65" s="1128"/>
      <c r="G65" s="1128"/>
      <c r="H65" s="1128"/>
      <c r="I65" s="1128"/>
      <c r="J65" s="1128"/>
    </row>
    <row r="66" spans="1:10">
      <c r="C66" s="364" t="s">
        <v>93</v>
      </c>
      <c r="D66" s="965"/>
      <c r="E66" s="380"/>
      <c r="F66" s="1128"/>
      <c r="G66" s="1128"/>
      <c r="H66" s="1128"/>
      <c r="I66" s="1128"/>
      <c r="J66" s="1128"/>
    </row>
    <row r="67" spans="1:10">
      <c r="D67" s="378"/>
      <c r="F67" s="378"/>
    </row>
    <row r="68" spans="1:10">
      <c r="A68" s="360" t="s">
        <v>112</v>
      </c>
      <c r="F68" s="1126"/>
      <c r="G68" s="1126"/>
      <c r="H68" s="1126"/>
      <c r="I68" s="1126"/>
      <c r="J68" s="1126"/>
    </row>
    <row r="69" spans="1:10">
      <c r="A69" s="360"/>
      <c r="F69" s="1126"/>
      <c r="G69" s="1126"/>
      <c r="H69" s="1126"/>
      <c r="I69" s="1126"/>
      <c r="J69" s="1126"/>
    </row>
    <row r="70" spans="1:10" ht="47.25" customHeight="1">
      <c r="A70" s="360"/>
      <c r="C70" s="747" t="s">
        <v>79</v>
      </c>
      <c r="D70" s="1053" t="s">
        <v>80</v>
      </c>
      <c r="E70" s="747" t="s">
        <v>81</v>
      </c>
      <c r="F70" s="1117" t="s">
        <v>82</v>
      </c>
      <c r="G70" s="1117"/>
      <c r="H70" s="1117"/>
      <c r="I70" s="1117"/>
      <c r="J70" s="1117"/>
    </row>
    <row r="71" spans="1:10" ht="46.5">
      <c r="C71" s="744" t="s">
        <v>30</v>
      </c>
      <c r="D71" s="952"/>
      <c r="E71" s="744" t="s">
        <v>113</v>
      </c>
      <c r="F71" s="1127"/>
      <c r="G71" s="1127"/>
      <c r="H71" s="1127"/>
      <c r="I71" s="1127"/>
      <c r="J71" s="1127"/>
    </row>
    <row r="72" spans="1:10" ht="31">
      <c r="C72" s="744" t="s">
        <v>31</v>
      </c>
      <c r="D72" s="952"/>
      <c r="E72" s="744" t="s">
        <v>114</v>
      </c>
      <c r="F72" s="1127"/>
      <c r="G72" s="1127"/>
      <c r="H72" s="1127"/>
      <c r="I72" s="1127"/>
      <c r="J72" s="1127"/>
    </row>
    <row r="73" spans="1:10">
      <c r="D73" s="378"/>
      <c r="F73" s="378"/>
    </row>
    <row r="74" spans="1:10">
      <c r="D74" s="378"/>
      <c r="F74" s="378"/>
    </row>
    <row r="75" spans="1:10">
      <c r="D75" s="378"/>
      <c r="F75" s="378"/>
    </row>
    <row r="76" spans="1:10" ht="60" customHeight="1">
      <c r="D76" s="378"/>
      <c r="F76" s="378"/>
    </row>
    <row r="77" spans="1:10">
      <c r="D77" s="378"/>
      <c r="F77" s="378"/>
    </row>
    <row r="78" spans="1:10">
      <c r="D78" s="378"/>
      <c r="F78" s="378"/>
    </row>
    <row r="79" spans="1:10">
      <c r="D79" s="378"/>
      <c r="F79" s="378"/>
    </row>
    <row r="80" spans="1:10" ht="60" customHeight="1">
      <c r="D80" s="378"/>
      <c r="F80" s="378"/>
    </row>
    <row r="81" s="378" customFormat="1"/>
    <row r="82" s="378" customFormat="1"/>
    <row r="83" s="378" customFormat="1"/>
    <row r="84" s="378" customFormat="1"/>
    <row r="85" s="378" customFormat="1"/>
    <row r="86" s="378" customFormat="1"/>
    <row r="87" s="378" customFormat="1"/>
    <row r="88" s="378" customFormat="1"/>
    <row r="89" s="378" customFormat="1"/>
    <row r="90" s="378" customFormat="1" ht="45" customHeight="1"/>
    <row r="91" s="378" customFormat="1"/>
    <row r="92" s="378" customFormat="1"/>
    <row r="93" s="378" customFormat="1"/>
    <row r="94" s="378" customFormat="1"/>
    <row r="95" s="378" customFormat="1" ht="102.75" customHeight="1"/>
    <row r="96" s="378" customFormat="1"/>
    <row r="97" s="378" customFormat="1"/>
    <row r="98" s="378" customFormat="1"/>
    <row r="99" s="378" customFormat="1"/>
    <row r="100" s="378" customFormat="1"/>
    <row r="101" s="378" customFormat="1"/>
    <row r="102" s="378" customFormat="1"/>
    <row r="103" s="378" customFormat="1"/>
    <row r="104" s="378" customFormat="1"/>
    <row r="105" s="378" customFormat="1"/>
    <row r="106" s="378" customFormat="1"/>
    <row r="107" s="378" customFormat="1"/>
    <row r="108" s="378" customFormat="1"/>
    <row r="109" s="378" customFormat="1"/>
  </sheetData>
  <mergeCells count="46">
    <mergeCell ref="F66:J66"/>
    <mergeCell ref="C62:J62"/>
    <mergeCell ref="L50:L52"/>
    <mergeCell ref="F63:J63"/>
    <mergeCell ref="F64:J64"/>
    <mergeCell ref="F65:J65"/>
    <mergeCell ref="F57:J57"/>
    <mergeCell ref="F59:J59"/>
    <mergeCell ref="D58:J58"/>
    <mergeCell ref="D50:J50"/>
    <mergeCell ref="F60:J60"/>
    <mergeCell ref="F51:J51"/>
    <mergeCell ref="F52:J52"/>
    <mergeCell ref="F53:J53"/>
    <mergeCell ref="F68:J68"/>
    <mergeCell ref="F69:J69"/>
    <mergeCell ref="F70:J70"/>
    <mergeCell ref="F71:J71"/>
    <mergeCell ref="F72:J72"/>
    <mergeCell ref="F45:J45"/>
    <mergeCell ref="F46:J46"/>
    <mergeCell ref="F47:J47"/>
    <mergeCell ref="F55:J55"/>
    <mergeCell ref="F56:J56"/>
    <mergeCell ref="F49:J49"/>
    <mergeCell ref="F40:J40"/>
    <mergeCell ref="F41:J41"/>
    <mergeCell ref="F42:J42"/>
    <mergeCell ref="F43:J43"/>
    <mergeCell ref="F44:J44"/>
    <mergeCell ref="D3:H3"/>
    <mergeCell ref="D4:H4"/>
    <mergeCell ref="D5:H5"/>
    <mergeCell ref="F29:J29"/>
    <mergeCell ref="F30:J30"/>
    <mergeCell ref="F24:J24"/>
    <mergeCell ref="F25:J25"/>
    <mergeCell ref="F26:J26"/>
    <mergeCell ref="F27:J27"/>
    <mergeCell ref="F28:J28"/>
    <mergeCell ref="D10:H10"/>
    <mergeCell ref="F38:J38"/>
    <mergeCell ref="F39:J39"/>
    <mergeCell ref="F31:J31"/>
    <mergeCell ref="F32:J32"/>
    <mergeCell ref="D34:J34"/>
  </mergeCells>
  <dataValidations count="1">
    <dataValidation type="list" allowBlank="1" showInputMessage="1" showErrorMessage="1" sqref="D63:D66" xr:uid="{00000000-0002-0000-0200-000000000000}">
      <formula1>Yes_no</formula1>
    </dataValidation>
  </dataValidations>
  <pageMargins left="0.7" right="0.7" top="0.75" bottom="0.75" header="0.3" footer="0.3"/>
  <pageSetup paperSize="9" orientation="portrait" r:id="rId1"/>
  <ignoredErrors>
    <ignoredError sqref="D20 E20:I20"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'Look Up Values'!$C$26:$C$29</xm:f>
          </x14:formula1>
          <xm:sqref>D32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6"/>
  </sheetPr>
  <dimension ref="A1:S116"/>
  <sheetViews>
    <sheetView topLeftCell="A22" zoomScale="70" zoomScaleNormal="70" workbookViewId="0">
      <selection activeCell="D25" sqref="D25:F115"/>
    </sheetView>
  </sheetViews>
  <sheetFormatPr defaultColWidth="12.81640625" defaultRowHeight="13.5" customHeight="1"/>
  <cols>
    <col min="1" max="16384" width="12.81640625" style="6"/>
  </cols>
  <sheetData>
    <row r="1" spans="1:19" s="5" customFormat="1" ht="55" customHeight="1">
      <c r="A1" s="4"/>
      <c r="B1" s="4"/>
    </row>
    <row r="2" spans="1:19" s="7" customFormat="1" ht="5.15" customHeight="1"/>
    <row r="3" spans="1:19" s="7" customFormat="1" ht="20.149999999999999" customHeight="1">
      <c r="A3" s="7" t="s">
        <v>770</v>
      </c>
      <c r="B3" s="140"/>
      <c r="D3" s="10"/>
      <c r="F3" s="11"/>
      <c r="H3" s="140"/>
    </row>
    <row r="4" spans="1:19" s="5" customFormat="1" ht="20.149999999999999" customHeight="1" thickBot="1">
      <c r="A4" s="12" t="s">
        <v>360</v>
      </c>
      <c r="B4" s="13"/>
      <c r="C4" s="13"/>
      <c r="D4" s="15"/>
      <c r="E4" s="15"/>
      <c r="F4" s="15"/>
      <c r="G4" s="15"/>
      <c r="H4" s="206"/>
      <c r="I4" s="13"/>
      <c r="J4" s="259"/>
      <c r="K4" s="320"/>
      <c r="L4" s="15"/>
      <c r="M4" s="15"/>
      <c r="N4" s="15"/>
      <c r="O4" s="15"/>
      <c r="P4" s="15"/>
      <c r="Q4" s="15"/>
      <c r="R4" s="15"/>
      <c r="S4" s="15"/>
    </row>
    <row r="5" spans="1:19" s="5" customFormat="1" ht="10" customHeight="1" thickTop="1" thickBot="1">
      <c r="A5" s="40"/>
      <c r="B5" s="18"/>
      <c r="C5" s="18"/>
      <c r="D5" s="31"/>
      <c r="F5" s="143"/>
      <c r="I5" s="19"/>
    </row>
    <row r="6" spans="1:19" s="5" customFormat="1" ht="13.5" customHeight="1" thickTop="1">
      <c r="A6" s="20" t="s">
        <v>430</v>
      </c>
      <c r="B6" s="20"/>
      <c r="D6" s="22"/>
      <c r="E6" s="1214" t="s">
        <v>142</v>
      </c>
      <c r="F6" s="1216"/>
      <c r="G6" s="1168"/>
      <c r="H6" s="1168"/>
      <c r="I6" s="1168"/>
      <c r="J6" s="1168"/>
      <c r="K6" s="1168"/>
      <c r="L6" s="1168"/>
      <c r="M6" s="1168"/>
      <c r="N6" s="1168"/>
      <c r="O6" s="1168"/>
      <c r="P6" s="1168"/>
      <c r="Q6" s="1168"/>
      <c r="R6" s="1168"/>
      <c r="S6" s="1217"/>
    </row>
    <row r="7" spans="1:19" s="5" customFormat="1" ht="13.5" customHeight="1">
      <c r="A7" s="1183" t="s">
        <v>528</v>
      </c>
      <c r="B7" s="1184"/>
      <c r="D7" s="22"/>
      <c r="E7" s="17" t="s">
        <v>639</v>
      </c>
      <c r="F7" s="987" t="s">
        <v>756</v>
      </c>
      <c r="G7" s="342" t="s">
        <v>771</v>
      </c>
      <c r="S7" s="22"/>
    </row>
    <row r="8" spans="1:19" s="5" customFormat="1" ht="13.5" customHeight="1">
      <c r="A8" s="1171">
        <v>43983</v>
      </c>
      <c r="B8" s="1172"/>
      <c r="C8" s="18"/>
      <c r="D8" s="34"/>
      <c r="F8"/>
      <c r="S8" s="22"/>
    </row>
    <row r="9" spans="1:19" s="5" customFormat="1" ht="13.5" customHeight="1" thickBot="1">
      <c r="A9" s="20" t="s">
        <v>435</v>
      </c>
      <c r="B9" s="25"/>
      <c r="D9" s="18"/>
      <c r="E9" s="23"/>
      <c r="S9" s="22"/>
    </row>
    <row r="10" spans="1:19" s="5" customFormat="1" ht="13.5" customHeight="1" thickBot="1">
      <c r="A10" s="1176" t="s">
        <v>438</v>
      </c>
      <c r="B10" s="1185"/>
      <c r="D10" s="18"/>
      <c r="E10" s="23"/>
      <c r="S10" s="22"/>
    </row>
    <row r="11" spans="1:19" s="5" customFormat="1" ht="13.5" customHeight="1" thickBot="1">
      <c r="A11" s="1176" t="s">
        <v>760</v>
      </c>
      <c r="B11" s="1186"/>
      <c r="D11" s="18"/>
      <c r="E11" s="23"/>
      <c r="F11" s="26"/>
      <c r="G11" s="26"/>
      <c r="H11" s="26"/>
      <c r="I11" s="26"/>
      <c r="J11" s="26"/>
      <c r="K11" s="26"/>
      <c r="L11" s="26"/>
      <c r="M11" s="26"/>
      <c r="N11" s="26"/>
      <c r="O11" s="26"/>
      <c r="P11" s="26"/>
      <c r="Q11" s="26"/>
      <c r="R11" s="26"/>
      <c r="S11" s="27"/>
    </row>
    <row r="12" spans="1:19" s="5" customFormat="1" ht="13.5" customHeight="1" thickBot="1">
      <c r="A12" s="1176" t="s">
        <v>762</v>
      </c>
      <c r="B12" s="1186"/>
      <c r="D12" s="18"/>
      <c r="E12" s="23"/>
      <c r="S12" s="22"/>
    </row>
    <row r="13" spans="1:19" s="5" customFormat="1" ht="13.5" customHeight="1">
      <c r="A13" s="20" t="s">
        <v>444</v>
      </c>
      <c r="B13" s="28"/>
      <c r="C13" s="18"/>
      <c r="D13" s="18"/>
      <c r="E13" s="63"/>
      <c r="S13" s="22"/>
    </row>
    <row r="14" spans="1:19" s="5" customFormat="1" ht="13.5" customHeight="1">
      <c r="A14" s="30" t="s">
        <v>446</v>
      </c>
      <c r="B14" s="147">
        <v>2010</v>
      </c>
      <c r="C14" s="18"/>
      <c r="D14" s="18"/>
      <c r="E14" s="23"/>
      <c r="S14" s="22"/>
    </row>
    <row r="15" spans="1:19" s="5" customFormat="1" ht="13.5" customHeight="1">
      <c r="B15" s="343"/>
      <c r="C15" s="18"/>
      <c r="D15" s="18"/>
      <c r="E15" s="23"/>
      <c r="S15" s="22"/>
    </row>
    <row r="16" spans="1:19" s="5" customFormat="1" ht="13.5" customHeight="1">
      <c r="A16" s="5" t="s">
        <v>589</v>
      </c>
      <c r="B16" s="147">
        <v>2010</v>
      </c>
      <c r="C16" s="18"/>
      <c r="D16" s="18"/>
      <c r="E16" s="23"/>
      <c r="S16" s="22"/>
    </row>
    <row r="17" spans="1:19" s="5" customFormat="1" ht="13.5" customHeight="1">
      <c r="A17" s="20" t="s">
        <v>451</v>
      </c>
      <c r="B17" s="180"/>
      <c r="C17" s="18"/>
      <c r="D17" s="18"/>
      <c r="E17" s="33"/>
      <c r="S17" s="22"/>
    </row>
    <row r="18" spans="1:19" s="5" customFormat="1" ht="13.5" customHeight="1">
      <c r="A18" s="1178"/>
      <c r="B18" s="1178"/>
      <c r="C18" s="18"/>
      <c r="D18" s="18"/>
      <c r="E18" s="23"/>
      <c r="S18" s="22"/>
    </row>
    <row r="19" spans="1:19" s="5" customFormat="1" ht="13.5" customHeight="1">
      <c r="A19" s="1178"/>
      <c r="B19" s="1178"/>
      <c r="C19" s="18"/>
      <c r="D19" s="34"/>
      <c r="E19" s="6" t="s">
        <v>772</v>
      </c>
      <c r="F19" s="6"/>
      <c r="G19" s="344"/>
      <c r="S19" s="22"/>
    </row>
    <row r="20" spans="1:19" s="5" customFormat="1" ht="13.5" customHeight="1" thickBot="1">
      <c r="A20" s="1178"/>
      <c r="B20" s="1178"/>
      <c r="C20" s="18"/>
      <c r="D20" s="34"/>
      <c r="E20" s="35" t="s">
        <v>773</v>
      </c>
      <c r="F20" s="36"/>
      <c r="G20" s="36"/>
      <c r="H20" s="36"/>
      <c r="I20" s="36"/>
      <c r="J20" s="36"/>
      <c r="K20" s="36"/>
      <c r="L20" s="36"/>
      <c r="M20" s="36"/>
      <c r="N20" s="36"/>
      <c r="O20" s="36"/>
      <c r="P20" s="36"/>
      <c r="Q20" s="36"/>
      <c r="R20" s="36"/>
      <c r="S20" s="37"/>
    </row>
    <row r="21" spans="1:19" s="5" customFormat="1" ht="13.5" customHeight="1" thickTop="1">
      <c r="A21" s="38"/>
      <c r="B21" s="39"/>
      <c r="C21" s="18"/>
      <c r="D21" s="31"/>
      <c r="F21" s="976"/>
      <c r="I21" s="19"/>
    </row>
    <row r="22" spans="1:19" s="5" customFormat="1" ht="13.5" customHeight="1" thickBot="1">
      <c r="I22" s="19"/>
    </row>
    <row r="23" spans="1:19" s="5" customFormat="1" ht="13.5" customHeight="1" thickTop="1" thickBot="1">
      <c r="A23" s="1077" t="str">
        <f>CONCATENATE("Table A 3.4: Non Traded Values, £ per Tonne of CO2e (",B14," prices)")</f>
        <v>Table A 3.4: Non Traded Values, £ per Tonne of CO2e (2010 prices)</v>
      </c>
      <c r="B23" s="43"/>
      <c r="C23" s="345"/>
      <c r="D23" s="345"/>
      <c r="E23" s="345"/>
      <c r="F23" s="346"/>
      <c r="G23" s="347"/>
      <c r="H23" s="347"/>
      <c r="I23" s="348"/>
    </row>
    <row r="24" spans="1:19" ht="13.5" customHeight="1" thickTop="1" thickBot="1">
      <c r="A24" s="333"/>
      <c r="B24" s="334" t="s">
        <v>474</v>
      </c>
      <c r="C24" s="335"/>
      <c r="D24" s="349" t="s">
        <v>420</v>
      </c>
      <c r="E24" s="350" t="s">
        <v>774</v>
      </c>
      <c r="F24" s="351" t="s">
        <v>775</v>
      </c>
    </row>
    <row r="25" spans="1:19" ht="13.5" customHeight="1" thickTop="1">
      <c r="A25" s="48"/>
      <c r="B25" s="352">
        <f>B16</f>
        <v>2010</v>
      </c>
      <c r="C25" s="50"/>
      <c r="D25" s="353">
        <v>83.64</v>
      </c>
      <c r="E25" s="353">
        <v>167.28</v>
      </c>
      <c r="F25" s="354">
        <v>250.92</v>
      </c>
      <c r="H25" s="355"/>
    </row>
    <row r="26" spans="1:19" ht="13.5" customHeight="1">
      <c r="A26" s="52"/>
      <c r="B26" s="356">
        <f>B25+1</f>
        <v>2011</v>
      </c>
      <c r="C26" s="53"/>
      <c r="D26" s="353">
        <v>84.91</v>
      </c>
      <c r="E26" s="353">
        <v>169.83</v>
      </c>
      <c r="F26" s="354">
        <v>254.74</v>
      </c>
      <c r="H26" s="355"/>
    </row>
    <row r="27" spans="1:19" ht="13.5" customHeight="1">
      <c r="A27" s="52"/>
      <c r="B27" s="356">
        <f t="shared" ref="B27:B90" si="0">B26+1</f>
        <v>2012</v>
      </c>
      <c r="C27" s="53"/>
      <c r="D27" s="353">
        <v>86.21</v>
      </c>
      <c r="E27" s="353">
        <v>172.41</v>
      </c>
      <c r="F27" s="354">
        <v>258.62</v>
      </c>
      <c r="H27" s="355"/>
    </row>
    <row r="28" spans="1:19" ht="13.5" customHeight="1">
      <c r="A28" s="52"/>
      <c r="B28" s="356">
        <f t="shared" si="0"/>
        <v>2013</v>
      </c>
      <c r="C28" s="53"/>
      <c r="D28" s="353">
        <v>87.52</v>
      </c>
      <c r="E28" s="353">
        <v>175.04</v>
      </c>
      <c r="F28" s="354">
        <v>262.56</v>
      </c>
      <c r="H28" s="355"/>
    </row>
    <row r="29" spans="1:19" ht="13.5" customHeight="1">
      <c r="A29" s="52"/>
      <c r="B29" s="356">
        <f t="shared" si="0"/>
        <v>2014</v>
      </c>
      <c r="C29" s="53"/>
      <c r="D29" s="353">
        <v>88.85</v>
      </c>
      <c r="E29" s="353">
        <v>177.71</v>
      </c>
      <c r="F29" s="354">
        <v>266.56</v>
      </c>
      <c r="H29" s="355"/>
    </row>
    <row r="30" spans="1:19" ht="13.5" customHeight="1">
      <c r="A30" s="52"/>
      <c r="B30" s="356">
        <f t="shared" si="0"/>
        <v>2015</v>
      </c>
      <c r="C30" s="53"/>
      <c r="D30" s="353">
        <v>90.21</v>
      </c>
      <c r="E30" s="353">
        <v>180.41</v>
      </c>
      <c r="F30" s="354">
        <v>270.62</v>
      </c>
      <c r="H30" s="355"/>
    </row>
    <row r="31" spans="1:19" ht="13.5" customHeight="1">
      <c r="A31" s="52"/>
      <c r="B31" s="356">
        <f t="shared" si="0"/>
        <v>2016</v>
      </c>
      <c r="C31" s="53"/>
      <c r="D31" s="353">
        <v>91.58</v>
      </c>
      <c r="E31" s="353">
        <v>183.16</v>
      </c>
      <c r="F31" s="354">
        <v>274.74</v>
      </c>
      <c r="H31" s="355"/>
    </row>
    <row r="32" spans="1:19" ht="13.5" customHeight="1">
      <c r="A32" s="52"/>
      <c r="B32" s="356">
        <f t="shared" si="0"/>
        <v>2017</v>
      </c>
      <c r="C32" s="53"/>
      <c r="D32" s="353">
        <v>92.97</v>
      </c>
      <c r="E32" s="353">
        <v>185.95</v>
      </c>
      <c r="F32" s="354">
        <v>278.92</v>
      </c>
      <c r="H32" s="355"/>
    </row>
    <row r="33" spans="1:8" ht="13.5" customHeight="1">
      <c r="A33" s="52"/>
      <c r="B33" s="356">
        <f t="shared" si="0"/>
        <v>2018</v>
      </c>
      <c r="C33" s="53"/>
      <c r="D33" s="353">
        <v>94.39</v>
      </c>
      <c r="E33" s="353">
        <v>188.78</v>
      </c>
      <c r="F33" s="354">
        <v>283.17</v>
      </c>
      <c r="H33" s="355"/>
    </row>
    <row r="34" spans="1:8" ht="13.5" customHeight="1">
      <c r="A34" s="52"/>
      <c r="B34" s="356">
        <f t="shared" si="0"/>
        <v>2019</v>
      </c>
      <c r="C34" s="53"/>
      <c r="D34" s="353">
        <v>95.83</v>
      </c>
      <c r="E34" s="353">
        <v>191.65</v>
      </c>
      <c r="F34" s="354">
        <v>287.48</v>
      </c>
      <c r="H34" s="355"/>
    </row>
    <row r="35" spans="1:8" ht="13.5" customHeight="1">
      <c r="A35" s="52"/>
      <c r="B35" s="356">
        <f t="shared" si="0"/>
        <v>2020</v>
      </c>
      <c r="C35" s="53"/>
      <c r="D35" s="353">
        <v>97.29</v>
      </c>
      <c r="E35" s="353">
        <v>194.57</v>
      </c>
      <c r="F35" s="354">
        <v>291.86</v>
      </c>
      <c r="H35" s="355"/>
    </row>
    <row r="36" spans="1:8" ht="13.5" customHeight="1">
      <c r="A36" s="52"/>
      <c r="B36" s="356">
        <f t="shared" si="0"/>
        <v>2021</v>
      </c>
      <c r="C36" s="53"/>
      <c r="D36" s="353">
        <v>99.11</v>
      </c>
      <c r="E36" s="353">
        <v>198.22</v>
      </c>
      <c r="F36" s="354">
        <v>297.33</v>
      </c>
      <c r="H36" s="355"/>
    </row>
    <row r="37" spans="1:8" ht="13.5" customHeight="1">
      <c r="A37" s="52"/>
      <c r="B37" s="356">
        <f t="shared" si="0"/>
        <v>2022</v>
      </c>
      <c r="C37" s="53"/>
      <c r="D37" s="353">
        <v>100.62</v>
      </c>
      <c r="E37" s="353">
        <v>201.24</v>
      </c>
      <c r="F37" s="354">
        <v>301.86</v>
      </c>
      <c r="H37" s="355"/>
    </row>
    <row r="38" spans="1:8" ht="13.5" customHeight="1">
      <c r="A38" s="52"/>
      <c r="B38" s="356">
        <f t="shared" si="0"/>
        <v>2023</v>
      </c>
      <c r="C38" s="53"/>
      <c r="D38" s="353">
        <v>102.15</v>
      </c>
      <c r="E38" s="353">
        <v>204.3</v>
      </c>
      <c r="F38" s="354">
        <v>306.45999999999998</v>
      </c>
      <c r="H38" s="355"/>
    </row>
    <row r="39" spans="1:8" ht="13.5" customHeight="1">
      <c r="A39" s="52"/>
      <c r="B39" s="356">
        <f t="shared" si="0"/>
        <v>2024</v>
      </c>
      <c r="C39" s="53"/>
      <c r="D39" s="353">
        <v>103.71</v>
      </c>
      <c r="E39" s="353">
        <v>207.41</v>
      </c>
      <c r="F39" s="354">
        <v>311.12</v>
      </c>
      <c r="H39" s="355"/>
    </row>
    <row r="40" spans="1:8" ht="13.5" customHeight="1">
      <c r="A40" s="52"/>
      <c r="B40" s="356">
        <f t="shared" si="0"/>
        <v>2025</v>
      </c>
      <c r="C40" s="53"/>
      <c r="D40" s="353">
        <v>105.29</v>
      </c>
      <c r="E40" s="353">
        <v>210.57</v>
      </c>
      <c r="F40" s="354">
        <v>315.86</v>
      </c>
      <c r="H40" s="355"/>
    </row>
    <row r="41" spans="1:8" ht="13.5" customHeight="1">
      <c r="A41" s="52"/>
      <c r="B41" s="356">
        <f t="shared" si="0"/>
        <v>2026</v>
      </c>
      <c r="C41" s="53"/>
      <c r="D41" s="353">
        <v>106.89</v>
      </c>
      <c r="E41" s="353">
        <v>213.78</v>
      </c>
      <c r="F41" s="354">
        <v>320.67</v>
      </c>
      <c r="H41" s="355"/>
    </row>
    <row r="42" spans="1:8" ht="13.5" customHeight="1">
      <c r="A42" s="52"/>
      <c r="B42" s="356">
        <f t="shared" si="0"/>
        <v>2027</v>
      </c>
      <c r="C42" s="53"/>
      <c r="D42" s="353">
        <v>108.52</v>
      </c>
      <c r="E42" s="353">
        <v>217.04</v>
      </c>
      <c r="F42" s="354">
        <v>325.55</v>
      </c>
      <c r="H42" s="355"/>
    </row>
    <row r="43" spans="1:8" ht="13.5" customHeight="1">
      <c r="A43" s="52"/>
      <c r="B43" s="356">
        <f t="shared" si="0"/>
        <v>2028</v>
      </c>
      <c r="C43" s="53"/>
      <c r="D43" s="353">
        <v>110.17</v>
      </c>
      <c r="E43" s="353">
        <v>220.34</v>
      </c>
      <c r="F43" s="354">
        <v>330.51</v>
      </c>
      <c r="H43" s="355"/>
    </row>
    <row r="44" spans="1:8" ht="13.5" customHeight="1">
      <c r="A44" s="52"/>
      <c r="B44" s="356">
        <f t="shared" si="0"/>
        <v>2029</v>
      </c>
      <c r="C44" s="53"/>
      <c r="D44" s="353">
        <v>111.85</v>
      </c>
      <c r="E44" s="353">
        <v>223.7</v>
      </c>
      <c r="F44" s="354">
        <v>335.54</v>
      </c>
      <c r="H44" s="355"/>
    </row>
    <row r="45" spans="1:8" ht="13.5" customHeight="1">
      <c r="A45" s="52"/>
      <c r="B45" s="356">
        <f t="shared" si="0"/>
        <v>2030</v>
      </c>
      <c r="C45" s="53"/>
      <c r="D45" s="353">
        <v>113.55</v>
      </c>
      <c r="E45" s="353">
        <v>227.1</v>
      </c>
      <c r="F45" s="354">
        <v>340.65</v>
      </c>
      <c r="H45" s="355"/>
    </row>
    <row r="46" spans="1:8" ht="13.5" customHeight="1">
      <c r="A46" s="52"/>
      <c r="B46" s="356">
        <f t="shared" si="0"/>
        <v>2031</v>
      </c>
      <c r="C46" s="53"/>
      <c r="D46" s="353">
        <v>115.28</v>
      </c>
      <c r="E46" s="353">
        <v>230.56</v>
      </c>
      <c r="F46" s="354">
        <v>345.84</v>
      </c>
      <c r="H46" s="355"/>
    </row>
    <row r="47" spans="1:8" ht="13.5" customHeight="1">
      <c r="A47" s="52"/>
      <c r="B47" s="356">
        <f t="shared" si="0"/>
        <v>2032</v>
      </c>
      <c r="C47" s="53"/>
      <c r="D47" s="353">
        <v>117.04</v>
      </c>
      <c r="E47" s="353">
        <v>234.07</v>
      </c>
      <c r="F47" s="354">
        <v>351.11</v>
      </c>
      <c r="H47" s="355"/>
    </row>
    <row r="48" spans="1:8" ht="13.5" customHeight="1">
      <c r="A48" s="52"/>
      <c r="B48" s="356">
        <f t="shared" si="0"/>
        <v>2033</v>
      </c>
      <c r="C48" s="53"/>
      <c r="D48" s="353">
        <v>118.82</v>
      </c>
      <c r="E48" s="353">
        <v>237.64</v>
      </c>
      <c r="F48" s="354">
        <v>356.46</v>
      </c>
      <c r="H48" s="355"/>
    </row>
    <row r="49" spans="1:8" ht="13.5" customHeight="1">
      <c r="A49" s="52"/>
      <c r="B49" s="356">
        <f t="shared" si="0"/>
        <v>2034</v>
      </c>
      <c r="C49" s="53"/>
      <c r="D49" s="353">
        <v>120.63</v>
      </c>
      <c r="E49" s="353">
        <v>241.26</v>
      </c>
      <c r="F49" s="354">
        <v>361.88</v>
      </c>
      <c r="H49" s="355"/>
    </row>
    <row r="50" spans="1:8" ht="13.5" customHeight="1">
      <c r="A50" s="52"/>
      <c r="B50" s="356">
        <f t="shared" si="0"/>
        <v>2035</v>
      </c>
      <c r="C50" s="53"/>
      <c r="D50" s="353">
        <v>122.46</v>
      </c>
      <c r="E50" s="353">
        <v>244.93</v>
      </c>
      <c r="F50" s="354">
        <v>367.39</v>
      </c>
    </row>
    <row r="51" spans="1:8" ht="13.5" customHeight="1">
      <c r="A51" s="52"/>
      <c r="B51" s="356">
        <f t="shared" si="0"/>
        <v>2036</v>
      </c>
      <c r="C51" s="53"/>
      <c r="D51" s="353">
        <v>124.33</v>
      </c>
      <c r="E51" s="353">
        <v>248.66</v>
      </c>
      <c r="F51" s="354">
        <v>372.99</v>
      </c>
    </row>
    <row r="52" spans="1:8" ht="13.5" customHeight="1">
      <c r="A52" s="52"/>
      <c r="B52" s="356">
        <f t="shared" si="0"/>
        <v>2037</v>
      </c>
      <c r="C52" s="53"/>
      <c r="D52" s="353">
        <v>126.22</v>
      </c>
      <c r="E52" s="353">
        <v>252.45</v>
      </c>
      <c r="F52" s="354">
        <v>378.67</v>
      </c>
    </row>
    <row r="53" spans="1:8" ht="13.5" customHeight="1">
      <c r="A53" s="52"/>
      <c r="B53" s="356">
        <f t="shared" si="0"/>
        <v>2038</v>
      </c>
      <c r="C53" s="53"/>
      <c r="D53" s="353">
        <v>128.15</v>
      </c>
      <c r="E53" s="353">
        <v>256.29000000000002</v>
      </c>
      <c r="F53" s="354">
        <v>384.44</v>
      </c>
    </row>
    <row r="54" spans="1:8" ht="13.5" customHeight="1">
      <c r="A54" s="52"/>
      <c r="B54" s="356">
        <f t="shared" si="0"/>
        <v>2039</v>
      </c>
      <c r="C54" s="53"/>
      <c r="D54" s="353">
        <v>130.1</v>
      </c>
      <c r="E54" s="353">
        <v>260.19</v>
      </c>
      <c r="F54" s="354">
        <v>390.29</v>
      </c>
    </row>
    <row r="55" spans="1:8" ht="13.5" customHeight="1">
      <c r="A55" s="52"/>
      <c r="B55" s="356">
        <f t="shared" si="0"/>
        <v>2040</v>
      </c>
      <c r="C55" s="53"/>
      <c r="D55" s="353">
        <v>132.08000000000001</v>
      </c>
      <c r="E55" s="353">
        <v>264.16000000000003</v>
      </c>
      <c r="F55" s="354">
        <v>396.23</v>
      </c>
    </row>
    <row r="56" spans="1:8" ht="13.5" customHeight="1">
      <c r="A56" s="52"/>
      <c r="B56" s="356">
        <f t="shared" si="0"/>
        <v>2041</v>
      </c>
      <c r="C56" s="53"/>
      <c r="D56" s="353">
        <v>134.06</v>
      </c>
      <c r="E56" s="353">
        <v>268.12</v>
      </c>
      <c r="F56" s="354">
        <v>402.18</v>
      </c>
    </row>
    <row r="57" spans="1:8" ht="13.5" customHeight="1">
      <c r="A57" s="52"/>
      <c r="B57" s="356">
        <f t="shared" si="0"/>
        <v>2042</v>
      </c>
      <c r="C57" s="53"/>
      <c r="D57" s="353">
        <v>136.07</v>
      </c>
      <c r="E57" s="353">
        <v>272.14</v>
      </c>
      <c r="F57" s="354">
        <v>408.21</v>
      </c>
    </row>
    <row r="58" spans="1:8" ht="13.5" customHeight="1">
      <c r="A58" s="52"/>
      <c r="B58" s="356">
        <f t="shared" si="0"/>
        <v>2043</v>
      </c>
      <c r="C58" s="53"/>
      <c r="D58" s="353">
        <v>138.11000000000001</v>
      </c>
      <c r="E58" s="353">
        <v>276.22000000000003</v>
      </c>
      <c r="F58" s="354">
        <v>414.33</v>
      </c>
    </row>
    <row r="59" spans="1:8" ht="13.5" customHeight="1">
      <c r="A59" s="52"/>
      <c r="B59" s="356">
        <f t="shared" si="0"/>
        <v>2044</v>
      </c>
      <c r="C59" s="53"/>
      <c r="D59" s="353">
        <v>140.18</v>
      </c>
      <c r="E59" s="353">
        <v>280.37</v>
      </c>
      <c r="F59" s="354">
        <v>420.55</v>
      </c>
    </row>
    <row r="60" spans="1:8" ht="13.5" customHeight="1">
      <c r="A60" s="52"/>
      <c r="B60" s="356">
        <f t="shared" si="0"/>
        <v>2045</v>
      </c>
      <c r="C60" s="53"/>
      <c r="D60" s="353">
        <v>142.29</v>
      </c>
      <c r="E60" s="353">
        <v>284.57</v>
      </c>
      <c r="F60" s="354">
        <v>426.86</v>
      </c>
    </row>
    <row r="61" spans="1:8" ht="13.5" customHeight="1">
      <c r="A61" s="52"/>
      <c r="B61" s="356">
        <f t="shared" si="0"/>
        <v>2046</v>
      </c>
      <c r="C61" s="53"/>
      <c r="D61" s="353">
        <v>144.41999999999999</v>
      </c>
      <c r="E61" s="353">
        <v>288.83999999999997</v>
      </c>
      <c r="F61" s="354">
        <v>433.26</v>
      </c>
    </row>
    <row r="62" spans="1:8" ht="13.5" customHeight="1">
      <c r="A62" s="52"/>
      <c r="B62" s="356">
        <f t="shared" si="0"/>
        <v>2047</v>
      </c>
      <c r="C62" s="53"/>
      <c r="D62" s="353">
        <v>146.59</v>
      </c>
      <c r="E62" s="353">
        <v>293.17</v>
      </c>
      <c r="F62" s="354">
        <v>439.76</v>
      </c>
    </row>
    <row r="63" spans="1:8" ht="13.5" customHeight="1">
      <c r="A63" s="52"/>
      <c r="B63" s="356">
        <f t="shared" si="0"/>
        <v>2048</v>
      </c>
      <c r="C63" s="53"/>
      <c r="D63" s="353">
        <v>148.78</v>
      </c>
      <c r="E63" s="353">
        <v>297.57</v>
      </c>
      <c r="F63" s="354">
        <v>446.35</v>
      </c>
    </row>
    <row r="64" spans="1:8" ht="13.5" customHeight="1">
      <c r="A64" s="52"/>
      <c r="B64" s="356">
        <f t="shared" si="0"/>
        <v>2049</v>
      </c>
      <c r="C64" s="53"/>
      <c r="D64" s="353">
        <v>151.02000000000001</v>
      </c>
      <c r="E64" s="353">
        <v>302.02999999999997</v>
      </c>
      <c r="F64" s="354">
        <v>453.05</v>
      </c>
    </row>
    <row r="65" spans="1:6" ht="13.5" customHeight="1">
      <c r="A65" s="52"/>
      <c r="B65" s="356">
        <f t="shared" si="0"/>
        <v>2050</v>
      </c>
      <c r="C65" s="53"/>
      <c r="D65" s="353">
        <v>153.28</v>
      </c>
      <c r="E65" s="353">
        <v>306.56</v>
      </c>
      <c r="F65" s="354">
        <v>459.85</v>
      </c>
    </row>
    <row r="66" spans="1:6" ht="13.5" customHeight="1">
      <c r="A66" s="52"/>
      <c r="B66" s="356">
        <f t="shared" si="0"/>
        <v>2051</v>
      </c>
      <c r="C66" s="53"/>
      <c r="D66" s="353">
        <v>155.58000000000001</v>
      </c>
      <c r="E66" s="353">
        <v>311.16000000000003</v>
      </c>
      <c r="F66" s="354">
        <v>466.74</v>
      </c>
    </row>
    <row r="67" spans="1:6" ht="13.5" customHeight="1">
      <c r="A67" s="52"/>
      <c r="B67" s="356">
        <f t="shared" si="0"/>
        <v>2052</v>
      </c>
      <c r="C67" s="53"/>
      <c r="D67" s="353">
        <v>157.91</v>
      </c>
      <c r="E67" s="353">
        <v>315.83</v>
      </c>
      <c r="F67" s="354">
        <v>473.74</v>
      </c>
    </row>
    <row r="68" spans="1:6" ht="13.5" customHeight="1">
      <c r="A68" s="52"/>
      <c r="B68" s="356">
        <f t="shared" si="0"/>
        <v>2053</v>
      </c>
      <c r="C68" s="53"/>
      <c r="D68" s="353">
        <v>160.28</v>
      </c>
      <c r="E68" s="353">
        <v>320.57</v>
      </c>
      <c r="F68" s="354">
        <v>480.85</v>
      </c>
    </row>
    <row r="69" spans="1:6" ht="13.5" customHeight="1">
      <c r="A69" s="52"/>
      <c r="B69" s="356">
        <f t="shared" si="0"/>
        <v>2054</v>
      </c>
      <c r="C69" s="53"/>
      <c r="D69" s="353">
        <v>162.69</v>
      </c>
      <c r="E69" s="353">
        <v>325.38</v>
      </c>
      <c r="F69" s="354">
        <v>488.06</v>
      </c>
    </row>
    <row r="70" spans="1:6" ht="13.5" customHeight="1">
      <c r="A70" s="52"/>
      <c r="B70" s="356">
        <f t="shared" si="0"/>
        <v>2055</v>
      </c>
      <c r="C70" s="53"/>
      <c r="D70" s="353">
        <v>165.13</v>
      </c>
      <c r="E70" s="353">
        <v>330.26</v>
      </c>
      <c r="F70" s="354">
        <v>495.38</v>
      </c>
    </row>
    <row r="71" spans="1:6" ht="13.5" customHeight="1">
      <c r="A71" s="52"/>
      <c r="B71" s="356">
        <f t="shared" si="0"/>
        <v>2056</v>
      </c>
      <c r="C71" s="53"/>
      <c r="D71" s="353">
        <v>167.6</v>
      </c>
      <c r="E71" s="353">
        <v>335.21</v>
      </c>
      <c r="F71" s="354">
        <v>502.81</v>
      </c>
    </row>
    <row r="72" spans="1:6" ht="13.5" customHeight="1">
      <c r="A72" s="52"/>
      <c r="B72" s="356">
        <f t="shared" si="0"/>
        <v>2057</v>
      </c>
      <c r="C72" s="53"/>
      <c r="D72" s="353">
        <v>170.12</v>
      </c>
      <c r="E72" s="353">
        <v>340.24</v>
      </c>
      <c r="F72" s="354">
        <v>510.36</v>
      </c>
    </row>
    <row r="73" spans="1:6" ht="13.5" customHeight="1">
      <c r="A73" s="52"/>
      <c r="B73" s="356">
        <f t="shared" si="0"/>
        <v>2058</v>
      </c>
      <c r="C73" s="53"/>
      <c r="D73" s="353">
        <v>172.67</v>
      </c>
      <c r="E73" s="353">
        <v>345.34</v>
      </c>
      <c r="F73" s="354">
        <v>518.01</v>
      </c>
    </row>
    <row r="74" spans="1:6" ht="13.5" customHeight="1">
      <c r="A74" s="52"/>
      <c r="B74" s="356">
        <f t="shared" si="0"/>
        <v>2059</v>
      </c>
      <c r="C74" s="53"/>
      <c r="D74" s="353">
        <v>175.26</v>
      </c>
      <c r="E74" s="353">
        <v>350.52</v>
      </c>
      <c r="F74" s="354">
        <v>525.78</v>
      </c>
    </row>
    <row r="75" spans="1:6" ht="13.5" customHeight="1">
      <c r="A75" s="52"/>
      <c r="B75" s="356">
        <f t="shared" si="0"/>
        <v>2060</v>
      </c>
      <c r="C75" s="53"/>
      <c r="D75" s="353">
        <v>177.89</v>
      </c>
      <c r="E75" s="353">
        <v>355.78</v>
      </c>
      <c r="F75" s="354">
        <v>533.66999999999996</v>
      </c>
    </row>
    <row r="76" spans="1:6" ht="13.5" customHeight="1">
      <c r="A76" s="52"/>
      <c r="B76" s="356">
        <f t="shared" si="0"/>
        <v>2061</v>
      </c>
      <c r="C76" s="53"/>
      <c r="D76" s="353">
        <v>180.56</v>
      </c>
      <c r="E76" s="353">
        <v>361.12</v>
      </c>
      <c r="F76" s="354">
        <v>541.66999999999996</v>
      </c>
    </row>
    <row r="77" spans="1:6" ht="13.5" customHeight="1">
      <c r="A77" s="52"/>
      <c r="B77" s="356">
        <f t="shared" si="0"/>
        <v>2062</v>
      </c>
      <c r="C77" s="53"/>
      <c r="D77" s="353">
        <v>183.27</v>
      </c>
      <c r="E77" s="353">
        <v>366.53</v>
      </c>
      <c r="F77" s="354">
        <v>549.79999999999995</v>
      </c>
    </row>
    <row r="78" spans="1:6" ht="13.5" customHeight="1">
      <c r="A78" s="52"/>
      <c r="B78" s="356">
        <f t="shared" si="0"/>
        <v>2063</v>
      </c>
      <c r="C78" s="53"/>
      <c r="D78" s="353">
        <v>186.02</v>
      </c>
      <c r="E78" s="353">
        <v>372.03</v>
      </c>
      <c r="F78" s="354">
        <v>558.04999999999995</v>
      </c>
    </row>
    <row r="79" spans="1:6" ht="13.5" customHeight="1">
      <c r="A79" s="52"/>
      <c r="B79" s="356">
        <f t="shared" si="0"/>
        <v>2064</v>
      </c>
      <c r="C79" s="53"/>
      <c r="D79" s="353">
        <v>188.81</v>
      </c>
      <c r="E79" s="353">
        <v>377.61</v>
      </c>
      <c r="F79" s="354">
        <v>566.41999999999996</v>
      </c>
    </row>
    <row r="80" spans="1:6" ht="13.5" customHeight="1">
      <c r="A80" s="52"/>
      <c r="B80" s="356">
        <f t="shared" si="0"/>
        <v>2065</v>
      </c>
      <c r="C80" s="53"/>
      <c r="D80" s="353">
        <v>191.64</v>
      </c>
      <c r="E80" s="353">
        <v>383.28</v>
      </c>
      <c r="F80" s="354">
        <v>574.91</v>
      </c>
    </row>
    <row r="81" spans="1:6" ht="13.5" customHeight="1">
      <c r="A81" s="52"/>
      <c r="B81" s="356">
        <f t="shared" si="0"/>
        <v>2066</v>
      </c>
      <c r="C81" s="53"/>
      <c r="D81" s="353">
        <v>194.51</v>
      </c>
      <c r="E81" s="353">
        <v>389.02</v>
      </c>
      <c r="F81" s="354">
        <v>583.54</v>
      </c>
    </row>
    <row r="82" spans="1:6" ht="13.5" customHeight="1">
      <c r="A82" s="52"/>
      <c r="B82" s="356">
        <f t="shared" si="0"/>
        <v>2067</v>
      </c>
      <c r="C82" s="53"/>
      <c r="D82" s="353">
        <v>197.43</v>
      </c>
      <c r="E82" s="353">
        <v>394.86</v>
      </c>
      <c r="F82" s="354">
        <v>592.29</v>
      </c>
    </row>
    <row r="83" spans="1:6" ht="13.5" customHeight="1">
      <c r="A83" s="52"/>
      <c r="B83" s="356">
        <f t="shared" si="0"/>
        <v>2068</v>
      </c>
      <c r="C83" s="53"/>
      <c r="D83" s="353">
        <v>200.39</v>
      </c>
      <c r="E83" s="353">
        <v>400.78</v>
      </c>
      <c r="F83" s="354">
        <v>601.16999999999996</v>
      </c>
    </row>
    <row r="84" spans="1:6" ht="13.5" customHeight="1">
      <c r="A84" s="52"/>
      <c r="B84" s="356">
        <f t="shared" si="0"/>
        <v>2069</v>
      </c>
      <c r="C84" s="53"/>
      <c r="D84" s="353">
        <v>203.4</v>
      </c>
      <c r="E84" s="353">
        <v>406.79</v>
      </c>
      <c r="F84" s="354">
        <v>610.19000000000005</v>
      </c>
    </row>
    <row r="85" spans="1:6" ht="13.5" customHeight="1">
      <c r="A85" s="52"/>
      <c r="B85" s="356">
        <f t="shared" si="0"/>
        <v>2070</v>
      </c>
      <c r="C85" s="53"/>
      <c r="D85" s="353">
        <v>206.45</v>
      </c>
      <c r="E85" s="353">
        <v>412.9</v>
      </c>
      <c r="F85" s="354">
        <v>619.34</v>
      </c>
    </row>
    <row r="86" spans="1:6" ht="13.5" customHeight="1">
      <c r="A86" s="52"/>
      <c r="B86" s="356">
        <f t="shared" si="0"/>
        <v>2071</v>
      </c>
      <c r="C86" s="53"/>
      <c r="D86" s="353">
        <v>209.55</v>
      </c>
      <c r="E86" s="353">
        <v>419.09</v>
      </c>
      <c r="F86" s="354">
        <v>628.64</v>
      </c>
    </row>
    <row r="87" spans="1:6" ht="13.5" customHeight="1">
      <c r="A87" s="52"/>
      <c r="B87" s="356">
        <f t="shared" si="0"/>
        <v>2072</v>
      </c>
      <c r="C87" s="53"/>
      <c r="D87" s="353">
        <v>212.69</v>
      </c>
      <c r="E87" s="353">
        <v>425.38</v>
      </c>
      <c r="F87" s="354">
        <v>638.05999999999995</v>
      </c>
    </row>
    <row r="88" spans="1:6" ht="13.5" customHeight="1">
      <c r="A88" s="52"/>
      <c r="B88" s="356">
        <f t="shared" si="0"/>
        <v>2073</v>
      </c>
      <c r="C88" s="53"/>
      <c r="D88" s="353">
        <v>215.88</v>
      </c>
      <c r="E88" s="353">
        <v>431.76</v>
      </c>
      <c r="F88" s="354">
        <v>647.64</v>
      </c>
    </row>
    <row r="89" spans="1:6" ht="13.5" customHeight="1">
      <c r="A89" s="52"/>
      <c r="B89" s="356">
        <f t="shared" si="0"/>
        <v>2074</v>
      </c>
      <c r="C89" s="53"/>
      <c r="D89" s="353">
        <v>219.12</v>
      </c>
      <c r="E89" s="353">
        <v>438.23</v>
      </c>
      <c r="F89" s="354">
        <v>657.35</v>
      </c>
    </row>
    <row r="90" spans="1:6" ht="13.5" customHeight="1">
      <c r="A90" s="52"/>
      <c r="B90" s="356">
        <f t="shared" si="0"/>
        <v>2075</v>
      </c>
      <c r="C90" s="53"/>
      <c r="D90" s="353">
        <v>222.4</v>
      </c>
      <c r="E90" s="353">
        <v>444.81</v>
      </c>
      <c r="F90" s="354">
        <v>667.21</v>
      </c>
    </row>
    <row r="91" spans="1:6" ht="13.5" customHeight="1">
      <c r="A91" s="52"/>
      <c r="B91" s="356">
        <f t="shared" ref="B91:B115" si="1">B90+1</f>
        <v>2076</v>
      </c>
      <c r="C91" s="53"/>
      <c r="D91" s="353">
        <v>225.74</v>
      </c>
      <c r="E91" s="353">
        <v>451.48</v>
      </c>
      <c r="F91" s="354">
        <v>677.22</v>
      </c>
    </row>
    <row r="92" spans="1:6" ht="13.5" customHeight="1">
      <c r="A92" s="52"/>
      <c r="B92" s="356">
        <f t="shared" si="1"/>
        <v>2077</v>
      </c>
      <c r="C92" s="53"/>
      <c r="D92" s="353">
        <v>229.13</v>
      </c>
      <c r="E92" s="353">
        <v>458.25</v>
      </c>
      <c r="F92" s="354">
        <v>687.38</v>
      </c>
    </row>
    <row r="93" spans="1:6" ht="13.5" customHeight="1">
      <c r="A93" s="52"/>
      <c r="B93" s="356">
        <f t="shared" si="1"/>
        <v>2078</v>
      </c>
      <c r="C93" s="53"/>
      <c r="D93" s="353">
        <v>232.56</v>
      </c>
      <c r="E93" s="353">
        <v>465.13</v>
      </c>
      <c r="F93" s="354">
        <v>697.69</v>
      </c>
    </row>
    <row r="94" spans="1:6" ht="13.5" customHeight="1">
      <c r="A94" s="52"/>
      <c r="B94" s="356">
        <f t="shared" si="1"/>
        <v>2079</v>
      </c>
      <c r="C94" s="53"/>
      <c r="D94" s="353">
        <v>236.05</v>
      </c>
      <c r="E94" s="353">
        <v>472.1</v>
      </c>
      <c r="F94" s="354">
        <v>708.15</v>
      </c>
    </row>
    <row r="95" spans="1:6" ht="13.5" customHeight="1">
      <c r="A95" s="52"/>
      <c r="B95" s="356">
        <f t="shared" si="1"/>
        <v>2080</v>
      </c>
      <c r="C95" s="53"/>
      <c r="D95" s="353">
        <v>239.59</v>
      </c>
      <c r="E95" s="353">
        <v>479.18</v>
      </c>
      <c r="F95" s="354">
        <v>718.78</v>
      </c>
    </row>
    <row r="96" spans="1:6" ht="13.5" customHeight="1">
      <c r="A96" s="52"/>
      <c r="B96" s="356">
        <f t="shared" si="1"/>
        <v>2081</v>
      </c>
      <c r="C96" s="53"/>
      <c r="D96" s="353">
        <v>243.19</v>
      </c>
      <c r="E96" s="353">
        <v>486.37</v>
      </c>
      <c r="F96" s="354">
        <v>729.56</v>
      </c>
    </row>
    <row r="97" spans="1:7" ht="13.5" customHeight="1">
      <c r="A97" s="52"/>
      <c r="B97" s="356">
        <f t="shared" si="1"/>
        <v>2082</v>
      </c>
      <c r="C97" s="53"/>
      <c r="D97" s="353">
        <v>246.83</v>
      </c>
      <c r="E97" s="353">
        <v>493.67</v>
      </c>
      <c r="F97" s="354">
        <v>740.5</v>
      </c>
    </row>
    <row r="98" spans="1:7" ht="13.5" customHeight="1">
      <c r="A98" s="52"/>
      <c r="B98" s="356">
        <f t="shared" si="1"/>
        <v>2083</v>
      </c>
      <c r="C98" s="53"/>
      <c r="D98" s="353">
        <v>250.54</v>
      </c>
      <c r="E98" s="353">
        <v>501.07</v>
      </c>
      <c r="F98" s="354">
        <v>751.61</v>
      </c>
    </row>
    <row r="99" spans="1:7" ht="13.5" customHeight="1">
      <c r="A99" s="52"/>
      <c r="B99" s="356">
        <f t="shared" si="1"/>
        <v>2084</v>
      </c>
      <c r="C99" s="53"/>
      <c r="D99" s="353">
        <v>254.29</v>
      </c>
      <c r="E99" s="353">
        <v>508.59</v>
      </c>
      <c r="F99" s="354">
        <v>762.88</v>
      </c>
    </row>
    <row r="100" spans="1:7" ht="13.5" customHeight="1">
      <c r="A100" s="52"/>
      <c r="B100" s="356">
        <f t="shared" si="1"/>
        <v>2085</v>
      </c>
      <c r="C100" s="53"/>
      <c r="D100" s="353">
        <v>258.11</v>
      </c>
      <c r="E100" s="353">
        <v>516.22</v>
      </c>
      <c r="F100" s="354">
        <v>774.32</v>
      </c>
    </row>
    <row r="101" spans="1:7" ht="13.5" customHeight="1">
      <c r="A101" s="52"/>
      <c r="B101" s="356">
        <f t="shared" si="1"/>
        <v>2086</v>
      </c>
      <c r="C101" s="53"/>
      <c r="D101" s="353">
        <v>261.98</v>
      </c>
      <c r="E101" s="353">
        <v>523.96</v>
      </c>
      <c r="F101" s="354">
        <v>785.94</v>
      </c>
    </row>
    <row r="102" spans="1:7" ht="13.5" customHeight="1">
      <c r="A102" s="52"/>
      <c r="B102" s="356">
        <f t="shared" si="1"/>
        <v>2087</v>
      </c>
      <c r="C102" s="53"/>
      <c r="D102" s="353">
        <v>265.91000000000003</v>
      </c>
      <c r="E102" s="353">
        <v>531.82000000000005</v>
      </c>
      <c r="F102" s="354">
        <v>797.73</v>
      </c>
    </row>
    <row r="103" spans="1:7" ht="13.5" customHeight="1">
      <c r="A103" s="52"/>
      <c r="B103" s="356">
        <f t="shared" si="1"/>
        <v>2088</v>
      </c>
      <c r="C103" s="53"/>
      <c r="D103" s="353">
        <v>269.89999999999998</v>
      </c>
      <c r="E103" s="353">
        <v>539.79999999999995</v>
      </c>
      <c r="F103" s="354">
        <v>809.69</v>
      </c>
    </row>
    <row r="104" spans="1:7" ht="13.5" customHeight="1">
      <c r="A104" s="52"/>
      <c r="B104" s="356">
        <f t="shared" si="1"/>
        <v>2089</v>
      </c>
      <c r="C104" s="53"/>
      <c r="D104" s="353">
        <v>273.95</v>
      </c>
      <c r="E104" s="353">
        <v>547.89</v>
      </c>
      <c r="F104" s="354">
        <v>821.84</v>
      </c>
    </row>
    <row r="105" spans="1:7" ht="13.5" customHeight="1">
      <c r="A105" s="52"/>
      <c r="B105" s="356">
        <f t="shared" si="1"/>
        <v>2090</v>
      </c>
      <c r="C105" s="53"/>
      <c r="D105" s="353">
        <v>278.06</v>
      </c>
      <c r="E105" s="353">
        <v>556.11</v>
      </c>
      <c r="F105" s="354">
        <v>834.17</v>
      </c>
      <c r="G105" s="52"/>
    </row>
    <row r="106" spans="1:7" ht="13.5" customHeight="1">
      <c r="B106" s="356">
        <f t="shared" si="1"/>
        <v>2091</v>
      </c>
      <c r="C106" s="53"/>
      <c r="D106" s="353">
        <v>282.23</v>
      </c>
      <c r="E106" s="353">
        <v>564.45000000000005</v>
      </c>
      <c r="F106" s="354">
        <v>846.68</v>
      </c>
    </row>
    <row r="107" spans="1:7" ht="13.5" customHeight="1">
      <c r="B107" s="356">
        <f t="shared" si="1"/>
        <v>2092</v>
      </c>
      <c r="C107" s="53"/>
      <c r="D107" s="353">
        <v>286.45999999999998</v>
      </c>
      <c r="E107" s="353">
        <v>572.91999999999996</v>
      </c>
      <c r="F107" s="354">
        <v>859.38</v>
      </c>
    </row>
    <row r="108" spans="1:7" ht="13.5" customHeight="1">
      <c r="B108" s="356">
        <f t="shared" si="1"/>
        <v>2093</v>
      </c>
      <c r="C108" s="53"/>
      <c r="D108" s="353">
        <v>290.76</v>
      </c>
      <c r="E108" s="353">
        <v>581.51</v>
      </c>
      <c r="F108" s="354">
        <v>872.27</v>
      </c>
    </row>
    <row r="109" spans="1:7" ht="13.5" customHeight="1">
      <c r="B109" s="356">
        <f t="shared" si="1"/>
        <v>2094</v>
      </c>
      <c r="C109" s="53"/>
      <c r="D109" s="353">
        <v>295.12</v>
      </c>
      <c r="E109" s="353">
        <v>590.24</v>
      </c>
      <c r="F109" s="354">
        <v>885.36</v>
      </c>
    </row>
    <row r="110" spans="1:7" ht="13.5" customHeight="1">
      <c r="B110" s="356">
        <f t="shared" si="1"/>
        <v>2095</v>
      </c>
      <c r="C110" s="53"/>
      <c r="D110" s="353">
        <v>299.55</v>
      </c>
      <c r="E110" s="353">
        <v>599.09</v>
      </c>
      <c r="F110" s="354">
        <v>898.64</v>
      </c>
    </row>
    <row r="111" spans="1:7" ht="13.5" customHeight="1">
      <c r="B111" s="356">
        <f t="shared" si="1"/>
        <v>2096</v>
      </c>
      <c r="C111" s="53"/>
      <c r="D111" s="353">
        <v>304.04000000000002</v>
      </c>
      <c r="E111" s="353">
        <v>608.08000000000004</v>
      </c>
      <c r="F111" s="354">
        <v>912.12</v>
      </c>
    </row>
    <row r="112" spans="1:7" ht="13.5" customHeight="1">
      <c r="B112" s="356">
        <f t="shared" si="1"/>
        <v>2097</v>
      </c>
      <c r="C112" s="53"/>
      <c r="D112" s="353">
        <v>308.60000000000002</v>
      </c>
      <c r="E112" s="353">
        <v>617.20000000000005</v>
      </c>
      <c r="F112" s="354">
        <v>925.8</v>
      </c>
    </row>
    <row r="113" spans="1:6" ht="13.5" customHeight="1">
      <c r="B113" s="356">
        <f t="shared" si="1"/>
        <v>2098</v>
      </c>
      <c r="C113" s="53"/>
      <c r="D113" s="353">
        <v>313.23</v>
      </c>
      <c r="E113" s="353">
        <v>626.46</v>
      </c>
      <c r="F113" s="354">
        <v>939.68</v>
      </c>
    </row>
    <row r="114" spans="1:6" ht="13.5" customHeight="1">
      <c r="B114" s="356">
        <f t="shared" si="1"/>
        <v>2099</v>
      </c>
      <c r="C114" s="53"/>
      <c r="D114" s="353">
        <v>317.93</v>
      </c>
      <c r="E114" s="353">
        <v>635.85</v>
      </c>
      <c r="F114" s="354">
        <v>953.78</v>
      </c>
    </row>
    <row r="115" spans="1:6" ht="13.5" customHeight="1" thickBot="1">
      <c r="A115" s="323"/>
      <c r="B115" s="357">
        <f t="shared" si="1"/>
        <v>2100</v>
      </c>
      <c r="C115" s="56"/>
      <c r="D115" s="358">
        <v>322.7</v>
      </c>
      <c r="E115" s="358">
        <v>645.39</v>
      </c>
      <c r="F115" s="359">
        <v>968.09</v>
      </c>
    </row>
    <row r="116" spans="1:6" ht="13.5" customHeight="1" thickTop="1"/>
  </sheetData>
  <mergeCells count="9">
    <mergeCell ref="A18:B18"/>
    <mergeCell ref="A19:B19"/>
    <mergeCell ref="A20:B20"/>
    <mergeCell ref="E6:S6"/>
    <mergeCell ref="A7:B7"/>
    <mergeCell ref="A8:B8"/>
    <mergeCell ref="A10:B10"/>
    <mergeCell ref="A11:B11"/>
    <mergeCell ref="A12:B12"/>
  </mergeCells>
  <hyperlinks>
    <hyperlink ref="A11" location="Contents!A1" display="Contents" xr:uid="{00000000-0004-0000-1D00-000000000000}"/>
    <hyperlink ref="A11:B11" r:id="rId1" display="WebTAG Unit 3.3.5" xr:uid="{00000000-0004-0000-1D00-000001000000}"/>
    <hyperlink ref="A10" location="Contents!A1" display="Contents" xr:uid="{00000000-0004-0000-1D00-000002000000}"/>
    <hyperlink ref="A10:B10" location="Contents!A1" tooltip="Contents page" display="Contents" xr:uid="{00000000-0004-0000-1D00-000003000000}"/>
    <hyperlink ref="A12:B12" r:id="rId2" tooltip="Unit A3  Environmental Impact Appraisal" display="WebTAG Unit A 3" xr:uid="{00000000-0004-0000-1D00-000004000000}"/>
    <hyperlink ref="F7" r:id="rId3" display="BEIS, 2018" xr:uid="{00000000-0004-0000-1D00-000005000000}"/>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S35"/>
  <sheetViews>
    <sheetView topLeftCell="A19" zoomScale="70" zoomScaleNormal="70" workbookViewId="0">
      <selection activeCell="D5" sqref="D5:H5"/>
    </sheetView>
  </sheetViews>
  <sheetFormatPr defaultColWidth="12.81640625" defaultRowHeight="13.5" customHeight="1"/>
  <cols>
    <col min="1" max="16384" width="12.81640625" style="6"/>
  </cols>
  <sheetData>
    <row r="1" spans="1:19" s="5" customFormat="1" ht="13">
      <c r="A1" s="4"/>
      <c r="B1" s="4"/>
    </row>
    <row r="2" spans="1:19" s="7" customFormat="1" ht="18"/>
    <row r="3" spans="1:19" s="7" customFormat="1" ht="18">
      <c r="A3" s="7" t="s">
        <v>776</v>
      </c>
      <c r="B3" s="140"/>
      <c r="C3" s="10"/>
      <c r="F3" s="11"/>
      <c r="G3" s="140"/>
    </row>
    <row r="4" spans="1:19" s="5" customFormat="1" ht="18.5" thickBot="1">
      <c r="A4" s="12" t="s">
        <v>61</v>
      </c>
      <c r="B4" s="13"/>
      <c r="C4" s="15"/>
      <c r="D4" s="15"/>
      <c r="E4" s="15"/>
      <c r="F4" s="15"/>
      <c r="G4" s="13"/>
      <c r="H4" s="14"/>
      <c r="I4" s="15"/>
      <c r="J4" s="15"/>
      <c r="K4" s="15"/>
      <c r="L4" s="15"/>
      <c r="M4" s="15"/>
      <c r="N4" s="15"/>
      <c r="O4" s="15"/>
      <c r="P4" s="15"/>
      <c r="Q4" s="15"/>
      <c r="R4" s="15"/>
      <c r="S4" s="15"/>
    </row>
    <row r="5" spans="1:19" s="5" customFormat="1" ht="14" thickTop="1" thickBot="1">
      <c r="A5" s="40"/>
      <c r="B5" s="18"/>
      <c r="E5" s="19"/>
      <c r="G5" s="18"/>
      <c r="H5" s="31"/>
    </row>
    <row r="6" spans="1:19" s="5" customFormat="1" ht="15" thickTop="1">
      <c r="A6" s="20" t="s">
        <v>430</v>
      </c>
      <c r="B6" s="20"/>
      <c r="E6" s="1167" t="s">
        <v>142</v>
      </c>
      <c r="F6" s="1168"/>
      <c r="G6" s="1168"/>
      <c r="H6" s="1168"/>
      <c r="I6" s="1168"/>
      <c r="J6" s="1168"/>
      <c r="K6" s="1168"/>
      <c r="L6" s="1168"/>
      <c r="M6" s="1168"/>
      <c r="N6" s="1168"/>
      <c r="O6" s="1168"/>
      <c r="P6" s="1168"/>
      <c r="Q6" s="1168"/>
      <c r="R6" s="1168"/>
      <c r="S6" s="1217"/>
    </row>
    <row r="7" spans="1:19" s="5" customFormat="1" ht="13">
      <c r="A7" s="1183" t="s">
        <v>777</v>
      </c>
      <c r="B7" s="1184"/>
      <c r="D7" s="22"/>
      <c r="E7" s="992" t="s">
        <v>610</v>
      </c>
      <c r="F7" s="4"/>
      <c r="S7" s="22"/>
    </row>
    <row r="8" spans="1:19" s="5" customFormat="1" ht="13">
      <c r="A8" s="1171" t="s">
        <v>778</v>
      </c>
      <c r="B8" s="1172"/>
      <c r="C8" s="18"/>
      <c r="D8" s="34"/>
      <c r="E8" s="6" t="s">
        <v>779</v>
      </c>
      <c r="F8" s="24"/>
      <c r="S8" s="22"/>
    </row>
    <row r="9" spans="1:19" s="5" customFormat="1" thickBot="1">
      <c r="A9" s="20" t="s">
        <v>435</v>
      </c>
      <c r="B9" s="25"/>
      <c r="D9" s="34"/>
      <c r="E9" s="6" t="s">
        <v>780</v>
      </c>
      <c r="S9" s="22"/>
    </row>
    <row r="10" spans="1:19" s="5" customFormat="1" thickBot="1">
      <c r="A10" s="1176" t="s">
        <v>438</v>
      </c>
      <c r="B10" s="1185"/>
      <c r="D10" s="34"/>
      <c r="E10" s="6" t="s">
        <v>781</v>
      </c>
      <c r="S10" s="22"/>
    </row>
    <row r="11" spans="1:19" s="5" customFormat="1" thickBot="1">
      <c r="A11" s="1176" t="s">
        <v>782</v>
      </c>
      <c r="B11" s="1186"/>
      <c r="D11" s="18"/>
      <c r="E11" s="23"/>
      <c r="F11" s="26"/>
      <c r="G11" s="26"/>
      <c r="H11" s="26"/>
      <c r="I11" s="26"/>
      <c r="J11" s="26"/>
      <c r="K11" s="26"/>
      <c r="L11" s="26"/>
      <c r="M11" s="26"/>
      <c r="N11" s="26"/>
      <c r="O11" s="26"/>
      <c r="P11" s="26"/>
      <c r="Q11" s="26"/>
      <c r="R11" s="26"/>
      <c r="S11" s="27"/>
    </row>
    <row r="12" spans="1:19" s="5" customFormat="1" thickBot="1">
      <c r="A12" s="1176" t="s">
        <v>783</v>
      </c>
      <c r="B12" s="1186"/>
      <c r="D12" s="18"/>
      <c r="E12" s="23"/>
      <c r="S12" s="22"/>
    </row>
    <row r="13" spans="1:19" s="5" customFormat="1" ht="13">
      <c r="A13" s="20" t="s">
        <v>444</v>
      </c>
      <c r="B13" s="28"/>
      <c r="C13" s="18"/>
      <c r="D13" s="18"/>
      <c r="E13" s="63"/>
      <c r="S13" s="22"/>
    </row>
    <row r="14" spans="1:19" s="5" customFormat="1" ht="13">
      <c r="A14" s="30" t="s">
        <v>446</v>
      </c>
      <c r="B14" s="64">
        <v>2010</v>
      </c>
      <c r="C14" s="18"/>
      <c r="D14" s="18"/>
      <c r="E14" s="23"/>
      <c r="S14" s="22"/>
    </row>
    <row r="15" spans="1:19" s="5" customFormat="1" ht="13">
      <c r="A15" s="5" t="s">
        <v>726</v>
      </c>
      <c r="B15" s="147">
        <v>2010</v>
      </c>
      <c r="C15" s="18"/>
      <c r="D15" s="18"/>
      <c r="E15" s="23"/>
      <c r="S15" s="22"/>
    </row>
    <row r="16" spans="1:19" s="5" customFormat="1" ht="12.5">
      <c r="C16" s="18"/>
      <c r="D16" s="18"/>
      <c r="E16" s="23"/>
      <c r="S16" s="22"/>
    </row>
    <row r="17" spans="1:19" s="5" customFormat="1" ht="13">
      <c r="A17" s="20" t="s">
        <v>451</v>
      </c>
      <c r="B17" s="25"/>
      <c r="C17" s="18"/>
      <c r="D17" s="18"/>
      <c r="E17" s="33"/>
      <c r="S17" s="22"/>
    </row>
    <row r="18" spans="1:19" s="5" customFormat="1" ht="13">
      <c r="A18" s="1178"/>
      <c r="B18" s="1178"/>
      <c r="C18" s="18"/>
      <c r="D18" s="18"/>
      <c r="E18" s="23"/>
      <c r="S18" s="22"/>
    </row>
    <row r="19" spans="1:19" s="5" customFormat="1" ht="13">
      <c r="A19" s="1178"/>
      <c r="B19" s="1178"/>
      <c r="C19" s="18"/>
      <c r="D19" s="18"/>
      <c r="E19" s="23" t="s">
        <v>784</v>
      </c>
      <c r="S19" s="22"/>
    </row>
    <row r="20" spans="1:19" s="5" customFormat="1" thickBot="1">
      <c r="A20" s="263"/>
      <c r="B20" s="263"/>
      <c r="C20" s="18"/>
      <c r="D20" s="34"/>
      <c r="E20" s="35" t="s">
        <v>785</v>
      </c>
      <c r="F20" s="36"/>
      <c r="G20" s="36"/>
      <c r="H20" s="36"/>
      <c r="I20" s="36"/>
      <c r="J20" s="36"/>
      <c r="K20" s="36"/>
      <c r="L20" s="36"/>
      <c r="M20" s="36"/>
      <c r="N20" s="36"/>
      <c r="O20" s="36"/>
      <c r="P20" s="36"/>
      <c r="Q20" s="36"/>
      <c r="R20" s="36"/>
      <c r="S20" s="37"/>
    </row>
    <row r="21" spans="1:19" s="5" customFormat="1" thickTop="1">
      <c r="A21" s="38"/>
      <c r="B21" s="39"/>
      <c r="C21" s="341"/>
      <c r="E21" s="19"/>
      <c r="G21" s="18"/>
      <c r="H21" s="31"/>
    </row>
    <row r="22" spans="1:19" s="5" customFormat="1" ht="13" thickBot="1"/>
    <row r="23" spans="1:19" s="5" customFormat="1" thickTop="1">
      <c r="A23" s="1066" t="s">
        <v>786</v>
      </c>
      <c r="B23" s="1075"/>
      <c r="C23" s="993"/>
      <c r="D23" s="993"/>
      <c r="E23" s="1070"/>
      <c r="F23" s="1071"/>
    </row>
    <row r="24" spans="1:19" s="5" customFormat="1" thickBot="1">
      <c r="A24" s="994" t="str">
        <f>CONCATENATE("relative to no facilities (",B14," prices &amp; ",B15," values)")</f>
        <v>relative to no facilities (2010 prices &amp; 2010 values)</v>
      </c>
      <c r="B24" s="995"/>
      <c r="C24" s="995"/>
      <c r="D24" s="995"/>
      <c r="E24" s="996"/>
      <c r="F24" s="997"/>
    </row>
    <row r="25" spans="1:19" thickTop="1">
      <c r="A25" s="998" t="s">
        <v>787</v>
      </c>
      <c r="B25" s="457"/>
      <c r="C25" s="326"/>
      <c r="D25" s="327" t="s">
        <v>470</v>
      </c>
      <c r="E25" s="999" t="s">
        <v>33</v>
      </c>
      <c r="F25" s="1000"/>
    </row>
    <row r="26" spans="1:19" thickBot="1">
      <c r="A26" s="1001"/>
      <c r="B26" s="430"/>
      <c r="C26" s="335"/>
      <c r="D26" s="336" t="s">
        <v>788</v>
      </c>
      <c r="E26" s="1002"/>
      <c r="F26" s="335"/>
    </row>
    <row r="27" spans="1:19" ht="13" thickTop="1">
      <c r="A27" s="52" t="s">
        <v>789</v>
      </c>
      <c r="C27" s="53"/>
      <c r="D27" s="1003">
        <v>7.03</v>
      </c>
      <c r="E27" s="6" t="s">
        <v>790</v>
      </c>
      <c r="F27" s="53"/>
    </row>
    <row r="28" spans="1:19" ht="12.5">
      <c r="A28" s="52" t="s">
        <v>791</v>
      </c>
      <c r="C28" s="53"/>
      <c r="D28" s="1004">
        <v>2.99</v>
      </c>
      <c r="E28" s="6" t="s">
        <v>790</v>
      </c>
      <c r="F28" s="53"/>
    </row>
    <row r="29" spans="1:19" ht="13">
      <c r="A29" s="52" t="s">
        <v>792</v>
      </c>
      <c r="C29" s="53"/>
      <c r="D29" s="1004">
        <v>2.97</v>
      </c>
      <c r="E29" s="6" t="s">
        <v>793</v>
      </c>
      <c r="F29" s="53"/>
    </row>
    <row r="30" spans="1:19" ht="12.5">
      <c r="A30" s="52" t="s">
        <v>794</v>
      </c>
      <c r="C30" s="53"/>
      <c r="D30" s="1004">
        <v>1.81</v>
      </c>
      <c r="E30" s="6" t="s">
        <v>790</v>
      </c>
      <c r="F30" s="53"/>
    </row>
    <row r="31" spans="1:19" ht="13" thickBot="1">
      <c r="A31" s="1005" t="s">
        <v>795</v>
      </c>
      <c r="B31" s="1006"/>
      <c r="C31" s="1007"/>
      <c r="D31" s="1008">
        <v>0.77</v>
      </c>
      <c r="E31" s="1006" t="s">
        <v>790</v>
      </c>
      <c r="F31" s="1007"/>
    </row>
    <row r="32" spans="1:19" ht="13">
      <c r="A32" s="1009"/>
      <c r="B32" s="1010"/>
      <c r="C32" s="1011"/>
      <c r="D32" s="332" t="s">
        <v>796</v>
      </c>
      <c r="E32" s="1010"/>
      <c r="F32" s="1011"/>
    </row>
    <row r="33" spans="1:6" ht="13">
      <c r="A33" s="52" t="s">
        <v>797</v>
      </c>
      <c r="C33" s="53"/>
      <c r="D33" s="1012">
        <v>98.14</v>
      </c>
      <c r="E33" s="6" t="s">
        <v>798</v>
      </c>
      <c r="F33" s="53"/>
    </row>
    <row r="34" spans="1:6" thickBot="1">
      <c r="A34" s="54" t="s">
        <v>799</v>
      </c>
      <c r="B34" s="323"/>
      <c r="C34" s="56"/>
      <c r="D34" s="1013">
        <v>20.82</v>
      </c>
      <c r="E34" s="323" t="s">
        <v>798</v>
      </c>
      <c r="F34" s="56"/>
    </row>
    <row r="35" spans="1:6" ht="13" thickTop="1"/>
  </sheetData>
  <mergeCells count="8">
    <mergeCell ref="A18:B18"/>
    <mergeCell ref="A19:B19"/>
    <mergeCell ref="E6:S6"/>
    <mergeCell ref="A7:B7"/>
    <mergeCell ref="A8:B8"/>
    <mergeCell ref="A10:B10"/>
    <mergeCell ref="A11:B11"/>
    <mergeCell ref="A12:B12"/>
  </mergeCells>
  <hyperlinks>
    <hyperlink ref="A11" location="Contents!A1" display="Contents" xr:uid="{00000000-0004-0000-1E00-000000000000}"/>
    <hyperlink ref="A11:B11" r:id="rId1" display="WebTAG Unit 3.14.1" xr:uid="{00000000-0004-0000-1E00-000001000000}"/>
    <hyperlink ref="A10" location="Contents!A1" display="Contents" xr:uid="{00000000-0004-0000-1E00-000002000000}"/>
    <hyperlink ref="A10:B10" location="Contents!A1" tooltip="Contents page" display="Contents" xr:uid="{00000000-0004-0000-1E00-000003000000}"/>
    <hyperlink ref="A12:B12" r:id="rId2" tooltip="Unit A4.1 Social Impact Appraisal" display="WebTAG Unit A 4.1" xr:uid="{00000000-0004-0000-1E00-000004000000}"/>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6"/>
  </sheetPr>
  <dimension ref="A1:EM107"/>
  <sheetViews>
    <sheetView zoomScale="70" zoomScaleNormal="70" workbookViewId="0">
      <selection activeCell="F3" sqref="F3"/>
    </sheetView>
  </sheetViews>
  <sheetFormatPr defaultColWidth="12.81640625" defaultRowHeight="13.5" customHeight="1"/>
  <cols>
    <col min="1" max="16384" width="12.81640625" style="867"/>
  </cols>
  <sheetData>
    <row r="1" spans="1:95" s="808" customFormat="1" ht="55" customHeight="1">
      <c r="A1" s="859"/>
      <c r="C1" s="859"/>
      <c r="D1" s="1204"/>
      <c r="E1" s="1204"/>
      <c r="F1" s="1204"/>
      <c r="G1" s="1204"/>
      <c r="H1" s="1204"/>
      <c r="I1" s="1204"/>
      <c r="J1" s="1204"/>
      <c r="K1" s="1204"/>
      <c r="L1" s="1204"/>
      <c r="M1" s="1204"/>
      <c r="N1" s="1204"/>
      <c r="O1" s="1204"/>
      <c r="Q1" s="1228"/>
      <c r="R1" s="1228"/>
      <c r="S1" s="1228"/>
      <c r="T1" s="1228"/>
      <c r="U1" s="1228"/>
      <c r="V1" s="1228"/>
      <c r="W1" s="1228"/>
      <c r="X1" s="1228"/>
      <c r="Y1" s="1228"/>
      <c r="Z1" s="1228"/>
      <c r="AA1" s="1228"/>
      <c r="AB1" s="1228"/>
      <c r="AC1" s="1228"/>
      <c r="AD1" s="1228"/>
      <c r="AE1" s="1228"/>
      <c r="AG1" s="1228"/>
      <c r="AH1" s="1228"/>
      <c r="AI1" s="1228"/>
      <c r="AJ1" s="1228"/>
      <c r="AK1" s="1228"/>
      <c r="AL1" s="1228"/>
      <c r="AM1" s="1228"/>
      <c r="AN1" s="1228"/>
      <c r="AO1" s="1228"/>
      <c r="AP1" s="1228"/>
      <c r="AQ1" s="1228"/>
      <c r="AR1" s="1228"/>
      <c r="AS1" s="1228"/>
      <c r="AT1" s="1228"/>
      <c r="AU1" s="1228"/>
      <c r="AW1" s="1228"/>
      <c r="AX1" s="1228"/>
      <c r="AY1" s="1228"/>
      <c r="AZ1" s="1228"/>
      <c r="BA1" s="1228"/>
      <c r="BB1" s="1228"/>
      <c r="BC1" s="1228"/>
      <c r="BD1" s="1228"/>
      <c r="BE1" s="1228"/>
      <c r="BF1" s="1228"/>
      <c r="BG1" s="1228"/>
      <c r="BH1" s="1228"/>
      <c r="BI1" s="1228"/>
      <c r="BJ1" s="1228"/>
      <c r="BK1" s="1228"/>
      <c r="BM1" s="1228"/>
      <c r="BN1" s="1228"/>
      <c r="BO1" s="1228"/>
      <c r="BP1" s="1228"/>
      <c r="BQ1" s="1228"/>
      <c r="BR1" s="1228"/>
      <c r="BS1" s="1228"/>
      <c r="BT1" s="1228"/>
      <c r="BU1" s="1228"/>
      <c r="BV1" s="1228"/>
      <c r="BW1" s="1228"/>
      <c r="BX1" s="1228"/>
      <c r="BY1" s="1228"/>
      <c r="BZ1" s="1228"/>
      <c r="CA1" s="1228"/>
      <c r="CC1" s="1228"/>
      <c r="CD1" s="1228"/>
      <c r="CE1" s="1228"/>
      <c r="CF1" s="1228"/>
      <c r="CG1" s="1228"/>
      <c r="CH1" s="1228"/>
      <c r="CI1" s="1228"/>
      <c r="CJ1" s="1228"/>
      <c r="CK1" s="1228"/>
      <c r="CL1" s="1228"/>
      <c r="CM1" s="1228"/>
      <c r="CN1" s="1228"/>
      <c r="CO1" s="1228"/>
      <c r="CP1" s="1228"/>
      <c r="CQ1" s="1228"/>
    </row>
    <row r="2" spans="1:95" s="806" customFormat="1" ht="5.15" customHeight="1"/>
    <row r="3" spans="1:95" s="806" customFormat="1" ht="20.149999999999999" customHeight="1">
      <c r="A3" s="806" t="s">
        <v>800</v>
      </c>
      <c r="D3" s="860"/>
      <c r="F3" s="861"/>
    </row>
    <row r="4" spans="1:95" s="808" customFormat="1" ht="20.149999999999999" customHeight="1" thickBot="1">
      <c r="A4" s="862" t="s">
        <v>801</v>
      </c>
      <c r="B4" s="807"/>
      <c r="C4" s="807"/>
      <c r="D4" s="863"/>
      <c r="E4" s="807"/>
      <c r="F4" s="807"/>
      <c r="G4" s="863"/>
      <c r="H4" s="863"/>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c r="BA4" s="807"/>
      <c r="BB4" s="807"/>
      <c r="BC4" s="807"/>
      <c r="BD4" s="807"/>
      <c r="BE4" s="807"/>
      <c r="BF4" s="807"/>
      <c r="BG4" s="807"/>
      <c r="BH4" s="807"/>
      <c r="BI4" s="807"/>
      <c r="BJ4" s="807"/>
      <c r="BK4" s="807"/>
      <c r="BL4" s="807"/>
      <c r="BM4" s="807"/>
      <c r="BN4" s="807"/>
      <c r="BO4" s="807"/>
      <c r="BP4" s="807"/>
      <c r="BQ4" s="807"/>
      <c r="BR4" s="807"/>
      <c r="BS4" s="807"/>
      <c r="BT4" s="807"/>
      <c r="BU4" s="807"/>
      <c r="BV4" s="807"/>
      <c r="BW4" s="807"/>
      <c r="BX4" s="807"/>
      <c r="BY4" s="807"/>
      <c r="BZ4" s="807"/>
      <c r="CA4" s="807"/>
      <c r="CB4" s="807"/>
      <c r="CC4" s="807"/>
      <c r="CD4" s="807"/>
      <c r="CE4" s="807"/>
      <c r="CF4" s="807"/>
      <c r="CG4" s="807"/>
      <c r="CH4" s="807"/>
      <c r="CI4" s="807"/>
      <c r="CJ4" s="807"/>
      <c r="CK4" s="807"/>
      <c r="CL4" s="807"/>
      <c r="CM4" s="807"/>
      <c r="CN4" s="807"/>
      <c r="CO4" s="807"/>
      <c r="CP4" s="807"/>
      <c r="CQ4" s="807"/>
    </row>
    <row r="5" spans="1:95" s="808" customFormat="1" ht="10" customHeight="1" thickTop="1" thickBot="1">
      <c r="C5" s="864"/>
      <c r="E5" s="865"/>
      <c r="G5" s="859"/>
      <c r="H5" s="859"/>
    </row>
    <row r="6" spans="1:95" s="808" customFormat="1" ht="13.5" customHeight="1" thickTop="1">
      <c r="A6" s="20" t="s">
        <v>430</v>
      </c>
      <c r="B6" s="20"/>
      <c r="E6" s="1167" t="s">
        <v>142</v>
      </c>
      <c r="F6" s="1214"/>
      <c r="G6" s="1214"/>
      <c r="H6" s="1214"/>
      <c r="I6" s="1214"/>
      <c r="J6" s="1214"/>
      <c r="K6" s="1214"/>
      <c r="L6" s="1214"/>
      <c r="M6" s="1214"/>
      <c r="N6" s="1214"/>
      <c r="O6" s="1214"/>
      <c r="P6" s="1214"/>
      <c r="Q6" s="1214"/>
      <c r="R6" s="1214"/>
      <c r="S6" s="1215"/>
    </row>
    <row r="7" spans="1:95" s="808" customFormat="1" ht="13.5" customHeight="1">
      <c r="A7" s="1224" t="s">
        <v>584</v>
      </c>
      <c r="B7" s="1225"/>
      <c r="D7" s="866"/>
      <c r="E7" s="867" t="s">
        <v>802</v>
      </c>
      <c r="F7" s="859"/>
      <c r="S7" s="866"/>
    </row>
    <row r="8" spans="1:95" s="808" customFormat="1" ht="13.5" customHeight="1">
      <c r="A8" s="1226">
        <v>44682</v>
      </c>
      <c r="B8" s="1227"/>
      <c r="C8" s="864"/>
      <c r="D8" s="868"/>
      <c r="E8" s="808" t="s">
        <v>803</v>
      </c>
      <c r="F8" s="869"/>
      <c r="S8" s="866"/>
    </row>
    <row r="9" spans="1:95" s="808" customFormat="1" ht="13.5" customHeight="1" thickBot="1">
      <c r="A9" s="20" t="s">
        <v>435</v>
      </c>
      <c r="B9" s="20"/>
      <c r="D9" s="868"/>
      <c r="S9" s="866"/>
    </row>
    <row r="10" spans="1:95" s="808" customFormat="1" ht="13.5" customHeight="1" thickBot="1">
      <c r="A10" s="1176" t="s">
        <v>438</v>
      </c>
      <c r="B10" s="1186"/>
      <c r="D10" s="868"/>
      <c r="S10" s="866"/>
    </row>
    <row r="11" spans="1:95" s="808" customFormat="1" ht="13.5" customHeight="1" thickBot="1">
      <c r="A11" s="1176" t="s">
        <v>804</v>
      </c>
      <c r="B11" s="1186"/>
      <c r="D11" s="868"/>
      <c r="F11" s="870"/>
      <c r="G11" s="870"/>
      <c r="H11" s="870"/>
      <c r="I11" s="870"/>
      <c r="J11" s="870"/>
      <c r="K11" s="870"/>
      <c r="L11" s="870"/>
      <c r="M11" s="870"/>
      <c r="N11" s="870"/>
      <c r="O11" s="870"/>
      <c r="P11" s="870"/>
      <c r="Q11" s="870"/>
      <c r="R11" s="870"/>
      <c r="S11" s="871"/>
    </row>
    <row r="12" spans="1:95" s="808" customFormat="1" ht="13.5" customHeight="1" thickBot="1">
      <c r="A12" s="1176" t="s">
        <v>805</v>
      </c>
      <c r="B12" s="1186"/>
      <c r="D12" s="868"/>
      <c r="S12" s="866"/>
    </row>
    <row r="13" spans="1:95" s="808" customFormat="1" ht="13.5" customHeight="1">
      <c r="A13" s="20" t="s">
        <v>444</v>
      </c>
      <c r="B13" s="20"/>
      <c r="C13" s="864"/>
      <c r="D13" s="868"/>
      <c r="S13" s="866"/>
    </row>
    <row r="14" spans="1:95" s="808" customFormat="1" ht="13.5" customHeight="1">
      <c r="A14" s="30" t="s">
        <v>446</v>
      </c>
      <c r="B14" s="64">
        <v>2010</v>
      </c>
      <c r="D14" s="868"/>
      <c r="S14" s="866"/>
    </row>
    <row r="15" spans="1:95" s="808" customFormat="1" ht="13.5" customHeight="1">
      <c r="A15" s="872"/>
      <c r="B15" s="873"/>
      <c r="C15" s="874"/>
      <c r="D15" s="868"/>
      <c r="S15" s="866"/>
    </row>
    <row r="16" spans="1:95" s="808" customFormat="1" ht="13.5" customHeight="1">
      <c r="A16" s="872"/>
      <c r="B16" s="874"/>
      <c r="D16" s="868"/>
      <c r="S16" s="866"/>
    </row>
    <row r="17" spans="1:143" s="808" customFormat="1" ht="13.5" customHeight="1" thickBot="1">
      <c r="A17" s="20" t="s">
        <v>451</v>
      </c>
      <c r="B17" s="20"/>
      <c r="C17" s="864"/>
      <c r="D17" s="868"/>
      <c r="S17" s="866"/>
    </row>
    <row r="18" spans="1:143" s="808" customFormat="1" ht="13.5" customHeight="1" thickBot="1">
      <c r="A18" s="204">
        <v>2010</v>
      </c>
      <c r="B18" s="204">
        <v>2015</v>
      </c>
      <c r="C18" s="864"/>
      <c r="D18" s="868"/>
      <c r="S18" s="866"/>
    </row>
    <row r="19" spans="1:143" s="808" customFormat="1" ht="13.5" customHeight="1" thickBot="1">
      <c r="A19" s="204">
        <v>2020</v>
      </c>
      <c r="B19" s="204">
        <v>2025</v>
      </c>
      <c r="D19" s="868"/>
      <c r="E19" s="808" t="s">
        <v>806</v>
      </c>
      <c r="S19" s="866"/>
    </row>
    <row r="20" spans="1:143" s="808" customFormat="1" ht="13.5" customHeight="1" thickBot="1">
      <c r="A20" s="204">
        <v>2030</v>
      </c>
      <c r="B20" s="204">
        <v>2035</v>
      </c>
      <c r="D20" s="868"/>
      <c r="E20" s="875" t="s">
        <v>807</v>
      </c>
      <c r="F20" s="876"/>
      <c r="G20" s="876"/>
      <c r="H20" s="876"/>
      <c r="I20" s="876"/>
      <c r="J20" s="876"/>
      <c r="K20" s="876"/>
      <c r="L20" s="876"/>
      <c r="M20" s="876"/>
      <c r="N20" s="876"/>
      <c r="O20" s="876"/>
      <c r="P20" s="876"/>
      <c r="Q20" s="876"/>
      <c r="R20" s="876"/>
      <c r="S20" s="877"/>
    </row>
    <row r="21" spans="1:143" s="808" customFormat="1" ht="13.5" customHeight="1">
      <c r="A21" s="878"/>
      <c r="B21" s="878"/>
      <c r="C21" s="864"/>
      <c r="D21" s="874"/>
      <c r="E21" s="865"/>
      <c r="G21" s="859"/>
      <c r="H21" s="859"/>
      <c r="I21" s="869"/>
    </row>
    <row r="22" spans="1:143" s="808" customFormat="1" ht="13.5" customHeight="1" thickBot="1">
      <c r="A22" s="879"/>
      <c r="C22" s="864"/>
      <c r="D22" s="874"/>
      <c r="E22" s="865"/>
      <c r="G22" s="859"/>
      <c r="H22" s="859"/>
      <c r="I22" s="869"/>
    </row>
    <row r="23" spans="1:143" ht="13.5" customHeight="1" thickTop="1" thickBot="1">
      <c r="Q23" s="809" t="s">
        <v>808</v>
      </c>
      <c r="R23" s="810"/>
      <c r="S23" s="810"/>
      <c r="T23" s="810">
        <v>2015</v>
      </c>
      <c r="U23" s="810" t="s">
        <v>809</v>
      </c>
      <c r="V23" s="810"/>
      <c r="W23" s="810"/>
      <c r="X23" s="810"/>
      <c r="Y23" s="810"/>
      <c r="Z23" s="810"/>
      <c r="AA23" s="810"/>
      <c r="AB23" s="810"/>
      <c r="AC23" s="810"/>
      <c r="AD23" s="811"/>
      <c r="AE23" s="812"/>
      <c r="AG23" s="809" t="s">
        <v>808</v>
      </c>
      <c r="AH23" s="810"/>
      <c r="AI23" s="810"/>
      <c r="AJ23" s="810">
        <v>2020</v>
      </c>
      <c r="AK23" s="810" t="s">
        <v>809</v>
      </c>
      <c r="AL23" s="810"/>
      <c r="AM23" s="810"/>
      <c r="AN23" s="810"/>
      <c r="AO23" s="810"/>
      <c r="AP23" s="810"/>
      <c r="AQ23" s="810"/>
      <c r="AR23" s="810"/>
      <c r="AS23" s="810"/>
      <c r="AT23" s="811"/>
      <c r="AU23" s="812"/>
      <c r="AW23" s="809" t="s">
        <v>808</v>
      </c>
      <c r="AX23" s="810"/>
      <c r="AY23" s="810"/>
      <c r="AZ23" s="810">
        <v>2025</v>
      </c>
      <c r="BA23" s="810" t="s">
        <v>809</v>
      </c>
      <c r="BB23" s="810"/>
      <c r="BC23" s="810"/>
      <c r="BD23" s="810"/>
      <c r="BE23" s="810"/>
      <c r="BF23" s="810"/>
      <c r="BG23" s="810"/>
      <c r="BH23" s="810"/>
      <c r="BI23" s="810"/>
      <c r="BJ23" s="811"/>
      <c r="BK23" s="812"/>
      <c r="BM23" s="809" t="s">
        <v>808</v>
      </c>
      <c r="BN23" s="810"/>
      <c r="BO23" s="810"/>
      <c r="BP23" s="810">
        <v>2030</v>
      </c>
      <c r="BQ23" s="810" t="s">
        <v>809</v>
      </c>
      <c r="BR23" s="810"/>
      <c r="BS23" s="810"/>
      <c r="BT23" s="810"/>
      <c r="BU23" s="810"/>
      <c r="BV23" s="810"/>
      <c r="BW23" s="810"/>
      <c r="BX23" s="810"/>
      <c r="BY23" s="810"/>
      <c r="BZ23" s="811"/>
      <c r="CA23" s="812"/>
      <c r="CC23" s="809" t="s">
        <v>808</v>
      </c>
      <c r="CD23" s="810"/>
      <c r="CE23" s="810"/>
      <c r="CF23" s="810">
        <v>2035</v>
      </c>
      <c r="CG23" s="810" t="s">
        <v>809</v>
      </c>
      <c r="CH23" s="810"/>
      <c r="CI23" s="810"/>
      <c r="CJ23" s="810"/>
      <c r="CK23" s="810"/>
      <c r="CL23" s="810"/>
      <c r="CM23" s="810"/>
      <c r="CN23" s="810"/>
      <c r="CO23" s="810"/>
      <c r="CP23" s="811"/>
      <c r="CQ23" s="812"/>
      <c r="CS23" s="809" t="s">
        <v>808</v>
      </c>
      <c r="CT23" s="810"/>
      <c r="CU23" s="810"/>
      <c r="CV23" s="810">
        <v>2040</v>
      </c>
      <c r="CW23" s="810" t="s">
        <v>809</v>
      </c>
      <c r="CX23" s="810"/>
      <c r="CY23" s="810"/>
      <c r="CZ23" s="810"/>
      <c r="DA23" s="810"/>
      <c r="DB23" s="810"/>
      <c r="DC23" s="810"/>
      <c r="DD23" s="810"/>
      <c r="DE23" s="810"/>
      <c r="DF23" s="811"/>
      <c r="DG23" s="812"/>
      <c r="DI23" s="809" t="s">
        <v>808</v>
      </c>
      <c r="DJ23" s="810"/>
      <c r="DK23" s="810"/>
      <c r="DL23" s="810">
        <v>2045</v>
      </c>
      <c r="DM23" s="810" t="s">
        <v>809</v>
      </c>
      <c r="DN23" s="810"/>
      <c r="DO23" s="810"/>
      <c r="DP23" s="810"/>
      <c r="DQ23" s="810"/>
      <c r="DR23" s="810"/>
      <c r="DS23" s="810"/>
      <c r="DT23" s="810"/>
      <c r="DU23" s="810"/>
      <c r="DV23" s="811"/>
      <c r="DW23" s="812"/>
      <c r="DY23" s="809" t="s">
        <v>808</v>
      </c>
      <c r="DZ23" s="810"/>
      <c r="EA23" s="810"/>
      <c r="EB23" s="810">
        <v>2050</v>
      </c>
      <c r="EC23" s="810" t="s">
        <v>809</v>
      </c>
      <c r="ED23" s="810"/>
      <c r="EE23" s="810"/>
      <c r="EF23" s="810"/>
      <c r="EG23" s="810"/>
      <c r="EH23" s="810"/>
      <c r="EI23" s="810"/>
      <c r="EJ23" s="810"/>
      <c r="EK23" s="810"/>
      <c r="EL23" s="811"/>
      <c r="EM23" s="812"/>
    </row>
    <row r="24" spans="1:143" s="880" customFormat="1" ht="13.5" customHeight="1" thickTop="1" thickBot="1">
      <c r="A24" s="867"/>
      <c r="B24" s="867"/>
      <c r="C24" s="867"/>
      <c r="D24" s="867"/>
      <c r="E24" s="867"/>
      <c r="F24" s="867"/>
      <c r="G24" s="867"/>
      <c r="H24" s="867"/>
      <c r="I24" s="867"/>
      <c r="J24" s="867"/>
      <c r="K24" s="867"/>
      <c r="L24" s="867"/>
      <c r="M24" s="867"/>
      <c r="N24" s="867"/>
      <c r="O24" s="867"/>
      <c r="Q24" s="813"/>
      <c r="R24" s="814"/>
      <c r="S24" s="1090" t="s">
        <v>810</v>
      </c>
      <c r="T24" s="1084" t="s">
        <v>811</v>
      </c>
      <c r="U24" s="1085"/>
      <c r="V24" s="1086"/>
      <c r="W24" s="1084" t="s">
        <v>812</v>
      </c>
      <c r="X24" s="1085"/>
      <c r="Y24" s="1086"/>
      <c r="Z24" s="1079" t="s">
        <v>813</v>
      </c>
      <c r="AA24" s="1080"/>
      <c r="AB24" s="1084" t="s">
        <v>814</v>
      </c>
      <c r="AC24" s="1085"/>
      <c r="AD24" s="1086"/>
      <c r="AE24" s="1078" t="s">
        <v>815</v>
      </c>
      <c r="AG24" s="813"/>
      <c r="AH24" s="814"/>
      <c r="AI24" s="1090" t="s">
        <v>810</v>
      </c>
      <c r="AJ24" s="1084" t="s">
        <v>811</v>
      </c>
      <c r="AK24" s="1085"/>
      <c r="AL24" s="1086"/>
      <c r="AM24" s="1084" t="s">
        <v>812</v>
      </c>
      <c r="AN24" s="1085"/>
      <c r="AO24" s="1086"/>
      <c r="AP24" s="1079" t="s">
        <v>813</v>
      </c>
      <c r="AQ24" s="1080"/>
      <c r="AR24" s="1084" t="s">
        <v>814</v>
      </c>
      <c r="AS24" s="1085"/>
      <c r="AT24" s="1086"/>
      <c r="AU24" s="1078" t="s">
        <v>815</v>
      </c>
      <c r="AW24" s="813"/>
      <c r="AX24" s="814"/>
      <c r="AY24" s="1090" t="s">
        <v>810</v>
      </c>
      <c r="AZ24" s="1084" t="s">
        <v>811</v>
      </c>
      <c r="BA24" s="1085"/>
      <c r="BB24" s="1086"/>
      <c r="BC24" s="1084" t="s">
        <v>812</v>
      </c>
      <c r="BD24" s="1085"/>
      <c r="BE24" s="1086"/>
      <c r="BF24" s="1079" t="s">
        <v>813</v>
      </c>
      <c r="BG24" s="1080"/>
      <c r="BH24" s="1084" t="s">
        <v>814</v>
      </c>
      <c r="BI24" s="1085"/>
      <c r="BJ24" s="1086"/>
      <c r="BK24" s="1078" t="s">
        <v>815</v>
      </c>
      <c r="BM24" s="813"/>
      <c r="BN24" s="814"/>
      <c r="BO24" s="1090" t="s">
        <v>810</v>
      </c>
      <c r="BP24" s="1084" t="s">
        <v>811</v>
      </c>
      <c r="BQ24" s="1085"/>
      <c r="BR24" s="1086"/>
      <c r="BS24" s="1084" t="s">
        <v>812</v>
      </c>
      <c r="BT24" s="1085"/>
      <c r="BU24" s="1086"/>
      <c r="BV24" s="1079" t="s">
        <v>813</v>
      </c>
      <c r="BW24" s="1080"/>
      <c r="BX24" s="1084" t="s">
        <v>814</v>
      </c>
      <c r="BY24" s="1085"/>
      <c r="BZ24" s="1086"/>
      <c r="CA24" s="1078" t="s">
        <v>815</v>
      </c>
      <c r="CC24" s="813"/>
      <c r="CD24" s="814"/>
      <c r="CE24" s="1090" t="s">
        <v>810</v>
      </c>
      <c r="CF24" s="1084" t="s">
        <v>811</v>
      </c>
      <c r="CG24" s="1085"/>
      <c r="CH24" s="1086"/>
      <c r="CI24" s="1084" t="s">
        <v>812</v>
      </c>
      <c r="CJ24" s="1085"/>
      <c r="CK24" s="1086"/>
      <c r="CL24" s="1079" t="s">
        <v>813</v>
      </c>
      <c r="CM24" s="1080"/>
      <c r="CN24" s="1084" t="s">
        <v>814</v>
      </c>
      <c r="CO24" s="1085"/>
      <c r="CP24" s="1086"/>
      <c r="CQ24" s="1078" t="s">
        <v>815</v>
      </c>
      <c r="CS24" s="813"/>
      <c r="CT24" s="814"/>
      <c r="CU24" s="1090" t="s">
        <v>810</v>
      </c>
      <c r="CV24" s="1084" t="s">
        <v>811</v>
      </c>
      <c r="CW24" s="1085"/>
      <c r="CX24" s="1086"/>
      <c r="CY24" s="1084" t="s">
        <v>812</v>
      </c>
      <c r="CZ24" s="1085"/>
      <c r="DA24" s="1086"/>
      <c r="DB24" s="1079" t="s">
        <v>813</v>
      </c>
      <c r="DC24" s="1080"/>
      <c r="DD24" s="1084" t="s">
        <v>814</v>
      </c>
      <c r="DE24" s="1085"/>
      <c r="DF24" s="1086"/>
      <c r="DG24" s="1078" t="s">
        <v>815</v>
      </c>
      <c r="DI24" s="813"/>
      <c r="DJ24" s="814"/>
      <c r="DK24" s="1090" t="s">
        <v>810</v>
      </c>
      <c r="DL24" s="1084" t="s">
        <v>811</v>
      </c>
      <c r="DM24" s="1085"/>
      <c r="DN24" s="1086"/>
      <c r="DO24" s="1084" t="s">
        <v>812</v>
      </c>
      <c r="DP24" s="1085"/>
      <c r="DQ24" s="1086"/>
      <c r="DR24" s="1079" t="s">
        <v>813</v>
      </c>
      <c r="DS24" s="1080"/>
      <c r="DT24" s="1084" t="s">
        <v>814</v>
      </c>
      <c r="DU24" s="1085"/>
      <c r="DV24" s="1086"/>
      <c r="DW24" s="1078" t="s">
        <v>815</v>
      </c>
      <c r="DY24" s="813"/>
      <c r="DZ24" s="814"/>
      <c r="EA24" s="1090" t="s">
        <v>810</v>
      </c>
      <c r="EB24" s="1084" t="s">
        <v>811</v>
      </c>
      <c r="EC24" s="1085"/>
      <c r="ED24" s="1086"/>
      <c r="EE24" s="1084" t="s">
        <v>812</v>
      </c>
      <c r="EF24" s="1085"/>
      <c r="EG24" s="1086"/>
      <c r="EH24" s="1079" t="s">
        <v>813</v>
      </c>
      <c r="EI24" s="1080"/>
      <c r="EJ24" s="1084" t="s">
        <v>814</v>
      </c>
      <c r="EK24" s="1085"/>
      <c r="EL24" s="1086"/>
      <c r="EM24" s="1078" t="s">
        <v>815</v>
      </c>
    </row>
    <row r="25" spans="1:143" ht="13.5" customHeight="1" thickTop="1" thickBot="1">
      <c r="Q25" s="815" t="s">
        <v>816</v>
      </c>
      <c r="R25" s="816"/>
      <c r="S25" s="1082"/>
      <c r="T25" s="817" t="s">
        <v>817</v>
      </c>
      <c r="U25" s="818" t="s">
        <v>818</v>
      </c>
      <c r="V25" s="1082" t="s">
        <v>819</v>
      </c>
      <c r="W25" s="817" t="s">
        <v>817</v>
      </c>
      <c r="X25" s="818" t="s">
        <v>818</v>
      </c>
      <c r="Y25" s="1082" t="s">
        <v>819</v>
      </c>
      <c r="Z25" s="817" t="s">
        <v>818</v>
      </c>
      <c r="AA25" s="1082" t="s">
        <v>819</v>
      </c>
      <c r="AB25" s="817" t="s">
        <v>817</v>
      </c>
      <c r="AC25" s="818" t="s">
        <v>818</v>
      </c>
      <c r="AD25" s="1082" t="s">
        <v>819</v>
      </c>
      <c r="AE25" s="1081"/>
      <c r="AG25" s="815" t="s">
        <v>816</v>
      </c>
      <c r="AH25" s="816"/>
      <c r="AI25" s="1082"/>
      <c r="AJ25" s="817" t="s">
        <v>817</v>
      </c>
      <c r="AK25" s="818" t="s">
        <v>818</v>
      </c>
      <c r="AL25" s="1082" t="s">
        <v>819</v>
      </c>
      <c r="AM25" s="817" t="s">
        <v>817</v>
      </c>
      <c r="AN25" s="818" t="s">
        <v>818</v>
      </c>
      <c r="AO25" s="1082" t="s">
        <v>819</v>
      </c>
      <c r="AP25" s="817" t="s">
        <v>818</v>
      </c>
      <c r="AQ25" s="1082" t="s">
        <v>819</v>
      </c>
      <c r="AR25" s="817" t="s">
        <v>817</v>
      </c>
      <c r="AS25" s="818" t="s">
        <v>818</v>
      </c>
      <c r="AT25" s="1082" t="s">
        <v>819</v>
      </c>
      <c r="AU25" s="1081"/>
      <c r="AW25" s="815" t="s">
        <v>816</v>
      </c>
      <c r="AX25" s="816"/>
      <c r="AY25" s="1082"/>
      <c r="AZ25" s="817" t="s">
        <v>817</v>
      </c>
      <c r="BA25" s="818" t="s">
        <v>818</v>
      </c>
      <c r="BB25" s="1082" t="s">
        <v>819</v>
      </c>
      <c r="BC25" s="817" t="s">
        <v>817</v>
      </c>
      <c r="BD25" s="818" t="s">
        <v>818</v>
      </c>
      <c r="BE25" s="1082" t="s">
        <v>819</v>
      </c>
      <c r="BF25" s="817" t="s">
        <v>818</v>
      </c>
      <c r="BG25" s="1082" t="s">
        <v>819</v>
      </c>
      <c r="BH25" s="817" t="s">
        <v>817</v>
      </c>
      <c r="BI25" s="818" t="s">
        <v>818</v>
      </c>
      <c r="BJ25" s="1082" t="s">
        <v>819</v>
      </c>
      <c r="BK25" s="1078"/>
      <c r="BM25" s="815" t="s">
        <v>816</v>
      </c>
      <c r="BN25" s="816"/>
      <c r="BO25" s="1082"/>
      <c r="BP25" s="817" t="s">
        <v>817</v>
      </c>
      <c r="BQ25" s="818" t="s">
        <v>818</v>
      </c>
      <c r="BR25" s="1082" t="s">
        <v>819</v>
      </c>
      <c r="BS25" s="817" t="s">
        <v>817</v>
      </c>
      <c r="BT25" s="818" t="s">
        <v>818</v>
      </c>
      <c r="BU25" s="1082" t="s">
        <v>819</v>
      </c>
      <c r="BV25" s="817" t="s">
        <v>818</v>
      </c>
      <c r="BW25" s="1082" t="s">
        <v>819</v>
      </c>
      <c r="BX25" s="817" t="s">
        <v>817</v>
      </c>
      <c r="BY25" s="818" t="s">
        <v>818</v>
      </c>
      <c r="BZ25" s="1082" t="s">
        <v>819</v>
      </c>
      <c r="CA25" s="1081"/>
      <c r="CC25" s="815" t="s">
        <v>816</v>
      </c>
      <c r="CD25" s="816"/>
      <c r="CE25" s="1082"/>
      <c r="CF25" s="817" t="s">
        <v>817</v>
      </c>
      <c r="CG25" s="818" t="s">
        <v>818</v>
      </c>
      <c r="CH25" s="1082" t="s">
        <v>819</v>
      </c>
      <c r="CI25" s="817" t="s">
        <v>817</v>
      </c>
      <c r="CJ25" s="818" t="s">
        <v>818</v>
      </c>
      <c r="CK25" s="1082" t="s">
        <v>819</v>
      </c>
      <c r="CL25" s="817" t="s">
        <v>818</v>
      </c>
      <c r="CM25" s="1082" t="s">
        <v>819</v>
      </c>
      <c r="CN25" s="817" t="s">
        <v>817</v>
      </c>
      <c r="CO25" s="818" t="s">
        <v>818</v>
      </c>
      <c r="CP25" s="1082" t="s">
        <v>819</v>
      </c>
      <c r="CQ25" s="1081"/>
      <c r="CS25" s="815" t="s">
        <v>816</v>
      </c>
      <c r="CT25" s="816"/>
      <c r="CU25" s="1082"/>
      <c r="CV25" s="817" t="s">
        <v>817</v>
      </c>
      <c r="CW25" s="818" t="s">
        <v>818</v>
      </c>
      <c r="CX25" s="1082" t="s">
        <v>819</v>
      </c>
      <c r="CY25" s="817" t="s">
        <v>817</v>
      </c>
      <c r="CZ25" s="818" t="s">
        <v>818</v>
      </c>
      <c r="DA25" s="1082" t="s">
        <v>819</v>
      </c>
      <c r="DB25" s="817" t="s">
        <v>818</v>
      </c>
      <c r="DC25" s="1082" t="s">
        <v>819</v>
      </c>
      <c r="DD25" s="817" t="s">
        <v>817</v>
      </c>
      <c r="DE25" s="818" t="s">
        <v>818</v>
      </c>
      <c r="DF25" s="1082" t="s">
        <v>819</v>
      </c>
      <c r="DG25" s="1081"/>
      <c r="DI25" s="815" t="s">
        <v>816</v>
      </c>
      <c r="DJ25" s="816"/>
      <c r="DK25" s="1082"/>
      <c r="DL25" s="817" t="s">
        <v>817</v>
      </c>
      <c r="DM25" s="818" t="s">
        <v>818</v>
      </c>
      <c r="DN25" s="1082" t="s">
        <v>819</v>
      </c>
      <c r="DO25" s="817" t="s">
        <v>817</v>
      </c>
      <c r="DP25" s="818" t="s">
        <v>818</v>
      </c>
      <c r="DQ25" s="1082" t="s">
        <v>819</v>
      </c>
      <c r="DR25" s="817" t="s">
        <v>818</v>
      </c>
      <c r="DS25" s="1082" t="s">
        <v>819</v>
      </c>
      <c r="DT25" s="817" t="s">
        <v>817</v>
      </c>
      <c r="DU25" s="818" t="s">
        <v>818</v>
      </c>
      <c r="DV25" s="1082" t="s">
        <v>819</v>
      </c>
      <c r="DW25" s="1081"/>
      <c r="DY25" s="815" t="s">
        <v>816</v>
      </c>
      <c r="DZ25" s="816"/>
      <c r="EA25" s="1082"/>
      <c r="EB25" s="817" t="s">
        <v>817</v>
      </c>
      <c r="EC25" s="818" t="s">
        <v>818</v>
      </c>
      <c r="ED25" s="1082" t="s">
        <v>819</v>
      </c>
      <c r="EE25" s="817" t="s">
        <v>817</v>
      </c>
      <c r="EF25" s="818" t="s">
        <v>818</v>
      </c>
      <c r="EG25" s="1082" t="s">
        <v>819</v>
      </c>
      <c r="EH25" s="817" t="s">
        <v>818</v>
      </c>
      <c r="EI25" s="1082" t="s">
        <v>819</v>
      </c>
      <c r="EJ25" s="817" t="s">
        <v>817</v>
      </c>
      <c r="EK25" s="818" t="s">
        <v>818</v>
      </c>
      <c r="EL25" s="1082" t="s">
        <v>819</v>
      </c>
      <c r="EM25" s="1081"/>
    </row>
    <row r="26" spans="1:143" ht="13.5" customHeight="1" thickTop="1">
      <c r="Q26" s="1083" t="s">
        <v>355</v>
      </c>
      <c r="R26" s="819"/>
      <c r="S26" s="820">
        <v>1</v>
      </c>
      <c r="T26" s="821">
        <v>0</v>
      </c>
      <c r="U26" s="822">
        <v>1.1000000000000001</v>
      </c>
      <c r="V26" s="823">
        <v>6.5</v>
      </c>
      <c r="W26" s="821">
        <v>0</v>
      </c>
      <c r="X26" s="822">
        <v>1</v>
      </c>
      <c r="Y26" s="823">
        <v>2.1</v>
      </c>
      <c r="Z26" s="821">
        <v>0.6</v>
      </c>
      <c r="AA26" s="823">
        <v>2.2000000000000002</v>
      </c>
      <c r="AB26" s="821">
        <v>0</v>
      </c>
      <c r="AC26" s="822">
        <v>0.6</v>
      </c>
      <c r="AD26" s="823">
        <v>0.5</v>
      </c>
      <c r="AE26" s="824">
        <v>1.1000000000000001</v>
      </c>
      <c r="AG26" s="1083" t="s">
        <v>355</v>
      </c>
      <c r="AH26" s="819"/>
      <c r="AI26" s="820">
        <v>1</v>
      </c>
      <c r="AJ26" s="821">
        <v>0</v>
      </c>
      <c r="AK26" s="822">
        <v>1.2</v>
      </c>
      <c r="AL26" s="823">
        <v>7.3</v>
      </c>
      <c r="AM26" s="821">
        <v>0</v>
      </c>
      <c r="AN26" s="822">
        <v>1.1000000000000001</v>
      </c>
      <c r="AO26" s="823">
        <v>2.2000000000000002</v>
      </c>
      <c r="AP26" s="821">
        <v>0.7</v>
      </c>
      <c r="AQ26" s="823">
        <v>2.2999999999999998</v>
      </c>
      <c r="AR26" s="821">
        <v>0</v>
      </c>
      <c r="AS26" s="822">
        <v>0.6</v>
      </c>
      <c r="AT26" s="823">
        <v>0.6</v>
      </c>
      <c r="AU26" s="824">
        <v>1.2</v>
      </c>
      <c r="AW26" s="1083" t="s">
        <v>355</v>
      </c>
      <c r="AX26" s="819"/>
      <c r="AY26" s="820">
        <v>1</v>
      </c>
      <c r="AZ26" s="821">
        <v>0</v>
      </c>
      <c r="BA26" s="822">
        <v>1.1000000000000001</v>
      </c>
      <c r="BB26" s="823">
        <v>6.9</v>
      </c>
      <c r="BC26" s="821">
        <v>0</v>
      </c>
      <c r="BD26" s="822">
        <v>1</v>
      </c>
      <c r="BE26" s="823">
        <v>2.2999999999999998</v>
      </c>
      <c r="BF26" s="821">
        <v>0.7</v>
      </c>
      <c r="BG26" s="823">
        <v>2.5</v>
      </c>
      <c r="BH26" s="821">
        <v>0</v>
      </c>
      <c r="BI26" s="822">
        <v>0.6</v>
      </c>
      <c r="BJ26" s="823">
        <v>0.6</v>
      </c>
      <c r="BK26" s="824">
        <v>1.2</v>
      </c>
      <c r="BM26" s="1083" t="s">
        <v>355</v>
      </c>
      <c r="BN26" s="819"/>
      <c r="BO26" s="820">
        <v>1</v>
      </c>
      <c r="BP26" s="821">
        <v>0</v>
      </c>
      <c r="BQ26" s="822">
        <v>1.2</v>
      </c>
      <c r="BR26" s="823">
        <v>7.6</v>
      </c>
      <c r="BS26" s="821">
        <v>0</v>
      </c>
      <c r="BT26" s="822">
        <v>1</v>
      </c>
      <c r="BU26" s="823">
        <v>2.2999999999999998</v>
      </c>
      <c r="BV26" s="821">
        <v>0.6</v>
      </c>
      <c r="BW26" s="823">
        <v>2.6</v>
      </c>
      <c r="BX26" s="821">
        <v>0</v>
      </c>
      <c r="BY26" s="822">
        <v>0.6</v>
      </c>
      <c r="BZ26" s="823">
        <v>0.6</v>
      </c>
      <c r="CA26" s="824">
        <v>1.3</v>
      </c>
      <c r="CC26" s="1083" t="s">
        <v>355</v>
      </c>
      <c r="CD26" s="819"/>
      <c r="CE26" s="820">
        <v>1</v>
      </c>
      <c r="CF26" s="821">
        <v>0</v>
      </c>
      <c r="CG26" s="822">
        <v>1.3</v>
      </c>
      <c r="CH26" s="823">
        <v>8.3000000000000007</v>
      </c>
      <c r="CI26" s="821">
        <v>0.1</v>
      </c>
      <c r="CJ26" s="822">
        <v>1.1000000000000001</v>
      </c>
      <c r="CK26" s="823">
        <v>2.5</v>
      </c>
      <c r="CL26" s="821">
        <v>0.7</v>
      </c>
      <c r="CM26" s="823">
        <v>2.7</v>
      </c>
      <c r="CN26" s="821">
        <v>0</v>
      </c>
      <c r="CO26" s="822">
        <v>0.7</v>
      </c>
      <c r="CP26" s="823">
        <v>0.7</v>
      </c>
      <c r="CQ26" s="824">
        <v>1.4</v>
      </c>
      <c r="CS26" s="1083" t="s">
        <v>355</v>
      </c>
      <c r="CT26" s="819"/>
      <c r="CU26" s="820">
        <v>1</v>
      </c>
      <c r="CV26" s="821">
        <v>0.1</v>
      </c>
      <c r="CW26" s="822">
        <v>1.2</v>
      </c>
      <c r="CX26" s="823">
        <v>9</v>
      </c>
      <c r="CY26" s="821">
        <v>0.1</v>
      </c>
      <c r="CZ26" s="822">
        <v>1.2</v>
      </c>
      <c r="DA26" s="823">
        <v>2.7</v>
      </c>
      <c r="DB26" s="821">
        <v>0.8</v>
      </c>
      <c r="DC26" s="823">
        <v>2.8</v>
      </c>
      <c r="DD26" s="821">
        <v>0.1</v>
      </c>
      <c r="DE26" s="822">
        <v>0.8</v>
      </c>
      <c r="DF26" s="823">
        <v>0.8</v>
      </c>
      <c r="DG26" s="824">
        <v>1.5</v>
      </c>
      <c r="DI26" s="1083" t="s">
        <v>355</v>
      </c>
      <c r="DJ26" s="819"/>
      <c r="DK26" s="820">
        <v>1</v>
      </c>
      <c r="DL26" s="821">
        <v>0.1</v>
      </c>
      <c r="DM26" s="822">
        <v>1.3</v>
      </c>
      <c r="DN26" s="823">
        <v>9.6999999999999993</v>
      </c>
      <c r="DO26" s="821">
        <v>0.1</v>
      </c>
      <c r="DP26" s="822">
        <v>1.3</v>
      </c>
      <c r="DQ26" s="823">
        <v>2.9</v>
      </c>
      <c r="DR26" s="821">
        <v>0.8</v>
      </c>
      <c r="DS26" s="823">
        <v>2.9</v>
      </c>
      <c r="DT26" s="821">
        <v>0.1</v>
      </c>
      <c r="DU26" s="822">
        <v>0.9</v>
      </c>
      <c r="DV26" s="823">
        <v>0.8</v>
      </c>
      <c r="DW26" s="824">
        <v>1.6</v>
      </c>
      <c r="DY26" s="1083" t="s">
        <v>355</v>
      </c>
      <c r="DZ26" s="819"/>
      <c r="EA26" s="820">
        <v>1</v>
      </c>
      <c r="EB26" s="821">
        <v>0.1</v>
      </c>
      <c r="EC26" s="822">
        <v>1.4</v>
      </c>
      <c r="ED26" s="823">
        <v>10.4</v>
      </c>
      <c r="EE26" s="821">
        <v>0.1</v>
      </c>
      <c r="EF26" s="822">
        <v>1.2</v>
      </c>
      <c r="EG26" s="823">
        <v>3</v>
      </c>
      <c r="EH26" s="821">
        <v>0.8</v>
      </c>
      <c r="EI26" s="823">
        <v>3</v>
      </c>
      <c r="EJ26" s="821">
        <v>0.1</v>
      </c>
      <c r="EK26" s="822">
        <v>0.9</v>
      </c>
      <c r="EL26" s="823">
        <v>0.9</v>
      </c>
      <c r="EM26" s="824">
        <v>1.7</v>
      </c>
    </row>
    <row r="27" spans="1:143" ht="13.5" customHeight="1">
      <c r="Q27" s="1083"/>
      <c r="R27" s="819"/>
      <c r="S27" s="820">
        <v>2</v>
      </c>
      <c r="T27" s="821">
        <v>0.1</v>
      </c>
      <c r="U27" s="822">
        <v>3.3</v>
      </c>
      <c r="V27" s="823">
        <v>21.2</v>
      </c>
      <c r="W27" s="821">
        <v>0.1</v>
      </c>
      <c r="X27" s="822">
        <v>3</v>
      </c>
      <c r="Y27" s="823">
        <v>8.5</v>
      </c>
      <c r="Z27" s="821">
        <v>1.8</v>
      </c>
      <c r="AA27" s="823">
        <v>8.5</v>
      </c>
      <c r="AB27" s="821">
        <v>0.1</v>
      </c>
      <c r="AC27" s="822">
        <v>1.6</v>
      </c>
      <c r="AD27" s="823">
        <v>3</v>
      </c>
      <c r="AE27" s="824">
        <v>2.9</v>
      </c>
      <c r="AG27" s="1083"/>
      <c r="AH27" s="819"/>
      <c r="AI27" s="820">
        <v>2</v>
      </c>
      <c r="AJ27" s="821">
        <v>0.1</v>
      </c>
      <c r="AK27" s="822">
        <v>3.4</v>
      </c>
      <c r="AL27" s="823">
        <v>23.7</v>
      </c>
      <c r="AM27" s="821">
        <v>0.1</v>
      </c>
      <c r="AN27" s="822">
        <v>3.1</v>
      </c>
      <c r="AO27" s="823">
        <v>8.9</v>
      </c>
      <c r="AP27" s="821">
        <v>1.9</v>
      </c>
      <c r="AQ27" s="823">
        <v>9</v>
      </c>
      <c r="AR27" s="821">
        <v>0.1</v>
      </c>
      <c r="AS27" s="822">
        <v>1.6</v>
      </c>
      <c r="AT27" s="823">
        <v>3.2</v>
      </c>
      <c r="AU27" s="824">
        <v>3</v>
      </c>
      <c r="AW27" s="1083"/>
      <c r="AX27" s="819"/>
      <c r="AY27" s="820">
        <v>2</v>
      </c>
      <c r="AZ27" s="821">
        <v>0.1</v>
      </c>
      <c r="BA27" s="822">
        <v>3.6</v>
      </c>
      <c r="BB27" s="823">
        <v>22.4</v>
      </c>
      <c r="BC27" s="821">
        <v>0.1</v>
      </c>
      <c r="BD27" s="822">
        <v>3.2</v>
      </c>
      <c r="BE27" s="823">
        <v>9.1999999999999993</v>
      </c>
      <c r="BF27" s="821">
        <v>2</v>
      </c>
      <c r="BG27" s="823">
        <v>9.5</v>
      </c>
      <c r="BH27" s="821">
        <v>0.1</v>
      </c>
      <c r="BI27" s="822">
        <v>1.6</v>
      </c>
      <c r="BJ27" s="823">
        <v>3.3</v>
      </c>
      <c r="BK27" s="824">
        <v>3.1</v>
      </c>
      <c r="BM27" s="1083"/>
      <c r="BN27" s="819"/>
      <c r="BO27" s="820">
        <v>2</v>
      </c>
      <c r="BP27" s="821">
        <v>0.1</v>
      </c>
      <c r="BQ27" s="822">
        <v>3.8</v>
      </c>
      <c r="BR27" s="823">
        <v>23.6</v>
      </c>
      <c r="BS27" s="821">
        <v>0.2</v>
      </c>
      <c r="BT27" s="822">
        <v>3.4</v>
      </c>
      <c r="BU27" s="823">
        <v>9.5</v>
      </c>
      <c r="BV27" s="821">
        <v>2.1</v>
      </c>
      <c r="BW27" s="823">
        <v>10</v>
      </c>
      <c r="BX27" s="821">
        <v>0.1</v>
      </c>
      <c r="BY27" s="822">
        <v>1.8</v>
      </c>
      <c r="BZ27" s="823">
        <v>3.4</v>
      </c>
      <c r="CA27" s="824">
        <v>3.4</v>
      </c>
      <c r="CC27" s="1083"/>
      <c r="CD27" s="819"/>
      <c r="CE27" s="820">
        <v>2</v>
      </c>
      <c r="CF27" s="821">
        <v>0.2</v>
      </c>
      <c r="CG27" s="822">
        <v>4</v>
      </c>
      <c r="CH27" s="823">
        <v>25.8</v>
      </c>
      <c r="CI27" s="821">
        <v>0.2</v>
      </c>
      <c r="CJ27" s="822">
        <v>3.6</v>
      </c>
      <c r="CK27" s="823">
        <v>10.1</v>
      </c>
      <c r="CL27" s="821">
        <v>2.2000000000000002</v>
      </c>
      <c r="CM27" s="823">
        <v>10.3</v>
      </c>
      <c r="CN27" s="821">
        <v>0.2</v>
      </c>
      <c r="CO27" s="822">
        <v>2</v>
      </c>
      <c r="CP27" s="823">
        <v>3.7</v>
      </c>
      <c r="CQ27" s="824">
        <v>3.8</v>
      </c>
      <c r="CS27" s="1083"/>
      <c r="CT27" s="819"/>
      <c r="CU27" s="820">
        <v>2</v>
      </c>
      <c r="CV27" s="821">
        <v>0.2</v>
      </c>
      <c r="CW27" s="822">
        <v>4</v>
      </c>
      <c r="CX27" s="823">
        <v>27.2</v>
      </c>
      <c r="CY27" s="821">
        <v>0.2</v>
      </c>
      <c r="CZ27" s="822">
        <v>3.9</v>
      </c>
      <c r="DA27" s="823">
        <v>10.6</v>
      </c>
      <c r="DB27" s="821">
        <v>2.4</v>
      </c>
      <c r="DC27" s="823">
        <v>10.8</v>
      </c>
      <c r="DD27" s="821">
        <v>0.2</v>
      </c>
      <c r="DE27" s="822">
        <v>2.1</v>
      </c>
      <c r="DF27" s="823">
        <v>4.0999999999999996</v>
      </c>
      <c r="DG27" s="824">
        <v>4.0999999999999996</v>
      </c>
      <c r="DI27" s="1083"/>
      <c r="DJ27" s="819"/>
      <c r="DK27" s="820">
        <v>2</v>
      </c>
      <c r="DL27" s="821">
        <v>0.2</v>
      </c>
      <c r="DM27" s="822">
        <v>4.3</v>
      </c>
      <c r="DN27" s="823">
        <v>28.3</v>
      </c>
      <c r="DO27" s="821">
        <v>0.3</v>
      </c>
      <c r="DP27" s="822">
        <v>4.0999999999999996</v>
      </c>
      <c r="DQ27" s="823">
        <v>11.3</v>
      </c>
      <c r="DR27" s="821">
        <v>2.5</v>
      </c>
      <c r="DS27" s="823">
        <v>11.3</v>
      </c>
      <c r="DT27" s="821">
        <v>0.2</v>
      </c>
      <c r="DU27" s="822">
        <v>2.2999999999999998</v>
      </c>
      <c r="DV27" s="823">
        <v>4.4000000000000004</v>
      </c>
      <c r="DW27" s="824">
        <v>4.4000000000000004</v>
      </c>
      <c r="DY27" s="1083"/>
      <c r="DZ27" s="819"/>
      <c r="EA27" s="820">
        <v>2</v>
      </c>
      <c r="EB27" s="821">
        <v>0.2</v>
      </c>
      <c r="EC27" s="822">
        <v>4.5</v>
      </c>
      <c r="ED27" s="823">
        <v>28.7</v>
      </c>
      <c r="EE27" s="821">
        <v>0.3</v>
      </c>
      <c r="EF27" s="822">
        <v>4.2</v>
      </c>
      <c r="EG27" s="823">
        <v>12.1</v>
      </c>
      <c r="EH27" s="821">
        <v>2.6</v>
      </c>
      <c r="EI27" s="823">
        <v>11.8</v>
      </c>
      <c r="EJ27" s="821">
        <v>0.2</v>
      </c>
      <c r="EK27" s="822">
        <v>2.5</v>
      </c>
      <c r="EL27" s="823">
        <v>4.5999999999999996</v>
      </c>
      <c r="EM27" s="824">
        <v>4.7</v>
      </c>
    </row>
    <row r="28" spans="1:143" ht="13.5" customHeight="1">
      <c r="Q28" s="1083"/>
      <c r="R28" s="819"/>
      <c r="S28" s="820">
        <v>3</v>
      </c>
      <c r="T28" s="821">
        <v>2.8</v>
      </c>
      <c r="U28" s="822">
        <v>28.8</v>
      </c>
      <c r="V28" s="823">
        <v>40.700000000000003</v>
      </c>
      <c r="W28" s="821">
        <v>3.4</v>
      </c>
      <c r="X28" s="822">
        <v>24.3</v>
      </c>
      <c r="Y28" s="823">
        <v>19.3</v>
      </c>
      <c r="Z28" s="821">
        <v>10.3</v>
      </c>
      <c r="AA28" s="823">
        <v>20</v>
      </c>
      <c r="AB28" s="821">
        <v>3.1</v>
      </c>
      <c r="AC28" s="822">
        <v>4.4000000000000004</v>
      </c>
      <c r="AD28" s="823">
        <v>8.6</v>
      </c>
      <c r="AE28" s="824">
        <v>9.6999999999999993</v>
      </c>
      <c r="AG28" s="1083"/>
      <c r="AH28" s="819"/>
      <c r="AI28" s="820">
        <v>3</v>
      </c>
      <c r="AJ28" s="821">
        <v>3.4</v>
      </c>
      <c r="AK28" s="822">
        <v>26.2</v>
      </c>
      <c r="AL28" s="823">
        <v>41.6</v>
      </c>
      <c r="AM28" s="821">
        <v>3.9</v>
      </c>
      <c r="AN28" s="822">
        <v>23.6</v>
      </c>
      <c r="AO28" s="823">
        <v>19.899999999999999</v>
      </c>
      <c r="AP28" s="821">
        <v>10.199999999999999</v>
      </c>
      <c r="AQ28" s="823">
        <v>20.9</v>
      </c>
      <c r="AR28" s="821">
        <v>3</v>
      </c>
      <c r="AS28" s="822">
        <v>4.9000000000000004</v>
      </c>
      <c r="AT28" s="823">
        <v>8.9</v>
      </c>
      <c r="AU28" s="824">
        <v>9.8000000000000007</v>
      </c>
      <c r="AW28" s="1083"/>
      <c r="AX28" s="819"/>
      <c r="AY28" s="820">
        <v>3</v>
      </c>
      <c r="AZ28" s="821">
        <v>4.2</v>
      </c>
      <c r="BA28" s="822">
        <v>29.5</v>
      </c>
      <c r="BB28" s="823">
        <v>44.9</v>
      </c>
      <c r="BC28" s="821">
        <v>4</v>
      </c>
      <c r="BD28" s="822">
        <v>25.7</v>
      </c>
      <c r="BE28" s="823">
        <v>20.6</v>
      </c>
      <c r="BF28" s="821">
        <v>11.4</v>
      </c>
      <c r="BG28" s="823">
        <v>21.6</v>
      </c>
      <c r="BH28" s="821">
        <v>3.4</v>
      </c>
      <c r="BI28" s="822">
        <v>5.0999999999999996</v>
      </c>
      <c r="BJ28" s="823">
        <v>9.5</v>
      </c>
      <c r="BK28" s="824">
        <v>10.5</v>
      </c>
      <c r="BM28" s="1083"/>
      <c r="BN28" s="819"/>
      <c r="BO28" s="820">
        <v>3</v>
      </c>
      <c r="BP28" s="821">
        <v>4.2</v>
      </c>
      <c r="BQ28" s="822">
        <v>32.200000000000003</v>
      </c>
      <c r="BR28" s="823">
        <v>46.5</v>
      </c>
      <c r="BS28" s="821">
        <v>5.0999999999999996</v>
      </c>
      <c r="BT28" s="822">
        <v>27.6</v>
      </c>
      <c r="BU28" s="823">
        <v>22.2</v>
      </c>
      <c r="BV28" s="821">
        <v>12.4</v>
      </c>
      <c r="BW28" s="823">
        <v>22.6</v>
      </c>
      <c r="BX28" s="821">
        <v>4.5</v>
      </c>
      <c r="BY28" s="822">
        <v>5.4</v>
      </c>
      <c r="BZ28" s="823">
        <v>182.6</v>
      </c>
      <c r="CA28" s="824">
        <v>13.9</v>
      </c>
      <c r="CC28" s="1083"/>
      <c r="CD28" s="819"/>
      <c r="CE28" s="820">
        <v>3</v>
      </c>
      <c r="CF28" s="821">
        <v>4.9000000000000004</v>
      </c>
      <c r="CG28" s="822">
        <v>34</v>
      </c>
      <c r="CH28" s="823">
        <v>48.9</v>
      </c>
      <c r="CI28" s="821">
        <v>6.1</v>
      </c>
      <c r="CJ28" s="822">
        <v>28</v>
      </c>
      <c r="CK28" s="823">
        <v>23.3</v>
      </c>
      <c r="CL28" s="821">
        <v>13.5</v>
      </c>
      <c r="CM28" s="823">
        <v>23.9</v>
      </c>
      <c r="CN28" s="821">
        <v>6.3</v>
      </c>
      <c r="CO28" s="822">
        <v>5.8</v>
      </c>
      <c r="CP28" s="823">
        <v>10.6</v>
      </c>
      <c r="CQ28" s="824">
        <v>12.5</v>
      </c>
      <c r="CS28" s="1083"/>
      <c r="CT28" s="819"/>
      <c r="CU28" s="820">
        <v>3</v>
      </c>
      <c r="CV28" s="821">
        <v>7</v>
      </c>
      <c r="CW28" s="822">
        <v>35.9</v>
      </c>
      <c r="CX28" s="823">
        <v>51.5</v>
      </c>
      <c r="CY28" s="821">
        <v>7.1</v>
      </c>
      <c r="CZ28" s="822">
        <v>31.7</v>
      </c>
      <c r="DA28" s="823">
        <v>24.3</v>
      </c>
      <c r="DB28" s="821">
        <v>14.9</v>
      </c>
      <c r="DC28" s="823">
        <v>25.2</v>
      </c>
      <c r="DD28" s="821">
        <v>7.7</v>
      </c>
      <c r="DE28" s="822">
        <v>6.1</v>
      </c>
      <c r="DF28" s="823">
        <v>148.69999999999999</v>
      </c>
      <c r="DG28" s="824">
        <v>16.2</v>
      </c>
      <c r="DI28" s="1083"/>
      <c r="DJ28" s="819"/>
      <c r="DK28" s="820">
        <v>3</v>
      </c>
      <c r="DL28" s="821">
        <v>7.4</v>
      </c>
      <c r="DM28" s="822">
        <v>38.5</v>
      </c>
      <c r="DN28" s="823">
        <v>53.3</v>
      </c>
      <c r="DO28" s="821">
        <v>8.1</v>
      </c>
      <c r="DP28" s="822">
        <v>32.1</v>
      </c>
      <c r="DQ28" s="823">
        <v>25.8</v>
      </c>
      <c r="DR28" s="821">
        <v>16.2</v>
      </c>
      <c r="DS28" s="823">
        <v>26.6</v>
      </c>
      <c r="DT28" s="821">
        <v>8.9</v>
      </c>
      <c r="DU28" s="822">
        <v>6.4</v>
      </c>
      <c r="DV28" s="823">
        <v>11.7</v>
      </c>
      <c r="DW28" s="824">
        <v>14.8</v>
      </c>
      <c r="DY28" s="1083"/>
      <c r="DZ28" s="819"/>
      <c r="EA28" s="820">
        <v>3</v>
      </c>
      <c r="EB28" s="821">
        <v>8.5</v>
      </c>
      <c r="EC28" s="822">
        <v>40</v>
      </c>
      <c r="ED28" s="823">
        <v>54.7</v>
      </c>
      <c r="EE28" s="821">
        <v>9.3000000000000007</v>
      </c>
      <c r="EF28" s="822">
        <v>33.5</v>
      </c>
      <c r="EG28" s="823">
        <v>27.1</v>
      </c>
      <c r="EH28" s="821">
        <v>17</v>
      </c>
      <c r="EI28" s="823">
        <v>28.1</v>
      </c>
      <c r="EJ28" s="821">
        <v>9.8000000000000007</v>
      </c>
      <c r="EK28" s="822">
        <v>6.7</v>
      </c>
      <c r="EL28" s="823">
        <v>166.7</v>
      </c>
      <c r="EM28" s="824">
        <v>19</v>
      </c>
    </row>
    <row r="29" spans="1:143" ht="13.5" customHeight="1">
      <c r="Q29" s="1083"/>
      <c r="R29" s="819"/>
      <c r="S29" s="820">
        <v>4</v>
      </c>
      <c r="T29" s="821">
        <v>24.2</v>
      </c>
      <c r="U29" s="822">
        <v>98.9</v>
      </c>
      <c r="V29" s="823">
        <v>99.2</v>
      </c>
      <c r="W29" s="821">
        <v>25.4</v>
      </c>
      <c r="X29" s="822">
        <v>90.1</v>
      </c>
      <c r="Y29" s="823">
        <v>85.4</v>
      </c>
      <c r="Z29" s="821">
        <v>40.4</v>
      </c>
      <c r="AA29" s="823">
        <v>118.6</v>
      </c>
      <c r="AB29" s="821">
        <v>23.2</v>
      </c>
      <c r="AC29" s="822">
        <v>42.4</v>
      </c>
      <c r="AD29" s="823">
        <v>46.7</v>
      </c>
      <c r="AE29" s="824">
        <v>55.5</v>
      </c>
      <c r="AG29" s="1083"/>
      <c r="AH29" s="819"/>
      <c r="AI29" s="820">
        <v>4</v>
      </c>
      <c r="AJ29" s="821">
        <v>24.9</v>
      </c>
      <c r="AK29" s="822">
        <v>98.5</v>
      </c>
      <c r="AL29" s="823">
        <v>104.9</v>
      </c>
      <c r="AM29" s="821">
        <v>25.8</v>
      </c>
      <c r="AN29" s="822">
        <v>92.2</v>
      </c>
      <c r="AO29" s="823">
        <v>89.6</v>
      </c>
      <c r="AP29" s="821">
        <v>42.8</v>
      </c>
      <c r="AQ29" s="823">
        <v>123.5</v>
      </c>
      <c r="AR29" s="821">
        <v>24.2</v>
      </c>
      <c r="AS29" s="822">
        <v>51.7</v>
      </c>
      <c r="AT29" s="823">
        <v>45.3</v>
      </c>
      <c r="AU29" s="824">
        <v>57.2</v>
      </c>
      <c r="AW29" s="1083"/>
      <c r="AX29" s="819"/>
      <c r="AY29" s="820">
        <v>4</v>
      </c>
      <c r="AZ29" s="821">
        <v>28.9</v>
      </c>
      <c r="BA29" s="822">
        <v>105.5</v>
      </c>
      <c r="BB29" s="823">
        <v>109.5</v>
      </c>
      <c r="BC29" s="821">
        <v>26.9</v>
      </c>
      <c r="BD29" s="822">
        <v>94.7</v>
      </c>
      <c r="BE29" s="823">
        <v>92</v>
      </c>
      <c r="BF29" s="821">
        <v>43.6</v>
      </c>
      <c r="BG29" s="823">
        <v>125.9</v>
      </c>
      <c r="BH29" s="821">
        <v>25.6</v>
      </c>
      <c r="BI29" s="822">
        <v>54.3</v>
      </c>
      <c r="BJ29" s="823">
        <v>45.4</v>
      </c>
      <c r="BK29" s="824">
        <v>59.4</v>
      </c>
      <c r="BM29" s="1083"/>
      <c r="BN29" s="819"/>
      <c r="BO29" s="820">
        <v>4</v>
      </c>
      <c r="BP29" s="821">
        <v>22.1</v>
      </c>
      <c r="BQ29" s="822">
        <v>111.1</v>
      </c>
      <c r="BR29" s="823">
        <v>112.5</v>
      </c>
      <c r="BS29" s="821">
        <v>30.3</v>
      </c>
      <c r="BT29" s="822">
        <v>102.8</v>
      </c>
      <c r="BU29" s="823">
        <v>103.3</v>
      </c>
      <c r="BV29" s="821">
        <v>46.2</v>
      </c>
      <c r="BW29" s="823">
        <v>134.80000000000001</v>
      </c>
      <c r="BX29" s="821">
        <v>28.2</v>
      </c>
      <c r="BY29" s="822">
        <v>52</v>
      </c>
      <c r="BZ29" s="823">
        <v>44.6</v>
      </c>
      <c r="CA29" s="824">
        <v>62.6</v>
      </c>
      <c r="CC29" s="1083"/>
      <c r="CD29" s="819"/>
      <c r="CE29" s="820">
        <v>4</v>
      </c>
      <c r="CF29" s="821">
        <v>25.5</v>
      </c>
      <c r="CG29" s="822">
        <v>116.4</v>
      </c>
      <c r="CH29" s="823">
        <v>122.5</v>
      </c>
      <c r="CI29" s="821">
        <v>32.700000000000003</v>
      </c>
      <c r="CJ29" s="822">
        <v>103.8</v>
      </c>
      <c r="CK29" s="823">
        <v>107.9</v>
      </c>
      <c r="CL29" s="821">
        <v>48</v>
      </c>
      <c r="CM29" s="823">
        <v>137.69999999999999</v>
      </c>
      <c r="CN29" s="821">
        <v>30.3</v>
      </c>
      <c r="CO29" s="822">
        <v>52.2</v>
      </c>
      <c r="CP29" s="823">
        <v>46.1</v>
      </c>
      <c r="CQ29" s="824">
        <v>63.1</v>
      </c>
      <c r="CS29" s="1083"/>
      <c r="CT29" s="819"/>
      <c r="CU29" s="820">
        <v>4</v>
      </c>
      <c r="CV29" s="821">
        <v>31.1</v>
      </c>
      <c r="CW29" s="822">
        <v>118</v>
      </c>
      <c r="CX29" s="823">
        <v>128.19999999999999</v>
      </c>
      <c r="CY29" s="821">
        <v>34</v>
      </c>
      <c r="CZ29" s="822">
        <v>109.4</v>
      </c>
      <c r="DA29" s="823">
        <v>116.6</v>
      </c>
      <c r="DB29" s="821">
        <v>50.8</v>
      </c>
      <c r="DC29" s="823">
        <v>143.30000000000001</v>
      </c>
      <c r="DD29" s="821">
        <v>31.1</v>
      </c>
      <c r="DE29" s="822">
        <v>51.6</v>
      </c>
      <c r="DF29" s="823">
        <v>47.1</v>
      </c>
      <c r="DG29" s="824">
        <v>63.1</v>
      </c>
      <c r="DI29" s="1083"/>
      <c r="DJ29" s="819"/>
      <c r="DK29" s="820">
        <v>4</v>
      </c>
      <c r="DL29" s="821">
        <v>32.1</v>
      </c>
      <c r="DM29" s="822">
        <v>121.7</v>
      </c>
      <c r="DN29" s="823">
        <v>133.6</v>
      </c>
      <c r="DO29" s="821">
        <v>36.299999999999997</v>
      </c>
      <c r="DP29" s="822">
        <v>110.3</v>
      </c>
      <c r="DQ29" s="823">
        <v>124.5</v>
      </c>
      <c r="DR29" s="821">
        <v>53.9</v>
      </c>
      <c r="DS29" s="823">
        <v>148.4</v>
      </c>
      <c r="DT29" s="821">
        <v>31.2</v>
      </c>
      <c r="DU29" s="822">
        <v>55.6</v>
      </c>
      <c r="DV29" s="823">
        <v>48.5</v>
      </c>
      <c r="DW29" s="824">
        <v>63.4</v>
      </c>
      <c r="DY29" s="1083"/>
      <c r="DZ29" s="819"/>
      <c r="EA29" s="820">
        <v>4</v>
      </c>
      <c r="EB29" s="821">
        <v>34.1</v>
      </c>
      <c r="EC29" s="822">
        <v>126.5</v>
      </c>
      <c r="ED29" s="823">
        <v>139.19999999999999</v>
      </c>
      <c r="EE29" s="821">
        <v>38.4</v>
      </c>
      <c r="EF29" s="822">
        <v>114.6</v>
      </c>
      <c r="EG29" s="823">
        <v>125.3</v>
      </c>
      <c r="EH29" s="821">
        <v>56.1</v>
      </c>
      <c r="EI29" s="823">
        <v>154.4</v>
      </c>
      <c r="EJ29" s="821">
        <v>32.299999999999997</v>
      </c>
      <c r="EK29" s="822">
        <v>57.4</v>
      </c>
      <c r="EL29" s="823">
        <v>51.2</v>
      </c>
      <c r="EM29" s="824">
        <v>64</v>
      </c>
    </row>
    <row r="30" spans="1:143" ht="13.5" customHeight="1">
      <c r="Q30" s="1083"/>
      <c r="R30" s="819"/>
      <c r="S30" s="825">
        <v>5</v>
      </c>
      <c r="T30" s="826">
        <v>67.2</v>
      </c>
      <c r="U30" s="827">
        <v>206.4</v>
      </c>
      <c r="V30" s="828">
        <v>178.3</v>
      </c>
      <c r="W30" s="826">
        <v>54.6</v>
      </c>
      <c r="X30" s="827">
        <v>200.3</v>
      </c>
      <c r="Y30" s="828">
        <v>224.7</v>
      </c>
      <c r="Z30" s="826">
        <v>69.5</v>
      </c>
      <c r="AA30" s="828">
        <v>397.3</v>
      </c>
      <c r="AB30" s="826">
        <v>63.3</v>
      </c>
      <c r="AC30" s="827">
        <v>109.3</v>
      </c>
      <c r="AD30" s="828">
        <v>85</v>
      </c>
      <c r="AE30" s="824">
        <v>154.9</v>
      </c>
      <c r="AG30" s="1083"/>
      <c r="AH30" s="819"/>
      <c r="AI30" s="825">
        <v>5</v>
      </c>
      <c r="AJ30" s="826">
        <v>75.3</v>
      </c>
      <c r="AK30" s="827">
        <v>234</v>
      </c>
      <c r="AL30" s="828">
        <v>190.9</v>
      </c>
      <c r="AM30" s="826">
        <v>60.2</v>
      </c>
      <c r="AN30" s="827">
        <v>215</v>
      </c>
      <c r="AO30" s="828">
        <v>248.8</v>
      </c>
      <c r="AP30" s="826">
        <v>76.400000000000006</v>
      </c>
      <c r="AQ30" s="828">
        <v>421</v>
      </c>
      <c r="AR30" s="826">
        <v>74.5</v>
      </c>
      <c r="AS30" s="827">
        <v>118.7</v>
      </c>
      <c r="AT30" s="828">
        <v>93.1</v>
      </c>
      <c r="AU30" s="824">
        <v>179.1</v>
      </c>
      <c r="AW30" s="1083"/>
      <c r="AX30" s="819"/>
      <c r="AY30" s="825">
        <v>5</v>
      </c>
      <c r="AZ30" s="826">
        <v>85.9</v>
      </c>
      <c r="BA30" s="827">
        <v>261.89999999999998</v>
      </c>
      <c r="BB30" s="828">
        <v>212</v>
      </c>
      <c r="BC30" s="826">
        <v>67.8</v>
      </c>
      <c r="BD30" s="827">
        <v>239.3</v>
      </c>
      <c r="BE30" s="828">
        <v>278.8</v>
      </c>
      <c r="BF30" s="826">
        <v>83.8</v>
      </c>
      <c r="BG30" s="828">
        <v>456.7</v>
      </c>
      <c r="BH30" s="826">
        <v>85</v>
      </c>
      <c r="BI30" s="827">
        <v>130.9</v>
      </c>
      <c r="BJ30" s="828">
        <v>102.1</v>
      </c>
      <c r="BK30" s="824">
        <v>194.9</v>
      </c>
      <c r="BM30" s="1083"/>
      <c r="BN30" s="819"/>
      <c r="BO30" s="825">
        <v>5</v>
      </c>
      <c r="BP30" s="826" t="e">
        <v>#N/A</v>
      </c>
      <c r="BQ30" s="827">
        <v>299</v>
      </c>
      <c r="BR30" s="828">
        <v>235</v>
      </c>
      <c r="BS30" s="826">
        <v>75.099999999999994</v>
      </c>
      <c r="BT30" s="827">
        <v>266.7</v>
      </c>
      <c r="BU30" s="828">
        <v>311.2</v>
      </c>
      <c r="BV30" s="826">
        <v>93</v>
      </c>
      <c r="BW30" s="828">
        <v>495.6</v>
      </c>
      <c r="BX30" s="826">
        <v>98.9</v>
      </c>
      <c r="BY30" s="827">
        <v>139.69999999999999</v>
      </c>
      <c r="BZ30" s="828">
        <v>112.3</v>
      </c>
      <c r="CA30" s="824">
        <v>213.5</v>
      </c>
      <c r="CC30" s="1083"/>
      <c r="CD30" s="819"/>
      <c r="CE30" s="825">
        <v>5</v>
      </c>
      <c r="CF30" s="826" t="e">
        <v>#N/A</v>
      </c>
      <c r="CG30" s="827">
        <v>343.9</v>
      </c>
      <c r="CH30" s="828">
        <v>259.89999999999998</v>
      </c>
      <c r="CI30" s="826">
        <v>81.599999999999994</v>
      </c>
      <c r="CJ30" s="827">
        <v>302</v>
      </c>
      <c r="CK30" s="828">
        <v>341.7</v>
      </c>
      <c r="CL30" s="826">
        <v>103.5</v>
      </c>
      <c r="CM30" s="828">
        <v>534.9</v>
      </c>
      <c r="CN30" s="826">
        <v>111.8</v>
      </c>
      <c r="CO30" s="827">
        <v>150.5</v>
      </c>
      <c r="CP30" s="828">
        <v>124.7</v>
      </c>
      <c r="CQ30" s="824">
        <v>235.5</v>
      </c>
      <c r="CS30" s="1083"/>
      <c r="CT30" s="819"/>
      <c r="CU30" s="825">
        <v>5</v>
      </c>
      <c r="CV30" s="826">
        <v>88.8</v>
      </c>
      <c r="CW30" s="827">
        <v>365.8</v>
      </c>
      <c r="CX30" s="828">
        <v>284.7</v>
      </c>
      <c r="CY30" s="826">
        <v>88.8</v>
      </c>
      <c r="CZ30" s="827">
        <v>347.2</v>
      </c>
      <c r="DA30" s="828">
        <v>370.5</v>
      </c>
      <c r="DB30" s="826">
        <v>114.5</v>
      </c>
      <c r="DC30" s="828">
        <v>571.9</v>
      </c>
      <c r="DD30" s="826">
        <v>122.7</v>
      </c>
      <c r="DE30" s="827">
        <v>165.6</v>
      </c>
      <c r="DF30" s="828">
        <v>138.4</v>
      </c>
      <c r="DG30" s="824">
        <v>253.5</v>
      </c>
      <c r="DI30" s="1083"/>
      <c r="DJ30" s="819"/>
      <c r="DK30" s="825">
        <v>5</v>
      </c>
      <c r="DL30" s="826">
        <v>95.6</v>
      </c>
      <c r="DM30" s="827">
        <v>395</v>
      </c>
      <c r="DN30" s="828">
        <v>305</v>
      </c>
      <c r="DO30" s="826">
        <v>97.8</v>
      </c>
      <c r="DP30" s="827">
        <v>380.2</v>
      </c>
      <c r="DQ30" s="828">
        <v>402.4</v>
      </c>
      <c r="DR30" s="826">
        <v>126.2</v>
      </c>
      <c r="DS30" s="828">
        <v>608</v>
      </c>
      <c r="DT30" s="826">
        <v>125.4</v>
      </c>
      <c r="DU30" s="827">
        <v>180.6</v>
      </c>
      <c r="DV30" s="828">
        <v>151.1</v>
      </c>
      <c r="DW30" s="824">
        <v>270.39999999999998</v>
      </c>
      <c r="DY30" s="1083"/>
      <c r="DZ30" s="819"/>
      <c r="EA30" s="825">
        <v>5</v>
      </c>
      <c r="EB30" s="826">
        <v>94.6</v>
      </c>
      <c r="EC30" s="827">
        <v>421.8</v>
      </c>
      <c r="ED30" s="828">
        <v>324.89999999999998</v>
      </c>
      <c r="EE30" s="826">
        <v>105.4</v>
      </c>
      <c r="EF30" s="827">
        <v>399.6</v>
      </c>
      <c r="EG30" s="828">
        <v>430.3</v>
      </c>
      <c r="EH30" s="826">
        <v>138.69999999999999</v>
      </c>
      <c r="EI30" s="828">
        <v>645</v>
      </c>
      <c r="EJ30" s="826">
        <v>130.4</v>
      </c>
      <c r="EK30" s="827">
        <v>193.1</v>
      </c>
      <c r="EL30" s="828">
        <v>166.3</v>
      </c>
      <c r="EM30" s="824">
        <v>283.3</v>
      </c>
    </row>
    <row r="31" spans="1:143" ht="13.5" customHeight="1">
      <c r="Q31" s="1083"/>
      <c r="R31" s="819"/>
      <c r="S31" s="829" t="s">
        <v>563</v>
      </c>
      <c r="T31" s="830">
        <v>5</v>
      </c>
      <c r="U31" s="831">
        <v>67.599999999999994</v>
      </c>
      <c r="V31" s="832">
        <v>20.3</v>
      </c>
      <c r="W31" s="830">
        <v>4.9000000000000004</v>
      </c>
      <c r="X31" s="831">
        <v>31.7</v>
      </c>
      <c r="Y31" s="832">
        <v>16</v>
      </c>
      <c r="Z31" s="830">
        <v>13.3</v>
      </c>
      <c r="AA31" s="832">
        <v>13.4</v>
      </c>
      <c r="AB31" s="830">
        <v>3.3</v>
      </c>
      <c r="AC31" s="831">
        <v>3.3</v>
      </c>
      <c r="AD31" s="832">
        <v>1</v>
      </c>
      <c r="AE31" s="833">
        <v>10.3</v>
      </c>
      <c r="AG31" s="1083"/>
      <c r="AH31" s="819"/>
      <c r="AI31" s="829" t="s">
        <v>563</v>
      </c>
      <c r="AJ31" s="830">
        <v>3.5</v>
      </c>
      <c r="AK31" s="831">
        <v>79.2</v>
      </c>
      <c r="AL31" s="832">
        <v>23.3</v>
      </c>
      <c r="AM31" s="830">
        <v>5.2</v>
      </c>
      <c r="AN31" s="831">
        <v>35</v>
      </c>
      <c r="AO31" s="832">
        <v>18.100000000000001</v>
      </c>
      <c r="AP31" s="830">
        <v>14.6</v>
      </c>
      <c r="AQ31" s="832">
        <v>14.2</v>
      </c>
      <c r="AR31" s="830">
        <v>3.8</v>
      </c>
      <c r="AS31" s="831">
        <v>3.2</v>
      </c>
      <c r="AT31" s="832">
        <v>1.1000000000000001</v>
      </c>
      <c r="AU31" s="833">
        <v>11.3</v>
      </c>
      <c r="AW31" s="1083"/>
      <c r="AX31" s="819"/>
      <c r="AY31" s="829" t="s">
        <v>563</v>
      </c>
      <c r="AZ31" s="830">
        <v>4.5999999999999996</v>
      </c>
      <c r="BA31" s="831">
        <v>92.6</v>
      </c>
      <c r="BB31" s="832">
        <v>25.9</v>
      </c>
      <c r="BC31" s="830">
        <v>6.1</v>
      </c>
      <c r="BD31" s="831">
        <v>39.799999999999997</v>
      </c>
      <c r="BE31" s="832">
        <v>20.7</v>
      </c>
      <c r="BF31" s="830">
        <v>16.8</v>
      </c>
      <c r="BG31" s="832">
        <v>15.5</v>
      </c>
      <c r="BH31" s="830">
        <v>4.5999999999999996</v>
      </c>
      <c r="BI31" s="831">
        <v>3.4</v>
      </c>
      <c r="BJ31" s="832">
        <v>1.2</v>
      </c>
      <c r="BK31" s="833">
        <v>12.8</v>
      </c>
      <c r="BM31" s="1083"/>
      <c r="BN31" s="819"/>
      <c r="BO31" s="829" t="s">
        <v>563</v>
      </c>
      <c r="BP31" s="830">
        <v>4.5999999999999996</v>
      </c>
      <c r="BQ31" s="831">
        <v>109.3</v>
      </c>
      <c r="BR31" s="832">
        <v>29.3</v>
      </c>
      <c r="BS31" s="830">
        <v>7.9</v>
      </c>
      <c r="BT31" s="831">
        <v>45.9</v>
      </c>
      <c r="BU31" s="832">
        <v>23.6</v>
      </c>
      <c r="BV31" s="830">
        <v>19.5</v>
      </c>
      <c r="BW31" s="832">
        <v>17.100000000000001</v>
      </c>
      <c r="BX31" s="830">
        <v>6.1</v>
      </c>
      <c r="BY31" s="831">
        <v>3.9</v>
      </c>
      <c r="BZ31" s="832">
        <v>5.5</v>
      </c>
      <c r="CA31" s="833">
        <v>15.4</v>
      </c>
      <c r="CC31" s="1083"/>
      <c r="CD31" s="819"/>
      <c r="CE31" s="829" t="s">
        <v>563</v>
      </c>
      <c r="CF31" s="830">
        <v>6.6</v>
      </c>
      <c r="CG31" s="831">
        <v>129</v>
      </c>
      <c r="CH31" s="832">
        <v>32.9</v>
      </c>
      <c r="CI31" s="830">
        <v>10</v>
      </c>
      <c r="CJ31" s="831">
        <v>53.7</v>
      </c>
      <c r="CK31" s="832">
        <v>26.8</v>
      </c>
      <c r="CL31" s="830">
        <v>22.9</v>
      </c>
      <c r="CM31" s="832">
        <v>18.600000000000001</v>
      </c>
      <c r="CN31" s="830">
        <v>8.4</v>
      </c>
      <c r="CO31" s="831">
        <v>4.5999999999999996</v>
      </c>
      <c r="CP31" s="832">
        <v>1.6</v>
      </c>
      <c r="CQ31" s="833">
        <v>17.399999999999999</v>
      </c>
      <c r="CS31" s="1083"/>
      <c r="CT31" s="819"/>
      <c r="CU31" s="829" t="s">
        <v>563</v>
      </c>
      <c r="CV31" s="830">
        <v>8.6999999999999993</v>
      </c>
      <c r="CW31" s="831">
        <v>143</v>
      </c>
      <c r="CX31" s="832">
        <v>36.299999999999997</v>
      </c>
      <c r="CY31" s="830">
        <v>12.4</v>
      </c>
      <c r="CZ31" s="831">
        <v>63</v>
      </c>
      <c r="DA31" s="832">
        <v>30.2</v>
      </c>
      <c r="DB31" s="830">
        <v>26.4</v>
      </c>
      <c r="DC31" s="832">
        <v>20.100000000000001</v>
      </c>
      <c r="DD31" s="830">
        <v>10.7</v>
      </c>
      <c r="DE31" s="831">
        <v>5.3</v>
      </c>
      <c r="DF31" s="832">
        <v>6</v>
      </c>
      <c r="DG31" s="833">
        <v>20.5</v>
      </c>
      <c r="DI31" s="1083"/>
      <c r="DJ31" s="819"/>
      <c r="DK31" s="829" t="s">
        <v>563</v>
      </c>
      <c r="DL31" s="830">
        <v>10.5</v>
      </c>
      <c r="DM31" s="831">
        <v>158.1</v>
      </c>
      <c r="DN31" s="832">
        <v>39.6</v>
      </c>
      <c r="DO31" s="830">
        <v>14.9</v>
      </c>
      <c r="DP31" s="831">
        <v>72.099999999999994</v>
      </c>
      <c r="DQ31" s="832">
        <v>33.9</v>
      </c>
      <c r="DR31" s="830">
        <v>30.1</v>
      </c>
      <c r="DS31" s="832">
        <v>21.5</v>
      </c>
      <c r="DT31" s="830">
        <v>13</v>
      </c>
      <c r="DU31" s="831">
        <v>6.1</v>
      </c>
      <c r="DV31" s="832">
        <v>2</v>
      </c>
      <c r="DW31" s="833">
        <v>22.4</v>
      </c>
      <c r="DY31" s="1083"/>
      <c r="DZ31" s="819"/>
      <c r="EA31" s="829" t="s">
        <v>563</v>
      </c>
      <c r="EB31" s="830">
        <v>12.4</v>
      </c>
      <c r="EC31" s="831">
        <v>172.5</v>
      </c>
      <c r="ED31" s="832">
        <v>42.6</v>
      </c>
      <c r="EE31" s="830">
        <v>17.5</v>
      </c>
      <c r="EF31" s="831">
        <v>79</v>
      </c>
      <c r="EG31" s="832">
        <v>37.299999999999997</v>
      </c>
      <c r="EH31" s="830">
        <v>34</v>
      </c>
      <c r="EI31" s="832">
        <v>22.8</v>
      </c>
      <c r="EJ31" s="830">
        <v>15.3</v>
      </c>
      <c r="EK31" s="831">
        <v>6.8</v>
      </c>
      <c r="EL31" s="832">
        <v>7.9</v>
      </c>
      <c r="EM31" s="833">
        <v>25.6</v>
      </c>
    </row>
    <row r="32" spans="1:143" ht="13.5" customHeight="1">
      <c r="Q32" s="834" t="s">
        <v>356</v>
      </c>
      <c r="R32" s="835"/>
      <c r="S32" s="836" t="s">
        <v>6</v>
      </c>
      <c r="T32" s="837">
        <v>0</v>
      </c>
      <c r="U32" s="838">
        <v>0.1</v>
      </c>
      <c r="V32" s="839">
        <v>0.1</v>
      </c>
      <c r="W32" s="837">
        <v>0</v>
      </c>
      <c r="X32" s="838">
        <v>0.1</v>
      </c>
      <c r="Y32" s="839">
        <v>0.1</v>
      </c>
      <c r="Z32" s="837">
        <v>0.1</v>
      </c>
      <c r="AA32" s="839">
        <v>0.1</v>
      </c>
      <c r="AB32" s="837">
        <v>0</v>
      </c>
      <c r="AC32" s="838">
        <v>0.1</v>
      </c>
      <c r="AD32" s="839">
        <v>0.1</v>
      </c>
      <c r="AE32" s="840">
        <v>0.1</v>
      </c>
      <c r="AG32" s="834" t="s">
        <v>356</v>
      </c>
      <c r="AH32" s="835"/>
      <c r="AI32" s="836" t="s">
        <v>6</v>
      </c>
      <c r="AJ32" s="837">
        <v>0</v>
      </c>
      <c r="AK32" s="838">
        <v>0.1</v>
      </c>
      <c r="AL32" s="839">
        <v>0.1</v>
      </c>
      <c r="AM32" s="837">
        <v>0</v>
      </c>
      <c r="AN32" s="838">
        <v>0.1</v>
      </c>
      <c r="AO32" s="839">
        <v>0.1</v>
      </c>
      <c r="AP32" s="837">
        <v>0.1</v>
      </c>
      <c r="AQ32" s="839">
        <v>0.1</v>
      </c>
      <c r="AR32" s="837">
        <v>0</v>
      </c>
      <c r="AS32" s="838">
        <v>0.1</v>
      </c>
      <c r="AT32" s="839">
        <v>0.1</v>
      </c>
      <c r="AU32" s="840">
        <v>0.1</v>
      </c>
      <c r="AW32" s="834" t="s">
        <v>356</v>
      </c>
      <c r="AX32" s="835"/>
      <c r="AY32" s="836" t="s">
        <v>6</v>
      </c>
      <c r="AZ32" s="837">
        <v>0</v>
      </c>
      <c r="BA32" s="838">
        <v>0.1</v>
      </c>
      <c r="BB32" s="839">
        <v>0.1</v>
      </c>
      <c r="BC32" s="837">
        <v>0</v>
      </c>
      <c r="BD32" s="838">
        <v>0.1</v>
      </c>
      <c r="BE32" s="839">
        <v>0.1</v>
      </c>
      <c r="BF32" s="837">
        <v>0.1</v>
      </c>
      <c r="BG32" s="839">
        <v>0.1</v>
      </c>
      <c r="BH32" s="837">
        <v>0</v>
      </c>
      <c r="BI32" s="838">
        <v>0.1</v>
      </c>
      <c r="BJ32" s="839">
        <v>0.1</v>
      </c>
      <c r="BK32" s="840">
        <v>0.1</v>
      </c>
      <c r="BM32" s="834" t="s">
        <v>356</v>
      </c>
      <c r="BN32" s="835"/>
      <c r="BO32" s="836" t="s">
        <v>6</v>
      </c>
      <c r="BP32" s="837">
        <v>0</v>
      </c>
      <c r="BQ32" s="838">
        <v>0.1</v>
      </c>
      <c r="BR32" s="839">
        <v>0.1</v>
      </c>
      <c r="BS32" s="837">
        <v>0</v>
      </c>
      <c r="BT32" s="838">
        <v>0.1</v>
      </c>
      <c r="BU32" s="839">
        <v>0.1</v>
      </c>
      <c r="BV32" s="837">
        <v>0.1</v>
      </c>
      <c r="BW32" s="839">
        <v>0.1</v>
      </c>
      <c r="BX32" s="837">
        <v>0</v>
      </c>
      <c r="BY32" s="838">
        <v>0.1</v>
      </c>
      <c r="BZ32" s="839">
        <v>0.1</v>
      </c>
      <c r="CA32" s="840">
        <v>0.1</v>
      </c>
      <c r="CC32" s="834" t="s">
        <v>356</v>
      </c>
      <c r="CD32" s="835"/>
      <c r="CE32" s="836" t="s">
        <v>6</v>
      </c>
      <c r="CF32" s="837">
        <v>0</v>
      </c>
      <c r="CG32" s="838">
        <v>0.1</v>
      </c>
      <c r="CH32" s="839">
        <v>0.1</v>
      </c>
      <c r="CI32" s="837">
        <v>0</v>
      </c>
      <c r="CJ32" s="838">
        <v>0.1</v>
      </c>
      <c r="CK32" s="839">
        <v>0.1</v>
      </c>
      <c r="CL32" s="837">
        <v>0.1</v>
      </c>
      <c r="CM32" s="839">
        <v>0.1</v>
      </c>
      <c r="CN32" s="837">
        <v>0</v>
      </c>
      <c r="CO32" s="838">
        <v>0.1</v>
      </c>
      <c r="CP32" s="839">
        <v>0.1</v>
      </c>
      <c r="CQ32" s="840">
        <v>0.1</v>
      </c>
      <c r="CS32" s="834" t="s">
        <v>356</v>
      </c>
      <c r="CT32" s="835"/>
      <c r="CU32" s="836" t="s">
        <v>6</v>
      </c>
      <c r="CV32" s="837">
        <v>0</v>
      </c>
      <c r="CW32" s="838">
        <v>0.1</v>
      </c>
      <c r="CX32" s="839">
        <v>0.1</v>
      </c>
      <c r="CY32" s="837">
        <v>0</v>
      </c>
      <c r="CZ32" s="838">
        <v>0.1</v>
      </c>
      <c r="DA32" s="839">
        <v>0.1</v>
      </c>
      <c r="DB32" s="837">
        <v>0.1</v>
      </c>
      <c r="DC32" s="839">
        <v>0.1</v>
      </c>
      <c r="DD32" s="837">
        <v>0</v>
      </c>
      <c r="DE32" s="838">
        <v>0.1</v>
      </c>
      <c r="DF32" s="839">
        <v>0.1</v>
      </c>
      <c r="DG32" s="840">
        <v>0.1</v>
      </c>
      <c r="DI32" s="834" t="s">
        <v>356</v>
      </c>
      <c r="DJ32" s="835"/>
      <c r="DK32" s="836" t="s">
        <v>6</v>
      </c>
      <c r="DL32" s="837">
        <v>0</v>
      </c>
      <c r="DM32" s="838">
        <v>0.2</v>
      </c>
      <c r="DN32" s="839">
        <v>0.2</v>
      </c>
      <c r="DO32" s="837">
        <v>0</v>
      </c>
      <c r="DP32" s="838">
        <v>0.2</v>
      </c>
      <c r="DQ32" s="839">
        <v>0.2</v>
      </c>
      <c r="DR32" s="837">
        <v>0.2</v>
      </c>
      <c r="DS32" s="839">
        <v>0.2</v>
      </c>
      <c r="DT32" s="837">
        <v>0</v>
      </c>
      <c r="DU32" s="838">
        <v>0.2</v>
      </c>
      <c r="DV32" s="839">
        <v>0.2</v>
      </c>
      <c r="DW32" s="840">
        <v>0.1</v>
      </c>
      <c r="DY32" s="834" t="s">
        <v>356</v>
      </c>
      <c r="DZ32" s="835"/>
      <c r="EA32" s="836" t="s">
        <v>6</v>
      </c>
      <c r="EB32" s="837">
        <v>0</v>
      </c>
      <c r="EC32" s="838">
        <v>0.2</v>
      </c>
      <c r="ED32" s="839">
        <v>0.2</v>
      </c>
      <c r="EE32" s="837">
        <v>0</v>
      </c>
      <c r="EF32" s="838">
        <v>0.2</v>
      </c>
      <c r="EG32" s="839">
        <v>0.2</v>
      </c>
      <c r="EH32" s="837">
        <v>0.2</v>
      </c>
      <c r="EI32" s="839">
        <v>0.2</v>
      </c>
      <c r="EJ32" s="837">
        <v>0</v>
      </c>
      <c r="EK32" s="838">
        <v>0.2</v>
      </c>
      <c r="EL32" s="839">
        <v>0.2</v>
      </c>
      <c r="EM32" s="840">
        <v>0.1</v>
      </c>
    </row>
    <row r="33" spans="17:143" ht="13.5" customHeight="1">
      <c r="Q33" s="834" t="s">
        <v>357</v>
      </c>
      <c r="R33" s="835"/>
      <c r="S33" s="841" t="s">
        <v>6</v>
      </c>
      <c r="T33" s="842">
        <v>0</v>
      </c>
      <c r="U33" s="843">
        <v>3.2</v>
      </c>
      <c r="V33" s="844">
        <v>3.2</v>
      </c>
      <c r="W33" s="842">
        <v>0</v>
      </c>
      <c r="X33" s="843">
        <v>3.2</v>
      </c>
      <c r="Y33" s="844">
        <v>3.2</v>
      </c>
      <c r="Z33" s="842">
        <v>3.2</v>
      </c>
      <c r="AA33" s="844">
        <v>3.2</v>
      </c>
      <c r="AB33" s="842">
        <v>0</v>
      </c>
      <c r="AC33" s="843">
        <v>0.7</v>
      </c>
      <c r="AD33" s="844">
        <v>0.7</v>
      </c>
      <c r="AE33" s="824">
        <v>1.6</v>
      </c>
      <c r="AG33" s="834" t="s">
        <v>357</v>
      </c>
      <c r="AH33" s="835"/>
      <c r="AI33" s="841" t="s">
        <v>6</v>
      </c>
      <c r="AJ33" s="842">
        <v>0</v>
      </c>
      <c r="AK33" s="843">
        <v>2.9</v>
      </c>
      <c r="AL33" s="844">
        <v>2.9</v>
      </c>
      <c r="AM33" s="842">
        <v>0</v>
      </c>
      <c r="AN33" s="843">
        <v>2.9</v>
      </c>
      <c r="AO33" s="844">
        <v>2.9</v>
      </c>
      <c r="AP33" s="842">
        <v>2.9</v>
      </c>
      <c r="AQ33" s="844">
        <v>2.9</v>
      </c>
      <c r="AR33" s="842">
        <v>0</v>
      </c>
      <c r="AS33" s="843">
        <v>0.7</v>
      </c>
      <c r="AT33" s="844">
        <v>0.7</v>
      </c>
      <c r="AU33" s="824">
        <v>1.5</v>
      </c>
      <c r="AW33" s="834" t="s">
        <v>357</v>
      </c>
      <c r="AX33" s="835"/>
      <c r="AY33" s="841" t="s">
        <v>6</v>
      </c>
      <c r="AZ33" s="842">
        <v>0</v>
      </c>
      <c r="BA33" s="843">
        <v>3.5</v>
      </c>
      <c r="BB33" s="844">
        <v>3.5</v>
      </c>
      <c r="BC33" s="842">
        <v>0</v>
      </c>
      <c r="BD33" s="843">
        <v>3.5</v>
      </c>
      <c r="BE33" s="844">
        <v>3.5</v>
      </c>
      <c r="BF33" s="842">
        <v>3.5</v>
      </c>
      <c r="BG33" s="844">
        <v>3.5</v>
      </c>
      <c r="BH33" s="842">
        <v>0</v>
      </c>
      <c r="BI33" s="843">
        <v>0.8</v>
      </c>
      <c r="BJ33" s="844">
        <v>0.8</v>
      </c>
      <c r="BK33" s="824">
        <v>1.8</v>
      </c>
      <c r="BM33" s="834" t="s">
        <v>357</v>
      </c>
      <c r="BN33" s="835"/>
      <c r="BO33" s="841" t="s">
        <v>6</v>
      </c>
      <c r="BP33" s="842">
        <v>0</v>
      </c>
      <c r="BQ33" s="843">
        <v>3.8</v>
      </c>
      <c r="BR33" s="844">
        <v>3.8</v>
      </c>
      <c r="BS33" s="842">
        <v>0</v>
      </c>
      <c r="BT33" s="843">
        <v>3.8</v>
      </c>
      <c r="BU33" s="844">
        <v>3.8</v>
      </c>
      <c r="BV33" s="842">
        <v>3.8</v>
      </c>
      <c r="BW33" s="844">
        <v>3.8</v>
      </c>
      <c r="BX33" s="842">
        <v>0</v>
      </c>
      <c r="BY33" s="843">
        <v>0.9</v>
      </c>
      <c r="BZ33" s="844">
        <v>0.9</v>
      </c>
      <c r="CA33" s="824">
        <v>1.9</v>
      </c>
      <c r="CC33" s="834" t="s">
        <v>357</v>
      </c>
      <c r="CD33" s="835"/>
      <c r="CE33" s="841" t="s">
        <v>6</v>
      </c>
      <c r="CF33" s="842">
        <v>0</v>
      </c>
      <c r="CG33" s="843">
        <v>4.0999999999999996</v>
      </c>
      <c r="CH33" s="844">
        <v>4.0999999999999996</v>
      </c>
      <c r="CI33" s="842">
        <v>0</v>
      </c>
      <c r="CJ33" s="843">
        <v>4.0999999999999996</v>
      </c>
      <c r="CK33" s="844">
        <v>4.0999999999999996</v>
      </c>
      <c r="CL33" s="842">
        <v>4.0999999999999996</v>
      </c>
      <c r="CM33" s="844">
        <v>4.0999999999999996</v>
      </c>
      <c r="CN33" s="842">
        <v>0</v>
      </c>
      <c r="CO33" s="843">
        <v>0.9</v>
      </c>
      <c r="CP33" s="844">
        <v>0.9</v>
      </c>
      <c r="CQ33" s="824">
        <v>2</v>
      </c>
      <c r="CS33" s="834" t="s">
        <v>357</v>
      </c>
      <c r="CT33" s="835"/>
      <c r="CU33" s="841" t="s">
        <v>6</v>
      </c>
      <c r="CV33" s="842">
        <v>0</v>
      </c>
      <c r="CW33" s="843">
        <v>4.4000000000000004</v>
      </c>
      <c r="CX33" s="844">
        <v>4.4000000000000004</v>
      </c>
      <c r="CY33" s="842">
        <v>0</v>
      </c>
      <c r="CZ33" s="843">
        <v>4.4000000000000004</v>
      </c>
      <c r="DA33" s="844">
        <v>4.4000000000000004</v>
      </c>
      <c r="DB33" s="842">
        <v>4.4000000000000004</v>
      </c>
      <c r="DC33" s="844">
        <v>4.4000000000000004</v>
      </c>
      <c r="DD33" s="842">
        <v>0</v>
      </c>
      <c r="DE33" s="843">
        <v>1</v>
      </c>
      <c r="DF33" s="844">
        <v>1</v>
      </c>
      <c r="DG33" s="824">
        <v>2.2000000000000002</v>
      </c>
      <c r="DI33" s="834" t="s">
        <v>357</v>
      </c>
      <c r="DJ33" s="835"/>
      <c r="DK33" s="841" t="s">
        <v>6</v>
      </c>
      <c r="DL33" s="842">
        <v>0</v>
      </c>
      <c r="DM33" s="843">
        <v>4.7</v>
      </c>
      <c r="DN33" s="844">
        <v>4.7</v>
      </c>
      <c r="DO33" s="842">
        <v>0</v>
      </c>
      <c r="DP33" s="843">
        <v>4.7</v>
      </c>
      <c r="DQ33" s="844">
        <v>4.7</v>
      </c>
      <c r="DR33" s="842">
        <v>4.7</v>
      </c>
      <c r="DS33" s="844">
        <v>4.7</v>
      </c>
      <c r="DT33" s="842">
        <v>0</v>
      </c>
      <c r="DU33" s="843">
        <v>1.1000000000000001</v>
      </c>
      <c r="DV33" s="844">
        <v>1.1000000000000001</v>
      </c>
      <c r="DW33" s="824">
        <v>2.2999999999999998</v>
      </c>
      <c r="DY33" s="834" t="s">
        <v>357</v>
      </c>
      <c r="DZ33" s="835"/>
      <c r="EA33" s="841" t="s">
        <v>6</v>
      </c>
      <c r="EB33" s="842">
        <v>0</v>
      </c>
      <c r="EC33" s="843">
        <v>5</v>
      </c>
      <c r="ED33" s="844">
        <v>5</v>
      </c>
      <c r="EE33" s="842">
        <v>0</v>
      </c>
      <c r="EF33" s="843">
        <v>5</v>
      </c>
      <c r="EG33" s="844">
        <v>5</v>
      </c>
      <c r="EH33" s="842">
        <v>5</v>
      </c>
      <c r="EI33" s="844">
        <v>5</v>
      </c>
      <c r="EJ33" s="842">
        <v>0</v>
      </c>
      <c r="EK33" s="843">
        <v>1.2</v>
      </c>
      <c r="EL33" s="844">
        <v>1.2</v>
      </c>
      <c r="EM33" s="824">
        <v>2.5</v>
      </c>
    </row>
    <row r="34" spans="17:143" ht="13.5" customHeight="1">
      <c r="Q34" s="834" t="s">
        <v>358</v>
      </c>
      <c r="R34" s="835"/>
      <c r="S34" s="841" t="s">
        <v>6</v>
      </c>
      <c r="T34" s="842">
        <v>2.5</v>
      </c>
      <c r="U34" s="843">
        <v>3</v>
      </c>
      <c r="V34" s="844">
        <v>3.3</v>
      </c>
      <c r="W34" s="842">
        <v>1.1000000000000001</v>
      </c>
      <c r="X34" s="843">
        <v>1.1000000000000001</v>
      </c>
      <c r="Y34" s="844">
        <v>1.2</v>
      </c>
      <c r="Z34" s="842">
        <v>0.8</v>
      </c>
      <c r="AA34" s="844">
        <v>0.9</v>
      </c>
      <c r="AB34" s="842">
        <v>0.3</v>
      </c>
      <c r="AC34" s="843">
        <v>0.3</v>
      </c>
      <c r="AD34" s="844">
        <v>0.3</v>
      </c>
      <c r="AE34" s="824">
        <v>0.7</v>
      </c>
      <c r="AG34" s="834" t="s">
        <v>358</v>
      </c>
      <c r="AH34" s="835"/>
      <c r="AI34" s="841" t="s">
        <v>6</v>
      </c>
      <c r="AJ34" s="842">
        <v>1.7</v>
      </c>
      <c r="AK34" s="843">
        <v>2.2000000000000002</v>
      </c>
      <c r="AL34" s="844">
        <v>2.4</v>
      </c>
      <c r="AM34" s="842">
        <v>0.8</v>
      </c>
      <c r="AN34" s="843">
        <v>0.8</v>
      </c>
      <c r="AO34" s="844">
        <v>0.9</v>
      </c>
      <c r="AP34" s="842">
        <v>0.6</v>
      </c>
      <c r="AQ34" s="844">
        <v>0.7</v>
      </c>
      <c r="AR34" s="842">
        <v>0.2</v>
      </c>
      <c r="AS34" s="843">
        <v>0.2</v>
      </c>
      <c r="AT34" s="844">
        <v>0.2</v>
      </c>
      <c r="AU34" s="824">
        <v>0.5</v>
      </c>
      <c r="AW34" s="834" t="s">
        <v>358</v>
      </c>
      <c r="AX34" s="835"/>
      <c r="AY34" s="841" t="s">
        <v>6</v>
      </c>
      <c r="AZ34" s="842">
        <v>1.6</v>
      </c>
      <c r="BA34" s="843">
        <v>2.1</v>
      </c>
      <c r="BB34" s="844">
        <v>2.2000000000000002</v>
      </c>
      <c r="BC34" s="842">
        <v>0.7</v>
      </c>
      <c r="BD34" s="843">
        <v>0.8</v>
      </c>
      <c r="BE34" s="844">
        <v>0.8</v>
      </c>
      <c r="BF34" s="842">
        <v>0.6</v>
      </c>
      <c r="BG34" s="844">
        <v>0.6</v>
      </c>
      <c r="BH34" s="842">
        <v>0.2</v>
      </c>
      <c r="BI34" s="843">
        <v>0.2</v>
      </c>
      <c r="BJ34" s="844">
        <v>0.2</v>
      </c>
      <c r="BK34" s="824">
        <v>0.5</v>
      </c>
      <c r="BM34" s="834" t="s">
        <v>358</v>
      </c>
      <c r="BN34" s="835"/>
      <c r="BO34" s="841" t="s">
        <v>6</v>
      </c>
      <c r="BP34" s="842">
        <v>1.4</v>
      </c>
      <c r="BQ34" s="843">
        <v>1.9</v>
      </c>
      <c r="BR34" s="844">
        <v>1.9</v>
      </c>
      <c r="BS34" s="842">
        <v>0.7</v>
      </c>
      <c r="BT34" s="843">
        <v>0.7</v>
      </c>
      <c r="BU34" s="844">
        <v>0.7</v>
      </c>
      <c r="BV34" s="842">
        <v>0.5</v>
      </c>
      <c r="BW34" s="844">
        <v>0.6</v>
      </c>
      <c r="BX34" s="842">
        <v>0.2</v>
      </c>
      <c r="BY34" s="843">
        <v>0.1</v>
      </c>
      <c r="BZ34" s="844">
        <v>0.1</v>
      </c>
      <c r="CA34" s="824">
        <v>0.4</v>
      </c>
      <c r="CC34" s="834" t="s">
        <v>358</v>
      </c>
      <c r="CD34" s="835"/>
      <c r="CE34" s="841" t="s">
        <v>6</v>
      </c>
      <c r="CF34" s="842">
        <v>1.2</v>
      </c>
      <c r="CG34" s="843">
        <v>1.6</v>
      </c>
      <c r="CH34" s="844">
        <v>1.6</v>
      </c>
      <c r="CI34" s="842">
        <v>0.6</v>
      </c>
      <c r="CJ34" s="843">
        <v>0.6</v>
      </c>
      <c r="CK34" s="844">
        <v>0.7</v>
      </c>
      <c r="CL34" s="842">
        <v>0.5</v>
      </c>
      <c r="CM34" s="844">
        <v>0.6</v>
      </c>
      <c r="CN34" s="842">
        <v>0.2</v>
      </c>
      <c r="CO34" s="843">
        <v>0.2</v>
      </c>
      <c r="CP34" s="844">
        <v>0.2</v>
      </c>
      <c r="CQ34" s="824">
        <v>0.4</v>
      </c>
      <c r="CS34" s="834" t="s">
        <v>358</v>
      </c>
      <c r="CT34" s="835"/>
      <c r="CU34" s="841" t="s">
        <v>6</v>
      </c>
      <c r="CV34" s="842">
        <v>1.5</v>
      </c>
      <c r="CW34" s="843">
        <v>1.9</v>
      </c>
      <c r="CX34" s="844">
        <v>1.9</v>
      </c>
      <c r="CY34" s="842">
        <v>0.7</v>
      </c>
      <c r="CZ34" s="843">
        <v>0.7</v>
      </c>
      <c r="DA34" s="844">
        <v>0.8</v>
      </c>
      <c r="DB34" s="842">
        <v>0.5</v>
      </c>
      <c r="DC34" s="844">
        <v>0.6</v>
      </c>
      <c r="DD34" s="842">
        <v>0.2</v>
      </c>
      <c r="DE34" s="843">
        <v>0.1</v>
      </c>
      <c r="DF34" s="844">
        <v>0.1</v>
      </c>
      <c r="DG34" s="824">
        <v>0.4</v>
      </c>
      <c r="DI34" s="834" t="s">
        <v>358</v>
      </c>
      <c r="DJ34" s="835"/>
      <c r="DK34" s="841" t="s">
        <v>6</v>
      </c>
      <c r="DL34" s="842">
        <v>1.5</v>
      </c>
      <c r="DM34" s="843">
        <v>2</v>
      </c>
      <c r="DN34" s="844">
        <v>2</v>
      </c>
      <c r="DO34" s="842">
        <v>0.7</v>
      </c>
      <c r="DP34" s="843">
        <v>0.8</v>
      </c>
      <c r="DQ34" s="844">
        <v>0.8</v>
      </c>
      <c r="DR34" s="842">
        <v>0.6</v>
      </c>
      <c r="DS34" s="844">
        <v>0.6</v>
      </c>
      <c r="DT34" s="842">
        <v>0.2</v>
      </c>
      <c r="DU34" s="843">
        <v>0.1</v>
      </c>
      <c r="DV34" s="844">
        <v>0.1</v>
      </c>
      <c r="DW34" s="824">
        <v>0.5</v>
      </c>
      <c r="DY34" s="834" t="s">
        <v>358</v>
      </c>
      <c r="DZ34" s="835"/>
      <c r="EA34" s="841" t="s">
        <v>6</v>
      </c>
      <c r="EB34" s="842">
        <v>1.6</v>
      </c>
      <c r="EC34" s="843">
        <v>2.1</v>
      </c>
      <c r="ED34" s="844">
        <v>2.1</v>
      </c>
      <c r="EE34" s="842">
        <v>0.8</v>
      </c>
      <c r="EF34" s="843">
        <v>0.8</v>
      </c>
      <c r="EG34" s="844">
        <v>0.8</v>
      </c>
      <c r="EH34" s="842">
        <v>0.6</v>
      </c>
      <c r="EI34" s="844">
        <v>0.6</v>
      </c>
      <c r="EJ34" s="842">
        <v>0.2</v>
      </c>
      <c r="EK34" s="843">
        <v>0.1</v>
      </c>
      <c r="EL34" s="844">
        <v>0.1</v>
      </c>
      <c r="EM34" s="824">
        <v>0.5</v>
      </c>
    </row>
    <row r="35" spans="17:143" ht="13.5" customHeight="1">
      <c r="Q35" s="834" t="s">
        <v>359</v>
      </c>
      <c r="R35" s="835"/>
      <c r="S35" s="841" t="s">
        <v>6</v>
      </c>
      <c r="T35" s="842">
        <v>0.2</v>
      </c>
      <c r="U35" s="843">
        <v>0.2</v>
      </c>
      <c r="V35" s="844">
        <v>0.2</v>
      </c>
      <c r="W35" s="842">
        <v>0.2</v>
      </c>
      <c r="X35" s="843">
        <v>0.2</v>
      </c>
      <c r="Y35" s="844">
        <v>0.2</v>
      </c>
      <c r="Z35" s="842">
        <v>0.2</v>
      </c>
      <c r="AA35" s="844">
        <v>0.2</v>
      </c>
      <c r="AB35" s="842">
        <v>0</v>
      </c>
      <c r="AC35" s="843">
        <v>0</v>
      </c>
      <c r="AD35" s="844">
        <v>0.1</v>
      </c>
      <c r="AE35" s="824">
        <v>0.1</v>
      </c>
      <c r="AG35" s="834" t="s">
        <v>359</v>
      </c>
      <c r="AH35" s="835"/>
      <c r="AI35" s="841" t="s">
        <v>6</v>
      </c>
      <c r="AJ35" s="842">
        <v>0.2</v>
      </c>
      <c r="AK35" s="843">
        <v>0.2</v>
      </c>
      <c r="AL35" s="844">
        <v>0.2</v>
      </c>
      <c r="AM35" s="842">
        <v>0.2</v>
      </c>
      <c r="AN35" s="843">
        <v>0.2</v>
      </c>
      <c r="AO35" s="844">
        <v>0.2</v>
      </c>
      <c r="AP35" s="842">
        <v>0.2</v>
      </c>
      <c r="AQ35" s="844">
        <v>0.2</v>
      </c>
      <c r="AR35" s="842">
        <v>0</v>
      </c>
      <c r="AS35" s="843">
        <v>0</v>
      </c>
      <c r="AT35" s="844">
        <v>0.1</v>
      </c>
      <c r="AU35" s="824">
        <v>0.1</v>
      </c>
      <c r="AW35" s="834" t="s">
        <v>359</v>
      </c>
      <c r="AX35" s="835"/>
      <c r="AY35" s="841" t="s">
        <v>6</v>
      </c>
      <c r="AZ35" s="842">
        <v>0.2</v>
      </c>
      <c r="BA35" s="843">
        <v>0.2</v>
      </c>
      <c r="BB35" s="844">
        <v>0.2</v>
      </c>
      <c r="BC35" s="842">
        <v>0.2</v>
      </c>
      <c r="BD35" s="843">
        <v>0.2</v>
      </c>
      <c r="BE35" s="844">
        <v>0.2</v>
      </c>
      <c r="BF35" s="842">
        <v>0.2</v>
      </c>
      <c r="BG35" s="844">
        <v>0.2</v>
      </c>
      <c r="BH35" s="842">
        <v>0</v>
      </c>
      <c r="BI35" s="843">
        <v>0</v>
      </c>
      <c r="BJ35" s="844">
        <v>0.1</v>
      </c>
      <c r="BK35" s="824">
        <v>0.1</v>
      </c>
      <c r="BM35" s="834" t="s">
        <v>359</v>
      </c>
      <c r="BN35" s="835"/>
      <c r="BO35" s="841" t="s">
        <v>6</v>
      </c>
      <c r="BP35" s="842">
        <v>0.3</v>
      </c>
      <c r="BQ35" s="843">
        <v>0.3</v>
      </c>
      <c r="BR35" s="844">
        <v>0.3</v>
      </c>
      <c r="BS35" s="842">
        <v>0.3</v>
      </c>
      <c r="BT35" s="843">
        <v>0.3</v>
      </c>
      <c r="BU35" s="844">
        <v>0.3</v>
      </c>
      <c r="BV35" s="842">
        <v>0.3</v>
      </c>
      <c r="BW35" s="844">
        <v>0.3</v>
      </c>
      <c r="BX35" s="842">
        <v>0</v>
      </c>
      <c r="BY35" s="843">
        <v>0</v>
      </c>
      <c r="BZ35" s="844">
        <v>0.1</v>
      </c>
      <c r="CA35" s="824">
        <v>0.1</v>
      </c>
      <c r="CC35" s="834" t="s">
        <v>359</v>
      </c>
      <c r="CD35" s="835"/>
      <c r="CE35" s="841" t="s">
        <v>6</v>
      </c>
      <c r="CF35" s="842">
        <v>0.3</v>
      </c>
      <c r="CG35" s="843">
        <v>0.3</v>
      </c>
      <c r="CH35" s="844">
        <v>0.3</v>
      </c>
      <c r="CI35" s="842">
        <v>0.3</v>
      </c>
      <c r="CJ35" s="843">
        <v>0.3</v>
      </c>
      <c r="CK35" s="844">
        <v>0.3</v>
      </c>
      <c r="CL35" s="842">
        <v>0.3</v>
      </c>
      <c r="CM35" s="844">
        <v>0.3</v>
      </c>
      <c r="CN35" s="842">
        <v>0</v>
      </c>
      <c r="CO35" s="843">
        <v>0</v>
      </c>
      <c r="CP35" s="844">
        <v>0.1</v>
      </c>
      <c r="CQ35" s="824">
        <v>0.1</v>
      </c>
      <c r="CS35" s="834" t="s">
        <v>359</v>
      </c>
      <c r="CT35" s="835"/>
      <c r="CU35" s="841" t="s">
        <v>6</v>
      </c>
      <c r="CV35" s="842">
        <v>0.3</v>
      </c>
      <c r="CW35" s="843">
        <v>0.3</v>
      </c>
      <c r="CX35" s="844">
        <v>0.3</v>
      </c>
      <c r="CY35" s="842">
        <v>0.3</v>
      </c>
      <c r="CZ35" s="843">
        <v>0.3</v>
      </c>
      <c r="DA35" s="844">
        <v>0.3</v>
      </c>
      <c r="DB35" s="842">
        <v>0.3</v>
      </c>
      <c r="DC35" s="844">
        <v>0.3</v>
      </c>
      <c r="DD35" s="842">
        <v>0</v>
      </c>
      <c r="DE35" s="843">
        <v>0</v>
      </c>
      <c r="DF35" s="844">
        <v>0.1</v>
      </c>
      <c r="DG35" s="824">
        <v>0.2</v>
      </c>
      <c r="DI35" s="834" t="s">
        <v>359</v>
      </c>
      <c r="DJ35" s="835"/>
      <c r="DK35" s="841" t="s">
        <v>6</v>
      </c>
      <c r="DL35" s="842">
        <v>0.3</v>
      </c>
      <c r="DM35" s="843">
        <v>0.3</v>
      </c>
      <c r="DN35" s="844">
        <v>0.3</v>
      </c>
      <c r="DO35" s="842">
        <v>0.3</v>
      </c>
      <c r="DP35" s="843">
        <v>0.3</v>
      </c>
      <c r="DQ35" s="844">
        <v>0.3</v>
      </c>
      <c r="DR35" s="842">
        <v>0.3</v>
      </c>
      <c r="DS35" s="844">
        <v>0.3</v>
      </c>
      <c r="DT35" s="842">
        <v>0</v>
      </c>
      <c r="DU35" s="843">
        <v>0</v>
      </c>
      <c r="DV35" s="844">
        <v>0.2</v>
      </c>
      <c r="DW35" s="824">
        <v>0.2</v>
      </c>
      <c r="DY35" s="834" t="s">
        <v>359</v>
      </c>
      <c r="DZ35" s="835"/>
      <c r="EA35" s="841" t="s">
        <v>6</v>
      </c>
      <c r="EB35" s="842">
        <v>0.3</v>
      </c>
      <c r="EC35" s="843">
        <v>0.3</v>
      </c>
      <c r="ED35" s="844">
        <v>0.3</v>
      </c>
      <c r="EE35" s="842">
        <v>0.3</v>
      </c>
      <c r="EF35" s="843">
        <v>0.3</v>
      </c>
      <c r="EG35" s="844">
        <v>0.3</v>
      </c>
      <c r="EH35" s="842">
        <v>0.3</v>
      </c>
      <c r="EI35" s="844">
        <v>0.3</v>
      </c>
      <c r="EJ35" s="842">
        <v>0</v>
      </c>
      <c r="EK35" s="843">
        <v>0</v>
      </c>
      <c r="EL35" s="844">
        <v>0.2</v>
      </c>
      <c r="EM35" s="824">
        <v>0.2</v>
      </c>
    </row>
    <row r="36" spans="17:143" ht="13.5" customHeight="1">
      <c r="Q36" s="834" t="s">
        <v>360</v>
      </c>
      <c r="R36" s="835"/>
      <c r="S36" s="841" t="s">
        <v>6</v>
      </c>
      <c r="T36" s="842">
        <v>3</v>
      </c>
      <c r="U36" s="843">
        <v>3.2</v>
      </c>
      <c r="V36" s="844">
        <v>3.9</v>
      </c>
      <c r="W36" s="842">
        <v>2.9</v>
      </c>
      <c r="X36" s="843">
        <v>3</v>
      </c>
      <c r="Y36" s="844">
        <v>3.3</v>
      </c>
      <c r="Z36" s="842">
        <v>2.8</v>
      </c>
      <c r="AA36" s="844">
        <v>3.2</v>
      </c>
      <c r="AB36" s="842">
        <v>3</v>
      </c>
      <c r="AC36" s="843">
        <v>2.7</v>
      </c>
      <c r="AD36" s="844">
        <v>2.7</v>
      </c>
      <c r="AE36" s="824">
        <v>2.9</v>
      </c>
      <c r="AG36" s="834" t="s">
        <v>360</v>
      </c>
      <c r="AH36" s="835"/>
      <c r="AI36" s="841" t="s">
        <v>6</v>
      </c>
      <c r="AJ36" s="842">
        <v>2.8</v>
      </c>
      <c r="AK36" s="843">
        <v>3.1</v>
      </c>
      <c r="AL36" s="844">
        <v>3.7</v>
      </c>
      <c r="AM36" s="842">
        <v>2.7</v>
      </c>
      <c r="AN36" s="843">
        <v>2.8</v>
      </c>
      <c r="AO36" s="844">
        <v>3.2</v>
      </c>
      <c r="AP36" s="842">
        <v>2.6</v>
      </c>
      <c r="AQ36" s="844">
        <v>3</v>
      </c>
      <c r="AR36" s="842">
        <v>2.8</v>
      </c>
      <c r="AS36" s="843">
        <v>2.6</v>
      </c>
      <c r="AT36" s="844">
        <v>2.5</v>
      </c>
      <c r="AU36" s="824">
        <v>2.8</v>
      </c>
      <c r="AW36" s="834" t="s">
        <v>360</v>
      </c>
      <c r="AX36" s="835"/>
      <c r="AY36" s="841" t="s">
        <v>6</v>
      </c>
      <c r="AZ36" s="842">
        <v>2.6</v>
      </c>
      <c r="BA36" s="843">
        <v>2.9</v>
      </c>
      <c r="BB36" s="844">
        <v>3.5</v>
      </c>
      <c r="BC36" s="842">
        <v>2.5</v>
      </c>
      <c r="BD36" s="843">
        <v>2.6</v>
      </c>
      <c r="BE36" s="844">
        <v>2.9</v>
      </c>
      <c r="BF36" s="842">
        <v>2.4</v>
      </c>
      <c r="BG36" s="844">
        <v>2.8</v>
      </c>
      <c r="BH36" s="842">
        <v>2.6</v>
      </c>
      <c r="BI36" s="843">
        <v>2.4</v>
      </c>
      <c r="BJ36" s="844">
        <v>2.4</v>
      </c>
      <c r="BK36" s="824">
        <v>2.6</v>
      </c>
      <c r="BM36" s="834" t="s">
        <v>360</v>
      </c>
      <c r="BN36" s="835"/>
      <c r="BO36" s="841" t="s">
        <v>6</v>
      </c>
      <c r="BP36" s="842">
        <v>2.4</v>
      </c>
      <c r="BQ36" s="843">
        <v>2.7</v>
      </c>
      <c r="BR36" s="844">
        <v>3.2</v>
      </c>
      <c r="BS36" s="842">
        <v>2.2999999999999998</v>
      </c>
      <c r="BT36" s="843">
        <v>2.4</v>
      </c>
      <c r="BU36" s="844">
        <v>2.7</v>
      </c>
      <c r="BV36" s="842">
        <v>2.2999999999999998</v>
      </c>
      <c r="BW36" s="844">
        <v>2.6</v>
      </c>
      <c r="BX36" s="842">
        <v>2.4</v>
      </c>
      <c r="BY36" s="843">
        <v>2.2000000000000002</v>
      </c>
      <c r="BZ36" s="844">
        <v>2.2000000000000002</v>
      </c>
      <c r="CA36" s="824">
        <v>2.4</v>
      </c>
      <c r="CC36" s="834" t="s">
        <v>360</v>
      </c>
      <c r="CD36" s="835"/>
      <c r="CE36" s="841" t="s">
        <v>6</v>
      </c>
      <c r="CF36" s="842">
        <v>2.2000000000000002</v>
      </c>
      <c r="CG36" s="843">
        <v>2.6</v>
      </c>
      <c r="CH36" s="844">
        <v>3</v>
      </c>
      <c r="CI36" s="842">
        <v>2.1</v>
      </c>
      <c r="CJ36" s="843">
        <v>2.2999999999999998</v>
      </c>
      <c r="CK36" s="844">
        <v>2.5</v>
      </c>
      <c r="CL36" s="842">
        <v>2.1</v>
      </c>
      <c r="CM36" s="844">
        <v>2.4</v>
      </c>
      <c r="CN36" s="842">
        <v>2.2000000000000002</v>
      </c>
      <c r="CO36" s="843">
        <v>2</v>
      </c>
      <c r="CP36" s="844">
        <v>2</v>
      </c>
      <c r="CQ36" s="824">
        <v>2.2000000000000002</v>
      </c>
      <c r="CS36" s="834" t="s">
        <v>360</v>
      </c>
      <c r="CT36" s="835"/>
      <c r="CU36" s="841" t="s">
        <v>6</v>
      </c>
      <c r="CV36" s="842">
        <v>2.1</v>
      </c>
      <c r="CW36" s="843">
        <v>2.5</v>
      </c>
      <c r="CX36" s="844">
        <v>2.8</v>
      </c>
      <c r="CY36" s="842">
        <v>2</v>
      </c>
      <c r="CZ36" s="843">
        <v>2.2000000000000002</v>
      </c>
      <c r="DA36" s="844">
        <v>2.4</v>
      </c>
      <c r="DB36" s="842">
        <v>2</v>
      </c>
      <c r="DC36" s="844">
        <v>2.2999999999999998</v>
      </c>
      <c r="DD36" s="842">
        <v>2.1</v>
      </c>
      <c r="DE36" s="843">
        <v>1.9</v>
      </c>
      <c r="DF36" s="844">
        <v>1.9</v>
      </c>
      <c r="DG36" s="824">
        <v>2.1</v>
      </c>
      <c r="DI36" s="834" t="s">
        <v>360</v>
      </c>
      <c r="DJ36" s="835"/>
      <c r="DK36" s="841" t="s">
        <v>6</v>
      </c>
      <c r="DL36" s="842">
        <v>2</v>
      </c>
      <c r="DM36" s="843">
        <v>2.4</v>
      </c>
      <c r="DN36" s="844">
        <v>2.7</v>
      </c>
      <c r="DO36" s="842">
        <v>1.9</v>
      </c>
      <c r="DP36" s="843">
        <v>2.1</v>
      </c>
      <c r="DQ36" s="844">
        <v>2.2999999999999998</v>
      </c>
      <c r="DR36" s="842">
        <v>1.9</v>
      </c>
      <c r="DS36" s="844">
        <v>2.2000000000000002</v>
      </c>
      <c r="DT36" s="842">
        <v>2</v>
      </c>
      <c r="DU36" s="843">
        <v>1.9</v>
      </c>
      <c r="DV36" s="844">
        <v>1.8</v>
      </c>
      <c r="DW36" s="824">
        <v>2</v>
      </c>
      <c r="DY36" s="834" t="s">
        <v>360</v>
      </c>
      <c r="DZ36" s="835"/>
      <c r="EA36" s="841" t="s">
        <v>6</v>
      </c>
      <c r="EB36" s="842">
        <v>1.9</v>
      </c>
      <c r="EC36" s="843">
        <v>2.2999999999999998</v>
      </c>
      <c r="ED36" s="844">
        <v>2.7</v>
      </c>
      <c r="EE36" s="842">
        <v>1.9</v>
      </c>
      <c r="EF36" s="843">
        <v>2.1</v>
      </c>
      <c r="EG36" s="844">
        <v>2.2999999999999998</v>
      </c>
      <c r="EH36" s="842">
        <v>1.9</v>
      </c>
      <c r="EI36" s="844">
        <v>2.1</v>
      </c>
      <c r="EJ36" s="842">
        <v>1.9</v>
      </c>
      <c r="EK36" s="843">
        <v>1.8</v>
      </c>
      <c r="EL36" s="844">
        <v>1.8</v>
      </c>
      <c r="EM36" s="824">
        <v>2</v>
      </c>
    </row>
    <row r="37" spans="17:143" ht="13.5" customHeight="1">
      <c r="Q37" s="834" t="s">
        <v>361</v>
      </c>
      <c r="R37" s="819"/>
      <c r="S37" s="845" t="s">
        <v>6</v>
      </c>
      <c r="T37" s="846">
        <v>-4.5</v>
      </c>
      <c r="U37" s="847">
        <v>-4.9000000000000004</v>
      </c>
      <c r="V37" s="848">
        <v>-5.9</v>
      </c>
      <c r="W37" s="846">
        <v>-4.4000000000000004</v>
      </c>
      <c r="X37" s="847">
        <v>-4.5</v>
      </c>
      <c r="Y37" s="848">
        <v>-5.0999999999999996</v>
      </c>
      <c r="Z37" s="846">
        <v>-4.2</v>
      </c>
      <c r="AA37" s="848">
        <v>-4.9000000000000004</v>
      </c>
      <c r="AB37" s="846">
        <v>-4.5</v>
      </c>
      <c r="AC37" s="847">
        <v>-4.2</v>
      </c>
      <c r="AD37" s="848">
        <v>-4.0999999999999996</v>
      </c>
      <c r="AE37" s="849">
        <v>-4.5</v>
      </c>
      <c r="AG37" s="834" t="s">
        <v>361</v>
      </c>
      <c r="AH37" s="819"/>
      <c r="AI37" s="845" t="s">
        <v>6</v>
      </c>
      <c r="AJ37" s="846">
        <v>-3.9</v>
      </c>
      <c r="AK37" s="847">
        <v>-4.4000000000000004</v>
      </c>
      <c r="AL37" s="848">
        <v>-5.2</v>
      </c>
      <c r="AM37" s="846">
        <v>-3.9</v>
      </c>
      <c r="AN37" s="847">
        <v>-4</v>
      </c>
      <c r="AO37" s="848">
        <v>-4.5</v>
      </c>
      <c r="AP37" s="846">
        <v>-3.7</v>
      </c>
      <c r="AQ37" s="848">
        <v>-4.3</v>
      </c>
      <c r="AR37" s="846">
        <v>-4</v>
      </c>
      <c r="AS37" s="847">
        <v>-3.6</v>
      </c>
      <c r="AT37" s="848">
        <v>-3.6</v>
      </c>
      <c r="AU37" s="849">
        <v>-3.9</v>
      </c>
      <c r="AW37" s="834" t="s">
        <v>361</v>
      </c>
      <c r="AX37" s="819"/>
      <c r="AY37" s="845" t="s">
        <v>6</v>
      </c>
      <c r="AZ37" s="846">
        <v>-3.3</v>
      </c>
      <c r="BA37" s="847">
        <v>-3.8</v>
      </c>
      <c r="BB37" s="848">
        <v>-4.5</v>
      </c>
      <c r="BC37" s="846">
        <v>-3.3</v>
      </c>
      <c r="BD37" s="847">
        <v>-3.4</v>
      </c>
      <c r="BE37" s="848">
        <v>-3.8</v>
      </c>
      <c r="BF37" s="846">
        <v>-3.1</v>
      </c>
      <c r="BG37" s="848">
        <v>-3.6</v>
      </c>
      <c r="BH37" s="846">
        <v>-3.4</v>
      </c>
      <c r="BI37" s="847">
        <v>-3.1</v>
      </c>
      <c r="BJ37" s="848">
        <v>-3</v>
      </c>
      <c r="BK37" s="849">
        <v>-3.3</v>
      </c>
      <c r="BM37" s="834" t="s">
        <v>361</v>
      </c>
      <c r="BN37" s="819"/>
      <c r="BO37" s="845" t="s">
        <v>6</v>
      </c>
      <c r="BP37" s="846">
        <v>-2.4</v>
      </c>
      <c r="BQ37" s="847">
        <v>-2.8</v>
      </c>
      <c r="BR37" s="848">
        <v>-3.4</v>
      </c>
      <c r="BS37" s="846">
        <v>-2.4</v>
      </c>
      <c r="BT37" s="847">
        <v>-2.5</v>
      </c>
      <c r="BU37" s="848">
        <v>-2.8</v>
      </c>
      <c r="BV37" s="846">
        <v>-2.2999999999999998</v>
      </c>
      <c r="BW37" s="848">
        <v>-2.7</v>
      </c>
      <c r="BX37" s="846">
        <v>-2.4</v>
      </c>
      <c r="BY37" s="847">
        <v>-2.2000000000000002</v>
      </c>
      <c r="BZ37" s="848">
        <v>-2.2000000000000002</v>
      </c>
      <c r="CA37" s="849">
        <v>-2.4</v>
      </c>
      <c r="CC37" s="834" t="s">
        <v>361</v>
      </c>
      <c r="CD37" s="819"/>
      <c r="CE37" s="845" t="s">
        <v>6</v>
      </c>
      <c r="CF37" s="846">
        <v>-1.7</v>
      </c>
      <c r="CG37" s="847">
        <v>-2.1</v>
      </c>
      <c r="CH37" s="848">
        <v>-2.5</v>
      </c>
      <c r="CI37" s="846">
        <v>-1.6</v>
      </c>
      <c r="CJ37" s="847">
        <v>-1.8</v>
      </c>
      <c r="CK37" s="848">
        <v>-2</v>
      </c>
      <c r="CL37" s="846">
        <v>-1.6</v>
      </c>
      <c r="CM37" s="848">
        <v>-1.9</v>
      </c>
      <c r="CN37" s="846">
        <v>-1.7</v>
      </c>
      <c r="CO37" s="847">
        <v>-1.5</v>
      </c>
      <c r="CP37" s="848">
        <v>-1.5</v>
      </c>
      <c r="CQ37" s="849">
        <v>-1.7</v>
      </c>
      <c r="CS37" s="834" t="s">
        <v>361</v>
      </c>
      <c r="CT37" s="819"/>
      <c r="CU37" s="845" t="s">
        <v>6</v>
      </c>
      <c r="CV37" s="846">
        <v>-1.4</v>
      </c>
      <c r="CW37" s="847">
        <v>-1.8</v>
      </c>
      <c r="CX37" s="848">
        <v>-2.1</v>
      </c>
      <c r="CY37" s="846">
        <v>-1.4</v>
      </c>
      <c r="CZ37" s="847">
        <v>-1.5</v>
      </c>
      <c r="DA37" s="848">
        <v>-1.7</v>
      </c>
      <c r="DB37" s="846">
        <v>-1.4</v>
      </c>
      <c r="DC37" s="848">
        <v>-1.6</v>
      </c>
      <c r="DD37" s="846">
        <v>-1.4</v>
      </c>
      <c r="DE37" s="847">
        <v>-1.3</v>
      </c>
      <c r="DF37" s="848">
        <v>-1.3</v>
      </c>
      <c r="DG37" s="849">
        <v>-1.4</v>
      </c>
      <c r="DI37" s="834" t="s">
        <v>361</v>
      </c>
      <c r="DJ37" s="819"/>
      <c r="DK37" s="845" t="s">
        <v>6</v>
      </c>
      <c r="DL37" s="846">
        <v>-1.2</v>
      </c>
      <c r="DM37" s="847">
        <v>-1.6</v>
      </c>
      <c r="DN37" s="848">
        <v>-1.9</v>
      </c>
      <c r="DO37" s="846">
        <v>-1.2</v>
      </c>
      <c r="DP37" s="847">
        <v>-1.3</v>
      </c>
      <c r="DQ37" s="848">
        <v>-1.5</v>
      </c>
      <c r="DR37" s="846">
        <v>-1.2</v>
      </c>
      <c r="DS37" s="848">
        <v>-1.4</v>
      </c>
      <c r="DT37" s="846">
        <v>-1.2</v>
      </c>
      <c r="DU37" s="847">
        <v>-1.1000000000000001</v>
      </c>
      <c r="DV37" s="848">
        <v>-1.1000000000000001</v>
      </c>
      <c r="DW37" s="849">
        <v>-1.2</v>
      </c>
      <c r="DY37" s="834" t="s">
        <v>361</v>
      </c>
      <c r="DZ37" s="819"/>
      <c r="EA37" s="845" t="s">
        <v>6</v>
      </c>
      <c r="EB37" s="846">
        <v>-1</v>
      </c>
      <c r="EC37" s="847">
        <v>-1.4</v>
      </c>
      <c r="ED37" s="848">
        <v>-1.6</v>
      </c>
      <c r="EE37" s="846">
        <v>-1</v>
      </c>
      <c r="EF37" s="847">
        <v>-1.2</v>
      </c>
      <c r="EG37" s="848">
        <v>-1.3</v>
      </c>
      <c r="EH37" s="846">
        <v>-1</v>
      </c>
      <c r="EI37" s="848">
        <v>-1.2</v>
      </c>
      <c r="EJ37" s="846">
        <v>-1</v>
      </c>
      <c r="EK37" s="847">
        <v>-1</v>
      </c>
      <c r="EL37" s="848">
        <v>-0.9</v>
      </c>
      <c r="EM37" s="849">
        <v>-1.1000000000000001</v>
      </c>
    </row>
    <row r="38" spans="17:143" ht="13.5" customHeight="1" thickBot="1">
      <c r="Q38" s="850" t="s">
        <v>77</v>
      </c>
      <c r="R38" s="851"/>
      <c r="S38" s="852"/>
      <c r="T38" s="853">
        <v>6.1</v>
      </c>
      <c r="U38" s="854">
        <v>72.5</v>
      </c>
      <c r="V38" s="855">
        <v>25.1</v>
      </c>
      <c r="W38" s="853">
        <v>4.7</v>
      </c>
      <c r="X38" s="854">
        <v>34.799999999999997</v>
      </c>
      <c r="Y38" s="855">
        <v>19.100000000000001</v>
      </c>
      <c r="Z38" s="856">
        <v>16.2</v>
      </c>
      <c r="AA38" s="857">
        <v>16.2</v>
      </c>
      <c r="AB38" s="853">
        <v>2.1</v>
      </c>
      <c r="AC38" s="854">
        <v>3</v>
      </c>
      <c r="AD38" s="855">
        <v>0.8</v>
      </c>
      <c r="AE38" s="858">
        <v>11.3</v>
      </c>
      <c r="AG38" s="850" t="s">
        <v>77</v>
      </c>
      <c r="AH38" s="851"/>
      <c r="AI38" s="852"/>
      <c r="AJ38" s="853">
        <v>4.3</v>
      </c>
      <c r="AK38" s="854">
        <v>83.4</v>
      </c>
      <c r="AL38" s="855">
        <v>27.4</v>
      </c>
      <c r="AM38" s="853">
        <v>5</v>
      </c>
      <c r="AN38" s="854">
        <v>37.799999999999997</v>
      </c>
      <c r="AO38" s="855">
        <v>20.9</v>
      </c>
      <c r="AP38" s="856">
        <v>17.3</v>
      </c>
      <c r="AQ38" s="857">
        <v>16.899999999999999</v>
      </c>
      <c r="AR38" s="853">
        <v>2.9</v>
      </c>
      <c r="AS38" s="854">
        <v>3.1</v>
      </c>
      <c r="AT38" s="855">
        <v>1.1000000000000001</v>
      </c>
      <c r="AU38" s="858">
        <v>12.4</v>
      </c>
      <c r="AW38" s="850" t="s">
        <v>77</v>
      </c>
      <c r="AX38" s="851"/>
      <c r="AY38" s="852"/>
      <c r="AZ38" s="853">
        <v>5.6</v>
      </c>
      <c r="BA38" s="854">
        <v>97.6</v>
      </c>
      <c r="BB38" s="855">
        <v>30.8</v>
      </c>
      <c r="BC38" s="853">
        <v>6.3</v>
      </c>
      <c r="BD38" s="854">
        <v>43.6</v>
      </c>
      <c r="BE38" s="855">
        <v>24.5</v>
      </c>
      <c r="BF38" s="856">
        <v>20.5</v>
      </c>
      <c r="BG38" s="857">
        <v>19.2</v>
      </c>
      <c r="BH38" s="853">
        <v>4</v>
      </c>
      <c r="BI38" s="854">
        <v>3.8</v>
      </c>
      <c r="BJ38" s="855">
        <v>1.7</v>
      </c>
      <c r="BK38" s="858">
        <v>14.6</v>
      </c>
      <c r="BM38" s="850" t="s">
        <v>77</v>
      </c>
      <c r="BN38" s="851"/>
      <c r="BO38" s="852"/>
      <c r="BP38" s="853">
        <v>6.1</v>
      </c>
      <c r="BQ38" s="854">
        <v>115.2</v>
      </c>
      <c r="BR38" s="855">
        <v>35.1</v>
      </c>
      <c r="BS38" s="853">
        <v>8.6999999999999993</v>
      </c>
      <c r="BT38" s="854">
        <v>50.6</v>
      </c>
      <c r="BU38" s="855">
        <v>28.4</v>
      </c>
      <c r="BV38" s="856">
        <v>24.1</v>
      </c>
      <c r="BW38" s="857">
        <v>21.7</v>
      </c>
      <c r="BX38" s="853">
        <v>6.2</v>
      </c>
      <c r="BY38" s="854">
        <v>5</v>
      </c>
      <c r="BZ38" s="855">
        <v>6.7</v>
      </c>
      <c r="CA38" s="858">
        <v>17.899999999999999</v>
      </c>
      <c r="CC38" s="850" t="s">
        <v>77</v>
      </c>
      <c r="CD38" s="851"/>
      <c r="CE38" s="852"/>
      <c r="CF38" s="853">
        <v>8.5</v>
      </c>
      <c r="CG38" s="854">
        <v>135.6</v>
      </c>
      <c r="CH38" s="855">
        <v>39.5</v>
      </c>
      <c r="CI38" s="853">
        <v>11.4</v>
      </c>
      <c r="CJ38" s="854">
        <v>59.3</v>
      </c>
      <c r="CK38" s="855">
        <v>32.4</v>
      </c>
      <c r="CL38" s="856">
        <v>28.4</v>
      </c>
      <c r="CM38" s="857">
        <v>24.1</v>
      </c>
      <c r="CN38" s="853">
        <v>9.1</v>
      </c>
      <c r="CO38" s="854">
        <v>6.3</v>
      </c>
      <c r="CP38" s="855">
        <v>3.5</v>
      </c>
      <c r="CQ38" s="858">
        <v>20.6</v>
      </c>
      <c r="CS38" s="850" t="s">
        <v>77</v>
      </c>
      <c r="CT38" s="851"/>
      <c r="CU38" s="852"/>
      <c r="CV38" s="853">
        <v>11.1</v>
      </c>
      <c r="CW38" s="854">
        <v>150.4</v>
      </c>
      <c r="CX38" s="855">
        <v>43.7</v>
      </c>
      <c r="CY38" s="853">
        <v>14.1</v>
      </c>
      <c r="CZ38" s="854">
        <v>69.2</v>
      </c>
      <c r="DA38" s="855">
        <v>36.4</v>
      </c>
      <c r="DB38" s="856">
        <v>32.299999999999997</v>
      </c>
      <c r="DC38" s="857">
        <v>26.2</v>
      </c>
      <c r="DD38" s="853">
        <v>11.5</v>
      </c>
      <c r="DE38" s="854">
        <v>7.2</v>
      </c>
      <c r="DF38" s="855">
        <v>8.1</v>
      </c>
      <c r="DG38" s="858">
        <v>24</v>
      </c>
      <c r="DI38" s="850" t="s">
        <v>77</v>
      </c>
      <c r="DJ38" s="851"/>
      <c r="DK38" s="852"/>
      <c r="DL38" s="853">
        <v>13.1</v>
      </c>
      <c r="DM38" s="854">
        <v>166</v>
      </c>
      <c r="DN38" s="855">
        <v>47.7</v>
      </c>
      <c r="DO38" s="853">
        <v>16.7</v>
      </c>
      <c r="DP38" s="854">
        <v>78.8</v>
      </c>
      <c r="DQ38" s="855">
        <v>40.6</v>
      </c>
      <c r="DR38" s="856">
        <v>36.6</v>
      </c>
      <c r="DS38" s="857">
        <v>28.1</v>
      </c>
      <c r="DT38" s="853">
        <v>14</v>
      </c>
      <c r="DU38" s="854">
        <v>8.1999999999999993</v>
      </c>
      <c r="DV38" s="855">
        <v>4.3</v>
      </c>
      <c r="DW38" s="858">
        <v>26.3</v>
      </c>
      <c r="DY38" s="850" t="s">
        <v>77</v>
      </c>
      <c r="DZ38" s="851"/>
      <c r="EA38" s="852"/>
      <c r="EB38" s="853">
        <v>15.2</v>
      </c>
      <c r="EC38" s="854">
        <v>181</v>
      </c>
      <c r="ED38" s="855">
        <v>51.2</v>
      </c>
      <c r="EE38" s="853">
        <v>19.5</v>
      </c>
      <c r="EF38" s="854">
        <v>86.2</v>
      </c>
      <c r="EG38" s="855">
        <v>44.6</v>
      </c>
      <c r="EH38" s="856">
        <v>41</v>
      </c>
      <c r="EI38" s="857">
        <v>29.9</v>
      </c>
      <c r="EJ38" s="853">
        <v>16.399999999999999</v>
      </c>
      <c r="EK38" s="854">
        <v>9.1999999999999993</v>
      </c>
      <c r="EL38" s="855">
        <v>10.4</v>
      </c>
      <c r="EM38" s="858">
        <v>29.8</v>
      </c>
    </row>
    <row r="39" spans="17:143" ht="13.5" customHeight="1" thickTop="1" thickBot="1"/>
    <row r="40" spans="17:143" ht="13.5" customHeight="1" thickTop="1" thickBot="1">
      <c r="Q40" s="809" t="s">
        <v>808</v>
      </c>
      <c r="R40" s="810"/>
      <c r="S40" s="810"/>
      <c r="T40" s="810">
        <v>2015</v>
      </c>
      <c r="U40" s="810" t="s">
        <v>820</v>
      </c>
      <c r="V40" s="810"/>
      <c r="W40" s="810"/>
      <c r="X40" s="810"/>
      <c r="Y40" s="810"/>
      <c r="Z40" s="810"/>
      <c r="AA40" s="810"/>
      <c r="AB40" s="810"/>
      <c r="AC40" s="810"/>
      <c r="AD40" s="811"/>
      <c r="AE40" s="812"/>
      <c r="AG40" s="809" t="s">
        <v>808</v>
      </c>
      <c r="AH40" s="810"/>
      <c r="AI40" s="810"/>
      <c r="AJ40" s="810">
        <v>2020</v>
      </c>
      <c r="AK40" s="810" t="s">
        <v>820</v>
      </c>
      <c r="AL40" s="810"/>
      <c r="AM40" s="810"/>
      <c r="AN40" s="810"/>
      <c r="AO40" s="810"/>
      <c r="AP40" s="810"/>
      <c r="AQ40" s="810"/>
      <c r="AR40" s="810"/>
      <c r="AS40" s="810"/>
      <c r="AT40" s="811"/>
      <c r="AU40" s="812"/>
      <c r="AW40" s="809" t="s">
        <v>808</v>
      </c>
      <c r="AX40" s="810"/>
      <c r="AY40" s="810"/>
      <c r="AZ40" s="810">
        <v>2025</v>
      </c>
      <c r="BA40" s="810" t="s">
        <v>820</v>
      </c>
      <c r="BB40" s="810"/>
      <c r="BC40" s="810"/>
      <c r="BD40" s="810"/>
      <c r="BE40" s="810"/>
      <c r="BF40" s="810"/>
      <c r="BG40" s="810"/>
      <c r="BH40" s="810"/>
      <c r="BI40" s="810"/>
      <c r="BJ40" s="811"/>
      <c r="BK40" s="812"/>
      <c r="BM40" s="809" t="s">
        <v>808</v>
      </c>
      <c r="BN40" s="810"/>
      <c r="BO40" s="810"/>
      <c r="BP40" s="810">
        <v>2030</v>
      </c>
      <c r="BQ40" s="810" t="s">
        <v>820</v>
      </c>
      <c r="BR40" s="810"/>
      <c r="BS40" s="810"/>
      <c r="BT40" s="810"/>
      <c r="BU40" s="810"/>
      <c r="BV40" s="810"/>
      <c r="BW40" s="810"/>
      <c r="BX40" s="810"/>
      <c r="BY40" s="810"/>
      <c r="BZ40" s="811"/>
      <c r="CA40" s="812"/>
      <c r="CC40" s="809" t="s">
        <v>808</v>
      </c>
      <c r="CD40" s="810"/>
      <c r="CE40" s="810"/>
      <c r="CF40" s="810">
        <v>2035</v>
      </c>
      <c r="CG40" s="810" t="s">
        <v>820</v>
      </c>
      <c r="CH40" s="810"/>
      <c r="CI40" s="810"/>
      <c r="CJ40" s="810"/>
      <c r="CK40" s="810"/>
      <c r="CL40" s="810"/>
      <c r="CM40" s="810"/>
      <c r="CN40" s="810"/>
      <c r="CO40" s="810"/>
      <c r="CP40" s="811"/>
      <c r="CQ40" s="812"/>
      <c r="CS40" s="809" t="s">
        <v>808</v>
      </c>
      <c r="CT40" s="810"/>
      <c r="CU40" s="810"/>
      <c r="CV40" s="810">
        <v>2040</v>
      </c>
      <c r="CW40" s="810" t="s">
        <v>820</v>
      </c>
      <c r="CX40" s="810"/>
      <c r="CY40" s="810"/>
      <c r="CZ40" s="810"/>
      <c r="DA40" s="810"/>
      <c r="DB40" s="810"/>
      <c r="DC40" s="810"/>
      <c r="DD40" s="810"/>
      <c r="DE40" s="810"/>
      <c r="DF40" s="811"/>
      <c r="DG40" s="812"/>
      <c r="DI40" s="809" t="s">
        <v>808</v>
      </c>
      <c r="DJ40" s="810"/>
      <c r="DK40" s="810"/>
      <c r="DL40" s="810">
        <v>2045</v>
      </c>
      <c r="DM40" s="810" t="s">
        <v>820</v>
      </c>
      <c r="DN40" s="810"/>
      <c r="DO40" s="810"/>
      <c r="DP40" s="810"/>
      <c r="DQ40" s="810"/>
      <c r="DR40" s="810"/>
      <c r="DS40" s="810"/>
      <c r="DT40" s="810"/>
      <c r="DU40" s="810"/>
      <c r="DV40" s="811"/>
      <c r="DW40" s="812"/>
      <c r="DY40" s="809" t="s">
        <v>808</v>
      </c>
      <c r="DZ40" s="810"/>
      <c r="EA40" s="810"/>
      <c r="EB40" s="810">
        <v>2050</v>
      </c>
      <c r="EC40" s="810" t="s">
        <v>820</v>
      </c>
      <c r="ED40" s="810"/>
      <c r="EE40" s="810"/>
      <c r="EF40" s="810"/>
      <c r="EG40" s="810"/>
      <c r="EH40" s="810"/>
      <c r="EI40" s="810"/>
      <c r="EJ40" s="810"/>
      <c r="EK40" s="810"/>
      <c r="EL40" s="811"/>
      <c r="EM40" s="812"/>
    </row>
    <row r="41" spans="17:143" ht="13.5" customHeight="1" thickTop="1">
      <c r="Q41" s="813"/>
      <c r="R41" s="814"/>
      <c r="S41" s="1090" t="s">
        <v>810</v>
      </c>
      <c r="T41" s="1084" t="s">
        <v>811</v>
      </c>
      <c r="U41" s="1085"/>
      <c r="V41" s="1086"/>
      <c r="W41" s="1084" t="s">
        <v>812</v>
      </c>
      <c r="X41" s="1085"/>
      <c r="Y41" s="1086"/>
      <c r="Z41" s="1079" t="s">
        <v>813</v>
      </c>
      <c r="AA41" s="1080"/>
      <c r="AB41" s="1084" t="s">
        <v>814</v>
      </c>
      <c r="AC41" s="1085"/>
      <c r="AD41" s="1086"/>
      <c r="AE41" s="1078" t="s">
        <v>815</v>
      </c>
      <c r="AG41" s="813"/>
      <c r="AH41" s="814"/>
      <c r="AI41" s="1090" t="s">
        <v>810</v>
      </c>
      <c r="AJ41" s="1084" t="s">
        <v>811</v>
      </c>
      <c r="AK41" s="1085"/>
      <c r="AL41" s="1086"/>
      <c r="AM41" s="1084" t="s">
        <v>812</v>
      </c>
      <c r="AN41" s="1085"/>
      <c r="AO41" s="1086"/>
      <c r="AP41" s="1079" t="s">
        <v>813</v>
      </c>
      <c r="AQ41" s="1080"/>
      <c r="AR41" s="1084" t="s">
        <v>814</v>
      </c>
      <c r="AS41" s="1085"/>
      <c r="AT41" s="1086"/>
      <c r="AU41" s="1078" t="s">
        <v>815</v>
      </c>
      <c r="AW41" s="813"/>
      <c r="AX41" s="814"/>
      <c r="AY41" s="1090" t="s">
        <v>810</v>
      </c>
      <c r="AZ41" s="1084" t="s">
        <v>811</v>
      </c>
      <c r="BA41" s="1085"/>
      <c r="BB41" s="1086"/>
      <c r="BC41" s="1084" t="s">
        <v>812</v>
      </c>
      <c r="BD41" s="1085"/>
      <c r="BE41" s="1086"/>
      <c r="BF41" s="1079" t="s">
        <v>813</v>
      </c>
      <c r="BG41" s="1080"/>
      <c r="BH41" s="1084" t="s">
        <v>814</v>
      </c>
      <c r="BI41" s="1085"/>
      <c r="BJ41" s="1086"/>
      <c r="BK41" s="1078" t="s">
        <v>815</v>
      </c>
      <c r="BM41" s="813"/>
      <c r="BN41" s="814"/>
      <c r="BO41" s="1090" t="s">
        <v>810</v>
      </c>
      <c r="BP41" s="1084" t="s">
        <v>811</v>
      </c>
      <c r="BQ41" s="1085"/>
      <c r="BR41" s="1086"/>
      <c r="BS41" s="1084" t="s">
        <v>812</v>
      </c>
      <c r="BT41" s="1085"/>
      <c r="BU41" s="1086"/>
      <c r="BV41" s="1079" t="s">
        <v>813</v>
      </c>
      <c r="BW41" s="1080"/>
      <c r="BX41" s="1084" t="s">
        <v>814</v>
      </c>
      <c r="BY41" s="1085"/>
      <c r="BZ41" s="1086"/>
      <c r="CA41" s="1078" t="s">
        <v>815</v>
      </c>
      <c r="CC41" s="813"/>
      <c r="CD41" s="814"/>
      <c r="CE41" s="1090" t="s">
        <v>810</v>
      </c>
      <c r="CF41" s="1084" t="s">
        <v>811</v>
      </c>
      <c r="CG41" s="1085"/>
      <c r="CH41" s="1086"/>
      <c r="CI41" s="1084" t="s">
        <v>812</v>
      </c>
      <c r="CJ41" s="1085"/>
      <c r="CK41" s="1086"/>
      <c r="CL41" s="1079" t="s">
        <v>813</v>
      </c>
      <c r="CM41" s="1080"/>
      <c r="CN41" s="1084" t="s">
        <v>814</v>
      </c>
      <c r="CO41" s="1085"/>
      <c r="CP41" s="1086"/>
      <c r="CQ41" s="1078" t="s">
        <v>815</v>
      </c>
      <c r="CS41" s="813"/>
      <c r="CT41" s="814"/>
      <c r="CU41" s="1090" t="s">
        <v>810</v>
      </c>
      <c r="CV41" s="1084" t="s">
        <v>811</v>
      </c>
      <c r="CW41" s="1085"/>
      <c r="CX41" s="1086"/>
      <c r="CY41" s="1084" t="s">
        <v>812</v>
      </c>
      <c r="CZ41" s="1085"/>
      <c r="DA41" s="1086"/>
      <c r="DB41" s="1079" t="s">
        <v>813</v>
      </c>
      <c r="DC41" s="1080"/>
      <c r="DD41" s="1084" t="s">
        <v>814</v>
      </c>
      <c r="DE41" s="1085"/>
      <c r="DF41" s="1086"/>
      <c r="DG41" s="1078" t="s">
        <v>815</v>
      </c>
      <c r="DI41" s="813"/>
      <c r="DJ41" s="814"/>
      <c r="DK41" s="1090" t="s">
        <v>810</v>
      </c>
      <c r="DL41" s="1084" t="s">
        <v>811</v>
      </c>
      <c r="DM41" s="1085"/>
      <c r="DN41" s="1086"/>
      <c r="DO41" s="1084" t="s">
        <v>812</v>
      </c>
      <c r="DP41" s="1085"/>
      <c r="DQ41" s="1086"/>
      <c r="DR41" s="1079" t="s">
        <v>813</v>
      </c>
      <c r="DS41" s="1080"/>
      <c r="DT41" s="1084" t="s">
        <v>814</v>
      </c>
      <c r="DU41" s="1085"/>
      <c r="DV41" s="1086"/>
      <c r="DW41" s="1078" t="s">
        <v>815</v>
      </c>
      <c r="DY41" s="813"/>
      <c r="DZ41" s="814"/>
      <c r="EA41" s="1090" t="s">
        <v>810</v>
      </c>
      <c r="EB41" s="1084" t="s">
        <v>811</v>
      </c>
      <c r="EC41" s="1085"/>
      <c r="ED41" s="1086"/>
      <c r="EE41" s="1084" t="s">
        <v>812</v>
      </c>
      <c r="EF41" s="1085"/>
      <c r="EG41" s="1086"/>
      <c r="EH41" s="1079" t="s">
        <v>813</v>
      </c>
      <c r="EI41" s="1080"/>
      <c r="EJ41" s="1084" t="s">
        <v>814</v>
      </c>
      <c r="EK41" s="1085"/>
      <c r="EL41" s="1086"/>
      <c r="EM41" s="1078" t="s">
        <v>815</v>
      </c>
    </row>
    <row r="42" spans="17:143" ht="13.5" customHeight="1" thickBot="1">
      <c r="Q42" s="815" t="s">
        <v>816</v>
      </c>
      <c r="R42" s="816"/>
      <c r="S42" s="1082"/>
      <c r="T42" s="817" t="s">
        <v>817</v>
      </c>
      <c r="U42" s="818" t="s">
        <v>818</v>
      </c>
      <c r="V42" s="1082" t="s">
        <v>819</v>
      </c>
      <c r="W42" s="817" t="s">
        <v>817</v>
      </c>
      <c r="X42" s="818" t="s">
        <v>818</v>
      </c>
      <c r="Y42" s="1082" t="s">
        <v>819</v>
      </c>
      <c r="Z42" s="817" t="s">
        <v>818</v>
      </c>
      <c r="AA42" s="1082" t="s">
        <v>819</v>
      </c>
      <c r="AB42" s="817" t="s">
        <v>817</v>
      </c>
      <c r="AC42" s="818" t="s">
        <v>818</v>
      </c>
      <c r="AD42" s="1082" t="s">
        <v>819</v>
      </c>
      <c r="AE42" s="1081"/>
      <c r="AG42" s="815" t="s">
        <v>816</v>
      </c>
      <c r="AH42" s="816"/>
      <c r="AI42" s="1082"/>
      <c r="AJ42" s="817" t="s">
        <v>817</v>
      </c>
      <c r="AK42" s="818" t="s">
        <v>818</v>
      </c>
      <c r="AL42" s="1082" t="s">
        <v>819</v>
      </c>
      <c r="AM42" s="817" t="s">
        <v>817</v>
      </c>
      <c r="AN42" s="818" t="s">
        <v>818</v>
      </c>
      <c r="AO42" s="1082" t="s">
        <v>819</v>
      </c>
      <c r="AP42" s="817" t="s">
        <v>818</v>
      </c>
      <c r="AQ42" s="1082" t="s">
        <v>819</v>
      </c>
      <c r="AR42" s="817" t="s">
        <v>817</v>
      </c>
      <c r="AS42" s="818" t="s">
        <v>818</v>
      </c>
      <c r="AT42" s="1082" t="s">
        <v>819</v>
      </c>
      <c r="AU42" s="1081"/>
      <c r="AW42" s="815" t="s">
        <v>816</v>
      </c>
      <c r="AX42" s="816"/>
      <c r="AY42" s="1082"/>
      <c r="AZ42" s="817" t="s">
        <v>817</v>
      </c>
      <c r="BA42" s="818" t="s">
        <v>818</v>
      </c>
      <c r="BB42" s="1082" t="s">
        <v>819</v>
      </c>
      <c r="BC42" s="817" t="s">
        <v>817</v>
      </c>
      <c r="BD42" s="818" t="s">
        <v>818</v>
      </c>
      <c r="BE42" s="1082" t="s">
        <v>819</v>
      </c>
      <c r="BF42" s="817" t="s">
        <v>818</v>
      </c>
      <c r="BG42" s="1082" t="s">
        <v>819</v>
      </c>
      <c r="BH42" s="817" t="s">
        <v>817</v>
      </c>
      <c r="BI42" s="818" t="s">
        <v>818</v>
      </c>
      <c r="BJ42" s="1082" t="s">
        <v>819</v>
      </c>
      <c r="BK42" s="1081"/>
      <c r="BM42" s="815" t="s">
        <v>816</v>
      </c>
      <c r="BN42" s="816"/>
      <c r="BO42" s="1082"/>
      <c r="BP42" s="817" t="s">
        <v>817</v>
      </c>
      <c r="BQ42" s="818" t="s">
        <v>818</v>
      </c>
      <c r="BR42" s="1082" t="s">
        <v>819</v>
      </c>
      <c r="BS42" s="817" t="s">
        <v>817</v>
      </c>
      <c r="BT42" s="818" t="s">
        <v>818</v>
      </c>
      <c r="BU42" s="1082" t="s">
        <v>819</v>
      </c>
      <c r="BV42" s="817" t="s">
        <v>818</v>
      </c>
      <c r="BW42" s="1082" t="s">
        <v>819</v>
      </c>
      <c r="BX42" s="817" t="s">
        <v>817</v>
      </c>
      <c r="BY42" s="818" t="s">
        <v>818</v>
      </c>
      <c r="BZ42" s="1082" t="s">
        <v>819</v>
      </c>
      <c r="CA42" s="1081"/>
      <c r="CC42" s="815" t="s">
        <v>816</v>
      </c>
      <c r="CD42" s="816"/>
      <c r="CE42" s="1082"/>
      <c r="CF42" s="817" t="s">
        <v>817</v>
      </c>
      <c r="CG42" s="818" t="s">
        <v>818</v>
      </c>
      <c r="CH42" s="1082" t="s">
        <v>819</v>
      </c>
      <c r="CI42" s="817" t="s">
        <v>817</v>
      </c>
      <c r="CJ42" s="818" t="s">
        <v>818</v>
      </c>
      <c r="CK42" s="1082" t="s">
        <v>819</v>
      </c>
      <c r="CL42" s="817" t="s">
        <v>818</v>
      </c>
      <c r="CM42" s="1082" t="s">
        <v>819</v>
      </c>
      <c r="CN42" s="817" t="s">
        <v>817</v>
      </c>
      <c r="CO42" s="818" t="s">
        <v>818</v>
      </c>
      <c r="CP42" s="1082" t="s">
        <v>819</v>
      </c>
      <c r="CQ42" s="1081"/>
      <c r="CS42" s="815" t="s">
        <v>816</v>
      </c>
      <c r="CT42" s="816"/>
      <c r="CU42" s="1082"/>
      <c r="CV42" s="817" t="s">
        <v>817</v>
      </c>
      <c r="CW42" s="818" t="s">
        <v>818</v>
      </c>
      <c r="CX42" s="1082" t="s">
        <v>819</v>
      </c>
      <c r="CY42" s="817" t="s">
        <v>817</v>
      </c>
      <c r="CZ42" s="818" t="s">
        <v>818</v>
      </c>
      <c r="DA42" s="1082" t="s">
        <v>819</v>
      </c>
      <c r="DB42" s="817" t="s">
        <v>818</v>
      </c>
      <c r="DC42" s="1082" t="s">
        <v>819</v>
      </c>
      <c r="DD42" s="817" t="s">
        <v>817</v>
      </c>
      <c r="DE42" s="818" t="s">
        <v>818</v>
      </c>
      <c r="DF42" s="1082" t="s">
        <v>819</v>
      </c>
      <c r="DG42" s="1081"/>
      <c r="DI42" s="815" t="s">
        <v>816</v>
      </c>
      <c r="DJ42" s="816"/>
      <c r="DK42" s="1082"/>
      <c r="DL42" s="817" t="s">
        <v>817</v>
      </c>
      <c r="DM42" s="818" t="s">
        <v>818</v>
      </c>
      <c r="DN42" s="1082" t="s">
        <v>819</v>
      </c>
      <c r="DO42" s="817" t="s">
        <v>817</v>
      </c>
      <c r="DP42" s="818" t="s">
        <v>818</v>
      </c>
      <c r="DQ42" s="1082" t="s">
        <v>819</v>
      </c>
      <c r="DR42" s="817" t="s">
        <v>818</v>
      </c>
      <c r="DS42" s="1082" t="s">
        <v>819</v>
      </c>
      <c r="DT42" s="817" t="s">
        <v>817</v>
      </c>
      <c r="DU42" s="818" t="s">
        <v>818</v>
      </c>
      <c r="DV42" s="1082" t="s">
        <v>819</v>
      </c>
      <c r="DW42" s="1081"/>
      <c r="DY42" s="815" t="s">
        <v>816</v>
      </c>
      <c r="DZ42" s="816"/>
      <c r="EA42" s="1082"/>
      <c r="EB42" s="817" t="s">
        <v>817</v>
      </c>
      <c r="EC42" s="818" t="s">
        <v>818</v>
      </c>
      <c r="ED42" s="1082" t="s">
        <v>819</v>
      </c>
      <c r="EE42" s="817" t="s">
        <v>817</v>
      </c>
      <c r="EF42" s="818" t="s">
        <v>818</v>
      </c>
      <c r="EG42" s="1082" t="s">
        <v>819</v>
      </c>
      <c r="EH42" s="817" t="s">
        <v>818</v>
      </c>
      <c r="EI42" s="1082" t="s">
        <v>819</v>
      </c>
      <c r="EJ42" s="817" t="s">
        <v>817</v>
      </c>
      <c r="EK42" s="818" t="s">
        <v>818</v>
      </c>
      <c r="EL42" s="1082" t="s">
        <v>819</v>
      </c>
      <c r="EM42" s="1081"/>
    </row>
    <row r="43" spans="17:143" ht="13.5" customHeight="1" thickTop="1">
      <c r="Q43" s="1083" t="s">
        <v>355</v>
      </c>
      <c r="R43" s="819"/>
      <c r="S43" s="820">
        <v>1</v>
      </c>
      <c r="T43" s="821">
        <v>0</v>
      </c>
      <c r="U43" s="822">
        <v>1.1000000000000001</v>
      </c>
      <c r="V43" s="823">
        <v>6.5</v>
      </c>
      <c r="W43" s="821">
        <v>0</v>
      </c>
      <c r="X43" s="822">
        <v>1</v>
      </c>
      <c r="Y43" s="823">
        <v>2.1</v>
      </c>
      <c r="Z43" s="821">
        <v>0.6</v>
      </c>
      <c r="AA43" s="823">
        <v>2.2000000000000002</v>
      </c>
      <c r="AB43" s="821">
        <v>0</v>
      </c>
      <c r="AC43" s="822">
        <v>0.6</v>
      </c>
      <c r="AD43" s="823">
        <v>0.5</v>
      </c>
      <c r="AE43" s="824">
        <v>1.1000000000000001</v>
      </c>
      <c r="AG43" s="1083" t="s">
        <v>355</v>
      </c>
      <c r="AH43" s="819"/>
      <c r="AI43" s="820">
        <v>1</v>
      </c>
      <c r="AJ43" s="821">
        <v>0</v>
      </c>
      <c r="AK43" s="822">
        <v>1.2</v>
      </c>
      <c r="AL43" s="823">
        <v>7.3</v>
      </c>
      <c r="AM43" s="821">
        <v>0</v>
      </c>
      <c r="AN43" s="822">
        <v>1.1000000000000001</v>
      </c>
      <c r="AO43" s="823">
        <v>2.2000000000000002</v>
      </c>
      <c r="AP43" s="821">
        <v>0.7</v>
      </c>
      <c r="AQ43" s="823">
        <v>2.2999999999999998</v>
      </c>
      <c r="AR43" s="821">
        <v>0</v>
      </c>
      <c r="AS43" s="822">
        <v>0.6</v>
      </c>
      <c r="AT43" s="823">
        <v>0.6</v>
      </c>
      <c r="AU43" s="824">
        <v>1.2</v>
      </c>
      <c r="AW43" s="1083" t="s">
        <v>355</v>
      </c>
      <c r="AX43" s="819"/>
      <c r="AY43" s="820">
        <v>1</v>
      </c>
      <c r="AZ43" s="821">
        <v>0</v>
      </c>
      <c r="BA43" s="822">
        <v>1.1000000000000001</v>
      </c>
      <c r="BB43" s="823">
        <v>6.9</v>
      </c>
      <c r="BC43" s="821">
        <v>0</v>
      </c>
      <c r="BD43" s="822">
        <v>1</v>
      </c>
      <c r="BE43" s="823">
        <v>2.2999999999999998</v>
      </c>
      <c r="BF43" s="821">
        <v>0.7</v>
      </c>
      <c r="BG43" s="823">
        <v>2.5</v>
      </c>
      <c r="BH43" s="821">
        <v>0</v>
      </c>
      <c r="BI43" s="822">
        <v>0.6</v>
      </c>
      <c r="BJ43" s="823">
        <v>0.6</v>
      </c>
      <c r="BK43" s="824">
        <v>1.2</v>
      </c>
      <c r="BM43" s="1083" t="s">
        <v>355</v>
      </c>
      <c r="BN43" s="819"/>
      <c r="BO43" s="820">
        <v>1</v>
      </c>
      <c r="BP43" s="821">
        <v>0</v>
      </c>
      <c r="BQ43" s="822">
        <v>1.2</v>
      </c>
      <c r="BR43" s="823">
        <v>7.6</v>
      </c>
      <c r="BS43" s="821">
        <v>0</v>
      </c>
      <c r="BT43" s="822">
        <v>1</v>
      </c>
      <c r="BU43" s="823">
        <v>2.2999999999999998</v>
      </c>
      <c r="BV43" s="821">
        <v>0.6</v>
      </c>
      <c r="BW43" s="823">
        <v>2.6</v>
      </c>
      <c r="BX43" s="821">
        <v>0</v>
      </c>
      <c r="BY43" s="822">
        <v>0.6</v>
      </c>
      <c r="BZ43" s="823">
        <v>0.6</v>
      </c>
      <c r="CA43" s="824">
        <v>1.3</v>
      </c>
      <c r="CC43" s="1083" t="s">
        <v>355</v>
      </c>
      <c r="CD43" s="819"/>
      <c r="CE43" s="820">
        <v>1</v>
      </c>
      <c r="CF43" s="821">
        <v>0</v>
      </c>
      <c r="CG43" s="822">
        <v>1.3</v>
      </c>
      <c r="CH43" s="823">
        <v>8.3000000000000007</v>
      </c>
      <c r="CI43" s="821">
        <v>0.1</v>
      </c>
      <c r="CJ43" s="822">
        <v>1.1000000000000001</v>
      </c>
      <c r="CK43" s="823">
        <v>2.5</v>
      </c>
      <c r="CL43" s="821">
        <v>0.7</v>
      </c>
      <c r="CM43" s="823">
        <v>2.7</v>
      </c>
      <c r="CN43" s="821">
        <v>0</v>
      </c>
      <c r="CO43" s="822">
        <v>0.7</v>
      </c>
      <c r="CP43" s="823">
        <v>0.7</v>
      </c>
      <c r="CQ43" s="824">
        <v>1.4</v>
      </c>
      <c r="CS43" s="1083" t="s">
        <v>355</v>
      </c>
      <c r="CT43" s="819"/>
      <c r="CU43" s="820">
        <v>1</v>
      </c>
      <c r="CV43" s="821">
        <v>0.1</v>
      </c>
      <c r="CW43" s="822">
        <v>1.2</v>
      </c>
      <c r="CX43" s="823">
        <v>9</v>
      </c>
      <c r="CY43" s="821">
        <v>0.1</v>
      </c>
      <c r="CZ43" s="822">
        <v>1.2</v>
      </c>
      <c r="DA43" s="823">
        <v>2.7</v>
      </c>
      <c r="DB43" s="821">
        <v>0.8</v>
      </c>
      <c r="DC43" s="823">
        <v>2.8</v>
      </c>
      <c r="DD43" s="821">
        <v>0.1</v>
      </c>
      <c r="DE43" s="822">
        <v>0.8</v>
      </c>
      <c r="DF43" s="823">
        <v>0.8</v>
      </c>
      <c r="DG43" s="824">
        <v>1.5</v>
      </c>
      <c r="DI43" s="1083" t="s">
        <v>355</v>
      </c>
      <c r="DJ43" s="819"/>
      <c r="DK43" s="820">
        <v>1</v>
      </c>
      <c r="DL43" s="821">
        <v>0.1</v>
      </c>
      <c r="DM43" s="822">
        <v>1.3</v>
      </c>
      <c r="DN43" s="823">
        <v>9.6999999999999993</v>
      </c>
      <c r="DO43" s="821">
        <v>0.1</v>
      </c>
      <c r="DP43" s="822">
        <v>1.3</v>
      </c>
      <c r="DQ43" s="823">
        <v>2.9</v>
      </c>
      <c r="DR43" s="821">
        <v>0.8</v>
      </c>
      <c r="DS43" s="823">
        <v>2.9</v>
      </c>
      <c r="DT43" s="821">
        <v>0.1</v>
      </c>
      <c r="DU43" s="822">
        <v>0.9</v>
      </c>
      <c r="DV43" s="823">
        <v>0.8</v>
      </c>
      <c r="DW43" s="824">
        <v>1.6</v>
      </c>
      <c r="DY43" s="1083" t="s">
        <v>355</v>
      </c>
      <c r="DZ43" s="819"/>
      <c r="EA43" s="820">
        <v>1</v>
      </c>
      <c r="EB43" s="821">
        <v>0.1</v>
      </c>
      <c r="EC43" s="822">
        <v>1.4</v>
      </c>
      <c r="ED43" s="823">
        <v>10.4</v>
      </c>
      <c r="EE43" s="821">
        <v>0.1</v>
      </c>
      <c r="EF43" s="822">
        <v>1.2</v>
      </c>
      <c r="EG43" s="823">
        <v>3</v>
      </c>
      <c r="EH43" s="821">
        <v>0.8</v>
      </c>
      <c r="EI43" s="823">
        <v>3</v>
      </c>
      <c r="EJ43" s="821">
        <v>0.1</v>
      </c>
      <c r="EK43" s="822">
        <v>0.9</v>
      </c>
      <c r="EL43" s="823">
        <v>0.9</v>
      </c>
      <c r="EM43" s="824">
        <v>1.7</v>
      </c>
    </row>
    <row r="44" spans="17:143" ht="13.5" customHeight="1">
      <c r="Q44" s="1083"/>
      <c r="R44" s="819"/>
      <c r="S44" s="820">
        <v>2</v>
      </c>
      <c r="T44" s="821">
        <v>0.1</v>
      </c>
      <c r="U44" s="822">
        <v>3.3</v>
      </c>
      <c r="V44" s="823">
        <v>21.2</v>
      </c>
      <c r="W44" s="821">
        <v>0.1</v>
      </c>
      <c r="X44" s="822">
        <v>3</v>
      </c>
      <c r="Y44" s="823">
        <v>8.5</v>
      </c>
      <c r="Z44" s="821">
        <v>1.8</v>
      </c>
      <c r="AA44" s="823">
        <v>8.5</v>
      </c>
      <c r="AB44" s="821">
        <v>0.1</v>
      </c>
      <c r="AC44" s="822">
        <v>1.6</v>
      </c>
      <c r="AD44" s="823">
        <v>3</v>
      </c>
      <c r="AE44" s="824">
        <v>2.9</v>
      </c>
      <c r="AG44" s="1083"/>
      <c r="AH44" s="819"/>
      <c r="AI44" s="820">
        <v>2</v>
      </c>
      <c r="AJ44" s="821">
        <v>0.1</v>
      </c>
      <c r="AK44" s="822">
        <v>3.4</v>
      </c>
      <c r="AL44" s="823">
        <v>23.7</v>
      </c>
      <c r="AM44" s="821">
        <v>0.1</v>
      </c>
      <c r="AN44" s="822">
        <v>3.1</v>
      </c>
      <c r="AO44" s="823">
        <v>8.9</v>
      </c>
      <c r="AP44" s="821">
        <v>1.9</v>
      </c>
      <c r="AQ44" s="823">
        <v>9</v>
      </c>
      <c r="AR44" s="821">
        <v>0.1</v>
      </c>
      <c r="AS44" s="822">
        <v>1.6</v>
      </c>
      <c r="AT44" s="823">
        <v>3.2</v>
      </c>
      <c r="AU44" s="824">
        <v>3</v>
      </c>
      <c r="AW44" s="1083"/>
      <c r="AX44" s="819"/>
      <c r="AY44" s="820">
        <v>2</v>
      </c>
      <c r="AZ44" s="821">
        <v>0.1</v>
      </c>
      <c r="BA44" s="822">
        <v>3.6</v>
      </c>
      <c r="BB44" s="823">
        <v>22.4</v>
      </c>
      <c r="BC44" s="821">
        <v>0.1</v>
      </c>
      <c r="BD44" s="822">
        <v>3.2</v>
      </c>
      <c r="BE44" s="823">
        <v>9.1999999999999993</v>
      </c>
      <c r="BF44" s="821">
        <v>2</v>
      </c>
      <c r="BG44" s="823">
        <v>9.5</v>
      </c>
      <c r="BH44" s="821">
        <v>0.1</v>
      </c>
      <c r="BI44" s="822">
        <v>1.6</v>
      </c>
      <c r="BJ44" s="823">
        <v>3.3</v>
      </c>
      <c r="BK44" s="824">
        <v>3.1</v>
      </c>
      <c r="BM44" s="1083"/>
      <c r="BN44" s="819"/>
      <c r="BO44" s="820">
        <v>2</v>
      </c>
      <c r="BP44" s="821">
        <v>0.1</v>
      </c>
      <c r="BQ44" s="822">
        <v>3.8</v>
      </c>
      <c r="BR44" s="823">
        <v>23.6</v>
      </c>
      <c r="BS44" s="821">
        <v>0.2</v>
      </c>
      <c r="BT44" s="822">
        <v>3.4</v>
      </c>
      <c r="BU44" s="823">
        <v>9.5</v>
      </c>
      <c r="BV44" s="821">
        <v>2.1</v>
      </c>
      <c r="BW44" s="823">
        <v>10</v>
      </c>
      <c r="BX44" s="821">
        <v>0.1</v>
      </c>
      <c r="BY44" s="822">
        <v>1.8</v>
      </c>
      <c r="BZ44" s="823">
        <v>3.4</v>
      </c>
      <c r="CA44" s="824">
        <v>3.4</v>
      </c>
      <c r="CC44" s="1083"/>
      <c r="CD44" s="819"/>
      <c r="CE44" s="820">
        <v>2</v>
      </c>
      <c r="CF44" s="821">
        <v>0.2</v>
      </c>
      <c r="CG44" s="822">
        <v>4</v>
      </c>
      <c r="CH44" s="823">
        <v>25.8</v>
      </c>
      <c r="CI44" s="821">
        <v>0.2</v>
      </c>
      <c r="CJ44" s="822">
        <v>3.6</v>
      </c>
      <c r="CK44" s="823">
        <v>10.1</v>
      </c>
      <c r="CL44" s="821">
        <v>2.2000000000000002</v>
      </c>
      <c r="CM44" s="823">
        <v>10.3</v>
      </c>
      <c r="CN44" s="821">
        <v>0.2</v>
      </c>
      <c r="CO44" s="822">
        <v>2</v>
      </c>
      <c r="CP44" s="823">
        <v>3.7</v>
      </c>
      <c r="CQ44" s="824">
        <v>3.8</v>
      </c>
      <c r="CS44" s="1083"/>
      <c r="CT44" s="819"/>
      <c r="CU44" s="820">
        <v>2</v>
      </c>
      <c r="CV44" s="821">
        <v>0.2</v>
      </c>
      <c r="CW44" s="822">
        <v>4</v>
      </c>
      <c r="CX44" s="823">
        <v>27.2</v>
      </c>
      <c r="CY44" s="821">
        <v>0.2</v>
      </c>
      <c r="CZ44" s="822">
        <v>3.9</v>
      </c>
      <c r="DA44" s="823">
        <v>10.6</v>
      </c>
      <c r="DB44" s="821">
        <v>2.4</v>
      </c>
      <c r="DC44" s="823">
        <v>10.8</v>
      </c>
      <c r="DD44" s="821">
        <v>0.2</v>
      </c>
      <c r="DE44" s="822">
        <v>2.1</v>
      </c>
      <c r="DF44" s="823">
        <v>4.0999999999999996</v>
      </c>
      <c r="DG44" s="824">
        <v>4.0999999999999996</v>
      </c>
      <c r="DI44" s="1083"/>
      <c r="DJ44" s="819"/>
      <c r="DK44" s="820">
        <v>2</v>
      </c>
      <c r="DL44" s="821">
        <v>0.2</v>
      </c>
      <c r="DM44" s="822">
        <v>4.3</v>
      </c>
      <c r="DN44" s="823">
        <v>28.3</v>
      </c>
      <c r="DO44" s="821">
        <v>0.3</v>
      </c>
      <c r="DP44" s="822">
        <v>4.0999999999999996</v>
      </c>
      <c r="DQ44" s="823">
        <v>11.3</v>
      </c>
      <c r="DR44" s="821">
        <v>2.5</v>
      </c>
      <c r="DS44" s="823">
        <v>11.3</v>
      </c>
      <c r="DT44" s="821">
        <v>0.2</v>
      </c>
      <c r="DU44" s="822">
        <v>2.2999999999999998</v>
      </c>
      <c r="DV44" s="823">
        <v>4.4000000000000004</v>
      </c>
      <c r="DW44" s="824">
        <v>4.4000000000000004</v>
      </c>
      <c r="DY44" s="1083"/>
      <c r="DZ44" s="819"/>
      <c r="EA44" s="820">
        <v>2</v>
      </c>
      <c r="EB44" s="821">
        <v>0.2</v>
      </c>
      <c r="EC44" s="822">
        <v>4.5</v>
      </c>
      <c r="ED44" s="823">
        <v>28.7</v>
      </c>
      <c r="EE44" s="821">
        <v>0.3</v>
      </c>
      <c r="EF44" s="822">
        <v>4.2</v>
      </c>
      <c r="EG44" s="823">
        <v>12.1</v>
      </c>
      <c r="EH44" s="821">
        <v>2.6</v>
      </c>
      <c r="EI44" s="823">
        <v>11.8</v>
      </c>
      <c r="EJ44" s="821">
        <v>0.2</v>
      </c>
      <c r="EK44" s="822">
        <v>2.5</v>
      </c>
      <c r="EL44" s="823">
        <v>4.5999999999999996</v>
      </c>
      <c r="EM44" s="824">
        <v>4.7</v>
      </c>
    </row>
    <row r="45" spans="17:143" ht="13.5" customHeight="1">
      <c r="Q45" s="1083"/>
      <c r="R45" s="819"/>
      <c r="S45" s="820">
        <v>3</v>
      </c>
      <c r="T45" s="821">
        <v>2.8</v>
      </c>
      <c r="U45" s="822">
        <v>28.8</v>
      </c>
      <c r="V45" s="823">
        <v>40.700000000000003</v>
      </c>
      <c r="W45" s="821">
        <v>3.4</v>
      </c>
      <c r="X45" s="822">
        <v>24.3</v>
      </c>
      <c r="Y45" s="823">
        <v>19.3</v>
      </c>
      <c r="Z45" s="821">
        <v>10.3</v>
      </c>
      <c r="AA45" s="823">
        <v>20</v>
      </c>
      <c r="AB45" s="821">
        <v>3.1</v>
      </c>
      <c r="AC45" s="822">
        <v>4.4000000000000004</v>
      </c>
      <c r="AD45" s="823">
        <v>8.6</v>
      </c>
      <c r="AE45" s="824">
        <v>9.6999999999999993</v>
      </c>
      <c r="AG45" s="1083"/>
      <c r="AH45" s="819"/>
      <c r="AI45" s="820">
        <v>3</v>
      </c>
      <c r="AJ45" s="821">
        <v>3.4</v>
      </c>
      <c r="AK45" s="822">
        <v>26.2</v>
      </c>
      <c r="AL45" s="823">
        <v>41.6</v>
      </c>
      <c r="AM45" s="821">
        <v>3.9</v>
      </c>
      <c r="AN45" s="822">
        <v>23.6</v>
      </c>
      <c r="AO45" s="823">
        <v>19.899999999999999</v>
      </c>
      <c r="AP45" s="821">
        <v>10.199999999999999</v>
      </c>
      <c r="AQ45" s="823">
        <v>20.9</v>
      </c>
      <c r="AR45" s="821">
        <v>3</v>
      </c>
      <c r="AS45" s="822">
        <v>4.9000000000000004</v>
      </c>
      <c r="AT45" s="823">
        <v>8.9</v>
      </c>
      <c r="AU45" s="824">
        <v>9.8000000000000007</v>
      </c>
      <c r="AW45" s="1083"/>
      <c r="AX45" s="819"/>
      <c r="AY45" s="820">
        <v>3</v>
      </c>
      <c r="AZ45" s="821">
        <v>4.2</v>
      </c>
      <c r="BA45" s="822">
        <v>29.5</v>
      </c>
      <c r="BB45" s="823">
        <v>44.9</v>
      </c>
      <c r="BC45" s="821">
        <v>4</v>
      </c>
      <c r="BD45" s="822">
        <v>25.7</v>
      </c>
      <c r="BE45" s="823">
        <v>20.6</v>
      </c>
      <c r="BF45" s="821">
        <v>11.4</v>
      </c>
      <c r="BG45" s="823">
        <v>21.6</v>
      </c>
      <c r="BH45" s="821">
        <v>3.4</v>
      </c>
      <c r="BI45" s="822">
        <v>5.0999999999999996</v>
      </c>
      <c r="BJ45" s="823">
        <v>9.5</v>
      </c>
      <c r="BK45" s="824">
        <v>10.5</v>
      </c>
      <c r="BM45" s="1083"/>
      <c r="BN45" s="819"/>
      <c r="BO45" s="820">
        <v>3</v>
      </c>
      <c r="BP45" s="821">
        <v>4.2</v>
      </c>
      <c r="BQ45" s="822">
        <v>32.200000000000003</v>
      </c>
      <c r="BR45" s="823">
        <v>46.5</v>
      </c>
      <c r="BS45" s="821">
        <v>5.0999999999999996</v>
      </c>
      <c r="BT45" s="822">
        <v>27.6</v>
      </c>
      <c r="BU45" s="823">
        <v>22.2</v>
      </c>
      <c r="BV45" s="821">
        <v>12.4</v>
      </c>
      <c r="BW45" s="823">
        <v>22.6</v>
      </c>
      <c r="BX45" s="821">
        <v>4.5</v>
      </c>
      <c r="BY45" s="822">
        <v>5.4</v>
      </c>
      <c r="BZ45" s="823">
        <v>182.6</v>
      </c>
      <c r="CA45" s="824">
        <v>13.9</v>
      </c>
      <c r="CC45" s="1083"/>
      <c r="CD45" s="819"/>
      <c r="CE45" s="820">
        <v>3</v>
      </c>
      <c r="CF45" s="821">
        <v>4.9000000000000004</v>
      </c>
      <c r="CG45" s="822">
        <v>34</v>
      </c>
      <c r="CH45" s="823">
        <v>48.9</v>
      </c>
      <c r="CI45" s="821">
        <v>6.1</v>
      </c>
      <c r="CJ45" s="822">
        <v>28</v>
      </c>
      <c r="CK45" s="823">
        <v>23.3</v>
      </c>
      <c r="CL45" s="821">
        <v>13.5</v>
      </c>
      <c r="CM45" s="823">
        <v>23.9</v>
      </c>
      <c r="CN45" s="821">
        <v>6.3</v>
      </c>
      <c r="CO45" s="822">
        <v>5.8</v>
      </c>
      <c r="CP45" s="823">
        <v>10.6</v>
      </c>
      <c r="CQ45" s="824">
        <v>12.5</v>
      </c>
      <c r="CS45" s="1083"/>
      <c r="CT45" s="819"/>
      <c r="CU45" s="820">
        <v>3</v>
      </c>
      <c r="CV45" s="821">
        <v>7</v>
      </c>
      <c r="CW45" s="822">
        <v>35.9</v>
      </c>
      <c r="CX45" s="823">
        <v>51.5</v>
      </c>
      <c r="CY45" s="821">
        <v>7.1</v>
      </c>
      <c r="CZ45" s="822">
        <v>31.7</v>
      </c>
      <c r="DA45" s="823">
        <v>24.3</v>
      </c>
      <c r="DB45" s="821">
        <v>14.9</v>
      </c>
      <c r="DC45" s="823">
        <v>25.2</v>
      </c>
      <c r="DD45" s="821">
        <v>7.7</v>
      </c>
      <c r="DE45" s="822">
        <v>6.1</v>
      </c>
      <c r="DF45" s="823">
        <v>148.69999999999999</v>
      </c>
      <c r="DG45" s="824">
        <v>16.2</v>
      </c>
      <c r="DI45" s="1083"/>
      <c r="DJ45" s="819"/>
      <c r="DK45" s="820">
        <v>3</v>
      </c>
      <c r="DL45" s="821">
        <v>7.4</v>
      </c>
      <c r="DM45" s="822">
        <v>38.5</v>
      </c>
      <c r="DN45" s="823">
        <v>53.3</v>
      </c>
      <c r="DO45" s="821">
        <v>8.1</v>
      </c>
      <c r="DP45" s="822">
        <v>32.1</v>
      </c>
      <c r="DQ45" s="823">
        <v>25.8</v>
      </c>
      <c r="DR45" s="821">
        <v>16.2</v>
      </c>
      <c r="DS45" s="823">
        <v>26.6</v>
      </c>
      <c r="DT45" s="821">
        <v>8.9</v>
      </c>
      <c r="DU45" s="822">
        <v>6.4</v>
      </c>
      <c r="DV45" s="823">
        <v>11.7</v>
      </c>
      <c r="DW45" s="824">
        <v>14.8</v>
      </c>
      <c r="DY45" s="1083"/>
      <c r="DZ45" s="819"/>
      <c r="EA45" s="820">
        <v>3</v>
      </c>
      <c r="EB45" s="821">
        <v>8.5</v>
      </c>
      <c r="EC45" s="822">
        <v>40</v>
      </c>
      <c r="ED45" s="823">
        <v>54.7</v>
      </c>
      <c r="EE45" s="821">
        <v>9.3000000000000007</v>
      </c>
      <c r="EF45" s="822">
        <v>33.5</v>
      </c>
      <c r="EG45" s="823">
        <v>27.1</v>
      </c>
      <c r="EH45" s="821">
        <v>17</v>
      </c>
      <c r="EI45" s="823">
        <v>28.1</v>
      </c>
      <c r="EJ45" s="821">
        <v>9.8000000000000007</v>
      </c>
      <c r="EK45" s="822">
        <v>6.7</v>
      </c>
      <c r="EL45" s="823">
        <v>166.7</v>
      </c>
      <c r="EM45" s="824">
        <v>19</v>
      </c>
    </row>
    <row r="46" spans="17:143" ht="13.5" customHeight="1">
      <c r="Q46" s="1083"/>
      <c r="R46" s="819"/>
      <c r="S46" s="820">
        <v>4</v>
      </c>
      <c r="T46" s="821">
        <v>24.2</v>
      </c>
      <c r="U46" s="822">
        <v>98.9</v>
      </c>
      <c r="V46" s="823">
        <v>99.2</v>
      </c>
      <c r="W46" s="821">
        <v>25.4</v>
      </c>
      <c r="X46" s="822">
        <v>90.1</v>
      </c>
      <c r="Y46" s="823">
        <v>85.4</v>
      </c>
      <c r="Z46" s="821">
        <v>40.4</v>
      </c>
      <c r="AA46" s="823">
        <v>118.6</v>
      </c>
      <c r="AB46" s="821">
        <v>23.2</v>
      </c>
      <c r="AC46" s="822">
        <v>42.4</v>
      </c>
      <c r="AD46" s="823">
        <v>46.7</v>
      </c>
      <c r="AE46" s="824">
        <v>55.5</v>
      </c>
      <c r="AG46" s="1083"/>
      <c r="AH46" s="819"/>
      <c r="AI46" s="820">
        <v>4</v>
      </c>
      <c r="AJ46" s="821">
        <v>24.9</v>
      </c>
      <c r="AK46" s="822">
        <v>98.5</v>
      </c>
      <c r="AL46" s="823">
        <v>104.9</v>
      </c>
      <c r="AM46" s="821">
        <v>25.8</v>
      </c>
      <c r="AN46" s="822">
        <v>92.2</v>
      </c>
      <c r="AO46" s="823">
        <v>89.6</v>
      </c>
      <c r="AP46" s="821">
        <v>42.8</v>
      </c>
      <c r="AQ46" s="823">
        <v>123.5</v>
      </c>
      <c r="AR46" s="821">
        <v>24.2</v>
      </c>
      <c r="AS46" s="822">
        <v>51.7</v>
      </c>
      <c r="AT46" s="823">
        <v>45.3</v>
      </c>
      <c r="AU46" s="824">
        <v>57.2</v>
      </c>
      <c r="AW46" s="1083"/>
      <c r="AX46" s="819"/>
      <c r="AY46" s="820">
        <v>4</v>
      </c>
      <c r="AZ46" s="821">
        <v>28.9</v>
      </c>
      <c r="BA46" s="822">
        <v>105.5</v>
      </c>
      <c r="BB46" s="823">
        <v>109.5</v>
      </c>
      <c r="BC46" s="821">
        <v>26.9</v>
      </c>
      <c r="BD46" s="822">
        <v>94.7</v>
      </c>
      <c r="BE46" s="823">
        <v>92</v>
      </c>
      <c r="BF46" s="821">
        <v>43.6</v>
      </c>
      <c r="BG46" s="823">
        <v>125.9</v>
      </c>
      <c r="BH46" s="821">
        <v>25.6</v>
      </c>
      <c r="BI46" s="822">
        <v>54.3</v>
      </c>
      <c r="BJ46" s="823">
        <v>45.4</v>
      </c>
      <c r="BK46" s="824">
        <v>59.4</v>
      </c>
      <c r="BM46" s="1083"/>
      <c r="BN46" s="819"/>
      <c r="BO46" s="820">
        <v>4</v>
      </c>
      <c r="BP46" s="821">
        <v>22.1</v>
      </c>
      <c r="BQ46" s="822">
        <v>111.1</v>
      </c>
      <c r="BR46" s="823">
        <v>112.5</v>
      </c>
      <c r="BS46" s="821">
        <v>30.3</v>
      </c>
      <c r="BT46" s="822">
        <v>102.8</v>
      </c>
      <c r="BU46" s="823">
        <v>103.3</v>
      </c>
      <c r="BV46" s="821">
        <v>46.2</v>
      </c>
      <c r="BW46" s="823">
        <v>134.80000000000001</v>
      </c>
      <c r="BX46" s="821">
        <v>28.2</v>
      </c>
      <c r="BY46" s="822">
        <v>52</v>
      </c>
      <c r="BZ46" s="823">
        <v>44.6</v>
      </c>
      <c r="CA46" s="824">
        <v>62.6</v>
      </c>
      <c r="CC46" s="1083"/>
      <c r="CD46" s="819"/>
      <c r="CE46" s="820">
        <v>4</v>
      </c>
      <c r="CF46" s="821">
        <v>25.5</v>
      </c>
      <c r="CG46" s="822">
        <v>116.4</v>
      </c>
      <c r="CH46" s="823">
        <v>122.5</v>
      </c>
      <c r="CI46" s="821">
        <v>32.700000000000003</v>
      </c>
      <c r="CJ46" s="822">
        <v>103.8</v>
      </c>
      <c r="CK46" s="823">
        <v>107.9</v>
      </c>
      <c r="CL46" s="821">
        <v>48</v>
      </c>
      <c r="CM46" s="823">
        <v>137.69999999999999</v>
      </c>
      <c r="CN46" s="821">
        <v>30.3</v>
      </c>
      <c r="CO46" s="822">
        <v>52.2</v>
      </c>
      <c r="CP46" s="823">
        <v>46.1</v>
      </c>
      <c r="CQ46" s="824">
        <v>63.1</v>
      </c>
      <c r="CS46" s="1083"/>
      <c r="CT46" s="819"/>
      <c r="CU46" s="820">
        <v>4</v>
      </c>
      <c r="CV46" s="821">
        <v>31.1</v>
      </c>
      <c r="CW46" s="822">
        <v>118</v>
      </c>
      <c r="CX46" s="823">
        <v>128.19999999999999</v>
      </c>
      <c r="CY46" s="821">
        <v>34</v>
      </c>
      <c r="CZ46" s="822">
        <v>109.4</v>
      </c>
      <c r="DA46" s="823">
        <v>116.6</v>
      </c>
      <c r="DB46" s="821">
        <v>50.8</v>
      </c>
      <c r="DC46" s="823">
        <v>143.30000000000001</v>
      </c>
      <c r="DD46" s="821">
        <v>31.1</v>
      </c>
      <c r="DE46" s="822">
        <v>51.6</v>
      </c>
      <c r="DF46" s="823">
        <v>47.1</v>
      </c>
      <c r="DG46" s="824">
        <v>63.1</v>
      </c>
      <c r="DI46" s="1083"/>
      <c r="DJ46" s="819"/>
      <c r="DK46" s="820">
        <v>4</v>
      </c>
      <c r="DL46" s="821">
        <v>32.1</v>
      </c>
      <c r="DM46" s="822">
        <v>121.7</v>
      </c>
      <c r="DN46" s="823">
        <v>133.6</v>
      </c>
      <c r="DO46" s="821">
        <v>36.299999999999997</v>
      </c>
      <c r="DP46" s="822">
        <v>110.3</v>
      </c>
      <c r="DQ46" s="823">
        <v>124.5</v>
      </c>
      <c r="DR46" s="821">
        <v>53.9</v>
      </c>
      <c r="DS46" s="823">
        <v>148.4</v>
      </c>
      <c r="DT46" s="821">
        <v>31.2</v>
      </c>
      <c r="DU46" s="822">
        <v>55.6</v>
      </c>
      <c r="DV46" s="823">
        <v>48.5</v>
      </c>
      <c r="DW46" s="824">
        <v>63.4</v>
      </c>
      <c r="DY46" s="1083"/>
      <c r="DZ46" s="819"/>
      <c r="EA46" s="820">
        <v>4</v>
      </c>
      <c r="EB46" s="821">
        <v>34.1</v>
      </c>
      <c r="EC46" s="822">
        <v>126.5</v>
      </c>
      <c r="ED46" s="823">
        <v>139.19999999999999</v>
      </c>
      <c r="EE46" s="821">
        <v>38.4</v>
      </c>
      <c r="EF46" s="822">
        <v>114.6</v>
      </c>
      <c r="EG46" s="823">
        <v>125.3</v>
      </c>
      <c r="EH46" s="821">
        <v>56.1</v>
      </c>
      <c r="EI46" s="823">
        <v>154.4</v>
      </c>
      <c r="EJ46" s="821">
        <v>32.299999999999997</v>
      </c>
      <c r="EK46" s="822">
        <v>57.4</v>
      </c>
      <c r="EL46" s="823">
        <v>51.2</v>
      </c>
      <c r="EM46" s="824">
        <v>64</v>
      </c>
    </row>
    <row r="47" spans="17:143" ht="13.5" customHeight="1">
      <c r="Q47" s="1083"/>
      <c r="R47" s="819"/>
      <c r="S47" s="825">
        <v>5</v>
      </c>
      <c r="T47" s="826">
        <v>67.2</v>
      </c>
      <c r="U47" s="827">
        <v>206.4</v>
      </c>
      <c r="V47" s="828">
        <v>178.3</v>
      </c>
      <c r="W47" s="826">
        <v>54.6</v>
      </c>
      <c r="X47" s="827">
        <v>200.3</v>
      </c>
      <c r="Y47" s="828">
        <v>224.7</v>
      </c>
      <c r="Z47" s="826">
        <v>69.5</v>
      </c>
      <c r="AA47" s="828">
        <v>397.3</v>
      </c>
      <c r="AB47" s="826">
        <v>63.3</v>
      </c>
      <c r="AC47" s="827">
        <v>109.3</v>
      </c>
      <c r="AD47" s="828">
        <v>85</v>
      </c>
      <c r="AE47" s="824">
        <v>154.9</v>
      </c>
      <c r="AG47" s="1083"/>
      <c r="AH47" s="819"/>
      <c r="AI47" s="825">
        <v>5</v>
      </c>
      <c r="AJ47" s="826">
        <v>75.3</v>
      </c>
      <c r="AK47" s="827">
        <v>234</v>
      </c>
      <c r="AL47" s="828">
        <v>190.9</v>
      </c>
      <c r="AM47" s="826">
        <v>60.2</v>
      </c>
      <c r="AN47" s="827">
        <v>215</v>
      </c>
      <c r="AO47" s="828">
        <v>248.8</v>
      </c>
      <c r="AP47" s="826">
        <v>76.400000000000006</v>
      </c>
      <c r="AQ47" s="828">
        <v>421</v>
      </c>
      <c r="AR47" s="826">
        <v>74.5</v>
      </c>
      <c r="AS47" s="827">
        <v>118.7</v>
      </c>
      <c r="AT47" s="828">
        <v>93.1</v>
      </c>
      <c r="AU47" s="824">
        <v>179.1</v>
      </c>
      <c r="AW47" s="1083"/>
      <c r="AX47" s="819"/>
      <c r="AY47" s="825">
        <v>5</v>
      </c>
      <c r="AZ47" s="826">
        <v>85.9</v>
      </c>
      <c r="BA47" s="827">
        <v>261.89999999999998</v>
      </c>
      <c r="BB47" s="828">
        <v>212</v>
      </c>
      <c r="BC47" s="826">
        <v>67.8</v>
      </c>
      <c r="BD47" s="827">
        <v>239.3</v>
      </c>
      <c r="BE47" s="828">
        <v>278.8</v>
      </c>
      <c r="BF47" s="826">
        <v>83.8</v>
      </c>
      <c r="BG47" s="828">
        <v>456.7</v>
      </c>
      <c r="BH47" s="826">
        <v>85</v>
      </c>
      <c r="BI47" s="827">
        <v>130.9</v>
      </c>
      <c r="BJ47" s="828">
        <v>102.1</v>
      </c>
      <c r="BK47" s="824">
        <v>194.9</v>
      </c>
      <c r="BM47" s="1083"/>
      <c r="BN47" s="819"/>
      <c r="BO47" s="825">
        <v>5</v>
      </c>
      <c r="BP47" s="826" t="e">
        <v>#N/A</v>
      </c>
      <c r="BQ47" s="827">
        <v>299</v>
      </c>
      <c r="BR47" s="828">
        <v>235</v>
      </c>
      <c r="BS47" s="826">
        <v>75.099999999999994</v>
      </c>
      <c r="BT47" s="827">
        <v>266.7</v>
      </c>
      <c r="BU47" s="828">
        <v>311.2</v>
      </c>
      <c r="BV47" s="826">
        <v>93</v>
      </c>
      <c r="BW47" s="828">
        <v>495.6</v>
      </c>
      <c r="BX47" s="826">
        <v>98.9</v>
      </c>
      <c r="BY47" s="827">
        <v>139.69999999999999</v>
      </c>
      <c r="BZ47" s="828">
        <v>112.3</v>
      </c>
      <c r="CA47" s="824">
        <v>213.5</v>
      </c>
      <c r="CC47" s="1083"/>
      <c r="CD47" s="819"/>
      <c r="CE47" s="825">
        <v>5</v>
      </c>
      <c r="CF47" s="826" t="e">
        <v>#N/A</v>
      </c>
      <c r="CG47" s="827">
        <v>343.9</v>
      </c>
      <c r="CH47" s="828">
        <v>259.89999999999998</v>
      </c>
      <c r="CI47" s="826">
        <v>81.599999999999994</v>
      </c>
      <c r="CJ47" s="827">
        <v>302</v>
      </c>
      <c r="CK47" s="828">
        <v>341.7</v>
      </c>
      <c r="CL47" s="826">
        <v>103.5</v>
      </c>
      <c r="CM47" s="828">
        <v>534.9</v>
      </c>
      <c r="CN47" s="826">
        <v>111.8</v>
      </c>
      <c r="CO47" s="827">
        <v>150.5</v>
      </c>
      <c r="CP47" s="828">
        <v>124.7</v>
      </c>
      <c r="CQ47" s="824">
        <v>235.5</v>
      </c>
      <c r="CS47" s="1083"/>
      <c r="CT47" s="819"/>
      <c r="CU47" s="825">
        <v>5</v>
      </c>
      <c r="CV47" s="826">
        <v>88.8</v>
      </c>
      <c r="CW47" s="827">
        <v>365.8</v>
      </c>
      <c r="CX47" s="828">
        <v>284.7</v>
      </c>
      <c r="CY47" s="826">
        <v>88.8</v>
      </c>
      <c r="CZ47" s="827">
        <v>347.2</v>
      </c>
      <c r="DA47" s="828">
        <v>370.5</v>
      </c>
      <c r="DB47" s="826">
        <v>114.5</v>
      </c>
      <c r="DC47" s="828">
        <v>571.9</v>
      </c>
      <c r="DD47" s="826">
        <v>122.7</v>
      </c>
      <c r="DE47" s="827">
        <v>165.6</v>
      </c>
      <c r="DF47" s="828">
        <v>138.4</v>
      </c>
      <c r="DG47" s="824">
        <v>253.5</v>
      </c>
      <c r="DI47" s="1083"/>
      <c r="DJ47" s="819"/>
      <c r="DK47" s="825">
        <v>5</v>
      </c>
      <c r="DL47" s="826">
        <v>95.6</v>
      </c>
      <c r="DM47" s="827">
        <v>395</v>
      </c>
      <c r="DN47" s="828">
        <v>305</v>
      </c>
      <c r="DO47" s="826">
        <v>97.8</v>
      </c>
      <c r="DP47" s="827">
        <v>380.2</v>
      </c>
      <c r="DQ47" s="828">
        <v>402.4</v>
      </c>
      <c r="DR47" s="826">
        <v>126.2</v>
      </c>
      <c r="DS47" s="828">
        <v>608</v>
      </c>
      <c r="DT47" s="826">
        <v>125.4</v>
      </c>
      <c r="DU47" s="827">
        <v>180.6</v>
      </c>
      <c r="DV47" s="828">
        <v>151.1</v>
      </c>
      <c r="DW47" s="824">
        <v>270.39999999999998</v>
      </c>
      <c r="DY47" s="1083"/>
      <c r="DZ47" s="819"/>
      <c r="EA47" s="825">
        <v>5</v>
      </c>
      <c r="EB47" s="826">
        <v>94.6</v>
      </c>
      <c r="EC47" s="827">
        <v>421.8</v>
      </c>
      <c r="ED47" s="828">
        <v>324.89999999999998</v>
      </c>
      <c r="EE47" s="826">
        <v>105.4</v>
      </c>
      <c r="EF47" s="827">
        <v>399.6</v>
      </c>
      <c r="EG47" s="828">
        <v>430.3</v>
      </c>
      <c r="EH47" s="826">
        <v>138.69999999999999</v>
      </c>
      <c r="EI47" s="828">
        <v>645</v>
      </c>
      <c r="EJ47" s="826">
        <v>130.4</v>
      </c>
      <c r="EK47" s="827">
        <v>193.1</v>
      </c>
      <c r="EL47" s="828">
        <v>166.3</v>
      </c>
      <c r="EM47" s="824">
        <v>283.3</v>
      </c>
    </row>
    <row r="48" spans="17:143" ht="13.5" customHeight="1">
      <c r="Q48" s="1083"/>
      <c r="R48" s="819"/>
      <c r="S48" s="829" t="s">
        <v>563</v>
      </c>
      <c r="T48" s="830">
        <v>5</v>
      </c>
      <c r="U48" s="831">
        <v>67.599999999999994</v>
      </c>
      <c r="V48" s="832">
        <v>20.3</v>
      </c>
      <c r="W48" s="830">
        <v>4.9000000000000004</v>
      </c>
      <c r="X48" s="831">
        <v>31.7</v>
      </c>
      <c r="Y48" s="832">
        <v>16</v>
      </c>
      <c r="Z48" s="830">
        <v>13.3</v>
      </c>
      <c r="AA48" s="832">
        <v>13.4</v>
      </c>
      <c r="AB48" s="830">
        <v>3.3</v>
      </c>
      <c r="AC48" s="831">
        <v>3.3</v>
      </c>
      <c r="AD48" s="832">
        <v>1</v>
      </c>
      <c r="AE48" s="833">
        <v>10.3</v>
      </c>
      <c r="AG48" s="1083"/>
      <c r="AH48" s="819"/>
      <c r="AI48" s="829" t="s">
        <v>563</v>
      </c>
      <c r="AJ48" s="830">
        <v>3.5</v>
      </c>
      <c r="AK48" s="831">
        <v>79.2</v>
      </c>
      <c r="AL48" s="832">
        <v>23.3</v>
      </c>
      <c r="AM48" s="830">
        <v>5.2</v>
      </c>
      <c r="AN48" s="831">
        <v>35</v>
      </c>
      <c r="AO48" s="832">
        <v>18.100000000000001</v>
      </c>
      <c r="AP48" s="830">
        <v>14.6</v>
      </c>
      <c r="AQ48" s="832">
        <v>14.2</v>
      </c>
      <c r="AR48" s="830">
        <v>3.8</v>
      </c>
      <c r="AS48" s="831">
        <v>3.2</v>
      </c>
      <c r="AT48" s="832">
        <v>1.1000000000000001</v>
      </c>
      <c r="AU48" s="833">
        <v>11.3</v>
      </c>
      <c r="AW48" s="1083"/>
      <c r="AX48" s="819"/>
      <c r="AY48" s="829" t="s">
        <v>563</v>
      </c>
      <c r="AZ48" s="830">
        <v>4.5999999999999996</v>
      </c>
      <c r="BA48" s="831">
        <v>92.6</v>
      </c>
      <c r="BB48" s="832">
        <v>25.9</v>
      </c>
      <c r="BC48" s="830">
        <v>6.1</v>
      </c>
      <c r="BD48" s="831">
        <v>39.799999999999997</v>
      </c>
      <c r="BE48" s="832">
        <v>20.7</v>
      </c>
      <c r="BF48" s="830">
        <v>16.8</v>
      </c>
      <c r="BG48" s="832">
        <v>15.5</v>
      </c>
      <c r="BH48" s="830">
        <v>4.5999999999999996</v>
      </c>
      <c r="BI48" s="831">
        <v>3.4</v>
      </c>
      <c r="BJ48" s="832">
        <v>1.2</v>
      </c>
      <c r="BK48" s="833">
        <v>12.8</v>
      </c>
      <c r="BM48" s="1083"/>
      <c r="BN48" s="819"/>
      <c r="BO48" s="829" t="s">
        <v>563</v>
      </c>
      <c r="BP48" s="830">
        <v>4.5999999999999996</v>
      </c>
      <c r="BQ48" s="831">
        <v>109.3</v>
      </c>
      <c r="BR48" s="832">
        <v>29.3</v>
      </c>
      <c r="BS48" s="830">
        <v>7.9</v>
      </c>
      <c r="BT48" s="831">
        <v>45.9</v>
      </c>
      <c r="BU48" s="832">
        <v>23.6</v>
      </c>
      <c r="BV48" s="830">
        <v>19.5</v>
      </c>
      <c r="BW48" s="832">
        <v>17.100000000000001</v>
      </c>
      <c r="BX48" s="830">
        <v>6.1</v>
      </c>
      <c r="BY48" s="831">
        <v>3.9</v>
      </c>
      <c r="BZ48" s="832">
        <v>5.5</v>
      </c>
      <c r="CA48" s="833">
        <v>15.4</v>
      </c>
      <c r="CC48" s="1083"/>
      <c r="CD48" s="819"/>
      <c r="CE48" s="829" t="s">
        <v>563</v>
      </c>
      <c r="CF48" s="830">
        <v>6.6</v>
      </c>
      <c r="CG48" s="831">
        <v>129</v>
      </c>
      <c r="CH48" s="832">
        <v>32.9</v>
      </c>
      <c r="CI48" s="830">
        <v>10</v>
      </c>
      <c r="CJ48" s="831">
        <v>53.7</v>
      </c>
      <c r="CK48" s="832">
        <v>26.8</v>
      </c>
      <c r="CL48" s="830">
        <v>22.9</v>
      </c>
      <c r="CM48" s="832">
        <v>18.600000000000001</v>
      </c>
      <c r="CN48" s="830">
        <v>8.4</v>
      </c>
      <c r="CO48" s="831">
        <v>4.5999999999999996</v>
      </c>
      <c r="CP48" s="832">
        <v>1.6</v>
      </c>
      <c r="CQ48" s="833">
        <v>17.399999999999999</v>
      </c>
      <c r="CS48" s="1083"/>
      <c r="CT48" s="819"/>
      <c r="CU48" s="829" t="s">
        <v>563</v>
      </c>
      <c r="CV48" s="830">
        <v>8.6999999999999993</v>
      </c>
      <c r="CW48" s="831">
        <v>143</v>
      </c>
      <c r="CX48" s="832">
        <v>36.299999999999997</v>
      </c>
      <c r="CY48" s="830">
        <v>12.4</v>
      </c>
      <c r="CZ48" s="831">
        <v>63</v>
      </c>
      <c r="DA48" s="832">
        <v>30.2</v>
      </c>
      <c r="DB48" s="830">
        <v>26.4</v>
      </c>
      <c r="DC48" s="832">
        <v>20.100000000000001</v>
      </c>
      <c r="DD48" s="830">
        <v>10.7</v>
      </c>
      <c r="DE48" s="831">
        <v>5.3</v>
      </c>
      <c r="DF48" s="832">
        <v>6</v>
      </c>
      <c r="DG48" s="833">
        <v>20.5</v>
      </c>
      <c r="DI48" s="1083"/>
      <c r="DJ48" s="819"/>
      <c r="DK48" s="829" t="s">
        <v>563</v>
      </c>
      <c r="DL48" s="830">
        <v>10.5</v>
      </c>
      <c r="DM48" s="831">
        <v>158.1</v>
      </c>
      <c r="DN48" s="832">
        <v>39.6</v>
      </c>
      <c r="DO48" s="830">
        <v>14.9</v>
      </c>
      <c r="DP48" s="831">
        <v>72.099999999999994</v>
      </c>
      <c r="DQ48" s="832">
        <v>33.9</v>
      </c>
      <c r="DR48" s="830">
        <v>30.1</v>
      </c>
      <c r="DS48" s="832">
        <v>21.5</v>
      </c>
      <c r="DT48" s="830">
        <v>13</v>
      </c>
      <c r="DU48" s="831">
        <v>6.1</v>
      </c>
      <c r="DV48" s="832">
        <v>2</v>
      </c>
      <c r="DW48" s="833">
        <v>22.4</v>
      </c>
      <c r="DY48" s="1083"/>
      <c r="DZ48" s="819"/>
      <c r="EA48" s="829" t="s">
        <v>563</v>
      </c>
      <c r="EB48" s="830">
        <v>12.4</v>
      </c>
      <c r="EC48" s="831">
        <v>172.5</v>
      </c>
      <c r="ED48" s="832">
        <v>42.6</v>
      </c>
      <c r="EE48" s="830">
        <v>17.5</v>
      </c>
      <c r="EF48" s="831">
        <v>79</v>
      </c>
      <c r="EG48" s="832">
        <v>37.299999999999997</v>
      </c>
      <c r="EH48" s="830">
        <v>34</v>
      </c>
      <c r="EI48" s="832">
        <v>22.8</v>
      </c>
      <c r="EJ48" s="830">
        <v>15.3</v>
      </c>
      <c r="EK48" s="831">
        <v>6.8</v>
      </c>
      <c r="EL48" s="832">
        <v>7.9</v>
      </c>
      <c r="EM48" s="833">
        <v>25.6</v>
      </c>
    </row>
    <row r="49" spans="17:143" ht="13.5" customHeight="1">
      <c r="Q49" s="834" t="s">
        <v>356</v>
      </c>
      <c r="R49" s="835"/>
      <c r="S49" s="836" t="s">
        <v>6</v>
      </c>
      <c r="T49" s="837">
        <v>0</v>
      </c>
      <c r="U49" s="838">
        <v>0.1</v>
      </c>
      <c r="V49" s="839">
        <v>0.1</v>
      </c>
      <c r="W49" s="837">
        <v>0</v>
      </c>
      <c r="X49" s="838">
        <v>0.1</v>
      </c>
      <c r="Y49" s="839">
        <v>0.1</v>
      </c>
      <c r="Z49" s="837">
        <v>0.1</v>
      </c>
      <c r="AA49" s="839">
        <v>0.1</v>
      </c>
      <c r="AB49" s="837">
        <v>0</v>
      </c>
      <c r="AC49" s="838">
        <v>0.1</v>
      </c>
      <c r="AD49" s="839">
        <v>0.1</v>
      </c>
      <c r="AE49" s="840">
        <v>0.1</v>
      </c>
      <c r="AG49" s="834" t="s">
        <v>356</v>
      </c>
      <c r="AH49" s="835"/>
      <c r="AI49" s="836" t="s">
        <v>6</v>
      </c>
      <c r="AJ49" s="837">
        <v>0</v>
      </c>
      <c r="AK49" s="838">
        <v>0.1</v>
      </c>
      <c r="AL49" s="839">
        <v>0.1</v>
      </c>
      <c r="AM49" s="837">
        <v>0</v>
      </c>
      <c r="AN49" s="838">
        <v>0.1</v>
      </c>
      <c r="AO49" s="839">
        <v>0.1</v>
      </c>
      <c r="AP49" s="837">
        <v>0.1</v>
      </c>
      <c r="AQ49" s="839">
        <v>0.1</v>
      </c>
      <c r="AR49" s="837">
        <v>0</v>
      </c>
      <c r="AS49" s="838">
        <v>0.1</v>
      </c>
      <c r="AT49" s="839">
        <v>0.1</v>
      </c>
      <c r="AU49" s="840">
        <v>0.1</v>
      </c>
      <c r="AW49" s="834" t="s">
        <v>356</v>
      </c>
      <c r="AX49" s="835"/>
      <c r="AY49" s="836" t="s">
        <v>6</v>
      </c>
      <c r="AZ49" s="837">
        <v>0</v>
      </c>
      <c r="BA49" s="838">
        <v>0.1</v>
      </c>
      <c r="BB49" s="839">
        <v>0.1</v>
      </c>
      <c r="BC49" s="837">
        <v>0</v>
      </c>
      <c r="BD49" s="838">
        <v>0.1</v>
      </c>
      <c r="BE49" s="839">
        <v>0.1</v>
      </c>
      <c r="BF49" s="837">
        <v>0.1</v>
      </c>
      <c r="BG49" s="839">
        <v>0.1</v>
      </c>
      <c r="BH49" s="837">
        <v>0</v>
      </c>
      <c r="BI49" s="838">
        <v>0.1</v>
      </c>
      <c r="BJ49" s="839">
        <v>0.1</v>
      </c>
      <c r="BK49" s="840">
        <v>0.1</v>
      </c>
      <c r="BM49" s="834" t="s">
        <v>356</v>
      </c>
      <c r="BN49" s="835"/>
      <c r="BO49" s="836" t="s">
        <v>6</v>
      </c>
      <c r="BP49" s="837">
        <v>0</v>
      </c>
      <c r="BQ49" s="838">
        <v>0.1</v>
      </c>
      <c r="BR49" s="839">
        <v>0.1</v>
      </c>
      <c r="BS49" s="837">
        <v>0</v>
      </c>
      <c r="BT49" s="838">
        <v>0.1</v>
      </c>
      <c r="BU49" s="839">
        <v>0.1</v>
      </c>
      <c r="BV49" s="837">
        <v>0.1</v>
      </c>
      <c r="BW49" s="839">
        <v>0.1</v>
      </c>
      <c r="BX49" s="837">
        <v>0</v>
      </c>
      <c r="BY49" s="838">
        <v>0.1</v>
      </c>
      <c r="BZ49" s="839">
        <v>0.1</v>
      </c>
      <c r="CA49" s="840">
        <v>0.1</v>
      </c>
      <c r="CC49" s="834" t="s">
        <v>356</v>
      </c>
      <c r="CD49" s="835"/>
      <c r="CE49" s="836" t="s">
        <v>6</v>
      </c>
      <c r="CF49" s="837">
        <v>0</v>
      </c>
      <c r="CG49" s="838">
        <v>0.1</v>
      </c>
      <c r="CH49" s="839">
        <v>0.1</v>
      </c>
      <c r="CI49" s="837">
        <v>0</v>
      </c>
      <c r="CJ49" s="838">
        <v>0.1</v>
      </c>
      <c r="CK49" s="839">
        <v>0.1</v>
      </c>
      <c r="CL49" s="837">
        <v>0.1</v>
      </c>
      <c r="CM49" s="839">
        <v>0.1</v>
      </c>
      <c r="CN49" s="837">
        <v>0</v>
      </c>
      <c r="CO49" s="838">
        <v>0.1</v>
      </c>
      <c r="CP49" s="839">
        <v>0.1</v>
      </c>
      <c r="CQ49" s="840">
        <v>0.1</v>
      </c>
      <c r="CS49" s="834" t="s">
        <v>356</v>
      </c>
      <c r="CT49" s="835"/>
      <c r="CU49" s="836" t="s">
        <v>6</v>
      </c>
      <c r="CV49" s="837">
        <v>0</v>
      </c>
      <c r="CW49" s="838">
        <v>0.1</v>
      </c>
      <c r="CX49" s="839">
        <v>0.1</v>
      </c>
      <c r="CY49" s="837">
        <v>0</v>
      </c>
      <c r="CZ49" s="838">
        <v>0.1</v>
      </c>
      <c r="DA49" s="839">
        <v>0.1</v>
      </c>
      <c r="DB49" s="837">
        <v>0.1</v>
      </c>
      <c r="DC49" s="839">
        <v>0.1</v>
      </c>
      <c r="DD49" s="837">
        <v>0</v>
      </c>
      <c r="DE49" s="838">
        <v>0.1</v>
      </c>
      <c r="DF49" s="839">
        <v>0.1</v>
      </c>
      <c r="DG49" s="840">
        <v>0.1</v>
      </c>
      <c r="DI49" s="834" t="s">
        <v>356</v>
      </c>
      <c r="DJ49" s="835"/>
      <c r="DK49" s="836" t="s">
        <v>6</v>
      </c>
      <c r="DL49" s="837">
        <v>0</v>
      </c>
      <c r="DM49" s="838">
        <v>0.2</v>
      </c>
      <c r="DN49" s="839">
        <v>0.2</v>
      </c>
      <c r="DO49" s="837">
        <v>0</v>
      </c>
      <c r="DP49" s="838">
        <v>0.2</v>
      </c>
      <c r="DQ49" s="839">
        <v>0.2</v>
      </c>
      <c r="DR49" s="837">
        <v>0.2</v>
      </c>
      <c r="DS49" s="839">
        <v>0.2</v>
      </c>
      <c r="DT49" s="837">
        <v>0</v>
      </c>
      <c r="DU49" s="838">
        <v>0.2</v>
      </c>
      <c r="DV49" s="839">
        <v>0.2</v>
      </c>
      <c r="DW49" s="840">
        <v>0.1</v>
      </c>
      <c r="DY49" s="834" t="s">
        <v>356</v>
      </c>
      <c r="DZ49" s="835"/>
      <c r="EA49" s="836" t="s">
        <v>6</v>
      </c>
      <c r="EB49" s="837">
        <v>0</v>
      </c>
      <c r="EC49" s="838">
        <v>0.2</v>
      </c>
      <c r="ED49" s="839">
        <v>0.2</v>
      </c>
      <c r="EE49" s="837">
        <v>0</v>
      </c>
      <c r="EF49" s="838">
        <v>0.2</v>
      </c>
      <c r="EG49" s="839">
        <v>0.2</v>
      </c>
      <c r="EH49" s="837">
        <v>0.2</v>
      </c>
      <c r="EI49" s="839">
        <v>0.2</v>
      </c>
      <c r="EJ49" s="837">
        <v>0</v>
      </c>
      <c r="EK49" s="838">
        <v>0.2</v>
      </c>
      <c r="EL49" s="839">
        <v>0.2</v>
      </c>
      <c r="EM49" s="840">
        <v>0.1</v>
      </c>
    </row>
    <row r="50" spans="17:143" ht="13.5" customHeight="1">
      <c r="Q50" s="834" t="s">
        <v>357</v>
      </c>
      <c r="R50" s="835"/>
      <c r="S50" s="841" t="s">
        <v>6</v>
      </c>
      <c r="T50" s="842">
        <v>0</v>
      </c>
      <c r="U50" s="843">
        <v>3.2</v>
      </c>
      <c r="V50" s="844">
        <v>3.2</v>
      </c>
      <c r="W50" s="842">
        <v>0</v>
      </c>
      <c r="X50" s="843">
        <v>3.2</v>
      </c>
      <c r="Y50" s="844">
        <v>3.2</v>
      </c>
      <c r="Z50" s="842">
        <v>3.2</v>
      </c>
      <c r="AA50" s="844">
        <v>3.2</v>
      </c>
      <c r="AB50" s="842">
        <v>0</v>
      </c>
      <c r="AC50" s="843">
        <v>0.7</v>
      </c>
      <c r="AD50" s="844">
        <v>0.7</v>
      </c>
      <c r="AE50" s="824">
        <v>1.6</v>
      </c>
      <c r="AG50" s="834" t="s">
        <v>357</v>
      </c>
      <c r="AH50" s="835"/>
      <c r="AI50" s="841" t="s">
        <v>6</v>
      </c>
      <c r="AJ50" s="842">
        <v>0</v>
      </c>
      <c r="AK50" s="843">
        <v>2.9</v>
      </c>
      <c r="AL50" s="844">
        <v>2.9</v>
      </c>
      <c r="AM50" s="842">
        <v>0</v>
      </c>
      <c r="AN50" s="843">
        <v>2.9</v>
      </c>
      <c r="AO50" s="844">
        <v>2.9</v>
      </c>
      <c r="AP50" s="842">
        <v>2.9</v>
      </c>
      <c r="AQ50" s="844">
        <v>2.9</v>
      </c>
      <c r="AR50" s="842">
        <v>0</v>
      </c>
      <c r="AS50" s="843">
        <v>0.7</v>
      </c>
      <c r="AT50" s="844">
        <v>0.7</v>
      </c>
      <c r="AU50" s="824">
        <v>1.4</v>
      </c>
      <c r="AW50" s="834" t="s">
        <v>357</v>
      </c>
      <c r="AX50" s="835"/>
      <c r="AY50" s="841" t="s">
        <v>6</v>
      </c>
      <c r="AZ50" s="842">
        <v>0</v>
      </c>
      <c r="BA50" s="843">
        <v>3.5</v>
      </c>
      <c r="BB50" s="844">
        <v>3.5</v>
      </c>
      <c r="BC50" s="842">
        <v>0</v>
      </c>
      <c r="BD50" s="843">
        <v>3.5</v>
      </c>
      <c r="BE50" s="844">
        <v>3.5</v>
      </c>
      <c r="BF50" s="842">
        <v>3.5</v>
      </c>
      <c r="BG50" s="844">
        <v>3.5</v>
      </c>
      <c r="BH50" s="842">
        <v>0</v>
      </c>
      <c r="BI50" s="843">
        <v>0.8</v>
      </c>
      <c r="BJ50" s="844">
        <v>0.8</v>
      </c>
      <c r="BK50" s="824">
        <v>1.7</v>
      </c>
      <c r="BM50" s="834" t="s">
        <v>357</v>
      </c>
      <c r="BN50" s="835"/>
      <c r="BO50" s="841" t="s">
        <v>6</v>
      </c>
      <c r="BP50" s="842">
        <v>0</v>
      </c>
      <c r="BQ50" s="843">
        <v>3.8</v>
      </c>
      <c r="BR50" s="844">
        <v>3.8</v>
      </c>
      <c r="BS50" s="842">
        <v>0</v>
      </c>
      <c r="BT50" s="843">
        <v>3.8</v>
      </c>
      <c r="BU50" s="844">
        <v>3.8</v>
      </c>
      <c r="BV50" s="842">
        <v>3.8</v>
      </c>
      <c r="BW50" s="844">
        <v>3.8</v>
      </c>
      <c r="BX50" s="842">
        <v>0</v>
      </c>
      <c r="BY50" s="843">
        <v>0.9</v>
      </c>
      <c r="BZ50" s="844">
        <v>0.9</v>
      </c>
      <c r="CA50" s="824">
        <v>1.9</v>
      </c>
      <c r="CC50" s="834" t="s">
        <v>357</v>
      </c>
      <c r="CD50" s="835"/>
      <c r="CE50" s="841" t="s">
        <v>6</v>
      </c>
      <c r="CF50" s="842">
        <v>0</v>
      </c>
      <c r="CG50" s="843">
        <v>4.0999999999999996</v>
      </c>
      <c r="CH50" s="844">
        <v>4.0999999999999996</v>
      </c>
      <c r="CI50" s="842">
        <v>0</v>
      </c>
      <c r="CJ50" s="843">
        <v>4.0999999999999996</v>
      </c>
      <c r="CK50" s="844">
        <v>4.0999999999999996</v>
      </c>
      <c r="CL50" s="842">
        <v>4.0999999999999996</v>
      </c>
      <c r="CM50" s="844">
        <v>4.0999999999999996</v>
      </c>
      <c r="CN50" s="842">
        <v>0</v>
      </c>
      <c r="CO50" s="843">
        <v>0.9</v>
      </c>
      <c r="CP50" s="844">
        <v>0.9</v>
      </c>
      <c r="CQ50" s="824">
        <v>2</v>
      </c>
      <c r="CS50" s="834" t="s">
        <v>357</v>
      </c>
      <c r="CT50" s="835"/>
      <c r="CU50" s="841" t="s">
        <v>6</v>
      </c>
      <c r="CV50" s="842">
        <v>0</v>
      </c>
      <c r="CW50" s="843">
        <v>4.4000000000000004</v>
      </c>
      <c r="CX50" s="844">
        <v>4.4000000000000004</v>
      </c>
      <c r="CY50" s="842">
        <v>0</v>
      </c>
      <c r="CZ50" s="843">
        <v>4.4000000000000004</v>
      </c>
      <c r="DA50" s="844">
        <v>4.4000000000000004</v>
      </c>
      <c r="DB50" s="842">
        <v>4.4000000000000004</v>
      </c>
      <c r="DC50" s="844">
        <v>4.4000000000000004</v>
      </c>
      <c r="DD50" s="842">
        <v>0</v>
      </c>
      <c r="DE50" s="843">
        <v>1</v>
      </c>
      <c r="DF50" s="844">
        <v>1</v>
      </c>
      <c r="DG50" s="824">
        <v>2.2000000000000002</v>
      </c>
      <c r="DI50" s="834" t="s">
        <v>357</v>
      </c>
      <c r="DJ50" s="835"/>
      <c r="DK50" s="841" t="s">
        <v>6</v>
      </c>
      <c r="DL50" s="842">
        <v>0</v>
      </c>
      <c r="DM50" s="843">
        <v>4.7</v>
      </c>
      <c r="DN50" s="844">
        <v>4.7</v>
      </c>
      <c r="DO50" s="842">
        <v>0</v>
      </c>
      <c r="DP50" s="843">
        <v>4.7</v>
      </c>
      <c r="DQ50" s="844">
        <v>4.7</v>
      </c>
      <c r="DR50" s="842">
        <v>4.7</v>
      </c>
      <c r="DS50" s="844">
        <v>4.7</v>
      </c>
      <c r="DT50" s="842">
        <v>0</v>
      </c>
      <c r="DU50" s="843">
        <v>1.1000000000000001</v>
      </c>
      <c r="DV50" s="844">
        <v>1.1000000000000001</v>
      </c>
      <c r="DW50" s="824">
        <v>2.2999999999999998</v>
      </c>
      <c r="DY50" s="834" t="s">
        <v>357</v>
      </c>
      <c r="DZ50" s="835"/>
      <c r="EA50" s="841" t="s">
        <v>6</v>
      </c>
      <c r="EB50" s="842">
        <v>0</v>
      </c>
      <c r="EC50" s="843">
        <v>5</v>
      </c>
      <c r="ED50" s="844">
        <v>5</v>
      </c>
      <c r="EE50" s="842">
        <v>0</v>
      </c>
      <c r="EF50" s="843">
        <v>5</v>
      </c>
      <c r="EG50" s="844">
        <v>5</v>
      </c>
      <c r="EH50" s="842">
        <v>5</v>
      </c>
      <c r="EI50" s="844">
        <v>5</v>
      </c>
      <c r="EJ50" s="842">
        <v>0</v>
      </c>
      <c r="EK50" s="843">
        <v>1.2</v>
      </c>
      <c r="EL50" s="844">
        <v>1.2</v>
      </c>
      <c r="EM50" s="824">
        <v>2.5</v>
      </c>
    </row>
    <row r="51" spans="17:143" ht="13.5" customHeight="1">
      <c r="Q51" s="834" t="s">
        <v>358</v>
      </c>
      <c r="R51" s="835"/>
      <c r="S51" s="841" t="s">
        <v>6</v>
      </c>
      <c r="T51" s="842">
        <v>8.6</v>
      </c>
      <c r="U51" s="843">
        <v>6.9</v>
      </c>
      <c r="V51" s="844">
        <v>8</v>
      </c>
      <c r="W51" s="842">
        <v>3.6</v>
      </c>
      <c r="X51" s="843">
        <v>2.5</v>
      </c>
      <c r="Y51" s="844">
        <v>2.8</v>
      </c>
      <c r="Z51" s="842">
        <v>1.8</v>
      </c>
      <c r="AA51" s="844">
        <v>2.1</v>
      </c>
      <c r="AB51" s="842">
        <v>1.1000000000000001</v>
      </c>
      <c r="AC51" s="843">
        <v>0.7</v>
      </c>
      <c r="AD51" s="844">
        <v>0.6</v>
      </c>
      <c r="AE51" s="824">
        <v>1.8</v>
      </c>
      <c r="AG51" s="834" t="s">
        <v>358</v>
      </c>
      <c r="AH51" s="835"/>
      <c r="AI51" s="841" t="s">
        <v>6</v>
      </c>
      <c r="AJ51" s="842">
        <v>5.5</v>
      </c>
      <c r="AK51" s="843">
        <v>4.7</v>
      </c>
      <c r="AL51" s="844">
        <v>5.3</v>
      </c>
      <c r="AM51" s="842">
        <v>2.2999999999999998</v>
      </c>
      <c r="AN51" s="843">
        <v>1.7</v>
      </c>
      <c r="AO51" s="844">
        <v>1.8</v>
      </c>
      <c r="AP51" s="842">
        <v>1.3</v>
      </c>
      <c r="AQ51" s="844">
        <v>1.4</v>
      </c>
      <c r="AR51" s="842">
        <v>0.7</v>
      </c>
      <c r="AS51" s="843">
        <v>0.5</v>
      </c>
      <c r="AT51" s="844">
        <v>0.4</v>
      </c>
      <c r="AU51" s="824">
        <v>1.2</v>
      </c>
      <c r="AW51" s="834" t="s">
        <v>358</v>
      </c>
      <c r="AX51" s="835"/>
      <c r="AY51" s="841" t="s">
        <v>6</v>
      </c>
      <c r="AZ51" s="842">
        <v>4</v>
      </c>
      <c r="BA51" s="843">
        <v>3.7</v>
      </c>
      <c r="BB51" s="844">
        <v>4</v>
      </c>
      <c r="BC51" s="842">
        <v>1.7</v>
      </c>
      <c r="BD51" s="843">
        <v>1.4</v>
      </c>
      <c r="BE51" s="844">
        <v>1.5</v>
      </c>
      <c r="BF51" s="842">
        <v>1</v>
      </c>
      <c r="BG51" s="844">
        <v>1.1000000000000001</v>
      </c>
      <c r="BH51" s="842">
        <v>0.5</v>
      </c>
      <c r="BI51" s="843">
        <v>0.3</v>
      </c>
      <c r="BJ51" s="844">
        <v>0.3</v>
      </c>
      <c r="BK51" s="824">
        <v>0.9</v>
      </c>
      <c r="BM51" s="834" t="s">
        <v>358</v>
      </c>
      <c r="BN51" s="835"/>
      <c r="BO51" s="841" t="s">
        <v>6</v>
      </c>
      <c r="BP51" s="842">
        <v>3.1</v>
      </c>
      <c r="BQ51" s="843">
        <v>3.1</v>
      </c>
      <c r="BR51" s="844">
        <v>3.2</v>
      </c>
      <c r="BS51" s="842">
        <v>1.4</v>
      </c>
      <c r="BT51" s="843">
        <v>1.2</v>
      </c>
      <c r="BU51" s="844">
        <v>1.2</v>
      </c>
      <c r="BV51" s="842">
        <v>0.9</v>
      </c>
      <c r="BW51" s="844">
        <v>0.9</v>
      </c>
      <c r="BX51" s="842">
        <v>0.4</v>
      </c>
      <c r="BY51" s="843">
        <v>0.3</v>
      </c>
      <c r="BZ51" s="844">
        <v>0.2</v>
      </c>
      <c r="CA51" s="824">
        <v>0.8</v>
      </c>
      <c r="CC51" s="834" t="s">
        <v>358</v>
      </c>
      <c r="CD51" s="835"/>
      <c r="CE51" s="841" t="s">
        <v>6</v>
      </c>
      <c r="CF51" s="842">
        <v>1.9</v>
      </c>
      <c r="CG51" s="843">
        <v>2.4</v>
      </c>
      <c r="CH51" s="844">
        <v>2.4</v>
      </c>
      <c r="CI51" s="842">
        <v>1.3</v>
      </c>
      <c r="CJ51" s="843">
        <v>1</v>
      </c>
      <c r="CK51" s="844">
        <v>1.1000000000000001</v>
      </c>
      <c r="CL51" s="842">
        <v>0.9</v>
      </c>
      <c r="CM51" s="844">
        <v>0.9</v>
      </c>
      <c r="CN51" s="842">
        <v>0.6</v>
      </c>
      <c r="CO51" s="843">
        <v>0.5</v>
      </c>
      <c r="CP51" s="844">
        <v>0.4</v>
      </c>
      <c r="CQ51" s="824">
        <v>0.8</v>
      </c>
      <c r="CS51" s="834" t="s">
        <v>358</v>
      </c>
      <c r="CT51" s="835"/>
      <c r="CU51" s="841" t="s">
        <v>6</v>
      </c>
      <c r="CV51" s="842">
        <v>2.9</v>
      </c>
      <c r="CW51" s="843">
        <v>3.2</v>
      </c>
      <c r="CX51" s="844">
        <v>3.3</v>
      </c>
      <c r="CY51" s="842">
        <v>1.3</v>
      </c>
      <c r="CZ51" s="843">
        <v>1.2</v>
      </c>
      <c r="DA51" s="844">
        <v>1.2</v>
      </c>
      <c r="DB51" s="842">
        <v>0.9</v>
      </c>
      <c r="DC51" s="844">
        <v>1</v>
      </c>
      <c r="DD51" s="842">
        <v>0.4</v>
      </c>
      <c r="DE51" s="843">
        <v>0.3</v>
      </c>
      <c r="DF51" s="844">
        <v>0.2</v>
      </c>
      <c r="DG51" s="824">
        <v>0.8</v>
      </c>
      <c r="DI51" s="834" t="s">
        <v>358</v>
      </c>
      <c r="DJ51" s="835"/>
      <c r="DK51" s="841" t="s">
        <v>6</v>
      </c>
      <c r="DL51" s="842">
        <v>3</v>
      </c>
      <c r="DM51" s="843">
        <v>3.4</v>
      </c>
      <c r="DN51" s="844">
        <v>3.5</v>
      </c>
      <c r="DO51" s="842">
        <v>1.4</v>
      </c>
      <c r="DP51" s="843">
        <v>1.2</v>
      </c>
      <c r="DQ51" s="844">
        <v>1.3</v>
      </c>
      <c r="DR51" s="842">
        <v>1</v>
      </c>
      <c r="DS51" s="844">
        <v>1</v>
      </c>
      <c r="DT51" s="842">
        <v>0.4</v>
      </c>
      <c r="DU51" s="843">
        <v>0.3</v>
      </c>
      <c r="DV51" s="844">
        <v>0.2</v>
      </c>
      <c r="DW51" s="824">
        <v>0.8</v>
      </c>
      <c r="DY51" s="834" t="s">
        <v>358</v>
      </c>
      <c r="DZ51" s="835"/>
      <c r="EA51" s="841" t="s">
        <v>6</v>
      </c>
      <c r="EB51" s="842">
        <v>3.2</v>
      </c>
      <c r="EC51" s="843">
        <v>3.5</v>
      </c>
      <c r="ED51" s="844">
        <v>3.7</v>
      </c>
      <c r="EE51" s="842">
        <v>1.4</v>
      </c>
      <c r="EF51" s="843">
        <v>1.3</v>
      </c>
      <c r="EG51" s="844">
        <v>1.4</v>
      </c>
      <c r="EH51" s="842">
        <v>1</v>
      </c>
      <c r="EI51" s="844">
        <v>1.1000000000000001</v>
      </c>
      <c r="EJ51" s="842">
        <v>0.4</v>
      </c>
      <c r="EK51" s="843">
        <v>0.3</v>
      </c>
      <c r="EL51" s="844">
        <v>0.3</v>
      </c>
      <c r="EM51" s="824">
        <v>0.8</v>
      </c>
    </row>
    <row r="52" spans="17:143" ht="13.5" customHeight="1">
      <c r="Q52" s="834" t="s">
        <v>359</v>
      </c>
      <c r="R52" s="835"/>
      <c r="S52" s="841" t="s">
        <v>6</v>
      </c>
      <c r="T52" s="842">
        <v>0.2</v>
      </c>
      <c r="U52" s="843">
        <v>0.2</v>
      </c>
      <c r="V52" s="844">
        <v>0.2</v>
      </c>
      <c r="W52" s="842">
        <v>0.2</v>
      </c>
      <c r="X52" s="843">
        <v>0.2</v>
      </c>
      <c r="Y52" s="844">
        <v>0.2</v>
      </c>
      <c r="Z52" s="842">
        <v>0.2</v>
      </c>
      <c r="AA52" s="844">
        <v>0.2</v>
      </c>
      <c r="AB52" s="842">
        <v>0</v>
      </c>
      <c r="AC52" s="843">
        <v>0</v>
      </c>
      <c r="AD52" s="844">
        <v>0.1</v>
      </c>
      <c r="AE52" s="824">
        <v>0.1</v>
      </c>
      <c r="AG52" s="834" t="s">
        <v>359</v>
      </c>
      <c r="AH52" s="835"/>
      <c r="AI52" s="841" t="s">
        <v>6</v>
      </c>
      <c r="AJ52" s="842">
        <v>0.2</v>
      </c>
      <c r="AK52" s="843">
        <v>0.2</v>
      </c>
      <c r="AL52" s="844">
        <v>0.2</v>
      </c>
      <c r="AM52" s="842">
        <v>0.2</v>
      </c>
      <c r="AN52" s="843">
        <v>0.2</v>
      </c>
      <c r="AO52" s="844">
        <v>0.2</v>
      </c>
      <c r="AP52" s="842">
        <v>0.2</v>
      </c>
      <c r="AQ52" s="844">
        <v>0.2</v>
      </c>
      <c r="AR52" s="842">
        <v>0</v>
      </c>
      <c r="AS52" s="843">
        <v>0</v>
      </c>
      <c r="AT52" s="844">
        <v>0.1</v>
      </c>
      <c r="AU52" s="824">
        <v>0.1</v>
      </c>
      <c r="AW52" s="834" t="s">
        <v>359</v>
      </c>
      <c r="AX52" s="835"/>
      <c r="AY52" s="841" t="s">
        <v>6</v>
      </c>
      <c r="AZ52" s="842">
        <v>0.2</v>
      </c>
      <c r="BA52" s="843">
        <v>0.2</v>
      </c>
      <c r="BB52" s="844">
        <v>0.2</v>
      </c>
      <c r="BC52" s="842">
        <v>0.2</v>
      </c>
      <c r="BD52" s="843">
        <v>0.2</v>
      </c>
      <c r="BE52" s="844">
        <v>0.2</v>
      </c>
      <c r="BF52" s="842">
        <v>0.2</v>
      </c>
      <c r="BG52" s="844">
        <v>0.2</v>
      </c>
      <c r="BH52" s="842">
        <v>0</v>
      </c>
      <c r="BI52" s="843">
        <v>0</v>
      </c>
      <c r="BJ52" s="844">
        <v>0.1</v>
      </c>
      <c r="BK52" s="824">
        <v>0.1</v>
      </c>
      <c r="BM52" s="834" t="s">
        <v>359</v>
      </c>
      <c r="BN52" s="835"/>
      <c r="BO52" s="841" t="s">
        <v>6</v>
      </c>
      <c r="BP52" s="842">
        <v>0.3</v>
      </c>
      <c r="BQ52" s="843">
        <v>0.3</v>
      </c>
      <c r="BR52" s="844">
        <v>0.3</v>
      </c>
      <c r="BS52" s="842">
        <v>0.3</v>
      </c>
      <c r="BT52" s="843">
        <v>0.3</v>
      </c>
      <c r="BU52" s="844">
        <v>0.3</v>
      </c>
      <c r="BV52" s="842">
        <v>0.3</v>
      </c>
      <c r="BW52" s="844">
        <v>0.3</v>
      </c>
      <c r="BX52" s="842">
        <v>0</v>
      </c>
      <c r="BY52" s="843">
        <v>0</v>
      </c>
      <c r="BZ52" s="844">
        <v>0.1</v>
      </c>
      <c r="CA52" s="824">
        <v>0.1</v>
      </c>
      <c r="CC52" s="834" t="s">
        <v>359</v>
      </c>
      <c r="CD52" s="835"/>
      <c r="CE52" s="841" t="s">
        <v>6</v>
      </c>
      <c r="CF52" s="842">
        <v>0.3</v>
      </c>
      <c r="CG52" s="843">
        <v>0.3</v>
      </c>
      <c r="CH52" s="844">
        <v>0.3</v>
      </c>
      <c r="CI52" s="842">
        <v>0.3</v>
      </c>
      <c r="CJ52" s="843">
        <v>0.3</v>
      </c>
      <c r="CK52" s="844">
        <v>0.3</v>
      </c>
      <c r="CL52" s="842">
        <v>0.3</v>
      </c>
      <c r="CM52" s="844">
        <v>0.3</v>
      </c>
      <c r="CN52" s="842">
        <v>0</v>
      </c>
      <c r="CO52" s="843">
        <v>0</v>
      </c>
      <c r="CP52" s="844">
        <v>0.1</v>
      </c>
      <c r="CQ52" s="824">
        <v>0.1</v>
      </c>
      <c r="CS52" s="834" t="s">
        <v>359</v>
      </c>
      <c r="CT52" s="835"/>
      <c r="CU52" s="841" t="s">
        <v>6</v>
      </c>
      <c r="CV52" s="842">
        <v>0.3</v>
      </c>
      <c r="CW52" s="843">
        <v>0.3</v>
      </c>
      <c r="CX52" s="844">
        <v>0.3</v>
      </c>
      <c r="CY52" s="842">
        <v>0.3</v>
      </c>
      <c r="CZ52" s="843">
        <v>0.3</v>
      </c>
      <c r="DA52" s="844">
        <v>0.3</v>
      </c>
      <c r="DB52" s="842">
        <v>0.3</v>
      </c>
      <c r="DC52" s="844">
        <v>0.3</v>
      </c>
      <c r="DD52" s="842">
        <v>0</v>
      </c>
      <c r="DE52" s="843">
        <v>0</v>
      </c>
      <c r="DF52" s="844">
        <v>0.1</v>
      </c>
      <c r="DG52" s="824">
        <v>0.2</v>
      </c>
      <c r="DI52" s="834" t="s">
        <v>359</v>
      </c>
      <c r="DJ52" s="835"/>
      <c r="DK52" s="841" t="s">
        <v>6</v>
      </c>
      <c r="DL52" s="842">
        <v>0.3</v>
      </c>
      <c r="DM52" s="843">
        <v>0.3</v>
      </c>
      <c r="DN52" s="844">
        <v>0.3</v>
      </c>
      <c r="DO52" s="842">
        <v>0.3</v>
      </c>
      <c r="DP52" s="843">
        <v>0.3</v>
      </c>
      <c r="DQ52" s="844">
        <v>0.3</v>
      </c>
      <c r="DR52" s="842">
        <v>0.3</v>
      </c>
      <c r="DS52" s="844">
        <v>0.3</v>
      </c>
      <c r="DT52" s="842">
        <v>0</v>
      </c>
      <c r="DU52" s="843">
        <v>0</v>
      </c>
      <c r="DV52" s="844">
        <v>0.2</v>
      </c>
      <c r="DW52" s="824">
        <v>0.2</v>
      </c>
      <c r="DY52" s="834" t="s">
        <v>359</v>
      </c>
      <c r="DZ52" s="835"/>
      <c r="EA52" s="841" t="s">
        <v>6</v>
      </c>
      <c r="EB52" s="842">
        <v>0.3</v>
      </c>
      <c r="EC52" s="843">
        <v>0.3</v>
      </c>
      <c r="ED52" s="844">
        <v>0.3</v>
      </c>
      <c r="EE52" s="842">
        <v>0.3</v>
      </c>
      <c r="EF52" s="843">
        <v>0.3</v>
      </c>
      <c r="EG52" s="844">
        <v>0.3</v>
      </c>
      <c r="EH52" s="842">
        <v>0.3</v>
      </c>
      <c r="EI52" s="844">
        <v>0.3</v>
      </c>
      <c r="EJ52" s="842">
        <v>0</v>
      </c>
      <c r="EK52" s="843">
        <v>0</v>
      </c>
      <c r="EL52" s="844">
        <v>0.2</v>
      </c>
      <c r="EM52" s="824">
        <v>0.2</v>
      </c>
    </row>
    <row r="53" spans="17:143" ht="13.5" customHeight="1">
      <c r="Q53" s="834" t="s">
        <v>360</v>
      </c>
      <c r="R53" s="835"/>
      <c r="S53" s="841" t="s">
        <v>6</v>
      </c>
      <c r="T53" s="842">
        <v>5</v>
      </c>
      <c r="U53" s="843">
        <v>4.3</v>
      </c>
      <c r="V53" s="844">
        <v>5.2</v>
      </c>
      <c r="W53" s="842">
        <v>4.8</v>
      </c>
      <c r="X53" s="843">
        <v>3.9</v>
      </c>
      <c r="Y53" s="844">
        <v>4.4000000000000004</v>
      </c>
      <c r="Z53" s="842">
        <v>3.7</v>
      </c>
      <c r="AA53" s="844">
        <v>4.2</v>
      </c>
      <c r="AB53" s="842">
        <v>5.2</v>
      </c>
      <c r="AC53" s="843">
        <v>4</v>
      </c>
      <c r="AD53" s="844">
        <v>3.6</v>
      </c>
      <c r="AE53" s="824">
        <v>4.2</v>
      </c>
      <c r="AG53" s="834" t="s">
        <v>360</v>
      </c>
      <c r="AH53" s="835"/>
      <c r="AI53" s="841" t="s">
        <v>6</v>
      </c>
      <c r="AJ53" s="842">
        <v>5.0999999999999996</v>
      </c>
      <c r="AK53" s="843">
        <v>4.4000000000000004</v>
      </c>
      <c r="AL53" s="844">
        <v>5.2</v>
      </c>
      <c r="AM53" s="842">
        <v>4.8</v>
      </c>
      <c r="AN53" s="843">
        <v>3.9</v>
      </c>
      <c r="AO53" s="844">
        <v>4.4000000000000004</v>
      </c>
      <c r="AP53" s="842">
        <v>3.7</v>
      </c>
      <c r="AQ53" s="844">
        <v>4.2</v>
      </c>
      <c r="AR53" s="842">
        <v>5.0999999999999996</v>
      </c>
      <c r="AS53" s="843">
        <v>4.0999999999999996</v>
      </c>
      <c r="AT53" s="844">
        <v>3.6</v>
      </c>
      <c r="AU53" s="824">
        <v>4.2</v>
      </c>
      <c r="AW53" s="834" t="s">
        <v>360</v>
      </c>
      <c r="AX53" s="835"/>
      <c r="AY53" s="841" t="s">
        <v>6</v>
      </c>
      <c r="AZ53" s="842">
        <v>5</v>
      </c>
      <c r="BA53" s="843">
        <v>4.4000000000000004</v>
      </c>
      <c r="BB53" s="844">
        <v>5.2</v>
      </c>
      <c r="BC53" s="842">
        <v>4.7</v>
      </c>
      <c r="BD53" s="843">
        <v>3.9</v>
      </c>
      <c r="BE53" s="844">
        <v>4.4000000000000004</v>
      </c>
      <c r="BF53" s="842">
        <v>3.6</v>
      </c>
      <c r="BG53" s="844">
        <v>4.2</v>
      </c>
      <c r="BH53" s="842">
        <v>5</v>
      </c>
      <c r="BI53" s="843">
        <v>4</v>
      </c>
      <c r="BJ53" s="844">
        <v>3.5</v>
      </c>
      <c r="BK53" s="824">
        <v>4.0999999999999996</v>
      </c>
      <c r="BM53" s="834" t="s">
        <v>360</v>
      </c>
      <c r="BN53" s="835"/>
      <c r="BO53" s="841" t="s">
        <v>6</v>
      </c>
      <c r="BP53" s="842">
        <v>4.9000000000000004</v>
      </c>
      <c r="BQ53" s="843">
        <v>4.4000000000000004</v>
      </c>
      <c r="BR53" s="844">
        <v>5.0999999999999996</v>
      </c>
      <c r="BS53" s="842">
        <v>4.5999999999999996</v>
      </c>
      <c r="BT53" s="843">
        <v>3.9</v>
      </c>
      <c r="BU53" s="844">
        <v>4.3</v>
      </c>
      <c r="BV53" s="842">
        <v>3.6</v>
      </c>
      <c r="BW53" s="844">
        <v>4.0999999999999996</v>
      </c>
      <c r="BX53" s="842">
        <v>4.9000000000000004</v>
      </c>
      <c r="BY53" s="843">
        <v>3.9</v>
      </c>
      <c r="BZ53" s="844">
        <v>3.5</v>
      </c>
      <c r="CA53" s="824">
        <v>4.0999999999999996</v>
      </c>
      <c r="CC53" s="834" t="s">
        <v>360</v>
      </c>
      <c r="CD53" s="835"/>
      <c r="CE53" s="841" t="s">
        <v>6</v>
      </c>
      <c r="CF53" s="842">
        <v>4.8</v>
      </c>
      <c r="CG53" s="843">
        <v>4.5</v>
      </c>
      <c r="CH53" s="844">
        <v>5.2</v>
      </c>
      <c r="CI53" s="842">
        <v>4.5999999999999996</v>
      </c>
      <c r="CJ53" s="843">
        <v>3.9</v>
      </c>
      <c r="CK53" s="844">
        <v>4.3</v>
      </c>
      <c r="CL53" s="842">
        <v>3.6</v>
      </c>
      <c r="CM53" s="844">
        <v>4.0999999999999996</v>
      </c>
      <c r="CN53" s="842">
        <v>4.8</v>
      </c>
      <c r="CO53" s="843">
        <v>3.9</v>
      </c>
      <c r="CP53" s="844">
        <v>3.5</v>
      </c>
      <c r="CQ53" s="824">
        <v>4.0999999999999996</v>
      </c>
      <c r="CS53" s="834" t="s">
        <v>360</v>
      </c>
      <c r="CT53" s="835"/>
      <c r="CU53" s="841" t="s">
        <v>6</v>
      </c>
      <c r="CV53" s="842">
        <v>4.8</v>
      </c>
      <c r="CW53" s="843">
        <v>4.5999999999999996</v>
      </c>
      <c r="CX53" s="844">
        <v>5.3</v>
      </c>
      <c r="CY53" s="842">
        <v>4.5999999999999996</v>
      </c>
      <c r="CZ53" s="843">
        <v>4</v>
      </c>
      <c r="DA53" s="844">
        <v>4.4000000000000004</v>
      </c>
      <c r="DB53" s="842">
        <v>3.7</v>
      </c>
      <c r="DC53" s="844">
        <v>4.2</v>
      </c>
      <c r="DD53" s="842">
        <v>4.8</v>
      </c>
      <c r="DE53" s="843">
        <v>4</v>
      </c>
      <c r="DF53" s="844">
        <v>3.6</v>
      </c>
      <c r="DG53" s="824">
        <v>4.0999999999999996</v>
      </c>
      <c r="DI53" s="834" t="s">
        <v>360</v>
      </c>
      <c r="DJ53" s="835"/>
      <c r="DK53" s="841" t="s">
        <v>6</v>
      </c>
      <c r="DL53" s="842">
        <v>4.8</v>
      </c>
      <c r="DM53" s="843">
        <v>4.8</v>
      </c>
      <c r="DN53" s="844">
        <v>5.4</v>
      </c>
      <c r="DO53" s="842">
        <v>4.5999999999999996</v>
      </c>
      <c r="DP53" s="843">
        <v>4.0999999999999996</v>
      </c>
      <c r="DQ53" s="844">
        <v>4.5</v>
      </c>
      <c r="DR53" s="842">
        <v>3.8</v>
      </c>
      <c r="DS53" s="844">
        <v>4.3</v>
      </c>
      <c r="DT53" s="842">
        <v>4.8</v>
      </c>
      <c r="DU53" s="843">
        <v>4</v>
      </c>
      <c r="DV53" s="844">
        <v>3.6</v>
      </c>
      <c r="DW53" s="824">
        <v>4.2</v>
      </c>
      <c r="DY53" s="834" t="s">
        <v>360</v>
      </c>
      <c r="DZ53" s="835"/>
      <c r="EA53" s="841" t="s">
        <v>6</v>
      </c>
      <c r="EB53" s="842">
        <v>4.9000000000000004</v>
      </c>
      <c r="EC53" s="843">
        <v>4.9000000000000004</v>
      </c>
      <c r="ED53" s="844">
        <v>5.5</v>
      </c>
      <c r="EE53" s="842">
        <v>4.5999999999999996</v>
      </c>
      <c r="EF53" s="843">
        <v>4.2</v>
      </c>
      <c r="EG53" s="844">
        <v>4.5999999999999996</v>
      </c>
      <c r="EH53" s="842">
        <v>3.8</v>
      </c>
      <c r="EI53" s="844">
        <v>4.3</v>
      </c>
      <c r="EJ53" s="842">
        <v>4.8</v>
      </c>
      <c r="EK53" s="843">
        <v>4.0999999999999996</v>
      </c>
      <c r="EL53" s="844">
        <v>3.7</v>
      </c>
      <c r="EM53" s="824">
        <v>4.3</v>
      </c>
    </row>
    <row r="54" spans="17:143" ht="13.5" customHeight="1">
      <c r="Q54" s="834" t="s">
        <v>361</v>
      </c>
      <c r="R54" s="819"/>
      <c r="S54" s="845" t="s">
        <v>6</v>
      </c>
      <c r="T54" s="846">
        <v>-7.6</v>
      </c>
      <c r="U54" s="847">
        <v>-6.5</v>
      </c>
      <c r="V54" s="848">
        <v>-7.8</v>
      </c>
      <c r="W54" s="846">
        <v>-7.3</v>
      </c>
      <c r="X54" s="847">
        <v>-5.9</v>
      </c>
      <c r="Y54" s="848">
        <v>-6.6</v>
      </c>
      <c r="Z54" s="846">
        <v>-5.5</v>
      </c>
      <c r="AA54" s="848">
        <v>-6.4</v>
      </c>
      <c r="AB54" s="846">
        <v>-7.7</v>
      </c>
      <c r="AC54" s="847">
        <v>-6.1</v>
      </c>
      <c r="AD54" s="848">
        <v>-5.4</v>
      </c>
      <c r="AE54" s="849">
        <v>-6.3</v>
      </c>
      <c r="AG54" s="834" t="s">
        <v>361</v>
      </c>
      <c r="AH54" s="819"/>
      <c r="AI54" s="845" t="s">
        <v>6</v>
      </c>
      <c r="AJ54" s="846">
        <v>-7.2</v>
      </c>
      <c r="AK54" s="847">
        <v>-6.2</v>
      </c>
      <c r="AL54" s="848">
        <v>-7.4</v>
      </c>
      <c r="AM54" s="846">
        <v>-6.8</v>
      </c>
      <c r="AN54" s="847">
        <v>-5.6</v>
      </c>
      <c r="AO54" s="848">
        <v>-6.2</v>
      </c>
      <c r="AP54" s="846">
        <v>-5.2</v>
      </c>
      <c r="AQ54" s="848">
        <v>-6</v>
      </c>
      <c r="AR54" s="846">
        <v>-7.2</v>
      </c>
      <c r="AS54" s="847">
        <v>-5.7</v>
      </c>
      <c r="AT54" s="848">
        <v>-5.0999999999999996</v>
      </c>
      <c r="AU54" s="849">
        <v>-6</v>
      </c>
      <c r="AW54" s="834" t="s">
        <v>361</v>
      </c>
      <c r="AX54" s="819"/>
      <c r="AY54" s="845" t="s">
        <v>6</v>
      </c>
      <c r="AZ54" s="846">
        <v>-6.8</v>
      </c>
      <c r="BA54" s="847">
        <v>-6</v>
      </c>
      <c r="BB54" s="848">
        <v>-7.1</v>
      </c>
      <c r="BC54" s="846">
        <v>-6.5</v>
      </c>
      <c r="BD54" s="847">
        <v>-5.3</v>
      </c>
      <c r="BE54" s="848">
        <v>-6</v>
      </c>
      <c r="BF54" s="846">
        <v>-5</v>
      </c>
      <c r="BG54" s="848">
        <v>-5.7</v>
      </c>
      <c r="BH54" s="846">
        <v>-6.9</v>
      </c>
      <c r="BI54" s="847">
        <v>-5.5</v>
      </c>
      <c r="BJ54" s="848">
        <v>-4.9000000000000004</v>
      </c>
      <c r="BK54" s="849">
        <v>-5.7</v>
      </c>
      <c r="BM54" s="834" t="s">
        <v>361</v>
      </c>
      <c r="BN54" s="819"/>
      <c r="BO54" s="845" t="s">
        <v>6</v>
      </c>
      <c r="BP54" s="846">
        <v>-6.4</v>
      </c>
      <c r="BQ54" s="847">
        <v>-5.7</v>
      </c>
      <c r="BR54" s="848">
        <v>-6.7</v>
      </c>
      <c r="BS54" s="846">
        <v>-6</v>
      </c>
      <c r="BT54" s="847">
        <v>-5</v>
      </c>
      <c r="BU54" s="848">
        <v>-5.6</v>
      </c>
      <c r="BV54" s="846">
        <v>-4.7</v>
      </c>
      <c r="BW54" s="848">
        <v>-5.4</v>
      </c>
      <c r="BX54" s="846">
        <v>-6.4</v>
      </c>
      <c r="BY54" s="847">
        <v>-5.0999999999999996</v>
      </c>
      <c r="BZ54" s="848">
        <v>-4.5</v>
      </c>
      <c r="CA54" s="849">
        <v>-5.3</v>
      </c>
      <c r="CC54" s="834" t="s">
        <v>361</v>
      </c>
      <c r="CD54" s="819"/>
      <c r="CE54" s="845" t="s">
        <v>6</v>
      </c>
      <c r="CF54" s="846">
        <v>-5.8</v>
      </c>
      <c r="CG54" s="847">
        <v>-5.4</v>
      </c>
      <c r="CH54" s="848">
        <v>-6.2</v>
      </c>
      <c r="CI54" s="846">
        <v>-5.5</v>
      </c>
      <c r="CJ54" s="847">
        <v>-4.7</v>
      </c>
      <c r="CK54" s="848">
        <v>-5.2</v>
      </c>
      <c r="CL54" s="846">
        <v>-4.4000000000000004</v>
      </c>
      <c r="CM54" s="848">
        <v>-5</v>
      </c>
      <c r="CN54" s="846">
        <v>-5.8</v>
      </c>
      <c r="CO54" s="847">
        <v>-4.7</v>
      </c>
      <c r="CP54" s="848">
        <v>-4.2</v>
      </c>
      <c r="CQ54" s="849">
        <v>-4.9000000000000004</v>
      </c>
      <c r="CS54" s="834" t="s">
        <v>361</v>
      </c>
      <c r="CT54" s="819"/>
      <c r="CU54" s="845" t="s">
        <v>6</v>
      </c>
      <c r="CV54" s="846">
        <v>-5.4</v>
      </c>
      <c r="CW54" s="847">
        <v>-5.2</v>
      </c>
      <c r="CX54" s="848">
        <v>-5.9</v>
      </c>
      <c r="CY54" s="846">
        <v>-5.0999999999999996</v>
      </c>
      <c r="CZ54" s="847">
        <v>-4.5</v>
      </c>
      <c r="DA54" s="848">
        <v>-5</v>
      </c>
      <c r="DB54" s="846">
        <v>-4.0999999999999996</v>
      </c>
      <c r="DC54" s="848">
        <v>-4.7</v>
      </c>
      <c r="DD54" s="846">
        <v>-5.4</v>
      </c>
      <c r="DE54" s="847">
        <v>-4.5</v>
      </c>
      <c r="DF54" s="848">
        <v>-4</v>
      </c>
      <c r="DG54" s="849">
        <v>-4.5999999999999996</v>
      </c>
      <c r="DI54" s="834" t="s">
        <v>361</v>
      </c>
      <c r="DJ54" s="819"/>
      <c r="DK54" s="845" t="s">
        <v>6</v>
      </c>
      <c r="DL54" s="846">
        <v>-5</v>
      </c>
      <c r="DM54" s="847">
        <v>-5</v>
      </c>
      <c r="DN54" s="848">
        <v>-5.6</v>
      </c>
      <c r="DO54" s="846">
        <v>-4.8</v>
      </c>
      <c r="DP54" s="847">
        <v>-4.3</v>
      </c>
      <c r="DQ54" s="848">
        <v>-4.7</v>
      </c>
      <c r="DR54" s="846">
        <v>-3.9</v>
      </c>
      <c r="DS54" s="848">
        <v>-4.5</v>
      </c>
      <c r="DT54" s="846">
        <v>-5</v>
      </c>
      <c r="DU54" s="847">
        <v>-4.2</v>
      </c>
      <c r="DV54" s="848">
        <v>-3.8</v>
      </c>
      <c r="DW54" s="849">
        <v>-4.4000000000000004</v>
      </c>
      <c r="DY54" s="834" t="s">
        <v>361</v>
      </c>
      <c r="DZ54" s="819"/>
      <c r="EA54" s="845" t="s">
        <v>6</v>
      </c>
      <c r="EB54" s="846">
        <v>-4.7</v>
      </c>
      <c r="EC54" s="847">
        <v>-4.7</v>
      </c>
      <c r="ED54" s="848">
        <v>-5.3</v>
      </c>
      <c r="EE54" s="846">
        <v>-4.5</v>
      </c>
      <c r="EF54" s="847">
        <v>-4.0999999999999996</v>
      </c>
      <c r="EG54" s="848">
        <v>-4.4000000000000004</v>
      </c>
      <c r="EH54" s="846">
        <v>-3.7</v>
      </c>
      <c r="EI54" s="848">
        <v>-4.2</v>
      </c>
      <c r="EJ54" s="846">
        <v>-4.5999999999999996</v>
      </c>
      <c r="EK54" s="847">
        <v>-3.9</v>
      </c>
      <c r="EL54" s="848">
        <v>-3.5</v>
      </c>
      <c r="EM54" s="849">
        <v>-4.0999999999999996</v>
      </c>
    </row>
    <row r="55" spans="17:143" ht="13.5" customHeight="1" thickBot="1">
      <c r="Q55" s="850" t="s">
        <v>77</v>
      </c>
      <c r="R55" s="851"/>
      <c r="S55" s="852"/>
      <c r="T55" s="853">
        <v>11.2</v>
      </c>
      <c r="U55" s="854">
        <v>75.8</v>
      </c>
      <c r="V55" s="855">
        <v>29.2</v>
      </c>
      <c r="W55" s="853">
        <v>6.3</v>
      </c>
      <c r="X55" s="854">
        <v>35.700000000000003</v>
      </c>
      <c r="Y55" s="855">
        <v>20.100000000000001</v>
      </c>
      <c r="Z55" s="856">
        <v>16.899999999999999</v>
      </c>
      <c r="AA55" s="857">
        <v>16.899999999999999</v>
      </c>
      <c r="AB55" s="853">
        <v>1.8</v>
      </c>
      <c r="AC55" s="854">
        <v>2.9</v>
      </c>
      <c r="AD55" s="855">
        <v>0.7</v>
      </c>
      <c r="AE55" s="858">
        <v>11.7</v>
      </c>
      <c r="AG55" s="850" t="s">
        <v>77</v>
      </c>
      <c r="AH55" s="851"/>
      <c r="AI55" s="852"/>
      <c r="AJ55" s="853">
        <v>7.1</v>
      </c>
      <c r="AK55" s="854">
        <v>85.4</v>
      </c>
      <c r="AL55" s="855">
        <v>29.6</v>
      </c>
      <c r="AM55" s="853">
        <v>5.7</v>
      </c>
      <c r="AN55" s="854">
        <v>38.299999999999997</v>
      </c>
      <c r="AO55" s="855">
        <v>21.3</v>
      </c>
      <c r="AP55" s="856">
        <v>17.600000000000001</v>
      </c>
      <c r="AQ55" s="857">
        <v>17.100000000000001</v>
      </c>
      <c r="AR55" s="853">
        <v>2.4</v>
      </c>
      <c r="AS55" s="854">
        <v>2.8</v>
      </c>
      <c r="AT55" s="855">
        <v>0.9</v>
      </c>
      <c r="AU55" s="858">
        <v>12.4</v>
      </c>
      <c r="AW55" s="850" t="s">
        <v>77</v>
      </c>
      <c r="AX55" s="851"/>
      <c r="AY55" s="852"/>
      <c r="AZ55" s="853">
        <v>6.9</v>
      </c>
      <c r="BA55" s="854">
        <v>98.4</v>
      </c>
      <c r="BB55" s="855">
        <v>31.7</v>
      </c>
      <c r="BC55" s="853">
        <v>6.3</v>
      </c>
      <c r="BD55" s="854">
        <v>43.6</v>
      </c>
      <c r="BE55" s="855">
        <v>24.3</v>
      </c>
      <c r="BF55" s="856">
        <v>20.3</v>
      </c>
      <c r="BG55" s="857">
        <v>18.899999999999999</v>
      </c>
      <c r="BH55" s="853">
        <v>3.2</v>
      </c>
      <c r="BI55" s="854">
        <v>3.2</v>
      </c>
      <c r="BJ55" s="855">
        <v>1.3</v>
      </c>
      <c r="BK55" s="858">
        <v>14.1</v>
      </c>
      <c r="BM55" s="850" t="s">
        <v>77</v>
      </c>
      <c r="BN55" s="851"/>
      <c r="BO55" s="852"/>
      <c r="BP55" s="853">
        <v>6.5</v>
      </c>
      <c r="BQ55" s="854">
        <v>115.2</v>
      </c>
      <c r="BR55" s="855">
        <v>35.1</v>
      </c>
      <c r="BS55" s="853">
        <v>8.1</v>
      </c>
      <c r="BT55" s="854">
        <v>50</v>
      </c>
      <c r="BU55" s="855">
        <v>27.7</v>
      </c>
      <c r="BV55" s="856">
        <v>23.4</v>
      </c>
      <c r="BW55" s="857">
        <v>20.9</v>
      </c>
      <c r="BX55" s="853">
        <v>5</v>
      </c>
      <c r="BY55" s="854">
        <v>4</v>
      </c>
      <c r="BZ55" s="855">
        <v>5.8</v>
      </c>
      <c r="CA55" s="858">
        <v>17.100000000000001</v>
      </c>
      <c r="CC55" s="850" t="s">
        <v>77</v>
      </c>
      <c r="CD55" s="851"/>
      <c r="CE55" s="852"/>
      <c r="CF55" s="853">
        <v>7.8</v>
      </c>
      <c r="CG55" s="854">
        <v>134.9</v>
      </c>
      <c r="CH55" s="855">
        <v>38.700000000000003</v>
      </c>
      <c r="CI55" s="853">
        <v>10.6</v>
      </c>
      <c r="CJ55" s="854">
        <v>58.4</v>
      </c>
      <c r="CK55" s="855">
        <v>31.4</v>
      </c>
      <c r="CL55" s="856">
        <v>27.5</v>
      </c>
      <c r="CM55" s="857">
        <v>23.1</v>
      </c>
      <c r="CN55" s="853">
        <v>8</v>
      </c>
      <c r="CO55" s="854">
        <v>5.3</v>
      </c>
      <c r="CP55" s="855">
        <v>2.5</v>
      </c>
      <c r="CQ55" s="858">
        <v>19.600000000000001</v>
      </c>
      <c r="CS55" s="850" t="s">
        <v>77</v>
      </c>
      <c r="CT55" s="851"/>
      <c r="CU55" s="852"/>
      <c r="CV55" s="853">
        <v>11.4</v>
      </c>
      <c r="CW55" s="854">
        <v>150.4</v>
      </c>
      <c r="CX55" s="855">
        <v>43.8</v>
      </c>
      <c r="CY55" s="853">
        <v>13.5</v>
      </c>
      <c r="CZ55" s="854">
        <v>68.5</v>
      </c>
      <c r="DA55" s="855">
        <v>35.700000000000003</v>
      </c>
      <c r="DB55" s="856">
        <v>31.6</v>
      </c>
      <c r="DC55" s="857">
        <v>25.4</v>
      </c>
      <c r="DD55" s="853">
        <v>10.5</v>
      </c>
      <c r="DE55" s="854">
        <v>6.2</v>
      </c>
      <c r="DF55" s="855">
        <v>7.1</v>
      </c>
      <c r="DG55" s="858">
        <v>23.1</v>
      </c>
      <c r="DI55" s="850" t="s">
        <v>77</v>
      </c>
      <c r="DJ55" s="851"/>
      <c r="DK55" s="852"/>
      <c r="DL55" s="853">
        <v>13.7</v>
      </c>
      <c r="DM55" s="854">
        <v>166.4</v>
      </c>
      <c r="DN55" s="855">
        <v>48</v>
      </c>
      <c r="DO55" s="853">
        <v>16.3</v>
      </c>
      <c r="DP55" s="854">
        <v>78.3</v>
      </c>
      <c r="DQ55" s="855">
        <v>40.1</v>
      </c>
      <c r="DR55" s="856">
        <v>36</v>
      </c>
      <c r="DS55" s="857">
        <v>27.5</v>
      </c>
      <c r="DT55" s="853">
        <v>13.2</v>
      </c>
      <c r="DU55" s="854">
        <v>7.4</v>
      </c>
      <c r="DV55" s="855">
        <v>3.5</v>
      </c>
      <c r="DW55" s="858">
        <v>25.7</v>
      </c>
      <c r="DY55" s="850" t="s">
        <v>77</v>
      </c>
      <c r="DZ55" s="851"/>
      <c r="EA55" s="852"/>
      <c r="EB55" s="853">
        <v>16</v>
      </c>
      <c r="EC55" s="854">
        <v>181.7</v>
      </c>
      <c r="ED55" s="855">
        <v>51.9</v>
      </c>
      <c r="EE55" s="853">
        <v>19.399999999999999</v>
      </c>
      <c r="EF55" s="854">
        <v>86</v>
      </c>
      <c r="EG55" s="855">
        <v>44.4</v>
      </c>
      <c r="EH55" s="856">
        <v>40.6</v>
      </c>
      <c r="EI55" s="857">
        <v>29.5</v>
      </c>
      <c r="EJ55" s="853">
        <v>15.9</v>
      </c>
      <c r="EK55" s="854">
        <v>8.6</v>
      </c>
      <c r="EL55" s="855">
        <v>9.8000000000000007</v>
      </c>
      <c r="EM55" s="858">
        <v>29.4</v>
      </c>
    </row>
    <row r="56" spans="17:143" ht="13.5" customHeight="1" thickTop="1" thickBot="1"/>
    <row r="57" spans="17:143" ht="13.5" customHeight="1" thickTop="1" thickBot="1">
      <c r="Q57" s="809" t="s">
        <v>821</v>
      </c>
      <c r="R57" s="810"/>
      <c r="S57" s="810"/>
      <c r="T57" s="810">
        <v>2015</v>
      </c>
      <c r="U57" s="810" t="s">
        <v>822</v>
      </c>
      <c r="V57" s="810"/>
      <c r="W57" s="810"/>
      <c r="X57" s="810"/>
      <c r="Y57" s="810"/>
      <c r="Z57" s="810"/>
      <c r="AA57" s="810"/>
      <c r="AB57" s="810"/>
      <c r="AC57" s="810"/>
      <c r="AD57" s="811"/>
      <c r="AE57" s="812"/>
      <c r="AG57" s="809" t="s">
        <v>821</v>
      </c>
      <c r="AH57" s="810"/>
      <c r="AI57" s="810"/>
      <c r="AJ57" s="810">
        <v>2020</v>
      </c>
      <c r="AK57" s="810" t="s">
        <v>822</v>
      </c>
      <c r="AL57" s="810"/>
      <c r="AM57" s="810"/>
      <c r="AN57" s="810"/>
      <c r="AO57" s="810"/>
      <c r="AP57" s="810"/>
      <c r="AQ57" s="810"/>
      <c r="AR57" s="810"/>
      <c r="AS57" s="810"/>
      <c r="AT57" s="811"/>
      <c r="AU57" s="812"/>
      <c r="AW57" s="809" t="s">
        <v>821</v>
      </c>
      <c r="AX57" s="810"/>
      <c r="AY57" s="810"/>
      <c r="AZ57" s="810">
        <v>2025</v>
      </c>
      <c r="BA57" s="810" t="s">
        <v>822</v>
      </c>
      <c r="BB57" s="810"/>
      <c r="BC57" s="810"/>
      <c r="BD57" s="810"/>
      <c r="BE57" s="810"/>
      <c r="BF57" s="810"/>
      <c r="BG57" s="810"/>
      <c r="BH57" s="810"/>
      <c r="BI57" s="810"/>
      <c r="BJ57" s="811"/>
      <c r="BK57" s="812"/>
      <c r="BM57" s="809" t="s">
        <v>821</v>
      </c>
      <c r="BN57" s="810"/>
      <c r="BO57" s="810"/>
      <c r="BP57" s="810">
        <v>2030</v>
      </c>
      <c r="BQ57" s="810" t="s">
        <v>822</v>
      </c>
      <c r="BR57" s="810"/>
      <c r="BS57" s="810"/>
      <c r="BT57" s="810"/>
      <c r="BU57" s="810"/>
      <c r="BV57" s="810"/>
      <c r="BW57" s="810"/>
      <c r="BX57" s="810"/>
      <c r="BY57" s="810"/>
      <c r="BZ57" s="811"/>
      <c r="CA57" s="812"/>
      <c r="CC57" s="809" t="s">
        <v>821</v>
      </c>
      <c r="CD57" s="810"/>
      <c r="CE57" s="810"/>
      <c r="CF57" s="810">
        <v>2035</v>
      </c>
      <c r="CG57" s="810" t="s">
        <v>822</v>
      </c>
      <c r="CH57" s="810"/>
      <c r="CI57" s="810"/>
      <c r="CJ57" s="810"/>
      <c r="CK57" s="810"/>
      <c r="CL57" s="810"/>
      <c r="CM57" s="810"/>
      <c r="CN57" s="810"/>
      <c r="CO57" s="810"/>
      <c r="CP57" s="811"/>
      <c r="CQ57" s="812"/>
      <c r="CS57" s="809" t="s">
        <v>821</v>
      </c>
      <c r="CT57" s="810"/>
      <c r="CU57" s="810"/>
      <c r="CV57" s="810">
        <v>2040</v>
      </c>
      <c r="CW57" s="810" t="s">
        <v>822</v>
      </c>
      <c r="CX57" s="810"/>
      <c r="CY57" s="810"/>
      <c r="CZ57" s="810"/>
      <c r="DA57" s="810"/>
      <c r="DB57" s="810"/>
      <c r="DC57" s="810"/>
      <c r="DD57" s="810"/>
      <c r="DE57" s="810"/>
      <c r="DF57" s="811"/>
      <c r="DG57" s="812"/>
      <c r="DI57" s="809" t="s">
        <v>821</v>
      </c>
      <c r="DJ57" s="810"/>
      <c r="DK57" s="810"/>
      <c r="DL57" s="810">
        <v>2045</v>
      </c>
      <c r="DM57" s="810" t="s">
        <v>822</v>
      </c>
      <c r="DN57" s="810"/>
      <c r="DO57" s="810"/>
      <c r="DP57" s="810"/>
      <c r="DQ57" s="810"/>
      <c r="DR57" s="810"/>
      <c r="DS57" s="810"/>
      <c r="DT57" s="810"/>
      <c r="DU57" s="810"/>
      <c r="DV57" s="811"/>
      <c r="DW57" s="812"/>
      <c r="DY57" s="809" t="s">
        <v>821</v>
      </c>
      <c r="DZ57" s="810"/>
      <c r="EA57" s="810"/>
      <c r="EB57" s="810">
        <v>2050</v>
      </c>
      <c r="EC57" s="810" t="s">
        <v>822</v>
      </c>
      <c r="ED57" s="810"/>
      <c r="EE57" s="810"/>
      <c r="EF57" s="810"/>
      <c r="EG57" s="810"/>
      <c r="EH57" s="810"/>
      <c r="EI57" s="810"/>
      <c r="EJ57" s="810"/>
      <c r="EK57" s="810"/>
      <c r="EL57" s="811"/>
      <c r="EM57" s="812"/>
    </row>
    <row r="58" spans="17:143" ht="13.5" customHeight="1" thickTop="1">
      <c r="Q58" s="813"/>
      <c r="R58" s="814"/>
      <c r="S58" s="1090" t="s">
        <v>810</v>
      </c>
      <c r="T58" s="1084" t="s">
        <v>811</v>
      </c>
      <c r="U58" s="1085"/>
      <c r="V58" s="1086"/>
      <c r="W58" s="1084" t="s">
        <v>812</v>
      </c>
      <c r="X58" s="1085"/>
      <c r="Y58" s="1086"/>
      <c r="Z58" s="1079" t="s">
        <v>813</v>
      </c>
      <c r="AA58" s="1080"/>
      <c r="AB58" s="1084" t="s">
        <v>814</v>
      </c>
      <c r="AC58" s="1085"/>
      <c r="AD58" s="1086"/>
      <c r="AE58" s="1078" t="s">
        <v>815</v>
      </c>
      <c r="AG58" s="813"/>
      <c r="AH58" s="814"/>
      <c r="AI58" s="1090" t="s">
        <v>810</v>
      </c>
      <c r="AJ58" s="1084" t="s">
        <v>811</v>
      </c>
      <c r="AK58" s="1085"/>
      <c r="AL58" s="1086"/>
      <c r="AM58" s="1084" t="s">
        <v>812</v>
      </c>
      <c r="AN58" s="1085"/>
      <c r="AO58" s="1086"/>
      <c r="AP58" s="1079" t="s">
        <v>813</v>
      </c>
      <c r="AQ58" s="1080"/>
      <c r="AR58" s="1084" t="s">
        <v>814</v>
      </c>
      <c r="AS58" s="1085"/>
      <c r="AT58" s="1086"/>
      <c r="AU58" s="1078" t="s">
        <v>815</v>
      </c>
      <c r="AW58" s="813"/>
      <c r="AX58" s="814"/>
      <c r="AY58" s="1090" t="s">
        <v>810</v>
      </c>
      <c r="AZ58" s="1084" t="s">
        <v>811</v>
      </c>
      <c r="BA58" s="1085"/>
      <c r="BB58" s="1086"/>
      <c r="BC58" s="1084" t="s">
        <v>812</v>
      </c>
      <c r="BD58" s="1085"/>
      <c r="BE58" s="1086"/>
      <c r="BF58" s="1079" t="s">
        <v>813</v>
      </c>
      <c r="BG58" s="1080"/>
      <c r="BH58" s="1084" t="s">
        <v>814</v>
      </c>
      <c r="BI58" s="1085"/>
      <c r="BJ58" s="1086"/>
      <c r="BK58" s="1078" t="s">
        <v>815</v>
      </c>
      <c r="BM58" s="813"/>
      <c r="BN58" s="814"/>
      <c r="BO58" s="1090" t="s">
        <v>810</v>
      </c>
      <c r="BP58" s="1084" t="s">
        <v>811</v>
      </c>
      <c r="BQ58" s="1085"/>
      <c r="BR58" s="1086"/>
      <c r="BS58" s="1084" t="s">
        <v>812</v>
      </c>
      <c r="BT58" s="1085"/>
      <c r="BU58" s="1086"/>
      <c r="BV58" s="1079" t="s">
        <v>813</v>
      </c>
      <c r="BW58" s="1080"/>
      <c r="BX58" s="1084" t="s">
        <v>814</v>
      </c>
      <c r="BY58" s="1085"/>
      <c r="BZ58" s="1086"/>
      <c r="CA58" s="1078" t="s">
        <v>815</v>
      </c>
      <c r="CC58" s="813"/>
      <c r="CD58" s="814"/>
      <c r="CE58" s="1090" t="s">
        <v>810</v>
      </c>
      <c r="CF58" s="1084" t="s">
        <v>811</v>
      </c>
      <c r="CG58" s="1085"/>
      <c r="CH58" s="1086"/>
      <c r="CI58" s="1084" t="s">
        <v>812</v>
      </c>
      <c r="CJ58" s="1085"/>
      <c r="CK58" s="1086"/>
      <c r="CL58" s="1079" t="s">
        <v>813</v>
      </c>
      <c r="CM58" s="1080"/>
      <c r="CN58" s="1084" t="s">
        <v>814</v>
      </c>
      <c r="CO58" s="1085"/>
      <c r="CP58" s="1086"/>
      <c r="CQ58" s="1078" t="s">
        <v>815</v>
      </c>
      <c r="CS58" s="813"/>
      <c r="CT58" s="814"/>
      <c r="CU58" s="1090" t="s">
        <v>810</v>
      </c>
      <c r="CV58" s="1084" t="s">
        <v>811</v>
      </c>
      <c r="CW58" s="1085"/>
      <c r="CX58" s="1086"/>
      <c r="CY58" s="1084" t="s">
        <v>812</v>
      </c>
      <c r="CZ58" s="1085"/>
      <c r="DA58" s="1086"/>
      <c r="DB58" s="1079" t="s">
        <v>813</v>
      </c>
      <c r="DC58" s="1080"/>
      <c r="DD58" s="1084" t="s">
        <v>814</v>
      </c>
      <c r="DE58" s="1085"/>
      <c r="DF58" s="1086"/>
      <c r="DG58" s="1078" t="s">
        <v>815</v>
      </c>
      <c r="DI58" s="813"/>
      <c r="DJ58" s="814"/>
      <c r="DK58" s="1090" t="s">
        <v>810</v>
      </c>
      <c r="DL58" s="1084" t="s">
        <v>811</v>
      </c>
      <c r="DM58" s="1085"/>
      <c r="DN58" s="1086"/>
      <c r="DO58" s="1084" t="s">
        <v>812</v>
      </c>
      <c r="DP58" s="1085"/>
      <c r="DQ58" s="1086"/>
      <c r="DR58" s="1079" t="s">
        <v>813</v>
      </c>
      <c r="DS58" s="1080"/>
      <c r="DT58" s="1084" t="s">
        <v>814</v>
      </c>
      <c r="DU58" s="1085"/>
      <c r="DV58" s="1086"/>
      <c r="DW58" s="1078" t="s">
        <v>815</v>
      </c>
      <c r="DY58" s="813"/>
      <c r="DZ58" s="814"/>
      <c r="EA58" s="1090" t="s">
        <v>810</v>
      </c>
      <c r="EB58" s="1084" t="s">
        <v>811</v>
      </c>
      <c r="EC58" s="1085"/>
      <c r="ED58" s="1086"/>
      <c r="EE58" s="1084" t="s">
        <v>812</v>
      </c>
      <c r="EF58" s="1085"/>
      <c r="EG58" s="1086"/>
      <c r="EH58" s="1079" t="s">
        <v>813</v>
      </c>
      <c r="EI58" s="1080"/>
      <c r="EJ58" s="1084" t="s">
        <v>814</v>
      </c>
      <c r="EK58" s="1085"/>
      <c r="EL58" s="1086"/>
      <c r="EM58" s="1078" t="s">
        <v>815</v>
      </c>
    </row>
    <row r="59" spans="17:143" ht="13.5" customHeight="1" thickBot="1">
      <c r="Q59" s="815" t="s">
        <v>816</v>
      </c>
      <c r="R59" s="816"/>
      <c r="S59" s="1082"/>
      <c r="T59" s="817" t="s">
        <v>817</v>
      </c>
      <c r="U59" s="818" t="s">
        <v>818</v>
      </c>
      <c r="V59" s="1082" t="s">
        <v>819</v>
      </c>
      <c r="W59" s="817" t="s">
        <v>817</v>
      </c>
      <c r="X59" s="818" t="s">
        <v>818</v>
      </c>
      <c r="Y59" s="1082" t="s">
        <v>819</v>
      </c>
      <c r="Z59" s="817" t="s">
        <v>818</v>
      </c>
      <c r="AA59" s="1082" t="s">
        <v>819</v>
      </c>
      <c r="AB59" s="817" t="s">
        <v>817</v>
      </c>
      <c r="AC59" s="818" t="s">
        <v>818</v>
      </c>
      <c r="AD59" s="1082" t="s">
        <v>819</v>
      </c>
      <c r="AE59" s="1081"/>
      <c r="AG59" s="815" t="s">
        <v>816</v>
      </c>
      <c r="AH59" s="816"/>
      <c r="AI59" s="1082"/>
      <c r="AJ59" s="817" t="s">
        <v>817</v>
      </c>
      <c r="AK59" s="818" t="s">
        <v>818</v>
      </c>
      <c r="AL59" s="1082" t="s">
        <v>819</v>
      </c>
      <c r="AM59" s="817" t="s">
        <v>817</v>
      </c>
      <c r="AN59" s="818" t="s">
        <v>818</v>
      </c>
      <c r="AO59" s="1082" t="s">
        <v>819</v>
      </c>
      <c r="AP59" s="817" t="s">
        <v>818</v>
      </c>
      <c r="AQ59" s="1082" t="s">
        <v>819</v>
      </c>
      <c r="AR59" s="817" t="s">
        <v>817</v>
      </c>
      <c r="AS59" s="818" t="s">
        <v>818</v>
      </c>
      <c r="AT59" s="1082" t="s">
        <v>819</v>
      </c>
      <c r="AU59" s="1081"/>
      <c r="AW59" s="815" t="s">
        <v>816</v>
      </c>
      <c r="AX59" s="816"/>
      <c r="AY59" s="1082"/>
      <c r="AZ59" s="817" t="s">
        <v>817</v>
      </c>
      <c r="BA59" s="818" t="s">
        <v>818</v>
      </c>
      <c r="BB59" s="1082" t="s">
        <v>819</v>
      </c>
      <c r="BC59" s="817" t="s">
        <v>817</v>
      </c>
      <c r="BD59" s="818" t="s">
        <v>818</v>
      </c>
      <c r="BE59" s="1082" t="s">
        <v>819</v>
      </c>
      <c r="BF59" s="817" t="s">
        <v>818</v>
      </c>
      <c r="BG59" s="1082" t="s">
        <v>819</v>
      </c>
      <c r="BH59" s="817" t="s">
        <v>817</v>
      </c>
      <c r="BI59" s="818" t="s">
        <v>818</v>
      </c>
      <c r="BJ59" s="1082" t="s">
        <v>819</v>
      </c>
      <c r="BK59" s="1081"/>
      <c r="BM59" s="815" t="s">
        <v>816</v>
      </c>
      <c r="BN59" s="816"/>
      <c r="BO59" s="1082"/>
      <c r="BP59" s="817" t="s">
        <v>817</v>
      </c>
      <c r="BQ59" s="818" t="s">
        <v>818</v>
      </c>
      <c r="BR59" s="1082" t="s">
        <v>819</v>
      </c>
      <c r="BS59" s="817" t="s">
        <v>817</v>
      </c>
      <c r="BT59" s="818" t="s">
        <v>818</v>
      </c>
      <c r="BU59" s="1082" t="s">
        <v>819</v>
      </c>
      <c r="BV59" s="817" t="s">
        <v>818</v>
      </c>
      <c r="BW59" s="1082" t="s">
        <v>819</v>
      </c>
      <c r="BX59" s="817" t="s">
        <v>817</v>
      </c>
      <c r="BY59" s="818" t="s">
        <v>818</v>
      </c>
      <c r="BZ59" s="1082" t="s">
        <v>819</v>
      </c>
      <c r="CA59" s="1081"/>
      <c r="CC59" s="815" t="s">
        <v>816</v>
      </c>
      <c r="CD59" s="816"/>
      <c r="CE59" s="1082"/>
      <c r="CF59" s="817" t="s">
        <v>817</v>
      </c>
      <c r="CG59" s="818" t="s">
        <v>818</v>
      </c>
      <c r="CH59" s="1082" t="s">
        <v>819</v>
      </c>
      <c r="CI59" s="817" t="s">
        <v>817</v>
      </c>
      <c r="CJ59" s="818" t="s">
        <v>818</v>
      </c>
      <c r="CK59" s="1082" t="s">
        <v>819</v>
      </c>
      <c r="CL59" s="817" t="s">
        <v>818</v>
      </c>
      <c r="CM59" s="1082" t="s">
        <v>819</v>
      </c>
      <c r="CN59" s="817" t="s">
        <v>817</v>
      </c>
      <c r="CO59" s="818" t="s">
        <v>818</v>
      </c>
      <c r="CP59" s="1082" t="s">
        <v>819</v>
      </c>
      <c r="CQ59" s="1081"/>
      <c r="CS59" s="815" t="s">
        <v>816</v>
      </c>
      <c r="CT59" s="816"/>
      <c r="CU59" s="1082"/>
      <c r="CV59" s="817" t="s">
        <v>817</v>
      </c>
      <c r="CW59" s="818" t="s">
        <v>818</v>
      </c>
      <c r="CX59" s="1082" t="s">
        <v>819</v>
      </c>
      <c r="CY59" s="817" t="s">
        <v>817</v>
      </c>
      <c r="CZ59" s="818" t="s">
        <v>818</v>
      </c>
      <c r="DA59" s="1082" t="s">
        <v>819</v>
      </c>
      <c r="DB59" s="817" t="s">
        <v>818</v>
      </c>
      <c r="DC59" s="1082" t="s">
        <v>819</v>
      </c>
      <c r="DD59" s="817" t="s">
        <v>817</v>
      </c>
      <c r="DE59" s="818" t="s">
        <v>818</v>
      </c>
      <c r="DF59" s="1082" t="s">
        <v>819</v>
      </c>
      <c r="DG59" s="1081"/>
      <c r="DI59" s="815" t="s">
        <v>816</v>
      </c>
      <c r="DJ59" s="816"/>
      <c r="DK59" s="1082"/>
      <c r="DL59" s="817" t="s">
        <v>817</v>
      </c>
      <c r="DM59" s="818" t="s">
        <v>818</v>
      </c>
      <c r="DN59" s="1082" t="s">
        <v>819</v>
      </c>
      <c r="DO59" s="817" t="s">
        <v>817</v>
      </c>
      <c r="DP59" s="818" t="s">
        <v>818</v>
      </c>
      <c r="DQ59" s="1082" t="s">
        <v>819</v>
      </c>
      <c r="DR59" s="817" t="s">
        <v>818</v>
      </c>
      <c r="DS59" s="1082" t="s">
        <v>819</v>
      </c>
      <c r="DT59" s="817" t="s">
        <v>817</v>
      </c>
      <c r="DU59" s="818" t="s">
        <v>818</v>
      </c>
      <c r="DV59" s="1082" t="s">
        <v>819</v>
      </c>
      <c r="DW59" s="1081"/>
      <c r="DY59" s="815" t="s">
        <v>816</v>
      </c>
      <c r="DZ59" s="816"/>
      <c r="EA59" s="1082"/>
      <c r="EB59" s="817" t="s">
        <v>817</v>
      </c>
      <c r="EC59" s="818" t="s">
        <v>818</v>
      </c>
      <c r="ED59" s="1082" t="s">
        <v>819</v>
      </c>
      <c r="EE59" s="817" t="s">
        <v>817</v>
      </c>
      <c r="EF59" s="818" t="s">
        <v>818</v>
      </c>
      <c r="EG59" s="1082" t="s">
        <v>819</v>
      </c>
      <c r="EH59" s="817" t="s">
        <v>818</v>
      </c>
      <c r="EI59" s="1082" t="s">
        <v>819</v>
      </c>
      <c r="EJ59" s="817" t="s">
        <v>817</v>
      </c>
      <c r="EK59" s="818" t="s">
        <v>818</v>
      </c>
      <c r="EL59" s="1082" t="s">
        <v>819</v>
      </c>
      <c r="EM59" s="1081"/>
    </row>
    <row r="60" spans="17:143" ht="13.5" customHeight="1" thickTop="1">
      <c r="Q60" s="1083" t="s">
        <v>355</v>
      </c>
      <c r="R60" s="819"/>
      <c r="S60" s="820">
        <v>1</v>
      </c>
      <c r="T60" s="821">
        <v>0</v>
      </c>
      <c r="U60" s="822">
        <v>2.1</v>
      </c>
      <c r="V60" s="823">
        <v>12.4</v>
      </c>
      <c r="W60" s="821">
        <v>0.1</v>
      </c>
      <c r="X60" s="822">
        <v>1.9</v>
      </c>
      <c r="Y60" s="823">
        <v>4</v>
      </c>
      <c r="Z60" s="821">
        <v>1.2</v>
      </c>
      <c r="AA60" s="823">
        <v>4.0999999999999996</v>
      </c>
      <c r="AB60" s="821">
        <v>0</v>
      </c>
      <c r="AC60" s="822">
        <v>1.1000000000000001</v>
      </c>
      <c r="AD60" s="823">
        <v>1</v>
      </c>
      <c r="AE60" s="824">
        <v>2.1</v>
      </c>
      <c r="AG60" s="1083" t="s">
        <v>355</v>
      </c>
      <c r="AH60" s="819"/>
      <c r="AI60" s="820">
        <v>1</v>
      </c>
      <c r="AJ60" s="821">
        <v>0</v>
      </c>
      <c r="AK60" s="822">
        <v>2.2000000000000002</v>
      </c>
      <c r="AL60" s="823">
        <v>13.9</v>
      </c>
      <c r="AM60" s="821">
        <v>0.1</v>
      </c>
      <c r="AN60" s="822">
        <v>2</v>
      </c>
      <c r="AO60" s="823">
        <v>4.3</v>
      </c>
      <c r="AP60" s="821">
        <v>1.3</v>
      </c>
      <c r="AQ60" s="823">
        <v>4.3</v>
      </c>
      <c r="AR60" s="821">
        <v>0</v>
      </c>
      <c r="AS60" s="822">
        <v>1.2</v>
      </c>
      <c r="AT60" s="823">
        <v>1.1000000000000001</v>
      </c>
      <c r="AU60" s="824">
        <v>2.2999999999999998</v>
      </c>
      <c r="AW60" s="1083" t="s">
        <v>355</v>
      </c>
      <c r="AX60" s="819"/>
      <c r="AY60" s="820">
        <v>1</v>
      </c>
      <c r="AZ60" s="821">
        <v>0</v>
      </c>
      <c r="BA60" s="822">
        <v>2.1</v>
      </c>
      <c r="BB60" s="823">
        <v>13.2</v>
      </c>
      <c r="BC60" s="821">
        <v>0.1</v>
      </c>
      <c r="BD60" s="822">
        <v>1.8</v>
      </c>
      <c r="BE60" s="823">
        <v>4.4000000000000004</v>
      </c>
      <c r="BF60" s="821">
        <v>1.2</v>
      </c>
      <c r="BG60" s="823">
        <v>4.7</v>
      </c>
      <c r="BH60" s="821">
        <v>0</v>
      </c>
      <c r="BI60" s="822">
        <v>1.2</v>
      </c>
      <c r="BJ60" s="823">
        <v>1.2</v>
      </c>
      <c r="BK60" s="824">
        <v>2.4</v>
      </c>
      <c r="BM60" s="1083" t="s">
        <v>355</v>
      </c>
      <c r="BN60" s="819"/>
      <c r="BO60" s="820">
        <v>1</v>
      </c>
      <c r="BP60" s="821">
        <v>0.1</v>
      </c>
      <c r="BQ60" s="822">
        <v>2.2999999999999998</v>
      </c>
      <c r="BR60" s="823">
        <v>14.4</v>
      </c>
      <c r="BS60" s="821">
        <v>0.1</v>
      </c>
      <c r="BT60" s="822">
        <v>1.9</v>
      </c>
      <c r="BU60" s="823">
        <v>4.4000000000000004</v>
      </c>
      <c r="BV60" s="821">
        <v>1.2</v>
      </c>
      <c r="BW60" s="823">
        <v>5</v>
      </c>
      <c r="BX60" s="821">
        <v>0.1</v>
      </c>
      <c r="BY60" s="822">
        <v>1.2</v>
      </c>
      <c r="BZ60" s="823">
        <v>1.2</v>
      </c>
      <c r="CA60" s="824">
        <v>2.5</v>
      </c>
      <c r="CC60" s="1083" t="s">
        <v>355</v>
      </c>
      <c r="CD60" s="819"/>
      <c r="CE60" s="820">
        <v>1</v>
      </c>
      <c r="CF60" s="821">
        <v>0.1</v>
      </c>
      <c r="CG60" s="822">
        <v>2.5</v>
      </c>
      <c r="CH60" s="823">
        <v>15.8</v>
      </c>
      <c r="CI60" s="821">
        <v>0.1</v>
      </c>
      <c r="CJ60" s="822">
        <v>2.1</v>
      </c>
      <c r="CK60" s="823">
        <v>4.7</v>
      </c>
      <c r="CL60" s="821">
        <v>1.3</v>
      </c>
      <c r="CM60" s="823">
        <v>5.0999999999999996</v>
      </c>
      <c r="CN60" s="821">
        <v>0.1</v>
      </c>
      <c r="CO60" s="822">
        <v>1.4</v>
      </c>
      <c r="CP60" s="823">
        <v>1.3</v>
      </c>
      <c r="CQ60" s="824">
        <v>2.7</v>
      </c>
      <c r="CS60" s="1083" t="s">
        <v>355</v>
      </c>
      <c r="CT60" s="819"/>
      <c r="CU60" s="820">
        <v>1</v>
      </c>
      <c r="CV60" s="821">
        <v>0.1</v>
      </c>
      <c r="CW60" s="822">
        <v>2.2999999999999998</v>
      </c>
      <c r="CX60" s="823">
        <v>17</v>
      </c>
      <c r="CY60" s="821">
        <v>0.1</v>
      </c>
      <c r="CZ60" s="822">
        <v>2.2000000000000002</v>
      </c>
      <c r="DA60" s="823">
        <v>5.0999999999999996</v>
      </c>
      <c r="DB60" s="821">
        <v>1.4</v>
      </c>
      <c r="DC60" s="823">
        <v>5.3</v>
      </c>
      <c r="DD60" s="821">
        <v>0.1</v>
      </c>
      <c r="DE60" s="822">
        <v>1.5</v>
      </c>
      <c r="DF60" s="823">
        <v>1.5</v>
      </c>
      <c r="DG60" s="824">
        <v>2.9</v>
      </c>
      <c r="DI60" s="1083" t="s">
        <v>355</v>
      </c>
      <c r="DJ60" s="819"/>
      <c r="DK60" s="820">
        <v>1</v>
      </c>
      <c r="DL60" s="821">
        <v>0.1</v>
      </c>
      <c r="DM60" s="822">
        <v>2.5</v>
      </c>
      <c r="DN60" s="823">
        <v>18.5</v>
      </c>
      <c r="DO60" s="821">
        <v>0.1</v>
      </c>
      <c r="DP60" s="822">
        <v>2.4</v>
      </c>
      <c r="DQ60" s="823">
        <v>5.5</v>
      </c>
      <c r="DR60" s="821">
        <v>1.5</v>
      </c>
      <c r="DS60" s="823">
        <v>5.4</v>
      </c>
      <c r="DT60" s="821">
        <v>0.1</v>
      </c>
      <c r="DU60" s="822">
        <v>1.7</v>
      </c>
      <c r="DV60" s="823">
        <v>1.6</v>
      </c>
      <c r="DW60" s="824">
        <v>3.1</v>
      </c>
      <c r="DY60" s="1083" t="s">
        <v>355</v>
      </c>
      <c r="DZ60" s="819"/>
      <c r="EA60" s="820">
        <v>1</v>
      </c>
      <c r="EB60" s="821">
        <v>0.1</v>
      </c>
      <c r="EC60" s="822">
        <v>2.6</v>
      </c>
      <c r="ED60" s="823">
        <v>19.8</v>
      </c>
      <c r="EE60" s="821">
        <v>0.2</v>
      </c>
      <c r="EF60" s="822">
        <v>2.2999999999999998</v>
      </c>
      <c r="EG60" s="823">
        <v>5.8</v>
      </c>
      <c r="EH60" s="821">
        <v>1.6</v>
      </c>
      <c r="EI60" s="823">
        <v>5.7</v>
      </c>
      <c r="EJ60" s="821">
        <v>0.1</v>
      </c>
      <c r="EK60" s="822">
        <v>1.8</v>
      </c>
      <c r="EL60" s="823">
        <v>1.7</v>
      </c>
      <c r="EM60" s="824">
        <v>3.3</v>
      </c>
    </row>
    <row r="61" spans="17:143" ht="13.5" customHeight="1">
      <c r="Q61" s="1083"/>
      <c r="R61" s="819"/>
      <c r="S61" s="820">
        <v>2</v>
      </c>
      <c r="T61" s="821">
        <v>0.1</v>
      </c>
      <c r="U61" s="822">
        <v>6.3</v>
      </c>
      <c r="V61" s="823">
        <v>40.299999999999997</v>
      </c>
      <c r="W61" s="821">
        <v>0.2</v>
      </c>
      <c r="X61" s="822">
        <v>5.7</v>
      </c>
      <c r="Y61" s="823">
        <v>16.100000000000001</v>
      </c>
      <c r="Z61" s="821">
        <v>3.5</v>
      </c>
      <c r="AA61" s="823">
        <v>16.2</v>
      </c>
      <c r="AB61" s="821">
        <v>0.1</v>
      </c>
      <c r="AC61" s="822">
        <v>3</v>
      </c>
      <c r="AD61" s="823">
        <v>5.8</v>
      </c>
      <c r="AE61" s="824">
        <v>5.4</v>
      </c>
      <c r="AG61" s="1083"/>
      <c r="AH61" s="819"/>
      <c r="AI61" s="820">
        <v>2</v>
      </c>
      <c r="AJ61" s="821">
        <v>0.1</v>
      </c>
      <c r="AK61" s="822">
        <v>6.5</v>
      </c>
      <c r="AL61" s="823">
        <v>45</v>
      </c>
      <c r="AM61" s="821">
        <v>0.2</v>
      </c>
      <c r="AN61" s="822">
        <v>5.9</v>
      </c>
      <c r="AO61" s="823">
        <v>17</v>
      </c>
      <c r="AP61" s="821">
        <v>3.6</v>
      </c>
      <c r="AQ61" s="823">
        <v>17.100000000000001</v>
      </c>
      <c r="AR61" s="821">
        <v>0.1</v>
      </c>
      <c r="AS61" s="822">
        <v>3</v>
      </c>
      <c r="AT61" s="823">
        <v>6.2</v>
      </c>
      <c r="AU61" s="824">
        <v>5.8</v>
      </c>
      <c r="AW61" s="1083"/>
      <c r="AX61" s="819"/>
      <c r="AY61" s="820">
        <v>2</v>
      </c>
      <c r="AZ61" s="821">
        <v>0.2</v>
      </c>
      <c r="BA61" s="822">
        <v>6.8</v>
      </c>
      <c r="BB61" s="823">
        <v>42.5</v>
      </c>
      <c r="BC61" s="821">
        <v>0.3</v>
      </c>
      <c r="BD61" s="822">
        <v>6.1</v>
      </c>
      <c r="BE61" s="823">
        <v>17.399999999999999</v>
      </c>
      <c r="BF61" s="821">
        <v>3.7</v>
      </c>
      <c r="BG61" s="823">
        <v>18</v>
      </c>
      <c r="BH61" s="821">
        <v>0.2</v>
      </c>
      <c r="BI61" s="822">
        <v>3.1</v>
      </c>
      <c r="BJ61" s="823">
        <v>6.3</v>
      </c>
      <c r="BK61" s="824">
        <v>6</v>
      </c>
      <c r="BM61" s="1083"/>
      <c r="BN61" s="819"/>
      <c r="BO61" s="820">
        <v>2</v>
      </c>
      <c r="BP61" s="821">
        <v>0.2</v>
      </c>
      <c r="BQ61" s="822">
        <v>7.2</v>
      </c>
      <c r="BR61" s="823">
        <v>44.7</v>
      </c>
      <c r="BS61" s="821">
        <v>0.3</v>
      </c>
      <c r="BT61" s="822">
        <v>6.5</v>
      </c>
      <c r="BU61" s="823">
        <v>18</v>
      </c>
      <c r="BV61" s="821">
        <v>4</v>
      </c>
      <c r="BW61" s="823">
        <v>18.899999999999999</v>
      </c>
      <c r="BX61" s="821">
        <v>0.2</v>
      </c>
      <c r="BY61" s="822">
        <v>3.5</v>
      </c>
      <c r="BZ61" s="823">
        <v>6.5</v>
      </c>
      <c r="CA61" s="824">
        <v>6.4</v>
      </c>
      <c r="CC61" s="1083"/>
      <c r="CD61" s="819"/>
      <c r="CE61" s="820">
        <v>2</v>
      </c>
      <c r="CF61" s="821">
        <v>0.3</v>
      </c>
      <c r="CG61" s="822">
        <v>7.6</v>
      </c>
      <c r="CH61" s="823">
        <v>49.1</v>
      </c>
      <c r="CI61" s="821">
        <v>0.4</v>
      </c>
      <c r="CJ61" s="822">
        <v>6.8</v>
      </c>
      <c r="CK61" s="823">
        <v>19.100000000000001</v>
      </c>
      <c r="CL61" s="821">
        <v>4.2</v>
      </c>
      <c r="CM61" s="823">
        <v>19.600000000000001</v>
      </c>
      <c r="CN61" s="821">
        <v>0.3</v>
      </c>
      <c r="CO61" s="822">
        <v>3.7</v>
      </c>
      <c r="CP61" s="823">
        <v>7.1</v>
      </c>
      <c r="CQ61" s="824">
        <v>7.1</v>
      </c>
      <c r="CS61" s="1083"/>
      <c r="CT61" s="819"/>
      <c r="CU61" s="820">
        <v>2</v>
      </c>
      <c r="CV61" s="821">
        <v>0.4</v>
      </c>
      <c r="CW61" s="822">
        <v>7.6</v>
      </c>
      <c r="CX61" s="823">
        <v>51.7</v>
      </c>
      <c r="CY61" s="821">
        <v>0.4</v>
      </c>
      <c r="CZ61" s="822">
        <v>7.4</v>
      </c>
      <c r="DA61" s="823">
        <v>20.2</v>
      </c>
      <c r="DB61" s="821">
        <v>4.5</v>
      </c>
      <c r="DC61" s="823">
        <v>20.399999999999999</v>
      </c>
      <c r="DD61" s="821">
        <v>0.4</v>
      </c>
      <c r="DE61" s="822">
        <v>4</v>
      </c>
      <c r="DF61" s="823">
        <v>7.8</v>
      </c>
      <c r="DG61" s="824">
        <v>7.8</v>
      </c>
      <c r="DI61" s="1083"/>
      <c r="DJ61" s="819"/>
      <c r="DK61" s="820">
        <v>2</v>
      </c>
      <c r="DL61" s="821">
        <v>0.4</v>
      </c>
      <c r="DM61" s="822">
        <v>8.1999999999999993</v>
      </c>
      <c r="DN61" s="823">
        <v>53.8</v>
      </c>
      <c r="DO61" s="821">
        <v>0.5</v>
      </c>
      <c r="DP61" s="822">
        <v>7.8</v>
      </c>
      <c r="DQ61" s="823">
        <v>21.5</v>
      </c>
      <c r="DR61" s="821">
        <v>4.7</v>
      </c>
      <c r="DS61" s="823">
        <v>21.4</v>
      </c>
      <c r="DT61" s="821">
        <v>0.4</v>
      </c>
      <c r="DU61" s="822">
        <v>4.4000000000000004</v>
      </c>
      <c r="DV61" s="823">
        <v>8.4</v>
      </c>
      <c r="DW61" s="824">
        <v>8.4</v>
      </c>
      <c r="DY61" s="1083"/>
      <c r="DZ61" s="819"/>
      <c r="EA61" s="820">
        <v>2</v>
      </c>
      <c r="EB61" s="821">
        <v>0.5</v>
      </c>
      <c r="EC61" s="822">
        <v>8.6</v>
      </c>
      <c r="ED61" s="823">
        <v>54.6</v>
      </c>
      <c r="EE61" s="821">
        <v>0.5</v>
      </c>
      <c r="EF61" s="822">
        <v>8</v>
      </c>
      <c r="EG61" s="823">
        <v>23</v>
      </c>
      <c r="EH61" s="821">
        <v>4.9000000000000004</v>
      </c>
      <c r="EI61" s="823">
        <v>22.5</v>
      </c>
      <c r="EJ61" s="821">
        <v>0.5</v>
      </c>
      <c r="EK61" s="822">
        <v>4.7</v>
      </c>
      <c r="EL61" s="823">
        <v>8.8000000000000007</v>
      </c>
      <c r="EM61" s="824">
        <v>8.9</v>
      </c>
    </row>
    <row r="62" spans="17:143" ht="13.5" customHeight="1">
      <c r="Q62" s="1083"/>
      <c r="R62" s="819"/>
      <c r="S62" s="820">
        <v>3</v>
      </c>
      <c r="T62" s="821">
        <v>5.3</v>
      </c>
      <c r="U62" s="822">
        <v>54.7</v>
      </c>
      <c r="V62" s="823">
        <v>77.3</v>
      </c>
      <c r="W62" s="821">
        <v>6.5</v>
      </c>
      <c r="X62" s="822">
        <v>46.2</v>
      </c>
      <c r="Y62" s="823">
        <v>36.700000000000003</v>
      </c>
      <c r="Z62" s="821">
        <v>19.600000000000001</v>
      </c>
      <c r="AA62" s="823">
        <v>38.1</v>
      </c>
      <c r="AB62" s="821">
        <v>6</v>
      </c>
      <c r="AC62" s="822">
        <v>8.4</v>
      </c>
      <c r="AD62" s="823">
        <v>16.399999999999999</v>
      </c>
      <c r="AE62" s="824">
        <v>18.5</v>
      </c>
      <c r="AG62" s="1083"/>
      <c r="AH62" s="819"/>
      <c r="AI62" s="820">
        <v>3</v>
      </c>
      <c r="AJ62" s="821">
        <v>6.5</v>
      </c>
      <c r="AK62" s="822">
        <v>49.9</v>
      </c>
      <c r="AL62" s="823">
        <v>79.099999999999994</v>
      </c>
      <c r="AM62" s="821">
        <v>7.4</v>
      </c>
      <c r="AN62" s="822">
        <v>44.9</v>
      </c>
      <c r="AO62" s="823">
        <v>37.799999999999997</v>
      </c>
      <c r="AP62" s="821">
        <v>19.5</v>
      </c>
      <c r="AQ62" s="823">
        <v>39.799999999999997</v>
      </c>
      <c r="AR62" s="821">
        <v>5.7</v>
      </c>
      <c r="AS62" s="822">
        <v>9.4</v>
      </c>
      <c r="AT62" s="823">
        <v>16.899999999999999</v>
      </c>
      <c r="AU62" s="824">
        <v>18.600000000000001</v>
      </c>
      <c r="AW62" s="1083"/>
      <c r="AX62" s="819"/>
      <c r="AY62" s="820">
        <v>3</v>
      </c>
      <c r="AZ62" s="821">
        <v>7.9</v>
      </c>
      <c r="BA62" s="822">
        <v>56</v>
      </c>
      <c r="BB62" s="823">
        <v>85.3</v>
      </c>
      <c r="BC62" s="821">
        <v>7.7</v>
      </c>
      <c r="BD62" s="822">
        <v>48.9</v>
      </c>
      <c r="BE62" s="823">
        <v>39.200000000000003</v>
      </c>
      <c r="BF62" s="821">
        <v>21.7</v>
      </c>
      <c r="BG62" s="823">
        <v>41</v>
      </c>
      <c r="BH62" s="821">
        <v>6.4</v>
      </c>
      <c r="BI62" s="822">
        <v>9.8000000000000007</v>
      </c>
      <c r="BJ62" s="823">
        <v>18</v>
      </c>
      <c r="BK62" s="824">
        <v>19.899999999999999</v>
      </c>
      <c r="BM62" s="1083"/>
      <c r="BN62" s="819"/>
      <c r="BO62" s="820">
        <v>3</v>
      </c>
      <c r="BP62" s="821">
        <v>8</v>
      </c>
      <c r="BQ62" s="822">
        <v>61.2</v>
      </c>
      <c r="BR62" s="823">
        <v>88.4</v>
      </c>
      <c r="BS62" s="821">
        <v>9.8000000000000007</v>
      </c>
      <c r="BT62" s="822">
        <v>52.4</v>
      </c>
      <c r="BU62" s="823">
        <v>42.2</v>
      </c>
      <c r="BV62" s="821">
        <v>23.5</v>
      </c>
      <c r="BW62" s="823">
        <v>42.9</v>
      </c>
      <c r="BX62" s="821">
        <v>8.6</v>
      </c>
      <c r="BY62" s="822">
        <v>10.3</v>
      </c>
      <c r="BZ62" s="823">
        <v>346.9</v>
      </c>
      <c r="CA62" s="824">
        <v>26.5</v>
      </c>
      <c r="CC62" s="1083"/>
      <c r="CD62" s="819"/>
      <c r="CE62" s="820">
        <v>3</v>
      </c>
      <c r="CF62" s="821">
        <v>9.3000000000000007</v>
      </c>
      <c r="CG62" s="822">
        <v>64.599999999999994</v>
      </c>
      <c r="CH62" s="823">
        <v>92.8</v>
      </c>
      <c r="CI62" s="821">
        <v>11.6</v>
      </c>
      <c r="CJ62" s="822">
        <v>53.3</v>
      </c>
      <c r="CK62" s="823">
        <v>44.2</v>
      </c>
      <c r="CL62" s="821">
        <v>25.6</v>
      </c>
      <c r="CM62" s="823">
        <v>45.5</v>
      </c>
      <c r="CN62" s="821">
        <v>12</v>
      </c>
      <c r="CO62" s="822">
        <v>11</v>
      </c>
      <c r="CP62" s="823">
        <v>20.100000000000001</v>
      </c>
      <c r="CQ62" s="824">
        <v>23.8</v>
      </c>
      <c r="CS62" s="1083"/>
      <c r="CT62" s="819"/>
      <c r="CU62" s="820">
        <v>3</v>
      </c>
      <c r="CV62" s="821">
        <v>13.3</v>
      </c>
      <c r="CW62" s="822">
        <v>68.2</v>
      </c>
      <c r="CX62" s="823">
        <v>97.9</v>
      </c>
      <c r="CY62" s="821">
        <v>13.5</v>
      </c>
      <c r="CZ62" s="822">
        <v>60.2</v>
      </c>
      <c r="DA62" s="823">
        <v>46.2</v>
      </c>
      <c r="DB62" s="821">
        <v>28.3</v>
      </c>
      <c r="DC62" s="823">
        <v>47.9</v>
      </c>
      <c r="DD62" s="821">
        <v>14.6</v>
      </c>
      <c r="DE62" s="822">
        <v>11.6</v>
      </c>
      <c r="DF62" s="823">
        <v>282.5</v>
      </c>
      <c r="DG62" s="824">
        <v>30.8</v>
      </c>
      <c r="DI62" s="1083"/>
      <c r="DJ62" s="819"/>
      <c r="DK62" s="820">
        <v>3</v>
      </c>
      <c r="DL62" s="821">
        <v>14.1</v>
      </c>
      <c r="DM62" s="822">
        <v>73.099999999999994</v>
      </c>
      <c r="DN62" s="823">
        <v>101.3</v>
      </c>
      <c r="DO62" s="821">
        <v>15.3</v>
      </c>
      <c r="DP62" s="822">
        <v>61</v>
      </c>
      <c r="DQ62" s="823">
        <v>49</v>
      </c>
      <c r="DR62" s="821">
        <v>30.7</v>
      </c>
      <c r="DS62" s="823">
        <v>50.6</v>
      </c>
      <c r="DT62" s="821">
        <v>16.899999999999999</v>
      </c>
      <c r="DU62" s="822">
        <v>12.2</v>
      </c>
      <c r="DV62" s="823">
        <v>22.2</v>
      </c>
      <c r="DW62" s="824">
        <v>28.2</v>
      </c>
      <c r="DY62" s="1083"/>
      <c r="DZ62" s="819"/>
      <c r="EA62" s="820">
        <v>3</v>
      </c>
      <c r="EB62" s="821">
        <v>16.2</v>
      </c>
      <c r="EC62" s="822">
        <v>76</v>
      </c>
      <c r="ED62" s="823">
        <v>104</v>
      </c>
      <c r="EE62" s="821">
        <v>17.600000000000001</v>
      </c>
      <c r="EF62" s="822">
        <v>63.7</v>
      </c>
      <c r="EG62" s="823">
        <v>51.6</v>
      </c>
      <c r="EH62" s="821">
        <v>32.4</v>
      </c>
      <c r="EI62" s="823">
        <v>53.4</v>
      </c>
      <c r="EJ62" s="821">
        <v>18.5</v>
      </c>
      <c r="EK62" s="822">
        <v>12.7</v>
      </c>
      <c r="EL62" s="823">
        <v>316.7</v>
      </c>
      <c r="EM62" s="824">
        <v>36.1</v>
      </c>
    </row>
    <row r="63" spans="17:143" ht="13.5" customHeight="1">
      <c r="Q63" s="1083"/>
      <c r="R63" s="819"/>
      <c r="S63" s="820">
        <v>4</v>
      </c>
      <c r="T63" s="821">
        <v>46</v>
      </c>
      <c r="U63" s="822">
        <v>187.8</v>
      </c>
      <c r="V63" s="823">
        <v>188.6</v>
      </c>
      <c r="W63" s="821">
        <v>48.2</v>
      </c>
      <c r="X63" s="822">
        <v>171.1</v>
      </c>
      <c r="Y63" s="823">
        <v>162.19999999999999</v>
      </c>
      <c r="Z63" s="821">
        <v>76.8</v>
      </c>
      <c r="AA63" s="823">
        <v>225.2</v>
      </c>
      <c r="AB63" s="821">
        <v>44</v>
      </c>
      <c r="AC63" s="822">
        <v>80.599999999999994</v>
      </c>
      <c r="AD63" s="823">
        <v>88.7</v>
      </c>
      <c r="AE63" s="824">
        <v>105.4</v>
      </c>
      <c r="AG63" s="1083"/>
      <c r="AH63" s="819"/>
      <c r="AI63" s="820">
        <v>4</v>
      </c>
      <c r="AJ63" s="821">
        <v>47.4</v>
      </c>
      <c r="AK63" s="822">
        <v>187.2</v>
      </c>
      <c r="AL63" s="823">
        <v>199.3</v>
      </c>
      <c r="AM63" s="821">
        <v>49</v>
      </c>
      <c r="AN63" s="822">
        <v>175.1</v>
      </c>
      <c r="AO63" s="823">
        <v>170.2</v>
      </c>
      <c r="AP63" s="821">
        <v>81.400000000000006</v>
      </c>
      <c r="AQ63" s="823">
        <v>234.7</v>
      </c>
      <c r="AR63" s="821">
        <v>46</v>
      </c>
      <c r="AS63" s="822">
        <v>98.2</v>
      </c>
      <c r="AT63" s="823">
        <v>86.1</v>
      </c>
      <c r="AU63" s="824">
        <v>108.7</v>
      </c>
      <c r="AW63" s="1083"/>
      <c r="AX63" s="819"/>
      <c r="AY63" s="820">
        <v>4</v>
      </c>
      <c r="AZ63" s="821">
        <v>54.8</v>
      </c>
      <c r="BA63" s="822">
        <v>200.5</v>
      </c>
      <c r="BB63" s="823">
        <v>208.1</v>
      </c>
      <c r="BC63" s="821">
        <v>51.1</v>
      </c>
      <c r="BD63" s="822">
        <v>179.9</v>
      </c>
      <c r="BE63" s="823">
        <v>174.8</v>
      </c>
      <c r="BF63" s="821">
        <v>82.8</v>
      </c>
      <c r="BG63" s="823">
        <v>239.3</v>
      </c>
      <c r="BH63" s="821">
        <v>48.7</v>
      </c>
      <c r="BI63" s="822">
        <v>103.2</v>
      </c>
      <c r="BJ63" s="823">
        <v>86.2</v>
      </c>
      <c r="BK63" s="824">
        <v>112.9</v>
      </c>
      <c r="BM63" s="1083"/>
      <c r="BN63" s="819"/>
      <c r="BO63" s="820">
        <v>4</v>
      </c>
      <c r="BP63" s="821">
        <v>42</v>
      </c>
      <c r="BQ63" s="822">
        <v>211.2</v>
      </c>
      <c r="BR63" s="823">
        <v>213.7</v>
      </c>
      <c r="BS63" s="821">
        <v>57.5</v>
      </c>
      <c r="BT63" s="822">
        <v>195.3</v>
      </c>
      <c r="BU63" s="823">
        <v>196.2</v>
      </c>
      <c r="BV63" s="821">
        <v>87.7</v>
      </c>
      <c r="BW63" s="823">
        <v>256.10000000000002</v>
      </c>
      <c r="BX63" s="821">
        <v>53.6</v>
      </c>
      <c r="BY63" s="822">
        <v>98.7</v>
      </c>
      <c r="BZ63" s="823">
        <v>84.6</v>
      </c>
      <c r="CA63" s="824">
        <v>118.9</v>
      </c>
      <c r="CC63" s="1083"/>
      <c r="CD63" s="819"/>
      <c r="CE63" s="820">
        <v>4</v>
      </c>
      <c r="CF63" s="821">
        <v>48.5</v>
      </c>
      <c r="CG63" s="822">
        <v>221.2</v>
      </c>
      <c r="CH63" s="823">
        <v>232.8</v>
      </c>
      <c r="CI63" s="821">
        <v>62.1</v>
      </c>
      <c r="CJ63" s="822">
        <v>197.3</v>
      </c>
      <c r="CK63" s="823">
        <v>205.1</v>
      </c>
      <c r="CL63" s="821">
        <v>91.3</v>
      </c>
      <c r="CM63" s="823">
        <v>261.60000000000002</v>
      </c>
      <c r="CN63" s="821">
        <v>57.5</v>
      </c>
      <c r="CO63" s="822">
        <v>99.1</v>
      </c>
      <c r="CP63" s="823">
        <v>87.5</v>
      </c>
      <c r="CQ63" s="824">
        <v>119.8</v>
      </c>
      <c r="CS63" s="1083"/>
      <c r="CT63" s="819"/>
      <c r="CU63" s="820">
        <v>4</v>
      </c>
      <c r="CV63" s="821">
        <v>59.1</v>
      </c>
      <c r="CW63" s="822">
        <v>224.2</v>
      </c>
      <c r="CX63" s="823">
        <v>243.6</v>
      </c>
      <c r="CY63" s="821">
        <v>64.7</v>
      </c>
      <c r="CZ63" s="822">
        <v>207.9</v>
      </c>
      <c r="DA63" s="823">
        <v>221.6</v>
      </c>
      <c r="DB63" s="821">
        <v>96.6</v>
      </c>
      <c r="DC63" s="823">
        <v>272.2</v>
      </c>
      <c r="DD63" s="821">
        <v>59.1</v>
      </c>
      <c r="DE63" s="822">
        <v>98.1</v>
      </c>
      <c r="DF63" s="823">
        <v>89.4</v>
      </c>
      <c r="DG63" s="824">
        <v>119.9</v>
      </c>
      <c r="DI63" s="1083"/>
      <c r="DJ63" s="819"/>
      <c r="DK63" s="820">
        <v>4</v>
      </c>
      <c r="DL63" s="821">
        <v>61.1</v>
      </c>
      <c r="DM63" s="822">
        <v>231.2</v>
      </c>
      <c r="DN63" s="823">
        <v>253.9</v>
      </c>
      <c r="DO63" s="821">
        <v>68.900000000000006</v>
      </c>
      <c r="DP63" s="822">
        <v>209.5</v>
      </c>
      <c r="DQ63" s="823">
        <v>236.5</v>
      </c>
      <c r="DR63" s="821">
        <v>102.3</v>
      </c>
      <c r="DS63" s="823">
        <v>282</v>
      </c>
      <c r="DT63" s="821">
        <v>59.2</v>
      </c>
      <c r="DU63" s="822">
        <v>105.7</v>
      </c>
      <c r="DV63" s="823">
        <v>92.1</v>
      </c>
      <c r="DW63" s="824">
        <v>120.5</v>
      </c>
      <c r="DY63" s="1083"/>
      <c r="DZ63" s="819"/>
      <c r="EA63" s="820">
        <v>4</v>
      </c>
      <c r="EB63" s="821">
        <v>64.7</v>
      </c>
      <c r="EC63" s="822">
        <v>240.4</v>
      </c>
      <c r="ED63" s="823">
        <v>264.39999999999998</v>
      </c>
      <c r="EE63" s="821">
        <v>72.900000000000006</v>
      </c>
      <c r="EF63" s="822">
        <v>217.7</v>
      </c>
      <c r="EG63" s="823">
        <v>238</v>
      </c>
      <c r="EH63" s="821">
        <v>106.5</v>
      </c>
      <c r="EI63" s="823">
        <v>293.3</v>
      </c>
      <c r="EJ63" s="821">
        <v>61.3</v>
      </c>
      <c r="EK63" s="822">
        <v>109</v>
      </c>
      <c r="EL63" s="823">
        <v>97.2</v>
      </c>
      <c r="EM63" s="824">
        <v>121.6</v>
      </c>
    </row>
    <row r="64" spans="17:143" ht="13.5" customHeight="1">
      <c r="Q64" s="1083"/>
      <c r="R64" s="819"/>
      <c r="S64" s="825">
        <v>5</v>
      </c>
      <c r="T64" s="826">
        <v>127.7</v>
      </c>
      <c r="U64" s="827">
        <v>392.2</v>
      </c>
      <c r="V64" s="828">
        <v>338.8</v>
      </c>
      <c r="W64" s="826">
        <v>103.7</v>
      </c>
      <c r="X64" s="827">
        <v>380.5</v>
      </c>
      <c r="Y64" s="828">
        <v>426.9</v>
      </c>
      <c r="Z64" s="826">
        <v>132.1</v>
      </c>
      <c r="AA64" s="828">
        <v>754.8</v>
      </c>
      <c r="AB64" s="826">
        <v>120.2</v>
      </c>
      <c r="AC64" s="827">
        <v>207.7</v>
      </c>
      <c r="AD64" s="828">
        <v>161.5</v>
      </c>
      <c r="AE64" s="824">
        <v>294.3</v>
      </c>
      <c r="AG64" s="1083"/>
      <c r="AH64" s="819"/>
      <c r="AI64" s="825">
        <v>5</v>
      </c>
      <c r="AJ64" s="826">
        <v>143.1</v>
      </c>
      <c r="AK64" s="827">
        <v>444.5</v>
      </c>
      <c r="AL64" s="828">
        <v>362.6</v>
      </c>
      <c r="AM64" s="826">
        <v>114.4</v>
      </c>
      <c r="AN64" s="827">
        <v>408.5</v>
      </c>
      <c r="AO64" s="828">
        <v>472.7</v>
      </c>
      <c r="AP64" s="826">
        <v>145.1</v>
      </c>
      <c r="AQ64" s="828">
        <v>799.9</v>
      </c>
      <c r="AR64" s="826">
        <v>141.6</v>
      </c>
      <c r="AS64" s="827">
        <v>225.5</v>
      </c>
      <c r="AT64" s="828">
        <v>177</v>
      </c>
      <c r="AU64" s="824">
        <v>340.3</v>
      </c>
      <c r="AW64" s="1083"/>
      <c r="AX64" s="819"/>
      <c r="AY64" s="825">
        <v>5</v>
      </c>
      <c r="AZ64" s="826">
        <v>163.19999999999999</v>
      </c>
      <c r="BA64" s="827">
        <v>497.7</v>
      </c>
      <c r="BB64" s="828">
        <v>402.8</v>
      </c>
      <c r="BC64" s="826">
        <v>128.9</v>
      </c>
      <c r="BD64" s="827">
        <v>454.7</v>
      </c>
      <c r="BE64" s="828">
        <v>529.70000000000005</v>
      </c>
      <c r="BF64" s="826">
        <v>159.30000000000001</v>
      </c>
      <c r="BG64" s="828">
        <v>867.7</v>
      </c>
      <c r="BH64" s="826">
        <v>161.6</v>
      </c>
      <c r="BI64" s="827">
        <v>248.7</v>
      </c>
      <c r="BJ64" s="828">
        <v>194.1</v>
      </c>
      <c r="BK64" s="824">
        <v>370.4</v>
      </c>
      <c r="BM64" s="1083"/>
      <c r="BN64" s="819"/>
      <c r="BO64" s="825">
        <v>5</v>
      </c>
      <c r="BP64" s="826" t="e">
        <v>#N/A</v>
      </c>
      <c r="BQ64" s="827">
        <v>568.20000000000005</v>
      </c>
      <c r="BR64" s="828">
        <v>446.4</v>
      </c>
      <c r="BS64" s="826">
        <v>142.6</v>
      </c>
      <c r="BT64" s="827">
        <v>506.7</v>
      </c>
      <c r="BU64" s="828">
        <v>591.29999999999995</v>
      </c>
      <c r="BV64" s="826">
        <v>176.8</v>
      </c>
      <c r="BW64" s="828">
        <v>941.7</v>
      </c>
      <c r="BX64" s="826">
        <v>187.9</v>
      </c>
      <c r="BY64" s="827">
        <v>265.5</v>
      </c>
      <c r="BZ64" s="828">
        <v>213.4</v>
      </c>
      <c r="CA64" s="824">
        <v>405.6</v>
      </c>
      <c r="CC64" s="1083"/>
      <c r="CD64" s="819"/>
      <c r="CE64" s="825">
        <v>5</v>
      </c>
      <c r="CF64" s="826" t="e">
        <v>#N/A</v>
      </c>
      <c r="CG64" s="827">
        <v>653.4</v>
      </c>
      <c r="CH64" s="828">
        <v>493.8</v>
      </c>
      <c r="CI64" s="826">
        <v>155</v>
      </c>
      <c r="CJ64" s="827">
        <v>573.79999999999995</v>
      </c>
      <c r="CK64" s="828">
        <v>649.1</v>
      </c>
      <c r="CL64" s="826">
        <v>196.6</v>
      </c>
      <c r="CM64" s="828">
        <v>1016.3</v>
      </c>
      <c r="CN64" s="826">
        <v>212.5</v>
      </c>
      <c r="CO64" s="827">
        <v>285.89999999999998</v>
      </c>
      <c r="CP64" s="828">
        <v>237</v>
      </c>
      <c r="CQ64" s="824">
        <v>447.4</v>
      </c>
      <c r="CS64" s="1083"/>
      <c r="CT64" s="819"/>
      <c r="CU64" s="825">
        <v>5</v>
      </c>
      <c r="CV64" s="826">
        <v>168.7</v>
      </c>
      <c r="CW64" s="827">
        <v>695</v>
      </c>
      <c r="CX64" s="828">
        <v>540.9</v>
      </c>
      <c r="CY64" s="826">
        <v>168.8</v>
      </c>
      <c r="CZ64" s="827">
        <v>659.7</v>
      </c>
      <c r="DA64" s="828">
        <v>703.9</v>
      </c>
      <c r="DB64" s="826">
        <v>217.5</v>
      </c>
      <c r="DC64" s="828">
        <v>1086.5999999999999</v>
      </c>
      <c r="DD64" s="826">
        <v>233.2</v>
      </c>
      <c r="DE64" s="827">
        <v>314.7</v>
      </c>
      <c r="DF64" s="828">
        <v>263</v>
      </c>
      <c r="DG64" s="824">
        <v>481.6</v>
      </c>
      <c r="DI64" s="1083"/>
      <c r="DJ64" s="819"/>
      <c r="DK64" s="825">
        <v>5</v>
      </c>
      <c r="DL64" s="826">
        <v>181.7</v>
      </c>
      <c r="DM64" s="827">
        <v>750.5</v>
      </c>
      <c r="DN64" s="828">
        <v>579.5</v>
      </c>
      <c r="DO64" s="826">
        <v>185.8</v>
      </c>
      <c r="DP64" s="827">
        <v>722.4</v>
      </c>
      <c r="DQ64" s="828">
        <v>764.6</v>
      </c>
      <c r="DR64" s="826">
        <v>239.8</v>
      </c>
      <c r="DS64" s="828">
        <v>1155.0999999999999</v>
      </c>
      <c r="DT64" s="826">
        <v>238.3</v>
      </c>
      <c r="DU64" s="827">
        <v>343.2</v>
      </c>
      <c r="DV64" s="828">
        <v>287.10000000000002</v>
      </c>
      <c r="DW64" s="824">
        <v>513.70000000000005</v>
      </c>
      <c r="DY64" s="1083"/>
      <c r="DZ64" s="819"/>
      <c r="EA64" s="825">
        <v>5</v>
      </c>
      <c r="EB64" s="826">
        <v>179.7</v>
      </c>
      <c r="EC64" s="827">
        <v>801.4</v>
      </c>
      <c r="ED64" s="828">
        <v>617.29999999999995</v>
      </c>
      <c r="EE64" s="826">
        <v>200.3</v>
      </c>
      <c r="EF64" s="827">
        <v>759.3</v>
      </c>
      <c r="EG64" s="828">
        <v>817.6</v>
      </c>
      <c r="EH64" s="826">
        <v>263.5</v>
      </c>
      <c r="EI64" s="828">
        <v>1225.4000000000001</v>
      </c>
      <c r="EJ64" s="826">
        <v>247.7</v>
      </c>
      <c r="EK64" s="827">
        <v>366.9</v>
      </c>
      <c r="EL64" s="828">
        <v>315.89999999999998</v>
      </c>
      <c r="EM64" s="824">
        <v>538.20000000000005</v>
      </c>
    </row>
    <row r="65" spans="17:143" ht="13.5" customHeight="1">
      <c r="Q65" s="1083"/>
      <c r="R65" s="819"/>
      <c r="S65" s="829" t="s">
        <v>563</v>
      </c>
      <c r="T65" s="830">
        <v>9.4</v>
      </c>
      <c r="U65" s="831">
        <v>128.4</v>
      </c>
      <c r="V65" s="832">
        <v>38.6</v>
      </c>
      <c r="W65" s="830">
        <v>9.3000000000000007</v>
      </c>
      <c r="X65" s="831">
        <v>60.2</v>
      </c>
      <c r="Y65" s="832">
        <v>30.5</v>
      </c>
      <c r="Z65" s="830">
        <v>25.3</v>
      </c>
      <c r="AA65" s="832">
        <v>25.4</v>
      </c>
      <c r="AB65" s="830">
        <v>6.2</v>
      </c>
      <c r="AC65" s="831">
        <v>6.4</v>
      </c>
      <c r="AD65" s="832">
        <v>1.9</v>
      </c>
      <c r="AE65" s="833">
        <v>19.5</v>
      </c>
      <c r="AG65" s="1083"/>
      <c r="AH65" s="819"/>
      <c r="AI65" s="829" t="s">
        <v>563</v>
      </c>
      <c r="AJ65" s="830">
        <v>6.7</v>
      </c>
      <c r="AK65" s="831">
        <v>150.5</v>
      </c>
      <c r="AL65" s="832">
        <v>44.3</v>
      </c>
      <c r="AM65" s="830">
        <v>9.8000000000000007</v>
      </c>
      <c r="AN65" s="831">
        <v>66.400000000000006</v>
      </c>
      <c r="AO65" s="832">
        <v>34.4</v>
      </c>
      <c r="AP65" s="830">
        <v>27.7</v>
      </c>
      <c r="AQ65" s="832">
        <v>27</v>
      </c>
      <c r="AR65" s="830">
        <v>7.3</v>
      </c>
      <c r="AS65" s="831">
        <v>6</v>
      </c>
      <c r="AT65" s="832">
        <v>2.1</v>
      </c>
      <c r="AU65" s="833">
        <v>21.5</v>
      </c>
      <c r="AW65" s="1083"/>
      <c r="AX65" s="819"/>
      <c r="AY65" s="829" t="s">
        <v>563</v>
      </c>
      <c r="AZ65" s="830">
        <v>8.6999999999999993</v>
      </c>
      <c r="BA65" s="831">
        <v>175.9</v>
      </c>
      <c r="BB65" s="832">
        <v>49.2</v>
      </c>
      <c r="BC65" s="830">
        <v>11.6</v>
      </c>
      <c r="BD65" s="831">
        <v>75.7</v>
      </c>
      <c r="BE65" s="832">
        <v>39.299999999999997</v>
      </c>
      <c r="BF65" s="830">
        <v>32</v>
      </c>
      <c r="BG65" s="832">
        <v>29.5</v>
      </c>
      <c r="BH65" s="830">
        <v>8.6999999999999993</v>
      </c>
      <c r="BI65" s="831">
        <v>6.5</v>
      </c>
      <c r="BJ65" s="832">
        <v>2.2999999999999998</v>
      </c>
      <c r="BK65" s="833">
        <v>24.4</v>
      </c>
      <c r="BM65" s="1083"/>
      <c r="BN65" s="819"/>
      <c r="BO65" s="829" t="s">
        <v>563</v>
      </c>
      <c r="BP65" s="830">
        <v>8.6999999999999993</v>
      </c>
      <c r="BQ65" s="831">
        <v>207.7</v>
      </c>
      <c r="BR65" s="832">
        <v>55.6</v>
      </c>
      <c r="BS65" s="830">
        <v>14.9</v>
      </c>
      <c r="BT65" s="831">
        <v>87.2</v>
      </c>
      <c r="BU65" s="832">
        <v>44.9</v>
      </c>
      <c r="BV65" s="830">
        <v>37</v>
      </c>
      <c r="BW65" s="832">
        <v>32.5</v>
      </c>
      <c r="BX65" s="830">
        <v>11.5</v>
      </c>
      <c r="BY65" s="831">
        <v>7.5</v>
      </c>
      <c r="BZ65" s="832">
        <v>10.4</v>
      </c>
      <c r="CA65" s="833">
        <v>29.3</v>
      </c>
      <c r="CC65" s="1083"/>
      <c r="CD65" s="819"/>
      <c r="CE65" s="829" t="s">
        <v>563</v>
      </c>
      <c r="CF65" s="830">
        <v>12.5</v>
      </c>
      <c r="CG65" s="831">
        <v>245.2</v>
      </c>
      <c r="CH65" s="832">
        <v>62.6</v>
      </c>
      <c r="CI65" s="830">
        <v>19.100000000000001</v>
      </c>
      <c r="CJ65" s="831">
        <v>102</v>
      </c>
      <c r="CK65" s="832">
        <v>50.9</v>
      </c>
      <c r="CL65" s="830">
        <v>43.6</v>
      </c>
      <c r="CM65" s="832">
        <v>35.4</v>
      </c>
      <c r="CN65" s="830">
        <v>15.9</v>
      </c>
      <c r="CO65" s="831">
        <v>8.6999999999999993</v>
      </c>
      <c r="CP65" s="832">
        <v>3</v>
      </c>
      <c r="CQ65" s="833">
        <v>33.1</v>
      </c>
      <c r="CS65" s="1083"/>
      <c r="CT65" s="819"/>
      <c r="CU65" s="829" t="s">
        <v>563</v>
      </c>
      <c r="CV65" s="830">
        <v>16.600000000000001</v>
      </c>
      <c r="CW65" s="831">
        <v>271.7</v>
      </c>
      <c r="CX65" s="832">
        <v>69</v>
      </c>
      <c r="CY65" s="830">
        <v>23.6</v>
      </c>
      <c r="CZ65" s="831">
        <v>119.7</v>
      </c>
      <c r="DA65" s="832">
        <v>57.3</v>
      </c>
      <c r="DB65" s="830">
        <v>50.1</v>
      </c>
      <c r="DC65" s="832">
        <v>38.299999999999997</v>
      </c>
      <c r="DD65" s="830">
        <v>20.3</v>
      </c>
      <c r="DE65" s="831">
        <v>10</v>
      </c>
      <c r="DF65" s="832">
        <v>11.5</v>
      </c>
      <c r="DG65" s="833">
        <v>38.9</v>
      </c>
      <c r="DI65" s="1083"/>
      <c r="DJ65" s="819"/>
      <c r="DK65" s="829" t="s">
        <v>563</v>
      </c>
      <c r="DL65" s="830">
        <v>20</v>
      </c>
      <c r="DM65" s="831">
        <v>300.3</v>
      </c>
      <c r="DN65" s="832">
        <v>75.3</v>
      </c>
      <c r="DO65" s="830">
        <v>28.2</v>
      </c>
      <c r="DP65" s="831">
        <v>137</v>
      </c>
      <c r="DQ65" s="832">
        <v>64.3</v>
      </c>
      <c r="DR65" s="830">
        <v>57.2</v>
      </c>
      <c r="DS65" s="832">
        <v>40.9</v>
      </c>
      <c r="DT65" s="830">
        <v>24.8</v>
      </c>
      <c r="DU65" s="831">
        <v>11.6</v>
      </c>
      <c r="DV65" s="832">
        <v>3.8</v>
      </c>
      <c r="DW65" s="833">
        <v>42.6</v>
      </c>
      <c r="DY65" s="1083"/>
      <c r="DZ65" s="819"/>
      <c r="EA65" s="829" t="s">
        <v>563</v>
      </c>
      <c r="EB65" s="830">
        <v>23.5</v>
      </c>
      <c r="EC65" s="831">
        <v>327.7</v>
      </c>
      <c r="ED65" s="832">
        <v>80.900000000000006</v>
      </c>
      <c r="EE65" s="830">
        <v>33.299999999999997</v>
      </c>
      <c r="EF65" s="831">
        <v>150.1</v>
      </c>
      <c r="EG65" s="832">
        <v>70.900000000000006</v>
      </c>
      <c r="EH65" s="830">
        <v>64.5</v>
      </c>
      <c r="EI65" s="832">
        <v>43.4</v>
      </c>
      <c r="EJ65" s="830">
        <v>29.1</v>
      </c>
      <c r="EK65" s="831">
        <v>13</v>
      </c>
      <c r="EL65" s="832">
        <v>15</v>
      </c>
      <c r="EM65" s="833">
        <v>48.6</v>
      </c>
    </row>
    <row r="66" spans="17:143" ht="13.5" customHeight="1">
      <c r="Q66" s="834" t="s">
        <v>356</v>
      </c>
      <c r="R66" s="835"/>
      <c r="S66" s="836" t="s">
        <v>6</v>
      </c>
      <c r="T66" s="837">
        <v>1</v>
      </c>
      <c r="U66" s="838">
        <v>5.0999999999999996</v>
      </c>
      <c r="V66" s="839">
        <v>21.4</v>
      </c>
      <c r="W66" s="837">
        <v>1</v>
      </c>
      <c r="X66" s="838">
        <v>3.8</v>
      </c>
      <c r="Y66" s="839">
        <v>21.4</v>
      </c>
      <c r="Z66" s="837">
        <v>3.7</v>
      </c>
      <c r="AA66" s="839">
        <v>21.4</v>
      </c>
      <c r="AB66" s="837">
        <v>1</v>
      </c>
      <c r="AC66" s="838">
        <v>3.2</v>
      </c>
      <c r="AD66" s="839">
        <v>21.4</v>
      </c>
      <c r="AE66" s="840">
        <v>5.8</v>
      </c>
      <c r="AG66" s="834" t="s">
        <v>356</v>
      </c>
      <c r="AH66" s="835"/>
      <c r="AI66" s="836" t="s">
        <v>6</v>
      </c>
      <c r="AJ66" s="837">
        <v>0.9</v>
      </c>
      <c r="AK66" s="838">
        <v>4.7</v>
      </c>
      <c r="AL66" s="839">
        <v>19.899999999999999</v>
      </c>
      <c r="AM66" s="837">
        <v>0.9</v>
      </c>
      <c r="AN66" s="838">
        <v>3.6</v>
      </c>
      <c r="AO66" s="839">
        <v>19.899999999999999</v>
      </c>
      <c r="AP66" s="837">
        <v>3.5</v>
      </c>
      <c r="AQ66" s="839">
        <v>19.899999999999999</v>
      </c>
      <c r="AR66" s="837">
        <v>0.9</v>
      </c>
      <c r="AS66" s="838">
        <v>3</v>
      </c>
      <c r="AT66" s="839">
        <v>19.899999999999999</v>
      </c>
      <c r="AU66" s="840">
        <v>5.5</v>
      </c>
      <c r="AW66" s="834" t="s">
        <v>356</v>
      </c>
      <c r="AX66" s="835"/>
      <c r="AY66" s="836" t="s">
        <v>6</v>
      </c>
      <c r="AZ66" s="837">
        <v>1</v>
      </c>
      <c r="BA66" s="838">
        <v>5.5</v>
      </c>
      <c r="BB66" s="839">
        <v>23</v>
      </c>
      <c r="BC66" s="837">
        <v>1</v>
      </c>
      <c r="BD66" s="838">
        <v>4.0999999999999996</v>
      </c>
      <c r="BE66" s="839">
        <v>23</v>
      </c>
      <c r="BF66" s="837">
        <v>4</v>
      </c>
      <c r="BG66" s="839">
        <v>23</v>
      </c>
      <c r="BH66" s="837">
        <v>1</v>
      </c>
      <c r="BI66" s="838">
        <v>3.4</v>
      </c>
      <c r="BJ66" s="839">
        <v>23</v>
      </c>
      <c r="BK66" s="840">
        <v>6.3</v>
      </c>
      <c r="BM66" s="834" t="s">
        <v>356</v>
      </c>
      <c r="BN66" s="835"/>
      <c r="BO66" s="836" t="s">
        <v>6</v>
      </c>
      <c r="BP66" s="837">
        <v>1.1000000000000001</v>
      </c>
      <c r="BQ66" s="838">
        <v>5.9</v>
      </c>
      <c r="BR66" s="839">
        <v>24.7</v>
      </c>
      <c r="BS66" s="837">
        <v>1.1000000000000001</v>
      </c>
      <c r="BT66" s="838">
        <v>4.4000000000000004</v>
      </c>
      <c r="BU66" s="839">
        <v>24.7</v>
      </c>
      <c r="BV66" s="837">
        <v>4.3</v>
      </c>
      <c r="BW66" s="839">
        <v>24.7</v>
      </c>
      <c r="BX66" s="837">
        <v>1.1000000000000001</v>
      </c>
      <c r="BY66" s="838">
        <v>3.7</v>
      </c>
      <c r="BZ66" s="839">
        <v>24.7</v>
      </c>
      <c r="CA66" s="840">
        <v>6.7</v>
      </c>
      <c r="CC66" s="834" t="s">
        <v>356</v>
      </c>
      <c r="CD66" s="835"/>
      <c r="CE66" s="836" t="s">
        <v>6</v>
      </c>
      <c r="CF66" s="837">
        <v>1.2</v>
      </c>
      <c r="CG66" s="838">
        <v>6.3</v>
      </c>
      <c r="CH66" s="839">
        <v>26.5</v>
      </c>
      <c r="CI66" s="837">
        <v>1.2</v>
      </c>
      <c r="CJ66" s="838">
        <v>4.7</v>
      </c>
      <c r="CK66" s="839">
        <v>26.5</v>
      </c>
      <c r="CL66" s="837">
        <v>4.5999999999999996</v>
      </c>
      <c r="CM66" s="839">
        <v>26.5</v>
      </c>
      <c r="CN66" s="837">
        <v>1.2</v>
      </c>
      <c r="CO66" s="838">
        <v>3.9</v>
      </c>
      <c r="CP66" s="839">
        <v>26.5</v>
      </c>
      <c r="CQ66" s="840">
        <v>7.2</v>
      </c>
      <c r="CS66" s="834" t="s">
        <v>356</v>
      </c>
      <c r="CT66" s="835"/>
      <c r="CU66" s="836" t="s">
        <v>6</v>
      </c>
      <c r="CV66" s="837">
        <v>1.3</v>
      </c>
      <c r="CW66" s="838">
        <v>6.8</v>
      </c>
      <c r="CX66" s="839">
        <v>28.4</v>
      </c>
      <c r="CY66" s="837">
        <v>1.3</v>
      </c>
      <c r="CZ66" s="838">
        <v>5.0999999999999996</v>
      </c>
      <c r="DA66" s="839">
        <v>28.4</v>
      </c>
      <c r="DB66" s="837">
        <v>5</v>
      </c>
      <c r="DC66" s="839">
        <v>28.4</v>
      </c>
      <c r="DD66" s="837">
        <v>1.3</v>
      </c>
      <c r="DE66" s="838">
        <v>4.2</v>
      </c>
      <c r="DF66" s="839">
        <v>28.4</v>
      </c>
      <c r="DG66" s="840">
        <v>7.8</v>
      </c>
      <c r="DI66" s="834" t="s">
        <v>356</v>
      </c>
      <c r="DJ66" s="835"/>
      <c r="DK66" s="836" t="s">
        <v>6</v>
      </c>
      <c r="DL66" s="837">
        <v>1.4</v>
      </c>
      <c r="DM66" s="838">
        <v>7.3</v>
      </c>
      <c r="DN66" s="839">
        <v>30.4</v>
      </c>
      <c r="DO66" s="837">
        <v>1.4</v>
      </c>
      <c r="DP66" s="838">
        <v>5.4</v>
      </c>
      <c r="DQ66" s="839">
        <v>30.4</v>
      </c>
      <c r="DR66" s="837">
        <v>5.3</v>
      </c>
      <c r="DS66" s="839">
        <v>30.4</v>
      </c>
      <c r="DT66" s="837">
        <v>1.4</v>
      </c>
      <c r="DU66" s="838">
        <v>4.5</v>
      </c>
      <c r="DV66" s="839">
        <v>30.4</v>
      </c>
      <c r="DW66" s="840">
        <v>8.3000000000000007</v>
      </c>
      <c r="DY66" s="834" t="s">
        <v>356</v>
      </c>
      <c r="DZ66" s="835"/>
      <c r="EA66" s="836" t="s">
        <v>6</v>
      </c>
      <c r="EB66" s="837">
        <v>1.5</v>
      </c>
      <c r="EC66" s="838">
        <v>7.7</v>
      </c>
      <c r="ED66" s="839">
        <v>32.4</v>
      </c>
      <c r="EE66" s="837">
        <v>1.5</v>
      </c>
      <c r="EF66" s="838">
        <v>5.8</v>
      </c>
      <c r="EG66" s="839">
        <v>32.4</v>
      </c>
      <c r="EH66" s="837">
        <v>5.6</v>
      </c>
      <c r="EI66" s="839">
        <v>32.4</v>
      </c>
      <c r="EJ66" s="837">
        <v>1.5</v>
      </c>
      <c r="EK66" s="838">
        <v>4.8</v>
      </c>
      <c r="EL66" s="839">
        <v>32.4</v>
      </c>
      <c r="EM66" s="840">
        <v>8.9</v>
      </c>
    </row>
    <row r="67" spans="17:143" ht="13.5" customHeight="1">
      <c r="Q67" s="834" t="s">
        <v>357</v>
      </c>
      <c r="R67" s="835"/>
      <c r="S67" s="841" t="s">
        <v>6</v>
      </c>
      <c r="T67" s="842">
        <v>0.3</v>
      </c>
      <c r="U67" s="843">
        <v>3.4</v>
      </c>
      <c r="V67" s="844">
        <v>3.4</v>
      </c>
      <c r="W67" s="842">
        <v>0.3</v>
      </c>
      <c r="X67" s="843">
        <v>3.4</v>
      </c>
      <c r="Y67" s="844">
        <v>3.4</v>
      </c>
      <c r="Z67" s="842">
        <v>3.4</v>
      </c>
      <c r="AA67" s="844">
        <v>3.4</v>
      </c>
      <c r="AB67" s="842">
        <v>0.3</v>
      </c>
      <c r="AC67" s="843">
        <v>3.6</v>
      </c>
      <c r="AD67" s="844">
        <v>3.6</v>
      </c>
      <c r="AE67" s="824">
        <v>2.5</v>
      </c>
      <c r="AG67" s="834" t="s">
        <v>357</v>
      </c>
      <c r="AH67" s="835"/>
      <c r="AI67" s="841" t="s">
        <v>6</v>
      </c>
      <c r="AJ67" s="842">
        <v>0.3</v>
      </c>
      <c r="AK67" s="843">
        <v>3.1</v>
      </c>
      <c r="AL67" s="844">
        <v>3.1</v>
      </c>
      <c r="AM67" s="842">
        <v>0.3</v>
      </c>
      <c r="AN67" s="843">
        <v>3.1</v>
      </c>
      <c r="AO67" s="844">
        <v>3.1</v>
      </c>
      <c r="AP67" s="842">
        <v>3.1</v>
      </c>
      <c r="AQ67" s="844">
        <v>3.1</v>
      </c>
      <c r="AR67" s="842">
        <v>0.3</v>
      </c>
      <c r="AS67" s="843">
        <v>3.3</v>
      </c>
      <c r="AT67" s="844">
        <v>3.3</v>
      </c>
      <c r="AU67" s="824">
        <v>2.4</v>
      </c>
      <c r="AW67" s="834" t="s">
        <v>357</v>
      </c>
      <c r="AX67" s="835"/>
      <c r="AY67" s="841" t="s">
        <v>6</v>
      </c>
      <c r="AZ67" s="842">
        <v>0.3</v>
      </c>
      <c r="BA67" s="843">
        <v>3.7</v>
      </c>
      <c r="BB67" s="844">
        <v>3.7</v>
      </c>
      <c r="BC67" s="842">
        <v>0.3</v>
      </c>
      <c r="BD67" s="843">
        <v>3.7</v>
      </c>
      <c r="BE67" s="844">
        <v>3.7</v>
      </c>
      <c r="BF67" s="842">
        <v>3.7</v>
      </c>
      <c r="BG67" s="844">
        <v>3.7</v>
      </c>
      <c r="BH67" s="842">
        <v>0.3</v>
      </c>
      <c r="BI67" s="843">
        <v>3.9</v>
      </c>
      <c r="BJ67" s="844">
        <v>3.9</v>
      </c>
      <c r="BK67" s="824">
        <v>2.8</v>
      </c>
      <c r="BM67" s="834" t="s">
        <v>357</v>
      </c>
      <c r="BN67" s="835"/>
      <c r="BO67" s="841" t="s">
        <v>6</v>
      </c>
      <c r="BP67" s="842">
        <v>0.4</v>
      </c>
      <c r="BQ67" s="843">
        <v>4</v>
      </c>
      <c r="BR67" s="844">
        <v>4</v>
      </c>
      <c r="BS67" s="842">
        <v>0.4</v>
      </c>
      <c r="BT67" s="843">
        <v>4</v>
      </c>
      <c r="BU67" s="844">
        <v>4</v>
      </c>
      <c r="BV67" s="842">
        <v>4</v>
      </c>
      <c r="BW67" s="844">
        <v>4</v>
      </c>
      <c r="BX67" s="842">
        <v>0.4</v>
      </c>
      <c r="BY67" s="843">
        <v>4.3</v>
      </c>
      <c r="BZ67" s="844">
        <v>4.3</v>
      </c>
      <c r="CA67" s="824">
        <v>3</v>
      </c>
      <c r="CC67" s="834" t="s">
        <v>357</v>
      </c>
      <c r="CD67" s="835"/>
      <c r="CE67" s="841" t="s">
        <v>6</v>
      </c>
      <c r="CF67" s="842">
        <v>0.4</v>
      </c>
      <c r="CG67" s="843">
        <v>4.3</v>
      </c>
      <c r="CH67" s="844">
        <v>4.3</v>
      </c>
      <c r="CI67" s="842">
        <v>0.4</v>
      </c>
      <c r="CJ67" s="843">
        <v>4.3</v>
      </c>
      <c r="CK67" s="844">
        <v>4.3</v>
      </c>
      <c r="CL67" s="842">
        <v>4.3</v>
      </c>
      <c r="CM67" s="844">
        <v>4.3</v>
      </c>
      <c r="CN67" s="842">
        <v>0.4</v>
      </c>
      <c r="CO67" s="843">
        <v>4.5999999999999996</v>
      </c>
      <c r="CP67" s="844">
        <v>4.5999999999999996</v>
      </c>
      <c r="CQ67" s="824">
        <v>3.2</v>
      </c>
      <c r="CS67" s="834" t="s">
        <v>357</v>
      </c>
      <c r="CT67" s="835"/>
      <c r="CU67" s="841" t="s">
        <v>6</v>
      </c>
      <c r="CV67" s="842">
        <v>0.4</v>
      </c>
      <c r="CW67" s="843">
        <v>4.7</v>
      </c>
      <c r="CX67" s="844">
        <v>4.7</v>
      </c>
      <c r="CY67" s="842">
        <v>0.4</v>
      </c>
      <c r="CZ67" s="843">
        <v>4.7</v>
      </c>
      <c r="DA67" s="844">
        <v>4.7</v>
      </c>
      <c r="DB67" s="842">
        <v>4.7</v>
      </c>
      <c r="DC67" s="844">
        <v>4.7</v>
      </c>
      <c r="DD67" s="842">
        <v>0.4</v>
      </c>
      <c r="DE67" s="843">
        <v>4.9000000000000004</v>
      </c>
      <c r="DF67" s="844">
        <v>4.9000000000000004</v>
      </c>
      <c r="DG67" s="824">
        <v>3.5</v>
      </c>
      <c r="DI67" s="834" t="s">
        <v>357</v>
      </c>
      <c r="DJ67" s="835"/>
      <c r="DK67" s="841" t="s">
        <v>6</v>
      </c>
      <c r="DL67" s="842">
        <v>0.5</v>
      </c>
      <c r="DM67" s="843">
        <v>5</v>
      </c>
      <c r="DN67" s="844">
        <v>5</v>
      </c>
      <c r="DO67" s="842">
        <v>0.5</v>
      </c>
      <c r="DP67" s="843">
        <v>5</v>
      </c>
      <c r="DQ67" s="844">
        <v>5</v>
      </c>
      <c r="DR67" s="842">
        <v>5</v>
      </c>
      <c r="DS67" s="844">
        <v>5</v>
      </c>
      <c r="DT67" s="842">
        <v>0.5</v>
      </c>
      <c r="DU67" s="843">
        <v>5.3</v>
      </c>
      <c r="DV67" s="844">
        <v>5.3</v>
      </c>
      <c r="DW67" s="824">
        <v>3.7</v>
      </c>
      <c r="DY67" s="834" t="s">
        <v>357</v>
      </c>
      <c r="DZ67" s="835"/>
      <c r="EA67" s="841" t="s">
        <v>6</v>
      </c>
      <c r="EB67" s="842">
        <v>0.5</v>
      </c>
      <c r="EC67" s="843">
        <v>5.4</v>
      </c>
      <c r="ED67" s="844">
        <v>5.4</v>
      </c>
      <c r="EE67" s="842">
        <v>0.5</v>
      </c>
      <c r="EF67" s="843">
        <v>5.4</v>
      </c>
      <c r="EG67" s="844">
        <v>5.4</v>
      </c>
      <c r="EH67" s="842">
        <v>5.4</v>
      </c>
      <c r="EI67" s="844">
        <v>5.4</v>
      </c>
      <c r="EJ67" s="842">
        <v>0.5</v>
      </c>
      <c r="EK67" s="843">
        <v>5.7</v>
      </c>
      <c r="EL67" s="844">
        <v>5.7</v>
      </c>
      <c r="EM67" s="824">
        <v>4</v>
      </c>
    </row>
    <row r="68" spans="17:143" ht="13.5" customHeight="1">
      <c r="Q68" s="834" t="s">
        <v>358</v>
      </c>
      <c r="R68" s="835"/>
      <c r="S68" s="841" t="s">
        <v>6</v>
      </c>
      <c r="T68" s="842">
        <v>10.6</v>
      </c>
      <c r="U68" s="843">
        <v>20.2</v>
      </c>
      <c r="V68" s="844">
        <v>26.9</v>
      </c>
      <c r="W68" s="842">
        <v>5.0999999999999996</v>
      </c>
      <c r="X68" s="843">
        <v>7.2</v>
      </c>
      <c r="Y68" s="844">
        <v>8.9</v>
      </c>
      <c r="Z68" s="842">
        <v>4.9000000000000004</v>
      </c>
      <c r="AA68" s="844">
        <v>6.5</v>
      </c>
      <c r="AB68" s="842">
        <v>1.3</v>
      </c>
      <c r="AC68" s="843">
        <v>1.4</v>
      </c>
      <c r="AD68" s="844">
        <v>1.5</v>
      </c>
      <c r="AE68" s="824">
        <v>3.9</v>
      </c>
      <c r="AG68" s="834" t="s">
        <v>358</v>
      </c>
      <c r="AH68" s="835"/>
      <c r="AI68" s="841" t="s">
        <v>6</v>
      </c>
      <c r="AJ68" s="842">
        <v>5</v>
      </c>
      <c r="AK68" s="843">
        <v>8.8000000000000007</v>
      </c>
      <c r="AL68" s="844">
        <v>11.2</v>
      </c>
      <c r="AM68" s="842">
        <v>2.4</v>
      </c>
      <c r="AN68" s="843">
        <v>3.4</v>
      </c>
      <c r="AO68" s="844">
        <v>4.0999999999999996</v>
      </c>
      <c r="AP68" s="842">
        <v>2.2999999999999998</v>
      </c>
      <c r="AQ68" s="844">
        <v>3</v>
      </c>
      <c r="AR68" s="842">
        <v>0.6</v>
      </c>
      <c r="AS68" s="843">
        <v>0.6</v>
      </c>
      <c r="AT68" s="844">
        <v>0.6</v>
      </c>
      <c r="AU68" s="824">
        <v>1.7</v>
      </c>
      <c r="AW68" s="834" t="s">
        <v>358</v>
      </c>
      <c r="AX68" s="835"/>
      <c r="AY68" s="841" t="s">
        <v>6</v>
      </c>
      <c r="AZ68" s="842">
        <v>4.2</v>
      </c>
      <c r="BA68" s="843">
        <v>7.7</v>
      </c>
      <c r="BB68" s="844">
        <v>9.3000000000000007</v>
      </c>
      <c r="BC68" s="842">
        <v>2</v>
      </c>
      <c r="BD68" s="843">
        <v>2.5</v>
      </c>
      <c r="BE68" s="844">
        <v>3</v>
      </c>
      <c r="BF68" s="842">
        <v>1.8</v>
      </c>
      <c r="BG68" s="844">
        <v>2.2000000000000002</v>
      </c>
      <c r="BH68" s="842">
        <v>0.5</v>
      </c>
      <c r="BI68" s="843">
        <v>0.4</v>
      </c>
      <c r="BJ68" s="844">
        <v>0.5</v>
      </c>
      <c r="BK68" s="824">
        <v>1.4</v>
      </c>
      <c r="BM68" s="834" t="s">
        <v>358</v>
      </c>
      <c r="BN68" s="835"/>
      <c r="BO68" s="841" t="s">
        <v>6</v>
      </c>
      <c r="BP68" s="842">
        <v>4.2</v>
      </c>
      <c r="BQ68" s="843">
        <v>7.3</v>
      </c>
      <c r="BR68" s="844">
        <v>8.6</v>
      </c>
      <c r="BS68" s="842">
        <v>2</v>
      </c>
      <c r="BT68" s="843">
        <v>2.4</v>
      </c>
      <c r="BU68" s="844">
        <v>2.8</v>
      </c>
      <c r="BV68" s="842">
        <v>1.8</v>
      </c>
      <c r="BW68" s="844">
        <v>2</v>
      </c>
      <c r="BX68" s="842">
        <v>0.5</v>
      </c>
      <c r="BY68" s="843">
        <v>0.4</v>
      </c>
      <c r="BZ68" s="844">
        <v>0.4</v>
      </c>
      <c r="CA68" s="824">
        <v>1.3</v>
      </c>
      <c r="CC68" s="834" t="s">
        <v>358</v>
      </c>
      <c r="CD68" s="835"/>
      <c r="CE68" s="841" t="s">
        <v>6</v>
      </c>
      <c r="CF68" s="842">
        <v>4.3</v>
      </c>
      <c r="CG68" s="843">
        <v>6</v>
      </c>
      <c r="CH68" s="844">
        <v>6.4</v>
      </c>
      <c r="CI68" s="842">
        <v>2.1</v>
      </c>
      <c r="CJ68" s="843">
        <v>2.4</v>
      </c>
      <c r="CK68" s="844">
        <v>2.6</v>
      </c>
      <c r="CL68" s="842">
        <v>1.9</v>
      </c>
      <c r="CM68" s="844">
        <v>2.1</v>
      </c>
      <c r="CN68" s="842">
        <v>0.6</v>
      </c>
      <c r="CO68" s="843">
        <v>0.5</v>
      </c>
      <c r="CP68" s="844">
        <v>0.6</v>
      </c>
      <c r="CQ68" s="824">
        <v>1.3</v>
      </c>
      <c r="CS68" s="834" t="s">
        <v>358</v>
      </c>
      <c r="CT68" s="835"/>
      <c r="CU68" s="841" t="s">
        <v>6</v>
      </c>
      <c r="CV68" s="842">
        <v>4.8</v>
      </c>
      <c r="CW68" s="843">
        <v>8.1</v>
      </c>
      <c r="CX68" s="844">
        <v>9.1999999999999993</v>
      </c>
      <c r="CY68" s="842">
        <v>2.2999999999999998</v>
      </c>
      <c r="CZ68" s="843">
        <v>2.8</v>
      </c>
      <c r="DA68" s="844">
        <v>3.1</v>
      </c>
      <c r="DB68" s="842">
        <v>2</v>
      </c>
      <c r="DC68" s="844">
        <v>2.2999999999999998</v>
      </c>
      <c r="DD68" s="842">
        <v>0.6</v>
      </c>
      <c r="DE68" s="843">
        <v>0.5</v>
      </c>
      <c r="DF68" s="844">
        <v>0.5</v>
      </c>
      <c r="DG68" s="824">
        <v>1.5</v>
      </c>
      <c r="DI68" s="834" t="s">
        <v>358</v>
      </c>
      <c r="DJ68" s="835"/>
      <c r="DK68" s="841" t="s">
        <v>6</v>
      </c>
      <c r="DL68" s="842">
        <v>5.2</v>
      </c>
      <c r="DM68" s="843">
        <v>8.8000000000000007</v>
      </c>
      <c r="DN68" s="844">
        <v>9.9</v>
      </c>
      <c r="DO68" s="842">
        <v>2.5</v>
      </c>
      <c r="DP68" s="843">
        <v>3</v>
      </c>
      <c r="DQ68" s="844">
        <v>3.3</v>
      </c>
      <c r="DR68" s="842">
        <v>2.1</v>
      </c>
      <c r="DS68" s="844">
        <v>2.4</v>
      </c>
      <c r="DT68" s="842">
        <v>0.6</v>
      </c>
      <c r="DU68" s="843">
        <v>0.5</v>
      </c>
      <c r="DV68" s="844">
        <v>0.5</v>
      </c>
      <c r="DW68" s="824">
        <v>1.6</v>
      </c>
      <c r="DY68" s="834" t="s">
        <v>358</v>
      </c>
      <c r="DZ68" s="835"/>
      <c r="EA68" s="841" t="s">
        <v>6</v>
      </c>
      <c r="EB68" s="842">
        <v>5.6</v>
      </c>
      <c r="EC68" s="843">
        <v>9.5</v>
      </c>
      <c r="ED68" s="844">
        <v>10.6</v>
      </c>
      <c r="EE68" s="842">
        <v>2.7</v>
      </c>
      <c r="EF68" s="843">
        <v>3.2</v>
      </c>
      <c r="EG68" s="844">
        <v>3.5</v>
      </c>
      <c r="EH68" s="842">
        <v>2.2999999999999998</v>
      </c>
      <c r="EI68" s="844">
        <v>2.6</v>
      </c>
      <c r="EJ68" s="842">
        <v>0.7</v>
      </c>
      <c r="EK68" s="843">
        <v>0.5</v>
      </c>
      <c r="EL68" s="844">
        <v>0.6</v>
      </c>
      <c r="EM68" s="824">
        <v>1.7</v>
      </c>
    </row>
    <row r="69" spans="17:143" ht="13.5" customHeight="1">
      <c r="Q69" s="834" t="s">
        <v>359</v>
      </c>
      <c r="R69" s="835"/>
      <c r="S69" s="841" t="s">
        <v>6</v>
      </c>
      <c r="T69" s="842">
        <v>5.2</v>
      </c>
      <c r="U69" s="843">
        <v>6.3</v>
      </c>
      <c r="V69" s="844">
        <v>7.6</v>
      </c>
      <c r="W69" s="842">
        <v>5.4</v>
      </c>
      <c r="X69" s="843">
        <v>5.3</v>
      </c>
      <c r="Y69" s="844">
        <v>5.3</v>
      </c>
      <c r="Z69" s="842">
        <v>4.7</v>
      </c>
      <c r="AA69" s="844">
        <v>4.7</v>
      </c>
      <c r="AB69" s="842">
        <v>1</v>
      </c>
      <c r="AC69" s="843">
        <v>1</v>
      </c>
      <c r="AD69" s="844">
        <v>1.2</v>
      </c>
      <c r="AE69" s="824">
        <v>2.5</v>
      </c>
      <c r="AG69" s="834" t="s">
        <v>359</v>
      </c>
      <c r="AH69" s="835"/>
      <c r="AI69" s="841" t="s">
        <v>6</v>
      </c>
      <c r="AJ69" s="842">
        <v>4.8</v>
      </c>
      <c r="AK69" s="843">
        <v>5.8</v>
      </c>
      <c r="AL69" s="844">
        <v>6.9</v>
      </c>
      <c r="AM69" s="842">
        <v>5</v>
      </c>
      <c r="AN69" s="843">
        <v>4.9000000000000004</v>
      </c>
      <c r="AO69" s="844">
        <v>4.9000000000000004</v>
      </c>
      <c r="AP69" s="842">
        <v>4.3</v>
      </c>
      <c r="AQ69" s="844">
        <v>4.3</v>
      </c>
      <c r="AR69" s="842">
        <v>0.9</v>
      </c>
      <c r="AS69" s="843">
        <v>0.9</v>
      </c>
      <c r="AT69" s="844">
        <v>1.1000000000000001</v>
      </c>
      <c r="AU69" s="824">
        <v>2.2999999999999998</v>
      </c>
      <c r="AW69" s="834" t="s">
        <v>359</v>
      </c>
      <c r="AX69" s="835"/>
      <c r="AY69" s="841" t="s">
        <v>6</v>
      </c>
      <c r="AZ69" s="842">
        <v>5.6</v>
      </c>
      <c r="BA69" s="843">
        <v>6.8</v>
      </c>
      <c r="BB69" s="844">
        <v>8.1999999999999993</v>
      </c>
      <c r="BC69" s="842">
        <v>5.9</v>
      </c>
      <c r="BD69" s="843">
        <v>5.8</v>
      </c>
      <c r="BE69" s="844">
        <v>5.8</v>
      </c>
      <c r="BF69" s="842">
        <v>5.0999999999999996</v>
      </c>
      <c r="BG69" s="844">
        <v>5.0999999999999996</v>
      </c>
      <c r="BH69" s="842">
        <v>1</v>
      </c>
      <c r="BI69" s="843">
        <v>1</v>
      </c>
      <c r="BJ69" s="844">
        <v>1.3</v>
      </c>
      <c r="BK69" s="824">
        <v>2.7</v>
      </c>
      <c r="BM69" s="834" t="s">
        <v>359</v>
      </c>
      <c r="BN69" s="835"/>
      <c r="BO69" s="841" t="s">
        <v>6</v>
      </c>
      <c r="BP69" s="842">
        <v>6.1</v>
      </c>
      <c r="BQ69" s="843">
        <v>7.4</v>
      </c>
      <c r="BR69" s="844">
        <v>8.9</v>
      </c>
      <c r="BS69" s="842">
        <v>6.4</v>
      </c>
      <c r="BT69" s="843">
        <v>6.3</v>
      </c>
      <c r="BU69" s="844">
        <v>6.3</v>
      </c>
      <c r="BV69" s="842">
        <v>5.5</v>
      </c>
      <c r="BW69" s="844">
        <v>5.5</v>
      </c>
      <c r="BX69" s="842">
        <v>1.1000000000000001</v>
      </c>
      <c r="BY69" s="843">
        <v>1.1000000000000001</v>
      </c>
      <c r="BZ69" s="844">
        <v>1.4</v>
      </c>
      <c r="CA69" s="824">
        <v>3</v>
      </c>
      <c r="CC69" s="834" t="s">
        <v>359</v>
      </c>
      <c r="CD69" s="835"/>
      <c r="CE69" s="841" t="s">
        <v>6</v>
      </c>
      <c r="CF69" s="842">
        <v>6.6</v>
      </c>
      <c r="CG69" s="843">
        <v>8</v>
      </c>
      <c r="CH69" s="844">
        <v>9.6</v>
      </c>
      <c r="CI69" s="842">
        <v>6.9</v>
      </c>
      <c r="CJ69" s="843">
        <v>6.8</v>
      </c>
      <c r="CK69" s="844">
        <v>6.8</v>
      </c>
      <c r="CL69" s="842">
        <v>5.9</v>
      </c>
      <c r="CM69" s="844">
        <v>5.9</v>
      </c>
      <c r="CN69" s="842">
        <v>1.2</v>
      </c>
      <c r="CO69" s="843">
        <v>1.2</v>
      </c>
      <c r="CP69" s="844">
        <v>1.5</v>
      </c>
      <c r="CQ69" s="824">
        <v>3.2</v>
      </c>
      <c r="CS69" s="834" t="s">
        <v>359</v>
      </c>
      <c r="CT69" s="835"/>
      <c r="CU69" s="841" t="s">
        <v>6</v>
      </c>
      <c r="CV69" s="842">
        <v>7.1</v>
      </c>
      <c r="CW69" s="843">
        <v>8.6</v>
      </c>
      <c r="CX69" s="844">
        <v>10.3</v>
      </c>
      <c r="CY69" s="842">
        <v>7.4</v>
      </c>
      <c r="CZ69" s="843">
        <v>7.3</v>
      </c>
      <c r="DA69" s="844">
        <v>7.3</v>
      </c>
      <c r="DB69" s="842">
        <v>6.4</v>
      </c>
      <c r="DC69" s="844">
        <v>6.4</v>
      </c>
      <c r="DD69" s="842">
        <v>1.3</v>
      </c>
      <c r="DE69" s="843">
        <v>1.3</v>
      </c>
      <c r="DF69" s="844">
        <v>1.6</v>
      </c>
      <c r="DG69" s="824">
        <v>3.4</v>
      </c>
      <c r="DI69" s="834" t="s">
        <v>359</v>
      </c>
      <c r="DJ69" s="835"/>
      <c r="DK69" s="841" t="s">
        <v>6</v>
      </c>
      <c r="DL69" s="842">
        <v>7.6</v>
      </c>
      <c r="DM69" s="843">
        <v>9.1999999999999993</v>
      </c>
      <c r="DN69" s="844">
        <v>11.1</v>
      </c>
      <c r="DO69" s="842">
        <v>8</v>
      </c>
      <c r="DP69" s="843">
        <v>7.8</v>
      </c>
      <c r="DQ69" s="844">
        <v>7.8</v>
      </c>
      <c r="DR69" s="842">
        <v>6.9</v>
      </c>
      <c r="DS69" s="844">
        <v>6.9</v>
      </c>
      <c r="DT69" s="842">
        <v>1.4</v>
      </c>
      <c r="DU69" s="843">
        <v>1.4</v>
      </c>
      <c r="DV69" s="844">
        <v>1.7</v>
      </c>
      <c r="DW69" s="824">
        <v>3.7</v>
      </c>
      <c r="DY69" s="834" t="s">
        <v>359</v>
      </c>
      <c r="DZ69" s="835"/>
      <c r="EA69" s="841" t="s">
        <v>6</v>
      </c>
      <c r="EB69" s="842">
        <v>8.1999999999999993</v>
      </c>
      <c r="EC69" s="843">
        <v>9.9</v>
      </c>
      <c r="ED69" s="844">
        <v>11.9</v>
      </c>
      <c r="EE69" s="842">
        <v>8.5</v>
      </c>
      <c r="EF69" s="843">
        <v>8.4</v>
      </c>
      <c r="EG69" s="844">
        <v>8.4</v>
      </c>
      <c r="EH69" s="842">
        <v>7.4</v>
      </c>
      <c r="EI69" s="844">
        <v>7.4</v>
      </c>
      <c r="EJ69" s="842">
        <v>1.5</v>
      </c>
      <c r="EK69" s="843">
        <v>1.5</v>
      </c>
      <c r="EL69" s="844">
        <v>1.8</v>
      </c>
      <c r="EM69" s="824">
        <v>3.9</v>
      </c>
    </row>
    <row r="70" spans="17:143" ht="13.5" customHeight="1">
      <c r="Q70" s="834" t="s">
        <v>360</v>
      </c>
      <c r="R70" s="835"/>
      <c r="S70" s="841" t="s">
        <v>6</v>
      </c>
      <c r="T70" s="842">
        <v>10.3</v>
      </c>
      <c r="U70" s="843">
        <v>11</v>
      </c>
      <c r="V70" s="844">
        <v>13.6</v>
      </c>
      <c r="W70" s="842">
        <v>10.4</v>
      </c>
      <c r="X70" s="843">
        <v>11.8</v>
      </c>
      <c r="Y70" s="844">
        <v>13.3</v>
      </c>
      <c r="Z70" s="842">
        <v>10.9</v>
      </c>
      <c r="AA70" s="844">
        <v>12.8</v>
      </c>
      <c r="AB70" s="842">
        <v>10.4</v>
      </c>
      <c r="AC70" s="843">
        <v>10.199999999999999</v>
      </c>
      <c r="AD70" s="844">
        <v>10.4</v>
      </c>
      <c r="AE70" s="824">
        <v>10.7</v>
      </c>
      <c r="AG70" s="834" t="s">
        <v>360</v>
      </c>
      <c r="AH70" s="835"/>
      <c r="AI70" s="841" t="s">
        <v>6</v>
      </c>
      <c r="AJ70" s="842">
        <v>10.4</v>
      </c>
      <c r="AK70" s="843">
        <v>11.3</v>
      </c>
      <c r="AL70" s="844">
        <v>13.8</v>
      </c>
      <c r="AM70" s="842">
        <v>10.4</v>
      </c>
      <c r="AN70" s="843">
        <v>11.9</v>
      </c>
      <c r="AO70" s="844">
        <v>13.4</v>
      </c>
      <c r="AP70" s="842">
        <v>11</v>
      </c>
      <c r="AQ70" s="844">
        <v>12.9</v>
      </c>
      <c r="AR70" s="842">
        <v>10.4</v>
      </c>
      <c r="AS70" s="843">
        <v>10.3</v>
      </c>
      <c r="AT70" s="844">
        <v>10.5</v>
      </c>
      <c r="AU70" s="824">
        <v>10.8</v>
      </c>
      <c r="AW70" s="834" t="s">
        <v>360</v>
      </c>
      <c r="AX70" s="835"/>
      <c r="AY70" s="841" t="s">
        <v>6</v>
      </c>
      <c r="AZ70" s="842">
        <v>10.8</v>
      </c>
      <c r="BA70" s="843">
        <v>12</v>
      </c>
      <c r="BB70" s="844">
        <v>14.5</v>
      </c>
      <c r="BC70" s="842">
        <v>10.8</v>
      </c>
      <c r="BD70" s="843">
        <v>12.5</v>
      </c>
      <c r="BE70" s="844">
        <v>14</v>
      </c>
      <c r="BF70" s="842">
        <v>11.5</v>
      </c>
      <c r="BG70" s="844">
        <v>13.4</v>
      </c>
      <c r="BH70" s="842">
        <v>10.8</v>
      </c>
      <c r="BI70" s="843">
        <v>10.7</v>
      </c>
      <c r="BJ70" s="844">
        <v>10.9</v>
      </c>
      <c r="BK70" s="824">
        <v>11.2</v>
      </c>
      <c r="BM70" s="834" t="s">
        <v>360</v>
      </c>
      <c r="BN70" s="835"/>
      <c r="BO70" s="841" t="s">
        <v>6</v>
      </c>
      <c r="BP70" s="842">
        <v>11.4</v>
      </c>
      <c r="BQ70" s="843">
        <v>13</v>
      </c>
      <c r="BR70" s="844">
        <v>15.4</v>
      </c>
      <c r="BS70" s="842">
        <v>11.4</v>
      </c>
      <c r="BT70" s="843">
        <v>13.3</v>
      </c>
      <c r="BU70" s="844">
        <v>14.9</v>
      </c>
      <c r="BV70" s="842">
        <v>12.2</v>
      </c>
      <c r="BW70" s="844">
        <v>14.3</v>
      </c>
      <c r="BX70" s="842">
        <v>11.5</v>
      </c>
      <c r="BY70" s="843">
        <v>11.3</v>
      </c>
      <c r="BZ70" s="844">
        <v>11.6</v>
      </c>
      <c r="CA70" s="824">
        <v>11.9</v>
      </c>
      <c r="CC70" s="834" t="s">
        <v>360</v>
      </c>
      <c r="CD70" s="835"/>
      <c r="CE70" s="841" t="s">
        <v>6</v>
      </c>
      <c r="CF70" s="842">
        <v>12</v>
      </c>
      <c r="CG70" s="843">
        <v>14</v>
      </c>
      <c r="CH70" s="844">
        <v>16.399999999999999</v>
      </c>
      <c r="CI70" s="842">
        <v>12</v>
      </c>
      <c r="CJ70" s="843">
        <v>14.2</v>
      </c>
      <c r="CK70" s="844">
        <v>15.8</v>
      </c>
      <c r="CL70" s="842">
        <v>13</v>
      </c>
      <c r="CM70" s="844">
        <v>15</v>
      </c>
      <c r="CN70" s="842">
        <v>12.1</v>
      </c>
      <c r="CO70" s="843">
        <v>11.9</v>
      </c>
      <c r="CP70" s="844">
        <v>12.2</v>
      </c>
      <c r="CQ70" s="824">
        <v>12.6</v>
      </c>
      <c r="CS70" s="834" t="s">
        <v>360</v>
      </c>
      <c r="CT70" s="835"/>
      <c r="CU70" s="841" t="s">
        <v>6</v>
      </c>
      <c r="CV70" s="842">
        <v>12.6</v>
      </c>
      <c r="CW70" s="843">
        <v>15</v>
      </c>
      <c r="CX70" s="844">
        <v>17.3</v>
      </c>
      <c r="CY70" s="842">
        <v>12.7</v>
      </c>
      <c r="CZ70" s="843">
        <v>15.1</v>
      </c>
      <c r="DA70" s="844">
        <v>16.7</v>
      </c>
      <c r="DB70" s="842">
        <v>13.7</v>
      </c>
      <c r="DC70" s="844">
        <v>15.8</v>
      </c>
      <c r="DD70" s="842">
        <v>12.7</v>
      </c>
      <c r="DE70" s="843">
        <v>12.5</v>
      </c>
      <c r="DF70" s="844">
        <v>12.8</v>
      </c>
      <c r="DG70" s="824">
        <v>13.3</v>
      </c>
      <c r="DI70" s="834" t="s">
        <v>360</v>
      </c>
      <c r="DJ70" s="835"/>
      <c r="DK70" s="841" t="s">
        <v>6</v>
      </c>
      <c r="DL70" s="842">
        <v>13.4</v>
      </c>
      <c r="DM70" s="843">
        <v>16.100000000000001</v>
      </c>
      <c r="DN70" s="844">
        <v>18.399999999999999</v>
      </c>
      <c r="DO70" s="842">
        <v>13.4</v>
      </c>
      <c r="DP70" s="843">
        <v>16.2</v>
      </c>
      <c r="DQ70" s="844">
        <v>17.7</v>
      </c>
      <c r="DR70" s="842">
        <v>14.6</v>
      </c>
      <c r="DS70" s="844">
        <v>16.8</v>
      </c>
      <c r="DT70" s="842">
        <v>13.4</v>
      </c>
      <c r="DU70" s="843">
        <v>13.3</v>
      </c>
      <c r="DV70" s="844">
        <v>13.6</v>
      </c>
      <c r="DW70" s="824">
        <v>14.1</v>
      </c>
      <c r="DY70" s="834" t="s">
        <v>360</v>
      </c>
      <c r="DZ70" s="835"/>
      <c r="EA70" s="841" t="s">
        <v>6</v>
      </c>
      <c r="EB70" s="842">
        <v>14.3</v>
      </c>
      <c r="EC70" s="843">
        <v>17.399999999999999</v>
      </c>
      <c r="ED70" s="844">
        <v>19.8</v>
      </c>
      <c r="EE70" s="842">
        <v>14.4</v>
      </c>
      <c r="EF70" s="843">
        <v>17.5</v>
      </c>
      <c r="EG70" s="844">
        <v>19.100000000000001</v>
      </c>
      <c r="EH70" s="842">
        <v>15.8</v>
      </c>
      <c r="EI70" s="844">
        <v>18</v>
      </c>
      <c r="EJ70" s="842">
        <v>14.4</v>
      </c>
      <c r="EK70" s="843">
        <v>14.2</v>
      </c>
      <c r="EL70" s="844">
        <v>14.6</v>
      </c>
      <c r="EM70" s="824">
        <v>15.1</v>
      </c>
    </row>
    <row r="71" spans="17:143" ht="13.5" customHeight="1">
      <c r="Q71" s="834" t="s">
        <v>361</v>
      </c>
      <c r="R71" s="819"/>
      <c r="S71" s="845" t="s">
        <v>6</v>
      </c>
      <c r="T71" s="846">
        <v>-15.5</v>
      </c>
      <c r="U71" s="847">
        <v>-16.5</v>
      </c>
      <c r="V71" s="848">
        <v>-20.399999999999999</v>
      </c>
      <c r="W71" s="846">
        <v>-15.5</v>
      </c>
      <c r="X71" s="847">
        <v>-17.7</v>
      </c>
      <c r="Y71" s="848">
        <v>-20</v>
      </c>
      <c r="Z71" s="846">
        <v>-16.399999999999999</v>
      </c>
      <c r="AA71" s="848">
        <v>-19.3</v>
      </c>
      <c r="AB71" s="846">
        <v>-15.6</v>
      </c>
      <c r="AC71" s="847">
        <v>-15.3</v>
      </c>
      <c r="AD71" s="848">
        <v>-15.7</v>
      </c>
      <c r="AE71" s="849">
        <v>-16.100000000000001</v>
      </c>
      <c r="AG71" s="834" t="s">
        <v>361</v>
      </c>
      <c r="AH71" s="819"/>
      <c r="AI71" s="845" t="s">
        <v>6</v>
      </c>
      <c r="AJ71" s="846">
        <v>-14.7</v>
      </c>
      <c r="AK71" s="847">
        <v>-16</v>
      </c>
      <c r="AL71" s="848">
        <v>-19.5</v>
      </c>
      <c r="AM71" s="846">
        <v>-14.7</v>
      </c>
      <c r="AN71" s="847">
        <v>-16.8</v>
      </c>
      <c r="AO71" s="848">
        <v>-19</v>
      </c>
      <c r="AP71" s="846">
        <v>-15.5</v>
      </c>
      <c r="AQ71" s="848">
        <v>-18.2</v>
      </c>
      <c r="AR71" s="846">
        <v>-14.7</v>
      </c>
      <c r="AS71" s="847">
        <v>-14.5</v>
      </c>
      <c r="AT71" s="848">
        <v>-14.8</v>
      </c>
      <c r="AU71" s="849">
        <v>-15.2</v>
      </c>
      <c r="AW71" s="834" t="s">
        <v>361</v>
      </c>
      <c r="AX71" s="819"/>
      <c r="AY71" s="845" t="s">
        <v>6</v>
      </c>
      <c r="AZ71" s="846">
        <v>-15</v>
      </c>
      <c r="BA71" s="847">
        <v>-16.7</v>
      </c>
      <c r="BB71" s="848">
        <v>-20</v>
      </c>
      <c r="BC71" s="846">
        <v>-14.9</v>
      </c>
      <c r="BD71" s="847">
        <v>-17.3</v>
      </c>
      <c r="BE71" s="848">
        <v>-19.399999999999999</v>
      </c>
      <c r="BF71" s="846">
        <v>-15.9</v>
      </c>
      <c r="BG71" s="848">
        <v>-18.600000000000001</v>
      </c>
      <c r="BH71" s="846">
        <v>-15</v>
      </c>
      <c r="BI71" s="847">
        <v>-14.8</v>
      </c>
      <c r="BJ71" s="848">
        <v>-15.1</v>
      </c>
      <c r="BK71" s="849">
        <v>-15.6</v>
      </c>
      <c r="BM71" s="834" t="s">
        <v>361</v>
      </c>
      <c r="BN71" s="819"/>
      <c r="BO71" s="845" t="s">
        <v>6</v>
      </c>
      <c r="BP71" s="846">
        <v>-15.5</v>
      </c>
      <c r="BQ71" s="847">
        <v>-17.600000000000001</v>
      </c>
      <c r="BR71" s="848">
        <v>-20.9</v>
      </c>
      <c r="BS71" s="846">
        <v>-15.5</v>
      </c>
      <c r="BT71" s="847">
        <v>-18</v>
      </c>
      <c r="BU71" s="848">
        <v>-20.2</v>
      </c>
      <c r="BV71" s="846">
        <v>-16.5</v>
      </c>
      <c r="BW71" s="848">
        <v>-19.3</v>
      </c>
      <c r="BX71" s="846">
        <v>-15.5</v>
      </c>
      <c r="BY71" s="847">
        <v>-15.3</v>
      </c>
      <c r="BZ71" s="848">
        <v>-15.6</v>
      </c>
      <c r="CA71" s="849">
        <v>-16.100000000000001</v>
      </c>
      <c r="CC71" s="834" t="s">
        <v>361</v>
      </c>
      <c r="CD71" s="819"/>
      <c r="CE71" s="845" t="s">
        <v>6</v>
      </c>
      <c r="CF71" s="846">
        <v>-15.8</v>
      </c>
      <c r="CG71" s="847">
        <v>-18.399999999999999</v>
      </c>
      <c r="CH71" s="848">
        <v>-21.5</v>
      </c>
      <c r="CI71" s="846">
        <v>-15.8</v>
      </c>
      <c r="CJ71" s="847">
        <v>-18.7</v>
      </c>
      <c r="CK71" s="848">
        <v>-20.7</v>
      </c>
      <c r="CL71" s="846">
        <v>-17</v>
      </c>
      <c r="CM71" s="848">
        <v>-19.8</v>
      </c>
      <c r="CN71" s="846">
        <v>-15.8</v>
      </c>
      <c r="CO71" s="847">
        <v>-15.7</v>
      </c>
      <c r="CP71" s="848">
        <v>-16</v>
      </c>
      <c r="CQ71" s="849">
        <v>-16.5</v>
      </c>
      <c r="CS71" s="834" t="s">
        <v>361</v>
      </c>
      <c r="CT71" s="819"/>
      <c r="CU71" s="845" t="s">
        <v>6</v>
      </c>
      <c r="CV71" s="846">
        <v>-15.4</v>
      </c>
      <c r="CW71" s="847">
        <v>-18.3</v>
      </c>
      <c r="CX71" s="848">
        <v>-21.1</v>
      </c>
      <c r="CY71" s="846">
        <v>-15.5</v>
      </c>
      <c r="CZ71" s="847">
        <v>-18.399999999999999</v>
      </c>
      <c r="DA71" s="848">
        <v>-20.3</v>
      </c>
      <c r="DB71" s="846">
        <v>-16.7</v>
      </c>
      <c r="DC71" s="848">
        <v>-19.3</v>
      </c>
      <c r="DD71" s="846">
        <v>-15.5</v>
      </c>
      <c r="DE71" s="847">
        <v>-15.3</v>
      </c>
      <c r="DF71" s="848">
        <v>-15.6</v>
      </c>
      <c r="DG71" s="849">
        <v>-16.2</v>
      </c>
      <c r="DI71" s="834" t="s">
        <v>361</v>
      </c>
      <c r="DJ71" s="819"/>
      <c r="DK71" s="845" t="s">
        <v>6</v>
      </c>
      <c r="DL71" s="846">
        <v>-15.1</v>
      </c>
      <c r="DM71" s="847">
        <v>-18.2</v>
      </c>
      <c r="DN71" s="848">
        <v>-20.8</v>
      </c>
      <c r="DO71" s="846">
        <v>-15.2</v>
      </c>
      <c r="DP71" s="847">
        <v>-18.3</v>
      </c>
      <c r="DQ71" s="848">
        <v>-20.100000000000001</v>
      </c>
      <c r="DR71" s="846">
        <v>-16.5</v>
      </c>
      <c r="DS71" s="848">
        <v>-19</v>
      </c>
      <c r="DT71" s="846">
        <v>-15.2</v>
      </c>
      <c r="DU71" s="847">
        <v>-15</v>
      </c>
      <c r="DV71" s="848">
        <v>-15.4</v>
      </c>
      <c r="DW71" s="849">
        <v>-16</v>
      </c>
      <c r="DY71" s="834" t="s">
        <v>361</v>
      </c>
      <c r="DZ71" s="819"/>
      <c r="EA71" s="845" t="s">
        <v>6</v>
      </c>
      <c r="EB71" s="846">
        <v>-15.1</v>
      </c>
      <c r="EC71" s="847">
        <v>-18.3</v>
      </c>
      <c r="ED71" s="848">
        <v>-20.8</v>
      </c>
      <c r="EE71" s="846">
        <v>-15.2</v>
      </c>
      <c r="EF71" s="847">
        <v>-18.399999999999999</v>
      </c>
      <c r="EG71" s="848">
        <v>-20.100000000000001</v>
      </c>
      <c r="EH71" s="846">
        <v>-16.600000000000001</v>
      </c>
      <c r="EI71" s="848">
        <v>-18.899999999999999</v>
      </c>
      <c r="EJ71" s="846">
        <v>-15.1</v>
      </c>
      <c r="EK71" s="847">
        <v>-15</v>
      </c>
      <c r="EL71" s="848">
        <v>-15.3</v>
      </c>
      <c r="EM71" s="849">
        <v>-15.9</v>
      </c>
    </row>
    <row r="72" spans="17:143" ht="13.5" customHeight="1" thickBot="1">
      <c r="Q72" s="850" t="s">
        <v>77</v>
      </c>
      <c r="R72" s="851"/>
      <c r="S72" s="852"/>
      <c r="T72" s="853">
        <v>21.3</v>
      </c>
      <c r="U72" s="854">
        <v>157.9</v>
      </c>
      <c r="V72" s="855">
        <v>91.1</v>
      </c>
      <c r="W72" s="853">
        <v>15.9</v>
      </c>
      <c r="X72" s="854">
        <v>74.099999999999994</v>
      </c>
      <c r="Y72" s="855">
        <v>62.9</v>
      </c>
      <c r="Z72" s="856">
        <v>36.6</v>
      </c>
      <c r="AA72" s="857">
        <v>55</v>
      </c>
      <c r="AB72" s="853">
        <v>4.5999999999999996</v>
      </c>
      <c r="AC72" s="854">
        <v>10.4</v>
      </c>
      <c r="AD72" s="855">
        <v>24.3</v>
      </c>
      <c r="AE72" s="858">
        <v>28.9</v>
      </c>
      <c r="AG72" s="850" t="s">
        <v>77</v>
      </c>
      <c r="AH72" s="851"/>
      <c r="AI72" s="852"/>
      <c r="AJ72" s="853">
        <v>13.4</v>
      </c>
      <c r="AK72" s="854">
        <v>168.3</v>
      </c>
      <c r="AL72" s="855">
        <v>79.7</v>
      </c>
      <c r="AM72" s="853">
        <v>14.1</v>
      </c>
      <c r="AN72" s="854">
        <v>76.400000000000006</v>
      </c>
      <c r="AO72" s="855">
        <v>60.8</v>
      </c>
      <c r="AP72" s="856">
        <v>36.299999999999997</v>
      </c>
      <c r="AQ72" s="857">
        <v>52</v>
      </c>
      <c r="AR72" s="853">
        <v>5.7</v>
      </c>
      <c r="AS72" s="854">
        <v>9.5</v>
      </c>
      <c r="AT72" s="855">
        <v>22.6</v>
      </c>
      <c r="AU72" s="858">
        <v>28.9</v>
      </c>
      <c r="AW72" s="850" t="s">
        <v>77</v>
      </c>
      <c r="AX72" s="851"/>
      <c r="AY72" s="852"/>
      <c r="AZ72" s="853">
        <v>15.7</v>
      </c>
      <c r="BA72" s="854">
        <v>194.9</v>
      </c>
      <c r="BB72" s="855">
        <v>87.7</v>
      </c>
      <c r="BC72" s="853">
        <v>16.7</v>
      </c>
      <c r="BD72" s="854">
        <v>87</v>
      </c>
      <c r="BE72" s="855">
        <v>69.3</v>
      </c>
      <c r="BF72" s="856">
        <v>42.1</v>
      </c>
      <c r="BG72" s="857">
        <v>58.3</v>
      </c>
      <c r="BH72" s="853">
        <v>7.4</v>
      </c>
      <c r="BI72" s="854">
        <v>11.2</v>
      </c>
      <c r="BJ72" s="855">
        <v>26.7</v>
      </c>
      <c r="BK72" s="858">
        <v>33.299999999999997</v>
      </c>
      <c r="BM72" s="850" t="s">
        <v>77</v>
      </c>
      <c r="BN72" s="851"/>
      <c r="BO72" s="852"/>
      <c r="BP72" s="853">
        <v>16.5</v>
      </c>
      <c r="BQ72" s="854">
        <v>227.8</v>
      </c>
      <c r="BR72" s="855">
        <v>96.4</v>
      </c>
      <c r="BS72" s="853">
        <v>20.8</v>
      </c>
      <c r="BT72" s="854">
        <v>99.7</v>
      </c>
      <c r="BU72" s="855">
        <v>77.400000000000006</v>
      </c>
      <c r="BV72" s="856">
        <v>48.3</v>
      </c>
      <c r="BW72" s="857">
        <v>63.8</v>
      </c>
      <c r="BX72" s="853">
        <v>10.6</v>
      </c>
      <c r="BY72" s="854">
        <v>13</v>
      </c>
      <c r="BZ72" s="855">
        <v>37.1</v>
      </c>
      <c r="CA72" s="858">
        <v>39.200000000000003</v>
      </c>
      <c r="CC72" s="850" t="s">
        <v>77</v>
      </c>
      <c r="CD72" s="851"/>
      <c r="CE72" s="852"/>
      <c r="CF72" s="853">
        <v>21.2</v>
      </c>
      <c r="CG72" s="854">
        <v>265.39999999999998</v>
      </c>
      <c r="CH72" s="855">
        <v>104.2</v>
      </c>
      <c r="CI72" s="853">
        <v>25.9</v>
      </c>
      <c r="CJ72" s="854">
        <v>115.7</v>
      </c>
      <c r="CK72" s="855">
        <v>86.1</v>
      </c>
      <c r="CL72" s="856">
        <v>56.3</v>
      </c>
      <c r="CM72" s="857">
        <v>69.5</v>
      </c>
      <c r="CN72" s="853">
        <v>15.5</v>
      </c>
      <c r="CO72" s="854">
        <v>15.3</v>
      </c>
      <c r="CP72" s="855">
        <v>32.299999999999997</v>
      </c>
      <c r="CQ72" s="858">
        <v>44.1</v>
      </c>
      <c r="CS72" s="850" t="s">
        <v>77</v>
      </c>
      <c r="CT72" s="851"/>
      <c r="CU72" s="852"/>
      <c r="CV72" s="853">
        <v>27.5</v>
      </c>
      <c r="CW72" s="854">
        <v>296.60000000000002</v>
      </c>
      <c r="CX72" s="855">
        <v>117.8</v>
      </c>
      <c r="CY72" s="853">
        <v>32.299999999999997</v>
      </c>
      <c r="CZ72" s="854">
        <v>136.1</v>
      </c>
      <c r="DA72" s="855">
        <v>97.1</v>
      </c>
      <c r="DB72" s="856">
        <v>65.099999999999994</v>
      </c>
      <c r="DC72" s="857">
        <v>76.5</v>
      </c>
      <c r="DD72" s="853">
        <v>21.1</v>
      </c>
      <c r="DE72" s="854">
        <v>18.2</v>
      </c>
      <c r="DF72" s="855">
        <v>44.1</v>
      </c>
      <c r="DG72" s="858">
        <v>52.1</v>
      </c>
      <c r="DI72" s="850" t="s">
        <v>77</v>
      </c>
      <c r="DJ72" s="851"/>
      <c r="DK72" s="852"/>
      <c r="DL72" s="853">
        <v>32.9</v>
      </c>
      <c r="DM72" s="854">
        <v>328.5</v>
      </c>
      <c r="DN72" s="855">
        <v>129.30000000000001</v>
      </c>
      <c r="DO72" s="853">
        <v>38.700000000000003</v>
      </c>
      <c r="DP72" s="854">
        <v>156</v>
      </c>
      <c r="DQ72" s="855">
        <v>108.5</v>
      </c>
      <c r="DR72" s="856">
        <v>74.5</v>
      </c>
      <c r="DS72" s="857">
        <v>83.4</v>
      </c>
      <c r="DT72" s="853">
        <v>26.8</v>
      </c>
      <c r="DU72" s="854">
        <v>21.6</v>
      </c>
      <c r="DV72" s="855">
        <v>39.9</v>
      </c>
      <c r="DW72" s="858">
        <v>58.1</v>
      </c>
      <c r="DY72" s="850" t="s">
        <v>77</v>
      </c>
      <c r="DZ72" s="851"/>
      <c r="EA72" s="852"/>
      <c r="EB72" s="853">
        <v>38.5</v>
      </c>
      <c r="EC72" s="854">
        <v>359.3</v>
      </c>
      <c r="ED72" s="855">
        <v>140.19999999999999</v>
      </c>
      <c r="EE72" s="853">
        <v>45.7</v>
      </c>
      <c r="EF72" s="854">
        <v>171.9</v>
      </c>
      <c r="EG72" s="855">
        <v>119.7</v>
      </c>
      <c r="EH72" s="856">
        <v>84.4</v>
      </c>
      <c r="EI72" s="857">
        <v>90.2</v>
      </c>
      <c r="EJ72" s="853">
        <v>32.5</v>
      </c>
      <c r="EK72" s="854">
        <v>24.8</v>
      </c>
      <c r="EL72" s="855">
        <v>54.8</v>
      </c>
      <c r="EM72" s="858">
        <v>66.400000000000006</v>
      </c>
    </row>
    <row r="73" spans="17:143" ht="13.5" customHeight="1" thickTop="1" thickBot="1"/>
    <row r="74" spans="17:143" ht="13.5" customHeight="1" thickTop="1" thickBot="1">
      <c r="Q74" s="809" t="s">
        <v>823</v>
      </c>
      <c r="R74" s="810"/>
      <c r="S74" s="810"/>
      <c r="T74" s="810">
        <v>2015</v>
      </c>
      <c r="U74" s="810" t="s">
        <v>824</v>
      </c>
      <c r="V74" s="810"/>
      <c r="W74" s="810"/>
      <c r="X74" s="810"/>
      <c r="Y74" s="810"/>
      <c r="Z74" s="810"/>
      <c r="AA74" s="810"/>
      <c r="AB74" s="810"/>
      <c r="AC74" s="810"/>
      <c r="AD74" s="811"/>
      <c r="AE74" s="812"/>
      <c r="AG74" s="809" t="s">
        <v>823</v>
      </c>
      <c r="AH74" s="810"/>
      <c r="AI74" s="810"/>
      <c r="AJ74" s="810">
        <v>2020</v>
      </c>
      <c r="AK74" s="810" t="s">
        <v>824</v>
      </c>
      <c r="AL74" s="810"/>
      <c r="AM74" s="810"/>
      <c r="AN74" s="810"/>
      <c r="AO74" s="810"/>
      <c r="AP74" s="810"/>
      <c r="AQ74" s="810"/>
      <c r="AR74" s="810"/>
      <c r="AS74" s="810"/>
      <c r="AT74" s="811"/>
      <c r="AU74" s="812"/>
      <c r="AW74" s="809" t="s">
        <v>823</v>
      </c>
      <c r="AX74" s="810"/>
      <c r="AY74" s="810"/>
      <c r="AZ74" s="810">
        <v>2025</v>
      </c>
      <c r="BA74" s="810" t="s">
        <v>824</v>
      </c>
      <c r="BB74" s="810"/>
      <c r="BC74" s="810"/>
      <c r="BD74" s="810"/>
      <c r="BE74" s="810"/>
      <c r="BF74" s="810"/>
      <c r="BG74" s="810"/>
      <c r="BH74" s="810"/>
      <c r="BI74" s="810"/>
      <c r="BJ74" s="811"/>
      <c r="BK74" s="812"/>
      <c r="BM74" s="809" t="s">
        <v>823</v>
      </c>
      <c r="BN74" s="810"/>
      <c r="BO74" s="810"/>
      <c r="BP74" s="810">
        <v>2030</v>
      </c>
      <c r="BQ74" s="810" t="s">
        <v>824</v>
      </c>
      <c r="BR74" s="810"/>
      <c r="BS74" s="810"/>
      <c r="BT74" s="810"/>
      <c r="BU74" s="810"/>
      <c r="BV74" s="810"/>
      <c r="BW74" s="810"/>
      <c r="BX74" s="810"/>
      <c r="BY74" s="810"/>
      <c r="BZ74" s="811"/>
      <c r="CA74" s="812"/>
      <c r="CC74" s="809" t="s">
        <v>823</v>
      </c>
      <c r="CD74" s="810"/>
      <c r="CE74" s="810"/>
      <c r="CF74" s="810">
        <v>2035</v>
      </c>
      <c r="CG74" s="810" t="s">
        <v>824</v>
      </c>
      <c r="CH74" s="810"/>
      <c r="CI74" s="810"/>
      <c r="CJ74" s="810"/>
      <c r="CK74" s="810"/>
      <c r="CL74" s="810"/>
      <c r="CM74" s="810"/>
      <c r="CN74" s="810"/>
      <c r="CO74" s="810"/>
      <c r="CP74" s="811"/>
      <c r="CQ74" s="812"/>
      <c r="CS74" s="809" t="s">
        <v>823</v>
      </c>
      <c r="CT74" s="810"/>
      <c r="CU74" s="810"/>
      <c r="CV74" s="810">
        <v>2040</v>
      </c>
      <c r="CW74" s="810" t="s">
        <v>824</v>
      </c>
      <c r="CX74" s="810"/>
      <c r="CY74" s="810"/>
      <c r="CZ74" s="810"/>
      <c r="DA74" s="810"/>
      <c r="DB74" s="810"/>
      <c r="DC74" s="810"/>
      <c r="DD74" s="810"/>
      <c r="DE74" s="810"/>
      <c r="DF74" s="811"/>
      <c r="DG74" s="812"/>
      <c r="DI74" s="809" t="s">
        <v>823</v>
      </c>
      <c r="DJ74" s="810"/>
      <c r="DK74" s="810"/>
      <c r="DL74" s="810">
        <v>2045</v>
      </c>
      <c r="DM74" s="810" t="s">
        <v>824</v>
      </c>
      <c r="DN74" s="810"/>
      <c r="DO74" s="810"/>
      <c r="DP74" s="810"/>
      <c r="DQ74" s="810"/>
      <c r="DR74" s="810"/>
      <c r="DS74" s="810"/>
      <c r="DT74" s="810"/>
      <c r="DU74" s="810"/>
      <c r="DV74" s="811"/>
      <c r="DW74" s="812"/>
      <c r="DY74" s="809" t="s">
        <v>823</v>
      </c>
      <c r="DZ74" s="810"/>
      <c r="EA74" s="810"/>
      <c r="EB74" s="810">
        <v>2050</v>
      </c>
      <c r="EC74" s="810" t="s">
        <v>824</v>
      </c>
      <c r="ED74" s="810"/>
      <c r="EE74" s="810"/>
      <c r="EF74" s="810"/>
      <c r="EG74" s="810"/>
      <c r="EH74" s="810"/>
      <c r="EI74" s="810"/>
      <c r="EJ74" s="810"/>
      <c r="EK74" s="810"/>
      <c r="EL74" s="811"/>
      <c r="EM74" s="812"/>
    </row>
    <row r="75" spans="17:143" ht="13.5" customHeight="1" thickTop="1">
      <c r="Q75" s="813"/>
      <c r="R75" s="814"/>
      <c r="S75" s="1090" t="s">
        <v>810</v>
      </c>
      <c r="T75" s="1084" t="s">
        <v>811</v>
      </c>
      <c r="U75" s="1085"/>
      <c r="V75" s="1086"/>
      <c r="W75" s="1084" t="s">
        <v>812</v>
      </c>
      <c r="X75" s="1085"/>
      <c r="Y75" s="1086"/>
      <c r="Z75" s="1079" t="s">
        <v>813</v>
      </c>
      <c r="AA75" s="1080"/>
      <c r="AB75" s="1084" t="s">
        <v>814</v>
      </c>
      <c r="AC75" s="1085"/>
      <c r="AD75" s="1086"/>
      <c r="AE75" s="1078" t="s">
        <v>815</v>
      </c>
      <c r="AG75" s="813"/>
      <c r="AH75" s="814"/>
      <c r="AI75" s="1090" t="s">
        <v>810</v>
      </c>
      <c r="AJ75" s="1084" t="s">
        <v>811</v>
      </c>
      <c r="AK75" s="1085"/>
      <c r="AL75" s="1086"/>
      <c r="AM75" s="1084" t="s">
        <v>812</v>
      </c>
      <c r="AN75" s="1085"/>
      <c r="AO75" s="1086"/>
      <c r="AP75" s="1079" t="s">
        <v>813</v>
      </c>
      <c r="AQ75" s="1080"/>
      <c r="AR75" s="1084" t="s">
        <v>814</v>
      </c>
      <c r="AS75" s="1085"/>
      <c r="AT75" s="1086"/>
      <c r="AU75" s="1078" t="s">
        <v>815</v>
      </c>
      <c r="AW75" s="813"/>
      <c r="AX75" s="814"/>
      <c r="AY75" s="1090" t="s">
        <v>810</v>
      </c>
      <c r="AZ75" s="1084" t="s">
        <v>811</v>
      </c>
      <c r="BA75" s="1085"/>
      <c r="BB75" s="1086"/>
      <c r="BC75" s="1084" t="s">
        <v>812</v>
      </c>
      <c r="BD75" s="1085"/>
      <c r="BE75" s="1086"/>
      <c r="BF75" s="1079" t="s">
        <v>813</v>
      </c>
      <c r="BG75" s="1080"/>
      <c r="BH75" s="1084" t="s">
        <v>814</v>
      </c>
      <c r="BI75" s="1085"/>
      <c r="BJ75" s="1086"/>
      <c r="BK75" s="1078" t="s">
        <v>815</v>
      </c>
      <c r="BM75" s="813"/>
      <c r="BN75" s="814"/>
      <c r="BO75" s="1090" t="s">
        <v>810</v>
      </c>
      <c r="BP75" s="1084" t="s">
        <v>811</v>
      </c>
      <c r="BQ75" s="1085"/>
      <c r="BR75" s="1086"/>
      <c r="BS75" s="1084" t="s">
        <v>812</v>
      </c>
      <c r="BT75" s="1085"/>
      <c r="BU75" s="1086"/>
      <c r="BV75" s="1079" t="s">
        <v>813</v>
      </c>
      <c r="BW75" s="1080"/>
      <c r="BX75" s="1084" t="s">
        <v>814</v>
      </c>
      <c r="BY75" s="1085"/>
      <c r="BZ75" s="1086"/>
      <c r="CA75" s="1078" t="s">
        <v>815</v>
      </c>
      <c r="CC75" s="813"/>
      <c r="CD75" s="814"/>
      <c r="CE75" s="1090" t="s">
        <v>810</v>
      </c>
      <c r="CF75" s="1084" t="s">
        <v>811</v>
      </c>
      <c r="CG75" s="1085"/>
      <c r="CH75" s="1086"/>
      <c r="CI75" s="1084" t="s">
        <v>812</v>
      </c>
      <c r="CJ75" s="1085"/>
      <c r="CK75" s="1086"/>
      <c r="CL75" s="1079" t="s">
        <v>813</v>
      </c>
      <c r="CM75" s="1080"/>
      <c r="CN75" s="1084" t="s">
        <v>814</v>
      </c>
      <c r="CO75" s="1085"/>
      <c r="CP75" s="1086"/>
      <c r="CQ75" s="1078" t="s">
        <v>815</v>
      </c>
      <c r="CS75" s="813"/>
      <c r="CT75" s="814"/>
      <c r="CU75" s="1090" t="s">
        <v>810</v>
      </c>
      <c r="CV75" s="1084" t="s">
        <v>811</v>
      </c>
      <c r="CW75" s="1085"/>
      <c r="CX75" s="1086"/>
      <c r="CY75" s="1084" t="s">
        <v>812</v>
      </c>
      <c r="CZ75" s="1085"/>
      <c r="DA75" s="1086"/>
      <c r="DB75" s="1079" t="s">
        <v>813</v>
      </c>
      <c r="DC75" s="1080"/>
      <c r="DD75" s="1084" t="s">
        <v>814</v>
      </c>
      <c r="DE75" s="1085"/>
      <c r="DF75" s="1086"/>
      <c r="DG75" s="1078" t="s">
        <v>815</v>
      </c>
      <c r="DI75" s="813"/>
      <c r="DJ75" s="814"/>
      <c r="DK75" s="1090" t="s">
        <v>810</v>
      </c>
      <c r="DL75" s="1084" t="s">
        <v>811</v>
      </c>
      <c r="DM75" s="1085"/>
      <c r="DN75" s="1086"/>
      <c r="DO75" s="1084" t="s">
        <v>812</v>
      </c>
      <c r="DP75" s="1085"/>
      <c r="DQ75" s="1086"/>
      <c r="DR75" s="1079" t="s">
        <v>813</v>
      </c>
      <c r="DS75" s="1080"/>
      <c r="DT75" s="1084" t="s">
        <v>814</v>
      </c>
      <c r="DU75" s="1085"/>
      <c r="DV75" s="1086"/>
      <c r="DW75" s="1078" t="s">
        <v>815</v>
      </c>
      <c r="DY75" s="813"/>
      <c r="DZ75" s="814"/>
      <c r="EA75" s="1090" t="s">
        <v>810</v>
      </c>
      <c r="EB75" s="1084" t="s">
        <v>811</v>
      </c>
      <c r="EC75" s="1085"/>
      <c r="ED75" s="1086"/>
      <c r="EE75" s="1084" t="s">
        <v>812</v>
      </c>
      <c r="EF75" s="1085"/>
      <c r="EG75" s="1086"/>
      <c r="EH75" s="1079" t="s">
        <v>813</v>
      </c>
      <c r="EI75" s="1080"/>
      <c r="EJ75" s="1084" t="s">
        <v>814</v>
      </c>
      <c r="EK75" s="1085"/>
      <c r="EL75" s="1086"/>
      <c r="EM75" s="1078" t="s">
        <v>815</v>
      </c>
    </row>
    <row r="76" spans="17:143" ht="13.5" customHeight="1" thickBot="1">
      <c r="Q76" s="815" t="s">
        <v>816</v>
      </c>
      <c r="R76" s="816"/>
      <c r="S76" s="1082"/>
      <c r="T76" s="817" t="s">
        <v>817</v>
      </c>
      <c r="U76" s="818" t="s">
        <v>818</v>
      </c>
      <c r="V76" s="1082" t="s">
        <v>819</v>
      </c>
      <c r="W76" s="817" t="s">
        <v>817</v>
      </c>
      <c r="X76" s="818" t="s">
        <v>818</v>
      </c>
      <c r="Y76" s="1082" t="s">
        <v>819</v>
      </c>
      <c r="Z76" s="817" t="s">
        <v>818</v>
      </c>
      <c r="AA76" s="1082" t="s">
        <v>819</v>
      </c>
      <c r="AB76" s="817" t="s">
        <v>817</v>
      </c>
      <c r="AC76" s="818" t="s">
        <v>818</v>
      </c>
      <c r="AD76" s="1082" t="s">
        <v>819</v>
      </c>
      <c r="AE76" s="1081"/>
      <c r="AG76" s="815" t="s">
        <v>816</v>
      </c>
      <c r="AH76" s="816"/>
      <c r="AI76" s="1082"/>
      <c r="AJ76" s="817" t="s">
        <v>817</v>
      </c>
      <c r="AK76" s="818" t="s">
        <v>818</v>
      </c>
      <c r="AL76" s="1082" t="s">
        <v>819</v>
      </c>
      <c r="AM76" s="817" t="s">
        <v>817</v>
      </c>
      <c r="AN76" s="818" t="s">
        <v>818</v>
      </c>
      <c r="AO76" s="1082" t="s">
        <v>819</v>
      </c>
      <c r="AP76" s="817" t="s">
        <v>818</v>
      </c>
      <c r="AQ76" s="1082" t="s">
        <v>819</v>
      </c>
      <c r="AR76" s="817" t="s">
        <v>817</v>
      </c>
      <c r="AS76" s="818" t="s">
        <v>818</v>
      </c>
      <c r="AT76" s="1082" t="s">
        <v>819</v>
      </c>
      <c r="AU76" s="1081"/>
      <c r="AW76" s="815" t="s">
        <v>816</v>
      </c>
      <c r="AX76" s="816"/>
      <c r="AY76" s="1082"/>
      <c r="AZ76" s="817" t="s">
        <v>817</v>
      </c>
      <c r="BA76" s="818" t="s">
        <v>818</v>
      </c>
      <c r="BB76" s="1082" t="s">
        <v>819</v>
      </c>
      <c r="BC76" s="817" t="s">
        <v>817</v>
      </c>
      <c r="BD76" s="818" t="s">
        <v>818</v>
      </c>
      <c r="BE76" s="1082" t="s">
        <v>819</v>
      </c>
      <c r="BF76" s="817" t="s">
        <v>818</v>
      </c>
      <c r="BG76" s="1082" t="s">
        <v>819</v>
      </c>
      <c r="BH76" s="817" t="s">
        <v>817</v>
      </c>
      <c r="BI76" s="818" t="s">
        <v>818</v>
      </c>
      <c r="BJ76" s="1082" t="s">
        <v>819</v>
      </c>
      <c r="BK76" s="1081"/>
      <c r="BM76" s="815" t="s">
        <v>816</v>
      </c>
      <c r="BN76" s="816"/>
      <c r="BO76" s="1082"/>
      <c r="BP76" s="817" t="s">
        <v>817</v>
      </c>
      <c r="BQ76" s="818" t="s">
        <v>818</v>
      </c>
      <c r="BR76" s="1082" t="s">
        <v>819</v>
      </c>
      <c r="BS76" s="817" t="s">
        <v>817</v>
      </c>
      <c r="BT76" s="818" t="s">
        <v>818</v>
      </c>
      <c r="BU76" s="1082" t="s">
        <v>819</v>
      </c>
      <c r="BV76" s="817" t="s">
        <v>818</v>
      </c>
      <c r="BW76" s="1082" t="s">
        <v>819</v>
      </c>
      <c r="BX76" s="817" t="s">
        <v>817</v>
      </c>
      <c r="BY76" s="818" t="s">
        <v>818</v>
      </c>
      <c r="BZ76" s="1082" t="s">
        <v>819</v>
      </c>
      <c r="CA76" s="1081"/>
      <c r="CC76" s="815" t="s">
        <v>816</v>
      </c>
      <c r="CD76" s="816"/>
      <c r="CE76" s="1082"/>
      <c r="CF76" s="817" t="s">
        <v>817</v>
      </c>
      <c r="CG76" s="818" t="s">
        <v>818</v>
      </c>
      <c r="CH76" s="1082" t="s">
        <v>819</v>
      </c>
      <c r="CI76" s="817" t="s">
        <v>817</v>
      </c>
      <c r="CJ76" s="818" t="s">
        <v>818</v>
      </c>
      <c r="CK76" s="1082" t="s">
        <v>819</v>
      </c>
      <c r="CL76" s="817" t="s">
        <v>818</v>
      </c>
      <c r="CM76" s="1082" t="s">
        <v>819</v>
      </c>
      <c r="CN76" s="817" t="s">
        <v>817</v>
      </c>
      <c r="CO76" s="818" t="s">
        <v>818</v>
      </c>
      <c r="CP76" s="1082" t="s">
        <v>819</v>
      </c>
      <c r="CQ76" s="1081"/>
      <c r="CS76" s="815" t="s">
        <v>816</v>
      </c>
      <c r="CT76" s="816"/>
      <c r="CU76" s="1082"/>
      <c r="CV76" s="817" t="s">
        <v>817</v>
      </c>
      <c r="CW76" s="818" t="s">
        <v>818</v>
      </c>
      <c r="CX76" s="1082" t="s">
        <v>819</v>
      </c>
      <c r="CY76" s="817" t="s">
        <v>817</v>
      </c>
      <c r="CZ76" s="818" t="s">
        <v>818</v>
      </c>
      <c r="DA76" s="1082" t="s">
        <v>819</v>
      </c>
      <c r="DB76" s="817" t="s">
        <v>818</v>
      </c>
      <c r="DC76" s="1082" t="s">
        <v>819</v>
      </c>
      <c r="DD76" s="817" t="s">
        <v>817</v>
      </c>
      <c r="DE76" s="818" t="s">
        <v>818</v>
      </c>
      <c r="DF76" s="1082" t="s">
        <v>819</v>
      </c>
      <c r="DG76" s="1081"/>
      <c r="DI76" s="815" t="s">
        <v>816</v>
      </c>
      <c r="DJ76" s="816"/>
      <c r="DK76" s="1082"/>
      <c r="DL76" s="817" t="s">
        <v>817</v>
      </c>
      <c r="DM76" s="818" t="s">
        <v>818</v>
      </c>
      <c r="DN76" s="1082" t="s">
        <v>819</v>
      </c>
      <c r="DO76" s="817" t="s">
        <v>817</v>
      </c>
      <c r="DP76" s="818" t="s">
        <v>818</v>
      </c>
      <c r="DQ76" s="1082" t="s">
        <v>819</v>
      </c>
      <c r="DR76" s="817" t="s">
        <v>818</v>
      </c>
      <c r="DS76" s="1082" t="s">
        <v>819</v>
      </c>
      <c r="DT76" s="817" t="s">
        <v>817</v>
      </c>
      <c r="DU76" s="818" t="s">
        <v>818</v>
      </c>
      <c r="DV76" s="1082" t="s">
        <v>819</v>
      </c>
      <c r="DW76" s="1081"/>
      <c r="DY76" s="815" t="s">
        <v>816</v>
      </c>
      <c r="DZ76" s="816"/>
      <c r="EA76" s="1082"/>
      <c r="EB76" s="817" t="s">
        <v>817</v>
      </c>
      <c r="EC76" s="818" t="s">
        <v>818</v>
      </c>
      <c r="ED76" s="1082" t="s">
        <v>819</v>
      </c>
      <c r="EE76" s="817" t="s">
        <v>817</v>
      </c>
      <c r="EF76" s="818" t="s">
        <v>818</v>
      </c>
      <c r="EG76" s="1082" t="s">
        <v>819</v>
      </c>
      <c r="EH76" s="817" t="s">
        <v>818</v>
      </c>
      <c r="EI76" s="1082" t="s">
        <v>819</v>
      </c>
      <c r="EJ76" s="817" t="s">
        <v>817</v>
      </c>
      <c r="EK76" s="818" t="s">
        <v>818</v>
      </c>
      <c r="EL76" s="1082" t="s">
        <v>819</v>
      </c>
      <c r="EM76" s="1081"/>
    </row>
    <row r="77" spans="17:143" ht="13.5" customHeight="1" thickTop="1">
      <c r="Q77" s="1083" t="s">
        <v>355</v>
      </c>
      <c r="R77" s="819"/>
      <c r="S77" s="820">
        <v>1</v>
      </c>
      <c r="T77" s="821">
        <v>0</v>
      </c>
      <c r="U77" s="822">
        <v>3.2</v>
      </c>
      <c r="V77" s="823">
        <v>18.899999999999999</v>
      </c>
      <c r="W77" s="821">
        <v>0.1</v>
      </c>
      <c r="X77" s="822">
        <v>2.9</v>
      </c>
      <c r="Y77" s="823">
        <v>6</v>
      </c>
      <c r="Z77" s="821">
        <v>1.8</v>
      </c>
      <c r="AA77" s="823">
        <v>6.3</v>
      </c>
      <c r="AB77" s="821">
        <v>0</v>
      </c>
      <c r="AC77" s="822">
        <v>1.7</v>
      </c>
      <c r="AD77" s="823">
        <v>1.5</v>
      </c>
      <c r="AE77" s="824">
        <v>3.2</v>
      </c>
      <c r="AG77" s="1083" t="s">
        <v>355</v>
      </c>
      <c r="AH77" s="819"/>
      <c r="AI77" s="820">
        <v>1</v>
      </c>
      <c r="AJ77" s="821">
        <v>0.1</v>
      </c>
      <c r="AK77" s="822">
        <v>3.3</v>
      </c>
      <c r="AL77" s="823">
        <v>21.2</v>
      </c>
      <c r="AM77" s="821">
        <v>0.1</v>
      </c>
      <c r="AN77" s="822">
        <v>3.1</v>
      </c>
      <c r="AO77" s="823">
        <v>6.5</v>
      </c>
      <c r="AP77" s="821">
        <v>2</v>
      </c>
      <c r="AQ77" s="823">
        <v>6.6</v>
      </c>
      <c r="AR77" s="821">
        <v>0.1</v>
      </c>
      <c r="AS77" s="822">
        <v>1.8</v>
      </c>
      <c r="AT77" s="823">
        <v>1.7</v>
      </c>
      <c r="AU77" s="824">
        <v>3.4</v>
      </c>
      <c r="AW77" s="1083" t="s">
        <v>355</v>
      </c>
      <c r="AX77" s="819"/>
      <c r="AY77" s="820">
        <v>1</v>
      </c>
      <c r="AZ77" s="821">
        <v>0.1</v>
      </c>
      <c r="BA77" s="822">
        <v>3.2</v>
      </c>
      <c r="BB77" s="823">
        <v>20.100000000000001</v>
      </c>
      <c r="BC77" s="821">
        <v>0.1</v>
      </c>
      <c r="BD77" s="822">
        <v>2.8</v>
      </c>
      <c r="BE77" s="823">
        <v>6.7</v>
      </c>
      <c r="BF77" s="821">
        <v>1.9</v>
      </c>
      <c r="BG77" s="823">
        <v>7.1</v>
      </c>
      <c r="BH77" s="821">
        <v>0.1</v>
      </c>
      <c r="BI77" s="822">
        <v>1.9</v>
      </c>
      <c r="BJ77" s="823">
        <v>1.8</v>
      </c>
      <c r="BK77" s="824">
        <v>3.6</v>
      </c>
      <c r="BM77" s="1083" t="s">
        <v>355</v>
      </c>
      <c r="BN77" s="819"/>
      <c r="BO77" s="820">
        <v>1</v>
      </c>
      <c r="BP77" s="821">
        <v>0.1</v>
      </c>
      <c r="BQ77" s="822">
        <v>3.6</v>
      </c>
      <c r="BR77" s="823">
        <v>22</v>
      </c>
      <c r="BS77" s="821">
        <v>0.1</v>
      </c>
      <c r="BT77" s="822">
        <v>2.8</v>
      </c>
      <c r="BU77" s="823">
        <v>6.7</v>
      </c>
      <c r="BV77" s="821">
        <v>1.9</v>
      </c>
      <c r="BW77" s="823">
        <v>7.6</v>
      </c>
      <c r="BX77" s="821">
        <v>0.1</v>
      </c>
      <c r="BY77" s="822">
        <v>1.8</v>
      </c>
      <c r="BZ77" s="823">
        <v>1.8</v>
      </c>
      <c r="CA77" s="824">
        <v>3.8</v>
      </c>
      <c r="CC77" s="1083" t="s">
        <v>355</v>
      </c>
      <c r="CD77" s="819"/>
      <c r="CE77" s="820">
        <v>1</v>
      </c>
      <c r="CF77" s="821">
        <v>0.1</v>
      </c>
      <c r="CG77" s="822">
        <v>3.8</v>
      </c>
      <c r="CH77" s="823">
        <v>24.1</v>
      </c>
      <c r="CI77" s="821">
        <v>0.2</v>
      </c>
      <c r="CJ77" s="822">
        <v>3.1</v>
      </c>
      <c r="CK77" s="823">
        <v>7.1</v>
      </c>
      <c r="CL77" s="821">
        <v>2</v>
      </c>
      <c r="CM77" s="823">
        <v>7.9</v>
      </c>
      <c r="CN77" s="821">
        <v>0.1</v>
      </c>
      <c r="CO77" s="822">
        <v>2.1</v>
      </c>
      <c r="CP77" s="823">
        <v>2</v>
      </c>
      <c r="CQ77" s="824">
        <v>4.0999999999999996</v>
      </c>
      <c r="CS77" s="1083" t="s">
        <v>355</v>
      </c>
      <c r="CT77" s="819"/>
      <c r="CU77" s="820">
        <v>1</v>
      </c>
      <c r="CV77" s="821">
        <v>0.2</v>
      </c>
      <c r="CW77" s="822">
        <v>3.6</v>
      </c>
      <c r="CX77" s="823">
        <v>26</v>
      </c>
      <c r="CY77" s="821">
        <v>0.2</v>
      </c>
      <c r="CZ77" s="822">
        <v>3.4</v>
      </c>
      <c r="DA77" s="823">
        <v>7.7</v>
      </c>
      <c r="DB77" s="821">
        <v>2.2000000000000002</v>
      </c>
      <c r="DC77" s="823">
        <v>8</v>
      </c>
      <c r="DD77" s="821">
        <v>0.2</v>
      </c>
      <c r="DE77" s="822">
        <v>2.2999999999999998</v>
      </c>
      <c r="DF77" s="823">
        <v>2.2000000000000002</v>
      </c>
      <c r="DG77" s="824">
        <v>4.4000000000000004</v>
      </c>
      <c r="DI77" s="1083" t="s">
        <v>355</v>
      </c>
      <c r="DJ77" s="819"/>
      <c r="DK77" s="820">
        <v>1</v>
      </c>
      <c r="DL77" s="821">
        <v>0.2</v>
      </c>
      <c r="DM77" s="822">
        <v>3.8</v>
      </c>
      <c r="DN77" s="823">
        <v>28.3</v>
      </c>
      <c r="DO77" s="821">
        <v>0.2</v>
      </c>
      <c r="DP77" s="822">
        <v>3.7</v>
      </c>
      <c r="DQ77" s="823">
        <v>8.4</v>
      </c>
      <c r="DR77" s="821">
        <v>2.2999999999999998</v>
      </c>
      <c r="DS77" s="823">
        <v>8.3000000000000007</v>
      </c>
      <c r="DT77" s="821">
        <v>0.2</v>
      </c>
      <c r="DU77" s="822">
        <v>2.6</v>
      </c>
      <c r="DV77" s="823">
        <v>2.4</v>
      </c>
      <c r="DW77" s="824">
        <v>4.7</v>
      </c>
      <c r="DY77" s="1083" t="s">
        <v>355</v>
      </c>
      <c r="DZ77" s="819"/>
      <c r="EA77" s="820">
        <v>1</v>
      </c>
      <c r="EB77" s="821">
        <v>0.2</v>
      </c>
      <c r="EC77" s="822">
        <v>4</v>
      </c>
      <c r="ED77" s="823">
        <v>30.3</v>
      </c>
      <c r="EE77" s="821">
        <v>0.3</v>
      </c>
      <c r="EF77" s="822">
        <v>3.6</v>
      </c>
      <c r="EG77" s="823">
        <v>8.8000000000000007</v>
      </c>
      <c r="EH77" s="821">
        <v>2.4</v>
      </c>
      <c r="EI77" s="823">
        <v>8.6999999999999993</v>
      </c>
      <c r="EJ77" s="821">
        <v>0.2</v>
      </c>
      <c r="EK77" s="822">
        <v>2.8</v>
      </c>
      <c r="EL77" s="823">
        <v>2.6</v>
      </c>
      <c r="EM77" s="824">
        <v>5</v>
      </c>
    </row>
    <row r="78" spans="17:143" ht="13.5" customHeight="1">
      <c r="Q78" s="1083"/>
      <c r="R78" s="819"/>
      <c r="S78" s="820">
        <v>2</v>
      </c>
      <c r="T78" s="821">
        <v>0.2</v>
      </c>
      <c r="U78" s="822">
        <v>9.6</v>
      </c>
      <c r="V78" s="823">
        <v>61.5</v>
      </c>
      <c r="W78" s="821">
        <v>0.3</v>
      </c>
      <c r="X78" s="822">
        <v>8.6999999999999993</v>
      </c>
      <c r="Y78" s="823">
        <v>24.5</v>
      </c>
      <c r="Z78" s="821">
        <v>5.3</v>
      </c>
      <c r="AA78" s="823">
        <v>24.7</v>
      </c>
      <c r="AB78" s="821">
        <v>0.2</v>
      </c>
      <c r="AC78" s="822">
        <v>4.5</v>
      </c>
      <c r="AD78" s="823">
        <v>8.8000000000000007</v>
      </c>
      <c r="AE78" s="824">
        <v>8.3000000000000007</v>
      </c>
      <c r="AG78" s="1083"/>
      <c r="AH78" s="819"/>
      <c r="AI78" s="820">
        <v>2</v>
      </c>
      <c r="AJ78" s="821">
        <v>0.2</v>
      </c>
      <c r="AK78" s="822">
        <v>9.8000000000000007</v>
      </c>
      <c r="AL78" s="823">
        <v>68.599999999999994</v>
      </c>
      <c r="AM78" s="821">
        <v>0.3</v>
      </c>
      <c r="AN78" s="822">
        <v>9.1</v>
      </c>
      <c r="AO78" s="823">
        <v>25.9</v>
      </c>
      <c r="AP78" s="821">
        <v>5.5</v>
      </c>
      <c r="AQ78" s="823">
        <v>26</v>
      </c>
      <c r="AR78" s="821">
        <v>0.2</v>
      </c>
      <c r="AS78" s="822">
        <v>4.5999999999999996</v>
      </c>
      <c r="AT78" s="823">
        <v>9.4</v>
      </c>
      <c r="AU78" s="824">
        <v>8.8000000000000007</v>
      </c>
      <c r="AW78" s="1083"/>
      <c r="AX78" s="819"/>
      <c r="AY78" s="820">
        <v>2</v>
      </c>
      <c r="AZ78" s="821">
        <v>0.3</v>
      </c>
      <c r="BA78" s="822">
        <v>10.3</v>
      </c>
      <c r="BB78" s="823">
        <v>64.900000000000006</v>
      </c>
      <c r="BC78" s="821">
        <v>0.4</v>
      </c>
      <c r="BD78" s="822">
        <v>9.3000000000000007</v>
      </c>
      <c r="BE78" s="823">
        <v>26.6</v>
      </c>
      <c r="BF78" s="821">
        <v>5.7</v>
      </c>
      <c r="BG78" s="823">
        <v>27.5</v>
      </c>
      <c r="BH78" s="821">
        <v>0.3</v>
      </c>
      <c r="BI78" s="822">
        <v>4.8</v>
      </c>
      <c r="BJ78" s="823">
        <v>9.6</v>
      </c>
      <c r="BK78" s="824">
        <v>9.1</v>
      </c>
      <c r="BM78" s="1083"/>
      <c r="BN78" s="819"/>
      <c r="BO78" s="820">
        <v>2</v>
      </c>
      <c r="BP78" s="821">
        <v>0.4</v>
      </c>
      <c r="BQ78" s="822">
        <v>11</v>
      </c>
      <c r="BR78" s="823">
        <v>68.3</v>
      </c>
      <c r="BS78" s="821">
        <v>0.5</v>
      </c>
      <c r="BT78" s="822">
        <v>10</v>
      </c>
      <c r="BU78" s="823">
        <v>27.5</v>
      </c>
      <c r="BV78" s="821">
        <v>6</v>
      </c>
      <c r="BW78" s="823">
        <v>28.9</v>
      </c>
      <c r="BX78" s="821">
        <v>0.4</v>
      </c>
      <c r="BY78" s="822">
        <v>5.3</v>
      </c>
      <c r="BZ78" s="823">
        <v>9.9</v>
      </c>
      <c r="CA78" s="824">
        <v>9.8000000000000007</v>
      </c>
      <c r="CC78" s="1083"/>
      <c r="CD78" s="819"/>
      <c r="CE78" s="820">
        <v>2</v>
      </c>
      <c r="CF78" s="821">
        <v>0.4</v>
      </c>
      <c r="CG78" s="822">
        <v>11.6</v>
      </c>
      <c r="CH78" s="823">
        <v>74.900000000000006</v>
      </c>
      <c r="CI78" s="821">
        <v>0.6</v>
      </c>
      <c r="CJ78" s="822">
        <v>10.4</v>
      </c>
      <c r="CK78" s="823">
        <v>29.2</v>
      </c>
      <c r="CL78" s="821">
        <v>6.4</v>
      </c>
      <c r="CM78" s="823">
        <v>30</v>
      </c>
      <c r="CN78" s="821">
        <v>0.5</v>
      </c>
      <c r="CO78" s="822">
        <v>5.7</v>
      </c>
      <c r="CP78" s="823">
        <v>10.8</v>
      </c>
      <c r="CQ78" s="824">
        <v>10.9</v>
      </c>
      <c r="CS78" s="1083"/>
      <c r="CT78" s="819"/>
      <c r="CU78" s="820">
        <v>2</v>
      </c>
      <c r="CV78" s="821">
        <v>0.5</v>
      </c>
      <c r="CW78" s="822">
        <v>11.6</v>
      </c>
      <c r="CX78" s="823">
        <v>78.900000000000006</v>
      </c>
      <c r="CY78" s="821">
        <v>0.7</v>
      </c>
      <c r="CZ78" s="822">
        <v>11.4</v>
      </c>
      <c r="DA78" s="823">
        <v>30.9</v>
      </c>
      <c r="DB78" s="821">
        <v>6.8</v>
      </c>
      <c r="DC78" s="823">
        <v>31.2</v>
      </c>
      <c r="DD78" s="821">
        <v>0.5</v>
      </c>
      <c r="DE78" s="822">
        <v>6.2</v>
      </c>
      <c r="DF78" s="823">
        <v>12</v>
      </c>
      <c r="DG78" s="824">
        <v>11.9</v>
      </c>
      <c r="DI78" s="1083"/>
      <c r="DJ78" s="819"/>
      <c r="DK78" s="820">
        <v>2</v>
      </c>
      <c r="DL78" s="821">
        <v>0.6</v>
      </c>
      <c r="DM78" s="822">
        <v>12.4</v>
      </c>
      <c r="DN78" s="823">
        <v>82.1</v>
      </c>
      <c r="DO78" s="821">
        <v>0.7</v>
      </c>
      <c r="DP78" s="822">
        <v>11.9</v>
      </c>
      <c r="DQ78" s="823">
        <v>32.9</v>
      </c>
      <c r="DR78" s="821">
        <v>7.2</v>
      </c>
      <c r="DS78" s="823">
        <v>32.700000000000003</v>
      </c>
      <c r="DT78" s="821">
        <v>0.6</v>
      </c>
      <c r="DU78" s="822">
        <v>6.7</v>
      </c>
      <c r="DV78" s="823">
        <v>12.9</v>
      </c>
      <c r="DW78" s="824">
        <v>12.8</v>
      </c>
      <c r="DY78" s="1083"/>
      <c r="DZ78" s="819"/>
      <c r="EA78" s="820">
        <v>2</v>
      </c>
      <c r="EB78" s="821">
        <v>0.7</v>
      </c>
      <c r="EC78" s="822">
        <v>13.1</v>
      </c>
      <c r="ED78" s="823">
        <v>83.3</v>
      </c>
      <c r="EE78" s="821">
        <v>0.8</v>
      </c>
      <c r="EF78" s="822">
        <v>12.2</v>
      </c>
      <c r="EG78" s="823">
        <v>35.1</v>
      </c>
      <c r="EH78" s="821">
        <v>7.5</v>
      </c>
      <c r="EI78" s="823">
        <v>34.299999999999997</v>
      </c>
      <c r="EJ78" s="821">
        <v>0.7</v>
      </c>
      <c r="EK78" s="822">
        <v>7.1</v>
      </c>
      <c r="EL78" s="823">
        <v>13.4</v>
      </c>
      <c r="EM78" s="824">
        <v>13.6</v>
      </c>
    </row>
    <row r="79" spans="17:143" ht="13.5" customHeight="1">
      <c r="Q79" s="1083"/>
      <c r="R79" s="819"/>
      <c r="S79" s="820">
        <v>3</v>
      </c>
      <c r="T79" s="821">
        <v>8.1</v>
      </c>
      <c r="U79" s="822">
        <v>83.4</v>
      </c>
      <c r="V79" s="823">
        <v>117.9</v>
      </c>
      <c r="W79" s="821">
        <v>9.9</v>
      </c>
      <c r="X79" s="822">
        <v>70.5</v>
      </c>
      <c r="Y79" s="823">
        <v>56</v>
      </c>
      <c r="Z79" s="821">
        <v>29.9</v>
      </c>
      <c r="AA79" s="823">
        <v>58.1</v>
      </c>
      <c r="AB79" s="821">
        <v>9.1</v>
      </c>
      <c r="AC79" s="822">
        <v>12.7</v>
      </c>
      <c r="AD79" s="823">
        <v>25.1</v>
      </c>
      <c r="AE79" s="824">
        <v>28.2</v>
      </c>
      <c r="AG79" s="1083"/>
      <c r="AH79" s="819"/>
      <c r="AI79" s="820">
        <v>3</v>
      </c>
      <c r="AJ79" s="821">
        <v>9.9</v>
      </c>
      <c r="AK79" s="822">
        <v>76.099999999999994</v>
      </c>
      <c r="AL79" s="823">
        <v>120.7</v>
      </c>
      <c r="AM79" s="821">
        <v>11.4</v>
      </c>
      <c r="AN79" s="822">
        <v>68.5</v>
      </c>
      <c r="AO79" s="823">
        <v>57.7</v>
      </c>
      <c r="AP79" s="821">
        <v>29.7</v>
      </c>
      <c r="AQ79" s="823">
        <v>60.7</v>
      </c>
      <c r="AR79" s="821">
        <v>8.8000000000000007</v>
      </c>
      <c r="AS79" s="822">
        <v>14.3</v>
      </c>
      <c r="AT79" s="823">
        <v>25.8</v>
      </c>
      <c r="AU79" s="824">
        <v>28.4</v>
      </c>
      <c r="AW79" s="1083"/>
      <c r="AX79" s="819"/>
      <c r="AY79" s="820">
        <v>3</v>
      </c>
      <c r="AZ79" s="821">
        <v>12.1</v>
      </c>
      <c r="BA79" s="822">
        <v>85.4</v>
      </c>
      <c r="BB79" s="823">
        <v>130.19999999999999</v>
      </c>
      <c r="BC79" s="821">
        <v>11.7</v>
      </c>
      <c r="BD79" s="822">
        <v>74.599999999999994</v>
      </c>
      <c r="BE79" s="823">
        <v>59.8</v>
      </c>
      <c r="BF79" s="821">
        <v>33.200000000000003</v>
      </c>
      <c r="BG79" s="823">
        <v>62.6</v>
      </c>
      <c r="BH79" s="821">
        <v>9.6999999999999993</v>
      </c>
      <c r="BI79" s="822">
        <v>14.9</v>
      </c>
      <c r="BJ79" s="823">
        <v>27.4</v>
      </c>
      <c r="BK79" s="824">
        <v>30.4</v>
      </c>
      <c r="BM79" s="1083"/>
      <c r="BN79" s="819"/>
      <c r="BO79" s="820">
        <v>3</v>
      </c>
      <c r="BP79" s="821">
        <v>12.2</v>
      </c>
      <c r="BQ79" s="822">
        <v>93.4</v>
      </c>
      <c r="BR79" s="823">
        <v>135</v>
      </c>
      <c r="BS79" s="821">
        <v>14.9</v>
      </c>
      <c r="BT79" s="822">
        <v>79.900000000000006</v>
      </c>
      <c r="BU79" s="823">
        <v>64.5</v>
      </c>
      <c r="BV79" s="821">
        <v>35.9</v>
      </c>
      <c r="BW79" s="823">
        <v>65.5</v>
      </c>
      <c r="BX79" s="821">
        <v>13.2</v>
      </c>
      <c r="BY79" s="822">
        <v>15.8</v>
      </c>
      <c r="BZ79" s="823">
        <v>529.5</v>
      </c>
      <c r="CA79" s="824">
        <v>40.5</v>
      </c>
      <c r="CC79" s="1083"/>
      <c r="CD79" s="819"/>
      <c r="CE79" s="820">
        <v>3</v>
      </c>
      <c r="CF79" s="821">
        <v>14.1</v>
      </c>
      <c r="CG79" s="822">
        <v>98.6</v>
      </c>
      <c r="CH79" s="823">
        <v>141.69999999999999</v>
      </c>
      <c r="CI79" s="821">
        <v>17.8</v>
      </c>
      <c r="CJ79" s="822">
        <v>81.3</v>
      </c>
      <c r="CK79" s="823">
        <v>67.5</v>
      </c>
      <c r="CL79" s="821">
        <v>39.1</v>
      </c>
      <c r="CM79" s="823">
        <v>69.400000000000006</v>
      </c>
      <c r="CN79" s="821">
        <v>18.2</v>
      </c>
      <c r="CO79" s="822">
        <v>16.8</v>
      </c>
      <c r="CP79" s="823">
        <v>30.7</v>
      </c>
      <c r="CQ79" s="824">
        <v>36.299999999999997</v>
      </c>
      <c r="CS79" s="1083"/>
      <c r="CT79" s="819"/>
      <c r="CU79" s="820">
        <v>3</v>
      </c>
      <c r="CV79" s="821">
        <v>20.3</v>
      </c>
      <c r="CW79" s="822">
        <v>104.2</v>
      </c>
      <c r="CX79" s="823">
        <v>149.4</v>
      </c>
      <c r="CY79" s="821">
        <v>20.6</v>
      </c>
      <c r="CZ79" s="822">
        <v>91.8</v>
      </c>
      <c r="DA79" s="823">
        <v>70.599999999999994</v>
      </c>
      <c r="DB79" s="821">
        <v>43.2</v>
      </c>
      <c r="DC79" s="823">
        <v>73.099999999999994</v>
      </c>
      <c r="DD79" s="821">
        <v>22.3</v>
      </c>
      <c r="DE79" s="822">
        <v>17.8</v>
      </c>
      <c r="DF79" s="823">
        <v>431.2</v>
      </c>
      <c r="DG79" s="824">
        <v>47</v>
      </c>
      <c r="DI79" s="1083"/>
      <c r="DJ79" s="819"/>
      <c r="DK79" s="820">
        <v>3</v>
      </c>
      <c r="DL79" s="821">
        <v>21.5</v>
      </c>
      <c r="DM79" s="822">
        <v>111.6</v>
      </c>
      <c r="DN79" s="823">
        <v>154.69999999999999</v>
      </c>
      <c r="DO79" s="821">
        <v>23.4</v>
      </c>
      <c r="DP79" s="822">
        <v>93</v>
      </c>
      <c r="DQ79" s="823">
        <v>74.7</v>
      </c>
      <c r="DR79" s="821">
        <v>46.9</v>
      </c>
      <c r="DS79" s="823">
        <v>77.2</v>
      </c>
      <c r="DT79" s="821">
        <v>25.8</v>
      </c>
      <c r="DU79" s="822">
        <v>18.7</v>
      </c>
      <c r="DV79" s="823">
        <v>33.9</v>
      </c>
      <c r="DW79" s="824">
        <v>43.1</v>
      </c>
      <c r="DY79" s="1083"/>
      <c r="DZ79" s="819"/>
      <c r="EA79" s="820">
        <v>3</v>
      </c>
      <c r="EB79" s="821">
        <v>24.7</v>
      </c>
      <c r="EC79" s="822">
        <v>116</v>
      </c>
      <c r="ED79" s="823">
        <v>158.69999999999999</v>
      </c>
      <c r="EE79" s="821">
        <v>26.8</v>
      </c>
      <c r="EF79" s="822">
        <v>97.2</v>
      </c>
      <c r="EG79" s="823">
        <v>78.7</v>
      </c>
      <c r="EH79" s="821">
        <v>49.4</v>
      </c>
      <c r="EI79" s="823">
        <v>81.599999999999994</v>
      </c>
      <c r="EJ79" s="821">
        <v>28.3</v>
      </c>
      <c r="EK79" s="822">
        <v>19.399999999999999</v>
      </c>
      <c r="EL79" s="823">
        <v>483.4</v>
      </c>
      <c r="EM79" s="824">
        <v>55</v>
      </c>
    </row>
    <row r="80" spans="17:143" ht="13.5" customHeight="1">
      <c r="Q80" s="1083"/>
      <c r="R80" s="819"/>
      <c r="S80" s="820">
        <v>4</v>
      </c>
      <c r="T80" s="821">
        <v>70.2</v>
      </c>
      <c r="U80" s="822">
        <v>286.7</v>
      </c>
      <c r="V80" s="823">
        <v>287.8</v>
      </c>
      <c r="W80" s="821">
        <v>73.5</v>
      </c>
      <c r="X80" s="822">
        <v>261.2</v>
      </c>
      <c r="Y80" s="823">
        <v>247.6</v>
      </c>
      <c r="Z80" s="821">
        <v>117.2</v>
      </c>
      <c r="AA80" s="823">
        <v>343.8</v>
      </c>
      <c r="AB80" s="821">
        <v>67.2</v>
      </c>
      <c r="AC80" s="822">
        <v>123.1</v>
      </c>
      <c r="AD80" s="823">
        <v>135.4</v>
      </c>
      <c r="AE80" s="824">
        <v>160.9</v>
      </c>
      <c r="AG80" s="1083"/>
      <c r="AH80" s="819"/>
      <c r="AI80" s="820">
        <v>4</v>
      </c>
      <c r="AJ80" s="821">
        <v>72.3</v>
      </c>
      <c r="AK80" s="822">
        <v>285.7</v>
      </c>
      <c r="AL80" s="823">
        <v>304.10000000000002</v>
      </c>
      <c r="AM80" s="821">
        <v>74.8</v>
      </c>
      <c r="AN80" s="822">
        <v>267.3</v>
      </c>
      <c r="AO80" s="823">
        <v>259.7</v>
      </c>
      <c r="AP80" s="821">
        <v>124.2</v>
      </c>
      <c r="AQ80" s="823">
        <v>358.2</v>
      </c>
      <c r="AR80" s="821">
        <v>70.2</v>
      </c>
      <c r="AS80" s="822">
        <v>149.80000000000001</v>
      </c>
      <c r="AT80" s="823">
        <v>131.5</v>
      </c>
      <c r="AU80" s="824">
        <v>166</v>
      </c>
      <c r="AW80" s="1083"/>
      <c r="AX80" s="819"/>
      <c r="AY80" s="820">
        <v>4</v>
      </c>
      <c r="AZ80" s="821">
        <v>83.7</v>
      </c>
      <c r="BA80" s="822">
        <v>306</v>
      </c>
      <c r="BB80" s="823">
        <v>317.60000000000002</v>
      </c>
      <c r="BC80" s="821">
        <v>77.900000000000006</v>
      </c>
      <c r="BD80" s="822">
        <v>274.60000000000002</v>
      </c>
      <c r="BE80" s="823">
        <v>266.89999999999998</v>
      </c>
      <c r="BF80" s="821">
        <v>126.4</v>
      </c>
      <c r="BG80" s="823">
        <v>365.2</v>
      </c>
      <c r="BH80" s="821">
        <v>74.3</v>
      </c>
      <c r="BI80" s="822">
        <v>157.5</v>
      </c>
      <c r="BJ80" s="823">
        <v>131.6</v>
      </c>
      <c r="BK80" s="824">
        <v>172.3</v>
      </c>
      <c r="BM80" s="1083"/>
      <c r="BN80" s="819"/>
      <c r="BO80" s="820">
        <v>4</v>
      </c>
      <c r="BP80" s="821">
        <v>64.099999999999994</v>
      </c>
      <c r="BQ80" s="822">
        <v>322.3</v>
      </c>
      <c r="BR80" s="823">
        <v>326.10000000000002</v>
      </c>
      <c r="BS80" s="821">
        <v>87.8</v>
      </c>
      <c r="BT80" s="822">
        <v>298.2</v>
      </c>
      <c r="BU80" s="823">
        <v>299.5</v>
      </c>
      <c r="BV80" s="821">
        <v>133.9</v>
      </c>
      <c r="BW80" s="823">
        <v>390.8</v>
      </c>
      <c r="BX80" s="821">
        <v>81.900000000000006</v>
      </c>
      <c r="BY80" s="822">
        <v>150.69999999999999</v>
      </c>
      <c r="BZ80" s="823">
        <v>129.19999999999999</v>
      </c>
      <c r="CA80" s="824">
        <v>181.5</v>
      </c>
      <c r="CC80" s="1083"/>
      <c r="CD80" s="819"/>
      <c r="CE80" s="820">
        <v>4</v>
      </c>
      <c r="CF80" s="821">
        <v>74</v>
      </c>
      <c r="CG80" s="822">
        <v>337.6</v>
      </c>
      <c r="CH80" s="823">
        <v>355.3</v>
      </c>
      <c r="CI80" s="821">
        <v>94.8</v>
      </c>
      <c r="CJ80" s="822">
        <v>301.10000000000002</v>
      </c>
      <c r="CK80" s="823">
        <v>313</v>
      </c>
      <c r="CL80" s="821">
        <v>139.30000000000001</v>
      </c>
      <c r="CM80" s="823">
        <v>399.3</v>
      </c>
      <c r="CN80" s="821">
        <v>87.8</v>
      </c>
      <c r="CO80" s="822">
        <v>151.30000000000001</v>
      </c>
      <c r="CP80" s="823">
        <v>133.6</v>
      </c>
      <c r="CQ80" s="824">
        <v>182.9</v>
      </c>
      <c r="CS80" s="1083"/>
      <c r="CT80" s="819"/>
      <c r="CU80" s="820">
        <v>4</v>
      </c>
      <c r="CV80" s="821">
        <v>90.3</v>
      </c>
      <c r="CW80" s="822">
        <v>342.2</v>
      </c>
      <c r="CX80" s="823">
        <v>371.9</v>
      </c>
      <c r="CY80" s="821">
        <v>98.7</v>
      </c>
      <c r="CZ80" s="822">
        <v>317.3</v>
      </c>
      <c r="DA80" s="823">
        <v>338.2</v>
      </c>
      <c r="DB80" s="821">
        <v>147.5</v>
      </c>
      <c r="DC80" s="823">
        <v>415.4</v>
      </c>
      <c r="DD80" s="821">
        <v>90.1</v>
      </c>
      <c r="DE80" s="822">
        <v>149.69999999999999</v>
      </c>
      <c r="DF80" s="823">
        <v>136.5</v>
      </c>
      <c r="DG80" s="824">
        <v>183.1</v>
      </c>
      <c r="DI80" s="1083"/>
      <c r="DJ80" s="819"/>
      <c r="DK80" s="820">
        <v>4</v>
      </c>
      <c r="DL80" s="821">
        <v>93.2</v>
      </c>
      <c r="DM80" s="822">
        <v>352.8</v>
      </c>
      <c r="DN80" s="823">
        <v>387.6</v>
      </c>
      <c r="DO80" s="821">
        <v>105.2</v>
      </c>
      <c r="DP80" s="822">
        <v>319.8</v>
      </c>
      <c r="DQ80" s="823">
        <v>360.9</v>
      </c>
      <c r="DR80" s="821">
        <v>156.19999999999999</v>
      </c>
      <c r="DS80" s="823">
        <v>430.4</v>
      </c>
      <c r="DT80" s="821">
        <v>90.4</v>
      </c>
      <c r="DU80" s="822">
        <v>161.4</v>
      </c>
      <c r="DV80" s="823">
        <v>140.5</v>
      </c>
      <c r="DW80" s="824">
        <v>184</v>
      </c>
      <c r="DY80" s="1083"/>
      <c r="DZ80" s="819"/>
      <c r="EA80" s="820">
        <v>4</v>
      </c>
      <c r="EB80" s="821">
        <v>98.8</v>
      </c>
      <c r="EC80" s="822">
        <v>366.9</v>
      </c>
      <c r="ED80" s="823">
        <v>403.6</v>
      </c>
      <c r="EE80" s="821">
        <v>111.3</v>
      </c>
      <c r="EF80" s="822">
        <v>332.3</v>
      </c>
      <c r="EG80" s="823">
        <v>363.3</v>
      </c>
      <c r="EH80" s="821">
        <v>162.6</v>
      </c>
      <c r="EI80" s="823">
        <v>447.7</v>
      </c>
      <c r="EJ80" s="821">
        <v>93.6</v>
      </c>
      <c r="EK80" s="822">
        <v>166.4</v>
      </c>
      <c r="EL80" s="823">
        <v>148.4</v>
      </c>
      <c r="EM80" s="824">
        <v>185.6</v>
      </c>
    </row>
    <row r="81" spans="17:143" ht="13.5" customHeight="1">
      <c r="Q81" s="1083"/>
      <c r="R81" s="819"/>
      <c r="S81" s="825">
        <v>5</v>
      </c>
      <c r="T81" s="826">
        <v>195</v>
      </c>
      <c r="U81" s="827">
        <v>598.6</v>
      </c>
      <c r="V81" s="828">
        <v>517.1</v>
      </c>
      <c r="W81" s="826">
        <v>158.19999999999999</v>
      </c>
      <c r="X81" s="827">
        <v>580.79999999999995</v>
      </c>
      <c r="Y81" s="828">
        <v>651.5</v>
      </c>
      <c r="Z81" s="826">
        <v>201.6</v>
      </c>
      <c r="AA81" s="828">
        <v>1152.0999999999999</v>
      </c>
      <c r="AB81" s="826">
        <v>183.4</v>
      </c>
      <c r="AC81" s="827">
        <v>317.10000000000002</v>
      </c>
      <c r="AD81" s="828">
        <v>246.4</v>
      </c>
      <c r="AE81" s="824">
        <v>449.2</v>
      </c>
      <c r="AG81" s="1083"/>
      <c r="AH81" s="819"/>
      <c r="AI81" s="825">
        <v>5</v>
      </c>
      <c r="AJ81" s="826">
        <v>218.5</v>
      </c>
      <c r="AK81" s="827">
        <v>678.5</v>
      </c>
      <c r="AL81" s="828">
        <v>553.5</v>
      </c>
      <c r="AM81" s="826">
        <v>174.6</v>
      </c>
      <c r="AN81" s="827">
        <v>623.6</v>
      </c>
      <c r="AO81" s="828">
        <v>721.5</v>
      </c>
      <c r="AP81" s="826">
        <v>221.5</v>
      </c>
      <c r="AQ81" s="828">
        <v>1221</v>
      </c>
      <c r="AR81" s="826">
        <v>216.1</v>
      </c>
      <c r="AS81" s="827">
        <v>344.2</v>
      </c>
      <c r="AT81" s="828">
        <v>270.10000000000002</v>
      </c>
      <c r="AU81" s="824">
        <v>519.4</v>
      </c>
      <c r="AW81" s="1083"/>
      <c r="AX81" s="819"/>
      <c r="AY81" s="825">
        <v>5</v>
      </c>
      <c r="AZ81" s="826">
        <v>249.1</v>
      </c>
      <c r="BA81" s="827">
        <v>759.6</v>
      </c>
      <c r="BB81" s="828">
        <v>614.9</v>
      </c>
      <c r="BC81" s="826">
        <v>196.7</v>
      </c>
      <c r="BD81" s="827">
        <v>694</v>
      </c>
      <c r="BE81" s="828">
        <v>808.5</v>
      </c>
      <c r="BF81" s="826">
        <v>243.1</v>
      </c>
      <c r="BG81" s="828">
        <v>1324.4</v>
      </c>
      <c r="BH81" s="826">
        <v>246.6</v>
      </c>
      <c r="BI81" s="827">
        <v>379.6</v>
      </c>
      <c r="BJ81" s="828">
        <v>296.2</v>
      </c>
      <c r="BK81" s="824">
        <v>565.29999999999995</v>
      </c>
      <c r="BM81" s="1083"/>
      <c r="BN81" s="819"/>
      <c r="BO81" s="825">
        <v>5</v>
      </c>
      <c r="BP81" s="826" t="e">
        <v>#N/A</v>
      </c>
      <c r="BQ81" s="827">
        <v>867.2</v>
      </c>
      <c r="BR81" s="828">
        <v>681.4</v>
      </c>
      <c r="BS81" s="826">
        <v>217.7</v>
      </c>
      <c r="BT81" s="827">
        <v>773.4</v>
      </c>
      <c r="BU81" s="828">
        <v>902.5</v>
      </c>
      <c r="BV81" s="826">
        <v>269.8</v>
      </c>
      <c r="BW81" s="828">
        <v>1437.3</v>
      </c>
      <c r="BX81" s="826">
        <v>286.8</v>
      </c>
      <c r="BY81" s="827">
        <v>405.3</v>
      </c>
      <c r="BZ81" s="828">
        <v>325.7</v>
      </c>
      <c r="CA81" s="824">
        <v>619.1</v>
      </c>
      <c r="CC81" s="1083"/>
      <c r="CD81" s="819"/>
      <c r="CE81" s="825">
        <v>5</v>
      </c>
      <c r="CF81" s="826" t="e">
        <v>#N/A</v>
      </c>
      <c r="CG81" s="827">
        <v>997.2</v>
      </c>
      <c r="CH81" s="828">
        <v>753.7</v>
      </c>
      <c r="CI81" s="826">
        <v>236.5</v>
      </c>
      <c r="CJ81" s="827">
        <v>875.7</v>
      </c>
      <c r="CK81" s="828">
        <v>990.8</v>
      </c>
      <c r="CL81" s="826">
        <v>300</v>
      </c>
      <c r="CM81" s="828">
        <v>1551.2</v>
      </c>
      <c r="CN81" s="826">
        <v>324.3</v>
      </c>
      <c r="CO81" s="827">
        <v>436.4</v>
      </c>
      <c r="CP81" s="828">
        <v>361.8</v>
      </c>
      <c r="CQ81" s="824">
        <v>682.8</v>
      </c>
      <c r="CS81" s="1083"/>
      <c r="CT81" s="819"/>
      <c r="CU81" s="825">
        <v>5</v>
      </c>
      <c r="CV81" s="826">
        <v>257.60000000000002</v>
      </c>
      <c r="CW81" s="827">
        <v>1060.8</v>
      </c>
      <c r="CX81" s="828">
        <v>825.6</v>
      </c>
      <c r="CY81" s="826">
        <v>257.60000000000002</v>
      </c>
      <c r="CZ81" s="827">
        <v>1007</v>
      </c>
      <c r="DA81" s="828">
        <v>1074.4000000000001</v>
      </c>
      <c r="DB81" s="826">
        <v>332</v>
      </c>
      <c r="DC81" s="828">
        <v>1658.6</v>
      </c>
      <c r="DD81" s="826">
        <v>356</v>
      </c>
      <c r="DE81" s="827">
        <v>480.3</v>
      </c>
      <c r="DF81" s="828">
        <v>401.4</v>
      </c>
      <c r="DG81" s="824">
        <v>735</v>
      </c>
      <c r="DI81" s="1083"/>
      <c r="DJ81" s="819"/>
      <c r="DK81" s="825">
        <v>5</v>
      </c>
      <c r="DL81" s="826">
        <v>277.3</v>
      </c>
      <c r="DM81" s="827">
        <v>1145.5</v>
      </c>
      <c r="DN81" s="828">
        <v>884.5</v>
      </c>
      <c r="DO81" s="826">
        <v>283.60000000000002</v>
      </c>
      <c r="DP81" s="827">
        <v>1102.5999999999999</v>
      </c>
      <c r="DQ81" s="828">
        <v>1167</v>
      </c>
      <c r="DR81" s="826">
        <v>366</v>
      </c>
      <c r="DS81" s="828">
        <v>1763.1</v>
      </c>
      <c r="DT81" s="826">
        <v>363.8</v>
      </c>
      <c r="DU81" s="827">
        <v>523.79999999999995</v>
      </c>
      <c r="DV81" s="828">
        <v>438.2</v>
      </c>
      <c r="DW81" s="824">
        <v>784</v>
      </c>
      <c r="DY81" s="1083"/>
      <c r="DZ81" s="819"/>
      <c r="EA81" s="825">
        <v>5</v>
      </c>
      <c r="EB81" s="826">
        <v>274.3</v>
      </c>
      <c r="EC81" s="827">
        <v>1223.2</v>
      </c>
      <c r="ED81" s="828">
        <v>942.2</v>
      </c>
      <c r="EE81" s="826">
        <v>305.8</v>
      </c>
      <c r="EF81" s="827">
        <v>1159</v>
      </c>
      <c r="EG81" s="828">
        <v>1248</v>
      </c>
      <c r="EH81" s="826">
        <v>402.2</v>
      </c>
      <c r="EI81" s="828">
        <v>1870.4</v>
      </c>
      <c r="EJ81" s="826">
        <v>378.1</v>
      </c>
      <c r="EK81" s="827">
        <v>559.9</v>
      </c>
      <c r="EL81" s="828">
        <v>482.2</v>
      </c>
      <c r="EM81" s="824">
        <v>821.4</v>
      </c>
    </row>
    <row r="82" spans="17:143" ht="13.5" customHeight="1">
      <c r="Q82" s="1083"/>
      <c r="R82" s="819"/>
      <c r="S82" s="829" t="s">
        <v>563</v>
      </c>
      <c r="T82" s="830">
        <v>14.4</v>
      </c>
      <c r="U82" s="831">
        <v>196</v>
      </c>
      <c r="V82" s="832">
        <v>58.9</v>
      </c>
      <c r="W82" s="830">
        <v>14.2</v>
      </c>
      <c r="X82" s="831">
        <v>91.9</v>
      </c>
      <c r="Y82" s="832">
        <v>46.5</v>
      </c>
      <c r="Z82" s="830">
        <v>38.700000000000003</v>
      </c>
      <c r="AA82" s="832">
        <v>38.799999999999997</v>
      </c>
      <c r="AB82" s="830">
        <v>9.5</v>
      </c>
      <c r="AC82" s="831">
        <v>9.6999999999999993</v>
      </c>
      <c r="AD82" s="832">
        <v>2.9</v>
      </c>
      <c r="AE82" s="833">
        <v>29.8</v>
      </c>
      <c r="AG82" s="1083"/>
      <c r="AH82" s="819"/>
      <c r="AI82" s="829" t="s">
        <v>563</v>
      </c>
      <c r="AJ82" s="830">
        <v>10.3</v>
      </c>
      <c r="AK82" s="831">
        <v>229.7</v>
      </c>
      <c r="AL82" s="832">
        <v>67.599999999999994</v>
      </c>
      <c r="AM82" s="830">
        <v>15</v>
      </c>
      <c r="AN82" s="831">
        <v>101.4</v>
      </c>
      <c r="AO82" s="832">
        <v>52.5</v>
      </c>
      <c r="AP82" s="830">
        <v>42.2</v>
      </c>
      <c r="AQ82" s="832">
        <v>41.2</v>
      </c>
      <c r="AR82" s="830">
        <v>11.1</v>
      </c>
      <c r="AS82" s="831">
        <v>9.1999999999999993</v>
      </c>
      <c r="AT82" s="832">
        <v>3.2</v>
      </c>
      <c r="AU82" s="833">
        <v>32.799999999999997</v>
      </c>
      <c r="AW82" s="1083"/>
      <c r="AX82" s="819"/>
      <c r="AY82" s="829" t="s">
        <v>563</v>
      </c>
      <c r="AZ82" s="830">
        <v>13.2</v>
      </c>
      <c r="BA82" s="831">
        <v>268.39999999999998</v>
      </c>
      <c r="BB82" s="832">
        <v>75.099999999999994</v>
      </c>
      <c r="BC82" s="830">
        <v>17.7</v>
      </c>
      <c r="BD82" s="831">
        <v>115.5</v>
      </c>
      <c r="BE82" s="832">
        <v>60</v>
      </c>
      <c r="BF82" s="830">
        <v>48.9</v>
      </c>
      <c r="BG82" s="832">
        <v>45.1</v>
      </c>
      <c r="BH82" s="830">
        <v>13.3</v>
      </c>
      <c r="BI82" s="831">
        <v>9.9</v>
      </c>
      <c r="BJ82" s="832">
        <v>3.6</v>
      </c>
      <c r="BK82" s="833">
        <v>37.299999999999997</v>
      </c>
      <c r="BM82" s="1083"/>
      <c r="BN82" s="819"/>
      <c r="BO82" s="829" t="s">
        <v>563</v>
      </c>
      <c r="BP82" s="830">
        <v>13.2</v>
      </c>
      <c r="BQ82" s="831">
        <v>317</v>
      </c>
      <c r="BR82" s="832">
        <v>84.9</v>
      </c>
      <c r="BS82" s="830">
        <v>22.8</v>
      </c>
      <c r="BT82" s="831">
        <v>133.1</v>
      </c>
      <c r="BU82" s="832">
        <v>68.599999999999994</v>
      </c>
      <c r="BV82" s="830">
        <v>56.5</v>
      </c>
      <c r="BW82" s="832">
        <v>49.6</v>
      </c>
      <c r="BX82" s="830">
        <v>17.600000000000001</v>
      </c>
      <c r="BY82" s="831">
        <v>11.4</v>
      </c>
      <c r="BZ82" s="832">
        <v>15.9</v>
      </c>
      <c r="CA82" s="833">
        <v>44.8</v>
      </c>
      <c r="CC82" s="1083"/>
      <c r="CD82" s="819"/>
      <c r="CE82" s="829" t="s">
        <v>563</v>
      </c>
      <c r="CF82" s="830">
        <v>19</v>
      </c>
      <c r="CG82" s="831">
        <v>374.2</v>
      </c>
      <c r="CH82" s="832">
        <v>95.5</v>
      </c>
      <c r="CI82" s="830">
        <v>29.1</v>
      </c>
      <c r="CJ82" s="831">
        <v>155.69999999999999</v>
      </c>
      <c r="CK82" s="832">
        <v>77.7</v>
      </c>
      <c r="CL82" s="830">
        <v>66.5</v>
      </c>
      <c r="CM82" s="832">
        <v>54</v>
      </c>
      <c r="CN82" s="830">
        <v>24.3</v>
      </c>
      <c r="CO82" s="831">
        <v>13.3</v>
      </c>
      <c r="CP82" s="832">
        <v>4.5999999999999996</v>
      </c>
      <c r="CQ82" s="833">
        <v>50.5</v>
      </c>
      <c r="CS82" s="1083"/>
      <c r="CT82" s="819"/>
      <c r="CU82" s="829" t="s">
        <v>563</v>
      </c>
      <c r="CV82" s="830">
        <v>25.3</v>
      </c>
      <c r="CW82" s="831">
        <v>414.8</v>
      </c>
      <c r="CX82" s="832">
        <v>105.3</v>
      </c>
      <c r="CY82" s="830">
        <v>36.1</v>
      </c>
      <c r="CZ82" s="831">
        <v>182.6</v>
      </c>
      <c r="DA82" s="832">
        <v>87.5</v>
      </c>
      <c r="DB82" s="830">
        <v>76.400000000000006</v>
      </c>
      <c r="DC82" s="832">
        <v>58.4</v>
      </c>
      <c r="DD82" s="830">
        <v>31</v>
      </c>
      <c r="DE82" s="831">
        <v>15.3</v>
      </c>
      <c r="DF82" s="832">
        <v>17.5</v>
      </c>
      <c r="DG82" s="833">
        <v>59.3</v>
      </c>
      <c r="DI82" s="1083"/>
      <c r="DJ82" s="819"/>
      <c r="DK82" s="829" t="s">
        <v>563</v>
      </c>
      <c r="DL82" s="830">
        <v>30.6</v>
      </c>
      <c r="DM82" s="831">
        <v>458.4</v>
      </c>
      <c r="DN82" s="832">
        <v>114.9</v>
      </c>
      <c r="DO82" s="830">
        <v>43.1</v>
      </c>
      <c r="DP82" s="831">
        <v>209</v>
      </c>
      <c r="DQ82" s="832">
        <v>98.2</v>
      </c>
      <c r="DR82" s="830">
        <v>87.2</v>
      </c>
      <c r="DS82" s="832">
        <v>62.5</v>
      </c>
      <c r="DT82" s="830">
        <v>37.799999999999997</v>
      </c>
      <c r="DU82" s="831">
        <v>17.600000000000001</v>
      </c>
      <c r="DV82" s="832">
        <v>5.7</v>
      </c>
      <c r="DW82" s="833">
        <v>65.099999999999994</v>
      </c>
      <c r="DY82" s="1083"/>
      <c r="DZ82" s="819"/>
      <c r="EA82" s="829" t="s">
        <v>563</v>
      </c>
      <c r="EB82" s="830">
        <v>35.9</v>
      </c>
      <c r="EC82" s="831">
        <v>500.2</v>
      </c>
      <c r="ED82" s="832">
        <v>123.5</v>
      </c>
      <c r="EE82" s="830">
        <v>50.9</v>
      </c>
      <c r="EF82" s="831">
        <v>229.1</v>
      </c>
      <c r="EG82" s="832">
        <v>108.3</v>
      </c>
      <c r="EH82" s="830">
        <v>98.5</v>
      </c>
      <c r="EI82" s="832">
        <v>66.2</v>
      </c>
      <c r="EJ82" s="830">
        <v>44.4</v>
      </c>
      <c r="EK82" s="831">
        <v>19.8</v>
      </c>
      <c r="EL82" s="832">
        <v>22.9</v>
      </c>
      <c r="EM82" s="833">
        <v>74.2</v>
      </c>
    </row>
    <row r="83" spans="17:143" ht="13.5" customHeight="1">
      <c r="Q83" s="834" t="s">
        <v>356</v>
      </c>
      <c r="R83" s="835"/>
      <c r="S83" s="836" t="s">
        <v>6</v>
      </c>
      <c r="T83" s="837">
        <v>3.8</v>
      </c>
      <c r="U83" s="838">
        <v>17.899999999999999</v>
      </c>
      <c r="V83" s="839">
        <v>88.2</v>
      </c>
      <c r="W83" s="837">
        <v>3.8</v>
      </c>
      <c r="X83" s="838">
        <v>13.5</v>
      </c>
      <c r="Y83" s="839">
        <v>88.2</v>
      </c>
      <c r="Z83" s="837">
        <v>13.3</v>
      </c>
      <c r="AA83" s="839">
        <v>88.2</v>
      </c>
      <c r="AB83" s="837">
        <v>3.8</v>
      </c>
      <c r="AC83" s="838">
        <v>11.6</v>
      </c>
      <c r="AD83" s="839">
        <v>88.2</v>
      </c>
      <c r="AE83" s="840">
        <v>8.8000000000000007</v>
      </c>
      <c r="AG83" s="834" t="s">
        <v>356</v>
      </c>
      <c r="AH83" s="835"/>
      <c r="AI83" s="836" t="s">
        <v>6</v>
      </c>
      <c r="AJ83" s="837">
        <v>3.6</v>
      </c>
      <c r="AK83" s="838">
        <v>16.600000000000001</v>
      </c>
      <c r="AL83" s="839">
        <v>81.900000000000006</v>
      </c>
      <c r="AM83" s="837">
        <v>3.6</v>
      </c>
      <c r="AN83" s="838">
        <v>12.6</v>
      </c>
      <c r="AO83" s="839">
        <v>81.900000000000006</v>
      </c>
      <c r="AP83" s="837">
        <v>12.4</v>
      </c>
      <c r="AQ83" s="839">
        <v>81.900000000000006</v>
      </c>
      <c r="AR83" s="837">
        <v>3.6</v>
      </c>
      <c r="AS83" s="838">
        <v>10.8</v>
      </c>
      <c r="AT83" s="839">
        <v>81.900000000000006</v>
      </c>
      <c r="AU83" s="840">
        <v>8.1</v>
      </c>
      <c r="AW83" s="834" t="s">
        <v>356</v>
      </c>
      <c r="AX83" s="835"/>
      <c r="AY83" s="836" t="s">
        <v>6</v>
      </c>
      <c r="AZ83" s="837">
        <v>4.0999999999999996</v>
      </c>
      <c r="BA83" s="838">
        <v>19.2</v>
      </c>
      <c r="BB83" s="839">
        <v>94.6</v>
      </c>
      <c r="BC83" s="837">
        <v>4.0999999999999996</v>
      </c>
      <c r="BD83" s="838">
        <v>14.5</v>
      </c>
      <c r="BE83" s="839">
        <v>94.6</v>
      </c>
      <c r="BF83" s="837">
        <v>14.3</v>
      </c>
      <c r="BG83" s="839">
        <v>94.6</v>
      </c>
      <c r="BH83" s="837">
        <v>4.0999999999999996</v>
      </c>
      <c r="BI83" s="838">
        <v>12.5</v>
      </c>
      <c r="BJ83" s="839">
        <v>94.6</v>
      </c>
      <c r="BK83" s="840">
        <v>9.4</v>
      </c>
      <c r="BM83" s="834" t="s">
        <v>356</v>
      </c>
      <c r="BN83" s="835"/>
      <c r="BO83" s="836" t="s">
        <v>6</v>
      </c>
      <c r="BP83" s="837">
        <v>4.4000000000000004</v>
      </c>
      <c r="BQ83" s="838">
        <v>20.7</v>
      </c>
      <c r="BR83" s="839">
        <v>101.8</v>
      </c>
      <c r="BS83" s="837">
        <v>4.4000000000000004</v>
      </c>
      <c r="BT83" s="838">
        <v>15.6</v>
      </c>
      <c r="BU83" s="839">
        <v>101.8</v>
      </c>
      <c r="BV83" s="837">
        <v>15.4</v>
      </c>
      <c r="BW83" s="839">
        <v>101.8</v>
      </c>
      <c r="BX83" s="837">
        <v>4.4000000000000004</v>
      </c>
      <c r="BY83" s="838">
        <v>13.4</v>
      </c>
      <c r="BZ83" s="839">
        <v>101.8</v>
      </c>
      <c r="CA83" s="840">
        <v>10.1</v>
      </c>
      <c r="CC83" s="834" t="s">
        <v>356</v>
      </c>
      <c r="CD83" s="835"/>
      <c r="CE83" s="836" t="s">
        <v>6</v>
      </c>
      <c r="CF83" s="837">
        <v>4.7</v>
      </c>
      <c r="CG83" s="838">
        <v>22.1</v>
      </c>
      <c r="CH83" s="839">
        <v>109</v>
      </c>
      <c r="CI83" s="837">
        <v>4.7</v>
      </c>
      <c r="CJ83" s="838">
        <v>16.7</v>
      </c>
      <c r="CK83" s="839">
        <v>109</v>
      </c>
      <c r="CL83" s="837">
        <v>16.5</v>
      </c>
      <c r="CM83" s="839">
        <v>109</v>
      </c>
      <c r="CN83" s="837">
        <v>4.7</v>
      </c>
      <c r="CO83" s="838">
        <v>14.3</v>
      </c>
      <c r="CP83" s="839">
        <v>109</v>
      </c>
      <c r="CQ83" s="840">
        <v>10.8</v>
      </c>
      <c r="CS83" s="834" t="s">
        <v>356</v>
      </c>
      <c r="CT83" s="835"/>
      <c r="CU83" s="836" t="s">
        <v>6</v>
      </c>
      <c r="CV83" s="837">
        <v>5.0999999999999996</v>
      </c>
      <c r="CW83" s="838">
        <v>23.8</v>
      </c>
      <c r="CX83" s="839">
        <v>117.2</v>
      </c>
      <c r="CY83" s="837">
        <v>5.0999999999999996</v>
      </c>
      <c r="CZ83" s="838">
        <v>18</v>
      </c>
      <c r="DA83" s="839">
        <v>117.2</v>
      </c>
      <c r="DB83" s="837">
        <v>17.7</v>
      </c>
      <c r="DC83" s="839">
        <v>117.2</v>
      </c>
      <c r="DD83" s="837">
        <v>5.0999999999999996</v>
      </c>
      <c r="DE83" s="838">
        <v>15.4</v>
      </c>
      <c r="DF83" s="839">
        <v>117.2</v>
      </c>
      <c r="DG83" s="840">
        <v>11.7</v>
      </c>
      <c r="DI83" s="834" t="s">
        <v>356</v>
      </c>
      <c r="DJ83" s="835"/>
      <c r="DK83" s="836" t="s">
        <v>6</v>
      </c>
      <c r="DL83" s="837">
        <v>5.4</v>
      </c>
      <c r="DM83" s="838">
        <v>25.4</v>
      </c>
      <c r="DN83" s="839">
        <v>125.3</v>
      </c>
      <c r="DO83" s="837">
        <v>5.4</v>
      </c>
      <c r="DP83" s="838">
        <v>19.2</v>
      </c>
      <c r="DQ83" s="839">
        <v>125.3</v>
      </c>
      <c r="DR83" s="837">
        <v>18.899999999999999</v>
      </c>
      <c r="DS83" s="839">
        <v>125.3</v>
      </c>
      <c r="DT83" s="837">
        <v>5.4</v>
      </c>
      <c r="DU83" s="838">
        <v>16.5</v>
      </c>
      <c r="DV83" s="839">
        <v>125.3</v>
      </c>
      <c r="DW83" s="840">
        <v>12.6</v>
      </c>
      <c r="DY83" s="834" t="s">
        <v>356</v>
      </c>
      <c r="DZ83" s="835"/>
      <c r="EA83" s="836" t="s">
        <v>6</v>
      </c>
      <c r="EB83" s="837">
        <v>5.8</v>
      </c>
      <c r="EC83" s="838">
        <v>27.1</v>
      </c>
      <c r="ED83" s="839">
        <v>133.6</v>
      </c>
      <c r="EE83" s="837">
        <v>5.8</v>
      </c>
      <c r="EF83" s="838">
        <v>20.5</v>
      </c>
      <c r="EG83" s="839">
        <v>133.6</v>
      </c>
      <c r="EH83" s="837">
        <v>20.2</v>
      </c>
      <c r="EI83" s="839">
        <v>133.6</v>
      </c>
      <c r="EJ83" s="837">
        <v>5.8</v>
      </c>
      <c r="EK83" s="838">
        <v>17.600000000000001</v>
      </c>
      <c r="EL83" s="839">
        <v>133.6</v>
      </c>
      <c r="EM83" s="840">
        <v>13.5</v>
      </c>
    </row>
    <row r="84" spans="17:143" ht="13.5" customHeight="1">
      <c r="Q84" s="834" t="s">
        <v>357</v>
      </c>
      <c r="R84" s="835"/>
      <c r="S84" s="841" t="s">
        <v>6</v>
      </c>
      <c r="T84" s="842">
        <v>0.3</v>
      </c>
      <c r="U84" s="843">
        <v>3.4</v>
      </c>
      <c r="V84" s="844">
        <v>3.4</v>
      </c>
      <c r="W84" s="842">
        <v>0.3</v>
      </c>
      <c r="X84" s="843">
        <v>3.4</v>
      </c>
      <c r="Y84" s="844">
        <v>3.4</v>
      </c>
      <c r="Z84" s="842">
        <v>3.4</v>
      </c>
      <c r="AA84" s="844">
        <v>3.4</v>
      </c>
      <c r="AB84" s="842">
        <v>0.3</v>
      </c>
      <c r="AC84" s="843">
        <v>3.6</v>
      </c>
      <c r="AD84" s="844">
        <v>3.6</v>
      </c>
      <c r="AE84" s="824">
        <v>1.7</v>
      </c>
      <c r="AG84" s="834" t="s">
        <v>357</v>
      </c>
      <c r="AH84" s="835"/>
      <c r="AI84" s="841" t="s">
        <v>6</v>
      </c>
      <c r="AJ84" s="842">
        <v>0.3</v>
      </c>
      <c r="AK84" s="843">
        <v>3.1</v>
      </c>
      <c r="AL84" s="844">
        <v>3.1</v>
      </c>
      <c r="AM84" s="842">
        <v>0.3</v>
      </c>
      <c r="AN84" s="843">
        <v>3.1</v>
      </c>
      <c r="AO84" s="844">
        <v>3.1</v>
      </c>
      <c r="AP84" s="842">
        <v>3.1</v>
      </c>
      <c r="AQ84" s="844">
        <v>3.1</v>
      </c>
      <c r="AR84" s="842">
        <v>0.3</v>
      </c>
      <c r="AS84" s="843">
        <v>3.3</v>
      </c>
      <c r="AT84" s="844">
        <v>3.3</v>
      </c>
      <c r="AU84" s="824">
        <v>1.5</v>
      </c>
      <c r="AW84" s="834" t="s">
        <v>357</v>
      </c>
      <c r="AX84" s="835"/>
      <c r="AY84" s="841" t="s">
        <v>6</v>
      </c>
      <c r="AZ84" s="842">
        <v>0.3</v>
      </c>
      <c r="BA84" s="843">
        <v>3.7</v>
      </c>
      <c r="BB84" s="844">
        <v>3.7</v>
      </c>
      <c r="BC84" s="842">
        <v>0.3</v>
      </c>
      <c r="BD84" s="843">
        <v>3.7</v>
      </c>
      <c r="BE84" s="844">
        <v>3.7</v>
      </c>
      <c r="BF84" s="842">
        <v>3.7</v>
      </c>
      <c r="BG84" s="844">
        <v>3.7</v>
      </c>
      <c r="BH84" s="842">
        <v>0.3</v>
      </c>
      <c r="BI84" s="843">
        <v>3.9</v>
      </c>
      <c r="BJ84" s="844">
        <v>3.9</v>
      </c>
      <c r="BK84" s="824">
        <v>1.8</v>
      </c>
      <c r="BM84" s="834" t="s">
        <v>357</v>
      </c>
      <c r="BN84" s="835"/>
      <c r="BO84" s="841" t="s">
        <v>6</v>
      </c>
      <c r="BP84" s="842">
        <v>0.4</v>
      </c>
      <c r="BQ84" s="843">
        <v>4</v>
      </c>
      <c r="BR84" s="844">
        <v>4</v>
      </c>
      <c r="BS84" s="842">
        <v>0.4</v>
      </c>
      <c r="BT84" s="843">
        <v>4</v>
      </c>
      <c r="BU84" s="844">
        <v>4</v>
      </c>
      <c r="BV84" s="842">
        <v>4</v>
      </c>
      <c r="BW84" s="844">
        <v>4</v>
      </c>
      <c r="BX84" s="842">
        <v>0.4</v>
      </c>
      <c r="BY84" s="843">
        <v>4.3</v>
      </c>
      <c r="BZ84" s="844">
        <v>4.3</v>
      </c>
      <c r="CA84" s="824">
        <v>1.9</v>
      </c>
      <c r="CC84" s="834" t="s">
        <v>357</v>
      </c>
      <c r="CD84" s="835"/>
      <c r="CE84" s="841" t="s">
        <v>6</v>
      </c>
      <c r="CF84" s="842">
        <v>0.4</v>
      </c>
      <c r="CG84" s="843">
        <v>4.3</v>
      </c>
      <c r="CH84" s="844">
        <v>4.3</v>
      </c>
      <c r="CI84" s="842">
        <v>0.4</v>
      </c>
      <c r="CJ84" s="843">
        <v>4.3</v>
      </c>
      <c r="CK84" s="844">
        <v>4.3</v>
      </c>
      <c r="CL84" s="842">
        <v>4.3</v>
      </c>
      <c r="CM84" s="844">
        <v>4.3</v>
      </c>
      <c r="CN84" s="842">
        <v>0.4</v>
      </c>
      <c r="CO84" s="843">
        <v>4.5999999999999996</v>
      </c>
      <c r="CP84" s="844">
        <v>4.5999999999999996</v>
      </c>
      <c r="CQ84" s="824">
        <v>2.1</v>
      </c>
      <c r="CS84" s="834" t="s">
        <v>357</v>
      </c>
      <c r="CT84" s="835"/>
      <c r="CU84" s="841" t="s">
        <v>6</v>
      </c>
      <c r="CV84" s="842">
        <v>0.4</v>
      </c>
      <c r="CW84" s="843">
        <v>4.7</v>
      </c>
      <c r="CX84" s="844">
        <v>4.7</v>
      </c>
      <c r="CY84" s="842">
        <v>0.4</v>
      </c>
      <c r="CZ84" s="843">
        <v>4.7</v>
      </c>
      <c r="DA84" s="844">
        <v>4.7</v>
      </c>
      <c r="DB84" s="842">
        <v>4.7</v>
      </c>
      <c r="DC84" s="844">
        <v>4.7</v>
      </c>
      <c r="DD84" s="842">
        <v>0.4</v>
      </c>
      <c r="DE84" s="843">
        <v>4.9000000000000004</v>
      </c>
      <c r="DF84" s="844">
        <v>4.9000000000000004</v>
      </c>
      <c r="DG84" s="824">
        <v>2.2999999999999998</v>
      </c>
      <c r="DI84" s="834" t="s">
        <v>357</v>
      </c>
      <c r="DJ84" s="835"/>
      <c r="DK84" s="841" t="s">
        <v>6</v>
      </c>
      <c r="DL84" s="842">
        <v>0.5</v>
      </c>
      <c r="DM84" s="843">
        <v>5</v>
      </c>
      <c r="DN84" s="844">
        <v>5</v>
      </c>
      <c r="DO84" s="842">
        <v>0.5</v>
      </c>
      <c r="DP84" s="843">
        <v>5</v>
      </c>
      <c r="DQ84" s="844">
        <v>5</v>
      </c>
      <c r="DR84" s="842">
        <v>5</v>
      </c>
      <c r="DS84" s="844">
        <v>5</v>
      </c>
      <c r="DT84" s="842">
        <v>0.5</v>
      </c>
      <c r="DU84" s="843">
        <v>5.3</v>
      </c>
      <c r="DV84" s="844">
        <v>5.3</v>
      </c>
      <c r="DW84" s="824">
        <v>2.4</v>
      </c>
      <c r="DY84" s="834" t="s">
        <v>357</v>
      </c>
      <c r="DZ84" s="835"/>
      <c r="EA84" s="841" t="s">
        <v>6</v>
      </c>
      <c r="EB84" s="842">
        <v>0.5</v>
      </c>
      <c r="EC84" s="843">
        <v>5.4</v>
      </c>
      <c r="ED84" s="844">
        <v>5.4</v>
      </c>
      <c r="EE84" s="842">
        <v>0.5</v>
      </c>
      <c r="EF84" s="843">
        <v>5.4</v>
      </c>
      <c r="EG84" s="844">
        <v>5.4</v>
      </c>
      <c r="EH84" s="842">
        <v>5.4</v>
      </c>
      <c r="EI84" s="844">
        <v>5.4</v>
      </c>
      <c r="EJ84" s="842">
        <v>0.5</v>
      </c>
      <c r="EK84" s="843">
        <v>5.7</v>
      </c>
      <c r="EL84" s="844">
        <v>5.7</v>
      </c>
      <c r="EM84" s="824">
        <v>2.6</v>
      </c>
    </row>
    <row r="85" spans="17:143" ht="13.5" customHeight="1">
      <c r="Q85" s="834" t="s">
        <v>358</v>
      </c>
      <c r="R85" s="835"/>
      <c r="S85" s="841" t="s">
        <v>6</v>
      </c>
      <c r="T85" s="842">
        <v>9.6999999999999993</v>
      </c>
      <c r="U85" s="843">
        <v>27.1</v>
      </c>
      <c r="V85" s="844">
        <v>35.799999999999997</v>
      </c>
      <c r="W85" s="842">
        <v>4.5</v>
      </c>
      <c r="X85" s="843">
        <v>6.6</v>
      </c>
      <c r="Y85" s="844">
        <v>8.5</v>
      </c>
      <c r="Z85" s="842">
        <v>4.9000000000000004</v>
      </c>
      <c r="AA85" s="844">
        <v>6.7</v>
      </c>
      <c r="AB85" s="842">
        <v>1.2</v>
      </c>
      <c r="AC85" s="843">
        <v>1.2</v>
      </c>
      <c r="AD85" s="844">
        <v>1.4</v>
      </c>
      <c r="AE85" s="824">
        <v>2.4</v>
      </c>
      <c r="AG85" s="834" t="s">
        <v>358</v>
      </c>
      <c r="AH85" s="835"/>
      <c r="AI85" s="841" t="s">
        <v>6</v>
      </c>
      <c r="AJ85" s="842">
        <v>5.2</v>
      </c>
      <c r="AK85" s="843">
        <v>11.9</v>
      </c>
      <c r="AL85" s="844">
        <v>14.4</v>
      </c>
      <c r="AM85" s="842">
        <v>2.4</v>
      </c>
      <c r="AN85" s="843">
        <v>3</v>
      </c>
      <c r="AO85" s="844">
        <v>3.6</v>
      </c>
      <c r="AP85" s="842">
        <v>2.2999999999999998</v>
      </c>
      <c r="AQ85" s="844">
        <v>2.9</v>
      </c>
      <c r="AR85" s="842">
        <v>0.6</v>
      </c>
      <c r="AS85" s="843">
        <v>0.5</v>
      </c>
      <c r="AT85" s="844">
        <v>0.6</v>
      </c>
      <c r="AU85" s="824">
        <v>1.2</v>
      </c>
      <c r="AW85" s="834" t="s">
        <v>358</v>
      </c>
      <c r="AX85" s="835"/>
      <c r="AY85" s="841" t="s">
        <v>6</v>
      </c>
      <c r="AZ85" s="842">
        <v>5.3</v>
      </c>
      <c r="BA85" s="843">
        <v>9.4</v>
      </c>
      <c r="BB85" s="844">
        <v>10.7</v>
      </c>
      <c r="BC85" s="842">
        <v>2.4</v>
      </c>
      <c r="BD85" s="843">
        <v>2.8</v>
      </c>
      <c r="BE85" s="844">
        <v>3.2</v>
      </c>
      <c r="BF85" s="842">
        <v>2.2000000000000002</v>
      </c>
      <c r="BG85" s="844">
        <v>2.5</v>
      </c>
      <c r="BH85" s="842">
        <v>0.6</v>
      </c>
      <c r="BI85" s="843">
        <v>0.5</v>
      </c>
      <c r="BJ85" s="844">
        <v>0.5</v>
      </c>
      <c r="BK85" s="824">
        <v>1.1000000000000001</v>
      </c>
      <c r="BM85" s="834" t="s">
        <v>358</v>
      </c>
      <c r="BN85" s="835"/>
      <c r="BO85" s="841" t="s">
        <v>6</v>
      </c>
      <c r="BP85" s="842">
        <v>5.6</v>
      </c>
      <c r="BQ85" s="843">
        <v>8.6</v>
      </c>
      <c r="BR85" s="844">
        <v>9.1999999999999993</v>
      </c>
      <c r="BS85" s="842">
        <v>2.5</v>
      </c>
      <c r="BT85" s="843">
        <v>2.9</v>
      </c>
      <c r="BU85" s="844">
        <v>3.3</v>
      </c>
      <c r="BV85" s="842">
        <v>2.2999999999999998</v>
      </c>
      <c r="BW85" s="844">
        <v>2.6</v>
      </c>
      <c r="BX85" s="842">
        <v>0.7</v>
      </c>
      <c r="BY85" s="843">
        <v>0.5</v>
      </c>
      <c r="BZ85" s="844">
        <v>0.6</v>
      </c>
      <c r="CA85" s="824">
        <v>1.2</v>
      </c>
      <c r="CC85" s="834" t="s">
        <v>358</v>
      </c>
      <c r="CD85" s="835"/>
      <c r="CE85" s="841" t="s">
        <v>6</v>
      </c>
      <c r="CF85" s="842">
        <v>5.7</v>
      </c>
      <c r="CG85" s="843">
        <v>7.4</v>
      </c>
      <c r="CH85" s="844">
        <v>7.4</v>
      </c>
      <c r="CI85" s="842">
        <v>2.7</v>
      </c>
      <c r="CJ85" s="843">
        <v>3</v>
      </c>
      <c r="CK85" s="844">
        <v>3.2</v>
      </c>
      <c r="CL85" s="842">
        <v>2.5</v>
      </c>
      <c r="CM85" s="844">
        <v>2.8</v>
      </c>
      <c r="CN85" s="842">
        <v>0.8</v>
      </c>
      <c r="CO85" s="843">
        <v>0.7</v>
      </c>
      <c r="CP85" s="844">
        <v>0.8</v>
      </c>
      <c r="CQ85" s="824">
        <v>1.3</v>
      </c>
      <c r="CS85" s="834" t="s">
        <v>358</v>
      </c>
      <c r="CT85" s="835"/>
      <c r="CU85" s="841" t="s">
        <v>6</v>
      </c>
      <c r="CV85" s="842">
        <v>6.4</v>
      </c>
      <c r="CW85" s="843">
        <v>9.4</v>
      </c>
      <c r="CX85" s="844">
        <v>9.9</v>
      </c>
      <c r="CY85" s="842">
        <v>2.9</v>
      </c>
      <c r="CZ85" s="843">
        <v>3.3</v>
      </c>
      <c r="DA85" s="844">
        <v>3.7</v>
      </c>
      <c r="DB85" s="842">
        <v>2.6</v>
      </c>
      <c r="DC85" s="844">
        <v>2.9</v>
      </c>
      <c r="DD85" s="842">
        <v>0.8</v>
      </c>
      <c r="DE85" s="843">
        <v>0.6</v>
      </c>
      <c r="DF85" s="844">
        <v>0.6</v>
      </c>
      <c r="DG85" s="824">
        <v>1.3</v>
      </c>
      <c r="DI85" s="834" t="s">
        <v>358</v>
      </c>
      <c r="DJ85" s="835"/>
      <c r="DK85" s="841" t="s">
        <v>6</v>
      </c>
      <c r="DL85" s="842">
        <v>6.9</v>
      </c>
      <c r="DM85" s="843">
        <v>10.199999999999999</v>
      </c>
      <c r="DN85" s="844">
        <v>10.8</v>
      </c>
      <c r="DO85" s="842">
        <v>3.1</v>
      </c>
      <c r="DP85" s="843">
        <v>3.6</v>
      </c>
      <c r="DQ85" s="844">
        <v>4</v>
      </c>
      <c r="DR85" s="842">
        <v>2.8</v>
      </c>
      <c r="DS85" s="844">
        <v>3.1</v>
      </c>
      <c r="DT85" s="842">
        <v>0.8</v>
      </c>
      <c r="DU85" s="843">
        <v>0.7</v>
      </c>
      <c r="DV85" s="844">
        <v>0.7</v>
      </c>
      <c r="DW85" s="824">
        <v>1.4</v>
      </c>
      <c r="DY85" s="834" t="s">
        <v>358</v>
      </c>
      <c r="DZ85" s="835"/>
      <c r="EA85" s="841" t="s">
        <v>6</v>
      </c>
      <c r="EB85" s="842">
        <v>7.4</v>
      </c>
      <c r="EC85" s="843">
        <v>11</v>
      </c>
      <c r="ED85" s="844">
        <v>11.7</v>
      </c>
      <c r="EE85" s="842">
        <v>3.4</v>
      </c>
      <c r="EF85" s="843">
        <v>3.9</v>
      </c>
      <c r="EG85" s="844">
        <v>4.3</v>
      </c>
      <c r="EH85" s="842">
        <v>3</v>
      </c>
      <c r="EI85" s="844">
        <v>3.4</v>
      </c>
      <c r="EJ85" s="842">
        <v>0.9</v>
      </c>
      <c r="EK85" s="843">
        <v>0.7</v>
      </c>
      <c r="EL85" s="844">
        <v>0.7</v>
      </c>
      <c r="EM85" s="824">
        <v>1.5</v>
      </c>
    </row>
    <row r="86" spans="17:143" ht="13.5" customHeight="1">
      <c r="Q86" s="834" t="s">
        <v>359</v>
      </c>
      <c r="R86" s="835"/>
      <c r="S86" s="841" t="s">
        <v>6</v>
      </c>
      <c r="T86" s="842">
        <v>10.3</v>
      </c>
      <c r="U86" s="843">
        <v>12.5</v>
      </c>
      <c r="V86" s="844">
        <v>15.1</v>
      </c>
      <c r="W86" s="842">
        <v>10.8</v>
      </c>
      <c r="X86" s="843">
        <v>10.6</v>
      </c>
      <c r="Y86" s="844">
        <v>10.6</v>
      </c>
      <c r="Z86" s="842">
        <v>9.3000000000000007</v>
      </c>
      <c r="AA86" s="844">
        <v>9.4</v>
      </c>
      <c r="AB86" s="842">
        <v>1.9</v>
      </c>
      <c r="AC86" s="843">
        <v>1.9</v>
      </c>
      <c r="AD86" s="844">
        <v>2.4</v>
      </c>
      <c r="AE86" s="824">
        <v>4</v>
      </c>
      <c r="AG86" s="834" t="s">
        <v>359</v>
      </c>
      <c r="AH86" s="835"/>
      <c r="AI86" s="841" t="s">
        <v>6</v>
      </c>
      <c r="AJ86" s="842">
        <v>9.5</v>
      </c>
      <c r="AK86" s="843">
        <v>11.4</v>
      </c>
      <c r="AL86" s="844">
        <v>13.9</v>
      </c>
      <c r="AM86" s="842">
        <v>9.9</v>
      </c>
      <c r="AN86" s="843">
        <v>9.8000000000000007</v>
      </c>
      <c r="AO86" s="844">
        <v>9.8000000000000007</v>
      </c>
      <c r="AP86" s="842">
        <v>8.5</v>
      </c>
      <c r="AQ86" s="844">
        <v>8.6</v>
      </c>
      <c r="AR86" s="842">
        <v>1.8</v>
      </c>
      <c r="AS86" s="843">
        <v>1.8</v>
      </c>
      <c r="AT86" s="844">
        <v>2.2999999999999998</v>
      </c>
      <c r="AU86" s="824">
        <v>3.6</v>
      </c>
      <c r="AW86" s="834" t="s">
        <v>359</v>
      </c>
      <c r="AX86" s="835"/>
      <c r="AY86" s="841" t="s">
        <v>6</v>
      </c>
      <c r="AZ86" s="842">
        <v>11.2</v>
      </c>
      <c r="BA86" s="843">
        <v>13.5</v>
      </c>
      <c r="BB86" s="844">
        <v>16.3</v>
      </c>
      <c r="BC86" s="842">
        <v>11.6</v>
      </c>
      <c r="BD86" s="843">
        <v>11.5</v>
      </c>
      <c r="BE86" s="844">
        <v>11.5</v>
      </c>
      <c r="BF86" s="842">
        <v>10</v>
      </c>
      <c r="BG86" s="844">
        <v>10.1</v>
      </c>
      <c r="BH86" s="842">
        <v>2.1</v>
      </c>
      <c r="BI86" s="843">
        <v>2.1</v>
      </c>
      <c r="BJ86" s="844">
        <v>2.6</v>
      </c>
      <c r="BK86" s="824">
        <v>4.3</v>
      </c>
      <c r="BM86" s="834" t="s">
        <v>359</v>
      </c>
      <c r="BN86" s="835"/>
      <c r="BO86" s="841" t="s">
        <v>6</v>
      </c>
      <c r="BP86" s="842">
        <v>12.2</v>
      </c>
      <c r="BQ86" s="843">
        <v>14.7</v>
      </c>
      <c r="BR86" s="844">
        <v>17.8</v>
      </c>
      <c r="BS86" s="842">
        <v>12.7</v>
      </c>
      <c r="BT86" s="843">
        <v>12.5</v>
      </c>
      <c r="BU86" s="844">
        <v>12.5</v>
      </c>
      <c r="BV86" s="842">
        <v>10.9</v>
      </c>
      <c r="BW86" s="844">
        <v>11</v>
      </c>
      <c r="BX86" s="842">
        <v>2.2999999999999998</v>
      </c>
      <c r="BY86" s="843">
        <v>2.2999999999999998</v>
      </c>
      <c r="BZ86" s="844">
        <v>2.9</v>
      </c>
      <c r="CA86" s="824">
        <v>4.5999999999999996</v>
      </c>
      <c r="CC86" s="834" t="s">
        <v>359</v>
      </c>
      <c r="CD86" s="835"/>
      <c r="CE86" s="841" t="s">
        <v>6</v>
      </c>
      <c r="CF86" s="842">
        <v>13.1</v>
      </c>
      <c r="CG86" s="843">
        <v>15.8</v>
      </c>
      <c r="CH86" s="844">
        <v>19.2</v>
      </c>
      <c r="CI86" s="842">
        <v>13.6</v>
      </c>
      <c r="CJ86" s="843">
        <v>13.5</v>
      </c>
      <c r="CK86" s="844">
        <v>13.5</v>
      </c>
      <c r="CL86" s="842">
        <v>11.8</v>
      </c>
      <c r="CM86" s="844">
        <v>11.9</v>
      </c>
      <c r="CN86" s="842">
        <v>2.4</v>
      </c>
      <c r="CO86" s="843">
        <v>2.4</v>
      </c>
      <c r="CP86" s="844">
        <v>3.1</v>
      </c>
      <c r="CQ86" s="824">
        <v>5</v>
      </c>
      <c r="CS86" s="834" t="s">
        <v>359</v>
      </c>
      <c r="CT86" s="835"/>
      <c r="CU86" s="841" t="s">
        <v>6</v>
      </c>
      <c r="CV86" s="842">
        <v>14.1</v>
      </c>
      <c r="CW86" s="843">
        <v>17</v>
      </c>
      <c r="CX86" s="844">
        <v>20.7</v>
      </c>
      <c r="CY86" s="842">
        <v>14.7</v>
      </c>
      <c r="CZ86" s="843">
        <v>14.5</v>
      </c>
      <c r="DA86" s="844">
        <v>14.5</v>
      </c>
      <c r="DB86" s="842">
        <v>12.7</v>
      </c>
      <c r="DC86" s="844">
        <v>12.8</v>
      </c>
      <c r="DD86" s="842">
        <v>2.6</v>
      </c>
      <c r="DE86" s="843">
        <v>2.6</v>
      </c>
      <c r="DF86" s="844">
        <v>3.3</v>
      </c>
      <c r="DG86" s="824">
        <v>5.4</v>
      </c>
      <c r="DI86" s="834" t="s">
        <v>359</v>
      </c>
      <c r="DJ86" s="835"/>
      <c r="DK86" s="841" t="s">
        <v>6</v>
      </c>
      <c r="DL86" s="842">
        <v>15.1</v>
      </c>
      <c r="DM86" s="843">
        <v>18.3</v>
      </c>
      <c r="DN86" s="844">
        <v>22.2</v>
      </c>
      <c r="DO86" s="842">
        <v>15.8</v>
      </c>
      <c r="DP86" s="843">
        <v>15.6</v>
      </c>
      <c r="DQ86" s="844">
        <v>15.6</v>
      </c>
      <c r="DR86" s="842">
        <v>13.6</v>
      </c>
      <c r="DS86" s="844">
        <v>13.7</v>
      </c>
      <c r="DT86" s="842">
        <v>2.8</v>
      </c>
      <c r="DU86" s="843">
        <v>2.8</v>
      </c>
      <c r="DV86" s="844">
        <v>3.6</v>
      </c>
      <c r="DW86" s="824">
        <v>5.7</v>
      </c>
      <c r="DY86" s="834" t="s">
        <v>359</v>
      </c>
      <c r="DZ86" s="835"/>
      <c r="EA86" s="841" t="s">
        <v>6</v>
      </c>
      <c r="EB86" s="842">
        <v>16.2</v>
      </c>
      <c r="EC86" s="843">
        <v>19.600000000000001</v>
      </c>
      <c r="ED86" s="844">
        <v>23.8</v>
      </c>
      <c r="EE86" s="842">
        <v>16.899999999999999</v>
      </c>
      <c r="EF86" s="843">
        <v>16.7</v>
      </c>
      <c r="EG86" s="844">
        <v>16.7</v>
      </c>
      <c r="EH86" s="842">
        <v>14.6</v>
      </c>
      <c r="EI86" s="844">
        <v>14.7</v>
      </c>
      <c r="EJ86" s="842">
        <v>3</v>
      </c>
      <c r="EK86" s="843">
        <v>3</v>
      </c>
      <c r="EL86" s="844">
        <v>3.9</v>
      </c>
      <c r="EM86" s="824">
        <v>6.1</v>
      </c>
    </row>
    <row r="87" spans="17:143" ht="13.5" customHeight="1">
      <c r="Q87" s="834" t="s">
        <v>360</v>
      </c>
      <c r="R87" s="835"/>
      <c r="S87" s="841" t="s">
        <v>6</v>
      </c>
      <c r="T87" s="842">
        <v>14.1</v>
      </c>
      <c r="U87" s="843">
        <v>20.399999999999999</v>
      </c>
      <c r="V87" s="844">
        <v>25.8</v>
      </c>
      <c r="W87" s="842">
        <v>14.2</v>
      </c>
      <c r="X87" s="843">
        <v>18.3</v>
      </c>
      <c r="Y87" s="844">
        <v>21.6</v>
      </c>
      <c r="Z87" s="842">
        <v>17.3</v>
      </c>
      <c r="AA87" s="844">
        <v>21</v>
      </c>
      <c r="AB87" s="842">
        <v>14.1</v>
      </c>
      <c r="AC87" s="843">
        <v>14.6</v>
      </c>
      <c r="AD87" s="844">
        <v>15.8</v>
      </c>
      <c r="AE87" s="824">
        <v>14.7</v>
      </c>
      <c r="AG87" s="834" t="s">
        <v>360</v>
      </c>
      <c r="AH87" s="835"/>
      <c r="AI87" s="841" t="s">
        <v>6</v>
      </c>
      <c r="AJ87" s="842">
        <v>12.6</v>
      </c>
      <c r="AK87" s="843">
        <v>18.8</v>
      </c>
      <c r="AL87" s="844">
        <v>23.5</v>
      </c>
      <c r="AM87" s="842">
        <v>12.8</v>
      </c>
      <c r="AN87" s="843">
        <v>16.600000000000001</v>
      </c>
      <c r="AO87" s="844">
        <v>19.5</v>
      </c>
      <c r="AP87" s="842">
        <v>15.7</v>
      </c>
      <c r="AQ87" s="844">
        <v>19</v>
      </c>
      <c r="AR87" s="842">
        <v>12.7</v>
      </c>
      <c r="AS87" s="843">
        <v>13.1</v>
      </c>
      <c r="AT87" s="844">
        <v>14.2</v>
      </c>
      <c r="AU87" s="824">
        <v>13.2</v>
      </c>
      <c r="AW87" s="834" t="s">
        <v>360</v>
      </c>
      <c r="AX87" s="835"/>
      <c r="AY87" s="841" t="s">
        <v>6</v>
      </c>
      <c r="AZ87" s="842">
        <v>13.2</v>
      </c>
      <c r="BA87" s="843">
        <v>20.100000000000001</v>
      </c>
      <c r="BB87" s="844">
        <v>24.7</v>
      </c>
      <c r="BC87" s="842">
        <v>13.3</v>
      </c>
      <c r="BD87" s="843">
        <v>17.399999999999999</v>
      </c>
      <c r="BE87" s="844">
        <v>20.399999999999999</v>
      </c>
      <c r="BF87" s="842">
        <v>16.5</v>
      </c>
      <c r="BG87" s="844">
        <v>19.8</v>
      </c>
      <c r="BH87" s="842">
        <v>13.2</v>
      </c>
      <c r="BI87" s="843">
        <v>13.6</v>
      </c>
      <c r="BJ87" s="844">
        <v>14.8</v>
      </c>
      <c r="BK87" s="824">
        <v>13.8</v>
      </c>
      <c r="BM87" s="834" t="s">
        <v>360</v>
      </c>
      <c r="BN87" s="835"/>
      <c r="BO87" s="841" t="s">
        <v>6</v>
      </c>
      <c r="BP87" s="842">
        <v>13.9</v>
      </c>
      <c r="BQ87" s="843">
        <v>21.8</v>
      </c>
      <c r="BR87" s="844">
        <v>26.4</v>
      </c>
      <c r="BS87" s="842">
        <v>14.1</v>
      </c>
      <c r="BT87" s="843">
        <v>18.7</v>
      </c>
      <c r="BU87" s="844">
        <v>21.8</v>
      </c>
      <c r="BV87" s="842">
        <v>17.600000000000001</v>
      </c>
      <c r="BW87" s="844">
        <v>21.1</v>
      </c>
      <c r="BX87" s="842">
        <v>14</v>
      </c>
      <c r="BY87" s="843">
        <v>14.5</v>
      </c>
      <c r="BZ87" s="844">
        <v>15.7</v>
      </c>
      <c r="CA87" s="824">
        <v>14.7</v>
      </c>
      <c r="CC87" s="834" t="s">
        <v>360</v>
      </c>
      <c r="CD87" s="835"/>
      <c r="CE87" s="841" t="s">
        <v>6</v>
      </c>
      <c r="CF87" s="842">
        <v>14.7</v>
      </c>
      <c r="CG87" s="843">
        <v>23.5</v>
      </c>
      <c r="CH87" s="844">
        <v>28</v>
      </c>
      <c r="CI87" s="842">
        <v>14.9</v>
      </c>
      <c r="CJ87" s="843">
        <v>19.899999999999999</v>
      </c>
      <c r="CK87" s="844">
        <v>23</v>
      </c>
      <c r="CL87" s="842">
        <v>18.7</v>
      </c>
      <c r="CM87" s="844">
        <v>22.2</v>
      </c>
      <c r="CN87" s="842">
        <v>14.8</v>
      </c>
      <c r="CO87" s="843">
        <v>15.2</v>
      </c>
      <c r="CP87" s="844">
        <v>16.600000000000001</v>
      </c>
      <c r="CQ87" s="824">
        <v>15.5</v>
      </c>
      <c r="CS87" s="834" t="s">
        <v>360</v>
      </c>
      <c r="CT87" s="835"/>
      <c r="CU87" s="841" t="s">
        <v>6</v>
      </c>
      <c r="CV87" s="842">
        <v>15.5</v>
      </c>
      <c r="CW87" s="843">
        <v>25.2</v>
      </c>
      <c r="CX87" s="844">
        <v>29.8</v>
      </c>
      <c r="CY87" s="842">
        <v>15.7</v>
      </c>
      <c r="CZ87" s="843">
        <v>21.2</v>
      </c>
      <c r="DA87" s="844">
        <v>24.4</v>
      </c>
      <c r="DB87" s="842">
        <v>19.899999999999999</v>
      </c>
      <c r="DC87" s="844">
        <v>23.4</v>
      </c>
      <c r="DD87" s="842">
        <v>15.6</v>
      </c>
      <c r="DE87" s="843">
        <v>16</v>
      </c>
      <c r="DF87" s="844">
        <v>17.5</v>
      </c>
      <c r="DG87" s="824">
        <v>16.3</v>
      </c>
      <c r="DI87" s="834" t="s">
        <v>360</v>
      </c>
      <c r="DJ87" s="835"/>
      <c r="DK87" s="841" t="s">
        <v>6</v>
      </c>
      <c r="DL87" s="842">
        <v>16.399999999999999</v>
      </c>
      <c r="DM87" s="843">
        <v>27.2</v>
      </c>
      <c r="DN87" s="844">
        <v>31.8</v>
      </c>
      <c r="DO87" s="842">
        <v>16.7</v>
      </c>
      <c r="DP87" s="843">
        <v>22.6</v>
      </c>
      <c r="DQ87" s="844">
        <v>25.9</v>
      </c>
      <c r="DR87" s="842">
        <v>21.2</v>
      </c>
      <c r="DS87" s="844">
        <v>24.8</v>
      </c>
      <c r="DT87" s="842">
        <v>16.600000000000001</v>
      </c>
      <c r="DU87" s="843">
        <v>17</v>
      </c>
      <c r="DV87" s="844">
        <v>18.5</v>
      </c>
      <c r="DW87" s="824">
        <v>17.399999999999999</v>
      </c>
      <c r="DY87" s="834" t="s">
        <v>360</v>
      </c>
      <c r="DZ87" s="835"/>
      <c r="EA87" s="841" t="s">
        <v>6</v>
      </c>
      <c r="EB87" s="842">
        <v>17.600000000000001</v>
      </c>
      <c r="EC87" s="843">
        <v>29.5</v>
      </c>
      <c r="ED87" s="844">
        <v>34.200000000000003</v>
      </c>
      <c r="EE87" s="842">
        <v>18</v>
      </c>
      <c r="EF87" s="843">
        <v>24.5</v>
      </c>
      <c r="EG87" s="844">
        <v>27.9</v>
      </c>
      <c r="EH87" s="842">
        <v>23</v>
      </c>
      <c r="EI87" s="844">
        <v>26.6</v>
      </c>
      <c r="EJ87" s="842">
        <v>17.8</v>
      </c>
      <c r="EK87" s="843">
        <v>18.2</v>
      </c>
      <c r="EL87" s="844">
        <v>19.8</v>
      </c>
      <c r="EM87" s="824">
        <v>18.7</v>
      </c>
    </row>
    <row r="88" spans="17:143" ht="13.5" customHeight="1">
      <c r="Q88" s="834" t="s">
        <v>361</v>
      </c>
      <c r="R88" s="819"/>
      <c r="S88" s="845" t="s">
        <v>6</v>
      </c>
      <c r="T88" s="846">
        <v>-21.1</v>
      </c>
      <c r="U88" s="847">
        <v>-30.6</v>
      </c>
      <c r="V88" s="848">
        <v>-38.799999999999997</v>
      </c>
      <c r="W88" s="846">
        <v>-21.3</v>
      </c>
      <c r="X88" s="847">
        <v>-27.5</v>
      </c>
      <c r="Y88" s="848">
        <v>-32.4</v>
      </c>
      <c r="Z88" s="846">
        <v>-26</v>
      </c>
      <c r="AA88" s="848">
        <v>-31.5</v>
      </c>
      <c r="AB88" s="846">
        <v>-21.1</v>
      </c>
      <c r="AC88" s="847">
        <v>-21.9</v>
      </c>
      <c r="AD88" s="848">
        <v>-23.7</v>
      </c>
      <c r="AE88" s="849">
        <v>-22</v>
      </c>
      <c r="AG88" s="834" t="s">
        <v>361</v>
      </c>
      <c r="AH88" s="819"/>
      <c r="AI88" s="845" t="s">
        <v>6</v>
      </c>
      <c r="AJ88" s="846">
        <v>-17.899999999999999</v>
      </c>
      <c r="AK88" s="847">
        <v>-26.6</v>
      </c>
      <c r="AL88" s="848">
        <v>-33.299999999999997</v>
      </c>
      <c r="AM88" s="846">
        <v>-18.100000000000001</v>
      </c>
      <c r="AN88" s="847">
        <v>-23.5</v>
      </c>
      <c r="AO88" s="848">
        <v>-27.6</v>
      </c>
      <c r="AP88" s="846">
        <v>-22.2</v>
      </c>
      <c r="AQ88" s="848">
        <v>-26.9</v>
      </c>
      <c r="AR88" s="846">
        <v>-17.899999999999999</v>
      </c>
      <c r="AS88" s="847">
        <v>-18.5</v>
      </c>
      <c r="AT88" s="848">
        <v>-20.100000000000001</v>
      </c>
      <c r="AU88" s="849">
        <v>-18.7</v>
      </c>
      <c r="AW88" s="834" t="s">
        <v>361</v>
      </c>
      <c r="AX88" s="819"/>
      <c r="AY88" s="845" t="s">
        <v>6</v>
      </c>
      <c r="AZ88" s="846">
        <v>-18.2</v>
      </c>
      <c r="BA88" s="847">
        <v>-27.8</v>
      </c>
      <c r="BB88" s="848">
        <v>-34.200000000000003</v>
      </c>
      <c r="BC88" s="846">
        <v>-18.399999999999999</v>
      </c>
      <c r="BD88" s="847">
        <v>-24.1</v>
      </c>
      <c r="BE88" s="848">
        <v>-28.3</v>
      </c>
      <c r="BF88" s="846">
        <v>-22.8</v>
      </c>
      <c r="BG88" s="848">
        <v>-27.4</v>
      </c>
      <c r="BH88" s="846">
        <v>-18.3</v>
      </c>
      <c r="BI88" s="847">
        <v>-18.899999999999999</v>
      </c>
      <c r="BJ88" s="848">
        <v>-20.5</v>
      </c>
      <c r="BK88" s="849">
        <v>-19.100000000000001</v>
      </c>
      <c r="BM88" s="834" t="s">
        <v>361</v>
      </c>
      <c r="BN88" s="819"/>
      <c r="BO88" s="845" t="s">
        <v>6</v>
      </c>
      <c r="BP88" s="846">
        <v>-18.8</v>
      </c>
      <c r="BQ88" s="847">
        <v>-29.4</v>
      </c>
      <c r="BR88" s="848">
        <v>-35.6</v>
      </c>
      <c r="BS88" s="846">
        <v>-19.100000000000001</v>
      </c>
      <c r="BT88" s="847">
        <v>-25.2</v>
      </c>
      <c r="BU88" s="848">
        <v>-29.4</v>
      </c>
      <c r="BV88" s="846">
        <v>-23.8</v>
      </c>
      <c r="BW88" s="848">
        <v>-28.4</v>
      </c>
      <c r="BX88" s="846">
        <v>-18.899999999999999</v>
      </c>
      <c r="BY88" s="847">
        <v>-19.5</v>
      </c>
      <c r="BZ88" s="848">
        <v>-21.3</v>
      </c>
      <c r="CA88" s="849">
        <v>-19.8</v>
      </c>
      <c r="CC88" s="834" t="s">
        <v>361</v>
      </c>
      <c r="CD88" s="819"/>
      <c r="CE88" s="845" t="s">
        <v>6</v>
      </c>
      <c r="CF88" s="846">
        <v>-19.3</v>
      </c>
      <c r="CG88" s="847">
        <v>-30.9</v>
      </c>
      <c r="CH88" s="848">
        <v>-36.799999999999997</v>
      </c>
      <c r="CI88" s="846">
        <v>-19.600000000000001</v>
      </c>
      <c r="CJ88" s="847">
        <v>-26.1</v>
      </c>
      <c r="CK88" s="848">
        <v>-30.3</v>
      </c>
      <c r="CL88" s="846">
        <v>-24.6</v>
      </c>
      <c r="CM88" s="848">
        <v>-29.2</v>
      </c>
      <c r="CN88" s="846">
        <v>-19.399999999999999</v>
      </c>
      <c r="CO88" s="847">
        <v>-20</v>
      </c>
      <c r="CP88" s="848">
        <v>-21.8</v>
      </c>
      <c r="CQ88" s="849">
        <v>-20.3</v>
      </c>
      <c r="CS88" s="834" t="s">
        <v>361</v>
      </c>
      <c r="CT88" s="819"/>
      <c r="CU88" s="845" t="s">
        <v>6</v>
      </c>
      <c r="CV88" s="846">
        <v>-18.899999999999999</v>
      </c>
      <c r="CW88" s="847">
        <v>-30.8</v>
      </c>
      <c r="CX88" s="848">
        <v>-36.299999999999997</v>
      </c>
      <c r="CY88" s="846">
        <v>-19.2</v>
      </c>
      <c r="CZ88" s="847">
        <v>-25.8</v>
      </c>
      <c r="DA88" s="848">
        <v>-29.7</v>
      </c>
      <c r="DB88" s="846">
        <v>-24.2</v>
      </c>
      <c r="DC88" s="848">
        <v>-28.5</v>
      </c>
      <c r="DD88" s="846">
        <v>-19</v>
      </c>
      <c r="DE88" s="847">
        <v>-19.600000000000001</v>
      </c>
      <c r="DF88" s="848">
        <v>-21.3</v>
      </c>
      <c r="DG88" s="849">
        <v>-19.899999999999999</v>
      </c>
      <c r="DI88" s="834" t="s">
        <v>361</v>
      </c>
      <c r="DJ88" s="819"/>
      <c r="DK88" s="845" t="s">
        <v>6</v>
      </c>
      <c r="DL88" s="846">
        <v>-18.600000000000001</v>
      </c>
      <c r="DM88" s="847">
        <v>-30.8</v>
      </c>
      <c r="DN88" s="848">
        <v>-36</v>
      </c>
      <c r="DO88" s="846">
        <v>-18.899999999999999</v>
      </c>
      <c r="DP88" s="847">
        <v>-25.6</v>
      </c>
      <c r="DQ88" s="848">
        <v>-29.3</v>
      </c>
      <c r="DR88" s="846">
        <v>-24</v>
      </c>
      <c r="DS88" s="848">
        <v>-28.1</v>
      </c>
      <c r="DT88" s="846">
        <v>-18.8</v>
      </c>
      <c r="DU88" s="847">
        <v>-19.2</v>
      </c>
      <c r="DV88" s="848">
        <v>-20.9</v>
      </c>
      <c r="DW88" s="849">
        <v>-19.600000000000001</v>
      </c>
      <c r="DY88" s="834" t="s">
        <v>361</v>
      </c>
      <c r="DZ88" s="819"/>
      <c r="EA88" s="845" t="s">
        <v>6</v>
      </c>
      <c r="EB88" s="846">
        <v>-18.5</v>
      </c>
      <c r="EC88" s="847">
        <v>-31</v>
      </c>
      <c r="ED88" s="848">
        <v>-36</v>
      </c>
      <c r="EE88" s="846">
        <v>-18.899999999999999</v>
      </c>
      <c r="EF88" s="847">
        <v>-25.8</v>
      </c>
      <c r="EG88" s="848">
        <v>-29.3</v>
      </c>
      <c r="EH88" s="846">
        <v>-24.2</v>
      </c>
      <c r="EI88" s="848">
        <v>-27.9</v>
      </c>
      <c r="EJ88" s="846">
        <v>-18.7</v>
      </c>
      <c r="EK88" s="847">
        <v>-19.2</v>
      </c>
      <c r="EL88" s="848">
        <v>-20.9</v>
      </c>
      <c r="EM88" s="849">
        <v>-19.600000000000001</v>
      </c>
    </row>
    <row r="89" spans="17:143" ht="13.5" customHeight="1" thickBot="1">
      <c r="Q89" s="850" t="s">
        <v>77</v>
      </c>
      <c r="R89" s="851"/>
      <c r="S89" s="852"/>
      <c r="T89" s="853">
        <v>31.5</v>
      </c>
      <c r="U89" s="854">
        <v>246.7</v>
      </c>
      <c r="V89" s="855">
        <v>188.6</v>
      </c>
      <c r="W89" s="853">
        <v>26.5</v>
      </c>
      <c r="X89" s="854">
        <v>116.9</v>
      </c>
      <c r="Y89" s="855">
        <v>146.5</v>
      </c>
      <c r="Z89" s="856">
        <v>60.9</v>
      </c>
      <c r="AA89" s="857">
        <v>136</v>
      </c>
      <c r="AB89" s="853">
        <v>9.8000000000000007</v>
      </c>
      <c r="AC89" s="854">
        <v>20.8</v>
      </c>
      <c r="AD89" s="855">
        <v>90.6</v>
      </c>
      <c r="AE89" s="858">
        <v>39.200000000000003</v>
      </c>
      <c r="AG89" s="850" t="s">
        <v>77</v>
      </c>
      <c r="AH89" s="851"/>
      <c r="AI89" s="852"/>
      <c r="AJ89" s="853">
        <v>23.6</v>
      </c>
      <c r="AK89" s="854">
        <v>265</v>
      </c>
      <c r="AL89" s="855">
        <v>171.2</v>
      </c>
      <c r="AM89" s="853">
        <v>25.8</v>
      </c>
      <c r="AN89" s="854">
        <v>123</v>
      </c>
      <c r="AO89" s="855">
        <v>142.80000000000001</v>
      </c>
      <c r="AP89" s="856">
        <v>62</v>
      </c>
      <c r="AQ89" s="857">
        <v>129.9</v>
      </c>
      <c r="AR89" s="853">
        <v>12.1</v>
      </c>
      <c r="AS89" s="854">
        <v>20.2</v>
      </c>
      <c r="AT89" s="855">
        <v>85.3</v>
      </c>
      <c r="AU89" s="858">
        <v>41.7</v>
      </c>
      <c r="AW89" s="850" t="s">
        <v>77</v>
      </c>
      <c r="AX89" s="851"/>
      <c r="AY89" s="852"/>
      <c r="AZ89" s="853">
        <v>29.1</v>
      </c>
      <c r="BA89" s="854">
        <v>306.5</v>
      </c>
      <c r="BB89" s="855">
        <v>190.9</v>
      </c>
      <c r="BC89" s="853">
        <v>31</v>
      </c>
      <c r="BD89" s="854">
        <v>141.30000000000001</v>
      </c>
      <c r="BE89" s="855">
        <v>165.1</v>
      </c>
      <c r="BF89" s="856">
        <v>72.7</v>
      </c>
      <c r="BG89" s="857">
        <v>148.4</v>
      </c>
      <c r="BH89" s="853">
        <v>15.3</v>
      </c>
      <c r="BI89" s="854">
        <v>23.6</v>
      </c>
      <c r="BJ89" s="855">
        <v>99.6</v>
      </c>
      <c r="BK89" s="858">
        <v>48.5</v>
      </c>
      <c r="BM89" s="850" t="s">
        <v>77</v>
      </c>
      <c r="BN89" s="851"/>
      <c r="BO89" s="852"/>
      <c r="BP89" s="853">
        <v>30.9</v>
      </c>
      <c r="BQ89" s="854">
        <v>357.3</v>
      </c>
      <c r="BR89" s="855">
        <v>208.4</v>
      </c>
      <c r="BS89" s="853">
        <v>37.9</v>
      </c>
      <c r="BT89" s="854">
        <v>161.6</v>
      </c>
      <c r="BU89" s="855">
        <v>182.5</v>
      </c>
      <c r="BV89" s="856">
        <v>82.9</v>
      </c>
      <c r="BW89" s="857">
        <v>161.6</v>
      </c>
      <c r="BX89" s="853">
        <v>20.399999999999999</v>
      </c>
      <c r="BY89" s="854">
        <v>26.8</v>
      </c>
      <c r="BZ89" s="855">
        <v>119.8</v>
      </c>
      <c r="CA89" s="858">
        <v>57.5</v>
      </c>
      <c r="CC89" s="850" t="s">
        <v>77</v>
      </c>
      <c r="CD89" s="851"/>
      <c r="CE89" s="852"/>
      <c r="CF89" s="853">
        <v>38.4</v>
      </c>
      <c r="CG89" s="854">
        <v>416.5</v>
      </c>
      <c r="CH89" s="855">
        <v>226.7</v>
      </c>
      <c r="CI89" s="853">
        <v>45.9</v>
      </c>
      <c r="CJ89" s="854">
        <v>187</v>
      </c>
      <c r="CK89" s="855">
        <v>200.6</v>
      </c>
      <c r="CL89" s="856">
        <v>95.7</v>
      </c>
      <c r="CM89" s="857">
        <v>175.1</v>
      </c>
      <c r="CN89" s="853">
        <v>28</v>
      </c>
      <c r="CO89" s="854">
        <v>30.6</v>
      </c>
      <c r="CP89" s="855">
        <v>116.9</v>
      </c>
      <c r="CQ89" s="858">
        <v>64.900000000000006</v>
      </c>
      <c r="CS89" s="850" t="s">
        <v>77</v>
      </c>
      <c r="CT89" s="851"/>
      <c r="CU89" s="852"/>
      <c r="CV89" s="853">
        <v>47.9</v>
      </c>
      <c r="CW89" s="854">
        <v>464.1</v>
      </c>
      <c r="CX89" s="855">
        <v>251.2</v>
      </c>
      <c r="CY89" s="853">
        <v>55.8</v>
      </c>
      <c r="CZ89" s="854">
        <v>218.5</v>
      </c>
      <c r="DA89" s="855">
        <v>222.2</v>
      </c>
      <c r="DB89" s="856">
        <v>109.7</v>
      </c>
      <c r="DC89" s="857">
        <v>190.8</v>
      </c>
      <c r="DD89" s="853">
        <v>36.5</v>
      </c>
      <c r="DE89" s="854">
        <v>35.4</v>
      </c>
      <c r="DF89" s="855">
        <v>139.80000000000001</v>
      </c>
      <c r="DG89" s="858">
        <v>76.400000000000006</v>
      </c>
      <c r="DI89" s="850" t="s">
        <v>77</v>
      </c>
      <c r="DJ89" s="851"/>
      <c r="DK89" s="852"/>
      <c r="DL89" s="853">
        <v>56.4</v>
      </c>
      <c r="DM89" s="854">
        <v>513.70000000000005</v>
      </c>
      <c r="DN89" s="855">
        <v>274</v>
      </c>
      <c r="DO89" s="853">
        <v>65.7</v>
      </c>
      <c r="DP89" s="854">
        <v>249.5</v>
      </c>
      <c r="DQ89" s="855">
        <v>244.7</v>
      </c>
      <c r="DR89" s="856">
        <v>124.7</v>
      </c>
      <c r="DS89" s="857">
        <v>206.4</v>
      </c>
      <c r="DT89" s="853">
        <v>45.1</v>
      </c>
      <c r="DU89" s="854">
        <v>40.700000000000003</v>
      </c>
      <c r="DV89" s="855">
        <v>138.19999999999999</v>
      </c>
      <c r="DW89" s="858">
        <v>84.9</v>
      </c>
      <c r="DY89" s="850" t="s">
        <v>77</v>
      </c>
      <c r="DZ89" s="851"/>
      <c r="EA89" s="852"/>
      <c r="EB89" s="853">
        <v>64.900000000000006</v>
      </c>
      <c r="EC89" s="854">
        <v>561.79999999999995</v>
      </c>
      <c r="ED89" s="855">
        <v>296.2</v>
      </c>
      <c r="EE89" s="853">
        <v>76.5</v>
      </c>
      <c r="EF89" s="854">
        <v>274.3</v>
      </c>
      <c r="EG89" s="855">
        <v>266.89999999999998</v>
      </c>
      <c r="EH89" s="856">
        <v>140.4</v>
      </c>
      <c r="EI89" s="857">
        <v>221.9</v>
      </c>
      <c r="EJ89" s="853">
        <v>53.7</v>
      </c>
      <c r="EK89" s="854">
        <v>45.9</v>
      </c>
      <c r="EL89" s="855">
        <v>165.8</v>
      </c>
      <c r="EM89" s="858">
        <v>97</v>
      </c>
    </row>
    <row r="90" spans="17:143" ht="13.5" customHeight="1" thickTop="1" thickBot="1"/>
    <row r="91" spans="17:143" ht="13.5" customHeight="1" thickTop="1" thickBot="1">
      <c r="Q91" s="809" t="s">
        <v>825</v>
      </c>
      <c r="R91" s="810"/>
      <c r="S91" s="810"/>
      <c r="T91" s="810">
        <v>2015</v>
      </c>
      <c r="U91" s="810" t="s">
        <v>826</v>
      </c>
      <c r="V91" s="810"/>
      <c r="W91" s="810"/>
      <c r="X91" s="810"/>
      <c r="Y91" s="810"/>
      <c r="Z91" s="810"/>
      <c r="AA91" s="810"/>
      <c r="AB91" s="810"/>
      <c r="AC91" s="810"/>
      <c r="AD91" s="811"/>
      <c r="AE91" s="812"/>
      <c r="AG91" s="809" t="s">
        <v>825</v>
      </c>
      <c r="AH91" s="810"/>
      <c r="AI91" s="810"/>
      <c r="AJ91" s="810">
        <v>2020</v>
      </c>
      <c r="AK91" s="810" t="s">
        <v>826</v>
      </c>
      <c r="AL91" s="810"/>
      <c r="AM91" s="810"/>
      <c r="AN91" s="810"/>
      <c r="AO91" s="810"/>
      <c r="AP91" s="810"/>
      <c r="AQ91" s="810"/>
      <c r="AR91" s="810"/>
      <c r="AS91" s="810"/>
      <c r="AT91" s="811"/>
      <c r="AU91" s="812"/>
      <c r="AW91" s="809" t="s">
        <v>825</v>
      </c>
      <c r="AX91" s="810"/>
      <c r="AY91" s="810"/>
      <c r="AZ91" s="810">
        <v>2025</v>
      </c>
      <c r="BA91" s="810" t="s">
        <v>826</v>
      </c>
      <c r="BB91" s="810"/>
      <c r="BC91" s="810"/>
      <c r="BD91" s="810"/>
      <c r="BE91" s="810"/>
      <c r="BF91" s="810"/>
      <c r="BG91" s="810"/>
      <c r="BH91" s="810"/>
      <c r="BI91" s="810"/>
      <c r="BJ91" s="811"/>
      <c r="BK91" s="812"/>
      <c r="BM91" s="809" t="s">
        <v>825</v>
      </c>
      <c r="BN91" s="810"/>
      <c r="BO91" s="810"/>
      <c r="BP91" s="810">
        <v>2030</v>
      </c>
      <c r="BQ91" s="810" t="s">
        <v>826</v>
      </c>
      <c r="BR91" s="810"/>
      <c r="BS91" s="810"/>
      <c r="BT91" s="810"/>
      <c r="BU91" s="810"/>
      <c r="BV91" s="810"/>
      <c r="BW91" s="810"/>
      <c r="BX91" s="810"/>
      <c r="BY91" s="810"/>
      <c r="BZ91" s="811"/>
      <c r="CA91" s="812"/>
      <c r="CC91" s="809" t="s">
        <v>825</v>
      </c>
      <c r="CD91" s="810"/>
      <c r="CE91" s="810"/>
      <c r="CF91" s="810">
        <v>2035</v>
      </c>
      <c r="CG91" s="810" t="s">
        <v>826</v>
      </c>
      <c r="CH91" s="810"/>
      <c r="CI91" s="810"/>
      <c r="CJ91" s="810"/>
      <c r="CK91" s="810"/>
      <c r="CL91" s="810"/>
      <c r="CM91" s="810"/>
      <c r="CN91" s="810"/>
      <c r="CO91" s="810"/>
      <c r="CP91" s="811"/>
      <c r="CQ91" s="812"/>
      <c r="CS91" s="809" t="s">
        <v>825</v>
      </c>
      <c r="CT91" s="810"/>
      <c r="CU91" s="810"/>
      <c r="CV91" s="810">
        <v>2040</v>
      </c>
      <c r="CW91" s="810" t="s">
        <v>826</v>
      </c>
      <c r="CX91" s="810"/>
      <c r="CY91" s="810"/>
      <c r="CZ91" s="810"/>
      <c r="DA91" s="810"/>
      <c r="DB91" s="810"/>
      <c r="DC91" s="810"/>
      <c r="DD91" s="810"/>
      <c r="DE91" s="810"/>
      <c r="DF91" s="811"/>
      <c r="DG91" s="812"/>
      <c r="DI91" s="809" t="s">
        <v>825</v>
      </c>
      <c r="DJ91" s="810"/>
      <c r="DK91" s="810"/>
      <c r="DL91" s="810">
        <v>2045</v>
      </c>
      <c r="DM91" s="810" t="s">
        <v>826</v>
      </c>
      <c r="DN91" s="810"/>
      <c r="DO91" s="810"/>
      <c r="DP91" s="810"/>
      <c r="DQ91" s="810"/>
      <c r="DR91" s="810"/>
      <c r="DS91" s="810"/>
      <c r="DT91" s="810"/>
      <c r="DU91" s="810"/>
      <c r="DV91" s="811"/>
      <c r="DW91" s="812"/>
      <c r="DY91" s="809" t="s">
        <v>825</v>
      </c>
      <c r="DZ91" s="810"/>
      <c r="EA91" s="810"/>
      <c r="EB91" s="810">
        <v>2050</v>
      </c>
      <c r="EC91" s="810" t="s">
        <v>826</v>
      </c>
      <c r="ED91" s="810"/>
      <c r="EE91" s="810"/>
      <c r="EF91" s="810"/>
      <c r="EG91" s="810"/>
      <c r="EH91" s="810"/>
      <c r="EI91" s="810"/>
      <c r="EJ91" s="810"/>
      <c r="EK91" s="810"/>
      <c r="EL91" s="811"/>
      <c r="EM91" s="812"/>
    </row>
    <row r="92" spans="17:143" ht="13.5" customHeight="1" thickTop="1">
      <c r="Q92" s="813"/>
      <c r="R92" s="814"/>
      <c r="S92" s="1090" t="s">
        <v>810</v>
      </c>
      <c r="T92" s="1084" t="s">
        <v>811</v>
      </c>
      <c r="U92" s="1085"/>
      <c r="V92" s="1086"/>
      <c r="W92" s="1084" t="s">
        <v>812</v>
      </c>
      <c r="X92" s="1085"/>
      <c r="Y92" s="1086"/>
      <c r="Z92" s="1079" t="s">
        <v>813</v>
      </c>
      <c r="AA92" s="1080"/>
      <c r="AB92" s="1084" t="s">
        <v>814</v>
      </c>
      <c r="AC92" s="1085"/>
      <c r="AD92" s="1086"/>
      <c r="AE92" s="1078" t="s">
        <v>815</v>
      </c>
      <c r="AG92" s="813"/>
      <c r="AH92" s="814"/>
      <c r="AI92" s="1090" t="s">
        <v>810</v>
      </c>
      <c r="AJ92" s="1084" t="s">
        <v>811</v>
      </c>
      <c r="AK92" s="1085"/>
      <c r="AL92" s="1086"/>
      <c r="AM92" s="1084" t="s">
        <v>812</v>
      </c>
      <c r="AN92" s="1085"/>
      <c r="AO92" s="1086"/>
      <c r="AP92" s="1079" t="s">
        <v>813</v>
      </c>
      <c r="AQ92" s="1080"/>
      <c r="AR92" s="1084" t="s">
        <v>814</v>
      </c>
      <c r="AS92" s="1085"/>
      <c r="AT92" s="1086"/>
      <c r="AU92" s="1078" t="s">
        <v>815</v>
      </c>
      <c r="AW92" s="813"/>
      <c r="AX92" s="814"/>
      <c r="AY92" s="1090" t="s">
        <v>810</v>
      </c>
      <c r="AZ92" s="1084" t="s">
        <v>811</v>
      </c>
      <c r="BA92" s="1085"/>
      <c r="BB92" s="1086"/>
      <c r="BC92" s="1084" t="s">
        <v>812</v>
      </c>
      <c r="BD92" s="1085"/>
      <c r="BE92" s="1086"/>
      <c r="BF92" s="1079" t="s">
        <v>813</v>
      </c>
      <c r="BG92" s="1080"/>
      <c r="BH92" s="1084" t="s">
        <v>814</v>
      </c>
      <c r="BI92" s="1085"/>
      <c r="BJ92" s="1086"/>
      <c r="BK92" s="1078" t="s">
        <v>815</v>
      </c>
      <c r="BM92" s="813"/>
      <c r="BN92" s="814"/>
      <c r="BO92" s="1090" t="s">
        <v>810</v>
      </c>
      <c r="BP92" s="1084" t="s">
        <v>811</v>
      </c>
      <c r="BQ92" s="1085"/>
      <c r="BR92" s="1086"/>
      <c r="BS92" s="1084" t="s">
        <v>812</v>
      </c>
      <c r="BT92" s="1085"/>
      <c r="BU92" s="1086"/>
      <c r="BV92" s="1079" t="s">
        <v>813</v>
      </c>
      <c r="BW92" s="1080"/>
      <c r="BX92" s="1084" t="s">
        <v>814</v>
      </c>
      <c r="BY92" s="1085"/>
      <c r="BZ92" s="1086"/>
      <c r="CA92" s="1078" t="s">
        <v>815</v>
      </c>
      <c r="CC92" s="813"/>
      <c r="CD92" s="814"/>
      <c r="CE92" s="1090" t="s">
        <v>810</v>
      </c>
      <c r="CF92" s="1084" t="s">
        <v>811</v>
      </c>
      <c r="CG92" s="1085"/>
      <c r="CH92" s="1086"/>
      <c r="CI92" s="1084" t="s">
        <v>812</v>
      </c>
      <c r="CJ92" s="1085"/>
      <c r="CK92" s="1086"/>
      <c r="CL92" s="1079" t="s">
        <v>813</v>
      </c>
      <c r="CM92" s="1080"/>
      <c r="CN92" s="1084" t="s">
        <v>814</v>
      </c>
      <c r="CO92" s="1085"/>
      <c r="CP92" s="1086"/>
      <c r="CQ92" s="1078" t="s">
        <v>815</v>
      </c>
      <c r="CS92" s="813"/>
      <c r="CT92" s="814"/>
      <c r="CU92" s="1090" t="s">
        <v>810</v>
      </c>
      <c r="CV92" s="1084" t="s">
        <v>811</v>
      </c>
      <c r="CW92" s="1085"/>
      <c r="CX92" s="1086"/>
      <c r="CY92" s="1084" t="s">
        <v>812</v>
      </c>
      <c r="CZ92" s="1085"/>
      <c r="DA92" s="1086"/>
      <c r="DB92" s="1079" t="s">
        <v>813</v>
      </c>
      <c r="DC92" s="1080"/>
      <c r="DD92" s="1084" t="s">
        <v>814</v>
      </c>
      <c r="DE92" s="1085"/>
      <c r="DF92" s="1086"/>
      <c r="DG92" s="1078" t="s">
        <v>815</v>
      </c>
      <c r="DI92" s="813"/>
      <c r="DJ92" s="814"/>
      <c r="DK92" s="1090" t="s">
        <v>810</v>
      </c>
      <c r="DL92" s="1084" t="s">
        <v>811</v>
      </c>
      <c r="DM92" s="1085"/>
      <c r="DN92" s="1086"/>
      <c r="DO92" s="1084" t="s">
        <v>812</v>
      </c>
      <c r="DP92" s="1085"/>
      <c r="DQ92" s="1086"/>
      <c r="DR92" s="1079" t="s">
        <v>813</v>
      </c>
      <c r="DS92" s="1080"/>
      <c r="DT92" s="1084" t="s">
        <v>814</v>
      </c>
      <c r="DU92" s="1085"/>
      <c r="DV92" s="1086"/>
      <c r="DW92" s="1078" t="s">
        <v>815</v>
      </c>
      <c r="DY92" s="813"/>
      <c r="DZ92" s="814"/>
      <c r="EA92" s="1090" t="s">
        <v>810</v>
      </c>
      <c r="EB92" s="1084" t="s">
        <v>811</v>
      </c>
      <c r="EC92" s="1085"/>
      <c r="ED92" s="1086"/>
      <c r="EE92" s="1084" t="s">
        <v>812</v>
      </c>
      <c r="EF92" s="1085"/>
      <c r="EG92" s="1086"/>
      <c r="EH92" s="1079" t="s">
        <v>813</v>
      </c>
      <c r="EI92" s="1080"/>
      <c r="EJ92" s="1084" t="s">
        <v>814</v>
      </c>
      <c r="EK92" s="1085"/>
      <c r="EL92" s="1086"/>
      <c r="EM92" s="1078" t="s">
        <v>815</v>
      </c>
    </row>
    <row r="93" spans="17:143" ht="13.5" customHeight="1" thickBot="1">
      <c r="Q93" s="815" t="s">
        <v>816</v>
      </c>
      <c r="R93" s="816"/>
      <c r="S93" s="1082"/>
      <c r="T93" s="817" t="s">
        <v>817</v>
      </c>
      <c r="U93" s="818" t="s">
        <v>818</v>
      </c>
      <c r="V93" s="1082" t="s">
        <v>819</v>
      </c>
      <c r="W93" s="817" t="s">
        <v>817</v>
      </c>
      <c r="X93" s="818" t="s">
        <v>818</v>
      </c>
      <c r="Y93" s="1082" t="s">
        <v>819</v>
      </c>
      <c r="Z93" s="817" t="s">
        <v>818</v>
      </c>
      <c r="AA93" s="1082" t="s">
        <v>819</v>
      </c>
      <c r="AB93" s="817" t="s">
        <v>817</v>
      </c>
      <c r="AC93" s="818" t="s">
        <v>818</v>
      </c>
      <c r="AD93" s="1082" t="s">
        <v>819</v>
      </c>
      <c r="AE93" s="1081"/>
      <c r="AG93" s="815" t="s">
        <v>816</v>
      </c>
      <c r="AH93" s="816"/>
      <c r="AI93" s="1082"/>
      <c r="AJ93" s="817" t="s">
        <v>817</v>
      </c>
      <c r="AK93" s="818" t="s">
        <v>818</v>
      </c>
      <c r="AL93" s="1082" t="s">
        <v>819</v>
      </c>
      <c r="AM93" s="817" t="s">
        <v>817</v>
      </c>
      <c r="AN93" s="818" t="s">
        <v>818</v>
      </c>
      <c r="AO93" s="1082" t="s">
        <v>819</v>
      </c>
      <c r="AP93" s="817" t="s">
        <v>818</v>
      </c>
      <c r="AQ93" s="1082" t="s">
        <v>819</v>
      </c>
      <c r="AR93" s="817" t="s">
        <v>817</v>
      </c>
      <c r="AS93" s="818" t="s">
        <v>818</v>
      </c>
      <c r="AT93" s="1082" t="s">
        <v>819</v>
      </c>
      <c r="AU93" s="1081"/>
      <c r="AW93" s="815" t="s">
        <v>816</v>
      </c>
      <c r="AX93" s="816"/>
      <c r="AY93" s="1082"/>
      <c r="AZ93" s="817" t="s">
        <v>817</v>
      </c>
      <c r="BA93" s="818" t="s">
        <v>818</v>
      </c>
      <c r="BB93" s="1082" t="s">
        <v>819</v>
      </c>
      <c r="BC93" s="817" t="s">
        <v>817</v>
      </c>
      <c r="BD93" s="818" t="s">
        <v>818</v>
      </c>
      <c r="BE93" s="1082" t="s">
        <v>819</v>
      </c>
      <c r="BF93" s="817" t="s">
        <v>818</v>
      </c>
      <c r="BG93" s="1082" t="s">
        <v>819</v>
      </c>
      <c r="BH93" s="817" t="s">
        <v>817</v>
      </c>
      <c r="BI93" s="818" t="s">
        <v>818</v>
      </c>
      <c r="BJ93" s="1082" t="s">
        <v>819</v>
      </c>
      <c r="BK93" s="1081"/>
      <c r="BM93" s="815" t="s">
        <v>816</v>
      </c>
      <c r="BN93" s="816"/>
      <c r="BO93" s="1082"/>
      <c r="BP93" s="817" t="s">
        <v>817</v>
      </c>
      <c r="BQ93" s="818" t="s">
        <v>818</v>
      </c>
      <c r="BR93" s="1082" t="s">
        <v>819</v>
      </c>
      <c r="BS93" s="817" t="s">
        <v>817</v>
      </c>
      <c r="BT93" s="818" t="s">
        <v>818</v>
      </c>
      <c r="BU93" s="1082" t="s">
        <v>819</v>
      </c>
      <c r="BV93" s="817" t="s">
        <v>818</v>
      </c>
      <c r="BW93" s="1082" t="s">
        <v>819</v>
      </c>
      <c r="BX93" s="817" t="s">
        <v>817</v>
      </c>
      <c r="BY93" s="818" t="s">
        <v>818</v>
      </c>
      <c r="BZ93" s="1082" t="s">
        <v>819</v>
      </c>
      <c r="CA93" s="1081"/>
      <c r="CC93" s="815" t="s">
        <v>816</v>
      </c>
      <c r="CD93" s="816"/>
      <c r="CE93" s="1082"/>
      <c r="CF93" s="817" t="s">
        <v>817</v>
      </c>
      <c r="CG93" s="818" t="s">
        <v>818</v>
      </c>
      <c r="CH93" s="1082" t="s">
        <v>819</v>
      </c>
      <c r="CI93" s="817" t="s">
        <v>817</v>
      </c>
      <c r="CJ93" s="818" t="s">
        <v>818</v>
      </c>
      <c r="CK93" s="1082" t="s">
        <v>819</v>
      </c>
      <c r="CL93" s="817" t="s">
        <v>818</v>
      </c>
      <c r="CM93" s="1082" t="s">
        <v>819</v>
      </c>
      <c r="CN93" s="817" t="s">
        <v>817</v>
      </c>
      <c r="CO93" s="818" t="s">
        <v>818</v>
      </c>
      <c r="CP93" s="1082" t="s">
        <v>819</v>
      </c>
      <c r="CQ93" s="1081"/>
      <c r="CS93" s="815" t="s">
        <v>816</v>
      </c>
      <c r="CT93" s="816"/>
      <c r="CU93" s="1082"/>
      <c r="CV93" s="817" t="s">
        <v>817</v>
      </c>
      <c r="CW93" s="818" t="s">
        <v>818</v>
      </c>
      <c r="CX93" s="1082" t="s">
        <v>819</v>
      </c>
      <c r="CY93" s="817" t="s">
        <v>817</v>
      </c>
      <c r="CZ93" s="818" t="s">
        <v>818</v>
      </c>
      <c r="DA93" s="1082" t="s">
        <v>819</v>
      </c>
      <c r="DB93" s="817" t="s">
        <v>818</v>
      </c>
      <c r="DC93" s="1082" t="s">
        <v>819</v>
      </c>
      <c r="DD93" s="817" t="s">
        <v>817</v>
      </c>
      <c r="DE93" s="818" t="s">
        <v>818</v>
      </c>
      <c r="DF93" s="1082" t="s">
        <v>819</v>
      </c>
      <c r="DG93" s="1081"/>
      <c r="DI93" s="815" t="s">
        <v>816</v>
      </c>
      <c r="DJ93" s="816"/>
      <c r="DK93" s="1082"/>
      <c r="DL93" s="817" t="s">
        <v>817</v>
      </c>
      <c r="DM93" s="818" t="s">
        <v>818</v>
      </c>
      <c r="DN93" s="1082" t="s">
        <v>819</v>
      </c>
      <c r="DO93" s="817" t="s">
        <v>817</v>
      </c>
      <c r="DP93" s="818" t="s">
        <v>818</v>
      </c>
      <c r="DQ93" s="1082" t="s">
        <v>819</v>
      </c>
      <c r="DR93" s="817" t="s">
        <v>818</v>
      </c>
      <c r="DS93" s="1082" t="s">
        <v>819</v>
      </c>
      <c r="DT93" s="817" t="s">
        <v>817</v>
      </c>
      <c r="DU93" s="818" t="s">
        <v>818</v>
      </c>
      <c r="DV93" s="1082" t="s">
        <v>819</v>
      </c>
      <c r="DW93" s="1081"/>
      <c r="DY93" s="815" t="s">
        <v>816</v>
      </c>
      <c r="DZ93" s="816"/>
      <c r="EA93" s="1082"/>
      <c r="EB93" s="817" t="s">
        <v>817</v>
      </c>
      <c r="EC93" s="818" t="s">
        <v>818</v>
      </c>
      <c r="ED93" s="1082" t="s">
        <v>819</v>
      </c>
      <c r="EE93" s="817" t="s">
        <v>817</v>
      </c>
      <c r="EF93" s="818" t="s">
        <v>818</v>
      </c>
      <c r="EG93" s="1082" t="s">
        <v>819</v>
      </c>
      <c r="EH93" s="817" t="s">
        <v>818</v>
      </c>
      <c r="EI93" s="1082" t="s">
        <v>819</v>
      </c>
      <c r="EJ93" s="817" t="s">
        <v>817</v>
      </c>
      <c r="EK93" s="818" t="s">
        <v>818</v>
      </c>
      <c r="EL93" s="1082" t="s">
        <v>819</v>
      </c>
      <c r="EM93" s="1081"/>
    </row>
    <row r="94" spans="17:143" ht="13.5" customHeight="1" thickTop="1">
      <c r="Q94" s="1083" t="s">
        <v>355</v>
      </c>
      <c r="R94" s="819"/>
      <c r="S94" s="820">
        <v>1</v>
      </c>
      <c r="T94" s="821">
        <v>0</v>
      </c>
      <c r="U94" s="822">
        <v>2.7</v>
      </c>
      <c r="V94" s="823">
        <v>16.3</v>
      </c>
      <c r="W94" s="821">
        <v>0.1</v>
      </c>
      <c r="X94" s="822">
        <v>2.5</v>
      </c>
      <c r="Y94" s="823">
        <v>5.2</v>
      </c>
      <c r="Z94" s="821">
        <v>1.6</v>
      </c>
      <c r="AA94" s="823">
        <v>5.4</v>
      </c>
      <c r="AB94" s="821">
        <v>0</v>
      </c>
      <c r="AC94" s="822">
        <v>1.4</v>
      </c>
      <c r="AD94" s="823">
        <v>1.3</v>
      </c>
      <c r="AE94" s="824">
        <v>2.7</v>
      </c>
      <c r="AG94" s="1083" t="s">
        <v>355</v>
      </c>
      <c r="AH94" s="819"/>
      <c r="AI94" s="820">
        <v>1</v>
      </c>
      <c r="AJ94" s="821">
        <v>0</v>
      </c>
      <c r="AK94" s="822">
        <v>2.9</v>
      </c>
      <c r="AL94" s="823">
        <v>18.2</v>
      </c>
      <c r="AM94" s="821">
        <v>0.1</v>
      </c>
      <c r="AN94" s="822">
        <v>2.7</v>
      </c>
      <c r="AO94" s="823">
        <v>5.6</v>
      </c>
      <c r="AP94" s="821">
        <v>1.7</v>
      </c>
      <c r="AQ94" s="823">
        <v>5.7</v>
      </c>
      <c r="AR94" s="821">
        <v>0</v>
      </c>
      <c r="AS94" s="822">
        <v>1.5</v>
      </c>
      <c r="AT94" s="823">
        <v>1.4</v>
      </c>
      <c r="AU94" s="824">
        <v>3</v>
      </c>
      <c r="AW94" s="1083" t="s">
        <v>355</v>
      </c>
      <c r="AX94" s="819"/>
      <c r="AY94" s="820">
        <v>1</v>
      </c>
      <c r="AZ94" s="821">
        <v>0.1</v>
      </c>
      <c r="BA94" s="822">
        <v>2.7</v>
      </c>
      <c r="BB94" s="823">
        <v>17.399999999999999</v>
      </c>
      <c r="BC94" s="821">
        <v>0.1</v>
      </c>
      <c r="BD94" s="822">
        <v>2.4</v>
      </c>
      <c r="BE94" s="823">
        <v>5.8</v>
      </c>
      <c r="BF94" s="821">
        <v>1.6</v>
      </c>
      <c r="BG94" s="823">
        <v>6.1</v>
      </c>
      <c r="BH94" s="821">
        <v>0.1</v>
      </c>
      <c r="BI94" s="822">
        <v>1.6</v>
      </c>
      <c r="BJ94" s="823">
        <v>1.5</v>
      </c>
      <c r="BK94" s="824">
        <v>3.1</v>
      </c>
      <c r="BM94" s="1083" t="s">
        <v>355</v>
      </c>
      <c r="BN94" s="819"/>
      <c r="BO94" s="820">
        <v>1</v>
      </c>
      <c r="BP94" s="821">
        <v>0.1</v>
      </c>
      <c r="BQ94" s="822">
        <v>3.1</v>
      </c>
      <c r="BR94" s="823">
        <v>19</v>
      </c>
      <c r="BS94" s="821">
        <v>0.1</v>
      </c>
      <c r="BT94" s="822">
        <v>2.4</v>
      </c>
      <c r="BU94" s="823">
        <v>5.8</v>
      </c>
      <c r="BV94" s="821">
        <v>1.6</v>
      </c>
      <c r="BW94" s="823">
        <v>6.6</v>
      </c>
      <c r="BX94" s="821">
        <v>0.1</v>
      </c>
      <c r="BY94" s="822">
        <v>1.6</v>
      </c>
      <c r="BZ94" s="823">
        <v>1.6</v>
      </c>
      <c r="CA94" s="824">
        <v>3.3</v>
      </c>
      <c r="CC94" s="1083" t="s">
        <v>355</v>
      </c>
      <c r="CD94" s="819"/>
      <c r="CE94" s="820">
        <v>1</v>
      </c>
      <c r="CF94" s="821">
        <v>0.1</v>
      </c>
      <c r="CG94" s="822">
        <v>3.3</v>
      </c>
      <c r="CH94" s="823">
        <v>20.8</v>
      </c>
      <c r="CI94" s="821">
        <v>0.1</v>
      </c>
      <c r="CJ94" s="822">
        <v>2.7</v>
      </c>
      <c r="CK94" s="823">
        <v>6.2</v>
      </c>
      <c r="CL94" s="821">
        <v>1.7</v>
      </c>
      <c r="CM94" s="823">
        <v>6.8</v>
      </c>
      <c r="CN94" s="821">
        <v>0.1</v>
      </c>
      <c r="CO94" s="822">
        <v>1.8</v>
      </c>
      <c r="CP94" s="823">
        <v>1.7</v>
      </c>
      <c r="CQ94" s="824">
        <v>3.5</v>
      </c>
      <c r="CS94" s="1083" t="s">
        <v>355</v>
      </c>
      <c r="CT94" s="819"/>
      <c r="CU94" s="820">
        <v>1</v>
      </c>
      <c r="CV94" s="821">
        <v>0.1</v>
      </c>
      <c r="CW94" s="822">
        <v>3.1</v>
      </c>
      <c r="CX94" s="823">
        <v>22.4</v>
      </c>
      <c r="CY94" s="821">
        <v>0.2</v>
      </c>
      <c r="CZ94" s="822">
        <v>3</v>
      </c>
      <c r="DA94" s="823">
        <v>6.7</v>
      </c>
      <c r="DB94" s="821">
        <v>1.9</v>
      </c>
      <c r="DC94" s="823">
        <v>6.9</v>
      </c>
      <c r="DD94" s="821">
        <v>0.1</v>
      </c>
      <c r="DE94" s="822">
        <v>2</v>
      </c>
      <c r="DF94" s="823">
        <v>1.9</v>
      </c>
      <c r="DG94" s="824">
        <v>3.8</v>
      </c>
      <c r="DI94" s="1083" t="s">
        <v>355</v>
      </c>
      <c r="DJ94" s="819"/>
      <c r="DK94" s="820">
        <v>1</v>
      </c>
      <c r="DL94" s="821">
        <v>0.2</v>
      </c>
      <c r="DM94" s="822">
        <v>3.2</v>
      </c>
      <c r="DN94" s="823">
        <v>24.4</v>
      </c>
      <c r="DO94" s="821">
        <v>0.2</v>
      </c>
      <c r="DP94" s="822">
        <v>3.2</v>
      </c>
      <c r="DQ94" s="823">
        <v>7.2</v>
      </c>
      <c r="DR94" s="821">
        <v>2</v>
      </c>
      <c r="DS94" s="823">
        <v>7.2</v>
      </c>
      <c r="DT94" s="821">
        <v>0.2</v>
      </c>
      <c r="DU94" s="822">
        <v>2.2000000000000002</v>
      </c>
      <c r="DV94" s="823">
        <v>2.1</v>
      </c>
      <c r="DW94" s="824">
        <v>4.0999999999999996</v>
      </c>
      <c r="DY94" s="1083" t="s">
        <v>355</v>
      </c>
      <c r="DZ94" s="819"/>
      <c r="EA94" s="820">
        <v>1</v>
      </c>
      <c r="EB94" s="821">
        <v>0.2</v>
      </c>
      <c r="EC94" s="822">
        <v>3.5</v>
      </c>
      <c r="ED94" s="823">
        <v>26.1</v>
      </c>
      <c r="EE94" s="821">
        <v>0.2</v>
      </c>
      <c r="EF94" s="822">
        <v>3.1</v>
      </c>
      <c r="EG94" s="823">
        <v>7.6</v>
      </c>
      <c r="EH94" s="821">
        <v>2.1</v>
      </c>
      <c r="EI94" s="823">
        <v>7.5</v>
      </c>
      <c r="EJ94" s="821">
        <v>0.2</v>
      </c>
      <c r="EK94" s="822">
        <v>2.4</v>
      </c>
      <c r="EL94" s="823">
        <v>2.2000000000000002</v>
      </c>
      <c r="EM94" s="824">
        <v>4.3</v>
      </c>
    </row>
    <row r="95" spans="17:143" ht="13.5" customHeight="1">
      <c r="Q95" s="1083"/>
      <c r="R95" s="819"/>
      <c r="S95" s="820">
        <v>2</v>
      </c>
      <c r="T95" s="821">
        <v>0.2</v>
      </c>
      <c r="U95" s="822">
        <v>8.3000000000000007</v>
      </c>
      <c r="V95" s="823">
        <v>53</v>
      </c>
      <c r="W95" s="821">
        <v>0.3</v>
      </c>
      <c r="X95" s="822">
        <v>7.5</v>
      </c>
      <c r="Y95" s="823">
        <v>21.2</v>
      </c>
      <c r="Z95" s="821">
        <v>4.5999999999999996</v>
      </c>
      <c r="AA95" s="823">
        <v>21.3</v>
      </c>
      <c r="AB95" s="821">
        <v>0.2</v>
      </c>
      <c r="AC95" s="822">
        <v>3.9</v>
      </c>
      <c r="AD95" s="823">
        <v>7.6</v>
      </c>
      <c r="AE95" s="824">
        <v>7.1</v>
      </c>
      <c r="AG95" s="1083"/>
      <c r="AH95" s="819"/>
      <c r="AI95" s="820">
        <v>2</v>
      </c>
      <c r="AJ95" s="821">
        <v>0.2</v>
      </c>
      <c r="AK95" s="822">
        <v>8.5</v>
      </c>
      <c r="AL95" s="823">
        <v>59.2</v>
      </c>
      <c r="AM95" s="821">
        <v>0.3</v>
      </c>
      <c r="AN95" s="822">
        <v>7.8</v>
      </c>
      <c r="AO95" s="823">
        <v>22.3</v>
      </c>
      <c r="AP95" s="821">
        <v>4.8</v>
      </c>
      <c r="AQ95" s="823">
        <v>22.4</v>
      </c>
      <c r="AR95" s="821">
        <v>0.2</v>
      </c>
      <c r="AS95" s="822">
        <v>4</v>
      </c>
      <c r="AT95" s="823">
        <v>8.1</v>
      </c>
      <c r="AU95" s="824">
        <v>7.6</v>
      </c>
      <c r="AW95" s="1083"/>
      <c r="AX95" s="819"/>
      <c r="AY95" s="820">
        <v>2</v>
      </c>
      <c r="AZ95" s="821">
        <v>0.2</v>
      </c>
      <c r="BA95" s="822">
        <v>8.9</v>
      </c>
      <c r="BB95" s="823">
        <v>56</v>
      </c>
      <c r="BC95" s="821">
        <v>0.3</v>
      </c>
      <c r="BD95" s="822">
        <v>8</v>
      </c>
      <c r="BE95" s="823">
        <v>22.9</v>
      </c>
      <c r="BF95" s="821">
        <v>4.9000000000000004</v>
      </c>
      <c r="BG95" s="823">
        <v>23.7</v>
      </c>
      <c r="BH95" s="821">
        <v>0.3</v>
      </c>
      <c r="BI95" s="822">
        <v>4.0999999999999996</v>
      </c>
      <c r="BJ95" s="823">
        <v>8.3000000000000007</v>
      </c>
      <c r="BK95" s="824">
        <v>7.9</v>
      </c>
      <c r="BM95" s="1083"/>
      <c r="BN95" s="819"/>
      <c r="BO95" s="820">
        <v>2</v>
      </c>
      <c r="BP95" s="821">
        <v>0.3</v>
      </c>
      <c r="BQ95" s="822">
        <v>9.4</v>
      </c>
      <c r="BR95" s="823">
        <v>58.9</v>
      </c>
      <c r="BS95" s="821">
        <v>0.4</v>
      </c>
      <c r="BT95" s="822">
        <v>8.6</v>
      </c>
      <c r="BU95" s="823">
        <v>23.7</v>
      </c>
      <c r="BV95" s="821">
        <v>5.2</v>
      </c>
      <c r="BW95" s="823">
        <v>24.9</v>
      </c>
      <c r="BX95" s="821">
        <v>0.3</v>
      </c>
      <c r="BY95" s="822">
        <v>4.5</v>
      </c>
      <c r="BZ95" s="823">
        <v>8.5</v>
      </c>
      <c r="CA95" s="824">
        <v>8.5</v>
      </c>
      <c r="CC95" s="1083"/>
      <c r="CD95" s="819"/>
      <c r="CE95" s="820">
        <v>2</v>
      </c>
      <c r="CF95" s="821">
        <v>0.4</v>
      </c>
      <c r="CG95" s="822">
        <v>10</v>
      </c>
      <c r="CH95" s="823">
        <v>64.599999999999994</v>
      </c>
      <c r="CI95" s="821">
        <v>0.5</v>
      </c>
      <c r="CJ95" s="822">
        <v>9</v>
      </c>
      <c r="CK95" s="823">
        <v>25.2</v>
      </c>
      <c r="CL95" s="821">
        <v>5.5</v>
      </c>
      <c r="CM95" s="823">
        <v>25.8</v>
      </c>
      <c r="CN95" s="821">
        <v>0.4</v>
      </c>
      <c r="CO95" s="822">
        <v>4.9000000000000004</v>
      </c>
      <c r="CP95" s="823">
        <v>9.4</v>
      </c>
      <c r="CQ95" s="824">
        <v>9.4</v>
      </c>
      <c r="CS95" s="1083"/>
      <c r="CT95" s="819"/>
      <c r="CU95" s="820">
        <v>2</v>
      </c>
      <c r="CV95" s="821">
        <v>0.5</v>
      </c>
      <c r="CW95" s="822">
        <v>10</v>
      </c>
      <c r="CX95" s="823">
        <v>68.099999999999994</v>
      </c>
      <c r="CY95" s="821">
        <v>0.6</v>
      </c>
      <c r="CZ95" s="822">
        <v>9.8000000000000007</v>
      </c>
      <c r="DA95" s="823">
        <v>26.6</v>
      </c>
      <c r="DB95" s="821">
        <v>5.9</v>
      </c>
      <c r="DC95" s="823">
        <v>26.9</v>
      </c>
      <c r="DD95" s="821">
        <v>0.5</v>
      </c>
      <c r="DE95" s="822">
        <v>5.3</v>
      </c>
      <c r="DF95" s="823">
        <v>10.3</v>
      </c>
      <c r="DG95" s="824">
        <v>10.3</v>
      </c>
      <c r="DI95" s="1083"/>
      <c r="DJ95" s="819"/>
      <c r="DK95" s="820">
        <v>2</v>
      </c>
      <c r="DL95" s="821">
        <v>0.5</v>
      </c>
      <c r="DM95" s="822">
        <v>10.7</v>
      </c>
      <c r="DN95" s="823">
        <v>70.8</v>
      </c>
      <c r="DO95" s="821">
        <v>0.6</v>
      </c>
      <c r="DP95" s="822">
        <v>10.3</v>
      </c>
      <c r="DQ95" s="823">
        <v>28.4</v>
      </c>
      <c r="DR95" s="821">
        <v>6.2</v>
      </c>
      <c r="DS95" s="823">
        <v>28.2</v>
      </c>
      <c r="DT95" s="821">
        <v>0.5</v>
      </c>
      <c r="DU95" s="822">
        <v>5.8</v>
      </c>
      <c r="DV95" s="823">
        <v>11.1</v>
      </c>
      <c r="DW95" s="824">
        <v>11.1</v>
      </c>
      <c r="DY95" s="1083"/>
      <c r="DZ95" s="819"/>
      <c r="EA95" s="820">
        <v>2</v>
      </c>
      <c r="EB95" s="821">
        <v>0.6</v>
      </c>
      <c r="EC95" s="822">
        <v>11.3</v>
      </c>
      <c r="ED95" s="823">
        <v>71.8</v>
      </c>
      <c r="EE95" s="821">
        <v>0.7</v>
      </c>
      <c r="EF95" s="822">
        <v>10.5</v>
      </c>
      <c r="EG95" s="823">
        <v>30.3</v>
      </c>
      <c r="EH95" s="821">
        <v>6.5</v>
      </c>
      <c r="EI95" s="823">
        <v>29.6</v>
      </c>
      <c r="EJ95" s="821">
        <v>0.6</v>
      </c>
      <c r="EK95" s="822">
        <v>6.2</v>
      </c>
      <c r="EL95" s="823">
        <v>11.6</v>
      </c>
      <c r="EM95" s="824">
        <v>11.8</v>
      </c>
    </row>
    <row r="96" spans="17:143" ht="13.5" customHeight="1">
      <c r="Q96" s="1083"/>
      <c r="R96" s="819"/>
      <c r="S96" s="820">
        <v>3</v>
      </c>
      <c r="T96" s="821">
        <v>7</v>
      </c>
      <c r="U96" s="822">
        <v>71.900000000000006</v>
      </c>
      <c r="V96" s="823">
        <v>101.7</v>
      </c>
      <c r="W96" s="821">
        <v>8.5</v>
      </c>
      <c r="X96" s="822">
        <v>60.8</v>
      </c>
      <c r="Y96" s="823">
        <v>48.3</v>
      </c>
      <c r="Z96" s="821">
        <v>25.7</v>
      </c>
      <c r="AA96" s="823">
        <v>50.1</v>
      </c>
      <c r="AB96" s="821">
        <v>7.9</v>
      </c>
      <c r="AC96" s="822">
        <v>11</v>
      </c>
      <c r="AD96" s="823">
        <v>21.6</v>
      </c>
      <c r="AE96" s="824">
        <v>24.3</v>
      </c>
      <c r="AG96" s="1083"/>
      <c r="AH96" s="819"/>
      <c r="AI96" s="820">
        <v>3</v>
      </c>
      <c r="AJ96" s="821">
        <v>8.5</v>
      </c>
      <c r="AK96" s="822">
        <v>65.599999999999994</v>
      </c>
      <c r="AL96" s="823">
        <v>104</v>
      </c>
      <c r="AM96" s="821">
        <v>9.8000000000000007</v>
      </c>
      <c r="AN96" s="822">
        <v>59</v>
      </c>
      <c r="AO96" s="823">
        <v>49.8</v>
      </c>
      <c r="AP96" s="821">
        <v>25.6</v>
      </c>
      <c r="AQ96" s="823">
        <v>52.4</v>
      </c>
      <c r="AR96" s="821">
        <v>7.5</v>
      </c>
      <c r="AS96" s="822">
        <v>12.3</v>
      </c>
      <c r="AT96" s="823">
        <v>22.2</v>
      </c>
      <c r="AU96" s="824">
        <v>24.5</v>
      </c>
      <c r="AW96" s="1083"/>
      <c r="AX96" s="819"/>
      <c r="AY96" s="820">
        <v>3</v>
      </c>
      <c r="AZ96" s="821">
        <v>10.5</v>
      </c>
      <c r="BA96" s="822">
        <v>73.599999999999994</v>
      </c>
      <c r="BB96" s="823">
        <v>112.3</v>
      </c>
      <c r="BC96" s="821">
        <v>10.1</v>
      </c>
      <c r="BD96" s="822">
        <v>64.3</v>
      </c>
      <c r="BE96" s="823">
        <v>51.5</v>
      </c>
      <c r="BF96" s="821">
        <v>28.6</v>
      </c>
      <c r="BG96" s="823">
        <v>53.9</v>
      </c>
      <c r="BH96" s="821">
        <v>8.4</v>
      </c>
      <c r="BI96" s="822">
        <v>12.9</v>
      </c>
      <c r="BJ96" s="823">
        <v>23.7</v>
      </c>
      <c r="BK96" s="824">
        <v>26.2</v>
      </c>
      <c r="BM96" s="1083"/>
      <c r="BN96" s="819"/>
      <c r="BO96" s="820">
        <v>3</v>
      </c>
      <c r="BP96" s="821">
        <v>10.5</v>
      </c>
      <c r="BQ96" s="822">
        <v>80.5</v>
      </c>
      <c r="BR96" s="823">
        <v>116.4</v>
      </c>
      <c r="BS96" s="821">
        <v>12.8</v>
      </c>
      <c r="BT96" s="822">
        <v>68.900000000000006</v>
      </c>
      <c r="BU96" s="823">
        <v>55.6</v>
      </c>
      <c r="BV96" s="821">
        <v>31</v>
      </c>
      <c r="BW96" s="823">
        <v>56.4</v>
      </c>
      <c r="BX96" s="821">
        <v>11.3</v>
      </c>
      <c r="BY96" s="822">
        <v>13.6</v>
      </c>
      <c r="BZ96" s="823">
        <v>456.5</v>
      </c>
      <c r="CA96" s="824">
        <v>34.9</v>
      </c>
      <c r="CC96" s="1083"/>
      <c r="CD96" s="819"/>
      <c r="CE96" s="820">
        <v>3</v>
      </c>
      <c r="CF96" s="821">
        <v>12.2</v>
      </c>
      <c r="CG96" s="822">
        <v>85</v>
      </c>
      <c r="CH96" s="823">
        <v>122.1</v>
      </c>
      <c r="CI96" s="821">
        <v>15.3</v>
      </c>
      <c r="CJ96" s="822">
        <v>70.099999999999994</v>
      </c>
      <c r="CK96" s="823">
        <v>58.2</v>
      </c>
      <c r="CL96" s="821">
        <v>33.700000000000003</v>
      </c>
      <c r="CM96" s="823">
        <v>59.8</v>
      </c>
      <c r="CN96" s="821">
        <v>15.7</v>
      </c>
      <c r="CO96" s="822">
        <v>14.5</v>
      </c>
      <c r="CP96" s="823">
        <v>26.4</v>
      </c>
      <c r="CQ96" s="824">
        <v>31.3</v>
      </c>
      <c r="CS96" s="1083"/>
      <c r="CT96" s="819"/>
      <c r="CU96" s="820">
        <v>3</v>
      </c>
      <c r="CV96" s="821">
        <v>17.5</v>
      </c>
      <c r="CW96" s="822">
        <v>89.8</v>
      </c>
      <c r="CX96" s="823">
        <v>128.80000000000001</v>
      </c>
      <c r="CY96" s="821">
        <v>17.8</v>
      </c>
      <c r="CZ96" s="822">
        <v>79.2</v>
      </c>
      <c r="DA96" s="823">
        <v>60.8</v>
      </c>
      <c r="DB96" s="821">
        <v>37.200000000000003</v>
      </c>
      <c r="DC96" s="823">
        <v>63</v>
      </c>
      <c r="DD96" s="821">
        <v>19.2</v>
      </c>
      <c r="DE96" s="822">
        <v>15.3</v>
      </c>
      <c r="DF96" s="823">
        <v>371.7</v>
      </c>
      <c r="DG96" s="824">
        <v>40.5</v>
      </c>
      <c r="DI96" s="1083"/>
      <c r="DJ96" s="819"/>
      <c r="DK96" s="820">
        <v>3</v>
      </c>
      <c r="DL96" s="821">
        <v>18.600000000000001</v>
      </c>
      <c r="DM96" s="822">
        <v>96.2</v>
      </c>
      <c r="DN96" s="823">
        <v>133.30000000000001</v>
      </c>
      <c r="DO96" s="821">
        <v>20.2</v>
      </c>
      <c r="DP96" s="822">
        <v>80.2</v>
      </c>
      <c r="DQ96" s="823">
        <v>64.400000000000006</v>
      </c>
      <c r="DR96" s="821">
        <v>40.4</v>
      </c>
      <c r="DS96" s="823">
        <v>66.5</v>
      </c>
      <c r="DT96" s="821">
        <v>22.2</v>
      </c>
      <c r="DU96" s="822">
        <v>16.100000000000001</v>
      </c>
      <c r="DV96" s="823">
        <v>29.2</v>
      </c>
      <c r="DW96" s="824">
        <v>37.1</v>
      </c>
      <c r="DY96" s="1083"/>
      <c r="DZ96" s="819"/>
      <c r="EA96" s="820">
        <v>3</v>
      </c>
      <c r="EB96" s="821">
        <v>21.3</v>
      </c>
      <c r="EC96" s="822">
        <v>100</v>
      </c>
      <c r="ED96" s="823">
        <v>136.80000000000001</v>
      </c>
      <c r="EE96" s="821">
        <v>23.1</v>
      </c>
      <c r="EF96" s="822">
        <v>83.8</v>
      </c>
      <c r="EG96" s="823">
        <v>67.8</v>
      </c>
      <c r="EH96" s="821">
        <v>42.6</v>
      </c>
      <c r="EI96" s="823">
        <v>70.3</v>
      </c>
      <c r="EJ96" s="821">
        <v>24.4</v>
      </c>
      <c r="EK96" s="822">
        <v>16.7</v>
      </c>
      <c r="EL96" s="823">
        <v>416.7</v>
      </c>
      <c r="EM96" s="824">
        <v>47.4</v>
      </c>
    </row>
    <row r="97" spans="17:143" ht="13.5" customHeight="1">
      <c r="Q97" s="1083"/>
      <c r="R97" s="819"/>
      <c r="S97" s="820">
        <v>4</v>
      </c>
      <c r="T97" s="821">
        <v>60.6</v>
      </c>
      <c r="U97" s="822">
        <v>247.2</v>
      </c>
      <c r="V97" s="823">
        <v>248.1</v>
      </c>
      <c r="W97" s="821">
        <v>63.4</v>
      </c>
      <c r="X97" s="822">
        <v>225.2</v>
      </c>
      <c r="Y97" s="823">
        <v>213.4</v>
      </c>
      <c r="Z97" s="821">
        <v>101.1</v>
      </c>
      <c r="AA97" s="823">
        <v>296.39999999999998</v>
      </c>
      <c r="AB97" s="821">
        <v>57.9</v>
      </c>
      <c r="AC97" s="822">
        <v>106.1</v>
      </c>
      <c r="AD97" s="823">
        <v>116.7</v>
      </c>
      <c r="AE97" s="824">
        <v>138.69999999999999</v>
      </c>
      <c r="AG97" s="1083"/>
      <c r="AH97" s="819"/>
      <c r="AI97" s="820">
        <v>4</v>
      </c>
      <c r="AJ97" s="821">
        <v>62.4</v>
      </c>
      <c r="AK97" s="822">
        <v>246.3</v>
      </c>
      <c r="AL97" s="823">
        <v>262.2</v>
      </c>
      <c r="AM97" s="821">
        <v>64.5</v>
      </c>
      <c r="AN97" s="822">
        <v>230.4</v>
      </c>
      <c r="AO97" s="823">
        <v>223.9</v>
      </c>
      <c r="AP97" s="821">
        <v>107.1</v>
      </c>
      <c r="AQ97" s="823">
        <v>308.8</v>
      </c>
      <c r="AR97" s="821">
        <v>60.5</v>
      </c>
      <c r="AS97" s="822">
        <v>129.19999999999999</v>
      </c>
      <c r="AT97" s="823">
        <v>113.3</v>
      </c>
      <c r="AU97" s="824">
        <v>143.1</v>
      </c>
      <c r="AW97" s="1083"/>
      <c r="AX97" s="819"/>
      <c r="AY97" s="820">
        <v>4</v>
      </c>
      <c r="AZ97" s="821">
        <v>72.099999999999994</v>
      </c>
      <c r="BA97" s="822">
        <v>263.8</v>
      </c>
      <c r="BB97" s="823">
        <v>273.8</v>
      </c>
      <c r="BC97" s="821">
        <v>67.2</v>
      </c>
      <c r="BD97" s="822">
        <v>236.7</v>
      </c>
      <c r="BE97" s="823">
        <v>230.1</v>
      </c>
      <c r="BF97" s="821">
        <v>108.9</v>
      </c>
      <c r="BG97" s="823">
        <v>314.8</v>
      </c>
      <c r="BH97" s="821">
        <v>64.099999999999994</v>
      </c>
      <c r="BI97" s="822">
        <v>135.80000000000001</v>
      </c>
      <c r="BJ97" s="823">
        <v>113.4</v>
      </c>
      <c r="BK97" s="824">
        <v>148.5</v>
      </c>
      <c r="BM97" s="1083"/>
      <c r="BN97" s="819"/>
      <c r="BO97" s="820">
        <v>4</v>
      </c>
      <c r="BP97" s="821">
        <v>55.3</v>
      </c>
      <c r="BQ97" s="822">
        <v>277.89999999999998</v>
      </c>
      <c r="BR97" s="823">
        <v>281.10000000000002</v>
      </c>
      <c r="BS97" s="821">
        <v>75.7</v>
      </c>
      <c r="BT97" s="822">
        <v>257</v>
      </c>
      <c r="BU97" s="823">
        <v>258.2</v>
      </c>
      <c r="BV97" s="821">
        <v>115.4</v>
      </c>
      <c r="BW97" s="823">
        <v>336.9</v>
      </c>
      <c r="BX97" s="821">
        <v>70.599999999999994</v>
      </c>
      <c r="BY97" s="822">
        <v>129.9</v>
      </c>
      <c r="BZ97" s="823">
        <v>111.4</v>
      </c>
      <c r="CA97" s="824">
        <v>156.4</v>
      </c>
      <c r="CC97" s="1083"/>
      <c r="CD97" s="819"/>
      <c r="CE97" s="820">
        <v>4</v>
      </c>
      <c r="CF97" s="821">
        <v>63.8</v>
      </c>
      <c r="CG97" s="822">
        <v>291</v>
      </c>
      <c r="CH97" s="823">
        <v>306.3</v>
      </c>
      <c r="CI97" s="821">
        <v>81.8</v>
      </c>
      <c r="CJ97" s="822">
        <v>259.60000000000002</v>
      </c>
      <c r="CK97" s="823">
        <v>269.8</v>
      </c>
      <c r="CL97" s="821">
        <v>120.1</v>
      </c>
      <c r="CM97" s="823">
        <v>344.2</v>
      </c>
      <c r="CN97" s="821">
        <v>75.7</v>
      </c>
      <c r="CO97" s="822">
        <v>130.4</v>
      </c>
      <c r="CP97" s="823">
        <v>115.2</v>
      </c>
      <c r="CQ97" s="824">
        <v>157.69999999999999</v>
      </c>
      <c r="CS97" s="1083"/>
      <c r="CT97" s="819"/>
      <c r="CU97" s="820">
        <v>4</v>
      </c>
      <c r="CV97" s="821">
        <v>77.8</v>
      </c>
      <c r="CW97" s="822">
        <v>295</v>
      </c>
      <c r="CX97" s="823">
        <v>320.60000000000002</v>
      </c>
      <c r="CY97" s="821">
        <v>85.1</v>
      </c>
      <c r="CZ97" s="822">
        <v>273.5</v>
      </c>
      <c r="DA97" s="823">
        <v>291.5</v>
      </c>
      <c r="DB97" s="821">
        <v>127.1</v>
      </c>
      <c r="DC97" s="823">
        <v>358.1</v>
      </c>
      <c r="DD97" s="821">
        <v>77.7</v>
      </c>
      <c r="DE97" s="822">
        <v>129</v>
      </c>
      <c r="DF97" s="823">
        <v>117.6</v>
      </c>
      <c r="DG97" s="824">
        <v>157.80000000000001</v>
      </c>
      <c r="DI97" s="1083"/>
      <c r="DJ97" s="819"/>
      <c r="DK97" s="820">
        <v>4</v>
      </c>
      <c r="DL97" s="821">
        <v>80.3</v>
      </c>
      <c r="DM97" s="822">
        <v>304.10000000000002</v>
      </c>
      <c r="DN97" s="823">
        <v>334.1</v>
      </c>
      <c r="DO97" s="821">
        <v>90.7</v>
      </c>
      <c r="DP97" s="822">
        <v>275.7</v>
      </c>
      <c r="DQ97" s="823">
        <v>311.10000000000002</v>
      </c>
      <c r="DR97" s="821">
        <v>134.69999999999999</v>
      </c>
      <c r="DS97" s="823">
        <v>371.1</v>
      </c>
      <c r="DT97" s="821">
        <v>77.900000000000006</v>
      </c>
      <c r="DU97" s="822">
        <v>139.1</v>
      </c>
      <c r="DV97" s="823">
        <v>121.1</v>
      </c>
      <c r="DW97" s="824">
        <v>158.6</v>
      </c>
      <c r="DY97" s="1083"/>
      <c r="DZ97" s="819"/>
      <c r="EA97" s="820">
        <v>4</v>
      </c>
      <c r="EB97" s="821">
        <v>85.1</v>
      </c>
      <c r="EC97" s="822">
        <v>316.3</v>
      </c>
      <c r="ED97" s="823">
        <v>347.9</v>
      </c>
      <c r="EE97" s="821">
        <v>96</v>
      </c>
      <c r="EF97" s="822">
        <v>286.5</v>
      </c>
      <c r="EG97" s="823">
        <v>313.2</v>
      </c>
      <c r="EH97" s="821">
        <v>140.1</v>
      </c>
      <c r="EI97" s="823">
        <v>385.9</v>
      </c>
      <c r="EJ97" s="821">
        <v>80.7</v>
      </c>
      <c r="EK97" s="822">
        <v>143.4</v>
      </c>
      <c r="EL97" s="823">
        <v>127.9</v>
      </c>
      <c r="EM97" s="824">
        <v>160</v>
      </c>
    </row>
    <row r="98" spans="17:143" ht="13.5" customHeight="1">
      <c r="Q98" s="1083"/>
      <c r="R98" s="819"/>
      <c r="S98" s="825">
        <v>5</v>
      </c>
      <c r="T98" s="826">
        <v>168.1</v>
      </c>
      <c r="U98" s="827">
        <v>516</v>
      </c>
      <c r="V98" s="828">
        <v>445.7</v>
      </c>
      <c r="W98" s="826">
        <v>136.4</v>
      </c>
      <c r="X98" s="827">
        <v>500.7</v>
      </c>
      <c r="Y98" s="828">
        <v>561.70000000000005</v>
      </c>
      <c r="Z98" s="826">
        <v>173.8</v>
      </c>
      <c r="AA98" s="828">
        <v>993.2</v>
      </c>
      <c r="AB98" s="826">
        <v>158.1</v>
      </c>
      <c r="AC98" s="827">
        <v>273.3</v>
      </c>
      <c r="AD98" s="828">
        <v>212.5</v>
      </c>
      <c r="AE98" s="824">
        <v>387.3</v>
      </c>
      <c r="AG98" s="1083"/>
      <c r="AH98" s="819"/>
      <c r="AI98" s="825">
        <v>5</v>
      </c>
      <c r="AJ98" s="826">
        <v>188.3</v>
      </c>
      <c r="AK98" s="827">
        <v>584.9</v>
      </c>
      <c r="AL98" s="828">
        <v>477.1</v>
      </c>
      <c r="AM98" s="826">
        <v>150.5</v>
      </c>
      <c r="AN98" s="827">
        <v>537.6</v>
      </c>
      <c r="AO98" s="828">
        <v>622</v>
      </c>
      <c r="AP98" s="826">
        <v>191</v>
      </c>
      <c r="AQ98" s="828">
        <v>1052.5999999999999</v>
      </c>
      <c r="AR98" s="826">
        <v>186.3</v>
      </c>
      <c r="AS98" s="827">
        <v>296.8</v>
      </c>
      <c r="AT98" s="828">
        <v>232.8</v>
      </c>
      <c r="AU98" s="824">
        <v>447.8</v>
      </c>
      <c r="AW98" s="1083"/>
      <c r="AX98" s="819"/>
      <c r="AY98" s="825">
        <v>5</v>
      </c>
      <c r="AZ98" s="826">
        <v>214.7</v>
      </c>
      <c r="BA98" s="827">
        <v>654.79999999999995</v>
      </c>
      <c r="BB98" s="828">
        <v>530.1</v>
      </c>
      <c r="BC98" s="826">
        <v>169.6</v>
      </c>
      <c r="BD98" s="827">
        <v>598.29999999999995</v>
      </c>
      <c r="BE98" s="828">
        <v>697</v>
      </c>
      <c r="BF98" s="826">
        <v>209.6</v>
      </c>
      <c r="BG98" s="828">
        <v>1141.8</v>
      </c>
      <c r="BH98" s="826">
        <v>212.6</v>
      </c>
      <c r="BI98" s="827">
        <v>327.2</v>
      </c>
      <c r="BJ98" s="828">
        <v>255.4</v>
      </c>
      <c r="BK98" s="824">
        <v>487.4</v>
      </c>
      <c r="BM98" s="1083"/>
      <c r="BN98" s="819"/>
      <c r="BO98" s="825">
        <v>5</v>
      </c>
      <c r="BP98" s="826" t="e">
        <v>#N/A</v>
      </c>
      <c r="BQ98" s="827">
        <v>747.6</v>
      </c>
      <c r="BR98" s="828">
        <v>587.4</v>
      </c>
      <c r="BS98" s="826">
        <v>187.7</v>
      </c>
      <c r="BT98" s="827">
        <v>666.7</v>
      </c>
      <c r="BU98" s="828">
        <v>778</v>
      </c>
      <c r="BV98" s="826">
        <v>232.6</v>
      </c>
      <c r="BW98" s="828">
        <v>1239.0999999999999</v>
      </c>
      <c r="BX98" s="826">
        <v>247.2</v>
      </c>
      <c r="BY98" s="827">
        <v>349.4</v>
      </c>
      <c r="BZ98" s="828">
        <v>280.7</v>
      </c>
      <c r="CA98" s="824">
        <v>533.70000000000005</v>
      </c>
      <c r="CC98" s="1083"/>
      <c r="CD98" s="819"/>
      <c r="CE98" s="825">
        <v>5</v>
      </c>
      <c r="CF98" s="826" t="e">
        <v>#N/A</v>
      </c>
      <c r="CG98" s="827">
        <v>859.7</v>
      </c>
      <c r="CH98" s="828">
        <v>649.79999999999995</v>
      </c>
      <c r="CI98" s="826">
        <v>203.9</v>
      </c>
      <c r="CJ98" s="827">
        <v>754.9</v>
      </c>
      <c r="CK98" s="828">
        <v>854.1</v>
      </c>
      <c r="CL98" s="826">
        <v>258.60000000000002</v>
      </c>
      <c r="CM98" s="828">
        <v>1337.2</v>
      </c>
      <c r="CN98" s="826">
        <v>279.5</v>
      </c>
      <c r="CO98" s="827">
        <v>376.2</v>
      </c>
      <c r="CP98" s="828">
        <v>311.89999999999998</v>
      </c>
      <c r="CQ98" s="824">
        <v>588.70000000000005</v>
      </c>
      <c r="CS98" s="1083"/>
      <c r="CT98" s="819"/>
      <c r="CU98" s="825">
        <v>5</v>
      </c>
      <c r="CV98" s="826">
        <v>222</v>
      </c>
      <c r="CW98" s="827">
        <v>914.5</v>
      </c>
      <c r="CX98" s="828">
        <v>711.8</v>
      </c>
      <c r="CY98" s="826">
        <v>222.1</v>
      </c>
      <c r="CZ98" s="827">
        <v>868.1</v>
      </c>
      <c r="DA98" s="828">
        <v>926.2</v>
      </c>
      <c r="DB98" s="826">
        <v>286.2</v>
      </c>
      <c r="DC98" s="828">
        <v>1429.8</v>
      </c>
      <c r="DD98" s="826">
        <v>306.89999999999998</v>
      </c>
      <c r="DE98" s="827">
        <v>414.1</v>
      </c>
      <c r="DF98" s="828">
        <v>346</v>
      </c>
      <c r="DG98" s="824">
        <v>633.70000000000005</v>
      </c>
      <c r="DI98" s="1083"/>
      <c r="DJ98" s="819"/>
      <c r="DK98" s="825">
        <v>5</v>
      </c>
      <c r="DL98" s="826">
        <v>239</v>
      </c>
      <c r="DM98" s="827">
        <v>987.5</v>
      </c>
      <c r="DN98" s="828">
        <v>762.5</v>
      </c>
      <c r="DO98" s="826">
        <v>244.5</v>
      </c>
      <c r="DP98" s="827">
        <v>950.5</v>
      </c>
      <c r="DQ98" s="828">
        <v>1006.1</v>
      </c>
      <c r="DR98" s="826">
        <v>315.5</v>
      </c>
      <c r="DS98" s="828">
        <v>1519.9</v>
      </c>
      <c r="DT98" s="826">
        <v>313.60000000000002</v>
      </c>
      <c r="DU98" s="827">
        <v>451.6</v>
      </c>
      <c r="DV98" s="828">
        <v>377.7</v>
      </c>
      <c r="DW98" s="824">
        <v>675.9</v>
      </c>
      <c r="DY98" s="1083"/>
      <c r="DZ98" s="819"/>
      <c r="EA98" s="825">
        <v>5</v>
      </c>
      <c r="EB98" s="826">
        <v>236.5</v>
      </c>
      <c r="EC98" s="827">
        <v>1054.5</v>
      </c>
      <c r="ED98" s="828">
        <v>812.3</v>
      </c>
      <c r="EE98" s="826">
        <v>263.60000000000002</v>
      </c>
      <c r="EF98" s="827">
        <v>999.1</v>
      </c>
      <c r="EG98" s="828">
        <v>1075.8</v>
      </c>
      <c r="EH98" s="826">
        <v>346.7</v>
      </c>
      <c r="EI98" s="828">
        <v>1612.4</v>
      </c>
      <c r="EJ98" s="826">
        <v>325.89999999999998</v>
      </c>
      <c r="EK98" s="827">
        <v>482.7</v>
      </c>
      <c r="EL98" s="828">
        <v>415.7</v>
      </c>
      <c r="EM98" s="824">
        <v>708.1</v>
      </c>
    </row>
    <row r="99" spans="17:143" ht="13.5" customHeight="1">
      <c r="Q99" s="1083"/>
      <c r="R99" s="819"/>
      <c r="S99" s="829" t="s">
        <v>563</v>
      </c>
      <c r="T99" s="830">
        <v>12.4</v>
      </c>
      <c r="U99" s="831">
        <v>169</v>
      </c>
      <c r="V99" s="832">
        <v>50.8</v>
      </c>
      <c r="W99" s="830">
        <v>12.2</v>
      </c>
      <c r="X99" s="831">
        <v>79.2</v>
      </c>
      <c r="Y99" s="832">
        <v>40.1</v>
      </c>
      <c r="Z99" s="830">
        <v>33.299999999999997</v>
      </c>
      <c r="AA99" s="832">
        <v>33.5</v>
      </c>
      <c r="AB99" s="830">
        <v>8.1999999999999993</v>
      </c>
      <c r="AC99" s="831">
        <v>8.4</v>
      </c>
      <c r="AD99" s="832">
        <v>2.5</v>
      </c>
      <c r="AE99" s="833">
        <v>25.7</v>
      </c>
      <c r="AG99" s="1083"/>
      <c r="AH99" s="819"/>
      <c r="AI99" s="829" t="s">
        <v>563</v>
      </c>
      <c r="AJ99" s="830">
        <v>8.9</v>
      </c>
      <c r="AK99" s="831">
        <v>198</v>
      </c>
      <c r="AL99" s="832">
        <v>58.3</v>
      </c>
      <c r="AM99" s="830">
        <v>12.9</v>
      </c>
      <c r="AN99" s="831">
        <v>87.4</v>
      </c>
      <c r="AO99" s="832">
        <v>45.2</v>
      </c>
      <c r="AP99" s="830">
        <v>36.4</v>
      </c>
      <c r="AQ99" s="832">
        <v>35.6</v>
      </c>
      <c r="AR99" s="830">
        <v>9.6</v>
      </c>
      <c r="AS99" s="831">
        <v>7.9</v>
      </c>
      <c r="AT99" s="832">
        <v>2.7</v>
      </c>
      <c r="AU99" s="833">
        <v>28.3</v>
      </c>
      <c r="AW99" s="1083"/>
      <c r="AX99" s="819"/>
      <c r="AY99" s="829" t="s">
        <v>563</v>
      </c>
      <c r="AZ99" s="830">
        <v>11.4</v>
      </c>
      <c r="BA99" s="831">
        <v>231.4</v>
      </c>
      <c r="BB99" s="832">
        <v>64.7</v>
      </c>
      <c r="BC99" s="830">
        <v>15.2</v>
      </c>
      <c r="BD99" s="831">
        <v>99.6</v>
      </c>
      <c r="BE99" s="832">
        <v>51.7</v>
      </c>
      <c r="BF99" s="830">
        <v>42.1</v>
      </c>
      <c r="BG99" s="832">
        <v>38.9</v>
      </c>
      <c r="BH99" s="830">
        <v>11.4</v>
      </c>
      <c r="BI99" s="831">
        <v>8.5</v>
      </c>
      <c r="BJ99" s="832">
        <v>3.1</v>
      </c>
      <c r="BK99" s="833">
        <v>32.1</v>
      </c>
      <c r="BM99" s="1083"/>
      <c r="BN99" s="819"/>
      <c r="BO99" s="829" t="s">
        <v>563</v>
      </c>
      <c r="BP99" s="830">
        <v>11.4</v>
      </c>
      <c r="BQ99" s="831">
        <v>273.3</v>
      </c>
      <c r="BR99" s="832">
        <v>73.2</v>
      </c>
      <c r="BS99" s="830">
        <v>19.7</v>
      </c>
      <c r="BT99" s="831">
        <v>114.7</v>
      </c>
      <c r="BU99" s="832">
        <v>59.1</v>
      </c>
      <c r="BV99" s="830">
        <v>48.7</v>
      </c>
      <c r="BW99" s="832">
        <v>42.8</v>
      </c>
      <c r="BX99" s="830">
        <v>15.2</v>
      </c>
      <c r="BY99" s="831">
        <v>9.8000000000000007</v>
      </c>
      <c r="BZ99" s="832">
        <v>13.7</v>
      </c>
      <c r="CA99" s="833">
        <v>38.6</v>
      </c>
      <c r="CC99" s="1083"/>
      <c r="CD99" s="819"/>
      <c r="CE99" s="829" t="s">
        <v>563</v>
      </c>
      <c r="CF99" s="830">
        <v>16.399999999999999</v>
      </c>
      <c r="CG99" s="831">
        <v>322.60000000000002</v>
      </c>
      <c r="CH99" s="832">
        <v>82.3</v>
      </c>
      <c r="CI99" s="830">
        <v>25.1</v>
      </c>
      <c r="CJ99" s="831">
        <v>134.19999999999999</v>
      </c>
      <c r="CK99" s="832">
        <v>67</v>
      </c>
      <c r="CL99" s="830">
        <v>57.3</v>
      </c>
      <c r="CM99" s="832">
        <v>46.6</v>
      </c>
      <c r="CN99" s="830">
        <v>20.9</v>
      </c>
      <c r="CO99" s="831">
        <v>11.4</v>
      </c>
      <c r="CP99" s="832">
        <v>4</v>
      </c>
      <c r="CQ99" s="833">
        <v>43.6</v>
      </c>
      <c r="CS99" s="1083"/>
      <c r="CT99" s="819"/>
      <c r="CU99" s="829" t="s">
        <v>563</v>
      </c>
      <c r="CV99" s="830">
        <v>21.8</v>
      </c>
      <c r="CW99" s="831">
        <v>357.5</v>
      </c>
      <c r="CX99" s="832">
        <v>90.8</v>
      </c>
      <c r="CY99" s="830">
        <v>31.1</v>
      </c>
      <c r="CZ99" s="831">
        <v>157.5</v>
      </c>
      <c r="DA99" s="832">
        <v>75.400000000000006</v>
      </c>
      <c r="DB99" s="830">
        <v>65.900000000000006</v>
      </c>
      <c r="DC99" s="832">
        <v>50.3</v>
      </c>
      <c r="DD99" s="830">
        <v>26.7</v>
      </c>
      <c r="DE99" s="831">
        <v>13.2</v>
      </c>
      <c r="DF99" s="832">
        <v>15.1</v>
      </c>
      <c r="DG99" s="833">
        <v>51.1</v>
      </c>
      <c r="DI99" s="1083"/>
      <c r="DJ99" s="819"/>
      <c r="DK99" s="829" t="s">
        <v>563</v>
      </c>
      <c r="DL99" s="830">
        <v>26.4</v>
      </c>
      <c r="DM99" s="831">
        <v>395.1</v>
      </c>
      <c r="DN99" s="832">
        <v>99.1</v>
      </c>
      <c r="DO99" s="830">
        <v>37.1</v>
      </c>
      <c r="DP99" s="831">
        <v>180.2</v>
      </c>
      <c r="DQ99" s="832">
        <v>84.6</v>
      </c>
      <c r="DR99" s="830">
        <v>75.2</v>
      </c>
      <c r="DS99" s="832">
        <v>53.9</v>
      </c>
      <c r="DT99" s="830">
        <v>32.6</v>
      </c>
      <c r="DU99" s="831">
        <v>15.2</v>
      </c>
      <c r="DV99" s="832">
        <v>4.9000000000000004</v>
      </c>
      <c r="DW99" s="833">
        <v>56.1</v>
      </c>
      <c r="DY99" s="1083"/>
      <c r="DZ99" s="819"/>
      <c r="EA99" s="829" t="s">
        <v>563</v>
      </c>
      <c r="EB99" s="830">
        <v>30.9</v>
      </c>
      <c r="EC99" s="831">
        <v>431.2</v>
      </c>
      <c r="ED99" s="832">
        <v>106.4</v>
      </c>
      <c r="EE99" s="830">
        <v>43.8</v>
      </c>
      <c r="EF99" s="831">
        <v>197.5</v>
      </c>
      <c r="EG99" s="832">
        <v>93.3</v>
      </c>
      <c r="EH99" s="830">
        <v>84.9</v>
      </c>
      <c r="EI99" s="832">
        <v>57.1</v>
      </c>
      <c r="EJ99" s="830">
        <v>38.299999999999997</v>
      </c>
      <c r="EK99" s="831">
        <v>17.100000000000001</v>
      </c>
      <c r="EL99" s="832">
        <v>19.8</v>
      </c>
      <c r="EM99" s="833">
        <v>64</v>
      </c>
    </row>
    <row r="100" spans="17:143" ht="13.5" customHeight="1">
      <c r="Q100" s="834" t="s">
        <v>356</v>
      </c>
      <c r="R100" s="835"/>
      <c r="S100" s="836" t="s">
        <v>6</v>
      </c>
      <c r="T100" s="837">
        <v>0</v>
      </c>
      <c r="U100" s="838">
        <v>0</v>
      </c>
      <c r="V100" s="839">
        <v>0</v>
      </c>
      <c r="W100" s="837">
        <v>0</v>
      </c>
      <c r="X100" s="838">
        <v>0</v>
      </c>
      <c r="Y100" s="839">
        <v>0</v>
      </c>
      <c r="Z100" s="837">
        <v>0</v>
      </c>
      <c r="AA100" s="839">
        <v>0</v>
      </c>
      <c r="AB100" s="837">
        <v>0</v>
      </c>
      <c r="AC100" s="838">
        <v>0</v>
      </c>
      <c r="AD100" s="839">
        <v>0</v>
      </c>
      <c r="AE100" s="840">
        <v>0</v>
      </c>
      <c r="AG100" s="834" t="s">
        <v>356</v>
      </c>
      <c r="AH100" s="835"/>
      <c r="AI100" s="836" t="s">
        <v>6</v>
      </c>
      <c r="AJ100" s="837">
        <v>0</v>
      </c>
      <c r="AK100" s="838">
        <v>0</v>
      </c>
      <c r="AL100" s="839">
        <v>0</v>
      </c>
      <c r="AM100" s="837">
        <v>0</v>
      </c>
      <c r="AN100" s="838">
        <v>0</v>
      </c>
      <c r="AO100" s="839">
        <v>0</v>
      </c>
      <c r="AP100" s="837">
        <v>0</v>
      </c>
      <c r="AQ100" s="839">
        <v>0</v>
      </c>
      <c r="AR100" s="837">
        <v>0</v>
      </c>
      <c r="AS100" s="838">
        <v>0</v>
      </c>
      <c r="AT100" s="839">
        <v>0</v>
      </c>
      <c r="AU100" s="840">
        <v>0</v>
      </c>
      <c r="AW100" s="834" t="s">
        <v>356</v>
      </c>
      <c r="AX100" s="835"/>
      <c r="AY100" s="836" t="s">
        <v>6</v>
      </c>
      <c r="AZ100" s="837">
        <v>0</v>
      </c>
      <c r="BA100" s="838">
        <v>0</v>
      </c>
      <c r="BB100" s="839">
        <v>0</v>
      </c>
      <c r="BC100" s="837">
        <v>0</v>
      </c>
      <c r="BD100" s="838">
        <v>0</v>
      </c>
      <c r="BE100" s="839">
        <v>0</v>
      </c>
      <c r="BF100" s="837">
        <v>0</v>
      </c>
      <c r="BG100" s="839">
        <v>0</v>
      </c>
      <c r="BH100" s="837">
        <v>0</v>
      </c>
      <c r="BI100" s="838">
        <v>0</v>
      </c>
      <c r="BJ100" s="839">
        <v>0</v>
      </c>
      <c r="BK100" s="840">
        <v>0</v>
      </c>
      <c r="BM100" s="834" t="s">
        <v>356</v>
      </c>
      <c r="BN100" s="835"/>
      <c r="BO100" s="836" t="s">
        <v>6</v>
      </c>
      <c r="BP100" s="837">
        <v>0</v>
      </c>
      <c r="BQ100" s="838">
        <v>0</v>
      </c>
      <c r="BR100" s="839">
        <v>0</v>
      </c>
      <c r="BS100" s="837">
        <v>0</v>
      </c>
      <c r="BT100" s="838">
        <v>0</v>
      </c>
      <c r="BU100" s="839">
        <v>0</v>
      </c>
      <c r="BV100" s="837">
        <v>0</v>
      </c>
      <c r="BW100" s="839">
        <v>0</v>
      </c>
      <c r="BX100" s="837">
        <v>0</v>
      </c>
      <c r="BY100" s="838">
        <v>0</v>
      </c>
      <c r="BZ100" s="839">
        <v>0</v>
      </c>
      <c r="CA100" s="840">
        <v>0</v>
      </c>
      <c r="CC100" s="834" t="s">
        <v>356</v>
      </c>
      <c r="CD100" s="835"/>
      <c r="CE100" s="836" t="s">
        <v>6</v>
      </c>
      <c r="CF100" s="837">
        <v>0</v>
      </c>
      <c r="CG100" s="838">
        <v>0</v>
      </c>
      <c r="CH100" s="839">
        <v>0</v>
      </c>
      <c r="CI100" s="837">
        <v>0</v>
      </c>
      <c r="CJ100" s="838">
        <v>0</v>
      </c>
      <c r="CK100" s="839">
        <v>0</v>
      </c>
      <c r="CL100" s="837">
        <v>0</v>
      </c>
      <c r="CM100" s="839">
        <v>0</v>
      </c>
      <c r="CN100" s="837">
        <v>0</v>
      </c>
      <c r="CO100" s="838">
        <v>0</v>
      </c>
      <c r="CP100" s="839">
        <v>0</v>
      </c>
      <c r="CQ100" s="840">
        <v>0</v>
      </c>
      <c r="CS100" s="834" t="s">
        <v>356</v>
      </c>
      <c r="CT100" s="835"/>
      <c r="CU100" s="836" t="s">
        <v>6</v>
      </c>
      <c r="CV100" s="837">
        <v>0</v>
      </c>
      <c r="CW100" s="838">
        <v>0</v>
      </c>
      <c r="CX100" s="839">
        <v>0</v>
      </c>
      <c r="CY100" s="837">
        <v>0</v>
      </c>
      <c r="CZ100" s="838">
        <v>0</v>
      </c>
      <c r="DA100" s="839">
        <v>0</v>
      </c>
      <c r="DB100" s="837">
        <v>0</v>
      </c>
      <c r="DC100" s="839">
        <v>0</v>
      </c>
      <c r="DD100" s="837">
        <v>0</v>
      </c>
      <c r="DE100" s="838">
        <v>0</v>
      </c>
      <c r="DF100" s="839">
        <v>0</v>
      </c>
      <c r="DG100" s="840">
        <v>0</v>
      </c>
      <c r="DI100" s="834" t="s">
        <v>356</v>
      </c>
      <c r="DJ100" s="835"/>
      <c r="DK100" s="836" t="s">
        <v>6</v>
      </c>
      <c r="DL100" s="837">
        <v>0</v>
      </c>
      <c r="DM100" s="838">
        <v>0</v>
      </c>
      <c r="DN100" s="839">
        <v>0</v>
      </c>
      <c r="DO100" s="837">
        <v>0</v>
      </c>
      <c r="DP100" s="838">
        <v>0</v>
      </c>
      <c r="DQ100" s="839">
        <v>0</v>
      </c>
      <c r="DR100" s="837">
        <v>0</v>
      </c>
      <c r="DS100" s="839">
        <v>0</v>
      </c>
      <c r="DT100" s="837">
        <v>0</v>
      </c>
      <c r="DU100" s="838">
        <v>0</v>
      </c>
      <c r="DV100" s="839">
        <v>0</v>
      </c>
      <c r="DW100" s="840">
        <v>0</v>
      </c>
      <c r="DY100" s="834" t="s">
        <v>356</v>
      </c>
      <c r="DZ100" s="835"/>
      <c r="EA100" s="836" t="s">
        <v>6</v>
      </c>
      <c r="EB100" s="837">
        <v>0</v>
      </c>
      <c r="EC100" s="838">
        <v>0</v>
      </c>
      <c r="ED100" s="839">
        <v>0</v>
      </c>
      <c r="EE100" s="837">
        <v>0</v>
      </c>
      <c r="EF100" s="838">
        <v>0</v>
      </c>
      <c r="EG100" s="839">
        <v>0</v>
      </c>
      <c r="EH100" s="837">
        <v>0</v>
      </c>
      <c r="EI100" s="839">
        <v>0</v>
      </c>
      <c r="EJ100" s="837">
        <v>0</v>
      </c>
      <c r="EK100" s="838">
        <v>0</v>
      </c>
      <c r="EL100" s="839">
        <v>0</v>
      </c>
      <c r="EM100" s="840">
        <v>0</v>
      </c>
    </row>
    <row r="101" spans="17:143" ht="13.5" customHeight="1">
      <c r="Q101" s="834" t="s">
        <v>357</v>
      </c>
      <c r="R101" s="835"/>
      <c r="S101" s="841" t="s">
        <v>6</v>
      </c>
      <c r="T101" s="842">
        <v>0</v>
      </c>
      <c r="U101" s="843">
        <v>0</v>
      </c>
      <c r="V101" s="844">
        <v>0</v>
      </c>
      <c r="W101" s="842">
        <v>0</v>
      </c>
      <c r="X101" s="843">
        <v>0</v>
      </c>
      <c r="Y101" s="844">
        <v>0</v>
      </c>
      <c r="Z101" s="842">
        <v>0</v>
      </c>
      <c r="AA101" s="844">
        <v>0</v>
      </c>
      <c r="AB101" s="842">
        <v>0</v>
      </c>
      <c r="AC101" s="843">
        <v>0</v>
      </c>
      <c r="AD101" s="844">
        <v>0</v>
      </c>
      <c r="AE101" s="824">
        <v>0</v>
      </c>
      <c r="AG101" s="834" t="s">
        <v>357</v>
      </c>
      <c r="AH101" s="835"/>
      <c r="AI101" s="841" t="s">
        <v>6</v>
      </c>
      <c r="AJ101" s="842">
        <v>0</v>
      </c>
      <c r="AK101" s="843">
        <v>0</v>
      </c>
      <c r="AL101" s="844">
        <v>0</v>
      </c>
      <c r="AM101" s="842">
        <v>0</v>
      </c>
      <c r="AN101" s="843">
        <v>0</v>
      </c>
      <c r="AO101" s="844">
        <v>0</v>
      </c>
      <c r="AP101" s="842">
        <v>0</v>
      </c>
      <c r="AQ101" s="844">
        <v>0</v>
      </c>
      <c r="AR101" s="842">
        <v>0</v>
      </c>
      <c r="AS101" s="843">
        <v>0</v>
      </c>
      <c r="AT101" s="844">
        <v>0</v>
      </c>
      <c r="AU101" s="824">
        <v>0</v>
      </c>
      <c r="AW101" s="834" t="s">
        <v>357</v>
      </c>
      <c r="AX101" s="835"/>
      <c r="AY101" s="841" t="s">
        <v>6</v>
      </c>
      <c r="AZ101" s="842">
        <v>0</v>
      </c>
      <c r="BA101" s="843">
        <v>0</v>
      </c>
      <c r="BB101" s="844">
        <v>0</v>
      </c>
      <c r="BC101" s="842">
        <v>0</v>
      </c>
      <c r="BD101" s="843">
        <v>0</v>
      </c>
      <c r="BE101" s="844">
        <v>0</v>
      </c>
      <c r="BF101" s="842">
        <v>0</v>
      </c>
      <c r="BG101" s="844">
        <v>0</v>
      </c>
      <c r="BH101" s="842">
        <v>0</v>
      </c>
      <c r="BI101" s="843">
        <v>0</v>
      </c>
      <c r="BJ101" s="844">
        <v>0</v>
      </c>
      <c r="BK101" s="824">
        <v>0</v>
      </c>
      <c r="BM101" s="834" t="s">
        <v>357</v>
      </c>
      <c r="BN101" s="835"/>
      <c r="BO101" s="841" t="s">
        <v>6</v>
      </c>
      <c r="BP101" s="842">
        <v>0</v>
      </c>
      <c r="BQ101" s="843">
        <v>0</v>
      </c>
      <c r="BR101" s="844">
        <v>0</v>
      </c>
      <c r="BS101" s="842">
        <v>0</v>
      </c>
      <c r="BT101" s="843">
        <v>0</v>
      </c>
      <c r="BU101" s="844">
        <v>0</v>
      </c>
      <c r="BV101" s="842">
        <v>0</v>
      </c>
      <c r="BW101" s="844">
        <v>0</v>
      </c>
      <c r="BX101" s="842">
        <v>0</v>
      </c>
      <c r="BY101" s="843">
        <v>0</v>
      </c>
      <c r="BZ101" s="844">
        <v>0</v>
      </c>
      <c r="CA101" s="824">
        <v>0</v>
      </c>
      <c r="CC101" s="834" t="s">
        <v>357</v>
      </c>
      <c r="CD101" s="835"/>
      <c r="CE101" s="841" t="s">
        <v>6</v>
      </c>
      <c r="CF101" s="842">
        <v>0</v>
      </c>
      <c r="CG101" s="843">
        <v>0</v>
      </c>
      <c r="CH101" s="844">
        <v>0</v>
      </c>
      <c r="CI101" s="842">
        <v>0</v>
      </c>
      <c r="CJ101" s="843">
        <v>0</v>
      </c>
      <c r="CK101" s="844">
        <v>0</v>
      </c>
      <c r="CL101" s="842">
        <v>0</v>
      </c>
      <c r="CM101" s="844">
        <v>0</v>
      </c>
      <c r="CN101" s="842">
        <v>0</v>
      </c>
      <c r="CO101" s="843">
        <v>0</v>
      </c>
      <c r="CP101" s="844">
        <v>0</v>
      </c>
      <c r="CQ101" s="824">
        <v>0</v>
      </c>
      <c r="CS101" s="834" t="s">
        <v>357</v>
      </c>
      <c r="CT101" s="835"/>
      <c r="CU101" s="841" t="s">
        <v>6</v>
      </c>
      <c r="CV101" s="842">
        <v>0</v>
      </c>
      <c r="CW101" s="843">
        <v>0</v>
      </c>
      <c r="CX101" s="844">
        <v>0</v>
      </c>
      <c r="CY101" s="842">
        <v>0</v>
      </c>
      <c r="CZ101" s="843">
        <v>0</v>
      </c>
      <c r="DA101" s="844">
        <v>0</v>
      </c>
      <c r="DB101" s="842">
        <v>0</v>
      </c>
      <c r="DC101" s="844">
        <v>0</v>
      </c>
      <c r="DD101" s="842">
        <v>0</v>
      </c>
      <c r="DE101" s="843">
        <v>0</v>
      </c>
      <c r="DF101" s="844">
        <v>0</v>
      </c>
      <c r="DG101" s="824">
        <v>0</v>
      </c>
      <c r="DI101" s="834" t="s">
        <v>357</v>
      </c>
      <c r="DJ101" s="835"/>
      <c r="DK101" s="841" t="s">
        <v>6</v>
      </c>
      <c r="DL101" s="842">
        <v>0</v>
      </c>
      <c r="DM101" s="843">
        <v>0</v>
      </c>
      <c r="DN101" s="844">
        <v>0</v>
      </c>
      <c r="DO101" s="842">
        <v>0</v>
      </c>
      <c r="DP101" s="843">
        <v>0</v>
      </c>
      <c r="DQ101" s="844">
        <v>0</v>
      </c>
      <c r="DR101" s="842">
        <v>0</v>
      </c>
      <c r="DS101" s="844">
        <v>0</v>
      </c>
      <c r="DT101" s="842">
        <v>0</v>
      </c>
      <c r="DU101" s="843">
        <v>0</v>
      </c>
      <c r="DV101" s="844">
        <v>0</v>
      </c>
      <c r="DW101" s="824">
        <v>0</v>
      </c>
      <c r="DY101" s="834" t="s">
        <v>357</v>
      </c>
      <c r="DZ101" s="835"/>
      <c r="EA101" s="841" t="s">
        <v>6</v>
      </c>
      <c r="EB101" s="842">
        <v>0</v>
      </c>
      <c r="EC101" s="843">
        <v>0</v>
      </c>
      <c r="ED101" s="844">
        <v>0</v>
      </c>
      <c r="EE101" s="842">
        <v>0</v>
      </c>
      <c r="EF101" s="843">
        <v>0</v>
      </c>
      <c r="EG101" s="844">
        <v>0</v>
      </c>
      <c r="EH101" s="842">
        <v>0</v>
      </c>
      <c r="EI101" s="844">
        <v>0</v>
      </c>
      <c r="EJ101" s="842">
        <v>0</v>
      </c>
      <c r="EK101" s="843">
        <v>0</v>
      </c>
      <c r="EL101" s="844">
        <v>0</v>
      </c>
      <c r="EM101" s="824">
        <v>0</v>
      </c>
    </row>
    <row r="102" spans="17:143" ht="13.5" customHeight="1">
      <c r="Q102" s="834" t="s">
        <v>358</v>
      </c>
      <c r="R102" s="835"/>
      <c r="S102" s="841" t="s">
        <v>6</v>
      </c>
      <c r="T102" s="842">
        <v>13.2</v>
      </c>
      <c r="U102" s="843">
        <v>33.5</v>
      </c>
      <c r="V102" s="844">
        <v>38.200000000000003</v>
      </c>
      <c r="W102" s="842">
        <v>7.1</v>
      </c>
      <c r="X102" s="843">
        <v>10.1</v>
      </c>
      <c r="Y102" s="844">
        <v>11.8</v>
      </c>
      <c r="Z102" s="842">
        <v>6</v>
      </c>
      <c r="AA102" s="844">
        <v>8.4</v>
      </c>
      <c r="AB102" s="842">
        <v>1.6</v>
      </c>
      <c r="AC102" s="843">
        <v>1.6</v>
      </c>
      <c r="AD102" s="844">
        <v>1.8</v>
      </c>
      <c r="AE102" s="824">
        <v>9.3000000000000007</v>
      </c>
      <c r="AG102" s="834" t="s">
        <v>358</v>
      </c>
      <c r="AH102" s="835"/>
      <c r="AI102" s="841" t="s">
        <v>6</v>
      </c>
      <c r="AJ102" s="842">
        <v>6.9</v>
      </c>
      <c r="AK102" s="843">
        <v>17.2</v>
      </c>
      <c r="AL102" s="844">
        <v>18.600000000000001</v>
      </c>
      <c r="AM102" s="842">
        <v>3.7</v>
      </c>
      <c r="AN102" s="843">
        <v>5.4</v>
      </c>
      <c r="AO102" s="844">
        <v>6.2</v>
      </c>
      <c r="AP102" s="842">
        <v>3.2</v>
      </c>
      <c r="AQ102" s="844">
        <v>4.4000000000000004</v>
      </c>
      <c r="AR102" s="842">
        <v>0.9</v>
      </c>
      <c r="AS102" s="843">
        <v>0.8</v>
      </c>
      <c r="AT102" s="844">
        <v>0.9</v>
      </c>
      <c r="AU102" s="824">
        <v>5</v>
      </c>
      <c r="AW102" s="834" t="s">
        <v>358</v>
      </c>
      <c r="AX102" s="835"/>
      <c r="AY102" s="841" t="s">
        <v>6</v>
      </c>
      <c r="AZ102" s="842">
        <v>4.9000000000000004</v>
      </c>
      <c r="BA102" s="843">
        <v>13.8</v>
      </c>
      <c r="BB102" s="844">
        <v>14.5</v>
      </c>
      <c r="BC102" s="842">
        <v>2.6</v>
      </c>
      <c r="BD102" s="843">
        <v>3.5</v>
      </c>
      <c r="BE102" s="844">
        <v>3.8</v>
      </c>
      <c r="BF102" s="842">
        <v>2.2000000000000002</v>
      </c>
      <c r="BG102" s="844">
        <v>2.8</v>
      </c>
      <c r="BH102" s="842">
        <v>0.6</v>
      </c>
      <c r="BI102" s="843">
        <v>0.5</v>
      </c>
      <c r="BJ102" s="844">
        <v>0.6</v>
      </c>
      <c r="BK102" s="824">
        <v>3.6</v>
      </c>
      <c r="BM102" s="834" t="s">
        <v>358</v>
      </c>
      <c r="BN102" s="835"/>
      <c r="BO102" s="841" t="s">
        <v>6</v>
      </c>
      <c r="BP102" s="842">
        <v>4.4000000000000004</v>
      </c>
      <c r="BQ102" s="843">
        <v>8.5</v>
      </c>
      <c r="BR102" s="844">
        <v>8.1</v>
      </c>
      <c r="BS102" s="842">
        <v>2.2999999999999998</v>
      </c>
      <c r="BT102" s="843">
        <v>2.9</v>
      </c>
      <c r="BU102" s="844">
        <v>3.1</v>
      </c>
      <c r="BV102" s="842">
        <v>1.9</v>
      </c>
      <c r="BW102" s="844">
        <v>2.2999999999999998</v>
      </c>
      <c r="BX102" s="842">
        <v>0.5</v>
      </c>
      <c r="BY102" s="843">
        <v>0.4</v>
      </c>
      <c r="BZ102" s="844">
        <v>0.5</v>
      </c>
      <c r="CA102" s="824">
        <v>2.6</v>
      </c>
      <c r="CC102" s="834" t="s">
        <v>358</v>
      </c>
      <c r="CD102" s="835"/>
      <c r="CE102" s="841" t="s">
        <v>6</v>
      </c>
      <c r="CF102" s="842">
        <v>4.4000000000000004</v>
      </c>
      <c r="CG102" s="843">
        <v>7.1</v>
      </c>
      <c r="CH102" s="844">
        <v>6.5</v>
      </c>
      <c r="CI102" s="842">
        <v>2.2999999999999998</v>
      </c>
      <c r="CJ102" s="843">
        <v>2.7</v>
      </c>
      <c r="CK102" s="844">
        <v>2.8</v>
      </c>
      <c r="CL102" s="842">
        <v>2</v>
      </c>
      <c r="CM102" s="844">
        <v>2.2999999999999998</v>
      </c>
      <c r="CN102" s="842">
        <v>0.6</v>
      </c>
      <c r="CO102" s="843">
        <v>0.6</v>
      </c>
      <c r="CP102" s="844">
        <v>0.6</v>
      </c>
      <c r="CQ102" s="824">
        <v>2.4</v>
      </c>
      <c r="CS102" s="834" t="s">
        <v>358</v>
      </c>
      <c r="CT102" s="835"/>
      <c r="CU102" s="841" t="s">
        <v>6</v>
      </c>
      <c r="CV102" s="842">
        <v>5</v>
      </c>
      <c r="CW102" s="843">
        <v>9.6999999999999993</v>
      </c>
      <c r="CX102" s="844">
        <v>9.1</v>
      </c>
      <c r="CY102" s="842">
        <v>2.6</v>
      </c>
      <c r="CZ102" s="843">
        <v>3.2</v>
      </c>
      <c r="DA102" s="844">
        <v>3.3</v>
      </c>
      <c r="DB102" s="842">
        <v>2.1</v>
      </c>
      <c r="DC102" s="844">
        <v>2.5</v>
      </c>
      <c r="DD102" s="842">
        <v>0.6</v>
      </c>
      <c r="DE102" s="843">
        <v>0.5</v>
      </c>
      <c r="DF102" s="844">
        <v>0.5</v>
      </c>
      <c r="DG102" s="824">
        <v>2.8</v>
      </c>
      <c r="DI102" s="834" t="s">
        <v>358</v>
      </c>
      <c r="DJ102" s="835"/>
      <c r="DK102" s="841" t="s">
        <v>6</v>
      </c>
      <c r="DL102" s="842">
        <v>5.3</v>
      </c>
      <c r="DM102" s="843">
        <v>10.5</v>
      </c>
      <c r="DN102" s="844">
        <v>9.8000000000000007</v>
      </c>
      <c r="DO102" s="842">
        <v>2.8</v>
      </c>
      <c r="DP102" s="843">
        <v>3.4</v>
      </c>
      <c r="DQ102" s="844">
        <v>3.6</v>
      </c>
      <c r="DR102" s="842">
        <v>2.2999999999999998</v>
      </c>
      <c r="DS102" s="844">
        <v>2.6</v>
      </c>
      <c r="DT102" s="842">
        <v>0.6</v>
      </c>
      <c r="DU102" s="843">
        <v>0.5</v>
      </c>
      <c r="DV102" s="844">
        <v>0.5</v>
      </c>
      <c r="DW102" s="824">
        <v>3</v>
      </c>
      <c r="DY102" s="834" t="s">
        <v>358</v>
      </c>
      <c r="DZ102" s="835"/>
      <c r="EA102" s="841" t="s">
        <v>6</v>
      </c>
      <c r="EB102" s="842">
        <v>5.7</v>
      </c>
      <c r="EC102" s="843">
        <v>11.4</v>
      </c>
      <c r="ED102" s="844">
        <v>10.5</v>
      </c>
      <c r="EE102" s="842">
        <v>3</v>
      </c>
      <c r="EF102" s="843">
        <v>3.7</v>
      </c>
      <c r="EG102" s="844">
        <v>3.8</v>
      </c>
      <c r="EH102" s="842">
        <v>2.5</v>
      </c>
      <c r="EI102" s="844">
        <v>2.8</v>
      </c>
      <c r="EJ102" s="842">
        <v>0.7</v>
      </c>
      <c r="EK102" s="843">
        <v>0.5</v>
      </c>
      <c r="EL102" s="844">
        <v>0.6</v>
      </c>
      <c r="EM102" s="824">
        <v>3.3</v>
      </c>
    </row>
    <row r="103" spans="17:143" ht="13.5" customHeight="1">
      <c r="Q103" s="834" t="s">
        <v>359</v>
      </c>
      <c r="R103" s="835"/>
      <c r="S103" s="841" t="s">
        <v>6</v>
      </c>
      <c r="T103" s="842">
        <v>0</v>
      </c>
      <c r="U103" s="843">
        <v>0</v>
      </c>
      <c r="V103" s="844">
        <v>0</v>
      </c>
      <c r="W103" s="842">
        <v>0</v>
      </c>
      <c r="X103" s="843">
        <v>0</v>
      </c>
      <c r="Y103" s="844">
        <v>0</v>
      </c>
      <c r="Z103" s="842">
        <v>0</v>
      </c>
      <c r="AA103" s="844">
        <v>0</v>
      </c>
      <c r="AB103" s="842">
        <v>0</v>
      </c>
      <c r="AC103" s="843">
        <v>0</v>
      </c>
      <c r="AD103" s="844">
        <v>0</v>
      </c>
      <c r="AE103" s="824">
        <v>0</v>
      </c>
      <c r="AG103" s="834" t="s">
        <v>359</v>
      </c>
      <c r="AH103" s="835"/>
      <c r="AI103" s="841" t="s">
        <v>6</v>
      </c>
      <c r="AJ103" s="842">
        <v>0</v>
      </c>
      <c r="AK103" s="843">
        <v>0</v>
      </c>
      <c r="AL103" s="844">
        <v>0</v>
      </c>
      <c r="AM103" s="842">
        <v>0</v>
      </c>
      <c r="AN103" s="843">
        <v>0</v>
      </c>
      <c r="AO103" s="844">
        <v>0</v>
      </c>
      <c r="AP103" s="842">
        <v>0</v>
      </c>
      <c r="AQ103" s="844">
        <v>0</v>
      </c>
      <c r="AR103" s="842">
        <v>0</v>
      </c>
      <c r="AS103" s="843">
        <v>0</v>
      </c>
      <c r="AT103" s="844">
        <v>0</v>
      </c>
      <c r="AU103" s="824">
        <v>0</v>
      </c>
      <c r="AW103" s="834" t="s">
        <v>359</v>
      </c>
      <c r="AX103" s="835"/>
      <c r="AY103" s="841" t="s">
        <v>6</v>
      </c>
      <c r="AZ103" s="842">
        <v>0</v>
      </c>
      <c r="BA103" s="843">
        <v>0</v>
      </c>
      <c r="BB103" s="844">
        <v>0</v>
      </c>
      <c r="BC103" s="842">
        <v>0</v>
      </c>
      <c r="BD103" s="843">
        <v>0</v>
      </c>
      <c r="BE103" s="844">
        <v>0</v>
      </c>
      <c r="BF103" s="842">
        <v>0</v>
      </c>
      <c r="BG103" s="844">
        <v>0</v>
      </c>
      <c r="BH103" s="842">
        <v>0</v>
      </c>
      <c r="BI103" s="843">
        <v>0</v>
      </c>
      <c r="BJ103" s="844">
        <v>0</v>
      </c>
      <c r="BK103" s="824">
        <v>0</v>
      </c>
      <c r="BM103" s="834" t="s">
        <v>359</v>
      </c>
      <c r="BN103" s="835"/>
      <c r="BO103" s="841" t="s">
        <v>6</v>
      </c>
      <c r="BP103" s="842">
        <v>0</v>
      </c>
      <c r="BQ103" s="843">
        <v>0</v>
      </c>
      <c r="BR103" s="844">
        <v>0</v>
      </c>
      <c r="BS103" s="842">
        <v>0</v>
      </c>
      <c r="BT103" s="843">
        <v>0</v>
      </c>
      <c r="BU103" s="844">
        <v>0</v>
      </c>
      <c r="BV103" s="842">
        <v>0</v>
      </c>
      <c r="BW103" s="844">
        <v>0</v>
      </c>
      <c r="BX103" s="842">
        <v>0</v>
      </c>
      <c r="BY103" s="843">
        <v>0</v>
      </c>
      <c r="BZ103" s="844">
        <v>0</v>
      </c>
      <c r="CA103" s="824">
        <v>0</v>
      </c>
      <c r="CC103" s="834" t="s">
        <v>359</v>
      </c>
      <c r="CD103" s="835"/>
      <c r="CE103" s="841" t="s">
        <v>6</v>
      </c>
      <c r="CF103" s="842">
        <v>0</v>
      </c>
      <c r="CG103" s="843">
        <v>0</v>
      </c>
      <c r="CH103" s="844">
        <v>0</v>
      </c>
      <c r="CI103" s="842">
        <v>0</v>
      </c>
      <c r="CJ103" s="843">
        <v>0</v>
      </c>
      <c r="CK103" s="844">
        <v>0</v>
      </c>
      <c r="CL103" s="842">
        <v>0</v>
      </c>
      <c r="CM103" s="844">
        <v>0</v>
      </c>
      <c r="CN103" s="842">
        <v>0</v>
      </c>
      <c r="CO103" s="843">
        <v>0</v>
      </c>
      <c r="CP103" s="844">
        <v>0</v>
      </c>
      <c r="CQ103" s="824">
        <v>0</v>
      </c>
      <c r="CS103" s="834" t="s">
        <v>359</v>
      </c>
      <c r="CT103" s="835"/>
      <c r="CU103" s="841" t="s">
        <v>6</v>
      </c>
      <c r="CV103" s="842">
        <v>0</v>
      </c>
      <c r="CW103" s="843">
        <v>0</v>
      </c>
      <c r="CX103" s="844">
        <v>0</v>
      </c>
      <c r="CY103" s="842">
        <v>0</v>
      </c>
      <c r="CZ103" s="843">
        <v>0</v>
      </c>
      <c r="DA103" s="844">
        <v>0</v>
      </c>
      <c r="DB103" s="842">
        <v>0</v>
      </c>
      <c r="DC103" s="844">
        <v>0</v>
      </c>
      <c r="DD103" s="842">
        <v>0</v>
      </c>
      <c r="DE103" s="843">
        <v>0</v>
      </c>
      <c r="DF103" s="844">
        <v>0</v>
      </c>
      <c r="DG103" s="824">
        <v>0</v>
      </c>
      <c r="DI103" s="834" t="s">
        <v>359</v>
      </c>
      <c r="DJ103" s="835"/>
      <c r="DK103" s="841" t="s">
        <v>6</v>
      </c>
      <c r="DL103" s="842">
        <v>0</v>
      </c>
      <c r="DM103" s="843">
        <v>0</v>
      </c>
      <c r="DN103" s="844">
        <v>0</v>
      </c>
      <c r="DO103" s="842">
        <v>0</v>
      </c>
      <c r="DP103" s="843">
        <v>0</v>
      </c>
      <c r="DQ103" s="844">
        <v>0</v>
      </c>
      <c r="DR103" s="842">
        <v>0</v>
      </c>
      <c r="DS103" s="844">
        <v>0</v>
      </c>
      <c r="DT103" s="842">
        <v>0</v>
      </c>
      <c r="DU103" s="843">
        <v>0</v>
      </c>
      <c r="DV103" s="844">
        <v>0</v>
      </c>
      <c r="DW103" s="824">
        <v>0</v>
      </c>
      <c r="DY103" s="834" t="s">
        <v>359</v>
      </c>
      <c r="DZ103" s="835"/>
      <c r="EA103" s="841" t="s">
        <v>6</v>
      </c>
      <c r="EB103" s="842">
        <v>0</v>
      </c>
      <c r="EC103" s="843">
        <v>0</v>
      </c>
      <c r="ED103" s="844">
        <v>0</v>
      </c>
      <c r="EE103" s="842">
        <v>0</v>
      </c>
      <c r="EF103" s="843">
        <v>0</v>
      </c>
      <c r="EG103" s="844">
        <v>0</v>
      </c>
      <c r="EH103" s="842">
        <v>0</v>
      </c>
      <c r="EI103" s="844">
        <v>0</v>
      </c>
      <c r="EJ103" s="842">
        <v>0</v>
      </c>
      <c r="EK103" s="843">
        <v>0</v>
      </c>
      <c r="EL103" s="844">
        <v>0</v>
      </c>
      <c r="EM103" s="824">
        <v>0</v>
      </c>
    </row>
    <row r="104" spans="17:143" ht="13.5" customHeight="1">
      <c r="Q104" s="834" t="s">
        <v>360</v>
      </c>
      <c r="R104" s="835"/>
      <c r="S104" s="841" t="s">
        <v>6</v>
      </c>
      <c r="T104" s="842">
        <v>11.8</v>
      </c>
      <c r="U104" s="843">
        <v>15.3</v>
      </c>
      <c r="V104" s="844">
        <v>18.2</v>
      </c>
      <c r="W104" s="842">
        <v>12.2</v>
      </c>
      <c r="X104" s="843">
        <v>14.5</v>
      </c>
      <c r="Y104" s="844">
        <v>16.3</v>
      </c>
      <c r="Z104" s="842">
        <v>12.7</v>
      </c>
      <c r="AA104" s="844">
        <v>15.6</v>
      </c>
      <c r="AB104" s="842">
        <v>11.8</v>
      </c>
      <c r="AC104" s="843">
        <v>11.7</v>
      </c>
      <c r="AD104" s="844">
        <v>12.3</v>
      </c>
      <c r="AE104" s="824">
        <v>13.8</v>
      </c>
      <c r="AG104" s="834" t="s">
        <v>360</v>
      </c>
      <c r="AH104" s="835"/>
      <c r="AI104" s="841" t="s">
        <v>6</v>
      </c>
      <c r="AJ104" s="842">
        <v>11.4</v>
      </c>
      <c r="AK104" s="843">
        <v>16.100000000000001</v>
      </c>
      <c r="AL104" s="844">
        <v>18.899999999999999</v>
      </c>
      <c r="AM104" s="842">
        <v>11.7</v>
      </c>
      <c r="AN104" s="843">
        <v>14.1</v>
      </c>
      <c r="AO104" s="844">
        <v>15.8</v>
      </c>
      <c r="AP104" s="842">
        <v>12.3</v>
      </c>
      <c r="AQ104" s="844">
        <v>15</v>
      </c>
      <c r="AR104" s="842">
        <v>11.4</v>
      </c>
      <c r="AS104" s="843">
        <v>11.3</v>
      </c>
      <c r="AT104" s="844">
        <v>11.8</v>
      </c>
      <c r="AU104" s="824">
        <v>13.6</v>
      </c>
      <c r="AW104" s="834" t="s">
        <v>360</v>
      </c>
      <c r="AX104" s="835"/>
      <c r="AY104" s="841" t="s">
        <v>6</v>
      </c>
      <c r="AZ104" s="842">
        <v>10.7</v>
      </c>
      <c r="BA104" s="843">
        <v>17.5</v>
      </c>
      <c r="BB104" s="844">
        <v>20.2</v>
      </c>
      <c r="BC104" s="842">
        <v>11.1</v>
      </c>
      <c r="BD104" s="843">
        <v>13.5</v>
      </c>
      <c r="BE104" s="844">
        <v>15</v>
      </c>
      <c r="BF104" s="842">
        <v>11.6</v>
      </c>
      <c r="BG104" s="844">
        <v>14.2</v>
      </c>
      <c r="BH104" s="842">
        <v>10.7</v>
      </c>
      <c r="BI104" s="843">
        <v>10.7</v>
      </c>
      <c r="BJ104" s="844">
        <v>11.2</v>
      </c>
      <c r="BK104" s="824">
        <v>13.2</v>
      </c>
      <c r="BM104" s="834" t="s">
        <v>360</v>
      </c>
      <c r="BN104" s="835"/>
      <c r="BO104" s="841" t="s">
        <v>6</v>
      </c>
      <c r="BP104" s="842">
        <v>9.5</v>
      </c>
      <c r="BQ104" s="843">
        <v>18.7</v>
      </c>
      <c r="BR104" s="844">
        <v>21.2</v>
      </c>
      <c r="BS104" s="842">
        <v>9.9</v>
      </c>
      <c r="BT104" s="843">
        <v>12.1</v>
      </c>
      <c r="BU104" s="844">
        <v>13.4</v>
      </c>
      <c r="BV104" s="842">
        <v>10.4</v>
      </c>
      <c r="BW104" s="844">
        <v>12.6</v>
      </c>
      <c r="BX104" s="842">
        <v>9.5</v>
      </c>
      <c r="BY104" s="843">
        <v>9.5</v>
      </c>
      <c r="BZ104" s="844">
        <v>9.9</v>
      </c>
      <c r="CA104" s="824">
        <v>12.1</v>
      </c>
      <c r="CC104" s="834" t="s">
        <v>360</v>
      </c>
      <c r="CD104" s="835"/>
      <c r="CE104" s="841" t="s">
        <v>6</v>
      </c>
      <c r="CF104" s="842">
        <v>9</v>
      </c>
      <c r="CG104" s="843">
        <v>20</v>
      </c>
      <c r="CH104" s="844">
        <v>22.4</v>
      </c>
      <c r="CI104" s="842">
        <v>9.4</v>
      </c>
      <c r="CJ104" s="843">
        <v>11.7</v>
      </c>
      <c r="CK104" s="844">
        <v>12.8</v>
      </c>
      <c r="CL104" s="842">
        <v>9.9</v>
      </c>
      <c r="CM104" s="844">
        <v>12</v>
      </c>
      <c r="CN104" s="842">
        <v>9.1</v>
      </c>
      <c r="CO104" s="843">
        <v>9</v>
      </c>
      <c r="CP104" s="844">
        <v>9.4</v>
      </c>
      <c r="CQ104" s="824">
        <v>11.9</v>
      </c>
      <c r="CS104" s="834" t="s">
        <v>360</v>
      </c>
      <c r="CT104" s="835"/>
      <c r="CU104" s="841" t="s">
        <v>6</v>
      </c>
      <c r="CV104" s="842">
        <v>9</v>
      </c>
      <c r="CW104" s="843">
        <v>21.5</v>
      </c>
      <c r="CX104" s="844">
        <v>23.6</v>
      </c>
      <c r="CY104" s="842">
        <v>9.4</v>
      </c>
      <c r="CZ104" s="843">
        <v>11.8</v>
      </c>
      <c r="DA104" s="844">
        <v>12.8</v>
      </c>
      <c r="DB104" s="842">
        <v>9.9</v>
      </c>
      <c r="DC104" s="844">
        <v>12</v>
      </c>
      <c r="DD104" s="842">
        <v>9.1</v>
      </c>
      <c r="DE104" s="843">
        <v>9</v>
      </c>
      <c r="DF104" s="844">
        <v>9.4</v>
      </c>
      <c r="DG104" s="824">
        <v>12</v>
      </c>
      <c r="DI104" s="834" t="s">
        <v>360</v>
      </c>
      <c r="DJ104" s="835"/>
      <c r="DK104" s="841" t="s">
        <v>6</v>
      </c>
      <c r="DL104" s="842">
        <v>9.5</v>
      </c>
      <c r="DM104" s="843">
        <v>23</v>
      </c>
      <c r="DN104" s="844">
        <v>25.1</v>
      </c>
      <c r="DO104" s="842">
        <v>9.9</v>
      </c>
      <c r="DP104" s="843">
        <v>12.5</v>
      </c>
      <c r="DQ104" s="844">
        <v>13.4</v>
      </c>
      <c r="DR104" s="842">
        <v>10.4</v>
      </c>
      <c r="DS104" s="844">
        <v>12.5</v>
      </c>
      <c r="DT104" s="842">
        <v>9.5</v>
      </c>
      <c r="DU104" s="843">
        <v>9.4</v>
      </c>
      <c r="DV104" s="844">
        <v>9.8000000000000007</v>
      </c>
      <c r="DW104" s="824">
        <v>12.7</v>
      </c>
      <c r="DY104" s="834" t="s">
        <v>360</v>
      </c>
      <c r="DZ104" s="835"/>
      <c r="EA104" s="841" t="s">
        <v>6</v>
      </c>
      <c r="EB104" s="842">
        <v>10</v>
      </c>
      <c r="EC104" s="843">
        <v>24.8</v>
      </c>
      <c r="ED104" s="844">
        <v>26.9</v>
      </c>
      <c r="EE104" s="842">
        <v>10.5</v>
      </c>
      <c r="EF104" s="843">
        <v>13.4</v>
      </c>
      <c r="EG104" s="844">
        <v>14.2</v>
      </c>
      <c r="EH104" s="842">
        <v>11.1</v>
      </c>
      <c r="EI104" s="844">
        <v>13.2</v>
      </c>
      <c r="EJ104" s="842">
        <v>10.1</v>
      </c>
      <c r="EK104" s="843">
        <v>9.9</v>
      </c>
      <c r="EL104" s="844">
        <v>10.4</v>
      </c>
      <c r="EM104" s="824">
        <v>13.5</v>
      </c>
    </row>
    <row r="105" spans="17:143" ht="13.5" customHeight="1">
      <c r="Q105" s="834" t="s">
        <v>361</v>
      </c>
      <c r="R105" s="819"/>
      <c r="S105" s="845" t="s">
        <v>6</v>
      </c>
      <c r="T105" s="846">
        <v>-17.8</v>
      </c>
      <c r="U105" s="847">
        <v>-22.9</v>
      </c>
      <c r="V105" s="848">
        <v>-27.3</v>
      </c>
      <c r="W105" s="846">
        <v>-18.3</v>
      </c>
      <c r="X105" s="847">
        <v>-21.7</v>
      </c>
      <c r="Y105" s="848">
        <v>-24.5</v>
      </c>
      <c r="Z105" s="846">
        <v>-19</v>
      </c>
      <c r="AA105" s="848">
        <v>-23.3</v>
      </c>
      <c r="AB105" s="846">
        <v>-17.7</v>
      </c>
      <c r="AC105" s="847">
        <v>-17.600000000000001</v>
      </c>
      <c r="AD105" s="848">
        <v>-18.399999999999999</v>
      </c>
      <c r="AE105" s="849">
        <v>-20.8</v>
      </c>
      <c r="AG105" s="834" t="s">
        <v>361</v>
      </c>
      <c r="AH105" s="819"/>
      <c r="AI105" s="845" t="s">
        <v>6</v>
      </c>
      <c r="AJ105" s="846">
        <v>-16.100000000000001</v>
      </c>
      <c r="AK105" s="847">
        <v>-22.8</v>
      </c>
      <c r="AL105" s="848">
        <v>-26.8</v>
      </c>
      <c r="AM105" s="846">
        <v>-16.600000000000001</v>
      </c>
      <c r="AN105" s="847">
        <v>-19.899999999999999</v>
      </c>
      <c r="AO105" s="848">
        <v>-22.4</v>
      </c>
      <c r="AP105" s="846">
        <v>-17.3</v>
      </c>
      <c r="AQ105" s="848">
        <v>-21.3</v>
      </c>
      <c r="AR105" s="846">
        <v>-16.100000000000001</v>
      </c>
      <c r="AS105" s="847">
        <v>-16</v>
      </c>
      <c r="AT105" s="848">
        <v>-16.7</v>
      </c>
      <c r="AU105" s="849">
        <v>-19.2</v>
      </c>
      <c r="AW105" s="834" t="s">
        <v>361</v>
      </c>
      <c r="AX105" s="819"/>
      <c r="AY105" s="845" t="s">
        <v>6</v>
      </c>
      <c r="AZ105" s="846">
        <v>-14.9</v>
      </c>
      <c r="BA105" s="847">
        <v>-24.2</v>
      </c>
      <c r="BB105" s="848">
        <v>-27.9</v>
      </c>
      <c r="BC105" s="846">
        <v>-15.4</v>
      </c>
      <c r="BD105" s="847">
        <v>-18.7</v>
      </c>
      <c r="BE105" s="848">
        <v>-20.8</v>
      </c>
      <c r="BF105" s="846">
        <v>-16.100000000000001</v>
      </c>
      <c r="BG105" s="848">
        <v>-19.7</v>
      </c>
      <c r="BH105" s="846">
        <v>-14.9</v>
      </c>
      <c r="BI105" s="847">
        <v>-14.8</v>
      </c>
      <c r="BJ105" s="848">
        <v>-15.5</v>
      </c>
      <c r="BK105" s="849">
        <v>-18.2</v>
      </c>
      <c r="BM105" s="834" t="s">
        <v>361</v>
      </c>
      <c r="BN105" s="819"/>
      <c r="BO105" s="845" t="s">
        <v>6</v>
      </c>
      <c r="BP105" s="846">
        <v>-12.8</v>
      </c>
      <c r="BQ105" s="847">
        <v>-25.2</v>
      </c>
      <c r="BR105" s="848">
        <v>-28.6</v>
      </c>
      <c r="BS105" s="846">
        <v>-13.3</v>
      </c>
      <c r="BT105" s="847">
        <v>-16.399999999999999</v>
      </c>
      <c r="BU105" s="848">
        <v>-18.100000000000001</v>
      </c>
      <c r="BV105" s="846">
        <v>-14</v>
      </c>
      <c r="BW105" s="848">
        <v>-17.100000000000001</v>
      </c>
      <c r="BX105" s="846">
        <v>-12.9</v>
      </c>
      <c r="BY105" s="847">
        <v>-12.8</v>
      </c>
      <c r="BZ105" s="848">
        <v>-13.4</v>
      </c>
      <c r="CA105" s="849">
        <v>-16.399999999999999</v>
      </c>
      <c r="CC105" s="834" t="s">
        <v>361</v>
      </c>
      <c r="CD105" s="819"/>
      <c r="CE105" s="845" t="s">
        <v>6</v>
      </c>
      <c r="CF105" s="846">
        <v>-11.9</v>
      </c>
      <c r="CG105" s="847">
        <v>-26.3</v>
      </c>
      <c r="CH105" s="848">
        <v>-29.4</v>
      </c>
      <c r="CI105" s="846">
        <v>-12.4</v>
      </c>
      <c r="CJ105" s="847">
        <v>-15.3</v>
      </c>
      <c r="CK105" s="848">
        <v>-16.8</v>
      </c>
      <c r="CL105" s="846">
        <v>-13</v>
      </c>
      <c r="CM105" s="848">
        <v>-15.8</v>
      </c>
      <c r="CN105" s="846">
        <v>-11.9</v>
      </c>
      <c r="CO105" s="847">
        <v>-11.8</v>
      </c>
      <c r="CP105" s="848">
        <v>-12.4</v>
      </c>
      <c r="CQ105" s="849">
        <v>-15.6</v>
      </c>
      <c r="CS105" s="834" t="s">
        <v>361</v>
      </c>
      <c r="CT105" s="819"/>
      <c r="CU105" s="845" t="s">
        <v>6</v>
      </c>
      <c r="CV105" s="846">
        <v>-11</v>
      </c>
      <c r="CW105" s="847">
        <v>-26.2</v>
      </c>
      <c r="CX105" s="848">
        <v>-28.8</v>
      </c>
      <c r="CY105" s="846">
        <v>-11.5</v>
      </c>
      <c r="CZ105" s="847">
        <v>-14.4</v>
      </c>
      <c r="DA105" s="848">
        <v>-15.6</v>
      </c>
      <c r="DB105" s="846">
        <v>-12.1</v>
      </c>
      <c r="DC105" s="848">
        <v>-14.6</v>
      </c>
      <c r="DD105" s="846">
        <v>-11.1</v>
      </c>
      <c r="DE105" s="847">
        <v>-10.9</v>
      </c>
      <c r="DF105" s="848">
        <v>-11.4</v>
      </c>
      <c r="DG105" s="849">
        <v>-14.7</v>
      </c>
      <c r="DI105" s="834" t="s">
        <v>361</v>
      </c>
      <c r="DJ105" s="819"/>
      <c r="DK105" s="845" t="s">
        <v>6</v>
      </c>
      <c r="DL105" s="846">
        <v>-10.7</v>
      </c>
      <c r="DM105" s="847">
        <v>-26</v>
      </c>
      <c r="DN105" s="848">
        <v>-28.4</v>
      </c>
      <c r="DO105" s="846">
        <v>-11.2</v>
      </c>
      <c r="DP105" s="847">
        <v>-14.2</v>
      </c>
      <c r="DQ105" s="848">
        <v>-15.2</v>
      </c>
      <c r="DR105" s="846">
        <v>-11.8</v>
      </c>
      <c r="DS105" s="848">
        <v>-14.2</v>
      </c>
      <c r="DT105" s="846">
        <v>-10.8</v>
      </c>
      <c r="DU105" s="847">
        <v>-10.6</v>
      </c>
      <c r="DV105" s="848">
        <v>-11.1</v>
      </c>
      <c r="DW105" s="849">
        <v>-14.4</v>
      </c>
      <c r="DY105" s="834" t="s">
        <v>361</v>
      </c>
      <c r="DZ105" s="819"/>
      <c r="EA105" s="845" t="s">
        <v>6</v>
      </c>
      <c r="EB105" s="846">
        <v>-10.5</v>
      </c>
      <c r="EC105" s="847">
        <v>-26.1</v>
      </c>
      <c r="ED105" s="848">
        <v>-28.3</v>
      </c>
      <c r="EE105" s="846">
        <v>-11</v>
      </c>
      <c r="EF105" s="847">
        <v>-14.1</v>
      </c>
      <c r="EG105" s="848">
        <v>-15</v>
      </c>
      <c r="EH105" s="846">
        <v>-11.6</v>
      </c>
      <c r="EI105" s="848">
        <v>-13.9</v>
      </c>
      <c r="EJ105" s="846">
        <v>-10.6</v>
      </c>
      <c r="EK105" s="847">
        <v>-10.4</v>
      </c>
      <c r="EL105" s="848">
        <v>-10.9</v>
      </c>
      <c r="EM105" s="849">
        <v>-14.2</v>
      </c>
    </row>
    <row r="106" spans="17:143" ht="13.5" customHeight="1" thickBot="1">
      <c r="Q106" s="850" t="s">
        <v>77</v>
      </c>
      <c r="R106" s="851"/>
      <c r="S106" s="852"/>
      <c r="T106" s="853">
        <v>19.600000000000001</v>
      </c>
      <c r="U106" s="854">
        <v>194.9</v>
      </c>
      <c r="V106" s="855">
        <v>79.8</v>
      </c>
      <c r="W106" s="853">
        <v>13.2</v>
      </c>
      <c r="X106" s="854">
        <v>82.1</v>
      </c>
      <c r="Y106" s="855">
        <v>43.7</v>
      </c>
      <c r="Z106" s="856">
        <v>33</v>
      </c>
      <c r="AA106" s="857">
        <v>34.1</v>
      </c>
      <c r="AB106" s="853">
        <v>4</v>
      </c>
      <c r="AC106" s="854">
        <v>4.0999999999999996</v>
      </c>
      <c r="AD106" s="855">
        <v>-1.9</v>
      </c>
      <c r="AE106" s="858">
        <v>28.1</v>
      </c>
      <c r="AG106" s="850" t="s">
        <v>77</v>
      </c>
      <c r="AH106" s="851"/>
      <c r="AI106" s="852"/>
      <c r="AJ106" s="853">
        <v>11</v>
      </c>
      <c r="AK106" s="854">
        <v>208.6</v>
      </c>
      <c r="AL106" s="855">
        <v>69.099999999999994</v>
      </c>
      <c r="AM106" s="853">
        <v>11.8</v>
      </c>
      <c r="AN106" s="854">
        <v>86.9</v>
      </c>
      <c r="AO106" s="855">
        <v>44.8</v>
      </c>
      <c r="AP106" s="856">
        <v>34.5</v>
      </c>
      <c r="AQ106" s="857">
        <v>33.700000000000003</v>
      </c>
      <c r="AR106" s="853">
        <v>5.7</v>
      </c>
      <c r="AS106" s="854">
        <v>4</v>
      </c>
      <c r="AT106" s="855">
        <v>-1.3</v>
      </c>
      <c r="AU106" s="858">
        <v>27.6</v>
      </c>
      <c r="AW106" s="850" t="s">
        <v>77</v>
      </c>
      <c r="AX106" s="851"/>
      <c r="AY106" s="852"/>
      <c r="AZ106" s="853">
        <v>12.2</v>
      </c>
      <c r="BA106" s="854">
        <v>238.5</v>
      </c>
      <c r="BB106" s="855">
        <v>71.400000000000006</v>
      </c>
      <c r="BC106" s="853">
        <v>13.6</v>
      </c>
      <c r="BD106" s="854">
        <v>97.9</v>
      </c>
      <c r="BE106" s="855">
        <v>49.8</v>
      </c>
      <c r="BF106" s="856">
        <v>39.799999999999997</v>
      </c>
      <c r="BG106" s="857">
        <v>36.200000000000003</v>
      </c>
      <c r="BH106" s="853">
        <v>7.9</v>
      </c>
      <c r="BI106" s="854">
        <v>4.9000000000000004</v>
      </c>
      <c r="BJ106" s="855">
        <v>-0.7</v>
      </c>
      <c r="BK106" s="858">
        <v>30.6</v>
      </c>
      <c r="BM106" s="850" t="s">
        <v>77</v>
      </c>
      <c r="BN106" s="851"/>
      <c r="BO106" s="852"/>
      <c r="BP106" s="853">
        <v>12.5</v>
      </c>
      <c r="BQ106" s="854">
        <v>275.2</v>
      </c>
      <c r="BR106" s="855">
        <v>73.900000000000006</v>
      </c>
      <c r="BS106" s="853">
        <v>18.5</v>
      </c>
      <c r="BT106" s="854">
        <v>113.4</v>
      </c>
      <c r="BU106" s="855">
        <v>57.5</v>
      </c>
      <c r="BV106" s="856">
        <v>47</v>
      </c>
      <c r="BW106" s="857">
        <v>40.6</v>
      </c>
      <c r="BX106" s="853">
        <v>12.3</v>
      </c>
      <c r="BY106" s="854">
        <v>6.9</v>
      </c>
      <c r="BZ106" s="855">
        <v>10.7</v>
      </c>
      <c r="CA106" s="858">
        <v>36.9</v>
      </c>
      <c r="CC106" s="850" t="s">
        <v>77</v>
      </c>
      <c r="CD106" s="851"/>
      <c r="CE106" s="852"/>
      <c r="CF106" s="853">
        <v>18</v>
      </c>
      <c r="CG106" s="854">
        <v>323.39999999999998</v>
      </c>
      <c r="CH106" s="855">
        <v>81.8</v>
      </c>
      <c r="CI106" s="853">
        <v>24.4</v>
      </c>
      <c r="CJ106" s="854">
        <v>133.19999999999999</v>
      </c>
      <c r="CK106" s="855">
        <v>65.8</v>
      </c>
      <c r="CL106" s="856">
        <v>56.2</v>
      </c>
      <c r="CM106" s="857">
        <v>45.1</v>
      </c>
      <c r="CN106" s="853">
        <v>18.7</v>
      </c>
      <c r="CO106" s="854">
        <v>9.1999999999999993</v>
      </c>
      <c r="CP106" s="855">
        <v>1.6</v>
      </c>
      <c r="CQ106" s="858">
        <v>42.2</v>
      </c>
      <c r="CS106" s="850" t="s">
        <v>77</v>
      </c>
      <c r="CT106" s="851"/>
      <c r="CU106" s="852"/>
      <c r="CV106" s="853">
        <v>24.8</v>
      </c>
      <c r="CW106" s="854">
        <v>362.6</v>
      </c>
      <c r="CX106" s="855">
        <v>94.7</v>
      </c>
      <c r="CY106" s="853">
        <v>31.6</v>
      </c>
      <c r="CZ106" s="854">
        <v>158</v>
      </c>
      <c r="DA106" s="855">
        <v>75.900000000000006</v>
      </c>
      <c r="DB106" s="856">
        <v>65.8</v>
      </c>
      <c r="DC106" s="857">
        <v>50.2</v>
      </c>
      <c r="DD106" s="853">
        <v>25.3</v>
      </c>
      <c r="DE106" s="854">
        <v>11.7</v>
      </c>
      <c r="DF106" s="855">
        <v>13.5</v>
      </c>
      <c r="DG106" s="858">
        <v>51.3</v>
      </c>
      <c r="DI106" s="850" t="s">
        <v>77</v>
      </c>
      <c r="DJ106" s="851"/>
      <c r="DK106" s="852"/>
      <c r="DL106" s="853">
        <v>30.4</v>
      </c>
      <c r="DM106" s="854">
        <v>402.6</v>
      </c>
      <c r="DN106" s="855">
        <v>105.5</v>
      </c>
      <c r="DO106" s="853">
        <v>38.6</v>
      </c>
      <c r="DP106" s="854">
        <v>182</v>
      </c>
      <c r="DQ106" s="855">
        <v>86.4</v>
      </c>
      <c r="DR106" s="856">
        <v>76.099999999999994</v>
      </c>
      <c r="DS106" s="857">
        <v>54.9</v>
      </c>
      <c r="DT106" s="853">
        <v>31.9</v>
      </c>
      <c r="DU106" s="854">
        <v>14.5</v>
      </c>
      <c r="DV106" s="855">
        <v>4.2</v>
      </c>
      <c r="DW106" s="858">
        <v>57.4</v>
      </c>
      <c r="DY106" s="850" t="s">
        <v>77</v>
      </c>
      <c r="DZ106" s="851"/>
      <c r="EA106" s="852"/>
      <c r="EB106" s="853">
        <v>36.1</v>
      </c>
      <c r="EC106" s="854">
        <v>441.3</v>
      </c>
      <c r="ED106" s="855">
        <v>115.5</v>
      </c>
      <c r="EE106" s="853">
        <v>46.3</v>
      </c>
      <c r="EF106" s="854">
        <v>200.5</v>
      </c>
      <c r="EG106" s="855">
        <v>96.4</v>
      </c>
      <c r="EH106" s="856">
        <v>86.8</v>
      </c>
      <c r="EI106" s="857">
        <v>59.2</v>
      </c>
      <c r="EJ106" s="853">
        <v>38.4</v>
      </c>
      <c r="EK106" s="854">
        <v>17.100000000000001</v>
      </c>
      <c r="EL106" s="855">
        <v>19.8</v>
      </c>
      <c r="EM106" s="858">
        <v>66.5</v>
      </c>
    </row>
    <row r="107" spans="17:143" ht="13.5" customHeight="1" thickTop="1"/>
  </sheetData>
  <mergeCells count="12">
    <mergeCell ref="CC1:CQ1"/>
    <mergeCell ref="E6:S6"/>
    <mergeCell ref="A10:B10"/>
    <mergeCell ref="D1:O1"/>
    <mergeCell ref="Q1:AE1"/>
    <mergeCell ref="AG1:AU1"/>
    <mergeCell ref="AW1:BK1"/>
    <mergeCell ref="A12:B12"/>
    <mergeCell ref="A7:B7"/>
    <mergeCell ref="A8:B8"/>
    <mergeCell ref="A11:B11"/>
    <mergeCell ref="BM1:CA1"/>
  </mergeCells>
  <hyperlinks>
    <hyperlink ref="A18" location="A5.4.2!D1" tooltip="2010" display="A5.4.2!D1" xr:uid="{00000000-0004-0000-1F00-000000000000}"/>
    <hyperlink ref="B18" location="A5.4.2!Q1" tooltip="2015" display="A5.4.2!Q1" xr:uid="{00000000-0004-0000-1F00-000001000000}"/>
    <hyperlink ref="A19" location="A5.4.2!AG1" tooltip="2020" display="A5.4.2!AG1" xr:uid="{00000000-0004-0000-1F00-000002000000}"/>
    <hyperlink ref="B19" location="A5.4.2!AW1" tooltip="2025" display="A5.4.2!AW1" xr:uid="{00000000-0004-0000-1F00-000003000000}"/>
    <hyperlink ref="A20" location="A5.4.2!BM1" tooltip="2030" display="A5.4.2!BM1" xr:uid="{00000000-0004-0000-1F00-000004000000}"/>
    <hyperlink ref="B20" location="A5.4.2!CC1" tooltip="2035" display="A5.4.2!CC1" xr:uid="{00000000-0004-0000-1F00-000005000000}"/>
    <hyperlink ref="A11" location="Contents!A1" display="Contents" xr:uid="{00000000-0004-0000-1F00-000006000000}"/>
    <hyperlink ref="A11:B11" r:id="rId1" display="WebTAG Unit 3.13.2" xr:uid="{00000000-0004-0000-1F00-000007000000}"/>
    <hyperlink ref="A10" location="Contents!A1" display="Contents" xr:uid="{00000000-0004-0000-1F00-000008000000}"/>
    <hyperlink ref="A10:B10" location="Contents!A1" tooltip="Contents page" display="Contents" xr:uid="{00000000-0004-0000-1F00-000009000000}"/>
    <hyperlink ref="A12:B12" r:id="rId2" tooltip="Unit A5.4 Marginal External Congestion Costs" display="WebTAG Unit A 5.4" xr:uid="{00000000-0004-0000-1F00-00000A000000}"/>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7030A0"/>
  </sheetPr>
  <dimension ref="A1:I59"/>
  <sheetViews>
    <sheetView topLeftCell="A10" zoomScale="85" zoomScaleNormal="85" workbookViewId="0">
      <selection activeCell="Y101" sqref="Y101"/>
    </sheetView>
  </sheetViews>
  <sheetFormatPr defaultRowHeight="14.5"/>
  <cols>
    <col min="1" max="1" width="13.453125" customWidth="1"/>
    <col min="2" max="2" width="11.1796875" bestFit="1" customWidth="1"/>
    <col min="3" max="3" width="13.453125" bestFit="1" customWidth="1"/>
    <col min="4" max="4" width="8.81640625" bestFit="1" customWidth="1"/>
    <col min="5" max="5" width="15.54296875" bestFit="1" customWidth="1"/>
    <col min="6" max="6" width="8.7265625" bestFit="1" customWidth="1"/>
    <col min="7" max="7" width="17.81640625" bestFit="1" customWidth="1"/>
    <col min="8" max="8" width="16.1796875" bestFit="1" customWidth="1"/>
    <col min="9" max="9" width="9.1796875" customWidth="1"/>
  </cols>
  <sheetData>
    <row r="1" spans="1:9">
      <c r="B1">
        <v>9</v>
      </c>
      <c r="C1">
        <v>10</v>
      </c>
      <c r="D1">
        <v>11</v>
      </c>
      <c r="E1">
        <v>12</v>
      </c>
      <c r="F1">
        <v>13</v>
      </c>
      <c r="G1">
        <v>14</v>
      </c>
      <c r="H1">
        <v>15</v>
      </c>
      <c r="I1">
        <v>16</v>
      </c>
    </row>
    <row r="2" spans="1:9">
      <c r="A2" t="s">
        <v>249</v>
      </c>
      <c r="B2" t="s">
        <v>827</v>
      </c>
      <c r="C2" t="s">
        <v>356</v>
      </c>
      <c r="D2" t="s">
        <v>357</v>
      </c>
      <c r="E2" t="s">
        <v>358</v>
      </c>
      <c r="F2" t="s">
        <v>359</v>
      </c>
      <c r="G2" t="s">
        <v>360</v>
      </c>
      <c r="H2" t="s">
        <v>361</v>
      </c>
      <c r="I2" t="s">
        <v>77</v>
      </c>
    </row>
    <row r="3" spans="1:9">
      <c r="A3">
        <v>2010</v>
      </c>
      <c r="B3" s="583">
        <f>'Table A5.4.2'!$AE31</f>
        <v>10.3</v>
      </c>
      <c r="C3" s="583">
        <f>'Table A5.4.2'!$AE32</f>
        <v>0.1</v>
      </c>
      <c r="D3" s="583">
        <f>'Table A5.4.2'!$AE33</f>
        <v>1.6</v>
      </c>
      <c r="E3" s="583">
        <f>'Table A5.4.2'!$AE34</f>
        <v>0.7</v>
      </c>
      <c r="F3" s="583">
        <f>'Table A5.4.2'!$AE35</f>
        <v>0.1</v>
      </c>
      <c r="G3" s="583">
        <f>'Table A5.4.2'!$AE36</f>
        <v>2.9</v>
      </c>
      <c r="H3" s="583">
        <f>'Table A5.4.2'!$AE37</f>
        <v>-4.5</v>
      </c>
      <c r="I3" s="583">
        <f>'Table A5.4.2'!$AE38</f>
        <v>11.3</v>
      </c>
    </row>
    <row r="4" spans="1:9">
      <c r="A4">
        <v>2015</v>
      </c>
      <c r="B4" s="583">
        <f>'Table A5.4.2'!$AE31</f>
        <v>10.3</v>
      </c>
      <c r="C4" s="583">
        <f>'Table A5.4.2'!$AE32</f>
        <v>0.1</v>
      </c>
      <c r="D4" s="583">
        <f>'Table A5.4.2'!$AE33</f>
        <v>1.6</v>
      </c>
      <c r="E4" s="583">
        <f>'Table A5.4.2'!$AE34</f>
        <v>0.7</v>
      </c>
      <c r="F4" s="583">
        <f>'Table A5.4.2'!$AE35</f>
        <v>0.1</v>
      </c>
      <c r="G4" s="583">
        <f>'Table A5.4.2'!$AE36</f>
        <v>2.9</v>
      </c>
      <c r="H4" s="583">
        <f>'Table A5.4.2'!$AE37</f>
        <v>-4.5</v>
      </c>
      <c r="I4" s="583">
        <f>'Table A5.4.2'!$AE38</f>
        <v>11.3</v>
      </c>
    </row>
    <row r="5" spans="1:9">
      <c r="A5">
        <v>2020</v>
      </c>
      <c r="B5" s="583">
        <f>'Table A5.4.2'!$AU31</f>
        <v>11.3</v>
      </c>
      <c r="C5" s="583">
        <f>'Table A5.4.2'!$AU32</f>
        <v>0.1</v>
      </c>
      <c r="D5" s="583">
        <f>'Table A5.4.2'!$AU33</f>
        <v>1.5</v>
      </c>
      <c r="E5" s="583">
        <f>'Table A5.4.2'!$AU34</f>
        <v>0.5</v>
      </c>
      <c r="F5" s="583">
        <f>'Table A5.4.2'!$AU35</f>
        <v>0.1</v>
      </c>
      <c r="G5" s="583">
        <f>'Table A5.4.2'!$AU36</f>
        <v>2.8</v>
      </c>
      <c r="H5" s="583">
        <f>'Table A5.4.2'!$AU37</f>
        <v>-3.9</v>
      </c>
      <c r="I5" s="583">
        <f>'Table A5.4.2'!$AU38</f>
        <v>12.4</v>
      </c>
    </row>
    <row r="6" spans="1:9">
      <c r="A6">
        <v>2025</v>
      </c>
      <c r="B6" s="583">
        <f>'Table A5.4.2'!$BK31</f>
        <v>12.8</v>
      </c>
      <c r="C6" s="583">
        <f>'Table A5.4.2'!$BK32</f>
        <v>0.1</v>
      </c>
      <c r="D6" s="583">
        <f>'Table A5.4.2'!$BK33</f>
        <v>1.8</v>
      </c>
      <c r="E6" s="583">
        <f>'Table A5.4.2'!$BK34</f>
        <v>0.5</v>
      </c>
      <c r="F6" s="583">
        <f>'Table A5.4.2'!$BK35</f>
        <v>0.1</v>
      </c>
      <c r="G6" s="583">
        <f>'Table A5.4.2'!$BK36</f>
        <v>2.6</v>
      </c>
      <c r="H6" s="583">
        <f>'Table A5.4.2'!$BK37</f>
        <v>-3.3</v>
      </c>
      <c r="I6" s="583">
        <f>'Table A5.4.2'!$BK38</f>
        <v>14.6</v>
      </c>
    </row>
    <row r="7" spans="1:9">
      <c r="A7">
        <v>2030</v>
      </c>
      <c r="B7" s="583">
        <f>'Table A5.4.2'!$CA31</f>
        <v>15.4</v>
      </c>
      <c r="C7" s="583">
        <f>'Table A5.4.2'!$CA32</f>
        <v>0.1</v>
      </c>
      <c r="D7" s="583">
        <f>'Table A5.4.2'!$CA33</f>
        <v>1.9</v>
      </c>
      <c r="E7" s="583">
        <f>'Table A5.4.2'!$CA34</f>
        <v>0.4</v>
      </c>
      <c r="F7" s="583">
        <f>'Table A5.4.2'!$CA35</f>
        <v>0.1</v>
      </c>
      <c r="G7" s="583">
        <f>'Table A5.4.2'!$CA36</f>
        <v>2.4</v>
      </c>
      <c r="H7" s="583">
        <f>'Table A5.4.2'!$CA37</f>
        <v>-2.4</v>
      </c>
      <c r="I7" s="583">
        <f>'Table A5.4.2'!$CA38</f>
        <v>17.899999999999999</v>
      </c>
    </row>
    <row r="8" spans="1:9">
      <c r="A8">
        <v>2035</v>
      </c>
      <c r="B8" s="583">
        <f>'Table A5.4.2'!$CQ31</f>
        <v>17.399999999999999</v>
      </c>
      <c r="C8" s="583">
        <f>'Table A5.4.2'!$CQ32</f>
        <v>0.1</v>
      </c>
      <c r="D8" s="583">
        <f>'Table A5.4.2'!$CQ33</f>
        <v>2</v>
      </c>
      <c r="E8" s="583">
        <f>'Table A5.4.2'!$CQ34</f>
        <v>0.4</v>
      </c>
      <c r="F8" s="583">
        <f>'Table A5.4.2'!$CQ35</f>
        <v>0.1</v>
      </c>
      <c r="G8" s="583">
        <f>'Table A5.4.2'!$CQ36</f>
        <v>2.2000000000000002</v>
      </c>
      <c r="H8" s="583">
        <f>'Table A5.4.2'!$CQ37</f>
        <v>-1.7</v>
      </c>
      <c r="I8" s="583">
        <f>'Table A5.4.2'!$CQ38</f>
        <v>20.6</v>
      </c>
    </row>
    <row r="9" spans="1:9">
      <c r="A9">
        <v>2040</v>
      </c>
      <c r="B9" s="583">
        <f>'Table A5.4.2'!$DG31</f>
        <v>20.5</v>
      </c>
      <c r="C9" s="583">
        <f>'Table A5.4.2'!$DG32</f>
        <v>0.1</v>
      </c>
      <c r="D9" s="583">
        <f>'Table A5.4.2'!$DG33</f>
        <v>2.2000000000000002</v>
      </c>
      <c r="E9" s="583">
        <f>'Table A5.4.2'!$DG34</f>
        <v>0.4</v>
      </c>
      <c r="F9" s="583">
        <f>'Table A5.4.2'!$DG35</f>
        <v>0.2</v>
      </c>
      <c r="G9" s="583">
        <f>'Table A5.4.2'!$DG36</f>
        <v>2.1</v>
      </c>
      <c r="H9" s="583">
        <f>'Table A5.4.2'!$DG37</f>
        <v>-1.4</v>
      </c>
      <c r="I9" s="583">
        <f>'Table A5.4.2'!$DG38</f>
        <v>24</v>
      </c>
    </row>
    <row r="10" spans="1:9">
      <c r="A10">
        <v>2045</v>
      </c>
      <c r="B10" s="583">
        <f>'Table A5.4.2'!$DW31</f>
        <v>22.4</v>
      </c>
      <c r="C10" s="583">
        <f>'Table A5.4.2'!$DW32</f>
        <v>0.1</v>
      </c>
      <c r="D10" s="583">
        <f>'Table A5.4.2'!$DW33</f>
        <v>2.2999999999999998</v>
      </c>
      <c r="E10" s="583">
        <f>'Table A5.4.2'!$DW34</f>
        <v>0.5</v>
      </c>
      <c r="F10" s="583">
        <f>'Table A5.4.2'!$DW35</f>
        <v>0.2</v>
      </c>
      <c r="G10" s="583">
        <f>'Table A5.4.2'!$DW36</f>
        <v>2</v>
      </c>
      <c r="H10" s="583">
        <f>'Table A5.4.2'!$DW37</f>
        <v>-1.2</v>
      </c>
      <c r="I10" s="583">
        <f>'Table A5.4.2'!$DW38</f>
        <v>26.3</v>
      </c>
    </row>
    <row r="11" spans="1:9">
      <c r="A11">
        <v>2050</v>
      </c>
      <c r="B11" s="583">
        <f>'Table A5.4.2'!$EM31</f>
        <v>25.6</v>
      </c>
      <c r="C11" s="583">
        <f>'Table A5.4.2'!$EM32</f>
        <v>0.1</v>
      </c>
      <c r="D11" s="583">
        <f>'Table A5.4.2'!$EM33</f>
        <v>2.5</v>
      </c>
      <c r="E11" s="583">
        <f>'Table A5.4.2'!$EM34</f>
        <v>0.5</v>
      </c>
      <c r="F11" s="583">
        <f>'Table A5.4.2'!$EM35</f>
        <v>0.2</v>
      </c>
      <c r="G11" s="583">
        <f>'Table A5.4.2'!$EM36</f>
        <v>2</v>
      </c>
      <c r="H11" s="583">
        <f>'Table A5.4.2'!$EM37</f>
        <v>-1.1000000000000001</v>
      </c>
      <c r="I11" s="583">
        <f>'Table A5.4.2'!$EM38</f>
        <v>29.8</v>
      </c>
    </row>
    <row r="13" spans="1:9" ht="15" hidden="1" customHeight="1">
      <c r="B13">
        <v>26</v>
      </c>
      <c r="C13">
        <v>27</v>
      </c>
      <c r="D13">
        <v>28</v>
      </c>
      <c r="E13">
        <v>29</v>
      </c>
      <c r="F13">
        <v>30</v>
      </c>
      <c r="G13">
        <v>31</v>
      </c>
      <c r="H13">
        <v>32</v>
      </c>
      <c r="I13">
        <v>33</v>
      </c>
    </row>
    <row r="14" spans="1:9">
      <c r="A14" t="s">
        <v>89</v>
      </c>
      <c r="B14" t="s">
        <v>827</v>
      </c>
      <c r="C14" t="s">
        <v>356</v>
      </c>
      <c r="D14" t="s">
        <v>357</v>
      </c>
      <c r="E14" t="s">
        <v>358</v>
      </c>
      <c r="F14" t="s">
        <v>359</v>
      </c>
      <c r="G14" t="s">
        <v>360</v>
      </c>
      <c r="H14" t="s">
        <v>361</v>
      </c>
      <c r="I14" t="s">
        <v>77</v>
      </c>
    </row>
    <row r="15" spans="1:9">
      <c r="A15">
        <v>2010</v>
      </c>
      <c r="B15" s="583">
        <f>'Table A5.4.2'!$AE48</f>
        <v>10.3</v>
      </c>
      <c r="C15" s="583">
        <f>'Table A5.4.2'!$AE49</f>
        <v>0.1</v>
      </c>
      <c r="D15" s="583">
        <f>'Table A5.4.2'!$AE50</f>
        <v>1.6</v>
      </c>
      <c r="E15" s="583">
        <f>'Table A5.4.2'!$AE51</f>
        <v>1.8</v>
      </c>
      <c r="F15" s="583">
        <f>'Table A5.4.2'!$AE52</f>
        <v>0.1</v>
      </c>
      <c r="G15" s="583">
        <f>'Table A5.4.2'!$AE53</f>
        <v>4.2</v>
      </c>
      <c r="H15" s="583">
        <f>'Table A5.4.2'!$AE54</f>
        <v>-6.3</v>
      </c>
      <c r="I15" s="583">
        <f>'Table A5.4.2'!$AE55</f>
        <v>11.7</v>
      </c>
    </row>
    <row r="16" spans="1:9">
      <c r="A16">
        <v>2015</v>
      </c>
      <c r="B16" s="583">
        <f>'Table A5.4.2'!$AE48</f>
        <v>10.3</v>
      </c>
      <c r="C16" s="583">
        <f>'Table A5.4.2'!$AE49</f>
        <v>0.1</v>
      </c>
      <c r="D16" s="583">
        <f>'Table A5.4.2'!$AE50</f>
        <v>1.6</v>
      </c>
      <c r="E16" s="583">
        <f>'Table A5.4.2'!$AE51</f>
        <v>1.8</v>
      </c>
      <c r="F16" s="583">
        <f>'Table A5.4.2'!$AE52</f>
        <v>0.1</v>
      </c>
      <c r="G16" s="583">
        <f>'Table A5.4.2'!$AE53</f>
        <v>4.2</v>
      </c>
      <c r="H16" s="583">
        <f>'Table A5.4.2'!$AE54</f>
        <v>-6.3</v>
      </c>
      <c r="I16" s="583">
        <f>'Table A5.4.2'!$AE55</f>
        <v>11.7</v>
      </c>
    </row>
    <row r="17" spans="1:9">
      <c r="A17">
        <v>2020</v>
      </c>
      <c r="B17" s="583">
        <f>'Table A5.4.2'!$AU48</f>
        <v>11.3</v>
      </c>
      <c r="C17" s="583">
        <f>'Table A5.4.2'!$AU49</f>
        <v>0.1</v>
      </c>
      <c r="D17" s="583">
        <f>'Table A5.4.2'!$AU50</f>
        <v>1.4</v>
      </c>
      <c r="E17" s="583">
        <f>'Table A5.4.2'!$AU51</f>
        <v>1.2</v>
      </c>
      <c r="F17" s="583">
        <f>'Table A5.4.2'!$AU52</f>
        <v>0.1</v>
      </c>
      <c r="G17" s="583">
        <f>'Table A5.4.2'!$AU53</f>
        <v>4.2</v>
      </c>
      <c r="H17" s="583">
        <f>'Table A5.4.2'!$AU54</f>
        <v>-6</v>
      </c>
      <c r="I17" s="583">
        <f>'Table A5.4.2'!$AU55</f>
        <v>12.4</v>
      </c>
    </row>
    <row r="18" spans="1:9">
      <c r="A18">
        <v>2025</v>
      </c>
      <c r="B18" s="583">
        <f>'Table A5.4.2'!$BK48</f>
        <v>12.8</v>
      </c>
      <c r="C18" s="583">
        <f>'Table A5.4.2'!$BK49</f>
        <v>0.1</v>
      </c>
      <c r="D18" s="583">
        <f>'Table A5.4.2'!$BK50</f>
        <v>1.7</v>
      </c>
      <c r="E18" s="583">
        <f>'Table A5.4.2'!$BK51</f>
        <v>0.9</v>
      </c>
      <c r="F18" s="583">
        <f>'Table A5.4.2'!$BK52</f>
        <v>0.1</v>
      </c>
      <c r="G18" s="583">
        <f>'Table A5.4.2'!$BK53</f>
        <v>4.0999999999999996</v>
      </c>
      <c r="H18" s="583">
        <f>'Table A5.4.2'!$BK54</f>
        <v>-5.7</v>
      </c>
      <c r="I18" s="583">
        <f>'Table A5.4.2'!$BK55</f>
        <v>14.1</v>
      </c>
    </row>
    <row r="19" spans="1:9">
      <c r="A19">
        <v>2030</v>
      </c>
      <c r="B19" s="583">
        <f>'Table A5.4.2'!$CA48</f>
        <v>15.4</v>
      </c>
      <c r="C19" s="583">
        <f>'Table A5.4.2'!$CA49</f>
        <v>0.1</v>
      </c>
      <c r="D19" s="583">
        <f>'Table A5.4.2'!$CA50</f>
        <v>1.9</v>
      </c>
      <c r="E19" s="583">
        <f>'Table A5.4.2'!$CA51</f>
        <v>0.8</v>
      </c>
      <c r="F19" s="583">
        <f>'Table A5.4.2'!$CA52</f>
        <v>0.1</v>
      </c>
      <c r="G19" s="583">
        <f>'Table A5.4.2'!$CA53</f>
        <v>4.0999999999999996</v>
      </c>
      <c r="H19" s="583">
        <f>'Table A5.4.2'!$CA54</f>
        <v>-5.3</v>
      </c>
      <c r="I19" s="583">
        <f>'Table A5.4.2'!$CA55</f>
        <v>17.100000000000001</v>
      </c>
    </row>
    <row r="20" spans="1:9">
      <c r="A20">
        <v>2035</v>
      </c>
      <c r="B20" s="583">
        <f>'Table A5.4.2'!$CQ48</f>
        <v>17.399999999999999</v>
      </c>
      <c r="C20" s="583">
        <f>'Table A5.4.2'!$CQ49</f>
        <v>0.1</v>
      </c>
      <c r="D20" s="583">
        <f>'Table A5.4.2'!$CQ50</f>
        <v>2</v>
      </c>
      <c r="E20" s="583">
        <f>'Table A5.4.2'!$CQ51</f>
        <v>0.8</v>
      </c>
      <c r="F20" s="583">
        <f>'Table A5.4.2'!$CQ52</f>
        <v>0.1</v>
      </c>
      <c r="G20" s="583">
        <f>'Table A5.4.2'!$CQ53</f>
        <v>4.0999999999999996</v>
      </c>
      <c r="H20" s="583">
        <f>'Table A5.4.2'!$CQ54</f>
        <v>-4.9000000000000004</v>
      </c>
      <c r="I20" s="583">
        <f>'Table A5.4.2'!$CQ55</f>
        <v>19.600000000000001</v>
      </c>
    </row>
    <row r="21" spans="1:9">
      <c r="A21">
        <v>2040</v>
      </c>
      <c r="B21" s="583">
        <f>'Table A5.4.2'!$DG48</f>
        <v>20.5</v>
      </c>
      <c r="C21" s="583">
        <f>'Table A5.4.2'!$DG49</f>
        <v>0.1</v>
      </c>
      <c r="D21" s="583">
        <f>'Table A5.4.2'!$DG50</f>
        <v>2.2000000000000002</v>
      </c>
      <c r="E21" s="583">
        <f>'Table A5.4.2'!$DG51</f>
        <v>0.8</v>
      </c>
      <c r="F21" s="583">
        <f>'Table A5.4.2'!$DG52</f>
        <v>0.2</v>
      </c>
      <c r="G21" s="583">
        <f>'Table A5.4.2'!$DG53</f>
        <v>4.0999999999999996</v>
      </c>
      <c r="H21" s="583">
        <f>'Table A5.4.2'!$DG54</f>
        <v>-4.5999999999999996</v>
      </c>
      <c r="I21" s="583">
        <f>'Table A5.4.2'!$DG55</f>
        <v>23.1</v>
      </c>
    </row>
    <row r="22" spans="1:9">
      <c r="A22">
        <v>2045</v>
      </c>
      <c r="B22" s="583">
        <f>'Table A5.4.2'!$DW48</f>
        <v>22.4</v>
      </c>
      <c r="C22" s="583">
        <f>'Table A5.4.2'!$DW49</f>
        <v>0.1</v>
      </c>
      <c r="D22" s="583">
        <f>'Table A5.4.2'!$DW50</f>
        <v>2.2999999999999998</v>
      </c>
      <c r="E22" s="583">
        <f>'Table A5.4.2'!$DW51</f>
        <v>0.8</v>
      </c>
      <c r="F22" s="583">
        <f>'Table A5.4.2'!$DW52</f>
        <v>0.2</v>
      </c>
      <c r="G22" s="583">
        <f>'Table A5.4.2'!$DW53</f>
        <v>4.2</v>
      </c>
      <c r="H22" s="583">
        <f>'Table A5.4.2'!$DW54</f>
        <v>-4.4000000000000004</v>
      </c>
      <c r="I22" s="583">
        <f>'Table A5.4.2'!$DW55</f>
        <v>25.7</v>
      </c>
    </row>
    <row r="23" spans="1:9">
      <c r="A23">
        <v>2050</v>
      </c>
      <c r="B23" s="583">
        <f>'Table A5.4.2'!$EM48</f>
        <v>25.6</v>
      </c>
      <c r="C23" s="583">
        <f>'Table A5.4.2'!$EM49</f>
        <v>0.1</v>
      </c>
      <c r="D23" s="583">
        <f>'Table A5.4.2'!$EM50</f>
        <v>2.5</v>
      </c>
      <c r="E23" s="583">
        <f>'Table A5.4.2'!$EM51</f>
        <v>0.8</v>
      </c>
      <c r="F23" s="583">
        <f>'Table A5.4.2'!$EM52</f>
        <v>0.2</v>
      </c>
      <c r="G23" s="583">
        <f>'Table A5.4.2'!$EM53</f>
        <v>4.3</v>
      </c>
      <c r="H23" s="583">
        <f>'Table A5.4.2'!$EM54</f>
        <v>-4.0999999999999996</v>
      </c>
      <c r="I23" s="583">
        <f>'Table A5.4.2'!$EM55</f>
        <v>29.4</v>
      </c>
    </row>
    <row r="25" spans="1:9" ht="15" hidden="1" customHeight="1">
      <c r="B25">
        <v>43</v>
      </c>
      <c r="C25">
        <v>44</v>
      </c>
      <c r="D25">
        <v>45</v>
      </c>
      <c r="E25">
        <v>46</v>
      </c>
      <c r="F25">
        <v>47</v>
      </c>
      <c r="G25">
        <v>48</v>
      </c>
      <c r="H25">
        <v>49</v>
      </c>
      <c r="I25">
        <v>50</v>
      </c>
    </row>
    <row r="26" spans="1:9">
      <c r="A26" t="s">
        <v>828</v>
      </c>
      <c r="B26" t="s">
        <v>827</v>
      </c>
      <c r="C26" t="s">
        <v>356</v>
      </c>
      <c r="D26" t="s">
        <v>357</v>
      </c>
      <c r="E26" t="s">
        <v>358</v>
      </c>
      <c r="F26" t="s">
        <v>359</v>
      </c>
      <c r="G26" t="s">
        <v>360</v>
      </c>
      <c r="H26" t="s">
        <v>361</v>
      </c>
      <c r="I26" t="s">
        <v>77</v>
      </c>
    </row>
    <row r="27" spans="1:9">
      <c r="A27">
        <v>2010</v>
      </c>
      <c r="B27" s="583">
        <f>'Table A5.4.2'!$AE65</f>
        <v>19.5</v>
      </c>
      <c r="C27" s="583">
        <f>'Table A5.4.2'!$AE66</f>
        <v>5.8</v>
      </c>
      <c r="D27" s="583">
        <f>'Table A5.4.2'!$AE67</f>
        <v>2.5</v>
      </c>
      <c r="E27" s="583">
        <f>'Table A5.4.2'!$AE68</f>
        <v>3.9</v>
      </c>
      <c r="F27" s="583">
        <f>'Table A5.4.2'!$AE69</f>
        <v>2.5</v>
      </c>
      <c r="G27" s="583">
        <f>'Table A5.4.2'!$AE70</f>
        <v>10.7</v>
      </c>
      <c r="H27" s="583">
        <f>'Table A5.4.2'!$AE71</f>
        <v>-16.100000000000001</v>
      </c>
      <c r="I27" s="583">
        <f>'Table A5.4.2'!$AE72</f>
        <v>28.9</v>
      </c>
    </row>
    <row r="28" spans="1:9">
      <c r="A28">
        <v>2015</v>
      </c>
      <c r="B28" s="583">
        <f>'Table A5.4.2'!$AE65</f>
        <v>19.5</v>
      </c>
      <c r="C28" s="583">
        <f>'Table A5.4.2'!$AE66</f>
        <v>5.8</v>
      </c>
      <c r="D28" s="583">
        <f>'Table A5.4.2'!$AE67</f>
        <v>2.5</v>
      </c>
      <c r="E28" s="583">
        <f>'Table A5.4.2'!$AE68</f>
        <v>3.9</v>
      </c>
      <c r="F28" s="583">
        <f>'Table A5.4.2'!$AE69</f>
        <v>2.5</v>
      </c>
      <c r="G28" s="583">
        <f>'Table A5.4.2'!$AE70</f>
        <v>10.7</v>
      </c>
      <c r="H28" s="583">
        <f>'Table A5.4.2'!$AE71</f>
        <v>-16.100000000000001</v>
      </c>
      <c r="I28" s="583">
        <f>'Table A5.4.2'!$AE72</f>
        <v>28.9</v>
      </c>
    </row>
    <row r="29" spans="1:9">
      <c r="A29">
        <v>2020</v>
      </c>
      <c r="B29" s="583">
        <f>'Table A5.4.2'!$AU65</f>
        <v>21.5</v>
      </c>
      <c r="C29" s="583">
        <f>'Table A5.4.2'!$AU66</f>
        <v>5.5</v>
      </c>
      <c r="D29" s="583">
        <f>'Table A5.4.2'!$AU67</f>
        <v>2.4</v>
      </c>
      <c r="E29" s="583">
        <f>'Table A5.4.2'!$AU68</f>
        <v>1.7</v>
      </c>
      <c r="F29" s="583">
        <f>'Table A5.4.2'!$AU69</f>
        <v>2.2999999999999998</v>
      </c>
      <c r="G29" s="583">
        <f>'Table A5.4.2'!$AU70</f>
        <v>10.8</v>
      </c>
      <c r="H29" s="583">
        <f>'Table A5.4.2'!$AU71</f>
        <v>-15.2</v>
      </c>
      <c r="I29" s="583">
        <f>'Table A5.4.2'!$AU72</f>
        <v>28.9</v>
      </c>
    </row>
    <row r="30" spans="1:9">
      <c r="A30">
        <v>2025</v>
      </c>
      <c r="B30" s="583">
        <f>'Table A5.4.2'!$BK65</f>
        <v>24.4</v>
      </c>
      <c r="C30" s="583">
        <f>'Table A5.4.2'!$BK66</f>
        <v>6.3</v>
      </c>
      <c r="D30" s="583">
        <f>'Table A5.4.2'!$BK67</f>
        <v>2.8</v>
      </c>
      <c r="E30" s="583">
        <f>'Table A5.4.2'!$BK68</f>
        <v>1.4</v>
      </c>
      <c r="F30" s="583">
        <f>'Table A5.4.2'!$BK69</f>
        <v>2.7</v>
      </c>
      <c r="G30" s="583">
        <f>'Table A5.4.2'!$BK70</f>
        <v>11.2</v>
      </c>
      <c r="H30" s="583">
        <f>'Table A5.4.2'!$BK71</f>
        <v>-15.6</v>
      </c>
      <c r="I30" s="583">
        <f>'Table A5.4.2'!$BK72</f>
        <v>33.299999999999997</v>
      </c>
    </row>
    <row r="31" spans="1:9">
      <c r="A31">
        <v>2030</v>
      </c>
      <c r="B31" s="583">
        <f>'Table A5.4.2'!$CA65</f>
        <v>29.3</v>
      </c>
      <c r="C31" s="583">
        <f>'Table A5.4.2'!$CA66</f>
        <v>6.7</v>
      </c>
      <c r="D31" s="583">
        <f>'Table A5.4.2'!$CA67</f>
        <v>3</v>
      </c>
      <c r="E31" s="583">
        <f>'Table A5.4.2'!$CA68</f>
        <v>1.3</v>
      </c>
      <c r="F31" s="583">
        <f>'Table A5.4.2'!$CA69</f>
        <v>3</v>
      </c>
      <c r="G31" s="583">
        <f>'Table A5.4.2'!$CA70</f>
        <v>11.9</v>
      </c>
      <c r="H31" s="583">
        <f>'Table A5.4.2'!$CA71</f>
        <v>-16.100000000000001</v>
      </c>
      <c r="I31" s="583">
        <f>'Table A5.4.2'!$CA72</f>
        <v>39.200000000000003</v>
      </c>
    </row>
    <row r="32" spans="1:9">
      <c r="A32">
        <v>2035</v>
      </c>
      <c r="B32" s="583">
        <f>'Table A5.4.2'!$CQ65</f>
        <v>33.1</v>
      </c>
      <c r="C32" s="583">
        <f>'Table A5.4.2'!$CQ66</f>
        <v>7.2</v>
      </c>
      <c r="D32" s="583">
        <f>'Table A5.4.2'!$CQ67</f>
        <v>3.2</v>
      </c>
      <c r="E32" s="583">
        <f>'Table A5.4.2'!$CQ68</f>
        <v>1.3</v>
      </c>
      <c r="F32" s="583">
        <f>'Table A5.4.2'!$CQ69</f>
        <v>3.2</v>
      </c>
      <c r="G32" s="583">
        <f>'Table A5.4.2'!$CQ70</f>
        <v>12.6</v>
      </c>
      <c r="H32" s="583">
        <f>'Table A5.4.2'!$CQ71</f>
        <v>-16.5</v>
      </c>
      <c r="I32" s="583">
        <f>'Table A5.4.2'!$CQ72</f>
        <v>44.1</v>
      </c>
    </row>
    <row r="33" spans="1:9">
      <c r="A33">
        <v>2040</v>
      </c>
      <c r="B33" s="583">
        <f>'Table A5.4.2'!$DG65</f>
        <v>38.9</v>
      </c>
      <c r="C33" s="583">
        <f>'Table A5.4.2'!$DG66</f>
        <v>7.8</v>
      </c>
      <c r="D33" s="583">
        <f>'Table A5.4.2'!$DG67</f>
        <v>3.5</v>
      </c>
      <c r="E33" s="583">
        <f>'Table A5.4.2'!$DG68</f>
        <v>1.5</v>
      </c>
      <c r="F33" s="583">
        <f>'Table A5.4.2'!$DG69</f>
        <v>3.4</v>
      </c>
      <c r="G33" s="583">
        <f>'Table A5.4.2'!$DG70</f>
        <v>13.3</v>
      </c>
      <c r="H33" s="583">
        <f>'Table A5.4.2'!$DG71</f>
        <v>-16.2</v>
      </c>
      <c r="I33" s="583">
        <f>'Table A5.4.2'!$DG72</f>
        <v>52.1</v>
      </c>
    </row>
    <row r="34" spans="1:9">
      <c r="A34">
        <v>2045</v>
      </c>
      <c r="B34" s="583">
        <f>'Table A5.4.2'!$DW65</f>
        <v>42.6</v>
      </c>
      <c r="C34" s="583">
        <f>'Table A5.4.2'!$DW66</f>
        <v>8.3000000000000007</v>
      </c>
      <c r="D34" s="583">
        <f>'Table A5.4.2'!$DW67</f>
        <v>3.7</v>
      </c>
      <c r="E34" s="583">
        <f>'Table A5.4.2'!$DW68</f>
        <v>1.6</v>
      </c>
      <c r="F34" s="583">
        <f>'Table A5.4.2'!$DW69</f>
        <v>3.7</v>
      </c>
      <c r="G34" s="583">
        <f>'Table A5.4.2'!$DW70</f>
        <v>14.1</v>
      </c>
      <c r="H34" s="583">
        <f>'Table A5.4.2'!$DW71</f>
        <v>-16</v>
      </c>
      <c r="I34" s="583">
        <f>'Table A5.4.2'!$DW72</f>
        <v>58.1</v>
      </c>
    </row>
    <row r="35" spans="1:9">
      <c r="A35">
        <v>2050</v>
      </c>
      <c r="B35" s="583">
        <f>'Table A5.4.2'!$EM65</f>
        <v>48.6</v>
      </c>
      <c r="C35" s="583">
        <f>'Table A5.4.2'!$EM66</f>
        <v>8.9</v>
      </c>
      <c r="D35" s="583">
        <f>'Table A5.4.2'!$EM67</f>
        <v>4</v>
      </c>
      <c r="E35" s="583">
        <f>'Table A5.4.2'!$EM68</f>
        <v>1.7</v>
      </c>
      <c r="F35" s="583">
        <f>'Table A5.4.2'!$EM69</f>
        <v>3.9</v>
      </c>
      <c r="G35" s="583">
        <f>'Table A5.4.2'!$EM70</f>
        <v>15.1</v>
      </c>
      <c r="H35" s="583">
        <f>'Table A5.4.2'!$EM71</f>
        <v>-15.9</v>
      </c>
      <c r="I35" s="583">
        <f>'Table A5.4.2'!$EM72</f>
        <v>66.400000000000006</v>
      </c>
    </row>
    <row r="37" spans="1:9" ht="15" hidden="1" customHeight="1">
      <c r="B37">
        <v>60</v>
      </c>
      <c r="C37">
        <v>61</v>
      </c>
      <c r="D37">
        <v>62</v>
      </c>
      <c r="E37">
        <v>63</v>
      </c>
      <c r="F37">
        <v>64</v>
      </c>
      <c r="G37">
        <v>65</v>
      </c>
      <c r="H37">
        <v>66</v>
      </c>
      <c r="I37">
        <v>67</v>
      </c>
    </row>
    <row r="38" spans="1:9">
      <c r="A38" t="s">
        <v>829</v>
      </c>
      <c r="B38" t="s">
        <v>827</v>
      </c>
      <c r="C38" t="s">
        <v>356</v>
      </c>
      <c r="D38" t="s">
        <v>357</v>
      </c>
      <c r="E38" t="s">
        <v>358</v>
      </c>
      <c r="F38" t="s">
        <v>359</v>
      </c>
      <c r="G38" t="s">
        <v>360</v>
      </c>
      <c r="H38" t="s">
        <v>361</v>
      </c>
      <c r="I38" t="s">
        <v>77</v>
      </c>
    </row>
    <row r="39" spans="1:9">
      <c r="A39">
        <v>2010</v>
      </c>
      <c r="B39" s="583">
        <f>'Table A5.4.2'!$AE82</f>
        <v>29.8</v>
      </c>
      <c r="C39" s="583">
        <f>'Table A5.4.2'!$AE83</f>
        <v>8.8000000000000007</v>
      </c>
      <c r="D39" s="583">
        <f>'Table A5.4.2'!$AE84</f>
        <v>1.7</v>
      </c>
      <c r="E39" s="583">
        <f>'Table A5.4.2'!$AE85</f>
        <v>2.4</v>
      </c>
      <c r="F39" s="583">
        <f>'Table A5.4.2'!$AE86</f>
        <v>4</v>
      </c>
      <c r="G39" s="583">
        <f>'Table A5.4.2'!$AE87</f>
        <v>14.7</v>
      </c>
      <c r="H39" s="583">
        <f>'Table A5.4.2'!$AE88</f>
        <v>-22</v>
      </c>
      <c r="I39" s="583">
        <f>'Table A5.4.2'!$AE89</f>
        <v>39.200000000000003</v>
      </c>
    </row>
    <row r="40" spans="1:9">
      <c r="A40">
        <v>2015</v>
      </c>
      <c r="B40" s="583">
        <f>'Table A5.4.2'!$AE82</f>
        <v>29.8</v>
      </c>
      <c r="C40" s="583">
        <f>'Table A5.4.2'!$AE83</f>
        <v>8.8000000000000007</v>
      </c>
      <c r="D40" s="583">
        <f>'Table A5.4.2'!$AE84</f>
        <v>1.7</v>
      </c>
      <c r="E40" s="583">
        <f>'Table A5.4.2'!$AE85</f>
        <v>2.4</v>
      </c>
      <c r="F40" s="583">
        <f>'Table A5.4.2'!$AE86</f>
        <v>4</v>
      </c>
      <c r="G40" s="583">
        <f>'Table A5.4.2'!$AE87</f>
        <v>14.7</v>
      </c>
      <c r="H40" s="583">
        <f>'Table A5.4.2'!$AE88</f>
        <v>-22</v>
      </c>
      <c r="I40" s="583">
        <f>'Table A5.4.2'!$AE89</f>
        <v>39.200000000000003</v>
      </c>
    </row>
    <row r="41" spans="1:9">
      <c r="A41">
        <v>2020</v>
      </c>
      <c r="B41" s="583">
        <f>'Table A5.4.2'!$AU82</f>
        <v>32.799999999999997</v>
      </c>
      <c r="C41" s="583">
        <f>'Table A5.4.2'!$AU83</f>
        <v>8.1</v>
      </c>
      <c r="D41" s="583">
        <f>'Table A5.4.2'!$AU84</f>
        <v>1.5</v>
      </c>
      <c r="E41" s="583">
        <f>'Table A5.4.2'!$AU85</f>
        <v>1.2</v>
      </c>
      <c r="F41" s="583">
        <f>'Table A5.4.2'!$AU86</f>
        <v>3.6</v>
      </c>
      <c r="G41" s="583">
        <f>'Table A5.4.2'!$AU87</f>
        <v>13.2</v>
      </c>
      <c r="H41" s="583">
        <f>'Table A5.4.2'!$AU88</f>
        <v>-18.7</v>
      </c>
      <c r="I41" s="583">
        <f>'Table A5.4.2'!$AU89</f>
        <v>41.7</v>
      </c>
    </row>
    <row r="42" spans="1:9">
      <c r="A42">
        <v>2025</v>
      </c>
      <c r="B42" s="583">
        <f>'Table A5.4.2'!$BK82</f>
        <v>37.299999999999997</v>
      </c>
      <c r="C42" s="583">
        <f>'Table A5.4.2'!$BK83</f>
        <v>9.4</v>
      </c>
      <c r="D42" s="583">
        <f>'Table A5.4.2'!$BK84</f>
        <v>1.8</v>
      </c>
      <c r="E42" s="583">
        <f>'Table A5.4.2'!$BK80</f>
        <v>172.3</v>
      </c>
      <c r="F42" s="583">
        <f>'Table A5.4.2'!$BK86</f>
        <v>4.3</v>
      </c>
      <c r="G42" s="583">
        <f>'Table A5.4.2'!$BK87</f>
        <v>13.8</v>
      </c>
      <c r="H42" s="583">
        <f>'Table A5.4.2'!$BK88</f>
        <v>-19.100000000000001</v>
      </c>
      <c r="I42" s="583">
        <f>'Table A5.4.2'!$BK89</f>
        <v>48.5</v>
      </c>
    </row>
    <row r="43" spans="1:9">
      <c r="A43">
        <v>2030</v>
      </c>
      <c r="B43" s="583">
        <f>'Table A5.4.2'!$CA82</f>
        <v>44.8</v>
      </c>
      <c r="C43" s="583">
        <f>'Table A5.4.2'!$CA83</f>
        <v>10.1</v>
      </c>
      <c r="D43" s="583">
        <f>'Table A5.4.2'!$CA84</f>
        <v>1.9</v>
      </c>
      <c r="E43" s="583">
        <f>'Table A5.4.2'!$CA85</f>
        <v>1.2</v>
      </c>
      <c r="F43" s="583">
        <f>'Table A5.4.2'!$CA86</f>
        <v>4.5999999999999996</v>
      </c>
      <c r="G43" s="583">
        <f>'Table A5.4.2'!$CA87</f>
        <v>14.7</v>
      </c>
      <c r="H43" s="583">
        <f>'Table A5.4.2'!$CA88</f>
        <v>-19.8</v>
      </c>
      <c r="I43" s="583">
        <f>'Table A5.4.2'!$CA89</f>
        <v>57.5</v>
      </c>
    </row>
    <row r="44" spans="1:9">
      <c r="A44">
        <v>2035</v>
      </c>
      <c r="B44" s="583">
        <f>'Table A5.4.2'!$CQ82</f>
        <v>50.5</v>
      </c>
      <c r="C44" s="583">
        <f>'Table A5.4.2'!$CQ83</f>
        <v>10.8</v>
      </c>
      <c r="D44" s="583">
        <f>'Table A5.4.2'!$CQ84</f>
        <v>2.1</v>
      </c>
      <c r="E44" s="583">
        <f>'Table A5.4.2'!$CQ85</f>
        <v>1.3</v>
      </c>
      <c r="F44" s="583">
        <f>'Table A5.4.2'!$CQ86</f>
        <v>5</v>
      </c>
      <c r="G44" s="583">
        <f>'Table A5.4.2'!$CQ87</f>
        <v>15.5</v>
      </c>
      <c r="H44" s="583">
        <f>'Table A5.4.2'!$CQ88</f>
        <v>-20.3</v>
      </c>
      <c r="I44" s="583">
        <f>'Table A5.4.2'!$CQ89</f>
        <v>64.900000000000006</v>
      </c>
    </row>
    <row r="45" spans="1:9">
      <c r="A45">
        <v>2040</v>
      </c>
      <c r="B45" s="583">
        <f>'Table A5.4.2'!$DG82</f>
        <v>59.3</v>
      </c>
      <c r="C45" s="583">
        <f>'Table A5.4.2'!$DG83</f>
        <v>11.7</v>
      </c>
      <c r="D45" s="583">
        <f>'Table A5.4.2'!$DG84</f>
        <v>2.2999999999999998</v>
      </c>
      <c r="E45" s="583">
        <f>'Table A5.4.2'!$DG85</f>
        <v>1.3</v>
      </c>
      <c r="F45" s="583">
        <f>'Table A5.4.2'!$DG86</f>
        <v>5.4</v>
      </c>
      <c r="G45" s="583">
        <f>'Table A5.4.2'!$DG87</f>
        <v>16.3</v>
      </c>
      <c r="H45" s="583">
        <f>'Table A5.4.2'!$DG88</f>
        <v>-19.899999999999999</v>
      </c>
      <c r="I45" s="583">
        <f>'Table A5.4.2'!$DG89</f>
        <v>76.400000000000006</v>
      </c>
    </row>
    <row r="46" spans="1:9">
      <c r="A46">
        <v>2045</v>
      </c>
      <c r="B46" s="583">
        <f>'Table A5.4.2'!$DW82</f>
        <v>65.099999999999994</v>
      </c>
      <c r="C46" s="583">
        <f>'Table A5.4.2'!$DW83</f>
        <v>12.6</v>
      </c>
      <c r="D46" s="583">
        <f>'Table A5.4.2'!$DW84</f>
        <v>2.4</v>
      </c>
      <c r="E46" s="583">
        <f>'Table A5.4.2'!$DW85</f>
        <v>1.4</v>
      </c>
      <c r="F46" s="583">
        <f>'Table A5.4.2'!$DW86</f>
        <v>5.7</v>
      </c>
      <c r="G46" s="583">
        <f>'Table A5.4.2'!$DW87</f>
        <v>17.399999999999999</v>
      </c>
      <c r="H46" s="583">
        <f>'Table A5.4.2'!$DW88</f>
        <v>-19.600000000000001</v>
      </c>
      <c r="I46" s="583">
        <f>'Table A5.4.2'!$DW89</f>
        <v>84.9</v>
      </c>
    </row>
    <row r="47" spans="1:9">
      <c r="A47">
        <v>2050</v>
      </c>
      <c r="B47" s="583">
        <f>'Table A5.4.2'!$EM82</f>
        <v>74.2</v>
      </c>
      <c r="C47" s="583">
        <f>'Table A5.4.2'!$EM83</f>
        <v>13.5</v>
      </c>
      <c r="D47" s="583">
        <f>'Table A5.4.2'!$EM84</f>
        <v>2.6</v>
      </c>
      <c r="E47" s="583">
        <f>'Table A5.4.2'!$EM85</f>
        <v>1.5</v>
      </c>
      <c r="F47" s="583">
        <f>'Table A5.4.2'!$EM86</f>
        <v>6.1</v>
      </c>
      <c r="G47" s="583">
        <f>'Table A5.4.2'!$EM87</f>
        <v>18.7</v>
      </c>
      <c r="H47" s="583">
        <f>'Table A5.4.2'!$EM88</f>
        <v>-19.600000000000001</v>
      </c>
      <c r="I47" s="583">
        <f>'Table A5.4.2'!$EM89</f>
        <v>97</v>
      </c>
    </row>
    <row r="49" spans="1:9" ht="15" hidden="1" customHeight="1">
      <c r="B49">
        <v>77</v>
      </c>
      <c r="C49">
        <v>78</v>
      </c>
      <c r="D49">
        <v>79</v>
      </c>
      <c r="E49">
        <v>80</v>
      </c>
      <c r="F49">
        <v>81</v>
      </c>
      <c r="G49">
        <v>82</v>
      </c>
      <c r="H49">
        <v>83</v>
      </c>
      <c r="I49">
        <v>84</v>
      </c>
    </row>
    <row r="50" spans="1:9">
      <c r="A50" t="s">
        <v>93</v>
      </c>
      <c r="B50" t="s">
        <v>827</v>
      </c>
      <c r="C50" t="s">
        <v>356</v>
      </c>
      <c r="D50" t="s">
        <v>357</v>
      </c>
      <c r="E50" t="s">
        <v>358</v>
      </c>
      <c r="F50" t="s">
        <v>359</v>
      </c>
      <c r="G50" t="s">
        <v>360</v>
      </c>
      <c r="H50" t="s">
        <v>361</v>
      </c>
      <c r="I50" t="s">
        <v>77</v>
      </c>
    </row>
    <row r="51" spans="1:9">
      <c r="A51">
        <v>2010</v>
      </c>
      <c r="B51" s="583">
        <f>'Table A5.4.2'!$AE99</f>
        <v>25.7</v>
      </c>
      <c r="C51" s="583">
        <f>'Table A5.4.2'!$AE100</f>
        <v>0</v>
      </c>
      <c r="D51" s="583">
        <f>'Table A5.4.2'!$AE101</f>
        <v>0</v>
      </c>
      <c r="E51" s="583">
        <f>'Table A5.4.2'!$AE102</f>
        <v>9.3000000000000007</v>
      </c>
      <c r="F51" s="583">
        <f>'Table A5.4.2'!$AE103</f>
        <v>0</v>
      </c>
      <c r="G51" s="583">
        <f>'Table A5.4.2'!$AE104</f>
        <v>13.8</v>
      </c>
      <c r="H51" s="583">
        <f>'Table A5.4.2'!$AE105</f>
        <v>-20.8</v>
      </c>
      <c r="I51" s="583">
        <f>'Table A5.4.2'!$AE106</f>
        <v>28.1</v>
      </c>
    </row>
    <row r="52" spans="1:9">
      <c r="A52">
        <v>2015</v>
      </c>
      <c r="B52" s="583">
        <f>'Table A5.4.2'!$AE99</f>
        <v>25.7</v>
      </c>
      <c r="C52" s="583">
        <f>'Table A5.4.2'!$AE100</f>
        <v>0</v>
      </c>
      <c r="D52" s="583">
        <f>'Table A5.4.2'!$AE101</f>
        <v>0</v>
      </c>
      <c r="E52" s="583">
        <f>'Table A5.4.2'!$AE102</f>
        <v>9.3000000000000007</v>
      </c>
      <c r="F52" s="583">
        <f>'Table A5.4.2'!$AE103</f>
        <v>0</v>
      </c>
      <c r="G52" s="583">
        <f>'Table A5.4.2'!$AE104</f>
        <v>13.8</v>
      </c>
      <c r="H52" s="583">
        <f>'Table A5.4.2'!$AE105</f>
        <v>-20.8</v>
      </c>
      <c r="I52" s="583">
        <f>'Table A5.4.2'!$AE106</f>
        <v>28.1</v>
      </c>
    </row>
    <row r="53" spans="1:9">
      <c r="A53">
        <v>2020</v>
      </c>
      <c r="B53" s="583">
        <f>'Table A5.4.2'!$AU99</f>
        <v>28.3</v>
      </c>
      <c r="C53" s="583">
        <f>'Table A5.4.2'!$AU100</f>
        <v>0</v>
      </c>
      <c r="D53" s="583">
        <f>'Table A5.4.2'!$AU101</f>
        <v>0</v>
      </c>
      <c r="E53" s="583">
        <f>'Table A5.4.2'!$AU102</f>
        <v>5</v>
      </c>
      <c r="F53" s="583">
        <f>'Table A5.4.2'!$AU103</f>
        <v>0</v>
      </c>
      <c r="G53" s="583">
        <f>'Table A5.4.2'!$AU104</f>
        <v>13.6</v>
      </c>
      <c r="H53" s="583">
        <f>'Table A5.4.2'!$AU105</f>
        <v>-19.2</v>
      </c>
      <c r="I53" s="583">
        <f>'Table A5.4.2'!$AU106</f>
        <v>27.6</v>
      </c>
    </row>
    <row r="54" spans="1:9">
      <c r="A54">
        <v>2025</v>
      </c>
      <c r="B54" s="583">
        <f>'Table A5.4.2'!$BK99</f>
        <v>32.1</v>
      </c>
      <c r="C54" s="583">
        <f>'Table A5.4.2'!$BK100</f>
        <v>0</v>
      </c>
      <c r="D54" s="583">
        <f>'Table A5.4.2'!$BK101</f>
        <v>0</v>
      </c>
      <c r="E54" s="583">
        <f>'Table A5.4.2'!$BK102</f>
        <v>3.6</v>
      </c>
      <c r="F54" s="583">
        <f>'Table A5.4.2'!$BK103</f>
        <v>0</v>
      </c>
      <c r="G54" s="583">
        <f>'Table A5.4.2'!$BK104</f>
        <v>13.2</v>
      </c>
      <c r="H54" s="583">
        <f>'Table A5.4.2'!$BK105</f>
        <v>-18.2</v>
      </c>
      <c r="I54" s="583">
        <f>'Table A5.4.2'!$BK106</f>
        <v>30.6</v>
      </c>
    </row>
    <row r="55" spans="1:9">
      <c r="A55">
        <v>2030</v>
      </c>
      <c r="B55" s="583">
        <f>'Table A5.4.2'!$CA99</f>
        <v>38.6</v>
      </c>
      <c r="C55" s="583">
        <f>'Table A5.4.2'!$CA100</f>
        <v>0</v>
      </c>
      <c r="D55" s="583">
        <f>'Table A5.4.2'!$CA101</f>
        <v>0</v>
      </c>
      <c r="E55" s="583">
        <f>'Table A5.4.2'!$CA102</f>
        <v>2.6</v>
      </c>
      <c r="F55" s="583">
        <f>'Table A5.4.2'!$CA103</f>
        <v>0</v>
      </c>
      <c r="G55" s="583">
        <f>'Table A5.4.2'!$CA104</f>
        <v>12.1</v>
      </c>
      <c r="H55" s="583">
        <f>'Table A5.4.2'!$CA105</f>
        <v>-16.399999999999999</v>
      </c>
      <c r="I55" s="583">
        <f>'Table A5.4.2'!$CA106</f>
        <v>36.9</v>
      </c>
    </row>
    <row r="56" spans="1:9">
      <c r="A56">
        <v>2035</v>
      </c>
      <c r="B56" s="583">
        <f>'Table A5.4.2'!$CQ99</f>
        <v>43.6</v>
      </c>
      <c r="C56" s="583">
        <f>'Table A5.4.2'!$CQ100</f>
        <v>0</v>
      </c>
      <c r="D56" s="583">
        <f>'Table A5.4.2'!$CQ101</f>
        <v>0</v>
      </c>
      <c r="E56" s="583">
        <f>'Table A5.4.2'!$CQ102</f>
        <v>2.4</v>
      </c>
      <c r="F56" s="583">
        <f>'Table A5.4.2'!$CQ103</f>
        <v>0</v>
      </c>
      <c r="G56" s="583">
        <f>'Table A5.4.2'!$CQ104</f>
        <v>11.9</v>
      </c>
      <c r="H56" s="583">
        <f>'Table A5.4.2'!$CQ105</f>
        <v>-15.6</v>
      </c>
      <c r="I56" s="583">
        <f>'Table A5.4.2'!$CQ106</f>
        <v>42.2</v>
      </c>
    </row>
    <row r="57" spans="1:9">
      <c r="A57">
        <v>2040</v>
      </c>
      <c r="B57" s="583">
        <f>'Table A5.4.2'!$DG99</f>
        <v>51.1</v>
      </c>
      <c r="C57" s="583">
        <f>'Table A5.4.2'!$DG100</f>
        <v>0</v>
      </c>
      <c r="D57" s="583">
        <f>'Table A5.4.2'!$DG101</f>
        <v>0</v>
      </c>
      <c r="E57" s="583">
        <f>'Table A5.4.2'!$DG102</f>
        <v>2.8</v>
      </c>
      <c r="F57" s="583">
        <f>'Table A5.4.2'!$DG103</f>
        <v>0</v>
      </c>
      <c r="G57" s="583">
        <f>'Table A5.4.2'!$DG104</f>
        <v>12</v>
      </c>
      <c r="H57" s="583">
        <f>'Table A5.4.2'!$DG105</f>
        <v>-14.7</v>
      </c>
      <c r="I57" s="583">
        <f>'Table A5.4.2'!$DG106</f>
        <v>51.3</v>
      </c>
    </row>
    <row r="58" spans="1:9">
      <c r="A58">
        <v>2045</v>
      </c>
      <c r="B58" s="583">
        <f>'Table A5.4.2'!$DW99</f>
        <v>56.1</v>
      </c>
      <c r="C58" s="583">
        <f>'Table A5.4.2'!$DW100</f>
        <v>0</v>
      </c>
      <c r="D58" s="583">
        <f>'Table A5.4.2'!$DW101</f>
        <v>0</v>
      </c>
      <c r="E58" s="583">
        <f>'Table A5.4.2'!$DW102</f>
        <v>3</v>
      </c>
      <c r="F58" s="583">
        <f>'Table A5.4.2'!$DW103</f>
        <v>0</v>
      </c>
      <c r="G58" s="583">
        <f>'Table A5.4.2'!$DW104</f>
        <v>12.7</v>
      </c>
      <c r="H58" s="583">
        <f>'Table A5.4.2'!$DW105</f>
        <v>-14.4</v>
      </c>
      <c r="I58" s="583">
        <f>'Table A5.4.2'!$DW106</f>
        <v>57.4</v>
      </c>
    </row>
    <row r="59" spans="1:9">
      <c r="A59">
        <v>2050</v>
      </c>
      <c r="B59" s="583">
        <f>'Table A5.4.2'!$EM99</f>
        <v>64</v>
      </c>
      <c r="C59" s="583">
        <f>'Table A5.4.2'!$EM100</f>
        <v>0</v>
      </c>
      <c r="D59" s="583">
        <f>'Table A5.4.2'!$EM101</f>
        <v>0</v>
      </c>
      <c r="E59" s="583">
        <f>'Table A5.4.2'!$EM102</f>
        <v>3.3</v>
      </c>
      <c r="F59" s="583">
        <f>'Table A5.4.2'!$EM103</f>
        <v>0</v>
      </c>
      <c r="G59" s="583">
        <f>'Table A5.4.2'!$EM104</f>
        <v>13.5</v>
      </c>
      <c r="H59" s="583">
        <f>'Table A5.4.2'!$EM105</f>
        <v>-14.2</v>
      </c>
      <c r="I59" s="583">
        <f>'Table A5.4.2'!$EM106</f>
        <v>66.5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7030A0"/>
  </sheetPr>
  <dimension ref="A1:J11"/>
  <sheetViews>
    <sheetView topLeftCell="C1" workbookViewId="0">
      <selection activeCell="D5" sqref="D5:H5"/>
    </sheetView>
  </sheetViews>
  <sheetFormatPr defaultRowHeight="14.5"/>
  <cols>
    <col min="1" max="1" width="17.453125" bestFit="1" customWidth="1"/>
    <col min="2" max="2" width="15.7265625" bestFit="1" customWidth="1"/>
    <col min="3" max="3" width="10.54296875" bestFit="1" customWidth="1"/>
    <col min="5" max="5" width="15.7265625" bestFit="1" customWidth="1"/>
    <col min="10" max="10" width="12" bestFit="1" customWidth="1"/>
  </cols>
  <sheetData>
    <row r="1" spans="1:10">
      <c r="B1" t="s">
        <v>830</v>
      </c>
      <c r="E1" t="s">
        <v>830</v>
      </c>
      <c r="H1" t="s">
        <v>831</v>
      </c>
    </row>
    <row r="2" spans="1:10">
      <c r="A2" t="s">
        <v>828</v>
      </c>
      <c r="B2" s="580">
        <v>0.45895522388059701</v>
      </c>
      <c r="D2" t="s">
        <v>572</v>
      </c>
      <c r="E2" s="580">
        <v>0.28191489361702127</v>
      </c>
      <c r="G2" t="s">
        <v>828</v>
      </c>
      <c r="H2">
        <v>58</v>
      </c>
    </row>
    <row r="3" spans="1:10">
      <c r="A3" t="s">
        <v>829</v>
      </c>
      <c r="B3" s="580">
        <v>0.53731343283582089</v>
      </c>
      <c r="D3" t="s">
        <v>573</v>
      </c>
      <c r="E3" s="580">
        <v>0.71808510638297873</v>
      </c>
      <c r="G3" t="s">
        <v>829</v>
      </c>
      <c r="H3">
        <v>73</v>
      </c>
      <c r="J3" s="582"/>
    </row>
    <row r="4" spans="1:10">
      <c r="J4" s="582"/>
    </row>
    <row r="6" spans="1:10">
      <c r="B6" s="582"/>
      <c r="C6" s="582"/>
    </row>
    <row r="7" spans="1:10">
      <c r="C7" s="582"/>
    </row>
    <row r="10" spans="1:10">
      <c r="B10" s="580"/>
      <c r="C10" s="580"/>
    </row>
    <row r="11" spans="1:10">
      <c r="B11" s="580"/>
      <c r="C11" s="58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C14"/>
  <sheetViews>
    <sheetView workbookViewId="0">
      <selection activeCell="C20" sqref="C20"/>
    </sheetView>
  </sheetViews>
  <sheetFormatPr defaultColWidth="9.1796875" defaultRowHeight="14.5"/>
  <cols>
    <col min="1" max="1" width="45.1796875" style="361" customWidth="1"/>
    <col min="2" max="2" width="5.26953125" style="361" customWidth="1"/>
    <col min="3" max="3" width="42.1796875" style="361" customWidth="1"/>
    <col min="4" max="4" width="46.7265625" style="361" customWidth="1"/>
    <col min="5" max="16384" width="9.1796875" style="361"/>
  </cols>
  <sheetData>
    <row r="1" spans="1:3" ht="18">
      <c r="A1" s="794" t="s">
        <v>115</v>
      </c>
      <c r="B1" s="794"/>
    </row>
    <row r="2" spans="1:3">
      <c r="C2" s="795"/>
    </row>
    <row r="3" spans="1:3">
      <c r="A3" s="797"/>
      <c r="C3" s="798"/>
    </row>
    <row r="4" spans="1:3">
      <c r="A4" s="796" t="s">
        <v>116</v>
      </c>
      <c r="B4" s="498"/>
      <c r="C4" s="1229">
        <f>Scheme_Promoter</f>
        <v>0</v>
      </c>
    </row>
    <row r="5" spans="1:3">
      <c r="A5" s="796" t="s">
        <v>117</v>
      </c>
      <c r="B5" s="498"/>
      <c r="C5" s="1229">
        <f>Scheme_Name</f>
        <v>0</v>
      </c>
    </row>
    <row r="6" spans="1:3">
      <c r="C6" s="798"/>
    </row>
    <row r="7" spans="1:3">
      <c r="A7" s="802"/>
      <c r="B7" s="802"/>
      <c r="C7" s="798"/>
    </row>
    <row r="8" spans="1:3">
      <c r="A8" s="802"/>
      <c r="B8" s="802"/>
    </row>
    <row r="9" spans="1:3">
      <c r="A9" s="929" t="s">
        <v>118</v>
      </c>
      <c r="B9" s="802"/>
      <c r="C9" s="1230" t="e">
        <f>'VfM Scrutiny'!D29</f>
        <v>#DIV/0!</v>
      </c>
    </row>
    <row r="10" spans="1:3">
      <c r="A10" s="929" t="s">
        <v>119</v>
      </c>
      <c r="B10" s="802"/>
      <c r="C10" s="1230">
        <f>'VfM Scrutiny'!D31</f>
        <v>0</v>
      </c>
    </row>
    <row r="11" spans="1:3">
      <c r="A11" s="929" t="s">
        <v>120</v>
      </c>
      <c r="B11" s="802"/>
      <c r="C11" s="1230" t="e">
        <f>'VfM Scrutiny'!D35</f>
        <v>#DIV/0!</v>
      </c>
    </row>
    <row r="12" spans="1:3">
      <c r="A12" s="929" t="s">
        <v>121</v>
      </c>
      <c r="C12" s="1230" t="e">
        <f>'VfM Scrutiny'!D33</f>
        <v>#DIV/0!</v>
      </c>
    </row>
    <row r="13" spans="1:3">
      <c r="A13" s="929" t="s">
        <v>122</v>
      </c>
      <c r="C13" s="1229">
        <f>'VfM Scrutiny'!D37</f>
        <v>0</v>
      </c>
    </row>
    <row r="14" spans="1:3">
      <c r="A14" s="929" t="s">
        <v>123</v>
      </c>
      <c r="C14" s="1229">
        <f>'VfM Scrutiny'!D59</f>
        <v>0</v>
      </c>
    </row>
  </sheetData>
  <sheetProtection algorithmName="SHA-512" hashValue="hC3Ps7S34cGA9YY7eteOpXkW7sNIhfFyxH2dyQxWGGmr7zr1ANxPXR9YB+ov3m+j749F2n4/YW8vlkooMFTLNQ==" saltValue="EVzXExTFh2FyIsgeRM9sOg=="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7"/>
  </sheetPr>
  <dimension ref="A1:K21"/>
  <sheetViews>
    <sheetView workbookViewId="0">
      <selection activeCell="C33" sqref="C33"/>
    </sheetView>
  </sheetViews>
  <sheetFormatPr defaultColWidth="9.1796875" defaultRowHeight="14.5"/>
  <cols>
    <col min="1" max="1" width="45.1796875" style="361" customWidth="1"/>
    <col min="2" max="2" width="5.26953125" style="361" customWidth="1"/>
    <col min="3" max="3" width="42.1796875" style="361" customWidth="1"/>
    <col min="4" max="4" width="46.7265625" style="361" customWidth="1"/>
    <col min="5" max="16384" width="9.1796875" style="361"/>
  </cols>
  <sheetData>
    <row r="1" spans="1:11" ht="18">
      <c r="A1" s="794" t="s">
        <v>124</v>
      </c>
      <c r="B1" s="794"/>
    </row>
    <row r="2" spans="1:11">
      <c r="C2" s="795"/>
    </row>
    <row r="3" spans="1:11">
      <c r="A3" s="796" t="s">
        <v>125</v>
      </c>
      <c r="B3" s="498"/>
      <c r="C3" s="953"/>
      <c r="D3" s="361" t="s">
        <v>126</v>
      </c>
    </row>
    <row r="4" spans="1:11">
      <c r="A4" s="796" t="s">
        <v>127</v>
      </c>
      <c r="B4" s="498"/>
      <c r="C4" s="954">
        <f ca="1">TODAY()</f>
        <v>44719</v>
      </c>
    </row>
    <row r="5" spans="1:11">
      <c r="A5" s="797"/>
      <c r="C5" s="798"/>
    </row>
    <row r="6" spans="1:11">
      <c r="A6" s="796" t="s">
        <v>128</v>
      </c>
      <c r="B6" s="498"/>
      <c r="C6" s="969"/>
    </row>
    <row r="7" spans="1:11">
      <c r="A7" s="796" t="s">
        <v>116</v>
      </c>
      <c r="B7" s="498"/>
      <c r="C7" s="927">
        <f>Scheme_Promoter</f>
        <v>0</v>
      </c>
    </row>
    <row r="8" spans="1:11">
      <c r="A8" s="796" t="s">
        <v>117</v>
      </c>
      <c r="B8" s="498"/>
      <c r="C8" s="927">
        <f>Scheme_Name</f>
        <v>0</v>
      </c>
    </row>
    <row r="9" spans="1:11">
      <c r="A9" s="796" t="s">
        <v>129</v>
      </c>
      <c r="B9" s="498"/>
      <c r="C9" s="953"/>
    </row>
    <row r="10" spans="1:11">
      <c r="A10" s="796" t="s">
        <v>130</v>
      </c>
      <c r="B10" s="498"/>
      <c r="C10" s="953"/>
    </row>
    <row r="11" spans="1:11">
      <c r="A11" s="796" t="s">
        <v>131</v>
      </c>
      <c r="B11" s="498"/>
      <c r="C11" s="953"/>
      <c r="D11" s="361" t="s">
        <v>132</v>
      </c>
      <c r="K11" s="361" t="s">
        <v>133</v>
      </c>
    </row>
    <row r="12" spans="1:11">
      <c r="A12" s="799"/>
      <c r="B12" s="799"/>
      <c r="C12" s="953"/>
      <c r="D12" s="361" t="s">
        <v>132</v>
      </c>
      <c r="K12" s="361" t="s">
        <v>134</v>
      </c>
    </row>
    <row r="13" spans="1:11" ht="18.5">
      <c r="A13" s="800"/>
      <c r="B13" s="800"/>
      <c r="C13" s="953"/>
      <c r="D13" s="361" t="s">
        <v>132</v>
      </c>
      <c r="K13" s="361" t="s">
        <v>135</v>
      </c>
    </row>
    <row r="14" spans="1:11">
      <c r="A14" s="801"/>
      <c r="B14" s="801"/>
      <c r="C14" s="953"/>
      <c r="D14" s="361" t="s">
        <v>132</v>
      </c>
      <c r="K14" s="361" t="s">
        <v>136</v>
      </c>
    </row>
    <row r="15" spans="1:11">
      <c r="C15" s="798"/>
    </row>
    <row r="16" spans="1:11">
      <c r="A16" s="796" t="s">
        <v>137</v>
      </c>
      <c r="B16" s="498"/>
      <c r="C16" s="953"/>
    </row>
    <row r="17" spans="1:3">
      <c r="A17" s="802"/>
      <c r="B17" s="802"/>
      <c r="C17" s="798"/>
    </row>
    <row r="18" spans="1:3">
      <c r="A18" s="802"/>
      <c r="B18" s="802"/>
    </row>
    <row r="19" spans="1:3">
      <c r="A19" s="929" t="s">
        <v>121</v>
      </c>
      <c r="C19" s="928" t="e">
        <f>'VfM Scrutiny'!D33</f>
        <v>#DIV/0!</v>
      </c>
    </row>
    <row r="20" spans="1:3">
      <c r="A20" s="929" t="s">
        <v>122</v>
      </c>
      <c r="C20" s="927">
        <f>'VfM Scrutiny'!D37</f>
        <v>0</v>
      </c>
    </row>
    <row r="21" spans="1:3">
      <c r="A21" s="929" t="s">
        <v>123</v>
      </c>
      <c r="C21" s="927">
        <f>'VfM Scrutiny'!D59</f>
        <v>0</v>
      </c>
    </row>
  </sheetData>
  <dataValidations count="2">
    <dataValidation type="list" showInputMessage="1" showErrorMessage="1" sqref="C11:C14" xr:uid="{00000000-0002-0000-0400-000000000000}">
      <formula1>$K$11:$K$15</formula1>
    </dataValidation>
    <dataValidation type="list" allowBlank="1" showInputMessage="1" showErrorMessage="1" sqref="C16" xr:uid="{00000000-0002-0000-0400-000001000000}">
      <formula1>Yes_no</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2:Y98"/>
  <sheetViews>
    <sheetView topLeftCell="A13" zoomScale="85" zoomScaleNormal="85" workbookViewId="0">
      <selection activeCell="D53" sqref="D53"/>
    </sheetView>
  </sheetViews>
  <sheetFormatPr defaultColWidth="9.1796875" defaultRowHeight="15.5"/>
  <cols>
    <col min="1" max="1" width="2" style="378" customWidth="1"/>
    <col min="2" max="2" width="9.1796875" style="378"/>
    <col min="3" max="3" width="34" style="378" customWidth="1"/>
    <col min="4" max="4" width="14.26953125" style="378" customWidth="1"/>
    <col min="5" max="5" width="7.81640625" style="378" customWidth="1"/>
    <col min="6" max="6" width="17.453125" style="378" customWidth="1"/>
    <col min="7" max="7" width="4.1796875" style="378" customWidth="1"/>
    <col min="8" max="8" width="40.453125" style="785" customWidth="1"/>
    <col min="9" max="9" width="5" style="378" customWidth="1"/>
    <col min="10" max="10" width="58" style="892" bestFit="1" customWidth="1"/>
    <col min="11" max="18" width="9.1796875" style="378"/>
    <col min="19" max="19" width="16.26953125" style="378" customWidth="1"/>
    <col min="20" max="21" width="9.1796875" style="378"/>
    <col min="22" max="22" width="12.7265625" style="378" customWidth="1"/>
    <col min="23" max="16384" width="9.1796875" style="378"/>
  </cols>
  <sheetData>
    <row r="2" spans="1:25" ht="118.5" customHeight="1">
      <c r="C2" s="1142" t="s">
        <v>138</v>
      </c>
      <c r="D2" s="1142"/>
      <c r="E2" s="1142"/>
      <c r="F2" s="1142"/>
      <c r="G2" s="1142"/>
      <c r="H2" s="1142"/>
      <c r="I2" s="1142"/>
      <c r="J2" s="1142"/>
      <c r="K2" s="1142"/>
      <c r="L2" s="892"/>
      <c r="M2" s="892"/>
      <c r="N2" s="892"/>
      <c r="O2" s="892"/>
    </row>
    <row r="4" spans="1:25">
      <c r="C4" s="772" t="s">
        <v>139</v>
      </c>
      <c r="D4" s="772" t="s">
        <v>106</v>
      </c>
      <c r="E4" s="772"/>
      <c r="F4" s="772" t="s">
        <v>140</v>
      </c>
      <c r="G4" s="772"/>
      <c r="H4" s="894" t="s">
        <v>141</v>
      </c>
      <c r="I4" s="772"/>
      <c r="J4" s="895" t="s">
        <v>142</v>
      </c>
    </row>
    <row r="5" spans="1:25">
      <c r="C5" s="772"/>
      <c r="D5" s="772"/>
      <c r="E5" s="772"/>
      <c r="F5" s="772"/>
      <c r="G5" s="772"/>
      <c r="H5" s="902"/>
      <c r="I5" s="772"/>
      <c r="J5" s="895"/>
    </row>
    <row r="6" spans="1:25">
      <c r="A6" s="743"/>
      <c r="B6" s="362" t="s">
        <v>143</v>
      </c>
      <c r="C6" s="773"/>
      <c r="D6" s="773"/>
      <c r="E6" s="773"/>
      <c r="F6" s="774" t="s">
        <v>144</v>
      </c>
      <c r="G6" s="773"/>
      <c r="H6" s="903"/>
      <c r="I6" s="773"/>
      <c r="J6" s="896"/>
      <c r="K6" s="743"/>
    </row>
    <row r="7" spans="1:25">
      <c r="C7" s="779" t="s">
        <v>83</v>
      </c>
      <c r="D7" s="779">
        <f>Scheme_Length</f>
        <v>0</v>
      </c>
      <c r="E7" s="779" t="s">
        <v>109</v>
      </c>
      <c r="G7" s="779"/>
      <c r="H7" s="893">
        <f>Proforma!F25</f>
        <v>0</v>
      </c>
      <c r="I7" s="779"/>
      <c r="J7" s="970" t="s">
        <v>145</v>
      </c>
    </row>
    <row r="8" spans="1:25">
      <c r="C8" s="775"/>
      <c r="D8" s="775"/>
      <c r="E8" s="775"/>
      <c r="G8" s="775"/>
      <c r="H8" s="1061"/>
      <c r="I8" s="775"/>
    </row>
    <row r="9" spans="1:25">
      <c r="C9" s="775"/>
      <c r="D9" s="775"/>
      <c r="E9" s="775"/>
      <c r="F9" s="775"/>
      <c r="G9" s="775"/>
      <c r="H9" s="1061"/>
      <c r="I9" s="775"/>
      <c r="X9" s="378" t="s">
        <v>146</v>
      </c>
      <c r="Y9" s="378" t="e">
        <f>S14=(SUM('PVB calculations'!C71:CD75)/1000)</f>
        <v>#DIV/0!</v>
      </c>
    </row>
    <row r="10" spans="1:25">
      <c r="A10" s="743"/>
      <c r="B10" s="362" t="s">
        <v>147</v>
      </c>
      <c r="C10" s="774"/>
      <c r="D10" s="774"/>
      <c r="E10" s="774"/>
      <c r="F10" s="774" t="s">
        <v>144</v>
      </c>
      <c r="G10" s="774"/>
      <c r="H10" s="904"/>
      <c r="I10" s="774"/>
      <c r="J10" s="897"/>
      <c r="K10" s="743"/>
    </row>
    <row r="11" spans="1:25">
      <c r="C11" s="775" t="s">
        <v>148</v>
      </c>
      <c r="D11" s="775">
        <f>Proforma!D26</f>
        <v>0</v>
      </c>
      <c r="E11" s="775"/>
      <c r="G11" s="775"/>
      <c r="H11" s="891">
        <f>Proforma!F26</f>
        <v>0</v>
      </c>
      <c r="I11" s="775"/>
      <c r="J11" s="1143" t="s">
        <v>149</v>
      </c>
    </row>
    <row r="12" spans="1:25" ht="15.75" customHeight="1">
      <c r="C12" s="775" t="s">
        <v>150</v>
      </c>
      <c r="D12" s="775">
        <f>Proforma!D27</f>
        <v>0</v>
      </c>
      <c r="E12" s="775"/>
      <c r="F12" s="776"/>
      <c r="G12" s="776"/>
      <c r="H12" s="891">
        <f>Proforma!F27</f>
        <v>0</v>
      </c>
      <c r="I12" s="776"/>
      <c r="J12" s="1144"/>
    </row>
    <row r="13" spans="1:25">
      <c r="C13" s="775" t="s">
        <v>89</v>
      </c>
      <c r="D13" s="775">
        <f>Proforma!D28</f>
        <v>0</v>
      </c>
      <c r="E13" s="775"/>
      <c r="F13" s="776"/>
      <c r="G13" s="776"/>
      <c r="H13" s="891">
        <f>Proforma!F28</f>
        <v>0</v>
      </c>
      <c r="I13" s="776"/>
      <c r="J13" s="1062"/>
      <c r="R13" s="360"/>
    </row>
    <row r="14" spans="1:25">
      <c r="C14" s="775" t="s">
        <v>91</v>
      </c>
      <c r="D14" s="775">
        <f>Proforma!D29</f>
        <v>0</v>
      </c>
      <c r="E14" s="775"/>
      <c r="F14" s="776"/>
      <c r="G14" s="776"/>
      <c r="H14" s="891">
        <f>Proforma!F29</f>
        <v>0</v>
      </c>
      <c r="I14" s="776"/>
      <c r="J14" s="1062"/>
      <c r="R14" s="360" t="s">
        <v>151</v>
      </c>
      <c r="S14" s="764" t="e">
        <f>SUM('VfM Scrutiny'!D24:D27)</f>
        <v>#DIV/0!</v>
      </c>
    </row>
    <row r="15" spans="1:25">
      <c r="C15" s="775" t="s">
        <v>93</v>
      </c>
      <c r="D15" s="775">
        <f>Proforma!D30</f>
        <v>0</v>
      </c>
      <c r="E15" s="775"/>
      <c r="F15" s="776"/>
      <c r="G15" s="776"/>
      <c r="H15" s="891">
        <f>Proforma!F30</f>
        <v>0</v>
      </c>
      <c r="I15" s="776"/>
      <c r="J15" s="1062"/>
      <c r="R15" s="360" t="s">
        <v>152</v>
      </c>
      <c r="S15" s="764">
        <f>'PVC Calculations'!D35</f>
        <v>0</v>
      </c>
    </row>
    <row r="16" spans="1:25">
      <c r="C16" s="775"/>
      <c r="D16" s="775"/>
      <c r="E16" s="775"/>
      <c r="F16" s="776"/>
      <c r="G16" s="776"/>
      <c r="H16" s="891"/>
      <c r="I16" s="776"/>
      <c r="J16" s="1062"/>
      <c r="R16" s="360"/>
      <c r="S16" s="764"/>
    </row>
    <row r="17" spans="1:19">
      <c r="B17" s="360" t="s">
        <v>153</v>
      </c>
      <c r="C17" s="775"/>
      <c r="D17" s="775"/>
      <c r="E17" s="775"/>
      <c r="F17" s="776"/>
      <c r="G17" s="776"/>
      <c r="H17" s="891"/>
      <c r="I17" s="776"/>
      <c r="J17" s="1062"/>
      <c r="R17" s="360"/>
      <c r="S17" s="764"/>
    </row>
    <row r="18" spans="1:19">
      <c r="C18" s="775" t="s">
        <v>150</v>
      </c>
      <c r="D18" s="775">
        <f>'Proforma Scrutiny'!$D$11*'Look Up Values'!D32</f>
        <v>0</v>
      </c>
      <c r="E18" s="775"/>
      <c r="F18" s="776"/>
      <c r="G18" s="776"/>
      <c r="H18" s="891"/>
      <c r="I18" s="776"/>
      <c r="J18" s="1062"/>
      <c r="R18" s="360"/>
      <c r="S18" s="764"/>
    </row>
    <row r="19" spans="1:19">
      <c r="C19" s="775" t="s">
        <v>89</v>
      </c>
      <c r="D19" s="775">
        <f>'Proforma Scrutiny'!$D$11*'Look Up Values'!D33</f>
        <v>0</v>
      </c>
      <c r="E19" s="775"/>
      <c r="F19" s="776"/>
      <c r="G19" s="776"/>
      <c r="H19" s="891"/>
      <c r="I19" s="776"/>
      <c r="J19" s="1062"/>
      <c r="R19" s="360"/>
      <c r="S19" s="764"/>
    </row>
    <row r="20" spans="1:19">
      <c r="C20" s="775" t="s">
        <v>91</v>
      </c>
      <c r="D20" s="775">
        <f>'Proforma Scrutiny'!$D$11*'Look Up Values'!D34</f>
        <v>0</v>
      </c>
      <c r="E20" s="775"/>
      <c r="F20" s="776"/>
      <c r="G20" s="776"/>
      <c r="H20" s="905"/>
      <c r="I20" s="776"/>
      <c r="J20" s="898"/>
      <c r="R20" s="360" t="s">
        <v>154</v>
      </c>
      <c r="S20" s="777" t="e">
        <f>S14/S15</f>
        <v>#DIV/0!</v>
      </c>
    </row>
    <row r="21" spans="1:19">
      <c r="C21" s="775" t="s">
        <v>93</v>
      </c>
      <c r="D21" s="775">
        <f>'Proforma Scrutiny'!$D$11*'Look Up Values'!D35</f>
        <v>0</v>
      </c>
      <c r="E21" s="775"/>
      <c r="F21" s="776"/>
      <c r="G21" s="776"/>
      <c r="H21" s="905"/>
      <c r="I21" s="776"/>
      <c r="J21" s="898"/>
      <c r="R21" s="360"/>
      <c r="S21" s="777"/>
    </row>
    <row r="22" spans="1:19">
      <c r="D22" s="775"/>
      <c r="E22" s="775"/>
      <c r="F22" s="776"/>
      <c r="G22" s="776"/>
      <c r="H22" s="905"/>
      <c r="I22" s="776"/>
      <c r="J22" s="898"/>
      <c r="R22" s="360"/>
    </row>
    <row r="23" spans="1:19">
      <c r="B23" s="362" t="s">
        <v>155</v>
      </c>
      <c r="C23" s="774"/>
      <c r="D23" s="774"/>
      <c r="E23" s="774"/>
      <c r="F23" s="774" t="s">
        <v>144</v>
      </c>
      <c r="G23" s="778"/>
      <c r="H23" s="906"/>
      <c r="I23" s="778"/>
      <c r="J23" s="899"/>
      <c r="K23" s="743"/>
    </row>
    <row r="24" spans="1:19">
      <c r="A24" s="901"/>
      <c r="C24" s="772" t="s">
        <v>156</v>
      </c>
      <c r="D24" s="775"/>
      <c r="E24" s="775"/>
      <c r="F24" s="775"/>
      <c r="G24" s="775"/>
      <c r="H24" s="1061"/>
      <c r="I24" s="775"/>
    </row>
    <row r="25" spans="1:19" ht="15" customHeight="1">
      <c r="C25" s="775" t="s">
        <v>101</v>
      </c>
      <c r="D25" s="883">
        <f>Proforma!D39</f>
        <v>0</v>
      </c>
      <c r="E25" s="775"/>
      <c r="F25" s="775"/>
      <c r="G25" s="775"/>
      <c r="H25" s="1061">
        <f>Proforma!F39</f>
        <v>0</v>
      </c>
      <c r="I25" s="775"/>
      <c r="J25" s="1142" t="s">
        <v>157</v>
      </c>
    </row>
    <row r="26" spans="1:19">
      <c r="C26" s="775" t="s">
        <v>102</v>
      </c>
      <c r="D26" s="883">
        <f>Proforma!D40</f>
        <v>0</v>
      </c>
      <c r="E26" s="775"/>
      <c r="F26" s="775"/>
      <c r="G26" s="775"/>
      <c r="H26" s="1061">
        <f>Proforma!F40</f>
        <v>0</v>
      </c>
      <c r="I26" s="775"/>
      <c r="J26" s="1142"/>
    </row>
    <row r="27" spans="1:19">
      <c r="C27" s="775" t="s">
        <v>103</v>
      </c>
      <c r="D27" s="883">
        <f>Proforma!D41</f>
        <v>0</v>
      </c>
      <c r="E27" s="775"/>
      <c r="F27" s="775"/>
      <c r="G27" s="775"/>
      <c r="H27" s="1061">
        <f>Proforma!F41</f>
        <v>0</v>
      </c>
      <c r="I27" s="775"/>
      <c r="J27" s="1142"/>
    </row>
    <row r="28" spans="1:19">
      <c r="C28" s="775"/>
      <c r="D28" s="883"/>
      <c r="E28" s="775"/>
      <c r="F28" s="775"/>
      <c r="G28" s="775"/>
      <c r="H28" s="1061"/>
      <c r="I28" s="775"/>
      <c r="J28" s="1142"/>
    </row>
    <row r="29" spans="1:19">
      <c r="C29" s="775"/>
      <c r="D29" s="883"/>
      <c r="E29" s="775"/>
      <c r="F29" s="775"/>
      <c r="G29" s="775"/>
      <c r="H29" s="1061"/>
      <c r="I29" s="775"/>
      <c r="J29" s="1142"/>
    </row>
    <row r="30" spans="1:19">
      <c r="C30" s="775" t="s">
        <v>158</v>
      </c>
      <c r="D30" s="775" t="b">
        <f>IF((D25/0.03)&lt;4/3, IF(D25/0.03&gt;2/3, TRUE,FALSE))</f>
        <v>0</v>
      </c>
      <c r="E30" s="775"/>
      <c r="F30" s="775"/>
      <c r="G30" s="775"/>
      <c r="H30" s="1061"/>
      <c r="I30" s="775"/>
      <c r="J30" s="1142"/>
    </row>
    <row r="31" spans="1:19" ht="31">
      <c r="C31" s="775" t="s">
        <v>159</v>
      </c>
      <c r="D31" s="775" t="b">
        <f>IF((D26/0.27)&lt;4/3, IF(D26/0.27&gt;2/3, TRUE,FALSE))</f>
        <v>0</v>
      </c>
      <c r="E31" s="775"/>
      <c r="F31" s="775"/>
      <c r="G31" s="775"/>
      <c r="H31" s="1061"/>
      <c r="I31" s="775"/>
      <c r="J31" s="1142"/>
    </row>
    <row r="32" spans="1:19" ht="31">
      <c r="C32" s="775" t="s">
        <v>160</v>
      </c>
      <c r="D32" s="775" t="b">
        <f>IF((D27/0.7)&lt;4/3, IF(D27/0.7&gt;2/3, TRUE,FALSE))</f>
        <v>0</v>
      </c>
      <c r="E32" s="775"/>
      <c r="F32" s="775"/>
      <c r="G32" s="775"/>
      <c r="H32" s="1061"/>
      <c r="I32" s="775"/>
      <c r="J32" s="1142"/>
    </row>
    <row r="33" spans="1:14">
      <c r="C33" s="775"/>
      <c r="D33" s="883"/>
      <c r="E33" s="775"/>
      <c r="F33" s="775"/>
      <c r="G33" s="775"/>
      <c r="H33" s="1061"/>
      <c r="I33" s="775"/>
      <c r="J33" s="1142"/>
    </row>
    <row r="34" spans="1:14">
      <c r="C34" s="772" t="s">
        <v>161</v>
      </c>
      <c r="D34" s="883"/>
      <c r="E34" s="775"/>
      <c r="F34" s="775"/>
      <c r="G34" s="775"/>
      <c r="H34" s="1061"/>
      <c r="I34" s="775"/>
      <c r="J34" s="1142"/>
    </row>
    <row r="35" spans="1:14">
      <c r="C35" s="775" t="s">
        <v>101</v>
      </c>
      <c r="D35" s="889">
        <v>110</v>
      </c>
      <c r="E35" s="775"/>
      <c r="F35" s="775"/>
      <c r="G35" s="775"/>
      <c r="H35" s="1061"/>
      <c r="I35" s="775"/>
      <c r="J35" s="1142"/>
    </row>
    <row r="36" spans="1:14">
      <c r="C36" s="775" t="s">
        <v>102</v>
      </c>
      <c r="D36" s="889">
        <v>70</v>
      </c>
      <c r="E36" s="775"/>
      <c r="F36" s="775"/>
      <c r="G36" s="775"/>
      <c r="H36" s="1061"/>
      <c r="I36" s="775"/>
    </row>
    <row r="37" spans="1:14">
      <c r="C37" s="775" t="s">
        <v>103</v>
      </c>
      <c r="D37" s="889">
        <v>20</v>
      </c>
      <c r="E37" s="775"/>
      <c r="F37" s="775"/>
      <c r="G37" s="775"/>
      <c r="H37" s="1061"/>
      <c r="I37" s="775"/>
    </row>
    <row r="38" spans="1:14">
      <c r="C38" s="775"/>
      <c r="D38" s="775"/>
      <c r="E38" s="775"/>
      <c r="F38" s="775"/>
      <c r="G38" s="775"/>
      <c r="H38" s="1061"/>
      <c r="I38" s="775"/>
    </row>
    <row r="39" spans="1:14">
      <c r="A39" s="743"/>
      <c r="B39" s="362" t="s">
        <v>162</v>
      </c>
      <c r="C39" s="774"/>
      <c r="D39" s="774"/>
      <c r="E39" s="774"/>
      <c r="F39" s="774" t="s">
        <v>144</v>
      </c>
      <c r="G39" s="774"/>
      <c r="H39" s="904"/>
      <c r="I39" s="774"/>
      <c r="J39" s="897"/>
      <c r="K39" s="743"/>
    </row>
    <row r="40" spans="1:14">
      <c r="C40" s="775" t="s">
        <v>162</v>
      </c>
      <c r="D40" s="775">
        <f>AverageSpeed</f>
        <v>0</v>
      </c>
      <c r="E40" s="775"/>
      <c r="F40" s="775"/>
      <c r="G40" s="775"/>
      <c r="H40" s="907">
        <f>Proforma!F31</f>
        <v>0</v>
      </c>
      <c r="I40" s="775"/>
    </row>
    <row r="41" spans="1:14">
      <c r="C41" s="775" t="s">
        <v>163</v>
      </c>
      <c r="D41" s="1061">
        <f>Proforma!D32</f>
        <v>0</v>
      </c>
      <c r="E41" s="775"/>
      <c r="H41" s="907">
        <f>Proforma!F32</f>
        <v>0</v>
      </c>
    </row>
    <row r="42" spans="1:14">
      <c r="C42" s="775" t="s">
        <v>164</v>
      </c>
      <c r="D42" s="780" t="e">
        <f>VLOOKUP(D41,'Look Up Values'!C26:D29,2,0)*1.60934</f>
        <v>#N/A</v>
      </c>
      <c r="E42" s="780"/>
      <c r="F42" s="775"/>
      <c r="G42" s="775"/>
      <c r="I42" s="775"/>
      <c r="N42" s="974"/>
    </row>
    <row r="43" spans="1:14">
      <c r="C43" s="775" t="s">
        <v>165</v>
      </c>
      <c r="D43" s="775" t="e">
        <f>IF(4/3&gt;D40/D42,TRUE, IF(D40/D42&lt;2/3, TRUE, FALSE))</f>
        <v>#N/A</v>
      </c>
      <c r="E43" s="781"/>
      <c r="F43" s="775"/>
      <c r="G43" s="775"/>
      <c r="H43" s="1061"/>
      <c r="I43" s="775"/>
    </row>
    <row r="44" spans="1:14">
      <c r="B44" s="360"/>
      <c r="C44" s="775"/>
      <c r="D44" s="775"/>
      <c r="E44" s="775"/>
      <c r="F44" s="775"/>
      <c r="G44" s="775"/>
      <c r="H44" s="1061"/>
      <c r="I44" s="775"/>
    </row>
    <row r="45" spans="1:14">
      <c r="A45" s="743"/>
      <c r="B45" s="362" t="s">
        <v>166</v>
      </c>
      <c r="C45" s="774"/>
      <c r="D45" s="774"/>
      <c r="E45" s="774"/>
      <c r="F45" s="774" t="s">
        <v>144</v>
      </c>
      <c r="G45" s="774"/>
      <c r="H45" s="904"/>
      <c r="I45" s="774"/>
      <c r="J45" s="897"/>
      <c r="K45" s="743"/>
    </row>
    <row r="46" spans="1:14" ht="15" customHeight="1">
      <c r="C46" s="775" t="s">
        <v>167</v>
      </c>
      <c r="D46" s="775">
        <f>Proforma!D46</f>
        <v>0</v>
      </c>
      <c r="E46" s="775"/>
      <c r="F46" s="775"/>
      <c r="G46" s="775"/>
      <c r="H46" s="785">
        <f>Proforma!F46</f>
        <v>0</v>
      </c>
      <c r="I46" s="775"/>
    </row>
    <row r="47" spans="1:14">
      <c r="C47" s="775" t="s">
        <v>168</v>
      </c>
      <c r="D47" s="775">
        <v>1</v>
      </c>
      <c r="E47" s="775" t="s">
        <v>169</v>
      </c>
      <c r="F47" s="775"/>
      <c r="G47" s="775"/>
      <c r="H47" s="1061"/>
      <c r="I47" s="775"/>
      <c r="J47" s="892" t="s">
        <v>170</v>
      </c>
    </row>
    <row r="48" spans="1:14">
      <c r="C48" s="775" t="s">
        <v>171</v>
      </c>
      <c r="D48" s="780">
        <v>5.6</v>
      </c>
      <c r="E48" s="775" t="s">
        <v>109</v>
      </c>
      <c r="F48" s="775"/>
      <c r="G48" s="775"/>
      <c r="H48" s="1061"/>
      <c r="I48" s="775"/>
      <c r="J48" s="892" t="s">
        <v>172</v>
      </c>
    </row>
    <row r="49" spans="1:11">
      <c r="C49" s="775" t="s">
        <v>173</v>
      </c>
      <c r="D49" s="775">
        <v>15</v>
      </c>
      <c r="E49" s="775"/>
      <c r="F49" s="775"/>
      <c r="G49" s="775"/>
      <c r="H49" s="1061"/>
      <c r="I49" s="775"/>
      <c r="J49" s="892" t="s">
        <v>172</v>
      </c>
    </row>
    <row r="50" spans="1:11">
      <c r="B50" s="360"/>
      <c r="C50" s="775"/>
      <c r="D50" s="775"/>
      <c r="E50" s="775"/>
      <c r="F50" s="775"/>
      <c r="G50" s="775"/>
      <c r="H50" s="1061"/>
      <c r="I50" s="775"/>
    </row>
    <row r="51" spans="1:11">
      <c r="A51" s="743"/>
      <c r="B51" s="362" t="s">
        <v>174</v>
      </c>
      <c r="C51" s="774"/>
      <c r="D51" s="774"/>
      <c r="E51" s="774"/>
      <c r="F51" s="774" t="s">
        <v>144</v>
      </c>
      <c r="G51" s="774"/>
      <c r="H51" s="904"/>
      <c r="I51" s="774"/>
      <c r="J51" s="897"/>
      <c r="K51" s="743"/>
    </row>
    <row r="52" spans="1:11">
      <c r="B52" s="360"/>
      <c r="C52" s="775"/>
      <c r="D52" s="775"/>
      <c r="E52" s="775"/>
      <c r="F52" s="775"/>
      <c r="G52" s="775"/>
      <c r="H52" s="1061"/>
      <c r="I52" s="775"/>
    </row>
    <row r="53" spans="1:11" ht="18.75" customHeight="1">
      <c r="C53" s="775" t="s">
        <v>175</v>
      </c>
      <c r="D53" s="775">
        <f>Proforma!D51</f>
        <v>0</v>
      </c>
      <c r="E53" s="775"/>
      <c r="F53" s="775"/>
      <c r="G53" s="775"/>
      <c r="H53" s="1061">
        <f>Proforma!D50</f>
        <v>0</v>
      </c>
      <c r="I53" s="775"/>
      <c r="J53" s="378" t="s">
        <v>176</v>
      </c>
    </row>
    <row r="54" spans="1:11" ht="14.25" customHeight="1">
      <c r="C54" s="775" t="s">
        <v>177</v>
      </c>
      <c r="D54" s="775">
        <f>Proforma!D52</f>
        <v>0</v>
      </c>
      <c r="E54" s="775"/>
      <c r="F54" s="775"/>
      <c r="G54" s="775"/>
      <c r="H54" s="1061">
        <f>Proforma!F52</f>
        <v>0</v>
      </c>
      <c r="I54" s="775"/>
    </row>
    <row r="55" spans="1:11" ht="17.25" customHeight="1">
      <c r="C55" s="775" t="s">
        <v>178</v>
      </c>
      <c r="D55" s="775" t="e">
        <f>(D53/D40)*60</f>
        <v>#DIV/0!</v>
      </c>
      <c r="E55" s="775"/>
      <c r="F55" s="775"/>
      <c r="G55" s="775"/>
      <c r="H55" s="1061"/>
      <c r="I55" s="775"/>
    </row>
    <row r="56" spans="1:11" ht="15.75" customHeight="1">
      <c r="C56" s="775" t="s">
        <v>179</v>
      </c>
      <c r="D56" s="775" t="e">
        <f>IF(1.2&gt;D54/D55,TRUE, IF(D54/D55&lt;0.8, TRUE, FALSE))</f>
        <v>#DIV/0!</v>
      </c>
      <c r="E56" s="775"/>
      <c r="F56" s="775"/>
      <c r="G56" s="775"/>
      <c r="H56" s="1061"/>
      <c r="I56" s="775"/>
      <c r="J56" s="1142" t="s">
        <v>180</v>
      </c>
    </row>
    <row r="57" spans="1:11">
      <c r="C57" s="775"/>
      <c r="D57" s="775"/>
      <c r="E57" s="775"/>
      <c r="F57" s="775"/>
      <c r="G57" s="775"/>
      <c r="H57" s="1061"/>
      <c r="I57" s="775"/>
      <c r="J57" s="1142"/>
    </row>
    <row r="58" spans="1:11">
      <c r="C58" s="775"/>
      <c r="D58" s="775"/>
      <c r="E58" s="775"/>
      <c r="F58" s="775"/>
      <c r="G58" s="775"/>
      <c r="H58" s="1061"/>
      <c r="I58" s="775"/>
      <c r="J58" s="1142"/>
    </row>
    <row r="59" spans="1:11">
      <c r="A59" s="743"/>
      <c r="B59" s="362" t="s">
        <v>24</v>
      </c>
      <c r="C59" s="774"/>
      <c r="D59" s="774"/>
      <c r="E59" s="774"/>
      <c r="F59" s="774" t="s">
        <v>144</v>
      </c>
      <c r="G59" s="774"/>
      <c r="H59" s="904"/>
      <c r="I59" s="774"/>
      <c r="J59" s="897"/>
      <c r="K59" s="743"/>
    </row>
    <row r="60" spans="1:11">
      <c r="B60" s="360"/>
      <c r="C60" s="775"/>
      <c r="D60" s="775"/>
      <c r="E60" s="775"/>
      <c r="F60" s="775"/>
      <c r="G60" s="775"/>
      <c r="H60" s="1061"/>
      <c r="I60" s="775"/>
    </row>
    <row r="61" spans="1:11">
      <c r="B61" s="360"/>
      <c r="C61" s="775" t="s">
        <v>181</v>
      </c>
      <c r="D61" s="1061"/>
      <c r="E61" s="775"/>
      <c r="F61" s="775"/>
      <c r="G61" s="775"/>
      <c r="H61" s="1141">
        <f>Proforma!D58</f>
        <v>0</v>
      </c>
      <c r="I61" s="775"/>
    </row>
    <row r="62" spans="1:11">
      <c r="B62" s="360"/>
      <c r="C62" s="775" t="s">
        <v>182</v>
      </c>
      <c r="D62" s="1061"/>
      <c r="E62" s="775"/>
      <c r="F62" s="775"/>
      <c r="G62" s="775"/>
      <c r="H62" s="1141"/>
      <c r="I62" s="775"/>
    </row>
    <row r="63" spans="1:11">
      <c r="B63" s="360"/>
      <c r="C63" s="775" t="s">
        <v>183</v>
      </c>
      <c r="D63" s="1061"/>
      <c r="E63" s="775"/>
      <c r="F63" s="775"/>
      <c r="G63" s="775"/>
      <c r="H63" s="1141"/>
      <c r="I63" s="775"/>
    </row>
    <row r="64" spans="1:11">
      <c r="C64" s="775" t="s">
        <v>184</v>
      </c>
      <c r="D64" s="1061"/>
      <c r="E64" s="775"/>
      <c r="F64" s="775"/>
      <c r="G64" s="775"/>
      <c r="H64" s="1141"/>
      <c r="I64" s="775"/>
    </row>
    <row r="65" spans="1:11">
      <c r="C65" s="775"/>
      <c r="D65" s="1061"/>
      <c r="E65" s="775"/>
      <c r="F65" s="775"/>
      <c r="G65" s="775"/>
      <c r="H65" s="1061"/>
      <c r="I65" s="775"/>
    </row>
    <row r="66" spans="1:11">
      <c r="C66" s="775" t="s">
        <v>185</v>
      </c>
      <c r="D66" s="1061">
        <f>Proforma!D59</f>
        <v>0</v>
      </c>
      <c r="E66" s="775"/>
      <c r="F66" s="775"/>
      <c r="G66" s="775"/>
      <c r="H66" s="1061">
        <f>Proforma!F59</f>
        <v>0</v>
      </c>
      <c r="I66" s="775"/>
    </row>
    <row r="67" spans="1:11">
      <c r="C67" s="775"/>
      <c r="D67" s="1061"/>
      <c r="E67" s="775"/>
      <c r="F67" s="775"/>
      <c r="G67" s="775"/>
      <c r="H67" s="1061">
        <f>Proforma!F60</f>
        <v>0</v>
      </c>
      <c r="I67" s="775"/>
    </row>
    <row r="68" spans="1:11">
      <c r="C68" s="775" t="s">
        <v>186</v>
      </c>
      <c r="D68" s="1061">
        <f>Proforma!D60</f>
        <v>0</v>
      </c>
      <c r="E68" s="775"/>
      <c r="F68" s="775"/>
      <c r="G68" s="775"/>
      <c r="H68" s="1061"/>
      <c r="I68" s="775"/>
    </row>
    <row r="69" spans="1:11">
      <c r="C69" s="775"/>
      <c r="D69" s="775"/>
      <c r="E69" s="775"/>
      <c r="F69" s="775"/>
      <c r="G69" s="775"/>
      <c r="H69" s="1061"/>
      <c r="I69" s="775"/>
    </row>
    <row r="70" spans="1:11">
      <c r="A70" s="743"/>
      <c r="B70" s="362" t="s">
        <v>112</v>
      </c>
      <c r="C70" s="775"/>
      <c r="D70" s="774"/>
      <c r="E70" s="774"/>
      <c r="F70" s="774" t="s">
        <v>144</v>
      </c>
      <c r="G70" s="774"/>
      <c r="H70" s="904"/>
      <c r="I70" s="774"/>
      <c r="J70" s="897"/>
      <c r="K70" s="743"/>
    </row>
    <row r="71" spans="1:11">
      <c r="B71" s="360"/>
      <c r="C71" s="900"/>
      <c r="D71" s="900"/>
      <c r="E71" s="775"/>
      <c r="F71" s="775"/>
      <c r="G71" s="775"/>
      <c r="H71" s="1061"/>
      <c r="I71" s="775"/>
    </row>
    <row r="72" spans="1:11" ht="15" customHeight="1">
      <c r="C72" s="748" t="s">
        <v>187</v>
      </c>
      <c r="D72" s="779">
        <f>Proforma!D71</f>
        <v>0</v>
      </c>
      <c r="E72" s="779" t="s">
        <v>188</v>
      </c>
      <c r="H72" s="785">
        <f>Proforma!F71</f>
        <v>0</v>
      </c>
    </row>
    <row r="73" spans="1:11" s="779" customFormat="1" ht="31">
      <c r="C73" s="955" t="s">
        <v>189</v>
      </c>
      <c r="D73" s="779">
        <f>Proforma!D72</f>
        <v>0</v>
      </c>
      <c r="E73" s="779" t="s">
        <v>190</v>
      </c>
      <c r="H73" s="762">
        <f>Proforma!F72</f>
        <v>0</v>
      </c>
      <c r="J73" s="949" t="s">
        <v>191</v>
      </c>
    </row>
    <row r="74" spans="1:11" ht="16" thickBot="1">
      <c r="C74" s="779"/>
      <c r="D74" s="779"/>
      <c r="E74" s="779"/>
      <c r="F74" s="779"/>
      <c r="G74" s="779"/>
      <c r="H74" s="762"/>
      <c r="I74" s="779"/>
    </row>
    <row r="75" spans="1:11">
      <c r="C75" s="956" t="s">
        <v>192</v>
      </c>
      <c r="D75" s="957" t="s">
        <v>33</v>
      </c>
      <c r="E75" s="782"/>
      <c r="F75" s="782"/>
      <c r="G75" s="782"/>
      <c r="H75" s="908"/>
      <c r="I75" s="782"/>
    </row>
    <row r="76" spans="1:11">
      <c r="C76" s="958" t="s">
        <v>38</v>
      </c>
      <c r="D76" s="959" t="s">
        <v>39</v>
      </c>
      <c r="E76" s="783"/>
      <c r="F76" s="783"/>
      <c r="G76" s="783"/>
      <c r="H76" s="909"/>
      <c r="I76" s="783"/>
    </row>
    <row r="77" spans="1:11">
      <c r="C77" s="960" t="s">
        <v>40</v>
      </c>
      <c r="D77" s="959" t="s">
        <v>41</v>
      </c>
      <c r="E77" s="710"/>
      <c r="F77" s="710"/>
      <c r="G77" s="710"/>
      <c r="H77" s="723"/>
      <c r="I77" s="710"/>
    </row>
    <row r="78" spans="1:11" ht="46.5">
      <c r="C78" s="958" t="s">
        <v>42</v>
      </c>
      <c r="D78" s="959" t="s">
        <v>43</v>
      </c>
      <c r="E78" s="783"/>
      <c r="F78" s="783"/>
      <c r="G78" s="783"/>
      <c r="H78" s="909"/>
      <c r="I78" s="783"/>
    </row>
    <row r="79" spans="1:11" ht="31">
      <c r="C79" s="958" t="s">
        <v>44</v>
      </c>
      <c r="D79" s="959" t="s">
        <v>45</v>
      </c>
      <c r="E79" s="783"/>
      <c r="F79" s="783"/>
      <c r="G79" s="783"/>
      <c r="H79" s="909"/>
      <c r="I79" s="783"/>
    </row>
    <row r="80" spans="1:11" ht="31">
      <c r="C80" s="958" t="s">
        <v>193</v>
      </c>
      <c r="D80" s="959" t="s">
        <v>47</v>
      </c>
      <c r="E80" s="783"/>
      <c r="F80" s="783"/>
      <c r="G80" s="783"/>
      <c r="H80" s="909"/>
      <c r="I80" s="783"/>
    </row>
    <row r="81" spans="3:18" ht="31">
      <c r="C81" s="960" t="s">
        <v>48</v>
      </c>
      <c r="D81" s="959" t="s">
        <v>49</v>
      </c>
      <c r="E81" s="710"/>
      <c r="F81" s="710"/>
      <c r="G81" s="710"/>
      <c r="H81" s="723"/>
      <c r="I81" s="710"/>
    </row>
    <row r="82" spans="3:18" ht="46.5">
      <c r="C82" s="958" t="s">
        <v>50</v>
      </c>
      <c r="D82" s="959" t="s">
        <v>51</v>
      </c>
      <c r="E82" s="783"/>
      <c r="F82" s="783"/>
      <c r="G82" s="783"/>
      <c r="H82" s="909"/>
      <c r="I82" s="783"/>
    </row>
    <row r="83" spans="3:18" ht="31">
      <c r="C83" s="958" t="s">
        <v>194</v>
      </c>
      <c r="D83" s="959" t="s">
        <v>195</v>
      </c>
      <c r="E83" s="783"/>
      <c r="F83" s="783"/>
      <c r="G83" s="783"/>
      <c r="H83" s="909"/>
      <c r="I83" s="783"/>
    </row>
    <row r="84" spans="3:18" ht="31">
      <c r="C84" s="958" t="s">
        <v>196</v>
      </c>
      <c r="D84" s="959" t="s">
        <v>54</v>
      </c>
      <c r="E84" s="783"/>
      <c r="F84" s="783"/>
      <c r="G84" s="783"/>
      <c r="H84" s="909"/>
      <c r="I84" s="783"/>
    </row>
    <row r="85" spans="3:18" ht="31">
      <c r="C85" s="958" t="s">
        <v>57</v>
      </c>
      <c r="D85" s="959" t="s">
        <v>58</v>
      </c>
      <c r="E85" s="783"/>
      <c r="F85" s="783"/>
      <c r="G85" s="783"/>
      <c r="H85" s="909"/>
      <c r="I85" s="783"/>
    </row>
    <row r="86" spans="3:18" ht="31.5" thickBot="1">
      <c r="C86" s="961" t="s">
        <v>59</v>
      </c>
      <c r="D86" s="962" t="s">
        <v>60</v>
      </c>
      <c r="E86" s="783"/>
      <c r="F86" s="783"/>
      <c r="G86" s="783"/>
      <c r="H86" s="909"/>
      <c r="I86" s="783"/>
    </row>
    <row r="90" spans="3:18" ht="14.25" customHeight="1">
      <c r="D90" s="1063"/>
      <c r="E90" s="1063"/>
      <c r="F90" s="1063"/>
      <c r="G90" s="1063"/>
      <c r="H90" s="910"/>
      <c r="I90" s="1063"/>
      <c r="J90" s="1063"/>
      <c r="K90" s="1063"/>
      <c r="L90" s="1063"/>
      <c r="M90" s="1063"/>
      <c r="N90" s="1063"/>
      <c r="O90" s="1063"/>
      <c r="P90" s="1063"/>
      <c r="Q90" s="1063"/>
      <c r="R90" s="1063"/>
    </row>
    <row r="91" spans="3:18">
      <c r="C91" s="1063"/>
      <c r="D91" s="1063"/>
      <c r="E91" s="1063"/>
      <c r="F91" s="1063"/>
      <c r="G91" s="1063"/>
      <c r="H91" s="910"/>
      <c r="I91" s="1063"/>
      <c r="J91" s="1063"/>
      <c r="K91" s="1063"/>
      <c r="L91" s="1063"/>
      <c r="M91" s="1063"/>
      <c r="N91" s="1063"/>
      <c r="O91" s="1063"/>
      <c r="P91" s="1063"/>
      <c r="Q91" s="1063"/>
      <c r="R91" s="1063"/>
    </row>
    <row r="92" spans="3:18">
      <c r="C92" s="1063"/>
      <c r="D92" s="1063"/>
      <c r="E92" s="1063"/>
      <c r="F92" s="1063"/>
      <c r="G92" s="1063"/>
      <c r="H92" s="910"/>
      <c r="I92" s="1063"/>
      <c r="J92" s="1063"/>
      <c r="K92" s="1063"/>
      <c r="L92" s="1063"/>
      <c r="M92" s="1063"/>
      <c r="N92" s="1063"/>
      <c r="O92" s="1063"/>
      <c r="P92" s="1063"/>
      <c r="Q92" s="1063"/>
      <c r="R92" s="1063"/>
    </row>
    <row r="93" spans="3:18">
      <c r="C93" s="1063"/>
      <c r="D93" s="1063"/>
      <c r="E93" s="1063"/>
      <c r="F93" s="1063"/>
      <c r="G93" s="1063"/>
      <c r="H93" s="910"/>
      <c r="I93" s="1063"/>
      <c r="J93" s="1063"/>
      <c r="K93" s="1063"/>
      <c r="L93" s="1063"/>
      <c r="M93" s="1063"/>
      <c r="N93" s="1063"/>
      <c r="O93" s="1063"/>
      <c r="P93" s="1063"/>
      <c r="Q93" s="1063"/>
      <c r="R93" s="1063"/>
    </row>
    <row r="94" spans="3:18">
      <c r="C94" s="1063"/>
      <c r="D94" s="1063"/>
      <c r="E94" s="1063"/>
      <c r="F94" s="1063"/>
      <c r="G94" s="1063"/>
      <c r="H94" s="910"/>
      <c r="I94" s="1063"/>
      <c r="J94" s="1063"/>
      <c r="K94" s="1063"/>
      <c r="L94" s="1063"/>
      <c r="M94" s="1063"/>
      <c r="N94" s="1063"/>
      <c r="O94" s="1063"/>
      <c r="P94" s="1063"/>
      <c r="Q94" s="1063"/>
      <c r="R94" s="1063"/>
    </row>
    <row r="95" spans="3:18">
      <c r="C95" s="1063"/>
      <c r="D95" s="1063"/>
      <c r="E95" s="1063"/>
      <c r="F95" s="1063"/>
      <c r="G95" s="1063"/>
      <c r="H95" s="910"/>
      <c r="I95" s="1063"/>
      <c r="J95" s="1063"/>
      <c r="K95" s="1063"/>
      <c r="L95" s="1063"/>
      <c r="M95" s="1063"/>
      <c r="N95" s="1063"/>
      <c r="O95" s="1063"/>
      <c r="P95" s="1063"/>
      <c r="Q95" s="1063"/>
      <c r="R95" s="1063"/>
    </row>
    <row r="96" spans="3:18">
      <c r="C96" s="1063"/>
      <c r="D96" s="1063"/>
      <c r="E96" s="1063"/>
      <c r="F96" s="1063"/>
      <c r="G96" s="1063"/>
      <c r="H96" s="910"/>
      <c r="I96" s="1063"/>
      <c r="J96" s="1063"/>
      <c r="K96" s="1063"/>
      <c r="L96" s="1063"/>
      <c r="M96" s="1063"/>
      <c r="N96" s="1063"/>
      <c r="O96" s="1063"/>
      <c r="P96" s="1063"/>
      <c r="Q96" s="1063"/>
      <c r="R96" s="1063"/>
    </row>
    <row r="97" spans="3:18">
      <c r="C97" s="1063"/>
      <c r="D97" s="1063"/>
      <c r="E97" s="1063"/>
      <c r="F97" s="1063"/>
      <c r="G97" s="1063"/>
      <c r="H97" s="910"/>
      <c r="I97" s="1063"/>
      <c r="J97" s="1063"/>
      <c r="K97" s="1063"/>
      <c r="L97" s="1063"/>
      <c r="M97" s="1063"/>
      <c r="N97" s="1063"/>
      <c r="O97" s="1063"/>
      <c r="P97" s="1063"/>
      <c r="Q97" s="1063"/>
      <c r="R97" s="1063"/>
    </row>
    <row r="98" spans="3:18">
      <c r="C98" s="1063"/>
      <c r="D98" s="1063"/>
      <c r="E98" s="1063"/>
      <c r="F98" s="1063"/>
      <c r="G98" s="1063"/>
      <c r="H98" s="910"/>
      <c r="I98" s="1063"/>
      <c r="J98" s="1063"/>
      <c r="K98" s="1063"/>
      <c r="L98" s="1063"/>
      <c r="M98" s="1063"/>
      <c r="N98" s="1063"/>
      <c r="O98" s="1063"/>
      <c r="P98" s="1063"/>
      <c r="Q98" s="1063"/>
      <c r="R98" s="1063"/>
    </row>
  </sheetData>
  <mergeCells count="5">
    <mergeCell ref="H61:H64"/>
    <mergeCell ref="C2:K2"/>
    <mergeCell ref="J11:J12"/>
    <mergeCell ref="J25:J35"/>
    <mergeCell ref="J56:J58"/>
  </mergeCells>
  <conditionalFormatting sqref="D43">
    <cfRule type="cellIs" dxfId="28" priority="33" operator="equal">
      <formula>TRUE</formula>
    </cfRule>
    <cfRule type="cellIs" dxfId="27" priority="34" operator="equal">
      <formula>FALSE</formula>
    </cfRule>
  </conditionalFormatting>
  <conditionalFormatting sqref="D30:D32">
    <cfRule type="cellIs" dxfId="26" priority="31" operator="equal">
      <formula>FALSE</formula>
    </cfRule>
    <cfRule type="cellIs" dxfId="25" priority="32" operator="equal">
      <formula>TRUE</formula>
    </cfRule>
  </conditionalFormatting>
  <conditionalFormatting sqref="F4:F43 F45:F49 F51:F1048576">
    <cfRule type="cellIs" dxfId="24" priority="27" operator="equal">
      <formula>"Please Enter"</formula>
    </cfRule>
    <cfRule type="cellIs" dxfId="23" priority="28" operator="equal">
      <formula>"G"</formula>
    </cfRule>
    <cfRule type="cellIs" dxfId="22" priority="29" operator="equal">
      <formula>"A"</formula>
    </cfRule>
    <cfRule type="cellIs" dxfId="21" priority="30" operator="equal">
      <formula>"R"</formula>
    </cfRule>
  </conditionalFormatting>
  <conditionalFormatting sqref="D56">
    <cfRule type="cellIs" dxfId="20" priority="25" operator="equal">
      <formula>TRUE</formula>
    </cfRule>
    <cfRule type="cellIs" dxfId="19" priority="26" operator="equal">
      <formula>FALSE</formula>
    </cfRule>
  </conditionalFormatting>
  <conditionalFormatting sqref="F50">
    <cfRule type="cellIs" dxfId="18" priority="5" operator="equal">
      <formula>"Please Enter"</formula>
    </cfRule>
    <cfRule type="cellIs" dxfId="17" priority="6" operator="equal">
      <formula>"G"</formula>
    </cfRule>
    <cfRule type="cellIs" dxfId="16" priority="7" operator="equal">
      <formula>"A"</formula>
    </cfRule>
    <cfRule type="cellIs" dxfId="15" priority="8" operator="equal">
      <formula>"R"</formula>
    </cfRule>
  </conditionalFormatting>
  <conditionalFormatting sqref="F44">
    <cfRule type="cellIs" dxfId="14" priority="1" operator="equal">
      <formula>"Please Enter"</formula>
    </cfRule>
    <cfRule type="cellIs" dxfId="13" priority="2" operator="equal">
      <formula>"G"</formula>
    </cfRule>
    <cfRule type="cellIs" dxfId="12" priority="3" operator="equal">
      <formula>"A"</formula>
    </cfRule>
    <cfRule type="cellIs" dxfId="11" priority="4" operator="equal">
      <formula>"R"</formula>
    </cfRule>
  </conditionalFormatting>
  <dataValidations count="3">
    <dataValidation type="list" allowBlank="1" showInputMessage="1" showErrorMessage="1" sqref="F23 F6 F9:F10 F39 F70:F71 F44:F45 F50:F52 F59:F63" xr:uid="{00000000-0002-0000-0500-000000000000}">
      <formula1>RAGG</formula1>
    </dataValidation>
    <dataValidation type="list" allowBlank="1" showInputMessage="1" showErrorMessage="1" sqref="D61:D65" xr:uid="{00000000-0002-0000-0500-000001000000}">
      <formula1>Yes_no</formula1>
    </dataValidation>
    <dataValidation type="whole" allowBlank="1" showInputMessage="1" showErrorMessage="1" sqref="D66:D68" xr:uid="{00000000-0002-0000-0500-000002000000}">
      <formula1>0</formula1>
      <formula2>2300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sheetPr>
  <dimension ref="B1:W65"/>
  <sheetViews>
    <sheetView zoomScale="70" zoomScaleNormal="70" workbookViewId="0">
      <selection activeCell="E57" sqref="E57"/>
    </sheetView>
  </sheetViews>
  <sheetFormatPr defaultColWidth="9.1796875" defaultRowHeight="19" customHeight="1"/>
  <cols>
    <col min="1" max="1" width="4.1796875" style="378" customWidth="1"/>
    <col min="2" max="2" width="33.453125" style="913" customWidth="1"/>
    <col min="3" max="3" width="2.453125" style="378" customWidth="1"/>
    <col min="4" max="4" width="18.1796875" style="378" customWidth="1"/>
    <col min="5" max="5" width="3.81640625" style="378" customWidth="1"/>
    <col min="6" max="6" width="18.453125" style="378" customWidth="1"/>
    <col min="7" max="7" width="12.453125" style="378" customWidth="1"/>
    <col min="8" max="8" width="9.54296875" style="378" customWidth="1"/>
    <col min="9" max="9" width="9.1796875" style="378"/>
    <col min="10" max="10" width="2.54296875" style="378" customWidth="1"/>
    <col min="11" max="11" width="3.453125" style="378" customWidth="1"/>
    <col min="12" max="12" width="2.81640625" style="378" customWidth="1"/>
    <col min="13" max="14" width="11.54296875" style="378" customWidth="1"/>
    <col min="15" max="15" width="9.1796875" style="378"/>
    <col min="16" max="16" width="16.453125" style="378" customWidth="1"/>
    <col min="17" max="17" width="22" style="378" customWidth="1"/>
    <col min="18" max="18" width="18" style="378" customWidth="1"/>
    <col min="19" max="16384" width="9.1796875" style="378"/>
  </cols>
  <sheetData>
    <row r="1" spans="2:23" ht="19" customHeight="1">
      <c r="B1" s="913" t="s">
        <v>197</v>
      </c>
    </row>
    <row r="3" spans="2:23" ht="31.5" thickBot="1">
      <c r="B3" s="739" t="s">
        <v>198</v>
      </c>
    </row>
    <row r="4" spans="2:23" ht="19" customHeight="1">
      <c r="B4" s="914"/>
      <c r="C4" s="755"/>
      <c r="D4" s="755"/>
      <c r="E4" s="755"/>
      <c r="F4" s="755"/>
      <c r="G4" s="755"/>
      <c r="H4" s="755"/>
      <c r="I4" s="755"/>
      <c r="J4" s="756"/>
      <c r="N4" s="1063"/>
      <c r="O4" s="1063"/>
      <c r="P4" s="1063"/>
      <c r="Q4" s="1063"/>
      <c r="R4" s="1063"/>
      <c r="S4" s="1063"/>
      <c r="T4" s="1063"/>
      <c r="U4" s="1063"/>
      <c r="V4" s="1063"/>
      <c r="W4" s="1063"/>
    </row>
    <row r="5" spans="2:23" ht="28.5">
      <c r="B5" s="915" t="s">
        <v>199</v>
      </c>
      <c r="D5" s="1064"/>
      <c r="J5" s="757"/>
      <c r="M5" s="1063"/>
      <c r="N5" s="1063"/>
      <c r="O5" s="1063"/>
      <c r="P5" s="1063"/>
      <c r="Q5" s="1063"/>
      <c r="R5" s="1063"/>
      <c r="S5" s="1063"/>
      <c r="T5" s="1063"/>
      <c r="U5" s="1063"/>
      <c r="V5" s="1063"/>
      <c r="W5" s="1063"/>
    </row>
    <row r="6" spans="2:23" ht="19" customHeight="1">
      <c r="B6" s="916"/>
      <c r="J6" s="757"/>
      <c r="M6" s="1063"/>
      <c r="N6" s="1063"/>
      <c r="O6" s="1063"/>
      <c r="P6" s="1063"/>
      <c r="Q6" s="1063"/>
      <c r="R6" s="1063"/>
      <c r="S6" s="1063"/>
      <c r="T6" s="1063"/>
      <c r="U6" s="1063"/>
      <c r="V6" s="1063"/>
      <c r="W6" s="1063"/>
    </row>
    <row r="7" spans="2:23" ht="19" customHeight="1">
      <c r="B7" s="916" t="s">
        <v>200</v>
      </c>
      <c r="D7" s="1064"/>
      <c r="J7" s="757"/>
      <c r="M7" s="1063"/>
      <c r="N7" s="1063"/>
      <c r="O7" s="1063"/>
      <c r="P7" s="1063"/>
      <c r="Q7" s="1063"/>
      <c r="R7" s="1063"/>
      <c r="S7" s="1063"/>
      <c r="T7" s="1063"/>
      <c r="U7" s="1063"/>
      <c r="V7" s="1063"/>
      <c r="W7" s="1063"/>
    </row>
    <row r="8" spans="2:23" ht="19" customHeight="1">
      <c r="B8" s="916"/>
      <c r="D8" s="793"/>
      <c r="J8" s="757"/>
      <c r="M8" s="1063"/>
      <c r="N8" s="1063"/>
      <c r="O8" s="1063"/>
      <c r="P8" s="1063"/>
      <c r="Q8" s="1063"/>
      <c r="R8" s="1063"/>
      <c r="S8" s="1063"/>
      <c r="T8" s="1063"/>
      <c r="U8" s="1063"/>
      <c r="V8" s="1063"/>
      <c r="W8" s="1063"/>
    </row>
    <row r="9" spans="2:23" ht="19" customHeight="1">
      <c r="B9" s="917" t="s">
        <v>201</v>
      </c>
      <c r="D9" s="1064"/>
      <c r="G9" s="1022"/>
      <c r="H9" s="1022"/>
      <c r="I9" s="1022"/>
      <c r="J9" s="757"/>
      <c r="M9" s="1063"/>
      <c r="N9" s="1063"/>
      <c r="O9" s="1063"/>
      <c r="P9" s="1063"/>
      <c r="Q9" s="1063"/>
      <c r="R9" s="1063"/>
      <c r="S9" s="1063"/>
      <c r="T9" s="1063"/>
      <c r="U9" s="1063"/>
      <c r="V9" s="1063"/>
      <c r="W9" s="1063"/>
    </row>
    <row r="10" spans="2:23" ht="19" customHeight="1">
      <c r="B10" s="916"/>
      <c r="J10" s="757"/>
      <c r="M10" s="1063"/>
      <c r="N10" s="1063"/>
      <c r="O10" s="1063"/>
      <c r="P10" s="1063"/>
      <c r="Q10" s="1063"/>
      <c r="R10" s="1063"/>
      <c r="S10" s="1063"/>
      <c r="T10" s="1063"/>
      <c r="U10" s="1063"/>
      <c r="V10" s="1063"/>
      <c r="W10" s="1063"/>
    </row>
    <row r="11" spans="2:23" s="758" customFormat="1" ht="102.75" customHeight="1">
      <c r="B11" s="918" t="s">
        <v>202</v>
      </c>
      <c r="D11" s="1154" t="str">
        <f>IF($D$5="NO", "N/A", "")</f>
        <v/>
      </c>
      <c r="E11" s="1154"/>
      <c r="F11" s="1154"/>
      <c r="G11" s="1154"/>
      <c r="H11" s="1154"/>
      <c r="I11" s="1154"/>
      <c r="J11" s="759"/>
      <c r="M11" s="1063"/>
      <c r="N11" s="1063"/>
      <c r="O11" s="1063"/>
      <c r="P11" s="1063"/>
      <c r="Q11" s="1063"/>
      <c r="R11" s="1063"/>
      <c r="S11" s="1063"/>
      <c r="T11" s="1063"/>
      <c r="U11" s="1063"/>
      <c r="V11" s="1063"/>
      <c r="W11" s="1063"/>
    </row>
    <row r="12" spans="2:23" ht="19" customHeight="1" thickBot="1">
      <c r="B12" s="919"/>
      <c r="C12" s="760"/>
      <c r="D12" s="760"/>
      <c r="E12" s="760"/>
      <c r="F12" s="760"/>
      <c r="G12" s="886"/>
      <c r="H12" s="886"/>
      <c r="I12" s="886"/>
      <c r="J12" s="761"/>
      <c r="M12" s="1063"/>
      <c r="N12" s="1063"/>
      <c r="O12" s="1063"/>
      <c r="P12" s="1063"/>
      <c r="Q12" s="1063"/>
      <c r="R12" s="1063"/>
      <c r="S12" s="1063"/>
      <c r="T12" s="1063"/>
      <c r="U12" s="1063"/>
      <c r="V12" s="1063"/>
      <c r="W12" s="1063"/>
    </row>
    <row r="13" spans="2:23" ht="19" customHeight="1">
      <c r="B13" s="1061"/>
      <c r="G13" s="1022"/>
      <c r="H13" s="1022"/>
      <c r="I13" s="1022"/>
      <c r="M13" s="1063"/>
      <c r="N13" s="1063"/>
      <c r="O13" s="1063"/>
      <c r="P13" s="1063"/>
      <c r="Q13" s="1063"/>
      <c r="R13" s="1063"/>
      <c r="S13" s="1063"/>
      <c r="T13" s="1063"/>
      <c r="U13" s="1063"/>
      <c r="V13" s="1063"/>
      <c r="W13" s="1063"/>
    </row>
    <row r="14" spans="2:23" ht="19" customHeight="1" thickBot="1">
      <c r="B14" s="913" t="s">
        <v>203</v>
      </c>
      <c r="M14" s="1063"/>
      <c r="N14" s="1063"/>
      <c r="O14" s="1063"/>
      <c r="P14" s="1063"/>
      <c r="Q14" s="1063"/>
      <c r="R14" s="1063"/>
      <c r="S14" s="1063"/>
      <c r="T14" s="1063"/>
      <c r="U14" s="1063"/>
      <c r="V14" s="1063"/>
      <c r="W14" s="1063"/>
    </row>
    <row r="15" spans="2:23" ht="19" customHeight="1">
      <c r="B15" s="914"/>
      <c r="C15" s="755"/>
      <c r="D15" s="755"/>
      <c r="E15" s="755"/>
      <c r="F15" s="755"/>
      <c r="G15" s="755"/>
      <c r="H15" s="755"/>
      <c r="I15" s="755"/>
      <c r="J15" s="756"/>
    </row>
    <row r="16" spans="2:23" ht="19" customHeight="1">
      <c r="B16" s="916" t="s">
        <v>204</v>
      </c>
      <c r="D16" s="951"/>
      <c r="J16" s="757"/>
    </row>
    <row r="17" spans="2:19" ht="19" customHeight="1">
      <c r="B17" s="916"/>
      <c r="J17" s="757"/>
    </row>
    <row r="18" spans="2:19" ht="28.5">
      <c r="B18" s="915" t="s">
        <v>205</v>
      </c>
      <c r="D18" s="951"/>
      <c r="J18" s="757"/>
    </row>
    <row r="19" spans="2:19" ht="19" customHeight="1" thickBot="1">
      <c r="B19" s="920"/>
      <c r="C19" s="760"/>
      <c r="D19" s="760"/>
      <c r="E19" s="760"/>
      <c r="F19" s="760"/>
      <c r="G19" s="760"/>
      <c r="H19" s="760"/>
      <c r="I19" s="760"/>
      <c r="J19" s="761"/>
    </row>
    <row r="21" spans="2:19" ht="19" customHeight="1" thickBot="1">
      <c r="B21" s="739" t="s">
        <v>206</v>
      </c>
      <c r="G21" s="1022"/>
      <c r="H21" s="1022"/>
      <c r="I21" s="1022"/>
      <c r="M21" s="360" t="s">
        <v>207</v>
      </c>
    </row>
    <row r="22" spans="2:19" ht="19" customHeight="1">
      <c r="B22" s="921"/>
      <c r="C22" s="755"/>
      <c r="D22" s="763"/>
      <c r="E22" s="755"/>
      <c r="F22" s="755"/>
      <c r="G22" s="755"/>
      <c r="H22" s="755"/>
      <c r="I22" s="755"/>
      <c r="J22" s="756"/>
      <c r="M22" s="768"/>
      <c r="N22" s="755"/>
      <c r="O22" s="755"/>
      <c r="P22" s="755"/>
      <c r="Q22" s="755"/>
      <c r="R22" s="755"/>
      <c r="S22" s="756"/>
    </row>
    <row r="23" spans="2:19" ht="19" customHeight="1">
      <c r="B23" s="922" t="s">
        <v>208</v>
      </c>
      <c r="J23" s="757"/>
      <c r="M23" s="766"/>
      <c r="P23" s="790" t="s">
        <v>209</v>
      </c>
      <c r="Q23" s="784" t="e">
        <f>D31*1000/'Proforma Scrutiny'!D7</f>
        <v>#DIV/0!</v>
      </c>
      <c r="S23" s="757"/>
    </row>
    <row r="24" spans="2:19" ht="19" customHeight="1">
      <c r="B24" s="916" t="s">
        <v>15</v>
      </c>
      <c r="D24" s="764" t="e">
        <f>(SUM('PVB calculations'!C38:CD41)+SUM('PVB calculations'!C44:CD47)+SUM('PVB calculations'!C50:CD53))/1000</f>
        <v>#DIV/0!</v>
      </c>
      <c r="J24" s="757"/>
      <c r="M24" s="766"/>
      <c r="P24" s="790" t="s">
        <v>210</v>
      </c>
      <c r="Q24" s="764" t="e">
        <f>D29*1000/(Proforma!D25*'Proforma Scrutiny'!D11)</f>
        <v>#DIV/0!</v>
      </c>
      <c r="S24" s="757"/>
    </row>
    <row r="25" spans="2:19" ht="19" customHeight="1">
      <c r="B25" s="916" t="s">
        <v>24</v>
      </c>
      <c r="D25" s="764">
        <f>IFERROR(SUM('PVB calculations'!C57:CD60)/1000,0)</f>
        <v>0</v>
      </c>
      <c r="J25" s="757"/>
      <c r="M25" s="766"/>
      <c r="P25" s="790" t="s">
        <v>211</v>
      </c>
      <c r="Q25" s="378">
        <f>'Proforma Scrutiny'!D11</f>
        <v>0</v>
      </c>
      <c r="S25" s="757"/>
    </row>
    <row r="26" spans="2:19" ht="19" customHeight="1">
      <c r="B26" s="916" t="s">
        <v>29</v>
      </c>
      <c r="D26" s="764" t="e">
        <f>SUM('PVB calculations'!C64:CD67)/1000</f>
        <v>#DIV/0!</v>
      </c>
      <c r="J26" s="757"/>
      <c r="M26" s="766"/>
      <c r="P26" s="790" t="s">
        <v>212</v>
      </c>
      <c r="Q26" s="378">
        <f>'PVB calculations'!C5</f>
        <v>30</v>
      </c>
      <c r="S26" s="757"/>
    </row>
    <row r="27" spans="2:19" ht="19" customHeight="1">
      <c r="B27" s="916" t="s">
        <v>213</v>
      </c>
      <c r="D27" s="764">
        <f>SUM('PVB calculations'!C33:CD33)/1000</f>
        <v>0</v>
      </c>
      <c r="F27" s="769"/>
      <c r="H27" s="769"/>
      <c r="I27" s="769"/>
      <c r="J27" s="757"/>
      <c r="M27" s="766"/>
      <c r="P27" s="785" t="s">
        <v>214</v>
      </c>
      <c r="Q27" s="926">
        <v>0.15</v>
      </c>
      <c r="S27" s="757"/>
    </row>
    <row r="28" spans="2:19" ht="19" customHeight="1">
      <c r="B28" s="923"/>
      <c r="E28" s="764"/>
      <c r="F28" s="770"/>
      <c r="G28" s="769"/>
      <c r="H28" s="769"/>
      <c r="I28" s="769"/>
      <c r="J28" s="757"/>
      <c r="M28" s="766"/>
      <c r="S28" s="757"/>
    </row>
    <row r="29" spans="2:19" ht="19" customHeight="1">
      <c r="B29" s="924" t="s">
        <v>215</v>
      </c>
      <c r="C29" s="360"/>
      <c r="D29" s="972" t="e">
        <f>SUM(D24:D27)</f>
        <v>#DIV/0!</v>
      </c>
      <c r="F29" s="769"/>
      <c r="G29" s="885"/>
      <c r="H29" s="885"/>
      <c r="I29" s="885"/>
      <c r="J29" s="757"/>
      <c r="M29" s="766"/>
      <c r="P29" s="785" t="s">
        <v>216</v>
      </c>
      <c r="Q29" s="784" t="e">
        <f>SUM('PVB calculations'!C71:CD71)</f>
        <v>#DIV/0!</v>
      </c>
      <c r="R29" s="787" t="e">
        <f>Q29/($D$29*1000)</f>
        <v>#DIV/0!</v>
      </c>
      <c r="S29" s="757"/>
    </row>
    <row r="30" spans="2:19" ht="19" customHeight="1">
      <c r="B30" s="924"/>
      <c r="C30" s="360"/>
      <c r="D30" s="764"/>
      <c r="J30" s="757"/>
      <c r="M30" s="766"/>
      <c r="P30" s="785" t="s">
        <v>217</v>
      </c>
      <c r="Q30" s="784" t="e">
        <f>SUM('PVB calculations'!C72:CD72)</f>
        <v>#DIV/0!</v>
      </c>
      <c r="R30" s="787" t="e">
        <f>Q30/($D$29*1000)</f>
        <v>#DIV/0!</v>
      </c>
      <c r="S30" s="757"/>
    </row>
    <row r="31" spans="2:19" ht="19" customHeight="1">
      <c r="B31" s="924" t="s">
        <v>218</v>
      </c>
      <c r="C31" s="360"/>
      <c r="D31" s="791">
        <f>'PVC Calculations'!D35</f>
        <v>0</v>
      </c>
      <c r="J31" s="757"/>
      <c r="M31" s="766"/>
      <c r="P31" s="785" t="s">
        <v>219</v>
      </c>
      <c r="Q31" s="784" t="e">
        <f>SUM('PVB calculations'!C73:CD73)</f>
        <v>#DIV/0!</v>
      </c>
      <c r="R31" s="787" t="e">
        <f>Q31/($D$29*1000)</f>
        <v>#DIV/0!</v>
      </c>
      <c r="S31" s="757"/>
    </row>
    <row r="32" spans="2:19" ht="19" customHeight="1">
      <c r="B32" s="924"/>
      <c r="C32" s="360"/>
      <c r="D32" s="764"/>
      <c r="J32" s="757"/>
      <c r="M32" s="766"/>
      <c r="P32" s="785" t="s">
        <v>220</v>
      </c>
      <c r="Q32" s="784" t="e">
        <f>SUM('PVB calculations'!C74:CD74)</f>
        <v>#DIV/0!</v>
      </c>
      <c r="R32" s="787" t="e">
        <f>Q32/($D$29*1000)</f>
        <v>#DIV/0!</v>
      </c>
      <c r="S32" s="757"/>
    </row>
    <row r="33" spans="2:19" ht="19" customHeight="1" thickBot="1">
      <c r="B33" s="924" t="s">
        <v>221</v>
      </c>
      <c r="C33" s="360"/>
      <c r="D33" s="792" t="e">
        <f>D29/D31</f>
        <v>#DIV/0!</v>
      </c>
      <c r="F33" s="771"/>
      <c r="G33" s="885"/>
      <c r="H33" s="885"/>
      <c r="I33" s="885"/>
      <c r="J33" s="757"/>
      <c r="M33" s="767"/>
      <c r="N33" s="760"/>
      <c r="O33" s="760"/>
      <c r="P33" s="760"/>
      <c r="Q33" s="760"/>
      <c r="R33" s="760"/>
      <c r="S33" s="761"/>
    </row>
    <row r="34" spans="2:19" ht="19" customHeight="1">
      <c r="B34" s="924"/>
      <c r="C34" s="360"/>
      <c r="D34" s="765"/>
      <c r="J34" s="757"/>
    </row>
    <row r="35" spans="2:19" ht="19" customHeight="1" thickBot="1">
      <c r="B35" s="924" t="s">
        <v>222</v>
      </c>
      <c r="C35" s="360"/>
      <c r="D35" s="791" t="e">
        <f>D29-D31</f>
        <v>#DIV/0!</v>
      </c>
      <c r="J35" s="757"/>
      <c r="M35" s="360" t="s">
        <v>223</v>
      </c>
    </row>
    <row r="36" spans="2:19" ht="18" customHeight="1">
      <c r="B36" s="916"/>
      <c r="J36" s="757"/>
      <c r="M36" s="768"/>
      <c r="N36" s="755"/>
      <c r="O36" s="755"/>
      <c r="P36" s="755"/>
      <c r="Q36" s="755"/>
      <c r="R36" s="755"/>
      <c r="S36" s="756"/>
    </row>
    <row r="37" spans="2:19" ht="19" customHeight="1">
      <c r="B37" s="922" t="s">
        <v>122</v>
      </c>
      <c r="D37" s="1064"/>
      <c r="J37" s="757"/>
      <c r="M37" s="766"/>
      <c r="P37" s="785" t="s">
        <v>224</v>
      </c>
      <c r="Q37" s="786" t="e">
        <f>$D$31*4-$D$29</f>
        <v>#DIV/0!</v>
      </c>
      <c r="R37" s="788" t="e">
        <f>Q37/$D$31</f>
        <v>#DIV/0!</v>
      </c>
      <c r="S37" s="757"/>
    </row>
    <row r="38" spans="2:19" ht="19" customHeight="1">
      <c r="B38" s="916"/>
      <c r="J38" s="757"/>
      <c r="M38" s="766"/>
      <c r="P38" s="785" t="s">
        <v>225</v>
      </c>
      <c r="Q38" s="786" t="e">
        <f>$D$31*2-D29</f>
        <v>#DIV/0!</v>
      </c>
      <c r="R38" s="788" t="e">
        <f>Q38/$D$31</f>
        <v>#DIV/0!</v>
      </c>
      <c r="S38" s="757"/>
    </row>
    <row r="39" spans="2:19" ht="19" customHeight="1">
      <c r="B39" s="916"/>
      <c r="G39" s="1022"/>
      <c r="H39" s="1022"/>
      <c r="I39" s="1022"/>
      <c r="J39" s="757"/>
      <c r="M39" s="766"/>
      <c r="P39" s="785" t="s">
        <v>226</v>
      </c>
      <c r="Q39" s="764" t="e">
        <f>D31*1.5-D29</f>
        <v>#DIV/0!</v>
      </c>
      <c r="R39" s="788" t="e">
        <f>Q39/$D$31</f>
        <v>#DIV/0!</v>
      </c>
      <c r="S39" s="757"/>
    </row>
    <row r="40" spans="2:19" ht="19" customHeight="1">
      <c r="B40" s="918" t="s">
        <v>227</v>
      </c>
      <c r="D40" s="1155"/>
      <c r="E40" s="1156"/>
      <c r="F40" s="1156"/>
      <c r="G40" s="1156"/>
      <c r="H40" s="1156"/>
      <c r="I40" s="1157"/>
      <c r="J40" s="757"/>
      <c r="M40" s="766"/>
      <c r="P40" s="785"/>
      <c r="R40" s="785"/>
      <c r="S40" s="757"/>
    </row>
    <row r="41" spans="2:19" ht="19" customHeight="1">
      <c r="B41" s="925"/>
      <c r="D41" s="1158"/>
      <c r="E41" s="1159"/>
      <c r="F41" s="1159"/>
      <c r="G41" s="1159"/>
      <c r="H41" s="1159"/>
      <c r="I41" s="1160"/>
      <c r="J41" s="757"/>
      <c r="M41" s="766"/>
      <c r="P41" s="789" t="s">
        <v>228</v>
      </c>
      <c r="Q41" s="764" t="e">
        <f>($D$29/4)-$D$31</f>
        <v>#DIV/0!</v>
      </c>
      <c r="R41" s="788" t="e">
        <f>Q41/$D$31</f>
        <v>#DIV/0!</v>
      </c>
      <c r="S41" s="757"/>
    </row>
    <row r="42" spans="2:19" ht="19" customHeight="1">
      <c r="B42" s="925"/>
      <c r="D42" s="1158"/>
      <c r="E42" s="1159"/>
      <c r="F42" s="1159"/>
      <c r="G42" s="1159"/>
      <c r="H42" s="1159"/>
      <c r="I42" s="1160"/>
      <c r="J42" s="757"/>
      <c r="M42" s="766"/>
      <c r="P42" s="789" t="s">
        <v>229</v>
      </c>
      <c r="Q42" s="764" t="e">
        <f>($D$29/2)-$D$31</f>
        <v>#DIV/0!</v>
      </c>
      <c r="R42" s="788" t="e">
        <f>Q42/$D$31</f>
        <v>#DIV/0!</v>
      </c>
      <c r="S42" s="757"/>
    </row>
    <row r="43" spans="2:19" ht="19" customHeight="1">
      <c r="B43" s="925"/>
      <c r="D43" s="1161"/>
      <c r="E43" s="1162"/>
      <c r="F43" s="1162"/>
      <c r="G43" s="1162"/>
      <c r="H43" s="1162"/>
      <c r="I43" s="1163"/>
      <c r="J43" s="757"/>
      <c r="M43" s="766"/>
      <c r="P43" s="789" t="s">
        <v>230</v>
      </c>
      <c r="Q43" s="764" t="e">
        <f>($D$29/1.5)-$D$31</f>
        <v>#DIV/0!</v>
      </c>
      <c r="R43" s="788" t="e">
        <f>Q43/$D$31</f>
        <v>#DIV/0!</v>
      </c>
      <c r="S43" s="757"/>
    </row>
    <row r="44" spans="2:19" ht="19" customHeight="1" thickBot="1">
      <c r="B44" s="920"/>
      <c r="C44" s="760"/>
      <c r="D44" s="760"/>
      <c r="E44" s="760"/>
      <c r="F44" s="760"/>
      <c r="G44" s="886"/>
      <c r="H44" s="886"/>
      <c r="I44" s="886"/>
      <c r="J44" s="761"/>
      <c r="M44" s="767"/>
      <c r="N44" s="760"/>
      <c r="O44" s="760"/>
      <c r="P44" s="760"/>
      <c r="Q44" s="760"/>
      <c r="R44" s="760"/>
      <c r="S44" s="761"/>
    </row>
    <row r="46" spans="2:19" ht="19" customHeight="1" thickBot="1">
      <c r="B46" s="739" t="s">
        <v>231</v>
      </c>
      <c r="G46" s="1022"/>
      <c r="H46" s="1022"/>
      <c r="I46" s="1022"/>
      <c r="M46" s="360" t="s">
        <v>232</v>
      </c>
    </row>
    <row r="47" spans="2:19" ht="19" customHeight="1">
      <c r="B47" s="921"/>
      <c r="C47" s="755"/>
      <c r="D47" s="763"/>
      <c r="E47" s="755"/>
      <c r="F47" s="755"/>
      <c r="G47" s="755"/>
      <c r="H47" s="755"/>
      <c r="I47" s="755"/>
      <c r="J47" s="756"/>
      <c r="M47" s="1145" t="s">
        <v>233</v>
      </c>
      <c r="N47" s="1146"/>
      <c r="O47" s="1146"/>
      <c r="P47" s="1146"/>
      <c r="Q47" s="1146"/>
      <c r="R47" s="1146"/>
      <c r="S47" s="1147"/>
    </row>
    <row r="48" spans="2:19" ht="19" customHeight="1">
      <c r="B48" s="922" t="s">
        <v>234</v>
      </c>
      <c r="J48" s="757"/>
      <c r="M48" s="1148"/>
      <c r="N48" s="1149"/>
      <c r="O48" s="1149"/>
      <c r="P48" s="1149"/>
      <c r="Q48" s="1149"/>
      <c r="R48" s="1149"/>
      <c r="S48" s="1150"/>
    </row>
    <row r="49" spans="2:19" ht="19" customHeight="1">
      <c r="B49" s="916"/>
      <c r="D49" s="764"/>
      <c r="J49" s="757"/>
      <c r="M49" s="1148"/>
      <c r="N49" s="1149"/>
      <c r="O49" s="1149"/>
      <c r="P49" s="1149"/>
      <c r="Q49" s="1149"/>
      <c r="R49" s="1149"/>
      <c r="S49" s="1150"/>
    </row>
    <row r="50" spans="2:19" ht="19" customHeight="1">
      <c r="B50" s="916" t="str">
        <f>'Proforma Scrutiny'!B6</f>
        <v>Distance</v>
      </c>
      <c r="D50" s="764" t="str">
        <f>'Proforma Scrutiny'!F6</f>
        <v>Please Enter</v>
      </c>
      <c r="J50" s="757"/>
      <c r="M50" s="1148"/>
      <c r="N50" s="1149"/>
      <c r="O50" s="1149"/>
      <c r="P50" s="1149"/>
      <c r="Q50" s="1149"/>
      <c r="R50" s="1149"/>
      <c r="S50" s="1150"/>
    </row>
    <row r="51" spans="2:19" ht="19" customHeight="1">
      <c r="B51" s="916" t="str">
        <f>'Proforma Scrutiny'!B10</f>
        <v>AADT</v>
      </c>
      <c r="D51" s="764" t="str">
        <f>'Proforma Scrutiny'!F10</f>
        <v>Please Enter</v>
      </c>
      <c r="J51" s="757"/>
      <c r="M51" s="1148"/>
      <c r="N51" s="1149"/>
      <c r="O51" s="1149"/>
      <c r="P51" s="1149"/>
      <c r="Q51" s="1149"/>
      <c r="R51" s="1149"/>
      <c r="S51" s="1150"/>
    </row>
    <row r="52" spans="2:19" ht="19" customHeight="1">
      <c r="B52" s="916" t="str">
        <f>'Proforma Scrutiny'!B23</f>
        <v>Road Quality</v>
      </c>
      <c r="D52" s="764" t="str">
        <f>'Proforma Scrutiny'!F23</f>
        <v>Please Enter</v>
      </c>
      <c r="F52" s="769"/>
      <c r="H52" s="769"/>
      <c r="I52" s="769"/>
      <c r="J52" s="757"/>
      <c r="M52" s="1148"/>
      <c r="N52" s="1149"/>
      <c r="O52" s="1149"/>
      <c r="P52" s="1149"/>
      <c r="Q52" s="1149"/>
      <c r="R52" s="1149"/>
      <c r="S52" s="1150"/>
    </row>
    <row r="53" spans="2:19" ht="19" customHeight="1">
      <c r="B53" s="916" t="str">
        <f>'Proforma Scrutiny'!B39</f>
        <v>Speed</v>
      </c>
      <c r="D53" s="378" t="str">
        <f>'Proforma Scrutiny'!F39</f>
        <v>Please Enter</v>
      </c>
      <c r="E53" s="764"/>
      <c r="F53" s="770"/>
      <c r="G53" s="769"/>
      <c r="H53" s="769"/>
      <c r="I53" s="769"/>
      <c r="J53" s="757"/>
      <c r="M53" s="1148"/>
      <c r="N53" s="1149"/>
      <c r="O53" s="1149"/>
      <c r="P53" s="1149"/>
      <c r="Q53" s="1149"/>
      <c r="R53" s="1149"/>
      <c r="S53" s="1150"/>
    </row>
    <row r="54" spans="2:19" ht="19" customHeight="1" thickBot="1">
      <c r="B54" s="916" t="str">
        <f>'Proforma Scrutiny'!B45</f>
        <v>Cyclists</v>
      </c>
      <c r="C54" s="360"/>
      <c r="D54" s="784" t="str">
        <f>'Proforma Scrutiny'!F45</f>
        <v>Please Enter</v>
      </c>
      <c r="F54" s="769"/>
      <c r="G54" s="885"/>
      <c r="H54" s="885"/>
      <c r="I54" s="885"/>
      <c r="J54" s="757"/>
      <c r="M54" s="1151"/>
      <c r="N54" s="1152"/>
      <c r="O54" s="1152"/>
      <c r="P54" s="1152"/>
      <c r="Q54" s="1152"/>
      <c r="R54" s="1152"/>
      <c r="S54" s="1153"/>
    </row>
    <row r="55" spans="2:19" ht="19" customHeight="1">
      <c r="B55" s="916" t="str">
        <f>'Proforma Scrutiny'!B51</f>
        <v>Diversions</v>
      </c>
      <c r="C55" s="360"/>
      <c r="D55" s="764" t="str">
        <f>'Proforma Scrutiny'!F51</f>
        <v>Please Enter</v>
      </c>
      <c r="J55" s="757"/>
    </row>
    <row r="56" spans="2:19" ht="19" customHeight="1">
      <c r="B56" s="916" t="str">
        <f>'Proforma Scrutiny'!B59</f>
        <v>Bridges</v>
      </c>
      <c r="C56" s="360"/>
      <c r="D56" s="784" t="str">
        <f>'Proforma Scrutiny'!F59</f>
        <v>Please Enter</v>
      </c>
      <c r="J56" s="757"/>
    </row>
    <row r="57" spans="2:19" ht="19" customHeight="1">
      <c r="B57" s="916" t="str">
        <f>'Proforma Scrutiny'!B70</f>
        <v>Flooding</v>
      </c>
      <c r="C57" s="360"/>
      <c r="D57" s="764" t="str">
        <f>'Proforma Scrutiny'!F70</f>
        <v>Please Enter</v>
      </c>
      <c r="J57" s="757"/>
    </row>
    <row r="58" spans="2:19" ht="19" customHeight="1">
      <c r="B58" s="916"/>
      <c r="J58" s="757"/>
      <c r="M58" s="1063"/>
      <c r="N58" s="1063"/>
      <c r="O58" s="1063"/>
      <c r="P58" s="1063"/>
      <c r="Q58" s="1063"/>
      <c r="R58" s="1063"/>
      <c r="S58" s="1063"/>
    </row>
    <row r="59" spans="2:19" ht="19" customHeight="1">
      <c r="B59" s="922" t="s">
        <v>235</v>
      </c>
      <c r="D59" s="951"/>
      <c r="J59" s="757"/>
      <c r="M59" s="1063"/>
      <c r="N59" s="1063"/>
      <c r="O59" s="1063"/>
      <c r="P59" s="1063"/>
      <c r="Q59" s="1063"/>
      <c r="R59" s="1063"/>
      <c r="S59" s="1063"/>
    </row>
    <row r="60" spans="2:19" ht="19" customHeight="1">
      <c r="B60" s="916"/>
      <c r="J60" s="757"/>
      <c r="M60" s="1063"/>
      <c r="N60" s="1063"/>
      <c r="O60" s="1063"/>
      <c r="P60" s="1063"/>
      <c r="Q60" s="1063"/>
      <c r="R60" s="1063"/>
      <c r="S60" s="1063"/>
    </row>
    <row r="61" spans="2:19" ht="19" customHeight="1">
      <c r="B61" s="918" t="s">
        <v>227</v>
      </c>
      <c r="D61" s="1155"/>
      <c r="E61" s="1156"/>
      <c r="F61" s="1156"/>
      <c r="G61" s="1156"/>
      <c r="H61" s="1156"/>
      <c r="I61" s="1157"/>
      <c r="J61" s="757"/>
      <c r="M61" s="1063"/>
      <c r="N61" s="1063"/>
      <c r="O61" s="1063"/>
      <c r="P61" s="1063"/>
      <c r="Q61" s="1063"/>
      <c r="R61" s="1063"/>
      <c r="S61" s="1063"/>
    </row>
    <row r="62" spans="2:19" ht="19" customHeight="1">
      <c r="B62" s="925"/>
      <c r="D62" s="1158"/>
      <c r="E62" s="1159"/>
      <c r="F62" s="1159"/>
      <c r="G62" s="1159"/>
      <c r="H62" s="1159"/>
      <c r="I62" s="1160"/>
      <c r="J62" s="757"/>
    </row>
    <row r="63" spans="2:19" ht="19" customHeight="1">
      <c r="B63" s="925"/>
      <c r="D63" s="1158"/>
      <c r="E63" s="1159"/>
      <c r="F63" s="1159"/>
      <c r="G63" s="1159"/>
      <c r="H63" s="1159"/>
      <c r="I63" s="1160"/>
      <c r="J63" s="757"/>
    </row>
    <row r="64" spans="2:19" ht="19" customHeight="1">
      <c r="B64" s="925"/>
      <c r="D64" s="1161"/>
      <c r="E64" s="1162"/>
      <c r="F64" s="1162"/>
      <c r="G64" s="1162"/>
      <c r="H64" s="1162"/>
      <c r="I64" s="1163"/>
      <c r="J64" s="757"/>
    </row>
    <row r="65" spans="2:10" ht="19" customHeight="1" thickBot="1">
      <c r="B65" s="920"/>
      <c r="C65" s="760"/>
      <c r="D65" s="760"/>
      <c r="E65" s="760"/>
      <c r="F65" s="760"/>
      <c r="G65" s="886"/>
      <c r="H65" s="886"/>
      <c r="I65" s="886"/>
      <c r="J65" s="761"/>
    </row>
  </sheetData>
  <mergeCells count="4">
    <mergeCell ref="M47:S54"/>
    <mergeCell ref="D11:I11"/>
    <mergeCell ref="D40:I43"/>
    <mergeCell ref="D61:I64"/>
  </mergeCells>
  <conditionalFormatting sqref="D7">
    <cfRule type="cellIs" dxfId="10" priority="10" operator="equal">
      <formula>" """""</formula>
    </cfRule>
    <cfRule type="cellIs" dxfId="9" priority="11" operator="equal">
      <formula>"N/A"</formula>
    </cfRule>
    <cfRule type="cellIs" dxfId="8" priority="13" operator="equal">
      <formula>"N/A"</formula>
    </cfRule>
  </conditionalFormatting>
  <conditionalFormatting sqref="D11:I11">
    <cfRule type="cellIs" dxfId="7" priority="8" operator="equal">
      <formula>"N/A"</formula>
    </cfRule>
  </conditionalFormatting>
  <conditionalFormatting sqref="D9">
    <cfRule type="cellIs" dxfId="6" priority="1" operator="equal">
      <formula>" """""</formula>
    </cfRule>
    <cfRule type="cellIs" dxfId="5" priority="2" operator="equal">
      <formula>"N/A"</formula>
    </cfRule>
    <cfRule type="cellIs" dxfId="4" priority="3" operator="equal">
      <formula>"N/A"</formula>
    </cfRule>
  </conditionalFormatting>
  <dataValidations count="4">
    <dataValidation type="list" showInputMessage="1" showErrorMessage="1" sqref="D18" xr:uid="{00000000-0002-0000-0600-000000000000}">
      <formula1>PVB_Source</formula1>
    </dataValidation>
    <dataValidation type="list" showInputMessage="1" showErrorMessage="1" sqref="D5" xr:uid="{00000000-0002-0000-0600-000001000000}">
      <formula1>Yes_no</formula1>
    </dataValidation>
    <dataValidation type="list" allowBlank="1" showInputMessage="1" showErrorMessage="1" sqref="D59" xr:uid="{00000000-0002-0000-0600-000002000000}">
      <formula1>RAGGG</formula1>
    </dataValidation>
    <dataValidation type="list" allowBlank="1" showInputMessage="1" showErrorMessage="1" sqref="D37" xr:uid="{00000000-0002-0000-0600-000003000000}">
      <formula1>VFM</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sheetPr>
  <dimension ref="A2:CF251"/>
  <sheetViews>
    <sheetView topLeftCell="D1" workbookViewId="0">
      <selection activeCell="I38" sqref="I38"/>
    </sheetView>
  </sheetViews>
  <sheetFormatPr defaultColWidth="9.1796875" defaultRowHeight="15.5"/>
  <cols>
    <col min="1" max="2" width="4.7265625" style="360" customWidth="1"/>
    <col min="3" max="3" width="8.54296875" style="360" customWidth="1"/>
    <col min="4" max="4" width="23" style="378" customWidth="1"/>
    <col min="5" max="6" width="9.1796875" style="378" customWidth="1"/>
    <col min="7" max="10" width="9.1796875" style="378"/>
    <col min="11" max="11" width="9.1796875" style="378" customWidth="1"/>
    <col min="12" max="23" width="9.1796875" style="378"/>
    <col min="24" max="24" width="9.1796875" style="378" customWidth="1"/>
    <col min="25" max="16384" width="9.1796875" style="378"/>
  </cols>
  <sheetData>
    <row r="2" spans="1:17">
      <c r="A2" s="360" t="s">
        <v>236</v>
      </c>
      <c r="D2" s="360"/>
      <c r="P2" s="378" t="s">
        <v>237</v>
      </c>
    </row>
    <row r="3" spans="1:17">
      <c r="B3" s="360" t="s">
        <v>238</v>
      </c>
      <c r="D3" s="360"/>
    </row>
    <row r="4" spans="1:17">
      <c r="C4" s="360" t="s">
        <v>162</v>
      </c>
      <c r="D4" s="362"/>
      <c r="P4" s="964"/>
      <c r="Q4" s="378" t="s">
        <v>239</v>
      </c>
    </row>
    <row r="5" spans="1:17">
      <c r="D5" s="380" t="s">
        <v>240</v>
      </c>
      <c r="E5" s="951">
        <f>AverageSpeed</f>
        <v>0</v>
      </c>
    </row>
    <row r="6" spans="1:17">
      <c r="D6" s="380" t="s">
        <v>241</v>
      </c>
      <c r="E6" s="951">
        <f>AverageSpeed</f>
        <v>0</v>
      </c>
    </row>
    <row r="7" spans="1:17">
      <c r="D7" s="380" t="s">
        <v>242</v>
      </c>
      <c r="E7" s="951">
        <f>AverageSpeed</f>
        <v>0</v>
      </c>
    </row>
    <row r="8" spans="1:17">
      <c r="D8" s="380" t="s">
        <v>243</v>
      </c>
      <c r="E8" s="951">
        <f>AverageSpeed</f>
        <v>0</v>
      </c>
    </row>
    <row r="10" spans="1:17">
      <c r="C10" s="360" t="s">
        <v>143</v>
      </c>
    </row>
    <row r="11" spans="1:17">
      <c r="D11" s="380" t="s">
        <v>143</v>
      </c>
      <c r="E11" s="951">
        <f>Scheme_Length</f>
        <v>0</v>
      </c>
    </row>
    <row r="13" spans="1:17">
      <c r="C13" s="360" t="s">
        <v>244</v>
      </c>
      <c r="D13" s="360"/>
    </row>
    <row r="14" spans="1:17">
      <c r="D14" s="380" t="s">
        <v>101</v>
      </c>
      <c r="E14" s="951">
        <f>'Proforma Scrutiny'!D25</f>
        <v>0</v>
      </c>
    </row>
    <row r="15" spans="1:17">
      <c r="D15" s="380" t="s">
        <v>102</v>
      </c>
      <c r="E15" s="951">
        <f>'Proforma Scrutiny'!D26</f>
        <v>0</v>
      </c>
    </row>
    <row r="16" spans="1:17">
      <c r="D16" s="380" t="s">
        <v>103</v>
      </c>
      <c r="E16" s="951">
        <f>'Proforma Scrutiny'!D27</f>
        <v>0</v>
      </c>
    </row>
    <row r="18" spans="2:20">
      <c r="C18" s="360" t="s">
        <v>245</v>
      </c>
      <c r="D18" s="360"/>
    </row>
    <row r="19" spans="2:20">
      <c r="D19" s="380" t="s">
        <v>87</v>
      </c>
      <c r="E19" s="951">
        <f>'Proforma Scrutiny'!D18</f>
        <v>0</v>
      </c>
    </row>
    <row r="20" spans="2:20">
      <c r="D20" s="380" t="s">
        <v>89</v>
      </c>
      <c r="E20" s="951">
        <f>'Proforma Scrutiny'!D19</f>
        <v>0</v>
      </c>
    </row>
    <row r="21" spans="2:20">
      <c r="D21" s="380" t="s">
        <v>91</v>
      </c>
      <c r="E21" s="951">
        <f>'Proforma Scrutiny'!D20</f>
        <v>0</v>
      </c>
    </row>
    <row r="22" spans="2:20">
      <c r="D22" s="380" t="s">
        <v>93</v>
      </c>
      <c r="E22" s="951">
        <f>'Proforma Scrutiny'!D21</f>
        <v>0</v>
      </c>
    </row>
    <row r="26" spans="2:20">
      <c r="B26" s="360" t="s">
        <v>246</v>
      </c>
    </row>
    <row r="27" spans="2:20">
      <c r="C27" s="360" t="s">
        <v>247</v>
      </c>
    </row>
    <row r="28" spans="2:20">
      <c r="C28" s="378"/>
      <c r="D28" s="365"/>
    </row>
    <row r="29" spans="2:20">
      <c r="D29" s="707" t="s">
        <v>248</v>
      </c>
      <c r="E29" s="708" t="s">
        <v>249</v>
      </c>
      <c r="F29" s="708" t="s">
        <v>89</v>
      </c>
      <c r="G29" s="708" t="s">
        <v>91</v>
      </c>
      <c r="H29" s="709" t="s">
        <v>93</v>
      </c>
      <c r="J29" s="710"/>
      <c r="K29" s="710"/>
      <c r="L29" s="710"/>
      <c r="M29" s="710"/>
      <c r="N29" s="710"/>
      <c r="P29" s="710"/>
      <c r="Q29" s="710"/>
      <c r="R29" s="710"/>
      <c r="S29" s="710"/>
      <c r="T29" s="710"/>
    </row>
    <row r="30" spans="2:20">
      <c r="D30" s="711" t="s">
        <v>101</v>
      </c>
      <c r="E30" s="712">
        <f>'HDM-4 Output'!E56</f>
        <v>4.4169029894416609E-2</v>
      </c>
      <c r="F30" s="713">
        <f>'HDM-4 Output'!F56</f>
        <v>8.2332999607286669E-2</v>
      </c>
      <c r="G30" s="713">
        <f>'HDM-4 Output'!G56</f>
        <v>0.12387112593774739</v>
      </c>
      <c r="H30" s="714">
        <f>'HDM-4 Output'!H56</f>
        <v>0.11035979956019779</v>
      </c>
      <c r="J30" s="710"/>
      <c r="K30" s="710"/>
      <c r="L30" s="710"/>
      <c r="M30" s="710"/>
      <c r="N30" s="710"/>
      <c r="P30" s="710"/>
      <c r="Q30" s="715"/>
      <c r="R30" s="715"/>
      <c r="S30" s="715"/>
      <c r="T30" s="715"/>
    </row>
    <row r="31" spans="2:20">
      <c r="D31" s="711" t="s">
        <v>102</v>
      </c>
      <c r="E31" s="716">
        <f>'HDM-4 Output'!E57</f>
        <v>2.6202890278560223E-2</v>
      </c>
      <c r="F31" s="715">
        <f>'HDM-4 Output'!F57</f>
        <v>4.7977223428986214E-2</v>
      </c>
      <c r="G31" s="715">
        <f>'HDM-4 Output'!G57</f>
        <v>7.4103371697194109E-2</v>
      </c>
      <c r="H31" s="717">
        <f>'HDM-4 Output'!H57</f>
        <v>5.9439807459035682E-2</v>
      </c>
      <c r="J31" s="710"/>
      <c r="K31" s="710"/>
      <c r="L31" s="710"/>
      <c r="M31" s="710"/>
      <c r="N31" s="710"/>
      <c r="P31" s="710"/>
      <c r="Q31" s="715"/>
      <c r="R31" s="715"/>
      <c r="S31" s="715"/>
      <c r="T31" s="715"/>
    </row>
    <row r="32" spans="2:20">
      <c r="D32" s="718" t="s">
        <v>103</v>
      </c>
      <c r="E32" s="719">
        <f>'HDM-4 Output'!E58</f>
        <v>4.0998252087120724E-3</v>
      </c>
      <c r="F32" s="720">
        <f>'HDM-4 Output'!F58</f>
        <v>6.4528596557594971E-3</v>
      </c>
      <c r="G32" s="720">
        <f>'HDM-4 Output'!G58</f>
        <v>8.4113031060293001E-3</v>
      </c>
      <c r="H32" s="721">
        <f>'HDM-4 Output'!H58</f>
        <v>6.0280960095762497E-3</v>
      </c>
      <c r="J32" s="710"/>
      <c r="K32" s="710"/>
      <c r="L32" s="710"/>
      <c r="M32" s="710"/>
      <c r="N32" s="710"/>
      <c r="P32" s="710"/>
      <c r="Q32" s="715"/>
      <c r="R32" s="715"/>
      <c r="S32" s="715"/>
      <c r="T32" s="715"/>
    </row>
    <row r="33" spans="3:14">
      <c r="D33" s="710"/>
      <c r="E33" s="715"/>
      <c r="F33" s="715"/>
      <c r="G33" s="715"/>
      <c r="H33" s="715"/>
      <c r="J33" s="710"/>
      <c r="K33" s="710"/>
      <c r="L33" s="710"/>
      <c r="M33" s="710"/>
      <c r="N33" s="710"/>
    </row>
    <row r="34" spans="3:14">
      <c r="D34" s="707" t="str">
        <f t="array" ref="D34:H39">TRANSPOSE(D29:H32)</f>
        <v>SCANNER category</v>
      </c>
      <c r="E34" s="722" t="str">
        <v>Red</v>
      </c>
      <c r="F34" s="722" t="str">
        <v>Amber</v>
      </c>
      <c r="G34" s="722" t="str">
        <v>Green</v>
      </c>
      <c r="H34" s="715" t="e">
        <v>#N/A</v>
      </c>
      <c r="J34" s="710"/>
      <c r="K34" s="710"/>
      <c r="L34" s="710"/>
      <c r="M34" s="710"/>
      <c r="N34" s="710"/>
    </row>
    <row r="35" spans="3:14">
      <c r="D35" s="707" t="str">
        <v>Car</v>
      </c>
      <c r="E35" s="722">
        <v>4.4169029894416609E-2</v>
      </c>
      <c r="F35" s="722">
        <v>2.6202890278560223E-2</v>
      </c>
      <c r="G35" s="722">
        <v>4.0998252087120724E-3</v>
      </c>
      <c r="H35" s="715" t="e">
        <v>#N/A</v>
      </c>
      <c r="J35" s="710"/>
      <c r="K35" s="710"/>
      <c r="L35" s="710"/>
      <c r="M35" s="710"/>
      <c r="N35" s="710"/>
    </row>
    <row r="36" spans="3:14">
      <c r="D36" s="707" t="str">
        <v>LGV</v>
      </c>
      <c r="E36" s="722">
        <v>8.2332999607286669E-2</v>
      </c>
      <c r="F36" s="722">
        <v>4.7977223428986214E-2</v>
      </c>
      <c r="G36" s="722">
        <v>6.4528596557594971E-3</v>
      </c>
      <c r="H36" s="715" t="e">
        <v>#N/A</v>
      </c>
      <c r="J36" s="710"/>
      <c r="K36" s="710"/>
      <c r="L36" s="710"/>
      <c r="M36" s="710"/>
      <c r="N36" s="710"/>
    </row>
    <row r="37" spans="3:14">
      <c r="D37" s="707" t="str">
        <v>HGV</v>
      </c>
      <c r="E37" s="722">
        <v>0.12387112593774739</v>
      </c>
      <c r="F37" s="722">
        <v>7.4103371697194109E-2</v>
      </c>
      <c r="G37" s="722">
        <v>8.4113031060293001E-3</v>
      </c>
      <c r="H37" s="715" t="e">
        <v>#N/A</v>
      </c>
      <c r="J37" s="710"/>
      <c r="K37" s="710"/>
      <c r="L37" s="710"/>
      <c r="M37" s="710"/>
      <c r="N37" s="710"/>
    </row>
    <row r="38" spans="3:14">
      <c r="D38" s="707" t="str">
        <v>PSV</v>
      </c>
      <c r="E38" s="722">
        <v>0.11035979956019779</v>
      </c>
      <c r="F38" s="722">
        <v>5.9439807459035682E-2</v>
      </c>
      <c r="G38" s="722">
        <v>6.0280960095762497E-3</v>
      </c>
      <c r="H38" s="715" t="e">
        <v>#N/A</v>
      </c>
      <c r="J38" s="710"/>
      <c r="K38" s="710"/>
      <c r="L38" s="710"/>
      <c r="M38" s="710"/>
      <c r="N38" s="710"/>
    </row>
    <row r="39" spans="3:14">
      <c r="D39" s="710" t="e">
        <v>#N/A</v>
      </c>
      <c r="E39" s="715" t="e">
        <v>#N/A</v>
      </c>
      <c r="F39" s="715" t="e">
        <v>#N/A</v>
      </c>
      <c r="G39" s="715" t="e">
        <v>#N/A</v>
      </c>
      <c r="H39" s="378" t="e">
        <v>#N/A</v>
      </c>
      <c r="K39" s="715"/>
      <c r="L39" s="715"/>
      <c r="M39" s="715"/>
    </row>
    <row r="40" spans="3:14">
      <c r="E40" s="723"/>
      <c r="F40" s="723"/>
      <c r="G40" s="723"/>
    </row>
    <row r="41" spans="3:14">
      <c r="C41" s="360" t="s">
        <v>250</v>
      </c>
      <c r="D41" s="365"/>
    </row>
    <row r="42" spans="3:14">
      <c r="D42" s="365"/>
    </row>
    <row r="43" spans="3:14">
      <c r="D43" s="707" t="s">
        <v>248</v>
      </c>
      <c r="E43" s="724" t="s">
        <v>249</v>
      </c>
      <c r="F43" s="724" t="s">
        <v>89</v>
      </c>
      <c r="G43" s="724" t="s">
        <v>91</v>
      </c>
      <c r="H43" s="725" t="s">
        <v>93</v>
      </c>
    </row>
    <row r="44" spans="3:14">
      <c r="D44" s="726" t="s">
        <v>101</v>
      </c>
      <c r="E44" s="712">
        <f>'HDM-4 Output'!I56</f>
        <v>-5.5241744993968403E-2</v>
      </c>
      <c r="F44" s="713">
        <f>'HDM-4 Output'!J56</f>
        <v>-5.6563565204798452E-2</v>
      </c>
      <c r="G44" s="713">
        <f>'HDM-4 Output'!K56</f>
        <v>-2.4694205427436191E-2</v>
      </c>
      <c r="H44" s="714">
        <f>'HDM-4 Output'!L56</f>
        <v>-5.7295845577879846E-2</v>
      </c>
    </row>
    <row r="45" spans="3:14">
      <c r="D45" s="726" t="s">
        <v>102</v>
      </c>
      <c r="E45" s="716">
        <f>'HDM-4 Output'!I57</f>
        <v>-1.830013246152146E-2</v>
      </c>
      <c r="F45" s="715">
        <f>'HDM-4 Output'!J57</f>
        <v>-2.5211549596463993E-2</v>
      </c>
      <c r="G45" s="715">
        <f>'HDM-4 Output'!K57</f>
        <v>-4.7329579189895853E-3</v>
      </c>
      <c r="H45" s="717">
        <f>'HDM-4 Output'!L57</f>
        <v>-2.6176958507160279E-2</v>
      </c>
    </row>
    <row r="46" spans="3:14">
      <c r="D46" s="727" t="s">
        <v>103</v>
      </c>
      <c r="E46" s="719">
        <f>'HDM-4 Output'!I58</f>
        <v>-2.2628288030427527E-3</v>
      </c>
      <c r="F46" s="720">
        <f>'HDM-4 Output'!J58</f>
        <v>-5.2684885426160224E-3</v>
      </c>
      <c r="G46" s="720">
        <f>'HDM-4 Output'!K58</f>
        <v>-3.1078387361459589E-4</v>
      </c>
      <c r="H46" s="721">
        <f>'HDM-4 Output'!L58</f>
        <v>-5.8290364829706827E-3</v>
      </c>
    </row>
    <row r="47" spans="3:14">
      <c r="D47" s="710"/>
      <c r="E47" s="715"/>
      <c r="F47" s="715"/>
      <c r="G47" s="715"/>
      <c r="H47" s="715"/>
    </row>
    <row r="48" spans="3:14">
      <c r="D48" s="707" t="str">
        <f t="array" ref="D48:G52">TRANSPOSE(D43:H46)</f>
        <v>SCANNER category</v>
      </c>
      <c r="E48" s="722" t="str">
        <v>Red</v>
      </c>
      <c r="F48" s="722" t="str">
        <v>Amber</v>
      </c>
      <c r="G48" s="722" t="str">
        <v>Green</v>
      </c>
      <c r="H48" s="715"/>
    </row>
    <row r="49" spans="3:8">
      <c r="D49" s="707" t="str">
        <v>Car</v>
      </c>
      <c r="E49" s="722">
        <v>-5.5241744993968403E-2</v>
      </c>
      <c r="F49" s="722">
        <v>-1.830013246152146E-2</v>
      </c>
      <c r="G49" s="722">
        <v>-2.2628288030427527E-3</v>
      </c>
      <c r="H49" s="715"/>
    </row>
    <row r="50" spans="3:8">
      <c r="D50" s="707" t="str">
        <v>LGV</v>
      </c>
      <c r="E50" s="722">
        <v>-5.6563565204798452E-2</v>
      </c>
      <c r="F50" s="722">
        <v>-2.5211549596463993E-2</v>
      </c>
      <c r="G50" s="722">
        <v>-5.2684885426160224E-3</v>
      </c>
      <c r="H50" s="715"/>
    </row>
    <row r="51" spans="3:8">
      <c r="D51" s="707" t="str">
        <v>HGV</v>
      </c>
      <c r="E51" s="722">
        <v>-2.4694205427436191E-2</v>
      </c>
      <c r="F51" s="722">
        <v>-4.7329579189895853E-3</v>
      </c>
      <c r="G51" s="722">
        <v>-3.1078387361459589E-4</v>
      </c>
      <c r="H51" s="715"/>
    </row>
    <row r="52" spans="3:8">
      <c r="D52" s="707" t="str">
        <v>PSV</v>
      </c>
      <c r="E52" s="722">
        <v>-5.7295845577879846E-2</v>
      </c>
      <c r="F52" s="722">
        <v>-2.6176958507160279E-2</v>
      </c>
      <c r="G52" s="722">
        <v>-5.8290364829706827E-3</v>
      </c>
      <c r="H52" s="715"/>
    </row>
    <row r="53" spans="3:8">
      <c r="D53" s="710"/>
      <c r="E53" s="715"/>
      <c r="F53" s="715"/>
      <c r="G53" s="715"/>
      <c r="H53" s="715"/>
    </row>
    <row r="54" spans="3:8">
      <c r="E54" s="723"/>
      <c r="F54" s="723"/>
      <c r="G54" s="723"/>
    </row>
    <row r="55" spans="3:8">
      <c r="C55" s="360" t="s">
        <v>251</v>
      </c>
      <c r="E55" s="723"/>
      <c r="F55" s="723"/>
      <c r="G55" s="723"/>
    </row>
    <row r="56" spans="3:8">
      <c r="E56" s="723"/>
      <c r="F56" s="723"/>
      <c r="G56" s="723"/>
    </row>
    <row r="57" spans="3:8">
      <c r="D57" s="707" t="s">
        <v>248</v>
      </c>
      <c r="E57" s="724" t="s">
        <v>249</v>
      </c>
      <c r="F57" s="724" t="s">
        <v>89</v>
      </c>
      <c r="G57" s="724" t="s">
        <v>91</v>
      </c>
      <c r="H57" s="725" t="s">
        <v>93</v>
      </c>
    </row>
    <row r="58" spans="3:8">
      <c r="D58" s="726" t="s">
        <v>101</v>
      </c>
      <c r="E58" s="712">
        <f>'HDM-4 Output'!M56</f>
        <v>-1.6687172898666242E-2</v>
      </c>
      <c r="F58" s="713">
        <f>'HDM-4 Output'!N56</f>
        <v>-1.5185617479247949E-2</v>
      </c>
      <c r="G58" s="713">
        <f>'HDM-4 Output'!O56</f>
        <v>2.0906712447868292E-2</v>
      </c>
      <c r="H58" s="714">
        <f>'HDM-4 Output'!P56</f>
        <v>-9.5866619819027516E-3</v>
      </c>
    </row>
    <row r="59" spans="3:8">
      <c r="D59" s="726" t="s">
        <v>102</v>
      </c>
      <c r="E59" s="716">
        <f>'HDM-4 Output'!M57</f>
        <v>6.4037332948783891E-3</v>
      </c>
      <c r="F59" s="715">
        <f>'HDM-4 Output'!N57</f>
        <v>6.1502766324150401E-3</v>
      </c>
      <c r="G59" s="715">
        <f>'HDM-4 Output'!O57</f>
        <v>2.8273227328004802E-2</v>
      </c>
      <c r="H59" s="717">
        <f>'HDM-4 Output'!P57</f>
        <v>9.2479804274487008E-3</v>
      </c>
    </row>
    <row r="60" spans="3:8">
      <c r="D60" s="727" t="s">
        <v>103</v>
      </c>
      <c r="E60" s="719">
        <f>'HDM-4 Output'!M58</f>
        <v>7.9267664944022743E-3</v>
      </c>
      <c r="F60" s="720">
        <f>'HDM-4 Output'!N58</f>
        <v>8.9414606710027933E-3</v>
      </c>
      <c r="G60" s="720">
        <f>'HDM-4 Output'!O58</f>
        <v>1.4131101143211868E-2</v>
      </c>
      <c r="H60" s="721">
        <f>'HDM-4 Output'!P58</f>
        <v>9.9031659439643132E-3</v>
      </c>
    </row>
    <row r="61" spans="3:8">
      <c r="D61" s="710"/>
      <c r="E61" s="715"/>
      <c r="F61" s="715"/>
      <c r="G61" s="715"/>
      <c r="H61" s="715"/>
    </row>
    <row r="62" spans="3:8">
      <c r="D62" s="707" t="str">
        <f t="array" ref="D62:G66">TRANSPOSE(D57:H60)</f>
        <v>SCANNER category</v>
      </c>
      <c r="E62" s="722" t="str">
        <v>Red</v>
      </c>
      <c r="F62" s="722" t="str">
        <v>Amber</v>
      </c>
      <c r="G62" s="722" t="str">
        <v>Green</v>
      </c>
      <c r="H62" s="715"/>
    </row>
    <row r="63" spans="3:8">
      <c r="D63" s="707" t="str">
        <v>Car</v>
      </c>
      <c r="E63" s="722">
        <v>-1.6687172898666242E-2</v>
      </c>
      <c r="F63" s="722">
        <v>6.4037332948783891E-3</v>
      </c>
      <c r="G63" s="722">
        <v>7.9267664944022743E-3</v>
      </c>
      <c r="H63" s="715"/>
    </row>
    <row r="64" spans="3:8">
      <c r="D64" s="707" t="str">
        <v>LGV</v>
      </c>
      <c r="E64" s="722">
        <v>-1.5185617479247949E-2</v>
      </c>
      <c r="F64" s="722">
        <v>6.1502766324150401E-3</v>
      </c>
      <c r="G64" s="722">
        <v>8.9414606710027933E-3</v>
      </c>
      <c r="H64" s="715"/>
    </row>
    <row r="65" spans="1:84">
      <c r="D65" s="707" t="str">
        <v>HGV</v>
      </c>
      <c r="E65" s="722">
        <v>2.0906712447868292E-2</v>
      </c>
      <c r="F65" s="722">
        <v>2.8273227328004802E-2</v>
      </c>
      <c r="G65" s="722">
        <v>1.4131101143211868E-2</v>
      </c>
      <c r="H65" s="715"/>
    </row>
    <row r="66" spans="1:84">
      <c r="D66" s="707" t="str">
        <v>PSV</v>
      </c>
      <c r="E66" s="722">
        <v>-9.5866619819027516E-3</v>
      </c>
      <c r="F66" s="722">
        <v>9.2479804274487008E-3</v>
      </c>
      <c r="G66" s="722">
        <v>9.9031659439643132E-3</v>
      </c>
      <c r="H66" s="715"/>
    </row>
    <row r="67" spans="1:84">
      <c r="D67" s="710"/>
      <c r="E67" s="715"/>
      <c r="F67" s="715"/>
      <c r="G67" s="715"/>
      <c r="H67" s="715"/>
    </row>
    <row r="69" spans="1:84">
      <c r="A69" s="360" t="s">
        <v>252</v>
      </c>
      <c r="B69" s="378"/>
    </row>
    <row r="70" spans="1:84">
      <c r="A70" s="378"/>
      <c r="B70" s="360" t="s">
        <v>253</v>
      </c>
    </row>
    <row r="71" spans="1:84">
      <c r="A71" s="378"/>
    </row>
    <row r="72" spans="1:84">
      <c r="C72" s="360" t="s">
        <v>254</v>
      </c>
    </row>
    <row r="73" spans="1:84" s="360" customFormat="1">
      <c r="D73" s="728" t="s">
        <v>255</v>
      </c>
      <c r="E73" s="728">
        <v>2010</v>
      </c>
      <c r="F73" s="728">
        <v>2011</v>
      </c>
      <c r="G73" s="728">
        <v>2012</v>
      </c>
      <c r="H73" s="728">
        <v>2013</v>
      </c>
      <c r="I73" s="728">
        <v>2014</v>
      </c>
      <c r="J73" s="728">
        <v>2015</v>
      </c>
      <c r="K73" s="728">
        <v>2016</v>
      </c>
      <c r="L73" s="728">
        <v>2017</v>
      </c>
      <c r="M73" s="728">
        <v>2018</v>
      </c>
      <c r="N73" s="728">
        <v>2019</v>
      </c>
      <c r="O73" s="728">
        <v>2020</v>
      </c>
      <c r="P73" s="728">
        <v>2021</v>
      </c>
      <c r="Q73" s="728">
        <v>2022</v>
      </c>
      <c r="R73" s="728">
        <v>2023</v>
      </c>
      <c r="S73" s="728">
        <v>2024</v>
      </c>
      <c r="T73" s="728">
        <v>2025</v>
      </c>
      <c r="U73" s="728">
        <v>2026</v>
      </c>
      <c r="V73" s="728">
        <v>2027</v>
      </c>
      <c r="W73" s="728">
        <v>2028</v>
      </c>
      <c r="X73" s="728">
        <v>2029</v>
      </c>
      <c r="Y73" s="728">
        <v>2030</v>
      </c>
      <c r="Z73" s="728">
        <v>2031</v>
      </c>
      <c r="AA73" s="728">
        <v>2032</v>
      </c>
      <c r="AB73" s="728">
        <v>2033</v>
      </c>
      <c r="AC73" s="728">
        <v>2034</v>
      </c>
      <c r="AD73" s="728">
        <v>2035</v>
      </c>
      <c r="AE73" s="728">
        <v>2036</v>
      </c>
      <c r="AF73" s="728">
        <v>2037</v>
      </c>
      <c r="AG73" s="728">
        <v>2038</v>
      </c>
      <c r="AH73" s="728">
        <v>2039</v>
      </c>
      <c r="AI73" s="728">
        <v>2040</v>
      </c>
      <c r="AJ73" s="728">
        <v>2041</v>
      </c>
      <c r="AK73" s="728">
        <v>2042</v>
      </c>
      <c r="AL73" s="728">
        <v>2043</v>
      </c>
      <c r="AM73" s="728">
        <v>2044</v>
      </c>
      <c r="AN73" s="728">
        <v>2045</v>
      </c>
      <c r="AO73" s="728">
        <v>2046</v>
      </c>
      <c r="AP73" s="728">
        <v>2047</v>
      </c>
      <c r="AQ73" s="728">
        <v>2048</v>
      </c>
      <c r="AR73" s="728">
        <v>2049</v>
      </c>
      <c r="AS73" s="728">
        <v>2050</v>
      </c>
      <c r="AT73" s="728">
        <v>2051</v>
      </c>
      <c r="AU73" s="728">
        <v>2052</v>
      </c>
      <c r="AV73" s="728">
        <v>2053</v>
      </c>
      <c r="AW73" s="728">
        <v>2054</v>
      </c>
      <c r="AX73" s="728">
        <v>2055</v>
      </c>
      <c r="AY73" s="728">
        <v>2056</v>
      </c>
      <c r="AZ73" s="728">
        <v>2057</v>
      </c>
      <c r="BA73" s="728">
        <v>2058</v>
      </c>
      <c r="BB73" s="728">
        <v>2059</v>
      </c>
      <c r="BC73" s="728">
        <v>2060</v>
      </c>
      <c r="BD73" s="728">
        <v>2061</v>
      </c>
      <c r="BE73" s="728">
        <v>2062</v>
      </c>
      <c r="BF73" s="728">
        <v>2063</v>
      </c>
      <c r="BG73" s="728">
        <v>2064</v>
      </c>
      <c r="BH73" s="728">
        <v>2065</v>
      </c>
      <c r="BI73" s="728">
        <v>2066</v>
      </c>
      <c r="BJ73" s="728">
        <v>2067</v>
      </c>
      <c r="BK73" s="728">
        <v>2068</v>
      </c>
      <c r="BL73" s="728">
        <v>2069</v>
      </c>
      <c r="BM73" s="728">
        <v>2070</v>
      </c>
      <c r="BN73" s="728">
        <v>2071</v>
      </c>
      <c r="BO73" s="728">
        <v>2072</v>
      </c>
      <c r="BP73" s="728">
        <v>2073</v>
      </c>
      <c r="BQ73" s="728">
        <v>2074</v>
      </c>
      <c r="BR73" s="728">
        <v>2075</v>
      </c>
      <c r="BS73" s="728">
        <v>2076</v>
      </c>
      <c r="BT73" s="728">
        <v>2077</v>
      </c>
      <c r="BU73" s="728">
        <v>2078</v>
      </c>
      <c r="BV73" s="728">
        <v>2079</v>
      </c>
      <c r="BW73" s="728">
        <v>2080</v>
      </c>
      <c r="BX73" s="728">
        <v>2081</v>
      </c>
      <c r="BY73" s="728">
        <v>2082</v>
      </c>
      <c r="BZ73" s="728">
        <v>2083</v>
      </c>
      <c r="CA73" s="728">
        <v>2084</v>
      </c>
      <c r="CB73" s="728">
        <v>2085</v>
      </c>
      <c r="CC73" s="728">
        <v>2086</v>
      </c>
      <c r="CD73" s="728">
        <v>2087</v>
      </c>
      <c r="CE73" s="728">
        <v>2088</v>
      </c>
      <c r="CF73" s="728">
        <v>2089</v>
      </c>
    </row>
    <row r="74" spans="1:84">
      <c r="D74" s="364" t="s">
        <v>87</v>
      </c>
      <c r="E74" s="380" t="e">
        <f>((VLOOKUP(E73, voc_work,15,FALSE)) + (VLOOKUP(E73, voc_work,16,0))*$E$5 + (VLOOKUP(E73, voc_work,17,0))*$E$5^2 + (VLOOKUP(E73, voc_work,18,0))*$E$5^3)/$E$5</f>
        <v>#DIV/0!</v>
      </c>
      <c r="F74" s="380" t="e">
        <f t="shared" ref="F74:AJ74" si="0">((VLOOKUP(F73, voc_work,15,FALSE)) + (VLOOKUP(F73, voc_work,16,0))*$E$5 + (VLOOKUP(F73, voc_work,17,0))*$E$5^2 + (VLOOKUP(F73, voc_work,18,0))*$E$5^3)/$E$5</f>
        <v>#DIV/0!</v>
      </c>
      <c r="G74" s="380" t="e">
        <f t="shared" si="0"/>
        <v>#DIV/0!</v>
      </c>
      <c r="H74" s="380" t="e">
        <f t="shared" si="0"/>
        <v>#DIV/0!</v>
      </c>
      <c r="I74" s="380" t="e">
        <f t="shared" si="0"/>
        <v>#DIV/0!</v>
      </c>
      <c r="J74" s="380" t="e">
        <f t="shared" si="0"/>
        <v>#DIV/0!</v>
      </c>
      <c r="K74" s="380" t="e">
        <f t="shared" si="0"/>
        <v>#DIV/0!</v>
      </c>
      <c r="L74" s="380" t="e">
        <f t="shared" si="0"/>
        <v>#DIV/0!</v>
      </c>
      <c r="M74" s="380" t="e">
        <f t="shared" si="0"/>
        <v>#DIV/0!</v>
      </c>
      <c r="N74" s="380" t="e">
        <f t="shared" si="0"/>
        <v>#DIV/0!</v>
      </c>
      <c r="O74" s="380" t="e">
        <f t="shared" si="0"/>
        <v>#DIV/0!</v>
      </c>
      <c r="P74" s="380" t="e">
        <f t="shared" si="0"/>
        <v>#DIV/0!</v>
      </c>
      <c r="Q74" s="380" t="e">
        <f t="shared" si="0"/>
        <v>#DIV/0!</v>
      </c>
      <c r="R74" s="380" t="e">
        <f t="shared" si="0"/>
        <v>#DIV/0!</v>
      </c>
      <c r="S74" s="380" t="e">
        <f t="shared" si="0"/>
        <v>#DIV/0!</v>
      </c>
      <c r="T74" s="380" t="e">
        <f t="shared" si="0"/>
        <v>#DIV/0!</v>
      </c>
      <c r="U74" s="380" t="e">
        <f t="shared" si="0"/>
        <v>#DIV/0!</v>
      </c>
      <c r="V74" s="380" t="e">
        <f t="shared" si="0"/>
        <v>#DIV/0!</v>
      </c>
      <c r="W74" s="380" t="e">
        <f t="shared" si="0"/>
        <v>#DIV/0!</v>
      </c>
      <c r="X74" s="380" t="e">
        <f t="shared" si="0"/>
        <v>#DIV/0!</v>
      </c>
      <c r="Y74" s="380" t="e">
        <f t="shared" si="0"/>
        <v>#DIV/0!</v>
      </c>
      <c r="Z74" s="380" t="e">
        <f t="shared" si="0"/>
        <v>#DIV/0!</v>
      </c>
      <c r="AA74" s="380" t="e">
        <f t="shared" si="0"/>
        <v>#DIV/0!</v>
      </c>
      <c r="AB74" s="380" t="e">
        <f t="shared" si="0"/>
        <v>#DIV/0!</v>
      </c>
      <c r="AC74" s="380" t="e">
        <f t="shared" si="0"/>
        <v>#DIV/0!</v>
      </c>
      <c r="AD74" s="380" t="e">
        <f t="shared" si="0"/>
        <v>#DIV/0!</v>
      </c>
      <c r="AE74" s="380" t="e">
        <f t="shared" si="0"/>
        <v>#DIV/0!</v>
      </c>
      <c r="AF74" s="380" t="e">
        <f t="shared" si="0"/>
        <v>#DIV/0!</v>
      </c>
      <c r="AG74" s="380" t="e">
        <f t="shared" si="0"/>
        <v>#DIV/0!</v>
      </c>
      <c r="AH74" s="380" t="e">
        <f t="shared" si="0"/>
        <v>#DIV/0!</v>
      </c>
      <c r="AI74" s="380" t="e">
        <f t="shared" si="0"/>
        <v>#DIV/0!</v>
      </c>
      <c r="AJ74" s="380" t="e">
        <f t="shared" si="0"/>
        <v>#DIV/0!</v>
      </c>
      <c r="AK74" s="380" t="e">
        <f t="shared" ref="AK74:BP74" si="1">((VLOOKUP(AK73, voc_work,15,FALSE)) + (VLOOKUP(AK73, voc_work,16,0))*$E$5 + (VLOOKUP(AK73, voc_work,17,0))*$E$5^2 + (VLOOKUP(AK73, voc_work,18,0))*$E$5^3)/$E$5</f>
        <v>#DIV/0!</v>
      </c>
      <c r="AL74" s="380" t="e">
        <f t="shared" si="1"/>
        <v>#DIV/0!</v>
      </c>
      <c r="AM74" s="380" t="e">
        <f t="shared" si="1"/>
        <v>#DIV/0!</v>
      </c>
      <c r="AN74" s="380" t="e">
        <f t="shared" si="1"/>
        <v>#DIV/0!</v>
      </c>
      <c r="AO74" s="380" t="e">
        <f t="shared" si="1"/>
        <v>#DIV/0!</v>
      </c>
      <c r="AP74" s="380" t="e">
        <f t="shared" si="1"/>
        <v>#DIV/0!</v>
      </c>
      <c r="AQ74" s="380" t="e">
        <f t="shared" si="1"/>
        <v>#DIV/0!</v>
      </c>
      <c r="AR74" s="380" t="e">
        <f t="shared" si="1"/>
        <v>#DIV/0!</v>
      </c>
      <c r="AS74" s="380" t="e">
        <f t="shared" si="1"/>
        <v>#DIV/0!</v>
      </c>
      <c r="AT74" s="380" t="e">
        <f t="shared" si="1"/>
        <v>#DIV/0!</v>
      </c>
      <c r="AU74" s="380" t="e">
        <f t="shared" si="1"/>
        <v>#DIV/0!</v>
      </c>
      <c r="AV74" s="380" t="e">
        <f t="shared" si="1"/>
        <v>#DIV/0!</v>
      </c>
      <c r="AW74" s="380" t="e">
        <f t="shared" si="1"/>
        <v>#DIV/0!</v>
      </c>
      <c r="AX74" s="380" t="e">
        <f t="shared" si="1"/>
        <v>#DIV/0!</v>
      </c>
      <c r="AY74" s="380" t="e">
        <f t="shared" si="1"/>
        <v>#DIV/0!</v>
      </c>
      <c r="AZ74" s="380" t="e">
        <f t="shared" si="1"/>
        <v>#DIV/0!</v>
      </c>
      <c r="BA74" s="380" t="e">
        <f t="shared" si="1"/>
        <v>#DIV/0!</v>
      </c>
      <c r="BB74" s="380" t="e">
        <f t="shared" si="1"/>
        <v>#DIV/0!</v>
      </c>
      <c r="BC74" s="380" t="e">
        <f t="shared" si="1"/>
        <v>#DIV/0!</v>
      </c>
      <c r="BD74" s="380" t="e">
        <f t="shared" si="1"/>
        <v>#DIV/0!</v>
      </c>
      <c r="BE74" s="380" t="e">
        <f t="shared" si="1"/>
        <v>#DIV/0!</v>
      </c>
      <c r="BF74" s="380" t="e">
        <f t="shared" si="1"/>
        <v>#DIV/0!</v>
      </c>
      <c r="BG74" s="380" t="e">
        <f t="shared" si="1"/>
        <v>#DIV/0!</v>
      </c>
      <c r="BH74" s="380" t="e">
        <f t="shared" si="1"/>
        <v>#DIV/0!</v>
      </c>
      <c r="BI74" s="380" t="e">
        <f t="shared" si="1"/>
        <v>#DIV/0!</v>
      </c>
      <c r="BJ74" s="380" t="e">
        <f t="shared" si="1"/>
        <v>#DIV/0!</v>
      </c>
      <c r="BK74" s="380" t="e">
        <f t="shared" si="1"/>
        <v>#DIV/0!</v>
      </c>
      <c r="BL74" s="380" t="e">
        <f t="shared" si="1"/>
        <v>#DIV/0!</v>
      </c>
      <c r="BM74" s="380" t="e">
        <f t="shared" si="1"/>
        <v>#DIV/0!</v>
      </c>
      <c r="BN74" s="380" t="e">
        <f t="shared" si="1"/>
        <v>#DIV/0!</v>
      </c>
      <c r="BO74" s="380" t="e">
        <f t="shared" si="1"/>
        <v>#DIV/0!</v>
      </c>
      <c r="BP74" s="380" t="e">
        <f t="shared" si="1"/>
        <v>#DIV/0!</v>
      </c>
      <c r="BQ74" s="380" t="e">
        <f t="shared" ref="BQ74:CF74" si="2">((VLOOKUP(BQ73, voc_work,15,FALSE)) + (VLOOKUP(BQ73, voc_work,16,0))*$E$5 + (VLOOKUP(BQ73, voc_work,17,0))*$E$5^2 + (VLOOKUP(BQ73, voc_work,18,0))*$E$5^3)/$E$5</f>
        <v>#DIV/0!</v>
      </c>
      <c r="BR74" s="380" t="e">
        <f t="shared" si="2"/>
        <v>#DIV/0!</v>
      </c>
      <c r="BS74" s="380" t="e">
        <f t="shared" si="2"/>
        <v>#DIV/0!</v>
      </c>
      <c r="BT74" s="380" t="e">
        <f t="shared" si="2"/>
        <v>#DIV/0!</v>
      </c>
      <c r="BU74" s="380" t="e">
        <f t="shared" si="2"/>
        <v>#DIV/0!</v>
      </c>
      <c r="BV74" s="380" t="e">
        <f t="shared" si="2"/>
        <v>#DIV/0!</v>
      </c>
      <c r="BW74" s="380" t="e">
        <f t="shared" si="2"/>
        <v>#DIV/0!</v>
      </c>
      <c r="BX74" s="380" t="e">
        <f t="shared" si="2"/>
        <v>#DIV/0!</v>
      </c>
      <c r="BY74" s="380" t="e">
        <f t="shared" si="2"/>
        <v>#DIV/0!</v>
      </c>
      <c r="BZ74" s="380" t="e">
        <f t="shared" si="2"/>
        <v>#DIV/0!</v>
      </c>
      <c r="CA74" s="380" t="e">
        <f t="shared" si="2"/>
        <v>#DIV/0!</v>
      </c>
      <c r="CB74" s="380" t="e">
        <f t="shared" si="2"/>
        <v>#DIV/0!</v>
      </c>
      <c r="CC74" s="380" t="e">
        <f t="shared" si="2"/>
        <v>#DIV/0!</v>
      </c>
      <c r="CD74" s="380" t="e">
        <f t="shared" si="2"/>
        <v>#DIV/0!</v>
      </c>
      <c r="CE74" s="380" t="e">
        <f t="shared" si="2"/>
        <v>#DIV/0!</v>
      </c>
      <c r="CF74" s="380" t="e">
        <f t="shared" si="2"/>
        <v>#DIV/0!</v>
      </c>
    </row>
    <row r="75" spans="1:84">
      <c r="A75" s="360" t="s">
        <v>256</v>
      </c>
      <c r="D75" s="364" t="s">
        <v>89</v>
      </c>
      <c r="E75" s="380" t="e">
        <f>((VLOOKUP(E73, voc_work,31,FALSE)) + (VLOOKUP(E73, voc_work,32,0))*$E$6 + (VLOOKUP(E73, voc_work,33,0))*$E$6^2 + (VLOOKUP(E73, voc_work,34,0))*$E$6^3)/$E$6</f>
        <v>#DIV/0!</v>
      </c>
      <c r="F75" s="380" t="e">
        <f>((VLOOKUP(F73, voc_work,31,FALSE)) + (VLOOKUP(F73, voc_work,32,0))*$E$6 + (VLOOKUP(F73, voc_work,33,0))*$E$6^2 + (VLOOKUP(F73, voc_work,34,0))*$E$6^3)/$E$6</f>
        <v>#DIV/0!</v>
      </c>
      <c r="G75" s="380" t="e">
        <f t="shared" ref="G75:AJ75" si="3">((VLOOKUP(G73, voc_work,31,FALSE)) + (VLOOKUP(G73, voc_work,32,0))*$E$6 + (VLOOKUP(G73, voc_work,33,0))*$E$6^2 + (VLOOKUP(G73, voc_work,34,0))*$E$6^3)/$E$6</f>
        <v>#DIV/0!</v>
      </c>
      <c r="H75" s="380" t="e">
        <f t="shared" si="3"/>
        <v>#DIV/0!</v>
      </c>
      <c r="I75" s="380" t="e">
        <f t="shared" si="3"/>
        <v>#DIV/0!</v>
      </c>
      <c r="J75" s="380" t="e">
        <f t="shared" si="3"/>
        <v>#DIV/0!</v>
      </c>
      <c r="K75" s="380" t="e">
        <f t="shared" si="3"/>
        <v>#DIV/0!</v>
      </c>
      <c r="L75" s="380" t="e">
        <f t="shared" si="3"/>
        <v>#DIV/0!</v>
      </c>
      <c r="M75" s="380" t="e">
        <f t="shared" si="3"/>
        <v>#DIV/0!</v>
      </c>
      <c r="N75" s="380" t="e">
        <f t="shared" si="3"/>
        <v>#DIV/0!</v>
      </c>
      <c r="O75" s="380" t="e">
        <f t="shared" si="3"/>
        <v>#DIV/0!</v>
      </c>
      <c r="P75" s="380" t="e">
        <f t="shared" si="3"/>
        <v>#DIV/0!</v>
      </c>
      <c r="Q75" s="380" t="e">
        <f t="shared" si="3"/>
        <v>#DIV/0!</v>
      </c>
      <c r="R75" s="380" t="e">
        <f t="shared" si="3"/>
        <v>#DIV/0!</v>
      </c>
      <c r="S75" s="380" t="e">
        <f t="shared" si="3"/>
        <v>#DIV/0!</v>
      </c>
      <c r="T75" s="380" t="e">
        <f t="shared" si="3"/>
        <v>#DIV/0!</v>
      </c>
      <c r="U75" s="380" t="e">
        <f t="shared" si="3"/>
        <v>#DIV/0!</v>
      </c>
      <c r="V75" s="380" t="e">
        <f t="shared" si="3"/>
        <v>#DIV/0!</v>
      </c>
      <c r="W75" s="380" t="e">
        <f t="shared" si="3"/>
        <v>#DIV/0!</v>
      </c>
      <c r="X75" s="380" t="e">
        <f t="shared" si="3"/>
        <v>#DIV/0!</v>
      </c>
      <c r="Y75" s="380" t="e">
        <f t="shared" si="3"/>
        <v>#DIV/0!</v>
      </c>
      <c r="Z75" s="380" t="e">
        <f t="shared" si="3"/>
        <v>#DIV/0!</v>
      </c>
      <c r="AA75" s="380" t="e">
        <f t="shared" si="3"/>
        <v>#DIV/0!</v>
      </c>
      <c r="AB75" s="380" t="e">
        <f t="shared" si="3"/>
        <v>#DIV/0!</v>
      </c>
      <c r="AC75" s="380" t="e">
        <f t="shared" si="3"/>
        <v>#DIV/0!</v>
      </c>
      <c r="AD75" s="380" t="e">
        <f t="shared" si="3"/>
        <v>#DIV/0!</v>
      </c>
      <c r="AE75" s="380" t="e">
        <f t="shared" si="3"/>
        <v>#DIV/0!</v>
      </c>
      <c r="AF75" s="380" t="e">
        <f t="shared" si="3"/>
        <v>#DIV/0!</v>
      </c>
      <c r="AG75" s="380" t="e">
        <f t="shared" si="3"/>
        <v>#DIV/0!</v>
      </c>
      <c r="AH75" s="380" t="e">
        <f t="shared" si="3"/>
        <v>#DIV/0!</v>
      </c>
      <c r="AI75" s="380" t="e">
        <f t="shared" si="3"/>
        <v>#DIV/0!</v>
      </c>
      <c r="AJ75" s="380" t="e">
        <f t="shared" si="3"/>
        <v>#DIV/0!</v>
      </c>
      <c r="AK75" s="380" t="e">
        <f t="shared" ref="AK75:BP75" si="4">((VLOOKUP(AK73, voc_work,31,FALSE)) + (VLOOKUP(AK73, voc_work,32,0))*$E$6 + (VLOOKUP(AK73, voc_work,33,0))*$E$6^2 + (VLOOKUP(AK73, voc_work,34,0))*$E$6^3)/$E$6</f>
        <v>#DIV/0!</v>
      </c>
      <c r="AL75" s="380" t="e">
        <f t="shared" si="4"/>
        <v>#DIV/0!</v>
      </c>
      <c r="AM75" s="380" t="e">
        <f t="shared" si="4"/>
        <v>#DIV/0!</v>
      </c>
      <c r="AN75" s="380" t="e">
        <f t="shared" si="4"/>
        <v>#DIV/0!</v>
      </c>
      <c r="AO75" s="380" t="e">
        <f t="shared" si="4"/>
        <v>#DIV/0!</v>
      </c>
      <c r="AP75" s="380" t="e">
        <f t="shared" si="4"/>
        <v>#DIV/0!</v>
      </c>
      <c r="AQ75" s="380" t="e">
        <f t="shared" si="4"/>
        <v>#DIV/0!</v>
      </c>
      <c r="AR75" s="380" t="e">
        <f t="shared" si="4"/>
        <v>#DIV/0!</v>
      </c>
      <c r="AS75" s="380" t="e">
        <f t="shared" si="4"/>
        <v>#DIV/0!</v>
      </c>
      <c r="AT75" s="380" t="e">
        <f t="shared" si="4"/>
        <v>#DIV/0!</v>
      </c>
      <c r="AU75" s="380" t="e">
        <f t="shared" si="4"/>
        <v>#DIV/0!</v>
      </c>
      <c r="AV75" s="380" t="e">
        <f t="shared" si="4"/>
        <v>#DIV/0!</v>
      </c>
      <c r="AW75" s="380" t="e">
        <f t="shared" si="4"/>
        <v>#DIV/0!</v>
      </c>
      <c r="AX75" s="380" t="e">
        <f t="shared" si="4"/>
        <v>#DIV/0!</v>
      </c>
      <c r="AY75" s="380" t="e">
        <f t="shared" si="4"/>
        <v>#DIV/0!</v>
      </c>
      <c r="AZ75" s="380" t="e">
        <f t="shared" si="4"/>
        <v>#DIV/0!</v>
      </c>
      <c r="BA75" s="380" t="e">
        <f t="shared" si="4"/>
        <v>#DIV/0!</v>
      </c>
      <c r="BB75" s="380" t="e">
        <f t="shared" si="4"/>
        <v>#DIV/0!</v>
      </c>
      <c r="BC75" s="380" t="e">
        <f t="shared" si="4"/>
        <v>#DIV/0!</v>
      </c>
      <c r="BD75" s="380" t="e">
        <f t="shared" si="4"/>
        <v>#DIV/0!</v>
      </c>
      <c r="BE75" s="380" t="e">
        <f t="shared" si="4"/>
        <v>#DIV/0!</v>
      </c>
      <c r="BF75" s="380" t="e">
        <f t="shared" si="4"/>
        <v>#DIV/0!</v>
      </c>
      <c r="BG75" s="380" t="e">
        <f t="shared" si="4"/>
        <v>#DIV/0!</v>
      </c>
      <c r="BH75" s="380" t="e">
        <f t="shared" si="4"/>
        <v>#DIV/0!</v>
      </c>
      <c r="BI75" s="380" t="e">
        <f t="shared" si="4"/>
        <v>#DIV/0!</v>
      </c>
      <c r="BJ75" s="380" t="e">
        <f t="shared" si="4"/>
        <v>#DIV/0!</v>
      </c>
      <c r="BK75" s="380" t="e">
        <f t="shared" si="4"/>
        <v>#DIV/0!</v>
      </c>
      <c r="BL75" s="380" t="e">
        <f t="shared" si="4"/>
        <v>#DIV/0!</v>
      </c>
      <c r="BM75" s="380" t="e">
        <f t="shared" si="4"/>
        <v>#DIV/0!</v>
      </c>
      <c r="BN75" s="380" t="e">
        <f t="shared" si="4"/>
        <v>#DIV/0!</v>
      </c>
      <c r="BO75" s="380" t="e">
        <f t="shared" si="4"/>
        <v>#DIV/0!</v>
      </c>
      <c r="BP75" s="380" t="e">
        <f t="shared" si="4"/>
        <v>#DIV/0!</v>
      </c>
      <c r="BQ75" s="380" t="e">
        <f t="shared" ref="BQ75:CF75" si="5">((VLOOKUP(BQ73, voc_work,31,FALSE)) + (VLOOKUP(BQ73, voc_work,32,0))*$E$6 + (VLOOKUP(BQ73, voc_work,33,0))*$E$6^2 + (VLOOKUP(BQ73, voc_work,34,0))*$E$6^3)/$E$6</f>
        <v>#DIV/0!</v>
      </c>
      <c r="BR75" s="380" t="e">
        <f t="shared" si="5"/>
        <v>#DIV/0!</v>
      </c>
      <c r="BS75" s="380" t="e">
        <f t="shared" si="5"/>
        <v>#DIV/0!</v>
      </c>
      <c r="BT75" s="380" t="e">
        <f t="shared" si="5"/>
        <v>#DIV/0!</v>
      </c>
      <c r="BU75" s="380" t="e">
        <f t="shared" si="5"/>
        <v>#DIV/0!</v>
      </c>
      <c r="BV75" s="380" t="e">
        <f t="shared" si="5"/>
        <v>#DIV/0!</v>
      </c>
      <c r="BW75" s="380" t="e">
        <f t="shared" si="5"/>
        <v>#DIV/0!</v>
      </c>
      <c r="BX75" s="380" t="e">
        <f t="shared" si="5"/>
        <v>#DIV/0!</v>
      </c>
      <c r="BY75" s="380" t="e">
        <f t="shared" si="5"/>
        <v>#DIV/0!</v>
      </c>
      <c r="BZ75" s="380" t="e">
        <f t="shared" si="5"/>
        <v>#DIV/0!</v>
      </c>
      <c r="CA75" s="380" t="e">
        <f t="shared" si="5"/>
        <v>#DIV/0!</v>
      </c>
      <c r="CB75" s="380" t="e">
        <f t="shared" si="5"/>
        <v>#DIV/0!</v>
      </c>
      <c r="CC75" s="380" t="e">
        <f t="shared" si="5"/>
        <v>#DIV/0!</v>
      </c>
      <c r="CD75" s="380" t="e">
        <f t="shared" si="5"/>
        <v>#DIV/0!</v>
      </c>
      <c r="CE75" s="380" t="e">
        <f t="shared" si="5"/>
        <v>#DIV/0!</v>
      </c>
      <c r="CF75" s="380" t="e">
        <f t="shared" si="5"/>
        <v>#DIV/0!</v>
      </c>
    </row>
    <row r="76" spans="1:84">
      <c r="D76" s="364" t="s">
        <v>91</v>
      </c>
      <c r="E76" s="380" t="e">
        <f t="shared" ref="E76:AJ76" si="6">((VLOOKUP(E73, voc_work,55,FALSE)) + (VLOOKUP(E73, voc_work,56,0))*$E$7 + (VLOOKUP(E73, voc_work,57,0))*$E$7^2 + (VLOOKUP(E73, voc_work,58,0))*$E$7^3)/$E$7</f>
        <v>#DIV/0!</v>
      </c>
      <c r="F76" s="380" t="e">
        <f t="shared" si="6"/>
        <v>#DIV/0!</v>
      </c>
      <c r="G76" s="380" t="e">
        <f>((VLOOKUP(G73, voc_work,55,FALSE)) + (VLOOKUP(G73, voc_work,56,0))*$E$7 + (VLOOKUP(G73, voc_work,57,0))*$E$7^2 + (VLOOKUP(G73, voc_work,58,0))*$E$7^3)/$E$7</f>
        <v>#DIV/0!</v>
      </c>
      <c r="H76" s="380" t="e">
        <f t="shared" si="6"/>
        <v>#DIV/0!</v>
      </c>
      <c r="I76" s="380" t="e">
        <f t="shared" si="6"/>
        <v>#DIV/0!</v>
      </c>
      <c r="J76" s="380" t="e">
        <f t="shared" si="6"/>
        <v>#DIV/0!</v>
      </c>
      <c r="K76" s="380" t="e">
        <f t="shared" si="6"/>
        <v>#DIV/0!</v>
      </c>
      <c r="L76" s="380" t="e">
        <f t="shared" si="6"/>
        <v>#DIV/0!</v>
      </c>
      <c r="M76" s="380" t="e">
        <f t="shared" si="6"/>
        <v>#DIV/0!</v>
      </c>
      <c r="N76" s="380" t="e">
        <f t="shared" si="6"/>
        <v>#DIV/0!</v>
      </c>
      <c r="O76" s="380" t="e">
        <f t="shared" si="6"/>
        <v>#DIV/0!</v>
      </c>
      <c r="P76" s="380" t="e">
        <f t="shared" si="6"/>
        <v>#DIV/0!</v>
      </c>
      <c r="Q76" s="380" t="e">
        <f t="shared" si="6"/>
        <v>#DIV/0!</v>
      </c>
      <c r="R76" s="380" t="e">
        <f t="shared" si="6"/>
        <v>#DIV/0!</v>
      </c>
      <c r="S76" s="380" t="e">
        <f t="shared" si="6"/>
        <v>#DIV/0!</v>
      </c>
      <c r="T76" s="380" t="e">
        <f t="shared" si="6"/>
        <v>#DIV/0!</v>
      </c>
      <c r="U76" s="380" t="e">
        <f t="shared" si="6"/>
        <v>#DIV/0!</v>
      </c>
      <c r="V76" s="380" t="e">
        <f t="shared" si="6"/>
        <v>#DIV/0!</v>
      </c>
      <c r="W76" s="380" t="e">
        <f t="shared" si="6"/>
        <v>#DIV/0!</v>
      </c>
      <c r="X76" s="380" t="e">
        <f t="shared" si="6"/>
        <v>#DIV/0!</v>
      </c>
      <c r="Y76" s="380" t="e">
        <f t="shared" si="6"/>
        <v>#DIV/0!</v>
      </c>
      <c r="Z76" s="380" t="e">
        <f t="shared" si="6"/>
        <v>#DIV/0!</v>
      </c>
      <c r="AA76" s="380" t="e">
        <f t="shared" si="6"/>
        <v>#DIV/0!</v>
      </c>
      <c r="AB76" s="380" t="e">
        <f t="shared" si="6"/>
        <v>#DIV/0!</v>
      </c>
      <c r="AC76" s="380" t="e">
        <f t="shared" si="6"/>
        <v>#DIV/0!</v>
      </c>
      <c r="AD76" s="380" t="e">
        <f t="shared" si="6"/>
        <v>#DIV/0!</v>
      </c>
      <c r="AE76" s="380" t="e">
        <f t="shared" si="6"/>
        <v>#DIV/0!</v>
      </c>
      <c r="AF76" s="380" t="e">
        <f t="shared" si="6"/>
        <v>#DIV/0!</v>
      </c>
      <c r="AG76" s="380" t="e">
        <f t="shared" si="6"/>
        <v>#DIV/0!</v>
      </c>
      <c r="AH76" s="380" t="e">
        <f t="shared" si="6"/>
        <v>#DIV/0!</v>
      </c>
      <c r="AI76" s="380" t="e">
        <f t="shared" si="6"/>
        <v>#DIV/0!</v>
      </c>
      <c r="AJ76" s="380" t="e">
        <f t="shared" si="6"/>
        <v>#DIV/0!</v>
      </c>
      <c r="AK76" s="380" t="e">
        <f t="shared" ref="AK76:BP76" si="7">((VLOOKUP(AK73, voc_work,55,FALSE)) + (VLOOKUP(AK73, voc_work,56,0))*$E$7 + (VLOOKUP(AK73, voc_work,57,0))*$E$7^2 + (VLOOKUP(AK73, voc_work,58,0))*$E$7^3)/$E$7</f>
        <v>#DIV/0!</v>
      </c>
      <c r="AL76" s="380" t="e">
        <f t="shared" si="7"/>
        <v>#DIV/0!</v>
      </c>
      <c r="AM76" s="380" t="e">
        <f t="shared" si="7"/>
        <v>#DIV/0!</v>
      </c>
      <c r="AN76" s="380" t="e">
        <f t="shared" si="7"/>
        <v>#DIV/0!</v>
      </c>
      <c r="AO76" s="380" t="e">
        <f t="shared" si="7"/>
        <v>#DIV/0!</v>
      </c>
      <c r="AP76" s="380" t="e">
        <f t="shared" si="7"/>
        <v>#DIV/0!</v>
      </c>
      <c r="AQ76" s="380" t="e">
        <f t="shared" si="7"/>
        <v>#DIV/0!</v>
      </c>
      <c r="AR76" s="380" t="e">
        <f t="shared" si="7"/>
        <v>#DIV/0!</v>
      </c>
      <c r="AS76" s="380" t="e">
        <f t="shared" si="7"/>
        <v>#DIV/0!</v>
      </c>
      <c r="AT76" s="380" t="e">
        <f t="shared" si="7"/>
        <v>#DIV/0!</v>
      </c>
      <c r="AU76" s="380" t="e">
        <f t="shared" si="7"/>
        <v>#DIV/0!</v>
      </c>
      <c r="AV76" s="380" t="e">
        <f t="shared" si="7"/>
        <v>#DIV/0!</v>
      </c>
      <c r="AW76" s="380" t="e">
        <f t="shared" si="7"/>
        <v>#DIV/0!</v>
      </c>
      <c r="AX76" s="380" t="e">
        <f t="shared" si="7"/>
        <v>#DIV/0!</v>
      </c>
      <c r="AY76" s="380" t="e">
        <f t="shared" si="7"/>
        <v>#DIV/0!</v>
      </c>
      <c r="AZ76" s="380" t="e">
        <f t="shared" si="7"/>
        <v>#DIV/0!</v>
      </c>
      <c r="BA76" s="380" t="e">
        <f t="shared" si="7"/>
        <v>#DIV/0!</v>
      </c>
      <c r="BB76" s="380" t="e">
        <f t="shared" si="7"/>
        <v>#DIV/0!</v>
      </c>
      <c r="BC76" s="380" t="e">
        <f t="shared" si="7"/>
        <v>#DIV/0!</v>
      </c>
      <c r="BD76" s="380" t="e">
        <f t="shared" si="7"/>
        <v>#DIV/0!</v>
      </c>
      <c r="BE76" s="380" t="e">
        <f t="shared" si="7"/>
        <v>#DIV/0!</v>
      </c>
      <c r="BF76" s="380" t="e">
        <f t="shared" si="7"/>
        <v>#DIV/0!</v>
      </c>
      <c r="BG76" s="380" t="e">
        <f t="shared" si="7"/>
        <v>#DIV/0!</v>
      </c>
      <c r="BH76" s="380" t="e">
        <f t="shared" si="7"/>
        <v>#DIV/0!</v>
      </c>
      <c r="BI76" s="380" t="e">
        <f t="shared" si="7"/>
        <v>#DIV/0!</v>
      </c>
      <c r="BJ76" s="380" t="e">
        <f t="shared" si="7"/>
        <v>#DIV/0!</v>
      </c>
      <c r="BK76" s="380" t="e">
        <f t="shared" si="7"/>
        <v>#DIV/0!</v>
      </c>
      <c r="BL76" s="380" t="e">
        <f t="shared" si="7"/>
        <v>#DIV/0!</v>
      </c>
      <c r="BM76" s="380" t="e">
        <f t="shared" si="7"/>
        <v>#DIV/0!</v>
      </c>
      <c r="BN76" s="380" t="e">
        <f t="shared" si="7"/>
        <v>#DIV/0!</v>
      </c>
      <c r="BO76" s="380" t="e">
        <f t="shared" si="7"/>
        <v>#DIV/0!</v>
      </c>
      <c r="BP76" s="380" t="e">
        <f t="shared" si="7"/>
        <v>#DIV/0!</v>
      </c>
      <c r="BQ76" s="380" t="e">
        <f t="shared" ref="BQ76:CF76" si="8">((VLOOKUP(BQ73, voc_work,55,FALSE)) + (VLOOKUP(BQ73, voc_work,56,0))*$E$7 + (VLOOKUP(BQ73, voc_work,57,0))*$E$7^2 + (VLOOKUP(BQ73, voc_work,58,0))*$E$7^3)/$E$7</f>
        <v>#DIV/0!</v>
      </c>
      <c r="BR76" s="380" t="e">
        <f t="shared" si="8"/>
        <v>#DIV/0!</v>
      </c>
      <c r="BS76" s="380" t="e">
        <f t="shared" si="8"/>
        <v>#DIV/0!</v>
      </c>
      <c r="BT76" s="380" t="e">
        <f t="shared" si="8"/>
        <v>#DIV/0!</v>
      </c>
      <c r="BU76" s="380" t="e">
        <f t="shared" si="8"/>
        <v>#DIV/0!</v>
      </c>
      <c r="BV76" s="380" t="e">
        <f t="shared" si="8"/>
        <v>#DIV/0!</v>
      </c>
      <c r="BW76" s="380" t="e">
        <f t="shared" si="8"/>
        <v>#DIV/0!</v>
      </c>
      <c r="BX76" s="380" t="e">
        <f t="shared" si="8"/>
        <v>#DIV/0!</v>
      </c>
      <c r="BY76" s="380" t="e">
        <f t="shared" si="8"/>
        <v>#DIV/0!</v>
      </c>
      <c r="BZ76" s="380" t="e">
        <f t="shared" si="8"/>
        <v>#DIV/0!</v>
      </c>
      <c r="CA76" s="380" t="e">
        <f t="shared" si="8"/>
        <v>#DIV/0!</v>
      </c>
      <c r="CB76" s="380" t="e">
        <f t="shared" si="8"/>
        <v>#DIV/0!</v>
      </c>
      <c r="CC76" s="380" t="e">
        <f t="shared" si="8"/>
        <v>#DIV/0!</v>
      </c>
      <c r="CD76" s="380" t="e">
        <f t="shared" si="8"/>
        <v>#DIV/0!</v>
      </c>
      <c r="CE76" s="380" t="e">
        <f t="shared" si="8"/>
        <v>#DIV/0!</v>
      </c>
      <c r="CF76" s="380" t="e">
        <f t="shared" si="8"/>
        <v>#DIV/0!</v>
      </c>
    </row>
    <row r="77" spans="1:84">
      <c r="D77" s="364" t="s">
        <v>93</v>
      </c>
      <c r="E77" s="380" t="e">
        <f t="shared" ref="E77:AJ77" si="9">((VLOOKUP(E73, voc_work,67,FALSE)) + (VLOOKUP(E73, voc_work,68,0))*$E$8 + (VLOOKUP(E73, voc_work,69,0))*$E$8^2 + (VLOOKUP(E73, voc_work,70,0))*$E$8^3)/$E$8</f>
        <v>#DIV/0!</v>
      </c>
      <c r="F77" s="380" t="e">
        <f t="shared" si="9"/>
        <v>#DIV/0!</v>
      </c>
      <c r="G77" s="380" t="e">
        <f t="shared" si="9"/>
        <v>#DIV/0!</v>
      </c>
      <c r="H77" s="380" t="e">
        <f t="shared" si="9"/>
        <v>#DIV/0!</v>
      </c>
      <c r="I77" s="380" t="e">
        <f t="shared" si="9"/>
        <v>#DIV/0!</v>
      </c>
      <c r="J77" s="380" t="e">
        <f t="shared" si="9"/>
        <v>#DIV/0!</v>
      </c>
      <c r="K77" s="380" t="e">
        <f t="shared" si="9"/>
        <v>#DIV/0!</v>
      </c>
      <c r="L77" s="380" t="e">
        <f t="shared" si="9"/>
        <v>#DIV/0!</v>
      </c>
      <c r="M77" s="380" t="e">
        <f t="shared" si="9"/>
        <v>#DIV/0!</v>
      </c>
      <c r="N77" s="380" t="e">
        <f t="shared" si="9"/>
        <v>#DIV/0!</v>
      </c>
      <c r="O77" s="380" t="e">
        <f t="shared" si="9"/>
        <v>#DIV/0!</v>
      </c>
      <c r="P77" s="380" t="e">
        <f t="shared" si="9"/>
        <v>#DIV/0!</v>
      </c>
      <c r="Q77" s="380" t="e">
        <f t="shared" si="9"/>
        <v>#DIV/0!</v>
      </c>
      <c r="R77" s="380" t="e">
        <f t="shared" si="9"/>
        <v>#DIV/0!</v>
      </c>
      <c r="S77" s="380" t="e">
        <f t="shared" si="9"/>
        <v>#DIV/0!</v>
      </c>
      <c r="T77" s="380" t="e">
        <f t="shared" si="9"/>
        <v>#DIV/0!</v>
      </c>
      <c r="U77" s="380" t="e">
        <f t="shared" si="9"/>
        <v>#DIV/0!</v>
      </c>
      <c r="V77" s="380" t="e">
        <f t="shared" si="9"/>
        <v>#DIV/0!</v>
      </c>
      <c r="W77" s="380" t="e">
        <f t="shared" si="9"/>
        <v>#DIV/0!</v>
      </c>
      <c r="X77" s="380" t="e">
        <f t="shared" si="9"/>
        <v>#DIV/0!</v>
      </c>
      <c r="Y77" s="380" t="e">
        <f t="shared" si="9"/>
        <v>#DIV/0!</v>
      </c>
      <c r="Z77" s="380" t="e">
        <f t="shared" si="9"/>
        <v>#DIV/0!</v>
      </c>
      <c r="AA77" s="380" t="e">
        <f t="shared" si="9"/>
        <v>#DIV/0!</v>
      </c>
      <c r="AB77" s="380" t="e">
        <f t="shared" si="9"/>
        <v>#DIV/0!</v>
      </c>
      <c r="AC77" s="380" t="e">
        <f t="shared" si="9"/>
        <v>#DIV/0!</v>
      </c>
      <c r="AD77" s="380" t="e">
        <f t="shared" si="9"/>
        <v>#DIV/0!</v>
      </c>
      <c r="AE77" s="380" t="e">
        <f t="shared" si="9"/>
        <v>#DIV/0!</v>
      </c>
      <c r="AF77" s="380" t="e">
        <f t="shared" si="9"/>
        <v>#DIV/0!</v>
      </c>
      <c r="AG77" s="380" t="e">
        <f t="shared" si="9"/>
        <v>#DIV/0!</v>
      </c>
      <c r="AH77" s="380" t="e">
        <f t="shared" si="9"/>
        <v>#DIV/0!</v>
      </c>
      <c r="AI77" s="380" t="e">
        <f t="shared" si="9"/>
        <v>#DIV/0!</v>
      </c>
      <c r="AJ77" s="380" t="e">
        <f t="shared" si="9"/>
        <v>#DIV/0!</v>
      </c>
      <c r="AK77" s="380" t="e">
        <f t="shared" ref="AK77:BP77" si="10">((VLOOKUP(AK73, voc_work,67,FALSE)) + (VLOOKUP(AK73, voc_work,68,0))*$E$8 + (VLOOKUP(AK73, voc_work,69,0))*$E$8^2 + (VLOOKUP(AK73, voc_work,70,0))*$E$8^3)/$E$8</f>
        <v>#DIV/0!</v>
      </c>
      <c r="AL77" s="380" t="e">
        <f t="shared" si="10"/>
        <v>#DIV/0!</v>
      </c>
      <c r="AM77" s="380" t="e">
        <f t="shared" si="10"/>
        <v>#DIV/0!</v>
      </c>
      <c r="AN77" s="380" t="e">
        <f t="shared" si="10"/>
        <v>#DIV/0!</v>
      </c>
      <c r="AO77" s="380" t="e">
        <f t="shared" si="10"/>
        <v>#DIV/0!</v>
      </c>
      <c r="AP77" s="380" t="e">
        <f t="shared" si="10"/>
        <v>#DIV/0!</v>
      </c>
      <c r="AQ77" s="380" t="e">
        <f t="shared" si="10"/>
        <v>#DIV/0!</v>
      </c>
      <c r="AR77" s="380" t="e">
        <f t="shared" si="10"/>
        <v>#DIV/0!</v>
      </c>
      <c r="AS77" s="380" t="e">
        <f t="shared" si="10"/>
        <v>#DIV/0!</v>
      </c>
      <c r="AT77" s="380" t="e">
        <f t="shared" si="10"/>
        <v>#DIV/0!</v>
      </c>
      <c r="AU77" s="380" t="e">
        <f t="shared" si="10"/>
        <v>#DIV/0!</v>
      </c>
      <c r="AV77" s="380" t="e">
        <f t="shared" si="10"/>
        <v>#DIV/0!</v>
      </c>
      <c r="AW77" s="380" t="e">
        <f t="shared" si="10"/>
        <v>#DIV/0!</v>
      </c>
      <c r="AX77" s="380" t="e">
        <f t="shared" si="10"/>
        <v>#DIV/0!</v>
      </c>
      <c r="AY77" s="380" t="e">
        <f t="shared" si="10"/>
        <v>#DIV/0!</v>
      </c>
      <c r="AZ77" s="380" t="e">
        <f t="shared" si="10"/>
        <v>#DIV/0!</v>
      </c>
      <c r="BA77" s="380" t="e">
        <f t="shared" si="10"/>
        <v>#DIV/0!</v>
      </c>
      <c r="BB77" s="380" t="e">
        <f t="shared" si="10"/>
        <v>#DIV/0!</v>
      </c>
      <c r="BC77" s="380" t="e">
        <f t="shared" si="10"/>
        <v>#DIV/0!</v>
      </c>
      <c r="BD77" s="380" t="e">
        <f t="shared" si="10"/>
        <v>#DIV/0!</v>
      </c>
      <c r="BE77" s="380" t="e">
        <f t="shared" si="10"/>
        <v>#DIV/0!</v>
      </c>
      <c r="BF77" s="380" t="e">
        <f t="shared" si="10"/>
        <v>#DIV/0!</v>
      </c>
      <c r="BG77" s="380" t="e">
        <f t="shared" si="10"/>
        <v>#DIV/0!</v>
      </c>
      <c r="BH77" s="380" t="e">
        <f t="shared" si="10"/>
        <v>#DIV/0!</v>
      </c>
      <c r="BI77" s="380" t="e">
        <f t="shared" si="10"/>
        <v>#DIV/0!</v>
      </c>
      <c r="BJ77" s="380" t="e">
        <f t="shared" si="10"/>
        <v>#DIV/0!</v>
      </c>
      <c r="BK77" s="380" t="e">
        <f t="shared" si="10"/>
        <v>#DIV/0!</v>
      </c>
      <c r="BL77" s="380" t="e">
        <f t="shared" si="10"/>
        <v>#DIV/0!</v>
      </c>
      <c r="BM77" s="380" t="e">
        <f t="shared" si="10"/>
        <v>#DIV/0!</v>
      </c>
      <c r="BN77" s="380" t="e">
        <f t="shared" si="10"/>
        <v>#DIV/0!</v>
      </c>
      <c r="BO77" s="380" t="e">
        <f t="shared" si="10"/>
        <v>#DIV/0!</v>
      </c>
      <c r="BP77" s="380" t="e">
        <f t="shared" si="10"/>
        <v>#DIV/0!</v>
      </c>
      <c r="BQ77" s="380" t="e">
        <f t="shared" ref="BQ77:CF77" si="11">((VLOOKUP(BQ73, voc_work,67,FALSE)) + (VLOOKUP(BQ73, voc_work,68,0))*$E$8 + (VLOOKUP(BQ73, voc_work,69,0))*$E$8^2 + (VLOOKUP(BQ73, voc_work,70,0))*$E$8^3)/$E$8</f>
        <v>#DIV/0!</v>
      </c>
      <c r="BR77" s="380" t="e">
        <f t="shared" si="11"/>
        <v>#DIV/0!</v>
      </c>
      <c r="BS77" s="380" t="e">
        <f t="shared" si="11"/>
        <v>#DIV/0!</v>
      </c>
      <c r="BT77" s="380" t="e">
        <f t="shared" si="11"/>
        <v>#DIV/0!</v>
      </c>
      <c r="BU77" s="380" t="e">
        <f t="shared" si="11"/>
        <v>#DIV/0!</v>
      </c>
      <c r="BV77" s="380" t="e">
        <f t="shared" si="11"/>
        <v>#DIV/0!</v>
      </c>
      <c r="BW77" s="380" t="e">
        <f t="shared" si="11"/>
        <v>#DIV/0!</v>
      </c>
      <c r="BX77" s="380" t="e">
        <f t="shared" si="11"/>
        <v>#DIV/0!</v>
      </c>
      <c r="BY77" s="380" t="e">
        <f t="shared" si="11"/>
        <v>#DIV/0!</v>
      </c>
      <c r="BZ77" s="380" t="e">
        <f t="shared" si="11"/>
        <v>#DIV/0!</v>
      </c>
      <c r="CA77" s="380" t="e">
        <f t="shared" si="11"/>
        <v>#DIV/0!</v>
      </c>
      <c r="CB77" s="380" t="e">
        <f t="shared" si="11"/>
        <v>#DIV/0!</v>
      </c>
      <c r="CC77" s="380" t="e">
        <f t="shared" si="11"/>
        <v>#DIV/0!</v>
      </c>
      <c r="CD77" s="380" t="e">
        <f t="shared" si="11"/>
        <v>#DIV/0!</v>
      </c>
      <c r="CE77" s="380" t="e">
        <f t="shared" si="11"/>
        <v>#DIV/0!</v>
      </c>
      <c r="CF77" s="380" t="e">
        <f t="shared" si="11"/>
        <v>#DIV/0!</v>
      </c>
    </row>
    <row r="78" spans="1:84">
      <c r="D78" s="365"/>
    </row>
    <row r="79" spans="1:84">
      <c r="D79" s="728" t="s">
        <v>257</v>
      </c>
      <c r="E79" s="728">
        <v>2010</v>
      </c>
      <c r="F79" s="728">
        <v>2011</v>
      </c>
      <c r="G79" s="728">
        <v>2012</v>
      </c>
      <c r="H79" s="728">
        <v>2013</v>
      </c>
      <c r="I79" s="728">
        <v>2014</v>
      </c>
      <c r="J79" s="728">
        <v>2015</v>
      </c>
      <c r="K79" s="728">
        <v>2016</v>
      </c>
      <c r="L79" s="728">
        <v>2017</v>
      </c>
      <c r="M79" s="728">
        <v>2018</v>
      </c>
      <c r="N79" s="728">
        <v>2019</v>
      </c>
      <c r="O79" s="728">
        <v>2020</v>
      </c>
      <c r="P79" s="728">
        <v>2021</v>
      </c>
      <c r="Q79" s="728">
        <v>2022</v>
      </c>
      <c r="R79" s="728">
        <v>2023</v>
      </c>
      <c r="S79" s="728">
        <v>2024</v>
      </c>
      <c r="T79" s="728">
        <v>2025</v>
      </c>
      <c r="U79" s="728">
        <v>2026</v>
      </c>
      <c r="V79" s="728">
        <v>2027</v>
      </c>
      <c r="W79" s="728">
        <v>2028</v>
      </c>
      <c r="X79" s="728">
        <v>2029</v>
      </c>
      <c r="Y79" s="728">
        <v>2030</v>
      </c>
      <c r="Z79" s="728">
        <v>2031</v>
      </c>
      <c r="AA79" s="728">
        <v>2032</v>
      </c>
      <c r="AB79" s="728">
        <v>2033</v>
      </c>
      <c r="AC79" s="728">
        <v>2034</v>
      </c>
      <c r="AD79" s="728">
        <v>2035</v>
      </c>
      <c r="AE79" s="728">
        <v>2036</v>
      </c>
      <c r="AF79" s="728">
        <v>2037</v>
      </c>
      <c r="AG79" s="728">
        <v>2038</v>
      </c>
      <c r="AH79" s="728">
        <v>2039</v>
      </c>
      <c r="AI79" s="728">
        <v>2040</v>
      </c>
      <c r="AJ79" s="728">
        <v>2041</v>
      </c>
      <c r="AK79" s="728">
        <v>2042</v>
      </c>
      <c r="AL79" s="728">
        <v>2043</v>
      </c>
      <c r="AM79" s="728">
        <v>2044</v>
      </c>
      <c r="AN79" s="728">
        <v>2045</v>
      </c>
      <c r="AO79" s="728">
        <v>2046</v>
      </c>
      <c r="AP79" s="728">
        <v>2047</v>
      </c>
      <c r="AQ79" s="728">
        <v>2048</v>
      </c>
      <c r="AR79" s="728">
        <v>2049</v>
      </c>
      <c r="AS79" s="728">
        <v>2050</v>
      </c>
      <c r="AT79" s="728">
        <v>2051</v>
      </c>
      <c r="AU79" s="728">
        <v>2052</v>
      </c>
      <c r="AV79" s="728">
        <v>2053</v>
      </c>
      <c r="AW79" s="728">
        <v>2054</v>
      </c>
      <c r="AX79" s="728">
        <v>2055</v>
      </c>
      <c r="AY79" s="728">
        <v>2056</v>
      </c>
      <c r="AZ79" s="728">
        <v>2057</v>
      </c>
      <c r="BA79" s="728">
        <v>2058</v>
      </c>
      <c r="BB79" s="728">
        <v>2059</v>
      </c>
      <c r="BC79" s="728">
        <v>2060</v>
      </c>
      <c r="BD79" s="728">
        <v>2061</v>
      </c>
      <c r="BE79" s="728">
        <v>2062</v>
      </c>
      <c r="BF79" s="728">
        <v>2063</v>
      </c>
      <c r="BG79" s="728">
        <v>2064</v>
      </c>
      <c r="BH79" s="728">
        <v>2065</v>
      </c>
      <c r="BI79" s="728">
        <v>2066</v>
      </c>
      <c r="BJ79" s="728">
        <v>2067</v>
      </c>
      <c r="BK79" s="728">
        <v>2068</v>
      </c>
      <c r="BL79" s="728">
        <v>2069</v>
      </c>
      <c r="BM79" s="728">
        <v>2070</v>
      </c>
      <c r="BN79" s="728">
        <v>2071</v>
      </c>
      <c r="BO79" s="728">
        <v>2072</v>
      </c>
      <c r="BP79" s="728">
        <v>2073</v>
      </c>
      <c r="BQ79" s="728">
        <v>2074</v>
      </c>
      <c r="BR79" s="728">
        <v>2075</v>
      </c>
      <c r="BS79" s="728">
        <v>2076</v>
      </c>
      <c r="BT79" s="728">
        <v>2077</v>
      </c>
      <c r="BU79" s="728">
        <v>2078</v>
      </c>
      <c r="BV79" s="728">
        <v>2079</v>
      </c>
      <c r="BW79" s="728">
        <v>2080</v>
      </c>
      <c r="BX79" s="728">
        <v>2081</v>
      </c>
      <c r="BY79" s="728">
        <v>2082</v>
      </c>
      <c r="BZ79" s="728">
        <v>2083</v>
      </c>
      <c r="CA79" s="728">
        <v>2084</v>
      </c>
      <c r="CB79" s="728">
        <v>2085</v>
      </c>
      <c r="CC79" s="728">
        <v>2086</v>
      </c>
      <c r="CD79" s="728">
        <v>2087</v>
      </c>
      <c r="CE79" s="728">
        <v>2088</v>
      </c>
      <c r="CF79" s="728">
        <v>2089</v>
      </c>
    </row>
    <row r="80" spans="1:84">
      <c r="D80" s="364" t="s">
        <v>87</v>
      </c>
      <c r="E80" s="380" t="e">
        <f t="shared" ref="E80:AJ80" si="12">((VLOOKUP(E79, voc_nonwork,15,FALSE)) + (VLOOKUP(E79, voc_nonwork,16,0))*$E$5 + (VLOOKUP(E79, voc_nonwork,17,0))*$E$5^2 + (VLOOKUP(E79, voc_nonwork,18,0))*$E$5^3)/$E$5</f>
        <v>#DIV/0!</v>
      </c>
      <c r="F80" s="380" t="e">
        <f t="shared" si="12"/>
        <v>#DIV/0!</v>
      </c>
      <c r="G80" s="380" t="e">
        <f t="shared" si="12"/>
        <v>#DIV/0!</v>
      </c>
      <c r="H80" s="380" t="e">
        <f t="shared" si="12"/>
        <v>#DIV/0!</v>
      </c>
      <c r="I80" s="380" t="e">
        <f t="shared" si="12"/>
        <v>#DIV/0!</v>
      </c>
      <c r="J80" s="380" t="e">
        <f t="shared" si="12"/>
        <v>#DIV/0!</v>
      </c>
      <c r="K80" s="380" t="e">
        <f t="shared" si="12"/>
        <v>#DIV/0!</v>
      </c>
      <c r="L80" s="380" t="e">
        <f t="shared" si="12"/>
        <v>#DIV/0!</v>
      </c>
      <c r="M80" s="380" t="e">
        <f t="shared" si="12"/>
        <v>#DIV/0!</v>
      </c>
      <c r="N80" s="380" t="e">
        <f t="shared" si="12"/>
        <v>#DIV/0!</v>
      </c>
      <c r="O80" s="380" t="e">
        <f t="shared" si="12"/>
        <v>#DIV/0!</v>
      </c>
      <c r="P80" s="380" t="e">
        <f t="shared" si="12"/>
        <v>#DIV/0!</v>
      </c>
      <c r="Q80" s="380" t="e">
        <f t="shared" si="12"/>
        <v>#DIV/0!</v>
      </c>
      <c r="R80" s="380" t="e">
        <f t="shared" si="12"/>
        <v>#DIV/0!</v>
      </c>
      <c r="S80" s="380" t="e">
        <f t="shared" si="12"/>
        <v>#DIV/0!</v>
      </c>
      <c r="T80" s="380" t="e">
        <f t="shared" si="12"/>
        <v>#DIV/0!</v>
      </c>
      <c r="U80" s="380" t="e">
        <f t="shared" si="12"/>
        <v>#DIV/0!</v>
      </c>
      <c r="V80" s="380" t="e">
        <f t="shared" si="12"/>
        <v>#DIV/0!</v>
      </c>
      <c r="W80" s="380" t="e">
        <f t="shared" si="12"/>
        <v>#DIV/0!</v>
      </c>
      <c r="X80" s="380" t="e">
        <f t="shared" si="12"/>
        <v>#DIV/0!</v>
      </c>
      <c r="Y80" s="380" t="e">
        <f t="shared" si="12"/>
        <v>#DIV/0!</v>
      </c>
      <c r="Z80" s="380" t="e">
        <f t="shared" si="12"/>
        <v>#DIV/0!</v>
      </c>
      <c r="AA80" s="380" t="e">
        <f t="shared" si="12"/>
        <v>#DIV/0!</v>
      </c>
      <c r="AB80" s="380" t="e">
        <f t="shared" si="12"/>
        <v>#DIV/0!</v>
      </c>
      <c r="AC80" s="380" t="e">
        <f t="shared" si="12"/>
        <v>#DIV/0!</v>
      </c>
      <c r="AD80" s="380" t="e">
        <f t="shared" si="12"/>
        <v>#DIV/0!</v>
      </c>
      <c r="AE80" s="380" t="e">
        <f t="shared" si="12"/>
        <v>#DIV/0!</v>
      </c>
      <c r="AF80" s="380" t="e">
        <f t="shared" si="12"/>
        <v>#DIV/0!</v>
      </c>
      <c r="AG80" s="380" t="e">
        <f t="shared" si="12"/>
        <v>#DIV/0!</v>
      </c>
      <c r="AH80" s="380" t="e">
        <f t="shared" si="12"/>
        <v>#DIV/0!</v>
      </c>
      <c r="AI80" s="380" t="e">
        <f t="shared" si="12"/>
        <v>#DIV/0!</v>
      </c>
      <c r="AJ80" s="380" t="e">
        <f t="shared" si="12"/>
        <v>#DIV/0!</v>
      </c>
      <c r="AK80" s="380" t="e">
        <f t="shared" ref="AK80:BP80" si="13">((VLOOKUP(AK79, voc_nonwork,15,FALSE)) + (VLOOKUP(AK79, voc_nonwork,16,0))*$E$5 + (VLOOKUP(AK79, voc_nonwork,17,0))*$E$5^2 + (VLOOKUP(AK79, voc_nonwork,18,0))*$E$5^3)/$E$5</f>
        <v>#DIV/0!</v>
      </c>
      <c r="AL80" s="380" t="e">
        <f t="shared" si="13"/>
        <v>#DIV/0!</v>
      </c>
      <c r="AM80" s="380" t="e">
        <f t="shared" si="13"/>
        <v>#DIV/0!</v>
      </c>
      <c r="AN80" s="380" t="e">
        <f t="shared" si="13"/>
        <v>#DIV/0!</v>
      </c>
      <c r="AO80" s="380" t="e">
        <f t="shared" si="13"/>
        <v>#DIV/0!</v>
      </c>
      <c r="AP80" s="380" t="e">
        <f t="shared" si="13"/>
        <v>#DIV/0!</v>
      </c>
      <c r="AQ80" s="380" t="e">
        <f t="shared" si="13"/>
        <v>#DIV/0!</v>
      </c>
      <c r="AR80" s="380" t="e">
        <f t="shared" si="13"/>
        <v>#DIV/0!</v>
      </c>
      <c r="AS80" s="380" t="e">
        <f t="shared" si="13"/>
        <v>#DIV/0!</v>
      </c>
      <c r="AT80" s="380" t="e">
        <f t="shared" si="13"/>
        <v>#DIV/0!</v>
      </c>
      <c r="AU80" s="380" t="e">
        <f t="shared" si="13"/>
        <v>#DIV/0!</v>
      </c>
      <c r="AV80" s="380" t="e">
        <f t="shared" si="13"/>
        <v>#DIV/0!</v>
      </c>
      <c r="AW80" s="380" t="e">
        <f t="shared" si="13"/>
        <v>#DIV/0!</v>
      </c>
      <c r="AX80" s="380" t="e">
        <f t="shared" si="13"/>
        <v>#DIV/0!</v>
      </c>
      <c r="AY80" s="380" t="e">
        <f t="shared" si="13"/>
        <v>#DIV/0!</v>
      </c>
      <c r="AZ80" s="380" t="e">
        <f t="shared" si="13"/>
        <v>#DIV/0!</v>
      </c>
      <c r="BA80" s="380" t="e">
        <f t="shared" si="13"/>
        <v>#DIV/0!</v>
      </c>
      <c r="BB80" s="380" t="e">
        <f t="shared" si="13"/>
        <v>#DIV/0!</v>
      </c>
      <c r="BC80" s="380" t="e">
        <f t="shared" si="13"/>
        <v>#DIV/0!</v>
      </c>
      <c r="BD80" s="380" t="e">
        <f t="shared" si="13"/>
        <v>#DIV/0!</v>
      </c>
      <c r="BE80" s="380" t="e">
        <f t="shared" si="13"/>
        <v>#DIV/0!</v>
      </c>
      <c r="BF80" s="380" t="e">
        <f t="shared" si="13"/>
        <v>#DIV/0!</v>
      </c>
      <c r="BG80" s="380" t="e">
        <f t="shared" si="13"/>
        <v>#DIV/0!</v>
      </c>
      <c r="BH80" s="380" t="e">
        <f t="shared" si="13"/>
        <v>#DIV/0!</v>
      </c>
      <c r="BI80" s="380" t="e">
        <f t="shared" si="13"/>
        <v>#DIV/0!</v>
      </c>
      <c r="BJ80" s="380" t="e">
        <f t="shared" si="13"/>
        <v>#DIV/0!</v>
      </c>
      <c r="BK80" s="380" t="e">
        <f t="shared" si="13"/>
        <v>#DIV/0!</v>
      </c>
      <c r="BL80" s="380" t="e">
        <f t="shared" si="13"/>
        <v>#DIV/0!</v>
      </c>
      <c r="BM80" s="380" t="e">
        <f t="shared" si="13"/>
        <v>#DIV/0!</v>
      </c>
      <c r="BN80" s="380" t="e">
        <f t="shared" si="13"/>
        <v>#DIV/0!</v>
      </c>
      <c r="BO80" s="380" t="e">
        <f t="shared" si="13"/>
        <v>#DIV/0!</v>
      </c>
      <c r="BP80" s="380" t="e">
        <f t="shared" si="13"/>
        <v>#DIV/0!</v>
      </c>
      <c r="BQ80" s="380" t="e">
        <f t="shared" ref="BQ80:CF80" si="14">((VLOOKUP(BQ79, voc_nonwork,15,FALSE)) + (VLOOKUP(BQ79, voc_nonwork,16,0))*$E$5 + (VLOOKUP(BQ79, voc_nonwork,17,0))*$E$5^2 + (VLOOKUP(BQ79, voc_nonwork,18,0))*$E$5^3)/$E$5</f>
        <v>#DIV/0!</v>
      </c>
      <c r="BR80" s="380" t="e">
        <f t="shared" si="14"/>
        <v>#DIV/0!</v>
      </c>
      <c r="BS80" s="380" t="e">
        <f t="shared" si="14"/>
        <v>#DIV/0!</v>
      </c>
      <c r="BT80" s="380" t="e">
        <f t="shared" si="14"/>
        <v>#DIV/0!</v>
      </c>
      <c r="BU80" s="380" t="e">
        <f t="shared" si="14"/>
        <v>#DIV/0!</v>
      </c>
      <c r="BV80" s="380" t="e">
        <f t="shared" si="14"/>
        <v>#DIV/0!</v>
      </c>
      <c r="BW80" s="380" t="e">
        <f t="shared" si="14"/>
        <v>#DIV/0!</v>
      </c>
      <c r="BX80" s="380" t="e">
        <f t="shared" si="14"/>
        <v>#DIV/0!</v>
      </c>
      <c r="BY80" s="380" t="e">
        <f t="shared" si="14"/>
        <v>#DIV/0!</v>
      </c>
      <c r="BZ80" s="380" t="e">
        <f t="shared" si="14"/>
        <v>#DIV/0!</v>
      </c>
      <c r="CA80" s="380" t="e">
        <f t="shared" si="14"/>
        <v>#DIV/0!</v>
      </c>
      <c r="CB80" s="380" t="e">
        <f t="shared" si="14"/>
        <v>#DIV/0!</v>
      </c>
      <c r="CC80" s="380" t="e">
        <f t="shared" si="14"/>
        <v>#DIV/0!</v>
      </c>
      <c r="CD80" s="380" t="e">
        <f t="shared" si="14"/>
        <v>#DIV/0!</v>
      </c>
      <c r="CE80" s="380" t="e">
        <f t="shared" si="14"/>
        <v>#DIV/0!</v>
      </c>
      <c r="CF80" s="380" t="e">
        <f t="shared" si="14"/>
        <v>#DIV/0!</v>
      </c>
    </row>
    <row r="81" spans="1:84">
      <c r="D81" s="364" t="s">
        <v>89</v>
      </c>
      <c r="E81" s="380" t="e">
        <f t="shared" ref="E81:AJ81" si="15">((VLOOKUP(E79, voc_nonwork,31,FALSE)) + (VLOOKUP(E79, voc_nonwork,32,0))*$E$6 + (VLOOKUP(E79, voc_nonwork,33,0))*$E$6^2 + (VLOOKUP(E79, voc_nonwork,34,0))*$E$6^3)/$E$6</f>
        <v>#DIV/0!</v>
      </c>
      <c r="F81" s="380" t="e">
        <f t="shared" si="15"/>
        <v>#DIV/0!</v>
      </c>
      <c r="G81" s="380" t="e">
        <f t="shared" si="15"/>
        <v>#DIV/0!</v>
      </c>
      <c r="H81" s="380" t="e">
        <f t="shared" si="15"/>
        <v>#DIV/0!</v>
      </c>
      <c r="I81" s="380" t="e">
        <f t="shared" si="15"/>
        <v>#DIV/0!</v>
      </c>
      <c r="J81" s="380" t="e">
        <f t="shared" si="15"/>
        <v>#DIV/0!</v>
      </c>
      <c r="K81" s="380" t="e">
        <f t="shared" si="15"/>
        <v>#DIV/0!</v>
      </c>
      <c r="L81" s="380" t="e">
        <f t="shared" si="15"/>
        <v>#DIV/0!</v>
      </c>
      <c r="M81" s="380" t="e">
        <f t="shared" si="15"/>
        <v>#DIV/0!</v>
      </c>
      <c r="N81" s="380" t="e">
        <f t="shared" si="15"/>
        <v>#DIV/0!</v>
      </c>
      <c r="O81" s="380" t="e">
        <f t="shared" si="15"/>
        <v>#DIV/0!</v>
      </c>
      <c r="P81" s="380" t="e">
        <f t="shared" si="15"/>
        <v>#DIV/0!</v>
      </c>
      <c r="Q81" s="380" t="e">
        <f t="shared" si="15"/>
        <v>#DIV/0!</v>
      </c>
      <c r="R81" s="380" t="e">
        <f t="shared" si="15"/>
        <v>#DIV/0!</v>
      </c>
      <c r="S81" s="380" t="e">
        <f t="shared" si="15"/>
        <v>#DIV/0!</v>
      </c>
      <c r="T81" s="380" t="e">
        <f t="shared" si="15"/>
        <v>#DIV/0!</v>
      </c>
      <c r="U81" s="380" t="e">
        <f t="shared" si="15"/>
        <v>#DIV/0!</v>
      </c>
      <c r="V81" s="380" t="e">
        <f t="shared" si="15"/>
        <v>#DIV/0!</v>
      </c>
      <c r="W81" s="380" t="e">
        <f t="shared" si="15"/>
        <v>#DIV/0!</v>
      </c>
      <c r="X81" s="380" t="e">
        <f t="shared" si="15"/>
        <v>#DIV/0!</v>
      </c>
      <c r="Y81" s="380" t="e">
        <f t="shared" si="15"/>
        <v>#DIV/0!</v>
      </c>
      <c r="Z81" s="380" t="e">
        <f t="shared" si="15"/>
        <v>#DIV/0!</v>
      </c>
      <c r="AA81" s="380" t="e">
        <f t="shared" si="15"/>
        <v>#DIV/0!</v>
      </c>
      <c r="AB81" s="380" t="e">
        <f t="shared" si="15"/>
        <v>#DIV/0!</v>
      </c>
      <c r="AC81" s="380" t="e">
        <f t="shared" si="15"/>
        <v>#DIV/0!</v>
      </c>
      <c r="AD81" s="380" t="e">
        <f t="shared" si="15"/>
        <v>#DIV/0!</v>
      </c>
      <c r="AE81" s="380" t="e">
        <f t="shared" si="15"/>
        <v>#DIV/0!</v>
      </c>
      <c r="AF81" s="380" t="e">
        <f t="shared" si="15"/>
        <v>#DIV/0!</v>
      </c>
      <c r="AG81" s="380" t="e">
        <f t="shared" si="15"/>
        <v>#DIV/0!</v>
      </c>
      <c r="AH81" s="380" t="e">
        <f t="shared" si="15"/>
        <v>#DIV/0!</v>
      </c>
      <c r="AI81" s="380" t="e">
        <f t="shared" si="15"/>
        <v>#DIV/0!</v>
      </c>
      <c r="AJ81" s="380" t="e">
        <f t="shared" si="15"/>
        <v>#DIV/0!</v>
      </c>
      <c r="AK81" s="380" t="e">
        <f t="shared" ref="AK81:BP81" si="16">((VLOOKUP(AK79, voc_nonwork,31,FALSE)) + (VLOOKUP(AK79, voc_nonwork,32,0))*$E$6 + (VLOOKUP(AK79, voc_nonwork,33,0))*$E$6^2 + (VLOOKUP(AK79, voc_nonwork,34,0))*$E$6^3)/$E$6</f>
        <v>#DIV/0!</v>
      </c>
      <c r="AL81" s="380" t="e">
        <f t="shared" si="16"/>
        <v>#DIV/0!</v>
      </c>
      <c r="AM81" s="380" t="e">
        <f t="shared" si="16"/>
        <v>#DIV/0!</v>
      </c>
      <c r="AN81" s="380" t="e">
        <f t="shared" si="16"/>
        <v>#DIV/0!</v>
      </c>
      <c r="AO81" s="380" t="e">
        <f t="shared" si="16"/>
        <v>#DIV/0!</v>
      </c>
      <c r="AP81" s="380" t="e">
        <f t="shared" si="16"/>
        <v>#DIV/0!</v>
      </c>
      <c r="AQ81" s="380" t="e">
        <f t="shared" si="16"/>
        <v>#DIV/0!</v>
      </c>
      <c r="AR81" s="380" t="e">
        <f t="shared" si="16"/>
        <v>#DIV/0!</v>
      </c>
      <c r="AS81" s="380" t="e">
        <f t="shared" si="16"/>
        <v>#DIV/0!</v>
      </c>
      <c r="AT81" s="380" t="e">
        <f t="shared" si="16"/>
        <v>#DIV/0!</v>
      </c>
      <c r="AU81" s="380" t="e">
        <f t="shared" si="16"/>
        <v>#DIV/0!</v>
      </c>
      <c r="AV81" s="380" t="e">
        <f t="shared" si="16"/>
        <v>#DIV/0!</v>
      </c>
      <c r="AW81" s="380" t="e">
        <f t="shared" si="16"/>
        <v>#DIV/0!</v>
      </c>
      <c r="AX81" s="380" t="e">
        <f t="shared" si="16"/>
        <v>#DIV/0!</v>
      </c>
      <c r="AY81" s="380" t="e">
        <f t="shared" si="16"/>
        <v>#DIV/0!</v>
      </c>
      <c r="AZ81" s="380" t="e">
        <f t="shared" si="16"/>
        <v>#DIV/0!</v>
      </c>
      <c r="BA81" s="380" t="e">
        <f t="shared" si="16"/>
        <v>#DIV/0!</v>
      </c>
      <c r="BB81" s="380" t="e">
        <f t="shared" si="16"/>
        <v>#DIV/0!</v>
      </c>
      <c r="BC81" s="380" t="e">
        <f t="shared" si="16"/>
        <v>#DIV/0!</v>
      </c>
      <c r="BD81" s="380" t="e">
        <f t="shared" si="16"/>
        <v>#DIV/0!</v>
      </c>
      <c r="BE81" s="380" t="e">
        <f t="shared" si="16"/>
        <v>#DIV/0!</v>
      </c>
      <c r="BF81" s="380" t="e">
        <f t="shared" si="16"/>
        <v>#DIV/0!</v>
      </c>
      <c r="BG81" s="380" t="e">
        <f t="shared" si="16"/>
        <v>#DIV/0!</v>
      </c>
      <c r="BH81" s="380" t="e">
        <f t="shared" si="16"/>
        <v>#DIV/0!</v>
      </c>
      <c r="BI81" s="380" t="e">
        <f t="shared" si="16"/>
        <v>#DIV/0!</v>
      </c>
      <c r="BJ81" s="380" t="e">
        <f t="shared" si="16"/>
        <v>#DIV/0!</v>
      </c>
      <c r="BK81" s="380" t="e">
        <f t="shared" si="16"/>
        <v>#DIV/0!</v>
      </c>
      <c r="BL81" s="380" t="e">
        <f t="shared" si="16"/>
        <v>#DIV/0!</v>
      </c>
      <c r="BM81" s="380" t="e">
        <f t="shared" si="16"/>
        <v>#DIV/0!</v>
      </c>
      <c r="BN81" s="380" t="e">
        <f t="shared" si="16"/>
        <v>#DIV/0!</v>
      </c>
      <c r="BO81" s="380" t="e">
        <f t="shared" si="16"/>
        <v>#DIV/0!</v>
      </c>
      <c r="BP81" s="380" t="e">
        <f t="shared" si="16"/>
        <v>#DIV/0!</v>
      </c>
      <c r="BQ81" s="380" t="e">
        <f t="shared" ref="BQ81:CF81" si="17">((VLOOKUP(BQ79, voc_nonwork,31,FALSE)) + (VLOOKUP(BQ79, voc_nonwork,32,0))*$E$6 + (VLOOKUP(BQ79, voc_nonwork,33,0))*$E$6^2 + (VLOOKUP(BQ79, voc_nonwork,34,0))*$E$6^3)/$E$6</f>
        <v>#DIV/0!</v>
      </c>
      <c r="BR81" s="380" t="e">
        <f t="shared" si="17"/>
        <v>#DIV/0!</v>
      </c>
      <c r="BS81" s="380" t="e">
        <f t="shared" si="17"/>
        <v>#DIV/0!</v>
      </c>
      <c r="BT81" s="380" t="e">
        <f t="shared" si="17"/>
        <v>#DIV/0!</v>
      </c>
      <c r="BU81" s="380" t="e">
        <f t="shared" si="17"/>
        <v>#DIV/0!</v>
      </c>
      <c r="BV81" s="380" t="e">
        <f t="shared" si="17"/>
        <v>#DIV/0!</v>
      </c>
      <c r="BW81" s="380" t="e">
        <f t="shared" si="17"/>
        <v>#DIV/0!</v>
      </c>
      <c r="BX81" s="380" t="e">
        <f t="shared" si="17"/>
        <v>#DIV/0!</v>
      </c>
      <c r="BY81" s="380" t="e">
        <f t="shared" si="17"/>
        <v>#DIV/0!</v>
      </c>
      <c r="BZ81" s="380" t="e">
        <f t="shared" si="17"/>
        <v>#DIV/0!</v>
      </c>
      <c r="CA81" s="380" t="e">
        <f t="shared" si="17"/>
        <v>#DIV/0!</v>
      </c>
      <c r="CB81" s="380" t="e">
        <f t="shared" si="17"/>
        <v>#DIV/0!</v>
      </c>
      <c r="CC81" s="380" t="e">
        <f t="shared" si="17"/>
        <v>#DIV/0!</v>
      </c>
      <c r="CD81" s="380" t="e">
        <f t="shared" si="17"/>
        <v>#DIV/0!</v>
      </c>
      <c r="CE81" s="380" t="e">
        <f t="shared" si="17"/>
        <v>#DIV/0!</v>
      </c>
      <c r="CF81" s="380" t="e">
        <f t="shared" si="17"/>
        <v>#DIV/0!</v>
      </c>
    </row>
    <row r="82" spans="1:84">
      <c r="D82" s="365"/>
      <c r="E82" s="365"/>
      <c r="F82" s="365"/>
      <c r="G82" s="729"/>
    </row>
    <row r="83" spans="1:84">
      <c r="C83" s="360" t="s">
        <v>258</v>
      </c>
    </row>
    <row r="84" spans="1:84">
      <c r="D84" s="380"/>
      <c r="E84" s="728">
        <v>2010</v>
      </c>
      <c r="F84" s="728">
        <v>2011</v>
      </c>
      <c r="G84" s="728">
        <v>2012</v>
      </c>
      <c r="H84" s="728">
        <v>2013</v>
      </c>
      <c r="I84" s="728">
        <v>2014</v>
      </c>
      <c r="J84" s="728">
        <v>2015</v>
      </c>
      <c r="K84" s="728">
        <v>2016</v>
      </c>
      <c r="L84" s="728">
        <v>2017</v>
      </c>
      <c r="M84" s="728">
        <v>2018</v>
      </c>
      <c r="N84" s="728">
        <v>2019</v>
      </c>
      <c r="O84" s="728">
        <v>2020</v>
      </c>
      <c r="P84" s="728">
        <v>2021</v>
      </c>
      <c r="Q84" s="728">
        <v>2022</v>
      </c>
      <c r="R84" s="728">
        <v>2023</v>
      </c>
      <c r="S84" s="728">
        <v>2024</v>
      </c>
      <c r="T84" s="728">
        <v>2025</v>
      </c>
      <c r="U84" s="728">
        <v>2026</v>
      </c>
      <c r="V84" s="728">
        <v>2027</v>
      </c>
      <c r="W84" s="728">
        <v>2028</v>
      </c>
      <c r="X84" s="728">
        <v>2029</v>
      </c>
      <c r="Y84" s="728">
        <v>2030</v>
      </c>
      <c r="Z84" s="728">
        <v>2031</v>
      </c>
      <c r="AA84" s="728">
        <v>2032</v>
      </c>
      <c r="AB84" s="728">
        <v>2033</v>
      </c>
      <c r="AC84" s="728">
        <v>2034</v>
      </c>
      <c r="AD84" s="728">
        <v>2035</v>
      </c>
      <c r="AE84" s="728">
        <v>2036</v>
      </c>
      <c r="AF84" s="728">
        <v>2037</v>
      </c>
      <c r="AG84" s="728">
        <v>2038</v>
      </c>
      <c r="AH84" s="728">
        <v>2039</v>
      </c>
      <c r="AI84" s="728">
        <v>2040</v>
      </c>
      <c r="AJ84" s="728">
        <v>2041</v>
      </c>
      <c r="AK84" s="728">
        <v>2042</v>
      </c>
      <c r="AL84" s="728">
        <v>2043</v>
      </c>
      <c r="AM84" s="728">
        <v>2044</v>
      </c>
      <c r="AN84" s="728">
        <v>2045</v>
      </c>
      <c r="AO84" s="728">
        <v>2046</v>
      </c>
      <c r="AP84" s="728">
        <v>2047</v>
      </c>
      <c r="AQ84" s="728">
        <v>2048</v>
      </c>
      <c r="AR84" s="728">
        <v>2049</v>
      </c>
      <c r="AS84" s="728">
        <v>2050</v>
      </c>
      <c r="AT84" s="728">
        <v>2051</v>
      </c>
      <c r="AU84" s="728">
        <v>2052</v>
      </c>
      <c r="AV84" s="728">
        <v>2053</v>
      </c>
      <c r="AW84" s="728">
        <v>2054</v>
      </c>
      <c r="AX84" s="728">
        <v>2055</v>
      </c>
      <c r="AY84" s="728">
        <v>2056</v>
      </c>
      <c r="AZ84" s="728">
        <v>2057</v>
      </c>
      <c r="BA84" s="728">
        <v>2058</v>
      </c>
      <c r="BB84" s="728">
        <v>2059</v>
      </c>
      <c r="BC84" s="728">
        <v>2060</v>
      </c>
      <c r="BD84" s="728">
        <v>2061</v>
      </c>
      <c r="BE84" s="728">
        <v>2062</v>
      </c>
      <c r="BF84" s="728">
        <v>2063</v>
      </c>
      <c r="BG84" s="728">
        <v>2064</v>
      </c>
      <c r="BH84" s="728">
        <v>2065</v>
      </c>
      <c r="BI84" s="728">
        <v>2066</v>
      </c>
      <c r="BJ84" s="728">
        <v>2067</v>
      </c>
      <c r="BK84" s="728">
        <v>2068</v>
      </c>
      <c r="BL84" s="728">
        <v>2069</v>
      </c>
      <c r="BM84" s="728">
        <v>2070</v>
      </c>
      <c r="BN84" s="728">
        <v>2071</v>
      </c>
      <c r="BO84" s="728">
        <v>2072</v>
      </c>
      <c r="BP84" s="728">
        <v>2073</v>
      </c>
      <c r="BQ84" s="728">
        <v>2074</v>
      </c>
      <c r="BR84" s="728">
        <v>2075</v>
      </c>
      <c r="BS84" s="728">
        <v>2076</v>
      </c>
      <c r="BT84" s="728">
        <v>2077</v>
      </c>
      <c r="BU84" s="728">
        <v>2078</v>
      </c>
      <c r="BV84" s="728">
        <v>2079</v>
      </c>
      <c r="BW84" s="728">
        <v>2080</v>
      </c>
      <c r="BX84" s="728">
        <v>2081</v>
      </c>
      <c r="BY84" s="728">
        <v>2082</v>
      </c>
      <c r="BZ84" s="728">
        <v>2083</v>
      </c>
      <c r="CA84" s="728">
        <v>2084</v>
      </c>
      <c r="CB84" s="728">
        <v>2085</v>
      </c>
      <c r="CC84" s="728">
        <v>2086</v>
      </c>
      <c r="CD84" s="728">
        <v>2087</v>
      </c>
      <c r="CE84" s="728">
        <v>2088</v>
      </c>
      <c r="CF84" s="728">
        <v>2089</v>
      </c>
    </row>
    <row r="85" spans="1:84">
      <c r="D85" s="380" t="s">
        <v>87</v>
      </c>
      <c r="E85" s="380" t="e">
        <f>(E74*('Table A.1.3.4'!$Q$27+'Table A.1.3.4'!$Q$28) + (E80*'Table A.1.3.4'!$Q$29))/100</f>
        <v>#DIV/0!</v>
      </c>
      <c r="F85" s="380" t="e">
        <f>(F74*('Table A.1.3.4'!$Q$27+'Table A.1.3.4'!$Q$28) + (F80*'Table A.1.3.4'!$Q$29))/100</f>
        <v>#DIV/0!</v>
      </c>
      <c r="G85" s="380" t="e">
        <f>(G74*('Table A.1.3.4'!$Q$27+'Table A.1.3.4'!$Q$28) + (G80*'Table A.1.3.4'!$Q$29))/100</f>
        <v>#DIV/0!</v>
      </c>
      <c r="H85" s="380" t="e">
        <f>(H74*('Table A.1.3.4'!$Q$27+'Table A.1.3.4'!$Q$28) + (H80*'Table A.1.3.4'!$Q$29))/100</f>
        <v>#DIV/0!</v>
      </c>
      <c r="I85" s="380" t="e">
        <f>(I74*('Table A.1.3.4'!$Q$27+'Table A.1.3.4'!$Q$28) + (I80*'Table A.1.3.4'!$Q$29))/100</f>
        <v>#DIV/0!</v>
      </c>
      <c r="J85" s="380" t="e">
        <f>(J74*('Table A.1.3.4'!$Q$27+'Table A.1.3.4'!$Q$28) + (J80*'Table A.1.3.4'!$Q$29))/100</f>
        <v>#DIV/0!</v>
      </c>
      <c r="K85" s="380" t="e">
        <f>(K74*('Table A.1.3.4'!$Q$27+'Table A.1.3.4'!$Q$28) + (K80*'Table A.1.3.4'!$Q$29))/100</f>
        <v>#DIV/0!</v>
      </c>
      <c r="L85" s="380" t="e">
        <f>(L74*('Table A.1.3.4'!$Q$27+'Table A.1.3.4'!$Q$28) + (L80*'Table A.1.3.4'!$Q$29))/100</f>
        <v>#DIV/0!</v>
      </c>
      <c r="M85" s="380" t="e">
        <f>(M74*('Table A.1.3.4'!$Q$27+'Table A.1.3.4'!$Q$28) + (M80*'Table A.1.3.4'!$Q$29))/100</f>
        <v>#DIV/0!</v>
      </c>
      <c r="N85" s="380" t="e">
        <f>(N74*('Table A.1.3.4'!$Q$27+'Table A.1.3.4'!$Q$28) + (N80*'Table A.1.3.4'!$Q$29))/100</f>
        <v>#DIV/0!</v>
      </c>
      <c r="O85" s="380" t="e">
        <f>(O74*('Table A.1.3.4'!$Q$27+'Table A.1.3.4'!$Q$28) + (O80*'Table A.1.3.4'!$Q$29))/100</f>
        <v>#DIV/0!</v>
      </c>
      <c r="P85" s="380" t="e">
        <f>(P74*('Table A.1.3.4'!$Q$27+'Table A.1.3.4'!$Q$28) + (P80*'Table A.1.3.4'!$Q$29))/100</f>
        <v>#DIV/0!</v>
      </c>
      <c r="Q85" s="380" t="e">
        <f>(Q74*('Table A.1.3.4'!$Q$27+'Table A.1.3.4'!$Q$28) + (Q80*'Table A.1.3.4'!$Q$29))/100</f>
        <v>#DIV/0!</v>
      </c>
      <c r="R85" s="380" t="e">
        <f>(R74*('Table A.1.3.4'!$Q$27+'Table A.1.3.4'!$Q$28) + (R80*'Table A.1.3.4'!$Q$29))/100</f>
        <v>#DIV/0!</v>
      </c>
      <c r="S85" s="380" t="e">
        <f>(S74*('Table A.1.3.4'!$Q$27+'Table A.1.3.4'!$Q$28) + (S80*'Table A.1.3.4'!$Q$29))/100</f>
        <v>#DIV/0!</v>
      </c>
      <c r="T85" s="380" t="e">
        <f>(T74*('Table A.1.3.4'!$Q$27+'Table A.1.3.4'!$Q$28) + (T80*'Table A.1.3.4'!$Q$29))/100</f>
        <v>#DIV/0!</v>
      </c>
      <c r="U85" s="380" t="e">
        <f>(U74*('Table A.1.3.4'!$Q$27+'Table A.1.3.4'!$Q$28) + (U80*'Table A.1.3.4'!$Q$29))/100</f>
        <v>#DIV/0!</v>
      </c>
      <c r="V85" s="380" t="e">
        <f>(V74*('Table A.1.3.4'!$Q$27+'Table A.1.3.4'!$Q$28) + (V80*'Table A.1.3.4'!$Q$29))/100</f>
        <v>#DIV/0!</v>
      </c>
      <c r="W85" s="380" t="e">
        <f>(W74*('Table A.1.3.4'!$Q$27+'Table A.1.3.4'!$Q$28) + (W80*'Table A.1.3.4'!$Q$29))/100</f>
        <v>#DIV/0!</v>
      </c>
      <c r="X85" s="380" t="e">
        <f>(X74*('Table A.1.3.4'!$Q$27+'Table A.1.3.4'!$Q$28) + (X80*'Table A.1.3.4'!$Q$29))/100</f>
        <v>#DIV/0!</v>
      </c>
      <c r="Y85" s="380" t="e">
        <f>(Y74*('Table A.1.3.4'!$Q$27+'Table A.1.3.4'!$Q$28) + (Y80*'Table A.1.3.4'!$Q$29))/100</f>
        <v>#DIV/0!</v>
      </c>
      <c r="Z85" s="380" t="e">
        <f>(Z74*('Table A.1.3.4'!$Q$27+'Table A.1.3.4'!$Q$28) + (Z80*'Table A.1.3.4'!$Q$29))/100</f>
        <v>#DIV/0!</v>
      </c>
      <c r="AA85" s="380" t="e">
        <f>(AA74*('Table A.1.3.4'!$Q$27+'Table A.1.3.4'!$Q$28) + (AA80*'Table A.1.3.4'!$Q$29))/100</f>
        <v>#DIV/0!</v>
      </c>
      <c r="AB85" s="380" t="e">
        <f>(AB74*('Table A.1.3.4'!$Q$27+'Table A.1.3.4'!$Q$28) + (AB80*'Table A.1.3.4'!$Q$29))/100</f>
        <v>#DIV/0!</v>
      </c>
      <c r="AC85" s="380" t="e">
        <f>(AC74*('Table A.1.3.4'!$Q$27+'Table A.1.3.4'!$Q$28) + (AC80*'Table A.1.3.4'!$Q$29))/100</f>
        <v>#DIV/0!</v>
      </c>
      <c r="AD85" s="380" t="e">
        <f>(AD74*('Table A.1.3.4'!$Q$27+'Table A.1.3.4'!$Q$28) + (AD80*'Table A.1.3.4'!$Q$29))/100</f>
        <v>#DIV/0!</v>
      </c>
      <c r="AE85" s="380" t="e">
        <f>(AE74*('Table A.1.3.4'!$Q$27+'Table A.1.3.4'!$Q$28) + (AE80*'Table A.1.3.4'!$Q$29))/100</f>
        <v>#DIV/0!</v>
      </c>
      <c r="AF85" s="380" t="e">
        <f>(AF74*('Table A.1.3.4'!$Q$27+'Table A.1.3.4'!$Q$28) + (AF80*'Table A.1.3.4'!$Q$29))/100</f>
        <v>#DIV/0!</v>
      </c>
      <c r="AG85" s="380" t="e">
        <f>(AG74*('Table A.1.3.4'!$Q$27+'Table A.1.3.4'!$Q$28) + (AG80*'Table A.1.3.4'!$Q$29))/100</f>
        <v>#DIV/0!</v>
      </c>
      <c r="AH85" s="380" t="e">
        <f>(AH74*('Table A.1.3.4'!$Q$27+'Table A.1.3.4'!$Q$28) + (AH80*'Table A.1.3.4'!$Q$29))/100</f>
        <v>#DIV/0!</v>
      </c>
      <c r="AI85" s="380" t="e">
        <f>(AI74*('Table A.1.3.4'!$Q$27+'Table A.1.3.4'!$Q$28) + (AI80*'Table A.1.3.4'!$Q$29))/100</f>
        <v>#DIV/0!</v>
      </c>
      <c r="AJ85" s="380" t="e">
        <f>(AJ74*('Table A.1.3.4'!$Q$27+'Table A.1.3.4'!$Q$28) + (AJ80*'Table A.1.3.4'!$Q$29))/100</f>
        <v>#DIV/0!</v>
      </c>
      <c r="AK85" s="380" t="e">
        <f>(AK74*('Table A.1.3.4'!$Q$27+'Table A.1.3.4'!$Q$28) + (AK80*'Table A.1.3.4'!$Q$29))/100</f>
        <v>#DIV/0!</v>
      </c>
      <c r="AL85" s="380" t="e">
        <f>(AL74*('Table A.1.3.4'!$Q$27+'Table A.1.3.4'!$Q$28) + (AL80*'Table A.1.3.4'!$Q$29))/100</f>
        <v>#DIV/0!</v>
      </c>
      <c r="AM85" s="380" t="e">
        <f>(AM74*('Table A.1.3.4'!$Q$27+'Table A.1.3.4'!$Q$28) + (AM80*'Table A.1.3.4'!$Q$29))/100</f>
        <v>#DIV/0!</v>
      </c>
      <c r="AN85" s="380" t="e">
        <f>(AN74*('Table A.1.3.4'!$Q$27+'Table A.1.3.4'!$Q$28) + (AN80*'Table A.1.3.4'!$Q$29))/100</f>
        <v>#DIV/0!</v>
      </c>
      <c r="AO85" s="380" t="e">
        <f>(AO74*('Table A.1.3.4'!$Q$27+'Table A.1.3.4'!$Q$28) + (AO80*'Table A.1.3.4'!$Q$29))/100</f>
        <v>#DIV/0!</v>
      </c>
      <c r="AP85" s="380" t="e">
        <f>(AP74*('Table A.1.3.4'!$Q$27+'Table A.1.3.4'!$Q$28) + (AP80*'Table A.1.3.4'!$Q$29))/100</f>
        <v>#DIV/0!</v>
      </c>
      <c r="AQ85" s="380" t="e">
        <f>(AQ74*('Table A.1.3.4'!$Q$27+'Table A.1.3.4'!$Q$28) + (AQ80*'Table A.1.3.4'!$Q$29))/100</f>
        <v>#DIV/0!</v>
      </c>
      <c r="AR85" s="380" t="e">
        <f>(AR74*('Table A.1.3.4'!$Q$27+'Table A.1.3.4'!$Q$28) + (AR80*'Table A.1.3.4'!$Q$29))/100</f>
        <v>#DIV/0!</v>
      </c>
      <c r="AS85" s="380" t="e">
        <f>(AS74*('Table A.1.3.4'!$Q$27+'Table A.1.3.4'!$Q$28) + (AS80*'Table A.1.3.4'!$Q$29))/100</f>
        <v>#DIV/0!</v>
      </c>
      <c r="AT85" s="380" t="e">
        <f>(AT74*('Table A.1.3.4'!$Q$27+'Table A.1.3.4'!$Q$28) + (AT80*'Table A.1.3.4'!$Q$29))/100</f>
        <v>#DIV/0!</v>
      </c>
      <c r="AU85" s="380" t="e">
        <f>(AU74*('Table A.1.3.4'!$Q$27+'Table A.1.3.4'!$Q$28) + (AU80*'Table A.1.3.4'!$Q$29))/100</f>
        <v>#DIV/0!</v>
      </c>
      <c r="AV85" s="380" t="e">
        <f>(AV74*('Table A.1.3.4'!$Q$27+'Table A.1.3.4'!$Q$28) + (AV80*'Table A.1.3.4'!$Q$29))/100</f>
        <v>#DIV/0!</v>
      </c>
      <c r="AW85" s="380" t="e">
        <f>(AW74*('Table A.1.3.4'!$Q$27+'Table A.1.3.4'!$Q$28) + (AW80*'Table A.1.3.4'!$Q$29))/100</f>
        <v>#DIV/0!</v>
      </c>
      <c r="AX85" s="380" t="e">
        <f>(AX74*('Table A.1.3.4'!$Q$27+'Table A.1.3.4'!$Q$28) + (AX80*'Table A.1.3.4'!$Q$29))/100</f>
        <v>#DIV/0!</v>
      </c>
      <c r="AY85" s="380" t="e">
        <f>(AY74*('Table A.1.3.4'!$Q$27+'Table A.1.3.4'!$Q$28) + (AY80*'Table A.1.3.4'!$Q$29))/100</f>
        <v>#DIV/0!</v>
      </c>
      <c r="AZ85" s="380" t="e">
        <f>(AZ74*('Table A.1.3.4'!$Q$27+'Table A.1.3.4'!$Q$28) + (AZ80*'Table A.1.3.4'!$Q$29))/100</f>
        <v>#DIV/0!</v>
      </c>
      <c r="BA85" s="380" t="e">
        <f>(BA74*('Table A.1.3.4'!$Q$27+'Table A.1.3.4'!$Q$28) + (BA80*'Table A.1.3.4'!$Q$29))/100</f>
        <v>#DIV/0!</v>
      </c>
      <c r="BB85" s="380" t="e">
        <f>(BB74*('Table A.1.3.4'!$Q$27+'Table A.1.3.4'!$Q$28) + (BB80*'Table A.1.3.4'!$Q$29))/100</f>
        <v>#DIV/0!</v>
      </c>
      <c r="BC85" s="380" t="e">
        <f>(BC74*('Table A.1.3.4'!$Q$27+'Table A.1.3.4'!$Q$28) + (BC80*'Table A.1.3.4'!$Q$29))/100</f>
        <v>#DIV/0!</v>
      </c>
      <c r="BD85" s="380" t="e">
        <f>(BD74*('Table A.1.3.4'!$Q$27+'Table A.1.3.4'!$Q$28) + (BD80*'Table A.1.3.4'!$Q$29))/100</f>
        <v>#DIV/0!</v>
      </c>
      <c r="BE85" s="380" t="e">
        <f>(BE74*('Table A.1.3.4'!$Q$27+'Table A.1.3.4'!$Q$28) + (BE80*'Table A.1.3.4'!$Q$29))/100</f>
        <v>#DIV/0!</v>
      </c>
      <c r="BF85" s="380" t="e">
        <f>(BF74*('Table A.1.3.4'!$Q$27+'Table A.1.3.4'!$Q$28) + (BF80*'Table A.1.3.4'!$Q$29))/100</f>
        <v>#DIV/0!</v>
      </c>
      <c r="BG85" s="380" t="e">
        <f>(BG74*('Table A.1.3.4'!$Q$27+'Table A.1.3.4'!$Q$28) + (BG80*'Table A.1.3.4'!$Q$29))/100</f>
        <v>#DIV/0!</v>
      </c>
      <c r="BH85" s="380" t="e">
        <f>(BH74*('Table A.1.3.4'!$Q$27+'Table A.1.3.4'!$Q$28) + (BH80*'Table A.1.3.4'!$Q$29))/100</f>
        <v>#DIV/0!</v>
      </c>
      <c r="BI85" s="380" t="e">
        <f>(BI74*('Table A.1.3.4'!$Q$27+'Table A.1.3.4'!$Q$28) + (BI80*'Table A.1.3.4'!$Q$29))/100</f>
        <v>#DIV/0!</v>
      </c>
      <c r="BJ85" s="380" t="e">
        <f>(BJ74*('Table A.1.3.4'!$Q$27+'Table A.1.3.4'!$Q$28) + (BJ80*'Table A.1.3.4'!$Q$29))/100</f>
        <v>#DIV/0!</v>
      </c>
      <c r="BK85" s="380" t="e">
        <f>(BK74*('Table A.1.3.4'!$Q$27+'Table A.1.3.4'!$Q$28) + (BK80*'Table A.1.3.4'!$Q$29))/100</f>
        <v>#DIV/0!</v>
      </c>
      <c r="BL85" s="380" t="e">
        <f>(BL74*('Table A.1.3.4'!$Q$27+'Table A.1.3.4'!$Q$28) + (BL80*'Table A.1.3.4'!$Q$29))/100</f>
        <v>#DIV/0!</v>
      </c>
      <c r="BM85" s="380" t="e">
        <f>(BM74*('Table A.1.3.4'!$Q$27+'Table A.1.3.4'!$Q$28) + (BM80*'Table A.1.3.4'!$Q$29))/100</f>
        <v>#DIV/0!</v>
      </c>
      <c r="BN85" s="380" t="e">
        <f>(BN74*('Table A.1.3.4'!$Q$27+'Table A.1.3.4'!$Q$28) + (BN80*'Table A.1.3.4'!$Q$29))/100</f>
        <v>#DIV/0!</v>
      </c>
      <c r="BO85" s="380" t="e">
        <f>(BO74*('Table A.1.3.4'!$Q$27+'Table A.1.3.4'!$Q$28) + (BO80*'Table A.1.3.4'!$Q$29))/100</f>
        <v>#DIV/0!</v>
      </c>
      <c r="BP85" s="380" t="e">
        <f>(BP74*('Table A.1.3.4'!$Q$27+'Table A.1.3.4'!$Q$28) + (BP80*'Table A.1.3.4'!$Q$29))/100</f>
        <v>#DIV/0!</v>
      </c>
      <c r="BQ85" s="380" t="e">
        <f>(BQ74*('Table A.1.3.4'!$Q$27+'Table A.1.3.4'!$Q$28) + (BQ80*'Table A.1.3.4'!$Q$29))/100</f>
        <v>#DIV/0!</v>
      </c>
      <c r="BR85" s="380" t="e">
        <f>(BR74*('Table A.1.3.4'!$Q$27+'Table A.1.3.4'!$Q$28) + (BR80*'Table A.1.3.4'!$Q$29))/100</f>
        <v>#DIV/0!</v>
      </c>
      <c r="BS85" s="380" t="e">
        <f>(BS74*('Table A.1.3.4'!$Q$27+'Table A.1.3.4'!$Q$28) + (BS80*'Table A.1.3.4'!$Q$29))/100</f>
        <v>#DIV/0!</v>
      </c>
      <c r="BT85" s="380" t="e">
        <f>(BT74*('Table A.1.3.4'!$Q$27+'Table A.1.3.4'!$Q$28) + (BT80*'Table A.1.3.4'!$Q$29))/100</f>
        <v>#DIV/0!</v>
      </c>
      <c r="BU85" s="380" t="e">
        <f>(BU74*('Table A.1.3.4'!$Q$27+'Table A.1.3.4'!$Q$28) + (BU80*'Table A.1.3.4'!$Q$29))/100</f>
        <v>#DIV/0!</v>
      </c>
      <c r="BV85" s="380" t="e">
        <f>(BV74*('Table A.1.3.4'!$Q$27+'Table A.1.3.4'!$Q$28) + (BV80*'Table A.1.3.4'!$Q$29))/100</f>
        <v>#DIV/0!</v>
      </c>
      <c r="BW85" s="380" t="e">
        <f>(BW74*('Table A.1.3.4'!$Q$27+'Table A.1.3.4'!$Q$28) + (BW80*'Table A.1.3.4'!$Q$29))/100</f>
        <v>#DIV/0!</v>
      </c>
      <c r="BX85" s="380" t="e">
        <f>(BX74*('Table A.1.3.4'!$Q$27+'Table A.1.3.4'!$Q$28) + (BX80*'Table A.1.3.4'!$Q$29))/100</f>
        <v>#DIV/0!</v>
      </c>
      <c r="BY85" s="380" t="e">
        <f>(BY74*('Table A.1.3.4'!$Q$27+'Table A.1.3.4'!$Q$28) + (BY80*'Table A.1.3.4'!$Q$29))/100</f>
        <v>#DIV/0!</v>
      </c>
      <c r="BZ85" s="380" t="e">
        <f>(BZ74*('Table A.1.3.4'!$Q$27+'Table A.1.3.4'!$Q$28) + (BZ80*'Table A.1.3.4'!$Q$29))/100</f>
        <v>#DIV/0!</v>
      </c>
      <c r="CA85" s="380" t="e">
        <f>(CA74*('Table A.1.3.4'!$Q$27+'Table A.1.3.4'!$Q$28) + (CA80*'Table A.1.3.4'!$Q$29))/100</f>
        <v>#DIV/0!</v>
      </c>
      <c r="CB85" s="380" t="e">
        <f>(CB74*('Table A.1.3.4'!$Q$27+'Table A.1.3.4'!$Q$28) + (CB80*'Table A.1.3.4'!$Q$29))/100</f>
        <v>#DIV/0!</v>
      </c>
      <c r="CC85" s="380" t="e">
        <f>(CC74*('Table A.1.3.4'!$Q$27+'Table A.1.3.4'!$Q$28) + (CC80*'Table A.1.3.4'!$Q$29))/100</f>
        <v>#DIV/0!</v>
      </c>
      <c r="CD85" s="380" t="e">
        <f>(CD74*('Table A.1.3.4'!$Q$27+'Table A.1.3.4'!$Q$28) + (CD80*'Table A.1.3.4'!$Q$29))/100</f>
        <v>#DIV/0!</v>
      </c>
      <c r="CE85" s="380" t="e">
        <f>(CE74*('Table A.1.3.4'!$Q$27+'Table A.1.3.4'!$Q$28) + (CE80*'Table A.1.3.4'!$Q$29))/100</f>
        <v>#DIV/0!</v>
      </c>
      <c r="CF85" s="380" t="e">
        <f>(CF74*('Table A.1.3.4'!$Q$27+'Table A.1.3.4'!$Q$28) + (CF80*'Table A.1.3.4'!$Q$29))/100</f>
        <v>#DIV/0!</v>
      </c>
    </row>
    <row r="86" spans="1:84">
      <c r="A86" s="360" t="s">
        <v>259</v>
      </c>
      <c r="D86" s="380" t="s">
        <v>89</v>
      </c>
      <c r="E86" s="380" t="e">
        <f>((E75*'Table A.1.3.4'!$Q$30)+(E81*'Table A.1.3.4'!$Q$31))/100</f>
        <v>#DIV/0!</v>
      </c>
      <c r="F86" s="380" t="e">
        <f>((F75*'Table A.1.3.4'!$Q$30)+(F81*'Table A.1.3.4'!$Q$31))/100</f>
        <v>#DIV/0!</v>
      </c>
      <c r="G86" s="380" t="e">
        <f>((G75*'Table A.1.3.4'!$Q$30)+(G81*'Table A.1.3.4'!$Q$31))/100</f>
        <v>#DIV/0!</v>
      </c>
      <c r="H86" s="380" t="e">
        <f>((H75*'Table A.1.3.4'!$Q$30)+(H81*'Table A.1.3.4'!$Q$31))/100</f>
        <v>#DIV/0!</v>
      </c>
      <c r="I86" s="380" t="e">
        <f>((I75*'Table A.1.3.4'!$Q$30)+(I81*'Table A.1.3.4'!$Q$31))/100</f>
        <v>#DIV/0!</v>
      </c>
      <c r="J86" s="380" t="e">
        <f>((J75*'Table A.1.3.4'!$Q$30)+(J81*'Table A.1.3.4'!$Q$31))/100</f>
        <v>#DIV/0!</v>
      </c>
      <c r="K86" s="380" t="e">
        <f>((K75*'Table A.1.3.4'!$Q$30)+(K81*'Table A.1.3.4'!$Q$31))/100</f>
        <v>#DIV/0!</v>
      </c>
      <c r="L86" s="380" t="e">
        <f>((L75*'Table A.1.3.4'!$Q$30)+(L81*'Table A.1.3.4'!$Q$31))/100</f>
        <v>#DIV/0!</v>
      </c>
      <c r="M86" s="380" t="e">
        <f>((M75*'Table A.1.3.4'!$Q$30)+(M81*'Table A.1.3.4'!$Q$31))/100</f>
        <v>#DIV/0!</v>
      </c>
      <c r="N86" s="380" t="e">
        <f>((N75*'Table A.1.3.4'!$Q$30)+(N81*'Table A.1.3.4'!$Q$31))/100</f>
        <v>#DIV/0!</v>
      </c>
      <c r="O86" s="380" t="e">
        <f>((O75*'Table A.1.3.4'!$Q$30)+(O81*'Table A.1.3.4'!$Q$31))/100</f>
        <v>#DIV/0!</v>
      </c>
      <c r="P86" s="380" t="e">
        <f>((P75*'Table A.1.3.4'!$Q$30)+(P81*'Table A.1.3.4'!$Q$31))/100</f>
        <v>#DIV/0!</v>
      </c>
      <c r="Q86" s="380" t="e">
        <f>((Q75*'Table A.1.3.4'!$Q$30)+(Q81*'Table A.1.3.4'!$Q$31))/100</f>
        <v>#DIV/0!</v>
      </c>
      <c r="R86" s="380" t="e">
        <f>((R75*'Table A.1.3.4'!$Q$30)+(R81*'Table A.1.3.4'!$Q$31))/100</f>
        <v>#DIV/0!</v>
      </c>
      <c r="S86" s="380" t="e">
        <f>((S75*'Table A.1.3.4'!$Q$30)+(S81*'Table A.1.3.4'!$Q$31))/100</f>
        <v>#DIV/0!</v>
      </c>
      <c r="T86" s="380" t="e">
        <f>((T75*'Table A.1.3.4'!$Q$30)+(T81*'Table A.1.3.4'!$Q$31))/100</f>
        <v>#DIV/0!</v>
      </c>
      <c r="U86" s="380" t="e">
        <f>((U75*'Table A.1.3.4'!$Q$30)+(U81*'Table A.1.3.4'!$Q$31))/100</f>
        <v>#DIV/0!</v>
      </c>
      <c r="V86" s="380" t="e">
        <f>((V75*'Table A.1.3.4'!$Q$30)+(V81*'Table A.1.3.4'!$Q$31))/100</f>
        <v>#DIV/0!</v>
      </c>
      <c r="W86" s="380" t="e">
        <f>((W75*'Table A.1.3.4'!$Q$30)+(W81*'Table A.1.3.4'!$Q$31))/100</f>
        <v>#DIV/0!</v>
      </c>
      <c r="X86" s="380" t="e">
        <f>((X75*'Table A.1.3.4'!$Q$30)+(X81*'Table A.1.3.4'!$Q$31))/100</f>
        <v>#DIV/0!</v>
      </c>
      <c r="Y86" s="380" t="e">
        <f>((Y75*'Table A.1.3.4'!$Q$30)+(Y81*'Table A.1.3.4'!$Q$31))/100</f>
        <v>#DIV/0!</v>
      </c>
      <c r="Z86" s="380" t="e">
        <f>((Z75*'Table A.1.3.4'!$Q$30)+(Z81*'Table A.1.3.4'!$Q$31))/100</f>
        <v>#DIV/0!</v>
      </c>
      <c r="AA86" s="380" t="e">
        <f>((AA75*'Table A.1.3.4'!$Q$30)+(AA81*'Table A.1.3.4'!$Q$31))/100</f>
        <v>#DIV/0!</v>
      </c>
      <c r="AB86" s="380" t="e">
        <f>((AB75*'Table A.1.3.4'!$Q$30)+(AB81*'Table A.1.3.4'!$Q$31))/100</f>
        <v>#DIV/0!</v>
      </c>
      <c r="AC86" s="380" t="e">
        <f>((AC75*'Table A.1.3.4'!$Q$30)+(AC81*'Table A.1.3.4'!$Q$31))/100</f>
        <v>#DIV/0!</v>
      </c>
      <c r="AD86" s="380" t="e">
        <f>((AD75*'Table A.1.3.4'!$Q$30)+(AD81*'Table A.1.3.4'!$Q$31))/100</f>
        <v>#DIV/0!</v>
      </c>
      <c r="AE86" s="380" t="e">
        <f>((AE75*'Table A.1.3.4'!$Q$30)+(AE81*'Table A.1.3.4'!$Q$31))/100</f>
        <v>#DIV/0!</v>
      </c>
      <c r="AF86" s="380" t="e">
        <f>((AF75*'Table A.1.3.4'!$Q$30)+(AF81*'Table A.1.3.4'!$Q$31))/100</f>
        <v>#DIV/0!</v>
      </c>
      <c r="AG86" s="380" t="e">
        <f>((AG75*'Table A.1.3.4'!$Q$30)+(AG81*'Table A.1.3.4'!$Q$31))/100</f>
        <v>#DIV/0!</v>
      </c>
      <c r="AH86" s="380" t="e">
        <f>((AH75*'Table A.1.3.4'!$Q$30)+(AH81*'Table A.1.3.4'!$Q$31))/100</f>
        <v>#DIV/0!</v>
      </c>
      <c r="AI86" s="380" t="e">
        <f>((AI75*'Table A.1.3.4'!$Q$30)+(AI81*'Table A.1.3.4'!$Q$31))/100</f>
        <v>#DIV/0!</v>
      </c>
      <c r="AJ86" s="380" t="e">
        <f>((AJ75*'Table A.1.3.4'!$Q$30)+(AJ81*'Table A.1.3.4'!$Q$31))/100</f>
        <v>#DIV/0!</v>
      </c>
      <c r="AK86" s="380" t="e">
        <f>((AK75*'Table A.1.3.4'!$Q$30)+(AK81*'Table A.1.3.4'!$Q$31))/100</f>
        <v>#DIV/0!</v>
      </c>
      <c r="AL86" s="380" t="e">
        <f>((AL75*'Table A.1.3.4'!$Q$30)+(AL81*'Table A.1.3.4'!$Q$31))/100</f>
        <v>#DIV/0!</v>
      </c>
      <c r="AM86" s="380" t="e">
        <f>((AM75*'Table A.1.3.4'!$Q$30)+(AM81*'Table A.1.3.4'!$Q$31))/100</f>
        <v>#DIV/0!</v>
      </c>
      <c r="AN86" s="380" t="e">
        <f>((AN75*'Table A.1.3.4'!$Q$30)+(AN81*'Table A.1.3.4'!$Q$31))/100</f>
        <v>#DIV/0!</v>
      </c>
      <c r="AO86" s="380" t="e">
        <f>((AO75*'Table A.1.3.4'!$Q$30)+(AO81*'Table A.1.3.4'!$Q$31))/100</f>
        <v>#DIV/0!</v>
      </c>
      <c r="AP86" s="380" t="e">
        <f>((AP75*'Table A.1.3.4'!$Q$30)+(AP81*'Table A.1.3.4'!$Q$31))/100</f>
        <v>#DIV/0!</v>
      </c>
      <c r="AQ86" s="380" t="e">
        <f>((AQ75*'Table A.1.3.4'!$Q$30)+(AQ81*'Table A.1.3.4'!$Q$31))/100</f>
        <v>#DIV/0!</v>
      </c>
      <c r="AR86" s="380" t="e">
        <f>((AR75*'Table A.1.3.4'!$Q$30)+(AR81*'Table A.1.3.4'!$Q$31))/100</f>
        <v>#DIV/0!</v>
      </c>
      <c r="AS86" s="380" t="e">
        <f>((AS75*'Table A.1.3.4'!$Q$30)+(AS81*'Table A.1.3.4'!$Q$31))/100</f>
        <v>#DIV/0!</v>
      </c>
      <c r="AT86" s="380" t="e">
        <f>((AT75*'Table A.1.3.4'!$Q$30)+(AT81*'Table A.1.3.4'!$Q$31))/100</f>
        <v>#DIV/0!</v>
      </c>
      <c r="AU86" s="380" t="e">
        <f>((AU75*'Table A.1.3.4'!$Q$30)+(AU81*'Table A.1.3.4'!$Q$31))/100</f>
        <v>#DIV/0!</v>
      </c>
      <c r="AV86" s="380" t="e">
        <f>((AV75*'Table A.1.3.4'!$Q$30)+(AV81*'Table A.1.3.4'!$Q$31))/100</f>
        <v>#DIV/0!</v>
      </c>
      <c r="AW86" s="380" t="e">
        <f>((AW75*'Table A.1.3.4'!$Q$30)+(AW81*'Table A.1.3.4'!$Q$31))/100</f>
        <v>#DIV/0!</v>
      </c>
      <c r="AX86" s="380" t="e">
        <f>((AX75*'Table A.1.3.4'!$Q$30)+(AX81*'Table A.1.3.4'!$Q$31))/100</f>
        <v>#DIV/0!</v>
      </c>
      <c r="AY86" s="380" t="e">
        <f>((AY75*'Table A.1.3.4'!$Q$30)+(AY81*'Table A.1.3.4'!$Q$31))/100</f>
        <v>#DIV/0!</v>
      </c>
      <c r="AZ86" s="380" t="e">
        <f>((AZ75*'Table A.1.3.4'!$Q$30)+(AZ81*'Table A.1.3.4'!$Q$31))/100</f>
        <v>#DIV/0!</v>
      </c>
      <c r="BA86" s="380" t="e">
        <f>((BA75*'Table A.1.3.4'!$Q$30)+(BA81*'Table A.1.3.4'!$Q$31))/100</f>
        <v>#DIV/0!</v>
      </c>
      <c r="BB86" s="380" t="e">
        <f>((BB75*'Table A.1.3.4'!$Q$30)+(BB81*'Table A.1.3.4'!$Q$31))/100</f>
        <v>#DIV/0!</v>
      </c>
      <c r="BC86" s="380" t="e">
        <f>((BC75*'Table A.1.3.4'!$Q$30)+(BC81*'Table A.1.3.4'!$Q$31))/100</f>
        <v>#DIV/0!</v>
      </c>
      <c r="BD86" s="380" t="e">
        <f>((BD75*'Table A.1.3.4'!$Q$30)+(BD81*'Table A.1.3.4'!$Q$31))/100</f>
        <v>#DIV/0!</v>
      </c>
      <c r="BE86" s="380" t="e">
        <f>((BE75*'Table A.1.3.4'!$Q$30)+(BE81*'Table A.1.3.4'!$Q$31))/100</f>
        <v>#DIV/0!</v>
      </c>
      <c r="BF86" s="380" t="e">
        <f>((BF75*'Table A.1.3.4'!$Q$30)+(BF81*'Table A.1.3.4'!$Q$31))/100</f>
        <v>#DIV/0!</v>
      </c>
      <c r="BG86" s="380" t="e">
        <f>((BG75*'Table A.1.3.4'!$Q$30)+(BG81*'Table A.1.3.4'!$Q$31))/100</f>
        <v>#DIV/0!</v>
      </c>
      <c r="BH86" s="380" t="e">
        <f>((BH75*'Table A.1.3.4'!$Q$30)+(BH81*'Table A.1.3.4'!$Q$31))/100</f>
        <v>#DIV/0!</v>
      </c>
      <c r="BI86" s="380" t="e">
        <f>((BI75*'Table A.1.3.4'!$Q$30)+(BI81*'Table A.1.3.4'!$Q$31))/100</f>
        <v>#DIV/0!</v>
      </c>
      <c r="BJ86" s="380" t="e">
        <f>((BJ75*'Table A.1.3.4'!$Q$30)+(BJ81*'Table A.1.3.4'!$Q$31))/100</f>
        <v>#DIV/0!</v>
      </c>
      <c r="BK86" s="380" t="e">
        <f>((BK75*'Table A.1.3.4'!$Q$30)+(BK81*'Table A.1.3.4'!$Q$31))/100</f>
        <v>#DIV/0!</v>
      </c>
      <c r="BL86" s="380" t="e">
        <f>((BL75*'Table A.1.3.4'!$Q$30)+(BL81*'Table A.1.3.4'!$Q$31))/100</f>
        <v>#DIV/0!</v>
      </c>
      <c r="BM86" s="380" t="e">
        <f>((BM75*'Table A.1.3.4'!$Q$30)+(BM81*'Table A.1.3.4'!$Q$31))/100</f>
        <v>#DIV/0!</v>
      </c>
      <c r="BN86" s="380" t="e">
        <f>((BN75*'Table A.1.3.4'!$Q$30)+(BN81*'Table A.1.3.4'!$Q$31))/100</f>
        <v>#DIV/0!</v>
      </c>
      <c r="BO86" s="380" t="e">
        <f>((BO75*'Table A.1.3.4'!$Q$30)+(BO81*'Table A.1.3.4'!$Q$31))/100</f>
        <v>#DIV/0!</v>
      </c>
      <c r="BP86" s="380" t="e">
        <f>((BP75*'Table A.1.3.4'!$Q$30)+(BP81*'Table A.1.3.4'!$Q$31))/100</f>
        <v>#DIV/0!</v>
      </c>
      <c r="BQ86" s="380" t="e">
        <f>((BQ75*'Table A.1.3.4'!$Q$30)+(BQ81*'Table A.1.3.4'!$Q$31))/100</f>
        <v>#DIV/0!</v>
      </c>
      <c r="BR86" s="380" t="e">
        <f>((BR75*'Table A.1.3.4'!$Q$30)+(BR81*'Table A.1.3.4'!$Q$31))/100</f>
        <v>#DIV/0!</v>
      </c>
      <c r="BS86" s="380" t="e">
        <f>((BS75*'Table A.1.3.4'!$Q$30)+(BS81*'Table A.1.3.4'!$Q$31))/100</f>
        <v>#DIV/0!</v>
      </c>
      <c r="BT86" s="380" t="e">
        <f>((BT75*'Table A.1.3.4'!$Q$30)+(BT81*'Table A.1.3.4'!$Q$31))/100</f>
        <v>#DIV/0!</v>
      </c>
      <c r="BU86" s="380" t="e">
        <f>((BU75*'Table A.1.3.4'!$Q$30)+(BU81*'Table A.1.3.4'!$Q$31))/100</f>
        <v>#DIV/0!</v>
      </c>
      <c r="BV86" s="380" t="e">
        <f>((BV75*'Table A.1.3.4'!$Q$30)+(BV81*'Table A.1.3.4'!$Q$31))/100</f>
        <v>#DIV/0!</v>
      </c>
      <c r="BW86" s="380" t="e">
        <f>((BW75*'Table A.1.3.4'!$Q$30)+(BW81*'Table A.1.3.4'!$Q$31))/100</f>
        <v>#DIV/0!</v>
      </c>
      <c r="BX86" s="380" t="e">
        <f>((BX75*'Table A.1.3.4'!$Q$30)+(BX81*'Table A.1.3.4'!$Q$31))/100</f>
        <v>#DIV/0!</v>
      </c>
      <c r="BY86" s="380" t="e">
        <f>((BY75*'Table A.1.3.4'!$Q$30)+(BY81*'Table A.1.3.4'!$Q$31))/100</f>
        <v>#DIV/0!</v>
      </c>
      <c r="BZ86" s="380" t="e">
        <f>((BZ75*'Table A.1.3.4'!$Q$30)+(BZ81*'Table A.1.3.4'!$Q$31))/100</f>
        <v>#DIV/0!</v>
      </c>
      <c r="CA86" s="380" t="e">
        <f>((CA75*'Table A.1.3.4'!$Q$30)+(CA81*'Table A.1.3.4'!$Q$31))/100</f>
        <v>#DIV/0!</v>
      </c>
      <c r="CB86" s="380" t="e">
        <f>((CB75*'Table A.1.3.4'!$Q$30)+(CB81*'Table A.1.3.4'!$Q$31))/100</f>
        <v>#DIV/0!</v>
      </c>
      <c r="CC86" s="380" t="e">
        <f>((CC75*'Table A.1.3.4'!$Q$30)+(CC81*'Table A.1.3.4'!$Q$31))/100</f>
        <v>#DIV/0!</v>
      </c>
      <c r="CD86" s="380" t="e">
        <f>((CD75*'Table A.1.3.4'!$Q$30)+(CD81*'Table A.1.3.4'!$Q$31))/100</f>
        <v>#DIV/0!</v>
      </c>
      <c r="CE86" s="380" t="e">
        <f>((CE75*'Table A.1.3.4'!$Q$30)+(CE81*'Table A.1.3.4'!$Q$31))/100</f>
        <v>#DIV/0!</v>
      </c>
      <c r="CF86" s="380" t="e">
        <f>((CF75*'Table A.1.3.4'!$Q$30)+(CF81*'Table A.1.3.4'!$Q$31))/100</f>
        <v>#DIV/0!</v>
      </c>
    </row>
    <row r="87" spans="1:84">
      <c r="D87" s="380" t="s">
        <v>91</v>
      </c>
      <c r="E87" s="380" t="e">
        <f t="shared" ref="E87:AJ87" si="18">E76</f>
        <v>#DIV/0!</v>
      </c>
      <c r="F87" s="380" t="e">
        <f t="shared" si="18"/>
        <v>#DIV/0!</v>
      </c>
      <c r="G87" s="380" t="e">
        <f t="shared" si="18"/>
        <v>#DIV/0!</v>
      </c>
      <c r="H87" s="380" t="e">
        <f t="shared" si="18"/>
        <v>#DIV/0!</v>
      </c>
      <c r="I87" s="380" t="e">
        <f>I76</f>
        <v>#DIV/0!</v>
      </c>
      <c r="J87" s="380" t="e">
        <f t="shared" si="18"/>
        <v>#DIV/0!</v>
      </c>
      <c r="K87" s="380" t="e">
        <f t="shared" si="18"/>
        <v>#DIV/0!</v>
      </c>
      <c r="L87" s="380" t="e">
        <f t="shared" si="18"/>
        <v>#DIV/0!</v>
      </c>
      <c r="M87" s="380" t="e">
        <f t="shared" si="18"/>
        <v>#DIV/0!</v>
      </c>
      <c r="N87" s="380" t="e">
        <f t="shared" si="18"/>
        <v>#DIV/0!</v>
      </c>
      <c r="O87" s="380" t="e">
        <f t="shared" si="18"/>
        <v>#DIV/0!</v>
      </c>
      <c r="P87" s="380" t="e">
        <f t="shared" si="18"/>
        <v>#DIV/0!</v>
      </c>
      <c r="Q87" s="380" t="e">
        <f t="shared" si="18"/>
        <v>#DIV/0!</v>
      </c>
      <c r="R87" s="380" t="e">
        <f t="shared" si="18"/>
        <v>#DIV/0!</v>
      </c>
      <c r="S87" s="380" t="e">
        <f t="shared" si="18"/>
        <v>#DIV/0!</v>
      </c>
      <c r="T87" s="380" t="e">
        <f t="shared" si="18"/>
        <v>#DIV/0!</v>
      </c>
      <c r="U87" s="380" t="e">
        <f t="shared" si="18"/>
        <v>#DIV/0!</v>
      </c>
      <c r="V87" s="380" t="e">
        <f t="shared" si="18"/>
        <v>#DIV/0!</v>
      </c>
      <c r="W87" s="380" t="e">
        <f t="shared" si="18"/>
        <v>#DIV/0!</v>
      </c>
      <c r="X87" s="380" t="e">
        <f t="shared" si="18"/>
        <v>#DIV/0!</v>
      </c>
      <c r="Y87" s="380" t="e">
        <f t="shared" si="18"/>
        <v>#DIV/0!</v>
      </c>
      <c r="Z87" s="380" t="e">
        <f t="shared" si="18"/>
        <v>#DIV/0!</v>
      </c>
      <c r="AA87" s="380" t="e">
        <f t="shared" si="18"/>
        <v>#DIV/0!</v>
      </c>
      <c r="AB87" s="380" t="e">
        <f t="shared" si="18"/>
        <v>#DIV/0!</v>
      </c>
      <c r="AC87" s="380" t="e">
        <f t="shared" si="18"/>
        <v>#DIV/0!</v>
      </c>
      <c r="AD87" s="380" t="e">
        <f t="shared" si="18"/>
        <v>#DIV/0!</v>
      </c>
      <c r="AE87" s="380" t="e">
        <f t="shared" si="18"/>
        <v>#DIV/0!</v>
      </c>
      <c r="AF87" s="380" t="e">
        <f t="shared" si="18"/>
        <v>#DIV/0!</v>
      </c>
      <c r="AG87" s="380" t="e">
        <f t="shared" si="18"/>
        <v>#DIV/0!</v>
      </c>
      <c r="AH87" s="380" t="e">
        <f t="shared" si="18"/>
        <v>#DIV/0!</v>
      </c>
      <c r="AI87" s="380" t="e">
        <f t="shared" si="18"/>
        <v>#DIV/0!</v>
      </c>
      <c r="AJ87" s="380" t="e">
        <f t="shared" si="18"/>
        <v>#DIV/0!</v>
      </c>
      <c r="AK87" s="380" t="e">
        <f t="shared" ref="AK87:BP87" si="19">AK76</f>
        <v>#DIV/0!</v>
      </c>
      <c r="AL87" s="380" t="e">
        <f t="shared" si="19"/>
        <v>#DIV/0!</v>
      </c>
      <c r="AM87" s="380" t="e">
        <f t="shared" si="19"/>
        <v>#DIV/0!</v>
      </c>
      <c r="AN87" s="380" t="e">
        <f t="shared" si="19"/>
        <v>#DIV/0!</v>
      </c>
      <c r="AO87" s="380" t="e">
        <f t="shared" si="19"/>
        <v>#DIV/0!</v>
      </c>
      <c r="AP87" s="380" t="e">
        <f t="shared" si="19"/>
        <v>#DIV/0!</v>
      </c>
      <c r="AQ87" s="380" t="e">
        <f t="shared" si="19"/>
        <v>#DIV/0!</v>
      </c>
      <c r="AR87" s="380" t="e">
        <f t="shared" si="19"/>
        <v>#DIV/0!</v>
      </c>
      <c r="AS87" s="380" t="e">
        <f t="shared" si="19"/>
        <v>#DIV/0!</v>
      </c>
      <c r="AT87" s="380" t="e">
        <f t="shared" si="19"/>
        <v>#DIV/0!</v>
      </c>
      <c r="AU87" s="380" t="e">
        <f t="shared" si="19"/>
        <v>#DIV/0!</v>
      </c>
      <c r="AV87" s="380" t="e">
        <f t="shared" si="19"/>
        <v>#DIV/0!</v>
      </c>
      <c r="AW87" s="380" t="e">
        <f t="shared" si="19"/>
        <v>#DIV/0!</v>
      </c>
      <c r="AX87" s="380" t="e">
        <f t="shared" si="19"/>
        <v>#DIV/0!</v>
      </c>
      <c r="AY87" s="380" t="e">
        <f t="shared" si="19"/>
        <v>#DIV/0!</v>
      </c>
      <c r="AZ87" s="380" t="e">
        <f t="shared" si="19"/>
        <v>#DIV/0!</v>
      </c>
      <c r="BA87" s="380" t="e">
        <f t="shared" si="19"/>
        <v>#DIV/0!</v>
      </c>
      <c r="BB87" s="380" t="e">
        <f t="shared" si="19"/>
        <v>#DIV/0!</v>
      </c>
      <c r="BC87" s="380" t="e">
        <f t="shared" si="19"/>
        <v>#DIV/0!</v>
      </c>
      <c r="BD87" s="380" t="e">
        <f t="shared" si="19"/>
        <v>#DIV/0!</v>
      </c>
      <c r="BE87" s="380" t="e">
        <f t="shared" si="19"/>
        <v>#DIV/0!</v>
      </c>
      <c r="BF87" s="380" t="e">
        <f t="shared" si="19"/>
        <v>#DIV/0!</v>
      </c>
      <c r="BG87" s="380" t="e">
        <f t="shared" si="19"/>
        <v>#DIV/0!</v>
      </c>
      <c r="BH87" s="380" t="e">
        <f t="shared" si="19"/>
        <v>#DIV/0!</v>
      </c>
      <c r="BI87" s="380" t="e">
        <f t="shared" si="19"/>
        <v>#DIV/0!</v>
      </c>
      <c r="BJ87" s="380" t="e">
        <f t="shared" si="19"/>
        <v>#DIV/0!</v>
      </c>
      <c r="BK87" s="380" t="e">
        <f t="shared" si="19"/>
        <v>#DIV/0!</v>
      </c>
      <c r="BL87" s="380" t="e">
        <f t="shared" si="19"/>
        <v>#DIV/0!</v>
      </c>
      <c r="BM87" s="380" t="e">
        <f t="shared" si="19"/>
        <v>#DIV/0!</v>
      </c>
      <c r="BN87" s="380" t="e">
        <f t="shared" si="19"/>
        <v>#DIV/0!</v>
      </c>
      <c r="BO87" s="380" t="e">
        <f t="shared" si="19"/>
        <v>#DIV/0!</v>
      </c>
      <c r="BP87" s="380" t="e">
        <f t="shared" si="19"/>
        <v>#DIV/0!</v>
      </c>
      <c r="BQ87" s="380" t="e">
        <f t="shared" ref="BQ87:CF87" si="20">BQ76</f>
        <v>#DIV/0!</v>
      </c>
      <c r="BR87" s="380" t="e">
        <f t="shared" si="20"/>
        <v>#DIV/0!</v>
      </c>
      <c r="BS87" s="380" t="e">
        <f t="shared" si="20"/>
        <v>#DIV/0!</v>
      </c>
      <c r="BT87" s="380" t="e">
        <f t="shared" si="20"/>
        <v>#DIV/0!</v>
      </c>
      <c r="BU87" s="380" t="e">
        <f t="shared" si="20"/>
        <v>#DIV/0!</v>
      </c>
      <c r="BV87" s="380" t="e">
        <f t="shared" si="20"/>
        <v>#DIV/0!</v>
      </c>
      <c r="BW87" s="380" t="e">
        <f t="shared" si="20"/>
        <v>#DIV/0!</v>
      </c>
      <c r="BX87" s="380" t="e">
        <f t="shared" si="20"/>
        <v>#DIV/0!</v>
      </c>
      <c r="BY87" s="380" t="e">
        <f t="shared" si="20"/>
        <v>#DIV/0!</v>
      </c>
      <c r="BZ87" s="380" t="e">
        <f t="shared" si="20"/>
        <v>#DIV/0!</v>
      </c>
      <c r="CA87" s="380" t="e">
        <f t="shared" si="20"/>
        <v>#DIV/0!</v>
      </c>
      <c r="CB87" s="380" t="e">
        <f t="shared" si="20"/>
        <v>#DIV/0!</v>
      </c>
      <c r="CC87" s="380" t="e">
        <f t="shared" si="20"/>
        <v>#DIV/0!</v>
      </c>
      <c r="CD87" s="380" t="e">
        <f t="shared" si="20"/>
        <v>#DIV/0!</v>
      </c>
      <c r="CE87" s="380" t="e">
        <f t="shared" si="20"/>
        <v>#DIV/0!</v>
      </c>
      <c r="CF87" s="380" t="e">
        <f t="shared" si="20"/>
        <v>#DIV/0!</v>
      </c>
    </row>
    <row r="88" spans="1:84">
      <c r="D88" s="380" t="s">
        <v>93</v>
      </c>
      <c r="E88" s="380" t="e">
        <f t="shared" ref="E88:AJ88" si="21">E77</f>
        <v>#DIV/0!</v>
      </c>
      <c r="F88" s="380" t="e">
        <f t="shared" si="21"/>
        <v>#DIV/0!</v>
      </c>
      <c r="G88" s="380" t="e">
        <f t="shared" si="21"/>
        <v>#DIV/0!</v>
      </c>
      <c r="H88" s="380" t="e">
        <f t="shared" si="21"/>
        <v>#DIV/0!</v>
      </c>
      <c r="I88" s="380" t="e">
        <f t="shared" si="21"/>
        <v>#DIV/0!</v>
      </c>
      <c r="J88" s="380" t="e">
        <f t="shared" si="21"/>
        <v>#DIV/0!</v>
      </c>
      <c r="K88" s="380" t="e">
        <f t="shared" si="21"/>
        <v>#DIV/0!</v>
      </c>
      <c r="L88" s="380" t="e">
        <f t="shared" si="21"/>
        <v>#DIV/0!</v>
      </c>
      <c r="M88" s="380" t="e">
        <f t="shared" si="21"/>
        <v>#DIV/0!</v>
      </c>
      <c r="N88" s="380" t="e">
        <f t="shared" si="21"/>
        <v>#DIV/0!</v>
      </c>
      <c r="O88" s="380" t="e">
        <f t="shared" si="21"/>
        <v>#DIV/0!</v>
      </c>
      <c r="P88" s="380" t="e">
        <f t="shared" si="21"/>
        <v>#DIV/0!</v>
      </c>
      <c r="Q88" s="380" t="e">
        <f t="shared" si="21"/>
        <v>#DIV/0!</v>
      </c>
      <c r="R88" s="380" t="e">
        <f t="shared" si="21"/>
        <v>#DIV/0!</v>
      </c>
      <c r="S88" s="380" t="e">
        <f t="shared" si="21"/>
        <v>#DIV/0!</v>
      </c>
      <c r="T88" s="380" t="e">
        <f t="shared" si="21"/>
        <v>#DIV/0!</v>
      </c>
      <c r="U88" s="380" t="e">
        <f t="shared" si="21"/>
        <v>#DIV/0!</v>
      </c>
      <c r="V88" s="380" t="e">
        <f t="shared" si="21"/>
        <v>#DIV/0!</v>
      </c>
      <c r="W88" s="380" t="e">
        <f t="shared" si="21"/>
        <v>#DIV/0!</v>
      </c>
      <c r="X88" s="380" t="e">
        <f t="shared" si="21"/>
        <v>#DIV/0!</v>
      </c>
      <c r="Y88" s="380" t="e">
        <f t="shared" si="21"/>
        <v>#DIV/0!</v>
      </c>
      <c r="Z88" s="380" t="e">
        <f t="shared" si="21"/>
        <v>#DIV/0!</v>
      </c>
      <c r="AA88" s="380" t="e">
        <f t="shared" si="21"/>
        <v>#DIV/0!</v>
      </c>
      <c r="AB88" s="380" t="e">
        <f t="shared" si="21"/>
        <v>#DIV/0!</v>
      </c>
      <c r="AC88" s="380" t="e">
        <f t="shared" si="21"/>
        <v>#DIV/0!</v>
      </c>
      <c r="AD88" s="380" t="e">
        <f t="shared" si="21"/>
        <v>#DIV/0!</v>
      </c>
      <c r="AE88" s="380" t="e">
        <f t="shared" si="21"/>
        <v>#DIV/0!</v>
      </c>
      <c r="AF88" s="380" t="e">
        <f t="shared" si="21"/>
        <v>#DIV/0!</v>
      </c>
      <c r="AG88" s="380" t="e">
        <f t="shared" si="21"/>
        <v>#DIV/0!</v>
      </c>
      <c r="AH88" s="380" t="e">
        <f t="shared" si="21"/>
        <v>#DIV/0!</v>
      </c>
      <c r="AI88" s="380" t="e">
        <f t="shared" si="21"/>
        <v>#DIV/0!</v>
      </c>
      <c r="AJ88" s="380" t="e">
        <f t="shared" si="21"/>
        <v>#DIV/0!</v>
      </c>
      <c r="AK88" s="380" t="e">
        <f t="shared" ref="AK88:BP88" si="22">AK77</f>
        <v>#DIV/0!</v>
      </c>
      <c r="AL88" s="380" t="e">
        <f t="shared" si="22"/>
        <v>#DIV/0!</v>
      </c>
      <c r="AM88" s="380" t="e">
        <f t="shared" si="22"/>
        <v>#DIV/0!</v>
      </c>
      <c r="AN88" s="380" t="e">
        <f t="shared" si="22"/>
        <v>#DIV/0!</v>
      </c>
      <c r="AO88" s="380" t="e">
        <f t="shared" si="22"/>
        <v>#DIV/0!</v>
      </c>
      <c r="AP88" s="380" t="e">
        <f t="shared" si="22"/>
        <v>#DIV/0!</v>
      </c>
      <c r="AQ88" s="380" t="e">
        <f t="shared" si="22"/>
        <v>#DIV/0!</v>
      </c>
      <c r="AR88" s="380" t="e">
        <f t="shared" si="22"/>
        <v>#DIV/0!</v>
      </c>
      <c r="AS88" s="380" t="e">
        <f t="shared" si="22"/>
        <v>#DIV/0!</v>
      </c>
      <c r="AT88" s="380" t="e">
        <f t="shared" si="22"/>
        <v>#DIV/0!</v>
      </c>
      <c r="AU88" s="380" t="e">
        <f t="shared" si="22"/>
        <v>#DIV/0!</v>
      </c>
      <c r="AV88" s="380" t="e">
        <f t="shared" si="22"/>
        <v>#DIV/0!</v>
      </c>
      <c r="AW88" s="380" t="e">
        <f t="shared" si="22"/>
        <v>#DIV/0!</v>
      </c>
      <c r="AX88" s="380" t="e">
        <f t="shared" si="22"/>
        <v>#DIV/0!</v>
      </c>
      <c r="AY88" s="380" t="e">
        <f t="shared" si="22"/>
        <v>#DIV/0!</v>
      </c>
      <c r="AZ88" s="380" t="e">
        <f t="shared" si="22"/>
        <v>#DIV/0!</v>
      </c>
      <c r="BA88" s="380" t="e">
        <f t="shared" si="22"/>
        <v>#DIV/0!</v>
      </c>
      <c r="BB88" s="380" t="e">
        <f t="shared" si="22"/>
        <v>#DIV/0!</v>
      </c>
      <c r="BC88" s="380" t="e">
        <f t="shared" si="22"/>
        <v>#DIV/0!</v>
      </c>
      <c r="BD88" s="380" t="e">
        <f t="shared" si="22"/>
        <v>#DIV/0!</v>
      </c>
      <c r="BE88" s="380" t="e">
        <f t="shared" si="22"/>
        <v>#DIV/0!</v>
      </c>
      <c r="BF88" s="380" t="e">
        <f t="shared" si="22"/>
        <v>#DIV/0!</v>
      </c>
      <c r="BG88" s="380" t="e">
        <f t="shared" si="22"/>
        <v>#DIV/0!</v>
      </c>
      <c r="BH88" s="380" t="e">
        <f t="shared" si="22"/>
        <v>#DIV/0!</v>
      </c>
      <c r="BI88" s="380" t="e">
        <f t="shared" si="22"/>
        <v>#DIV/0!</v>
      </c>
      <c r="BJ88" s="380" t="e">
        <f t="shared" si="22"/>
        <v>#DIV/0!</v>
      </c>
      <c r="BK88" s="380" t="e">
        <f t="shared" si="22"/>
        <v>#DIV/0!</v>
      </c>
      <c r="BL88" s="380" t="e">
        <f t="shared" si="22"/>
        <v>#DIV/0!</v>
      </c>
      <c r="BM88" s="380" t="e">
        <f t="shared" si="22"/>
        <v>#DIV/0!</v>
      </c>
      <c r="BN88" s="380" t="e">
        <f t="shared" si="22"/>
        <v>#DIV/0!</v>
      </c>
      <c r="BO88" s="380" t="e">
        <f t="shared" si="22"/>
        <v>#DIV/0!</v>
      </c>
      <c r="BP88" s="380" t="e">
        <f t="shared" si="22"/>
        <v>#DIV/0!</v>
      </c>
      <c r="BQ88" s="380" t="e">
        <f t="shared" ref="BQ88:CF88" si="23">BQ77</f>
        <v>#DIV/0!</v>
      </c>
      <c r="BR88" s="380" t="e">
        <f t="shared" si="23"/>
        <v>#DIV/0!</v>
      </c>
      <c r="BS88" s="380" t="e">
        <f t="shared" si="23"/>
        <v>#DIV/0!</v>
      </c>
      <c r="BT88" s="380" t="e">
        <f t="shared" si="23"/>
        <v>#DIV/0!</v>
      </c>
      <c r="BU88" s="380" t="e">
        <f t="shared" si="23"/>
        <v>#DIV/0!</v>
      </c>
      <c r="BV88" s="380" t="e">
        <f t="shared" si="23"/>
        <v>#DIV/0!</v>
      </c>
      <c r="BW88" s="380" t="e">
        <f t="shared" si="23"/>
        <v>#DIV/0!</v>
      </c>
      <c r="BX88" s="380" t="e">
        <f t="shared" si="23"/>
        <v>#DIV/0!</v>
      </c>
      <c r="BY88" s="380" t="e">
        <f t="shared" si="23"/>
        <v>#DIV/0!</v>
      </c>
      <c r="BZ88" s="380" t="e">
        <f t="shared" si="23"/>
        <v>#DIV/0!</v>
      </c>
      <c r="CA88" s="380" t="e">
        <f t="shared" si="23"/>
        <v>#DIV/0!</v>
      </c>
      <c r="CB88" s="380" t="e">
        <f t="shared" si="23"/>
        <v>#DIV/0!</v>
      </c>
      <c r="CC88" s="380" t="e">
        <f t="shared" si="23"/>
        <v>#DIV/0!</v>
      </c>
      <c r="CD88" s="380" t="e">
        <f t="shared" si="23"/>
        <v>#DIV/0!</v>
      </c>
      <c r="CE88" s="380" t="e">
        <f t="shared" si="23"/>
        <v>#DIV/0!</v>
      </c>
      <c r="CF88" s="380" t="e">
        <f t="shared" si="23"/>
        <v>#DIV/0!</v>
      </c>
    </row>
    <row r="90" spans="1:84">
      <c r="C90" s="360" t="s">
        <v>260</v>
      </c>
    </row>
    <row r="91" spans="1:84">
      <c r="D91" s="380"/>
      <c r="E91" s="728">
        <v>2010</v>
      </c>
      <c r="F91" s="728">
        <v>2011</v>
      </c>
      <c r="G91" s="728">
        <v>2012</v>
      </c>
      <c r="H91" s="728">
        <v>2013</v>
      </c>
      <c r="I91" s="728">
        <v>2014</v>
      </c>
      <c r="J91" s="728">
        <v>2015</v>
      </c>
      <c r="K91" s="728">
        <v>2016</v>
      </c>
      <c r="L91" s="728">
        <v>2017</v>
      </c>
      <c r="M91" s="728">
        <v>2018</v>
      </c>
      <c r="N91" s="728">
        <v>2019</v>
      </c>
      <c r="O91" s="728">
        <v>2020</v>
      </c>
      <c r="P91" s="728">
        <v>2021</v>
      </c>
      <c r="Q91" s="728">
        <v>2022</v>
      </c>
      <c r="R91" s="728">
        <v>2023</v>
      </c>
      <c r="S91" s="728">
        <v>2024</v>
      </c>
      <c r="T91" s="728">
        <v>2025</v>
      </c>
      <c r="U91" s="728">
        <v>2026</v>
      </c>
      <c r="V91" s="728">
        <v>2027</v>
      </c>
      <c r="W91" s="728">
        <v>2028</v>
      </c>
      <c r="X91" s="728">
        <v>2029</v>
      </c>
      <c r="Y91" s="728">
        <v>2030</v>
      </c>
      <c r="Z91" s="728">
        <v>2031</v>
      </c>
      <c r="AA91" s="728">
        <v>2032</v>
      </c>
      <c r="AB91" s="728">
        <v>2033</v>
      </c>
      <c r="AC91" s="728">
        <v>2034</v>
      </c>
      <c r="AD91" s="728">
        <v>2035</v>
      </c>
      <c r="AE91" s="728">
        <v>2036</v>
      </c>
      <c r="AF91" s="728">
        <v>2037</v>
      </c>
      <c r="AG91" s="728">
        <v>2038</v>
      </c>
      <c r="AH91" s="728">
        <v>2039</v>
      </c>
      <c r="AI91" s="728">
        <v>2040</v>
      </c>
      <c r="AJ91" s="728">
        <v>2041</v>
      </c>
      <c r="AK91" s="728">
        <v>2042</v>
      </c>
      <c r="AL91" s="728">
        <v>2043</v>
      </c>
      <c r="AM91" s="728">
        <v>2044</v>
      </c>
      <c r="AN91" s="728">
        <v>2045</v>
      </c>
      <c r="AO91" s="728">
        <v>2046</v>
      </c>
      <c r="AP91" s="728">
        <v>2047</v>
      </c>
      <c r="AQ91" s="728">
        <v>2048</v>
      </c>
      <c r="AR91" s="728">
        <v>2049</v>
      </c>
      <c r="AS91" s="728">
        <v>2050</v>
      </c>
      <c r="AT91" s="728">
        <v>2051</v>
      </c>
      <c r="AU91" s="728">
        <v>2052</v>
      </c>
      <c r="AV91" s="728">
        <v>2053</v>
      </c>
      <c r="AW91" s="728">
        <v>2054</v>
      </c>
      <c r="AX91" s="728">
        <v>2055</v>
      </c>
      <c r="AY91" s="728">
        <v>2056</v>
      </c>
      <c r="AZ91" s="728">
        <v>2057</v>
      </c>
      <c r="BA91" s="728">
        <v>2058</v>
      </c>
      <c r="BB91" s="728">
        <v>2059</v>
      </c>
      <c r="BC91" s="728">
        <v>2060</v>
      </c>
      <c r="BD91" s="728">
        <v>2061</v>
      </c>
      <c r="BE91" s="728">
        <v>2062</v>
      </c>
      <c r="BF91" s="728">
        <v>2063</v>
      </c>
      <c r="BG91" s="728">
        <v>2064</v>
      </c>
      <c r="BH91" s="728">
        <v>2065</v>
      </c>
      <c r="BI91" s="728">
        <v>2066</v>
      </c>
      <c r="BJ91" s="728">
        <v>2067</v>
      </c>
      <c r="BK91" s="728">
        <v>2068</v>
      </c>
      <c r="BL91" s="728">
        <v>2069</v>
      </c>
      <c r="BM91" s="728">
        <v>2070</v>
      </c>
      <c r="BN91" s="728">
        <v>2071</v>
      </c>
      <c r="BO91" s="728">
        <v>2072</v>
      </c>
      <c r="BP91" s="728">
        <v>2073</v>
      </c>
      <c r="BQ91" s="728">
        <v>2074</v>
      </c>
      <c r="BR91" s="728">
        <v>2075</v>
      </c>
      <c r="BS91" s="728">
        <v>2076</v>
      </c>
      <c r="BT91" s="728">
        <v>2077</v>
      </c>
      <c r="BU91" s="728">
        <v>2078</v>
      </c>
      <c r="BV91" s="728">
        <v>2079</v>
      </c>
      <c r="BW91" s="728">
        <v>2080</v>
      </c>
      <c r="BX91" s="728">
        <v>2081</v>
      </c>
      <c r="BY91" s="728">
        <v>2082</v>
      </c>
      <c r="BZ91" s="728">
        <v>2083</v>
      </c>
      <c r="CA91" s="728">
        <v>2084</v>
      </c>
      <c r="CB91" s="728">
        <v>2085</v>
      </c>
      <c r="CC91" s="728">
        <v>2086</v>
      </c>
      <c r="CD91" s="728">
        <v>2087</v>
      </c>
      <c r="CE91" s="728">
        <v>2088</v>
      </c>
      <c r="CF91" s="728">
        <v>2089</v>
      </c>
    </row>
    <row r="92" spans="1:84">
      <c r="D92" s="380" t="s">
        <v>87</v>
      </c>
      <c r="E92" s="380" t="e">
        <f>E85*$E$11</f>
        <v>#DIV/0!</v>
      </c>
      <c r="F92" s="380" t="e">
        <f t="shared" ref="F92:BQ93" si="24">F85*$E$11</f>
        <v>#DIV/0!</v>
      </c>
      <c r="G92" s="380" t="e">
        <f t="shared" si="24"/>
        <v>#DIV/0!</v>
      </c>
      <c r="H92" s="380" t="e">
        <f t="shared" si="24"/>
        <v>#DIV/0!</v>
      </c>
      <c r="I92" s="380" t="e">
        <f t="shared" si="24"/>
        <v>#DIV/0!</v>
      </c>
      <c r="J92" s="380" t="e">
        <f t="shared" si="24"/>
        <v>#DIV/0!</v>
      </c>
      <c r="K92" s="380" t="e">
        <f t="shared" si="24"/>
        <v>#DIV/0!</v>
      </c>
      <c r="L92" s="380" t="e">
        <f t="shared" si="24"/>
        <v>#DIV/0!</v>
      </c>
      <c r="M92" s="380" t="e">
        <f t="shared" si="24"/>
        <v>#DIV/0!</v>
      </c>
      <c r="N92" s="380" t="e">
        <f t="shared" si="24"/>
        <v>#DIV/0!</v>
      </c>
      <c r="O92" s="380" t="e">
        <f t="shared" si="24"/>
        <v>#DIV/0!</v>
      </c>
      <c r="P92" s="380" t="e">
        <f t="shared" si="24"/>
        <v>#DIV/0!</v>
      </c>
      <c r="Q92" s="380" t="e">
        <f t="shared" si="24"/>
        <v>#DIV/0!</v>
      </c>
      <c r="R92" s="380" t="e">
        <f t="shared" si="24"/>
        <v>#DIV/0!</v>
      </c>
      <c r="S92" s="380" t="e">
        <f t="shared" si="24"/>
        <v>#DIV/0!</v>
      </c>
      <c r="T92" s="380" t="e">
        <f t="shared" si="24"/>
        <v>#DIV/0!</v>
      </c>
      <c r="U92" s="380" t="e">
        <f t="shared" si="24"/>
        <v>#DIV/0!</v>
      </c>
      <c r="V92" s="380" t="e">
        <f t="shared" si="24"/>
        <v>#DIV/0!</v>
      </c>
      <c r="W92" s="380" t="e">
        <f t="shared" si="24"/>
        <v>#DIV/0!</v>
      </c>
      <c r="X92" s="380" t="e">
        <f t="shared" si="24"/>
        <v>#DIV/0!</v>
      </c>
      <c r="Y92" s="380" t="e">
        <f t="shared" si="24"/>
        <v>#DIV/0!</v>
      </c>
      <c r="Z92" s="380" t="e">
        <f t="shared" si="24"/>
        <v>#DIV/0!</v>
      </c>
      <c r="AA92" s="380" t="e">
        <f t="shared" si="24"/>
        <v>#DIV/0!</v>
      </c>
      <c r="AB92" s="380" t="e">
        <f t="shared" si="24"/>
        <v>#DIV/0!</v>
      </c>
      <c r="AC92" s="380" t="e">
        <f t="shared" si="24"/>
        <v>#DIV/0!</v>
      </c>
      <c r="AD92" s="380" t="e">
        <f t="shared" si="24"/>
        <v>#DIV/0!</v>
      </c>
      <c r="AE92" s="380" t="e">
        <f t="shared" si="24"/>
        <v>#DIV/0!</v>
      </c>
      <c r="AF92" s="380" t="e">
        <f t="shared" si="24"/>
        <v>#DIV/0!</v>
      </c>
      <c r="AG92" s="380" t="e">
        <f t="shared" si="24"/>
        <v>#DIV/0!</v>
      </c>
      <c r="AH92" s="380" t="e">
        <f t="shared" si="24"/>
        <v>#DIV/0!</v>
      </c>
      <c r="AI92" s="380" t="e">
        <f t="shared" si="24"/>
        <v>#DIV/0!</v>
      </c>
      <c r="AJ92" s="380" t="e">
        <f t="shared" si="24"/>
        <v>#DIV/0!</v>
      </c>
      <c r="AK92" s="380" t="e">
        <f t="shared" si="24"/>
        <v>#DIV/0!</v>
      </c>
      <c r="AL92" s="380" t="e">
        <f t="shared" si="24"/>
        <v>#DIV/0!</v>
      </c>
      <c r="AM92" s="380" t="e">
        <f t="shared" si="24"/>
        <v>#DIV/0!</v>
      </c>
      <c r="AN92" s="380" t="e">
        <f t="shared" si="24"/>
        <v>#DIV/0!</v>
      </c>
      <c r="AO92" s="380" t="e">
        <f t="shared" si="24"/>
        <v>#DIV/0!</v>
      </c>
      <c r="AP92" s="380" t="e">
        <f t="shared" si="24"/>
        <v>#DIV/0!</v>
      </c>
      <c r="AQ92" s="380" t="e">
        <f t="shared" si="24"/>
        <v>#DIV/0!</v>
      </c>
      <c r="AR92" s="380" t="e">
        <f t="shared" si="24"/>
        <v>#DIV/0!</v>
      </c>
      <c r="AS92" s="380" t="e">
        <f t="shared" si="24"/>
        <v>#DIV/0!</v>
      </c>
      <c r="AT92" s="380" t="e">
        <f t="shared" si="24"/>
        <v>#DIV/0!</v>
      </c>
      <c r="AU92" s="380" t="e">
        <f t="shared" si="24"/>
        <v>#DIV/0!</v>
      </c>
      <c r="AV92" s="380" t="e">
        <f t="shared" si="24"/>
        <v>#DIV/0!</v>
      </c>
      <c r="AW92" s="380" t="e">
        <f t="shared" si="24"/>
        <v>#DIV/0!</v>
      </c>
      <c r="AX92" s="380" t="e">
        <f t="shared" si="24"/>
        <v>#DIV/0!</v>
      </c>
      <c r="AY92" s="380" t="e">
        <f t="shared" si="24"/>
        <v>#DIV/0!</v>
      </c>
      <c r="AZ92" s="380" t="e">
        <f t="shared" si="24"/>
        <v>#DIV/0!</v>
      </c>
      <c r="BA92" s="380" t="e">
        <f t="shared" si="24"/>
        <v>#DIV/0!</v>
      </c>
      <c r="BB92" s="380" t="e">
        <f t="shared" si="24"/>
        <v>#DIV/0!</v>
      </c>
      <c r="BC92" s="380" t="e">
        <f t="shared" si="24"/>
        <v>#DIV/0!</v>
      </c>
      <c r="BD92" s="380" t="e">
        <f t="shared" si="24"/>
        <v>#DIV/0!</v>
      </c>
      <c r="BE92" s="380" t="e">
        <f t="shared" si="24"/>
        <v>#DIV/0!</v>
      </c>
      <c r="BF92" s="380" t="e">
        <f t="shared" si="24"/>
        <v>#DIV/0!</v>
      </c>
      <c r="BG92" s="380" t="e">
        <f t="shared" si="24"/>
        <v>#DIV/0!</v>
      </c>
      <c r="BH92" s="380" t="e">
        <f t="shared" si="24"/>
        <v>#DIV/0!</v>
      </c>
      <c r="BI92" s="380" t="e">
        <f t="shared" si="24"/>
        <v>#DIV/0!</v>
      </c>
      <c r="BJ92" s="380" t="e">
        <f t="shared" si="24"/>
        <v>#DIV/0!</v>
      </c>
      <c r="BK92" s="380" t="e">
        <f t="shared" si="24"/>
        <v>#DIV/0!</v>
      </c>
      <c r="BL92" s="380" t="e">
        <f t="shared" si="24"/>
        <v>#DIV/0!</v>
      </c>
      <c r="BM92" s="380" t="e">
        <f t="shared" si="24"/>
        <v>#DIV/0!</v>
      </c>
      <c r="BN92" s="380" t="e">
        <f t="shared" si="24"/>
        <v>#DIV/0!</v>
      </c>
      <c r="BO92" s="380" t="e">
        <f t="shared" si="24"/>
        <v>#DIV/0!</v>
      </c>
      <c r="BP92" s="380" t="e">
        <f t="shared" si="24"/>
        <v>#DIV/0!</v>
      </c>
      <c r="BQ92" s="380" t="e">
        <f t="shared" si="24"/>
        <v>#DIV/0!</v>
      </c>
      <c r="BR92" s="380" t="e">
        <f t="shared" ref="BR92:CF95" si="25">BR85*$E$11</f>
        <v>#DIV/0!</v>
      </c>
      <c r="BS92" s="380" t="e">
        <f t="shared" si="25"/>
        <v>#DIV/0!</v>
      </c>
      <c r="BT92" s="380" t="e">
        <f t="shared" si="25"/>
        <v>#DIV/0!</v>
      </c>
      <c r="BU92" s="380" t="e">
        <f t="shared" si="25"/>
        <v>#DIV/0!</v>
      </c>
      <c r="BV92" s="380" t="e">
        <f t="shared" si="25"/>
        <v>#DIV/0!</v>
      </c>
      <c r="BW92" s="380" t="e">
        <f t="shared" si="25"/>
        <v>#DIV/0!</v>
      </c>
      <c r="BX92" s="380" t="e">
        <f t="shared" si="25"/>
        <v>#DIV/0!</v>
      </c>
      <c r="BY92" s="380" t="e">
        <f t="shared" si="25"/>
        <v>#DIV/0!</v>
      </c>
      <c r="BZ92" s="380" t="e">
        <f t="shared" si="25"/>
        <v>#DIV/0!</v>
      </c>
      <c r="CA92" s="380" t="e">
        <f t="shared" si="25"/>
        <v>#DIV/0!</v>
      </c>
      <c r="CB92" s="380" t="e">
        <f t="shared" si="25"/>
        <v>#DIV/0!</v>
      </c>
      <c r="CC92" s="380" t="e">
        <f t="shared" si="25"/>
        <v>#DIV/0!</v>
      </c>
      <c r="CD92" s="380" t="e">
        <f t="shared" si="25"/>
        <v>#DIV/0!</v>
      </c>
      <c r="CE92" s="380" t="e">
        <f t="shared" si="25"/>
        <v>#DIV/0!</v>
      </c>
      <c r="CF92" s="380" t="e">
        <f t="shared" si="25"/>
        <v>#DIV/0!</v>
      </c>
    </row>
    <row r="93" spans="1:84">
      <c r="A93" s="360" t="s">
        <v>261</v>
      </c>
      <c r="D93" s="380" t="s">
        <v>89</v>
      </c>
      <c r="E93" s="380" t="e">
        <f>E86*$E$11</f>
        <v>#DIV/0!</v>
      </c>
      <c r="F93" s="380" t="e">
        <f t="shared" ref="F93:T93" si="26">F86*$E$11</f>
        <v>#DIV/0!</v>
      </c>
      <c r="G93" s="380" t="e">
        <f t="shared" si="26"/>
        <v>#DIV/0!</v>
      </c>
      <c r="H93" s="380" t="e">
        <f t="shared" si="26"/>
        <v>#DIV/0!</v>
      </c>
      <c r="I93" s="380" t="e">
        <f t="shared" si="26"/>
        <v>#DIV/0!</v>
      </c>
      <c r="J93" s="380" t="e">
        <f t="shared" si="26"/>
        <v>#DIV/0!</v>
      </c>
      <c r="K93" s="380" t="e">
        <f t="shared" si="26"/>
        <v>#DIV/0!</v>
      </c>
      <c r="L93" s="380" t="e">
        <f t="shared" si="26"/>
        <v>#DIV/0!</v>
      </c>
      <c r="M93" s="380" t="e">
        <f t="shared" si="26"/>
        <v>#DIV/0!</v>
      </c>
      <c r="N93" s="380" t="e">
        <f t="shared" si="26"/>
        <v>#DIV/0!</v>
      </c>
      <c r="O93" s="380" t="e">
        <f t="shared" si="26"/>
        <v>#DIV/0!</v>
      </c>
      <c r="P93" s="380" t="e">
        <f t="shared" si="26"/>
        <v>#DIV/0!</v>
      </c>
      <c r="Q93" s="380" t="e">
        <f t="shared" si="26"/>
        <v>#DIV/0!</v>
      </c>
      <c r="R93" s="380" t="e">
        <f t="shared" si="26"/>
        <v>#DIV/0!</v>
      </c>
      <c r="S93" s="380" t="e">
        <f t="shared" si="26"/>
        <v>#DIV/0!</v>
      </c>
      <c r="T93" s="380" t="e">
        <f t="shared" si="26"/>
        <v>#DIV/0!</v>
      </c>
      <c r="U93" s="380" t="e">
        <f t="shared" si="24"/>
        <v>#DIV/0!</v>
      </c>
      <c r="V93" s="380" t="e">
        <f t="shared" si="24"/>
        <v>#DIV/0!</v>
      </c>
      <c r="W93" s="380" t="e">
        <f t="shared" si="24"/>
        <v>#DIV/0!</v>
      </c>
      <c r="X93" s="380" t="e">
        <f t="shared" si="24"/>
        <v>#DIV/0!</v>
      </c>
      <c r="Y93" s="380" t="e">
        <f t="shared" si="24"/>
        <v>#DIV/0!</v>
      </c>
      <c r="Z93" s="380" t="e">
        <f t="shared" si="24"/>
        <v>#DIV/0!</v>
      </c>
      <c r="AA93" s="380" t="e">
        <f t="shared" si="24"/>
        <v>#DIV/0!</v>
      </c>
      <c r="AB93" s="380" t="e">
        <f t="shared" si="24"/>
        <v>#DIV/0!</v>
      </c>
      <c r="AC93" s="380" t="e">
        <f t="shared" si="24"/>
        <v>#DIV/0!</v>
      </c>
      <c r="AD93" s="380" t="e">
        <f t="shared" si="24"/>
        <v>#DIV/0!</v>
      </c>
      <c r="AE93" s="380" t="e">
        <f t="shared" si="24"/>
        <v>#DIV/0!</v>
      </c>
      <c r="AF93" s="380" t="e">
        <f t="shared" si="24"/>
        <v>#DIV/0!</v>
      </c>
      <c r="AG93" s="380" t="e">
        <f t="shared" si="24"/>
        <v>#DIV/0!</v>
      </c>
      <c r="AH93" s="380" t="e">
        <f t="shared" si="24"/>
        <v>#DIV/0!</v>
      </c>
      <c r="AI93" s="380" t="e">
        <f t="shared" si="24"/>
        <v>#DIV/0!</v>
      </c>
      <c r="AJ93" s="380" t="e">
        <f t="shared" si="24"/>
        <v>#DIV/0!</v>
      </c>
      <c r="AK93" s="380" t="e">
        <f t="shared" si="24"/>
        <v>#DIV/0!</v>
      </c>
      <c r="AL93" s="380" t="e">
        <f t="shared" si="24"/>
        <v>#DIV/0!</v>
      </c>
      <c r="AM93" s="380" t="e">
        <f t="shared" si="24"/>
        <v>#DIV/0!</v>
      </c>
      <c r="AN93" s="380" t="e">
        <f t="shared" si="24"/>
        <v>#DIV/0!</v>
      </c>
      <c r="AO93" s="380" t="e">
        <f t="shared" si="24"/>
        <v>#DIV/0!</v>
      </c>
      <c r="AP93" s="380" t="e">
        <f t="shared" si="24"/>
        <v>#DIV/0!</v>
      </c>
      <c r="AQ93" s="380" t="e">
        <f t="shared" si="24"/>
        <v>#DIV/0!</v>
      </c>
      <c r="AR93" s="380" t="e">
        <f t="shared" si="24"/>
        <v>#DIV/0!</v>
      </c>
      <c r="AS93" s="380" t="e">
        <f t="shared" si="24"/>
        <v>#DIV/0!</v>
      </c>
      <c r="AT93" s="380" t="e">
        <f t="shared" si="24"/>
        <v>#DIV/0!</v>
      </c>
      <c r="AU93" s="380" t="e">
        <f t="shared" si="24"/>
        <v>#DIV/0!</v>
      </c>
      <c r="AV93" s="380" t="e">
        <f t="shared" si="24"/>
        <v>#DIV/0!</v>
      </c>
      <c r="AW93" s="380" t="e">
        <f t="shared" si="24"/>
        <v>#DIV/0!</v>
      </c>
      <c r="AX93" s="380" t="e">
        <f t="shared" si="24"/>
        <v>#DIV/0!</v>
      </c>
      <c r="AY93" s="380" t="e">
        <f t="shared" si="24"/>
        <v>#DIV/0!</v>
      </c>
      <c r="AZ93" s="380" t="e">
        <f t="shared" si="24"/>
        <v>#DIV/0!</v>
      </c>
      <c r="BA93" s="380" t="e">
        <f t="shared" si="24"/>
        <v>#DIV/0!</v>
      </c>
      <c r="BB93" s="380" t="e">
        <f t="shared" si="24"/>
        <v>#DIV/0!</v>
      </c>
      <c r="BC93" s="380" t="e">
        <f t="shared" si="24"/>
        <v>#DIV/0!</v>
      </c>
      <c r="BD93" s="380" t="e">
        <f t="shared" si="24"/>
        <v>#DIV/0!</v>
      </c>
      <c r="BE93" s="380" t="e">
        <f t="shared" si="24"/>
        <v>#DIV/0!</v>
      </c>
      <c r="BF93" s="380" t="e">
        <f t="shared" si="24"/>
        <v>#DIV/0!</v>
      </c>
      <c r="BG93" s="380" t="e">
        <f t="shared" si="24"/>
        <v>#DIV/0!</v>
      </c>
      <c r="BH93" s="380" t="e">
        <f t="shared" si="24"/>
        <v>#DIV/0!</v>
      </c>
      <c r="BI93" s="380" t="e">
        <f t="shared" si="24"/>
        <v>#DIV/0!</v>
      </c>
      <c r="BJ93" s="380" t="e">
        <f t="shared" si="24"/>
        <v>#DIV/0!</v>
      </c>
      <c r="BK93" s="380" t="e">
        <f t="shared" si="24"/>
        <v>#DIV/0!</v>
      </c>
      <c r="BL93" s="380" t="e">
        <f t="shared" si="24"/>
        <v>#DIV/0!</v>
      </c>
      <c r="BM93" s="380" t="e">
        <f t="shared" si="24"/>
        <v>#DIV/0!</v>
      </c>
      <c r="BN93" s="380" t="e">
        <f t="shared" si="24"/>
        <v>#DIV/0!</v>
      </c>
      <c r="BO93" s="380" t="e">
        <f t="shared" si="24"/>
        <v>#DIV/0!</v>
      </c>
      <c r="BP93" s="380" t="e">
        <f t="shared" si="24"/>
        <v>#DIV/0!</v>
      </c>
      <c r="BQ93" s="380" t="e">
        <f t="shared" si="24"/>
        <v>#DIV/0!</v>
      </c>
      <c r="BR93" s="380" t="e">
        <f t="shared" si="25"/>
        <v>#DIV/0!</v>
      </c>
      <c r="BS93" s="380" t="e">
        <f t="shared" si="25"/>
        <v>#DIV/0!</v>
      </c>
      <c r="BT93" s="380" t="e">
        <f t="shared" si="25"/>
        <v>#DIV/0!</v>
      </c>
      <c r="BU93" s="380" t="e">
        <f t="shared" si="25"/>
        <v>#DIV/0!</v>
      </c>
      <c r="BV93" s="380" t="e">
        <f t="shared" si="25"/>
        <v>#DIV/0!</v>
      </c>
      <c r="BW93" s="380" t="e">
        <f t="shared" si="25"/>
        <v>#DIV/0!</v>
      </c>
      <c r="BX93" s="380" t="e">
        <f t="shared" si="25"/>
        <v>#DIV/0!</v>
      </c>
      <c r="BY93" s="380" t="e">
        <f t="shared" si="25"/>
        <v>#DIV/0!</v>
      </c>
      <c r="BZ93" s="380" t="e">
        <f t="shared" si="25"/>
        <v>#DIV/0!</v>
      </c>
      <c r="CA93" s="380" t="e">
        <f t="shared" si="25"/>
        <v>#DIV/0!</v>
      </c>
      <c r="CB93" s="380" t="e">
        <f t="shared" si="25"/>
        <v>#DIV/0!</v>
      </c>
      <c r="CC93" s="380" t="e">
        <f t="shared" si="25"/>
        <v>#DIV/0!</v>
      </c>
      <c r="CD93" s="380" t="e">
        <f t="shared" si="25"/>
        <v>#DIV/0!</v>
      </c>
      <c r="CE93" s="380" t="e">
        <f t="shared" si="25"/>
        <v>#DIV/0!</v>
      </c>
      <c r="CF93" s="380" t="e">
        <f t="shared" si="25"/>
        <v>#DIV/0!</v>
      </c>
    </row>
    <row r="94" spans="1:84">
      <c r="D94" s="380" t="s">
        <v>91</v>
      </c>
      <c r="E94" s="380" t="e">
        <f>E87*$E$11</f>
        <v>#DIV/0!</v>
      </c>
      <c r="F94" s="380" t="e">
        <f t="shared" ref="F94:BQ95" si="27">F87*$E$11</f>
        <v>#DIV/0!</v>
      </c>
      <c r="G94" s="380" t="e">
        <f t="shared" si="27"/>
        <v>#DIV/0!</v>
      </c>
      <c r="H94" s="380" t="e">
        <f t="shared" si="27"/>
        <v>#DIV/0!</v>
      </c>
      <c r="I94" s="380" t="e">
        <f t="shared" si="27"/>
        <v>#DIV/0!</v>
      </c>
      <c r="J94" s="380" t="e">
        <f t="shared" si="27"/>
        <v>#DIV/0!</v>
      </c>
      <c r="K94" s="380" t="e">
        <f t="shared" si="27"/>
        <v>#DIV/0!</v>
      </c>
      <c r="L94" s="380" t="e">
        <f t="shared" si="27"/>
        <v>#DIV/0!</v>
      </c>
      <c r="M94" s="380" t="e">
        <f t="shared" si="27"/>
        <v>#DIV/0!</v>
      </c>
      <c r="N94" s="380" t="e">
        <f t="shared" si="27"/>
        <v>#DIV/0!</v>
      </c>
      <c r="O94" s="380" t="e">
        <f t="shared" si="27"/>
        <v>#DIV/0!</v>
      </c>
      <c r="P94" s="380" t="e">
        <f t="shared" si="27"/>
        <v>#DIV/0!</v>
      </c>
      <c r="Q94" s="380" t="e">
        <f t="shared" si="27"/>
        <v>#DIV/0!</v>
      </c>
      <c r="R94" s="380" t="e">
        <f t="shared" si="27"/>
        <v>#DIV/0!</v>
      </c>
      <c r="S94" s="380" t="e">
        <f t="shared" si="27"/>
        <v>#DIV/0!</v>
      </c>
      <c r="T94" s="380" t="e">
        <f t="shared" si="27"/>
        <v>#DIV/0!</v>
      </c>
      <c r="U94" s="380" t="e">
        <f t="shared" si="27"/>
        <v>#DIV/0!</v>
      </c>
      <c r="V94" s="380" t="e">
        <f t="shared" si="27"/>
        <v>#DIV/0!</v>
      </c>
      <c r="W94" s="380" t="e">
        <f t="shared" si="27"/>
        <v>#DIV/0!</v>
      </c>
      <c r="X94" s="380" t="e">
        <f t="shared" si="27"/>
        <v>#DIV/0!</v>
      </c>
      <c r="Y94" s="380" t="e">
        <f t="shared" si="27"/>
        <v>#DIV/0!</v>
      </c>
      <c r="Z94" s="380" t="e">
        <f t="shared" si="27"/>
        <v>#DIV/0!</v>
      </c>
      <c r="AA94" s="380" t="e">
        <f t="shared" si="27"/>
        <v>#DIV/0!</v>
      </c>
      <c r="AB94" s="380" t="e">
        <f t="shared" si="27"/>
        <v>#DIV/0!</v>
      </c>
      <c r="AC94" s="380" t="e">
        <f t="shared" si="27"/>
        <v>#DIV/0!</v>
      </c>
      <c r="AD94" s="380" t="e">
        <f t="shared" si="27"/>
        <v>#DIV/0!</v>
      </c>
      <c r="AE94" s="380" t="e">
        <f t="shared" si="27"/>
        <v>#DIV/0!</v>
      </c>
      <c r="AF94" s="380" t="e">
        <f t="shared" si="27"/>
        <v>#DIV/0!</v>
      </c>
      <c r="AG94" s="380" t="e">
        <f t="shared" si="27"/>
        <v>#DIV/0!</v>
      </c>
      <c r="AH94" s="380" t="e">
        <f t="shared" si="27"/>
        <v>#DIV/0!</v>
      </c>
      <c r="AI94" s="380" t="e">
        <f t="shared" si="27"/>
        <v>#DIV/0!</v>
      </c>
      <c r="AJ94" s="380" t="e">
        <f t="shared" si="27"/>
        <v>#DIV/0!</v>
      </c>
      <c r="AK94" s="380" t="e">
        <f t="shared" si="27"/>
        <v>#DIV/0!</v>
      </c>
      <c r="AL94" s="380" t="e">
        <f t="shared" si="27"/>
        <v>#DIV/0!</v>
      </c>
      <c r="AM94" s="380" t="e">
        <f t="shared" si="27"/>
        <v>#DIV/0!</v>
      </c>
      <c r="AN94" s="380" t="e">
        <f t="shared" si="27"/>
        <v>#DIV/0!</v>
      </c>
      <c r="AO94" s="380" t="e">
        <f t="shared" si="27"/>
        <v>#DIV/0!</v>
      </c>
      <c r="AP94" s="380" t="e">
        <f t="shared" si="27"/>
        <v>#DIV/0!</v>
      </c>
      <c r="AQ94" s="380" t="e">
        <f t="shared" si="27"/>
        <v>#DIV/0!</v>
      </c>
      <c r="AR94" s="380" t="e">
        <f t="shared" si="27"/>
        <v>#DIV/0!</v>
      </c>
      <c r="AS94" s="380" t="e">
        <f t="shared" si="27"/>
        <v>#DIV/0!</v>
      </c>
      <c r="AT94" s="380" t="e">
        <f t="shared" si="27"/>
        <v>#DIV/0!</v>
      </c>
      <c r="AU94" s="380" t="e">
        <f t="shared" si="27"/>
        <v>#DIV/0!</v>
      </c>
      <c r="AV94" s="380" t="e">
        <f t="shared" si="27"/>
        <v>#DIV/0!</v>
      </c>
      <c r="AW94" s="380" t="e">
        <f t="shared" si="27"/>
        <v>#DIV/0!</v>
      </c>
      <c r="AX94" s="380" t="e">
        <f t="shared" si="27"/>
        <v>#DIV/0!</v>
      </c>
      <c r="AY94" s="380" t="e">
        <f t="shared" si="27"/>
        <v>#DIV/0!</v>
      </c>
      <c r="AZ94" s="380" t="e">
        <f t="shared" si="27"/>
        <v>#DIV/0!</v>
      </c>
      <c r="BA94" s="380" t="e">
        <f t="shared" si="27"/>
        <v>#DIV/0!</v>
      </c>
      <c r="BB94" s="380" t="e">
        <f t="shared" si="27"/>
        <v>#DIV/0!</v>
      </c>
      <c r="BC94" s="380" t="e">
        <f t="shared" si="27"/>
        <v>#DIV/0!</v>
      </c>
      <c r="BD94" s="380" t="e">
        <f t="shared" si="27"/>
        <v>#DIV/0!</v>
      </c>
      <c r="BE94" s="380" t="e">
        <f t="shared" si="27"/>
        <v>#DIV/0!</v>
      </c>
      <c r="BF94" s="380" t="e">
        <f t="shared" si="27"/>
        <v>#DIV/0!</v>
      </c>
      <c r="BG94" s="380" t="e">
        <f t="shared" si="27"/>
        <v>#DIV/0!</v>
      </c>
      <c r="BH94" s="380" t="e">
        <f t="shared" si="27"/>
        <v>#DIV/0!</v>
      </c>
      <c r="BI94" s="380" t="e">
        <f t="shared" si="27"/>
        <v>#DIV/0!</v>
      </c>
      <c r="BJ94" s="380" t="e">
        <f t="shared" si="27"/>
        <v>#DIV/0!</v>
      </c>
      <c r="BK94" s="380" t="e">
        <f t="shared" si="27"/>
        <v>#DIV/0!</v>
      </c>
      <c r="BL94" s="380" t="e">
        <f t="shared" si="27"/>
        <v>#DIV/0!</v>
      </c>
      <c r="BM94" s="380" t="e">
        <f t="shared" si="27"/>
        <v>#DIV/0!</v>
      </c>
      <c r="BN94" s="380" t="e">
        <f t="shared" si="27"/>
        <v>#DIV/0!</v>
      </c>
      <c r="BO94" s="380" t="e">
        <f t="shared" si="27"/>
        <v>#DIV/0!</v>
      </c>
      <c r="BP94" s="380" t="e">
        <f t="shared" si="27"/>
        <v>#DIV/0!</v>
      </c>
      <c r="BQ94" s="380" t="e">
        <f t="shared" si="27"/>
        <v>#DIV/0!</v>
      </c>
      <c r="BR94" s="380" t="e">
        <f t="shared" si="25"/>
        <v>#DIV/0!</v>
      </c>
      <c r="BS94" s="380" t="e">
        <f t="shared" si="25"/>
        <v>#DIV/0!</v>
      </c>
      <c r="BT94" s="380" t="e">
        <f t="shared" si="25"/>
        <v>#DIV/0!</v>
      </c>
      <c r="BU94" s="380" t="e">
        <f t="shared" si="25"/>
        <v>#DIV/0!</v>
      </c>
      <c r="BV94" s="380" t="e">
        <f t="shared" si="25"/>
        <v>#DIV/0!</v>
      </c>
      <c r="BW94" s="380" t="e">
        <f t="shared" si="25"/>
        <v>#DIV/0!</v>
      </c>
      <c r="BX94" s="380" t="e">
        <f t="shared" si="25"/>
        <v>#DIV/0!</v>
      </c>
      <c r="BY94" s="380" t="e">
        <f t="shared" si="25"/>
        <v>#DIV/0!</v>
      </c>
      <c r="BZ94" s="380" t="e">
        <f t="shared" si="25"/>
        <v>#DIV/0!</v>
      </c>
      <c r="CA94" s="380" t="e">
        <f t="shared" si="25"/>
        <v>#DIV/0!</v>
      </c>
      <c r="CB94" s="380" t="e">
        <f t="shared" si="25"/>
        <v>#DIV/0!</v>
      </c>
      <c r="CC94" s="380" t="e">
        <f t="shared" si="25"/>
        <v>#DIV/0!</v>
      </c>
      <c r="CD94" s="380" t="e">
        <f t="shared" si="25"/>
        <v>#DIV/0!</v>
      </c>
      <c r="CE94" s="380" t="e">
        <f t="shared" si="25"/>
        <v>#DIV/0!</v>
      </c>
      <c r="CF94" s="380" t="e">
        <f t="shared" si="25"/>
        <v>#DIV/0!</v>
      </c>
    </row>
    <row r="95" spans="1:84">
      <c r="D95" s="380" t="s">
        <v>93</v>
      </c>
      <c r="E95" s="380" t="e">
        <f>E88*$E$11</f>
        <v>#DIV/0!</v>
      </c>
      <c r="F95" s="380" t="e">
        <f t="shared" si="27"/>
        <v>#DIV/0!</v>
      </c>
      <c r="G95" s="380" t="e">
        <f t="shared" si="27"/>
        <v>#DIV/0!</v>
      </c>
      <c r="H95" s="380" t="e">
        <f t="shared" si="27"/>
        <v>#DIV/0!</v>
      </c>
      <c r="I95" s="380" t="e">
        <f t="shared" si="27"/>
        <v>#DIV/0!</v>
      </c>
      <c r="J95" s="380" t="e">
        <f t="shared" si="27"/>
        <v>#DIV/0!</v>
      </c>
      <c r="K95" s="380" t="e">
        <f t="shared" si="27"/>
        <v>#DIV/0!</v>
      </c>
      <c r="L95" s="380" t="e">
        <f t="shared" si="27"/>
        <v>#DIV/0!</v>
      </c>
      <c r="M95" s="380" t="e">
        <f t="shared" si="27"/>
        <v>#DIV/0!</v>
      </c>
      <c r="N95" s="380" t="e">
        <f t="shared" si="27"/>
        <v>#DIV/0!</v>
      </c>
      <c r="O95" s="380" t="e">
        <f t="shared" si="27"/>
        <v>#DIV/0!</v>
      </c>
      <c r="P95" s="380" t="e">
        <f t="shared" si="27"/>
        <v>#DIV/0!</v>
      </c>
      <c r="Q95" s="380" t="e">
        <f t="shared" si="27"/>
        <v>#DIV/0!</v>
      </c>
      <c r="R95" s="380" t="e">
        <f t="shared" si="27"/>
        <v>#DIV/0!</v>
      </c>
      <c r="S95" s="380" t="e">
        <f t="shared" si="27"/>
        <v>#DIV/0!</v>
      </c>
      <c r="T95" s="380" t="e">
        <f t="shared" si="27"/>
        <v>#DIV/0!</v>
      </c>
      <c r="U95" s="380" t="e">
        <f t="shared" si="27"/>
        <v>#DIV/0!</v>
      </c>
      <c r="V95" s="380" t="e">
        <f t="shared" si="27"/>
        <v>#DIV/0!</v>
      </c>
      <c r="W95" s="380" t="e">
        <f t="shared" si="27"/>
        <v>#DIV/0!</v>
      </c>
      <c r="X95" s="380" t="e">
        <f t="shared" si="27"/>
        <v>#DIV/0!</v>
      </c>
      <c r="Y95" s="380" t="e">
        <f t="shared" si="27"/>
        <v>#DIV/0!</v>
      </c>
      <c r="Z95" s="380" t="e">
        <f t="shared" si="27"/>
        <v>#DIV/0!</v>
      </c>
      <c r="AA95" s="380" t="e">
        <f t="shared" si="27"/>
        <v>#DIV/0!</v>
      </c>
      <c r="AB95" s="380" t="e">
        <f t="shared" si="27"/>
        <v>#DIV/0!</v>
      </c>
      <c r="AC95" s="380" t="e">
        <f t="shared" si="27"/>
        <v>#DIV/0!</v>
      </c>
      <c r="AD95" s="380" t="e">
        <f t="shared" si="27"/>
        <v>#DIV/0!</v>
      </c>
      <c r="AE95" s="380" t="e">
        <f t="shared" si="27"/>
        <v>#DIV/0!</v>
      </c>
      <c r="AF95" s="380" t="e">
        <f t="shared" si="27"/>
        <v>#DIV/0!</v>
      </c>
      <c r="AG95" s="380" t="e">
        <f t="shared" si="27"/>
        <v>#DIV/0!</v>
      </c>
      <c r="AH95" s="380" t="e">
        <f t="shared" si="27"/>
        <v>#DIV/0!</v>
      </c>
      <c r="AI95" s="380" t="e">
        <f t="shared" si="27"/>
        <v>#DIV/0!</v>
      </c>
      <c r="AJ95" s="380" t="e">
        <f t="shared" si="27"/>
        <v>#DIV/0!</v>
      </c>
      <c r="AK95" s="380" t="e">
        <f t="shared" si="27"/>
        <v>#DIV/0!</v>
      </c>
      <c r="AL95" s="380" t="e">
        <f t="shared" si="27"/>
        <v>#DIV/0!</v>
      </c>
      <c r="AM95" s="380" t="e">
        <f t="shared" si="27"/>
        <v>#DIV/0!</v>
      </c>
      <c r="AN95" s="380" t="e">
        <f t="shared" si="27"/>
        <v>#DIV/0!</v>
      </c>
      <c r="AO95" s="380" t="e">
        <f t="shared" si="27"/>
        <v>#DIV/0!</v>
      </c>
      <c r="AP95" s="380" t="e">
        <f t="shared" si="27"/>
        <v>#DIV/0!</v>
      </c>
      <c r="AQ95" s="380" t="e">
        <f t="shared" si="27"/>
        <v>#DIV/0!</v>
      </c>
      <c r="AR95" s="380" t="e">
        <f t="shared" si="27"/>
        <v>#DIV/0!</v>
      </c>
      <c r="AS95" s="380" t="e">
        <f t="shared" si="27"/>
        <v>#DIV/0!</v>
      </c>
      <c r="AT95" s="380" t="e">
        <f t="shared" si="27"/>
        <v>#DIV/0!</v>
      </c>
      <c r="AU95" s="380" t="e">
        <f t="shared" si="27"/>
        <v>#DIV/0!</v>
      </c>
      <c r="AV95" s="380" t="e">
        <f t="shared" si="27"/>
        <v>#DIV/0!</v>
      </c>
      <c r="AW95" s="380" t="e">
        <f t="shared" si="27"/>
        <v>#DIV/0!</v>
      </c>
      <c r="AX95" s="380" t="e">
        <f t="shared" si="27"/>
        <v>#DIV/0!</v>
      </c>
      <c r="AY95" s="380" t="e">
        <f t="shared" si="27"/>
        <v>#DIV/0!</v>
      </c>
      <c r="AZ95" s="380" t="e">
        <f t="shared" si="27"/>
        <v>#DIV/0!</v>
      </c>
      <c r="BA95" s="380" t="e">
        <f t="shared" si="27"/>
        <v>#DIV/0!</v>
      </c>
      <c r="BB95" s="380" t="e">
        <f t="shared" si="27"/>
        <v>#DIV/0!</v>
      </c>
      <c r="BC95" s="380" t="e">
        <f t="shared" si="27"/>
        <v>#DIV/0!</v>
      </c>
      <c r="BD95" s="380" t="e">
        <f t="shared" si="27"/>
        <v>#DIV/0!</v>
      </c>
      <c r="BE95" s="380" t="e">
        <f t="shared" si="27"/>
        <v>#DIV/0!</v>
      </c>
      <c r="BF95" s="380" t="e">
        <f t="shared" si="27"/>
        <v>#DIV/0!</v>
      </c>
      <c r="BG95" s="380" t="e">
        <f t="shared" si="27"/>
        <v>#DIV/0!</v>
      </c>
      <c r="BH95" s="380" t="e">
        <f t="shared" si="27"/>
        <v>#DIV/0!</v>
      </c>
      <c r="BI95" s="380" t="e">
        <f t="shared" si="27"/>
        <v>#DIV/0!</v>
      </c>
      <c r="BJ95" s="380" t="e">
        <f t="shared" si="27"/>
        <v>#DIV/0!</v>
      </c>
      <c r="BK95" s="380" t="e">
        <f t="shared" si="27"/>
        <v>#DIV/0!</v>
      </c>
      <c r="BL95" s="380" t="e">
        <f t="shared" si="27"/>
        <v>#DIV/0!</v>
      </c>
      <c r="BM95" s="380" t="e">
        <f t="shared" si="27"/>
        <v>#DIV/0!</v>
      </c>
      <c r="BN95" s="380" t="e">
        <f t="shared" si="27"/>
        <v>#DIV/0!</v>
      </c>
      <c r="BO95" s="380" t="e">
        <f t="shared" si="27"/>
        <v>#DIV/0!</v>
      </c>
      <c r="BP95" s="380" t="e">
        <f t="shared" si="27"/>
        <v>#DIV/0!</v>
      </c>
      <c r="BQ95" s="380" t="e">
        <f t="shared" si="27"/>
        <v>#DIV/0!</v>
      </c>
      <c r="BR95" s="380" t="e">
        <f t="shared" si="25"/>
        <v>#DIV/0!</v>
      </c>
      <c r="BS95" s="380" t="e">
        <f t="shared" si="25"/>
        <v>#DIV/0!</v>
      </c>
      <c r="BT95" s="380" t="e">
        <f t="shared" si="25"/>
        <v>#DIV/0!</v>
      </c>
      <c r="BU95" s="380" t="e">
        <f t="shared" si="25"/>
        <v>#DIV/0!</v>
      </c>
      <c r="BV95" s="380" t="e">
        <f t="shared" si="25"/>
        <v>#DIV/0!</v>
      </c>
      <c r="BW95" s="380" t="e">
        <f t="shared" si="25"/>
        <v>#DIV/0!</v>
      </c>
      <c r="BX95" s="380" t="e">
        <f t="shared" si="25"/>
        <v>#DIV/0!</v>
      </c>
      <c r="BY95" s="380" t="e">
        <f t="shared" si="25"/>
        <v>#DIV/0!</v>
      </c>
      <c r="BZ95" s="380" t="e">
        <f t="shared" si="25"/>
        <v>#DIV/0!</v>
      </c>
      <c r="CA95" s="380" t="e">
        <f t="shared" si="25"/>
        <v>#DIV/0!</v>
      </c>
      <c r="CB95" s="380" t="e">
        <f t="shared" si="25"/>
        <v>#DIV/0!</v>
      </c>
      <c r="CC95" s="380" t="e">
        <f t="shared" si="25"/>
        <v>#DIV/0!</v>
      </c>
      <c r="CD95" s="380" t="e">
        <f t="shared" si="25"/>
        <v>#DIV/0!</v>
      </c>
      <c r="CE95" s="380" t="e">
        <f t="shared" si="25"/>
        <v>#DIV/0!</v>
      </c>
      <c r="CF95" s="380" t="e">
        <f t="shared" si="25"/>
        <v>#DIV/0!</v>
      </c>
    </row>
    <row r="97" spans="1:84">
      <c r="C97" s="360" t="s">
        <v>262</v>
      </c>
    </row>
    <row r="98" spans="1:84">
      <c r="D98" s="728"/>
      <c r="E98" s="728">
        <v>2010</v>
      </c>
      <c r="F98" s="728">
        <v>2011</v>
      </c>
      <c r="G98" s="728">
        <v>2012</v>
      </c>
      <c r="H98" s="728">
        <v>2013</v>
      </c>
      <c r="I98" s="728">
        <v>2014</v>
      </c>
      <c r="J98" s="728">
        <v>2015</v>
      </c>
      <c r="K98" s="728">
        <v>2016</v>
      </c>
      <c r="L98" s="728">
        <v>2017</v>
      </c>
      <c r="M98" s="728">
        <v>2018</v>
      </c>
      <c r="N98" s="728">
        <v>2019</v>
      </c>
      <c r="O98" s="728">
        <v>2020</v>
      </c>
      <c r="P98" s="728">
        <v>2021</v>
      </c>
      <c r="Q98" s="728">
        <v>2022</v>
      </c>
      <c r="R98" s="728">
        <v>2023</v>
      </c>
      <c r="S98" s="728">
        <v>2024</v>
      </c>
      <c r="T98" s="728">
        <v>2025</v>
      </c>
      <c r="U98" s="728">
        <v>2026</v>
      </c>
      <c r="V98" s="728">
        <v>2027</v>
      </c>
      <c r="W98" s="728">
        <v>2028</v>
      </c>
      <c r="X98" s="728">
        <v>2029</v>
      </c>
      <c r="Y98" s="728">
        <v>2030</v>
      </c>
      <c r="Z98" s="728">
        <v>2031</v>
      </c>
      <c r="AA98" s="728">
        <v>2032</v>
      </c>
      <c r="AB98" s="728">
        <v>2033</v>
      </c>
      <c r="AC98" s="728">
        <v>2034</v>
      </c>
      <c r="AD98" s="728">
        <v>2035</v>
      </c>
      <c r="AE98" s="728">
        <v>2036</v>
      </c>
      <c r="AF98" s="728">
        <v>2037</v>
      </c>
      <c r="AG98" s="728">
        <v>2038</v>
      </c>
      <c r="AH98" s="728">
        <v>2039</v>
      </c>
      <c r="AI98" s="728">
        <v>2040</v>
      </c>
      <c r="AJ98" s="728">
        <v>2041</v>
      </c>
      <c r="AK98" s="728">
        <v>2042</v>
      </c>
      <c r="AL98" s="728">
        <v>2043</v>
      </c>
      <c r="AM98" s="728">
        <v>2044</v>
      </c>
      <c r="AN98" s="728">
        <v>2045</v>
      </c>
      <c r="AO98" s="728">
        <v>2046</v>
      </c>
      <c r="AP98" s="728">
        <v>2047</v>
      </c>
      <c r="AQ98" s="728">
        <v>2048</v>
      </c>
      <c r="AR98" s="728">
        <v>2049</v>
      </c>
      <c r="AS98" s="728">
        <v>2050</v>
      </c>
      <c r="AT98" s="728">
        <v>2051</v>
      </c>
      <c r="AU98" s="728">
        <v>2052</v>
      </c>
      <c r="AV98" s="728">
        <v>2053</v>
      </c>
      <c r="AW98" s="728">
        <v>2054</v>
      </c>
      <c r="AX98" s="728">
        <v>2055</v>
      </c>
      <c r="AY98" s="728">
        <v>2056</v>
      </c>
      <c r="AZ98" s="728">
        <v>2057</v>
      </c>
      <c r="BA98" s="728">
        <v>2058</v>
      </c>
      <c r="BB98" s="728">
        <v>2059</v>
      </c>
      <c r="BC98" s="728">
        <v>2060</v>
      </c>
      <c r="BD98" s="728">
        <v>2061</v>
      </c>
      <c r="BE98" s="728">
        <v>2062</v>
      </c>
      <c r="BF98" s="728">
        <v>2063</v>
      </c>
      <c r="BG98" s="728">
        <v>2064</v>
      </c>
      <c r="BH98" s="728">
        <v>2065</v>
      </c>
      <c r="BI98" s="728">
        <v>2066</v>
      </c>
      <c r="BJ98" s="728">
        <v>2067</v>
      </c>
      <c r="BK98" s="728">
        <v>2068</v>
      </c>
      <c r="BL98" s="728">
        <v>2069</v>
      </c>
      <c r="BM98" s="728">
        <v>2070</v>
      </c>
      <c r="BN98" s="728">
        <v>2071</v>
      </c>
      <c r="BO98" s="728">
        <v>2072</v>
      </c>
      <c r="BP98" s="728">
        <v>2073</v>
      </c>
      <c r="BQ98" s="728">
        <v>2074</v>
      </c>
      <c r="BR98" s="728">
        <v>2075</v>
      </c>
      <c r="BS98" s="728">
        <v>2076</v>
      </c>
      <c r="BT98" s="728">
        <v>2077</v>
      </c>
      <c r="BU98" s="728">
        <v>2078</v>
      </c>
      <c r="BV98" s="728">
        <v>2079</v>
      </c>
      <c r="BW98" s="728">
        <v>2080</v>
      </c>
      <c r="BX98" s="728">
        <v>2081</v>
      </c>
      <c r="BY98" s="728">
        <v>2082</v>
      </c>
      <c r="BZ98" s="728">
        <v>2083</v>
      </c>
      <c r="CA98" s="728">
        <v>2084</v>
      </c>
      <c r="CB98" s="728">
        <v>2085</v>
      </c>
      <c r="CC98" s="728">
        <v>2086</v>
      </c>
      <c r="CD98" s="728">
        <v>2087</v>
      </c>
      <c r="CE98" s="728">
        <v>2088</v>
      </c>
      <c r="CF98" s="728">
        <v>2089</v>
      </c>
    </row>
    <row r="99" spans="1:84">
      <c r="D99" s="380" t="s">
        <v>87</v>
      </c>
      <c r="E99" s="380" t="e">
        <f>(($E$14*($E35))+($E$15*($F35))+($E$16*($G35)))*E92</f>
        <v>#DIV/0!</v>
      </c>
      <c r="F99" s="380" t="e">
        <f t="shared" ref="F99:BQ100" si="28">(($E$14*($E35))+($E$15*($F35))+($E$16*($G35)))*F92</f>
        <v>#DIV/0!</v>
      </c>
      <c r="G99" s="380" t="e">
        <f t="shared" si="28"/>
        <v>#DIV/0!</v>
      </c>
      <c r="H99" s="380" t="e">
        <f t="shared" si="28"/>
        <v>#DIV/0!</v>
      </c>
      <c r="I99" s="380" t="e">
        <f t="shared" si="28"/>
        <v>#DIV/0!</v>
      </c>
      <c r="J99" s="380" t="e">
        <f t="shared" si="28"/>
        <v>#DIV/0!</v>
      </c>
      <c r="K99" s="380" t="e">
        <f t="shared" si="28"/>
        <v>#DIV/0!</v>
      </c>
      <c r="L99" s="380" t="e">
        <f t="shared" si="28"/>
        <v>#DIV/0!</v>
      </c>
      <c r="M99" s="380" t="e">
        <f t="shared" si="28"/>
        <v>#DIV/0!</v>
      </c>
      <c r="N99" s="380" t="e">
        <f t="shared" si="28"/>
        <v>#DIV/0!</v>
      </c>
      <c r="O99" s="380" t="e">
        <f t="shared" si="28"/>
        <v>#DIV/0!</v>
      </c>
      <c r="P99" s="380" t="e">
        <f t="shared" si="28"/>
        <v>#DIV/0!</v>
      </c>
      <c r="Q99" s="380" t="e">
        <f t="shared" si="28"/>
        <v>#DIV/0!</v>
      </c>
      <c r="R99" s="380" t="e">
        <f t="shared" si="28"/>
        <v>#DIV/0!</v>
      </c>
      <c r="S99" s="380" t="e">
        <f t="shared" si="28"/>
        <v>#DIV/0!</v>
      </c>
      <c r="T99" s="380" t="e">
        <f t="shared" si="28"/>
        <v>#DIV/0!</v>
      </c>
      <c r="U99" s="380" t="e">
        <f t="shared" si="28"/>
        <v>#DIV/0!</v>
      </c>
      <c r="V99" s="380" t="e">
        <f t="shared" si="28"/>
        <v>#DIV/0!</v>
      </c>
      <c r="W99" s="380" t="e">
        <f t="shared" si="28"/>
        <v>#DIV/0!</v>
      </c>
      <c r="X99" s="380" t="e">
        <f t="shared" si="28"/>
        <v>#DIV/0!</v>
      </c>
      <c r="Y99" s="380" t="e">
        <f t="shared" si="28"/>
        <v>#DIV/0!</v>
      </c>
      <c r="Z99" s="380" t="e">
        <f t="shared" si="28"/>
        <v>#DIV/0!</v>
      </c>
      <c r="AA99" s="380" t="e">
        <f t="shared" si="28"/>
        <v>#DIV/0!</v>
      </c>
      <c r="AB99" s="380" t="e">
        <f t="shared" si="28"/>
        <v>#DIV/0!</v>
      </c>
      <c r="AC99" s="380" t="e">
        <f t="shared" si="28"/>
        <v>#DIV/0!</v>
      </c>
      <c r="AD99" s="380" t="e">
        <f t="shared" si="28"/>
        <v>#DIV/0!</v>
      </c>
      <c r="AE99" s="380" t="e">
        <f t="shared" si="28"/>
        <v>#DIV/0!</v>
      </c>
      <c r="AF99" s="380" t="e">
        <f t="shared" si="28"/>
        <v>#DIV/0!</v>
      </c>
      <c r="AG99" s="380" t="e">
        <f t="shared" si="28"/>
        <v>#DIV/0!</v>
      </c>
      <c r="AH99" s="380" t="e">
        <f t="shared" si="28"/>
        <v>#DIV/0!</v>
      </c>
      <c r="AI99" s="380" t="e">
        <f t="shared" si="28"/>
        <v>#DIV/0!</v>
      </c>
      <c r="AJ99" s="380" t="e">
        <f t="shared" si="28"/>
        <v>#DIV/0!</v>
      </c>
      <c r="AK99" s="380" t="e">
        <f t="shared" si="28"/>
        <v>#DIV/0!</v>
      </c>
      <c r="AL99" s="380" t="e">
        <f t="shared" si="28"/>
        <v>#DIV/0!</v>
      </c>
      <c r="AM99" s="380" t="e">
        <f t="shared" si="28"/>
        <v>#DIV/0!</v>
      </c>
      <c r="AN99" s="380" t="e">
        <f t="shared" si="28"/>
        <v>#DIV/0!</v>
      </c>
      <c r="AO99" s="380" t="e">
        <f t="shared" si="28"/>
        <v>#DIV/0!</v>
      </c>
      <c r="AP99" s="380" t="e">
        <f t="shared" si="28"/>
        <v>#DIV/0!</v>
      </c>
      <c r="AQ99" s="380" t="e">
        <f t="shared" si="28"/>
        <v>#DIV/0!</v>
      </c>
      <c r="AR99" s="380" t="e">
        <f t="shared" si="28"/>
        <v>#DIV/0!</v>
      </c>
      <c r="AS99" s="380" t="e">
        <f t="shared" si="28"/>
        <v>#DIV/0!</v>
      </c>
      <c r="AT99" s="380" t="e">
        <f t="shared" si="28"/>
        <v>#DIV/0!</v>
      </c>
      <c r="AU99" s="380" t="e">
        <f t="shared" si="28"/>
        <v>#DIV/0!</v>
      </c>
      <c r="AV99" s="380" t="e">
        <f t="shared" si="28"/>
        <v>#DIV/0!</v>
      </c>
      <c r="AW99" s="380" t="e">
        <f t="shared" si="28"/>
        <v>#DIV/0!</v>
      </c>
      <c r="AX99" s="380" t="e">
        <f t="shared" si="28"/>
        <v>#DIV/0!</v>
      </c>
      <c r="AY99" s="380" t="e">
        <f t="shared" si="28"/>
        <v>#DIV/0!</v>
      </c>
      <c r="AZ99" s="380" t="e">
        <f t="shared" si="28"/>
        <v>#DIV/0!</v>
      </c>
      <c r="BA99" s="380" t="e">
        <f t="shared" si="28"/>
        <v>#DIV/0!</v>
      </c>
      <c r="BB99" s="380" t="e">
        <f t="shared" si="28"/>
        <v>#DIV/0!</v>
      </c>
      <c r="BC99" s="380" t="e">
        <f t="shared" si="28"/>
        <v>#DIV/0!</v>
      </c>
      <c r="BD99" s="380" t="e">
        <f t="shared" si="28"/>
        <v>#DIV/0!</v>
      </c>
      <c r="BE99" s="380" t="e">
        <f t="shared" si="28"/>
        <v>#DIV/0!</v>
      </c>
      <c r="BF99" s="380" t="e">
        <f t="shared" si="28"/>
        <v>#DIV/0!</v>
      </c>
      <c r="BG99" s="380" t="e">
        <f t="shared" si="28"/>
        <v>#DIV/0!</v>
      </c>
      <c r="BH99" s="380" t="e">
        <f t="shared" si="28"/>
        <v>#DIV/0!</v>
      </c>
      <c r="BI99" s="380" t="e">
        <f t="shared" si="28"/>
        <v>#DIV/0!</v>
      </c>
      <c r="BJ99" s="380" t="e">
        <f t="shared" si="28"/>
        <v>#DIV/0!</v>
      </c>
      <c r="BK99" s="380" t="e">
        <f t="shared" si="28"/>
        <v>#DIV/0!</v>
      </c>
      <c r="BL99" s="380" t="e">
        <f t="shared" si="28"/>
        <v>#DIV/0!</v>
      </c>
      <c r="BM99" s="380" t="e">
        <f t="shared" si="28"/>
        <v>#DIV/0!</v>
      </c>
      <c r="BN99" s="380" t="e">
        <f t="shared" si="28"/>
        <v>#DIV/0!</v>
      </c>
      <c r="BO99" s="380" t="e">
        <f t="shared" si="28"/>
        <v>#DIV/0!</v>
      </c>
      <c r="BP99" s="380" t="e">
        <f t="shared" si="28"/>
        <v>#DIV/0!</v>
      </c>
      <c r="BQ99" s="380" t="e">
        <f t="shared" si="28"/>
        <v>#DIV/0!</v>
      </c>
      <c r="BR99" s="380" t="e">
        <f t="shared" ref="BR99:CF102" si="29">(($E$14*($E35))+($E$15*($F35))+($E$16*($G35)))*BR92</f>
        <v>#DIV/0!</v>
      </c>
      <c r="BS99" s="380" t="e">
        <f t="shared" si="29"/>
        <v>#DIV/0!</v>
      </c>
      <c r="BT99" s="380" t="e">
        <f t="shared" si="29"/>
        <v>#DIV/0!</v>
      </c>
      <c r="BU99" s="380" t="e">
        <f t="shared" si="29"/>
        <v>#DIV/0!</v>
      </c>
      <c r="BV99" s="380" t="e">
        <f t="shared" si="29"/>
        <v>#DIV/0!</v>
      </c>
      <c r="BW99" s="380" t="e">
        <f t="shared" si="29"/>
        <v>#DIV/0!</v>
      </c>
      <c r="BX99" s="380" t="e">
        <f t="shared" si="29"/>
        <v>#DIV/0!</v>
      </c>
      <c r="BY99" s="380" t="e">
        <f t="shared" si="29"/>
        <v>#DIV/0!</v>
      </c>
      <c r="BZ99" s="380" t="e">
        <f t="shared" si="29"/>
        <v>#DIV/0!</v>
      </c>
      <c r="CA99" s="380" t="e">
        <f t="shared" si="29"/>
        <v>#DIV/0!</v>
      </c>
      <c r="CB99" s="380" t="e">
        <f t="shared" si="29"/>
        <v>#DIV/0!</v>
      </c>
      <c r="CC99" s="380" t="e">
        <f t="shared" si="29"/>
        <v>#DIV/0!</v>
      </c>
      <c r="CD99" s="380" t="e">
        <f t="shared" si="29"/>
        <v>#DIV/0!</v>
      </c>
      <c r="CE99" s="380" t="e">
        <f t="shared" si="29"/>
        <v>#DIV/0!</v>
      </c>
      <c r="CF99" s="380" t="e">
        <f t="shared" si="29"/>
        <v>#DIV/0!</v>
      </c>
    </row>
    <row r="100" spans="1:84">
      <c r="A100" s="1036" t="s">
        <v>263</v>
      </c>
      <c r="D100" s="380" t="s">
        <v>89</v>
      </c>
      <c r="E100" s="380" t="e">
        <f>(($E$14*($E36))+($E$15*($F36))+($E$16*($G36)))*E93</f>
        <v>#DIV/0!</v>
      </c>
      <c r="F100" s="380" t="e">
        <f t="shared" ref="F100:T100" si="30">(($E$14*($E36))+($E$15*($F36))+($E$16*($G36)))*F93</f>
        <v>#DIV/0!</v>
      </c>
      <c r="G100" s="380" t="e">
        <f t="shared" si="30"/>
        <v>#DIV/0!</v>
      </c>
      <c r="H100" s="380" t="e">
        <f t="shared" si="30"/>
        <v>#DIV/0!</v>
      </c>
      <c r="I100" s="380" t="e">
        <f t="shared" si="30"/>
        <v>#DIV/0!</v>
      </c>
      <c r="J100" s="380" t="e">
        <f t="shared" si="30"/>
        <v>#DIV/0!</v>
      </c>
      <c r="K100" s="380" t="e">
        <f t="shared" si="30"/>
        <v>#DIV/0!</v>
      </c>
      <c r="L100" s="380" t="e">
        <f t="shared" si="30"/>
        <v>#DIV/0!</v>
      </c>
      <c r="M100" s="380" t="e">
        <f t="shared" si="30"/>
        <v>#DIV/0!</v>
      </c>
      <c r="N100" s="380" t="e">
        <f t="shared" si="30"/>
        <v>#DIV/0!</v>
      </c>
      <c r="O100" s="380" t="e">
        <f t="shared" si="30"/>
        <v>#DIV/0!</v>
      </c>
      <c r="P100" s="380" t="e">
        <f t="shared" si="30"/>
        <v>#DIV/0!</v>
      </c>
      <c r="Q100" s="380" t="e">
        <f t="shared" si="30"/>
        <v>#DIV/0!</v>
      </c>
      <c r="R100" s="380" t="e">
        <f t="shared" si="30"/>
        <v>#DIV/0!</v>
      </c>
      <c r="S100" s="380" t="e">
        <f t="shared" si="30"/>
        <v>#DIV/0!</v>
      </c>
      <c r="T100" s="380" t="e">
        <f t="shared" si="30"/>
        <v>#DIV/0!</v>
      </c>
      <c r="U100" s="380" t="e">
        <f t="shared" si="28"/>
        <v>#DIV/0!</v>
      </c>
      <c r="V100" s="380" t="e">
        <f t="shared" si="28"/>
        <v>#DIV/0!</v>
      </c>
      <c r="W100" s="380" t="e">
        <f t="shared" si="28"/>
        <v>#DIV/0!</v>
      </c>
      <c r="X100" s="380" t="e">
        <f t="shared" si="28"/>
        <v>#DIV/0!</v>
      </c>
      <c r="Y100" s="380" t="e">
        <f t="shared" si="28"/>
        <v>#DIV/0!</v>
      </c>
      <c r="Z100" s="380" t="e">
        <f t="shared" si="28"/>
        <v>#DIV/0!</v>
      </c>
      <c r="AA100" s="380" t="e">
        <f t="shared" si="28"/>
        <v>#DIV/0!</v>
      </c>
      <c r="AB100" s="380" t="e">
        <f t="shared" si="28"/>
        <v>#DIV/0!</v>
      </c>
      <c r="AC100" s="380" t="e">
        <f t="shared" si="28"/>
        <v>#DIV/0!</v>
      </c>
      <c r="AD100" s="380" t="e">
        <f t="shared" si="28"/>
        <v>#DIV/0!</v>
      </c>
      <c r="AE100" s="380" t="e">
        <f t="shared" si="28"/>
        <v>#DIV/0!</v>
      </c>
      <c r="AF100" s="380" t="e">
        <f t="shared" si="28"/>
        <v>#DIV/0!</v>
      </c>
      <c r="AG100" s="380" t="e">
        <f t="shared" si="28"/>
        <v>#DIV/0!</v>
      </c>
      <c r="AH100" s="380" t="e">
        <f t="shared" si="28"/>
        <v>#DIV/0!</v>
      </c>
      <c r="AI100" s="380" t="e">
        <f t="shared" si="28"/>
        <v>#DIV/0!</v>
      </c>
      <c r="AJ100" s="380" t="e">
        <f t="shared" si="28"/>
        <v>#DIV/0!</v>
      </c>
      <c r="AK100" s="380" t="e">
        <f t="shared" si="28"/>
        <v>#DIV/0!</v>
      </c>
      <c r="AL100" s="380" t="e">
        <f t="shared" si="28"/>
        <v>#DIV/0!</v>
      </c>
      <c r="AM100" s="380" t="e">
        <f t="shared" si="28"/>
        <v>#DIV/0!</v>
      </c>
      <c r="AN100" s="380" t="e">
        <f t="shared" si="28"/>
        <v>#DIV/0!</v>
      </c>
      <c r="AO100" s="380" t="e">
        <f t="shared" si="28"/>
        <v>#DIV/0!</v>
      </c>
      <c r="AP100" s="380" t="e">
        <f t="shared" si="28"/>
        <v>#DIV/0!</v>
      </c>
      <c r="AQ100" s="380" t="e">
        <f t="shared" si="28"/>
        <v>#DIV/0!</v>
      </c>
      <c r="AR100" s="380" t="e">
        <f t="shared" si="28"/>
        <v>#DIV/0!</v>
      </c>
      <c r="AS100" s="380" t="e">
        <f t="shared" si="28"/>
        <v>#DIV/0!</v>
      </c>
      <c r="AT100" s="380" t="e">
        <f t="shared" si="28"/>
        <v>#DIV/0!</v>
      </c>
      <c r="AU100" s="380" t="e">
        <f t="shared" si="28"/>
        <v>#DIV/0!</v>
      </c>
      <c r="AV100" s="380" t="e">
        <f t="shared" si="28"/>
        <v>#DIV/0!</v>
      </c>
      <c r="AW100" s="380" t="e">
        <f t="shared" si="28"/>
        <v>#DIV/0!</v>
      </c>
      <c r="AX100" s="380" t="e">
        <f t="shared" si="28"/>
        <v>#DIV/0!</v>
      </c>
      <c r="AY100" s="380" t="e">
        <f t="shared" si="28"/>
        <v>#DIV/0!</v>
      </c>
      <c r="AZ100" s="380" t="e">
        <f t="shared" si="28"/>
        <v>#DIV/0!</v>
      </c>
      <c r="BA100" s="380" t="e">
        <f t="shared" si="28"/>
        <v>#DIV/0!</v>
      </c>
      <c r="BB100" s="380" t="e">
        <f t="shared" si="28"/>
        <v>#DIV/0!</v>
      </c>
      <c r="BC100" s="380" t="e">
        <f t="shared" si="28"/>
        <v>#DIV/0!</v>
      </c>
      <c r="BD100" s="380" t="e">
        <f t="shared" si="28"/>
        <v>#DIV/0!</v>
      </c>
      <c r="BE100" s="380" t="e">
        <f t="shared" si="28"/>
        <v>#DIV/0!</v>
      </c>
      <c r="BF100" s="380" t="e">
        <f t="shared" si="28"/>
        <v>#DIV/0!</v>
      </c>
      <c r="BG100" s="380" t="e">
        <f t="shared" si="28"/>
        <v>#DIV/0!</v>
      </c>
      <c r="BH100" s="380" t="e">
        <f t="shared" si="28"/>
        <v>#DIV/0!</v>
      </c>
      <c r="BI100" s="380" t="e">
        <f t="shared" si="28"/>
        <v>#DIV/0!</v>
      </c>
      <c r="BJ100" s="380" t="e">
        <f t="shared" si="28"/>
        <v>#DIV/0!</v>
      </c>
      <c r="BK100" s="380" t="e">
        <f t="shared" si="28"/>
        <v>#DIV/0!</v>
      </c>
      <c r="BL100" s="380" t="e">
        <f t="shared" si="28"/>
        <v>#DIV/0!</v>
      </c>
      <c r="BM100" s="380" t="e">
        <f t="shared" si="28"/>
        <v>#DIV/0!</v>
      </c>
      <c r="BN100" s="380" t="e">
        <f t="shared" si="28"/>
        <v>#DIV/0!</v>
      </c>
      <c r="BO100" s="380" t="e">
        <f t="shared" si="28"/>
        <v>#DIV/0!</v>
      </c>
      <c r="BP100" s="380" t="e">
        <f t="shared" si="28"/>
        <v>#DIV/0!</v>
      </c>
      <c r="BQ100" s="380" t="e">
        <f t="shared" si="28"/>
        <v>#DIV/0!</v>
      </c>
      <c r="BR100" s="380" t="e">
        <f t="shared" si="29"/>
        <v>#DIV/0!</v>
      </c>
      <c r="BS100" s="380" t="e">
        <f t="shared" si="29"/>
        <v>#DIV/0!</v>
      </c>
      <c r="BT100" s="380" t="e">
        <f t="shared" si="29"/>
        <v>#DIV/0!</v>
      </c>
      <c r="BU100" s="380" t="e">
        <f t="shared" si="29"/>
        <v>#DIV/0!</v>
      </c>
      <c r="BV100" s="380" t="e">
        <f t="shared" si="29"/>
        <v>#DIV/0!</v>
      </c>
      <c r="BW100" s="380" t="e">
        <f t="shared" si="29"/>
        <v>#DIV/0!</v>
      </c>
      <c r="BX100" s="380" t="e">
        <f t="shared" si="29"/>
        <v>#DIV/0!</v>
      </c>
      <c r="BY100" s="380" t="e">
        <f t="shared" si="29"/>
        <v>#DIV/0!</v>
      </c>
      <c r="BZ100" s="380" t="e">
        <f t="shared" si="29"/>
        <v>#DIV/0!</v>
      </c>
      <c r="CA100" s="380" t="e">
        <f t="shared" si="29"/>
        <v>#DIV/0!</v>
      </c>
      <c r="CB100" s="380" t="e">
        <f t="shared" si="29"/>
        <v>#DIV/0!</v>
      </c>
      <c r="CC100" s="380" t="e">
        <f t="shared" si="29"/>
        <v>#DIV/0!</v>
      </c>
      <c r="CD100" s="380" t="e">
        <f t="shared" si="29"/>
        <v>#DIV/0!</v>
      </c>
      <c r="CE100" s="380" t="e">
        <f t="shared" si="29"/>
        <v>#DIV/0!</v>
      </c>
      <c r="CF100" s="380" t="e">
        <f t="shared" si="29"/>
        <v>#DIV/0!</v>
      </c>
    </row>
    <row r="101" spans="1:84">
      <c r="D101" s="380" t="s">
        <v>91</v>
      </c>
      <c r="E101" s="380" t="e">
        <f>(($E$14*($E37))+($E$15*($F37))+($E$16*($G37)))*E94</f>
        <v>#DIV/0!</v>
      </c>
      <c r="F101" s="380" t="e">
        <f t="shared" ref="F101:BQ102" si="31">(($E$14*($E37))+($E$15*($F37))+($E$16*($G37)))*F94</f>
        <v>#DIV/0!</v>
      </c>
      <c r="G101" s="380" t="e">
        <f>(($E$14*($E37))+($E$15*($F37))+($E$16*($G37)))*G94</f>
        <v>#DIV/0!</v>
      </c>
      <c r="H101" s="380" t="e">
        <f t="shared" si="31"/>
        <v>#DIV/0!</v>
      </c>
      <c r="I101" s="380" t="e">
        <f t="shared" si="31"/>
        <v>#DIV/0!</v>
      </c>
      <c r="J101" s="380" t="e">
        <f t="shared" si="31"/>
        <v>#DIV/0!</v>
      </c>
      <c r="K101" s="380" t="e">
        <f t="shared" si="31"/>
        <v>#DIV/0!</v>
      </c>
      <c r="L101" s="380" t="e">
        <f t="shared" si="31"/>
        <v>#DIV/0!</v>
      </c>
      <c r="M101" s="380" t="e">
        <f t="shared" si="31"/>
        <v>#DIV/0!</v>
      </c>
      <c r="N101" s="380" t="e">
        <f t="shared" si="31"/>
        <v>#DIV/0!</v>
      </c>
      <c r="O101" s="380" t="e">
        <f t="shared" si="31"/>
        <v>#DIV/0!</v>
      </c>
      <c r="P101" s="380" t="e">
        <f t="shared" si="31"/>
        <v>#DIV/0!</v>
      </c>
      <c r="Q101" s="380" t="e">
        <f t="shared" si="31"/>
        <v>#DIV/0!</v>
      </c>
      <c r="R101" s="380" t="e">
        <f t="shared" si="31"/>
        <v>#DIV/0!</v>
      </c>
      <c r="S101" s="380" t="e">
        <f t="shared" si="31"/>
        <v>#DIV/0!</v>
      </c>
      <c r="T101" s="380" t="e">
        <f t="shared" si="31"/>
        <v>#DIV/0!</v>
      </c>
      <c r="U101" s="380" t="e">
        <f t="shared" si="31"/>
        <v>#DIV/0!</v>
      </c>
      <c r="V101" s="380" t="e">
        <f t="shared" si="31"/>
        <v>#DIV/0!</v>
      </c>
      <c r="W101" s="380" t="e">
        <f t="shared" si="31"/>
        <v>#DIV/0!</v>
      </c>
      <c r="X101" s="380" t="e">
        <f t="shared" si="31"/>
        <v>#DIV/0!</v>
      </c>
      <c r="Y101" s="380" t="e">
        <f t="shared" si="31"/>
        <v>#DIV/0!</v>
      </c>
      <c r="Z101" s="380" t="e">
        <f t="shared" si="31"/>
        <v>#DIV/0!</v>
      </c>
      <c r="AA101" s="380" t="e">
        <f t="shared" si="31"/>
        <v>#DIV/0!</v>
      </c>
      <c r="AB101" s="380" t="e">
        <f t="shared" si="31"/>
        <v>#DIV/0!</v>
      </c>
      <c r="AC101" s="380" t="e">
        <f t="shared" si="31"/>
        <v>#DIV/0!</v>
      </c>
      <c r="AD101" s="380" t="e">
        <f t="shared" si="31"/>
        <v>#DIV/0!</v>
      </c>
      <c r="AE101" s="380" t="e">
        <f t="shared" si="31"/>
        <v>#DIV/0!</v>
      </c>
      <c r="AF101" s="380" t="e">
        <f t="shared" si="31"/>
        <v>#DIV/0!</v>
      </c>
      <c r="AG101" s="380" t="e">
        <f t="shared" si="31"/>
        <v>#DIV/0!</v>
      </c>
      <c r="AH101" s="380" t="e">
        <f t="shared" si="31"/>
        <v>#DIV/0!</v>
      </c>
      <c r="AI101" s="380" t="e">
        <f t="shared" si="31"/>
        <v>#DIV/0!</v>
      </c>
      <c r="AJ101" s="380" t="e">
        <f t="shared" si="31"/>
        <v>#DIV/0!</v>
      </c>
      <c r="AK101" s="380" t="e">
        <f t="shared" si="31"/>
        <v>#DIV/0!</v>
      </c>
      <c r="AL101" s="380" t="e">
        <f t="shared" si="31"/>
        <v>#DIV/0!</v>
      </c>
      <c r="AM101" s="380" t="e">
        <f t="shared" si="31"/>
        <v>#DIV/0!</v>
      </c>
      <c r="AN101" s="380" t="e">
        <f t="shared" si="31"/>
        <v>#DIV/0!</v>
      </c>
      <c r="AO101" s="380" t="e">
        <f t="shared" si="31"/>
        <v>#DIV/0!</v>
      </c>
      <c r="AP101" s="380" t="e">
        <f t="shared" si="31"/>
        <v>#DIV/0!</v>
      </c>
      <c r="AQ101" s="380" t="e">
        <f t="shared" si="31"/>
        <v>#DIV/0!</v>
      </c>
      <c r="AR101" s="380" t="e">
        <f t="shared" si="31"/>
        <v>#DIV/0!</v>
      </c>
      <c r="AS101" s="380" t="e">
        <f t="shared" si="31"/>
        <v>#DIV/0!</v>
      </c>
      <c r="AT101" s="380" t="e">
        <f t="shared" si="31"/>
        <v>#DIV/0!</v>
      </c>
      <c r="AU101" s="380" t="e">
        <f t="shared" si="31"/>
        <v>#DIV/0!</v>
      </c>
      <c r="AV101" s="380" t="e">
        <f t="shared" si="31"/>
        <v>#DIV/0!</v>
      </c>
      <c r="AW101" s="380" t="e">
        <f t="shared" si="31"/>
        <v>#DIV/0!</v>
      </c>
      <c r="AX101" s="380" t="e">
        <f t="shared" si="31"/>
        <v>#DIV/0!</v>
      </c>
      <c r="AY101" s="380" t="e">
        <f t="shared" si="31"/>
        <v>#DIV/0!</v>
      </c>
      <c r="AZ101" s="380" t="e">
        <f t="shared" si="31"/>
        <v>#DIV/0!</v>
      </c>
      <c r="BA101" s="380" t="e">
        <f t="shared" si="31"/>
        <v>#DIV/0!</v>
      </c>
      <c r="BB101" s="380" t="e">
        <f t="shared" si="31"/>
        <v>#DIV/0!</v>
      </c>
      <c r="BC101" s="380" t="e">
        <f t="shared" si="31"/>
        <v>#DIV/0!</v>
      </c>
      <c r="BD101" s="380" t="e">
        <f t="shared" si="31"/>
        <v>#DIV/0!</v>
      </c>
      <c r="BE101" s="380" t="e">
        <f t="shared" si="31"/>
        <v>#DIV/0!</v>
      </c>
      <c r="BF101" s="380" t="e">
        <f t="shared" si="31"/>
        <v>#DIV/0!</v>
      </c>
      <c r="BG101" s="380" t="e">
        <f t="shared" si="31"/>
        <v>#DIV/0!</v>
      </c>
      <c r="BH101" s="380" t="e">
        <f t="shared" si="31"/>
        <v>#DIV/0!</v>
      </c>
      <c r="BI101" s="380" t="e">
        <f t="shared" si="31"/>
        <v>#DIV/0!</v>
      </c>
      <c r="BJ101" s="380" t="e">
        <f t="shared" si="31"/>
        <v>#DIV/0!</v>
      </c>
      <c r="BK101" s="380" t="e">
        <f t="shared" si="31"/>
        <v>#DIV/0!</v>
      </c>
      <c r="BL101" s="380" t="e">
        <f t="shared" si="31"/>
        <v>#DIV/0!</v>
      </c>
      <c r="BM101" s="380" t="e">
        <f t="shared" si="31"/>
        <v>#DIV/0!</v>
      </c>
      <c r="BN101" s="380" t="e">
        <f t="shared" si="31"/>
        <v>#DIV/0!</v>
      </c>
      <c r="BO101" s="380" t="e">
        <f t="shared" si="31"/>
        <v>#DIV/0!</v>
      </c>
      <c r="BP101" s="380" t="e">
        <f t="shared" si="31"/>
        <v>#DIV/0!</v>
      </c>
      <c r="BQ101" s="380" t="e">
        <f t="shared" si="31"/>
        <v>#DIV/0!</v>
      </c>
      <c r="BR101" s="380" t="e">
        <f t="shared" si="29"/>
        <v>#DIV/0!</v>
      </c>
      <c r="BS101" s="380" t="e">
        <f t="shared" si="29"/>
        <v>#DIV/0!</v>
      </c>
      <c r="BT101" s="380" t="e">
        <f t="shared" si="29"/>
        <v>#DIV/0!</v>
      </c>
      <c r="BU101" s="380" t="e">
        <f t="shared" si="29"/>
        <v>#DIV/0!</v>
      </c>
      <c r="BV101" s="380" t="e">
        <f t="shared" si="29"/>
        <v>#DIV/0!</v>
      </c>
      <c r="BW101" s="380" t="e">
        <f t="shared" si="29"/>
        <v>#DIV/0!</v>
      </c>
      <c r="BX101" s="380" t="e">
        <f t="shared" si="29"/>
        <v>#DIV/0!</v>
      </c>
      <c r="BY101" s="380" t="e">
        <f t="shared" si="29"/>
        <v>#DIV/0!</v>
      </c>
      <c r="BZ101" s="380" t="e">
        <f t="shared" si="29"/>
        <v>#DIV/0!</v>
      </c>
      <c r="CA101" s="380" t="e">
        <f t="shared" si="29"/>
        <v>#DIV/0!</v>
      </c>
      <c r="CB101" s="380" t="e">
        <f t="shared" si="29"/>
        <v>#DIV/0!</v>
      </c>
      <c r="CC101" s="380" t="e">
        <f t="shared" si="29"/>
        <v>#DIV/0!</v>
      </c>
      <c r="CD101" s="380" t="e">
        <f t="shared" si="29"/>
        <v>#DIV/0!</v>
      </c>
      <c r="CE101" s="380" t="e">
        <f t="shared" si="29"/>
        <v>#DIV/0!</v>
      </c>
      <c r="CF101" s="380" t="e">
        <f t="shared" si="29"/>
        <v>#DIV/0!</v>
      </c>
    </row>
    <row r="102" spans="1:84">
      <c r="D102" s="380" t="s">
        <v>93</v>
      </c>
      <c r="E102" s="380" t="e">
        <f>(($E$14*($E38))+($E$15*($F38))+($E$16*($G38)))*E95</f>
        <v>#DIV/0!</v>
      </c>
      <c r="F102" s="380" t="e">
        <f t="shared" si="31"/>
        <v>#DIV/0!</v>
      </c>
      <c r="G102" s="380" t="e">
        <f t="shared" si="31"/>
        <v>#DIV/0!</v>
      </c>
      <c r="H102" s="380" t="e">
        <f t="shared" si="31"/>
        <v>#DIV/0!</v>
      </c>
      <c r="I102" s="380" t="e">
        <f t="shared" si="31"/>
        <v>#DIV/0!</v>
      </c>
      <c r="J102" s="380" t="e">
        <f t="shared" si="31"/>
        <v>#DIV/0!</v>
      </c>
      <c r="K102" s="380" t="e">
        <f t="shared" si="31"/>
        <v>#DIV/0!</v>
      </c>
      <c r="L102" s="380" t="e">
        <f t="shared" si="31"/>
        <v>#DIV/0!</v>
      </c>
      <c r="M102" s="380" t="e">
        <f t="shared" si="31"/>
        <v>#DIV/0!</v>
      </c>
      <c r="N102" s="380" t="e">
        <f t="shared" si="31"/>
        <v>#DIV/0!</v>
      </c>
      <c r="O102" s="380" t="e">
        <f t="shared" si="31"/>
        <v>#DIV/0!</v>
      </c>
      <c r="P102" s="380" t="e">
        <f t="shared" si="31"/>
        <v>#DIV/0!</v>
      </c>
      <c r="Q102" s="380" t="e">
        <f t="shared" si="31"/>
        <v>#DIV/0!</v>
      </c>
      <c r="R102" s="380" t="e">
        <f t="shared" si="31"/>
        <v>#DIV/0!</v>
      </c>
      <c r="S102" s="380" t="e">
        <f t="shared" si="31"/>
        <v>#DIV/0!</v>
      </c>
      <c r="T102" s="380" t="e">
        <f t="shared" si="31"/>
        <v>#DIV/0!</v>
      </c>
      <c r="U102" s="380" t="e">
        <f t="shared" si="31"/>
        <v>#DIV/0!</v>
      </c>
      <c r="V102" s="380" t="e">
        <f t="shared" si="31"/>
        <v>#DIV/0!</v>
      </c>
      <c r="W102" s="380" t="e">
        <f t="shared" si="31"/>
        <v>#DIV/0!</v>
      </c>
      <c r="X102" s="380" t="e">
        <f t="shared" si="31"/>
        <v>#DIV/0!</v>
      </c>
      <c r="Y102" s="380" t="e">
        <f t="shared" si="31"/>
        <v>#DIV/0!</v>
      </c>
      <c r="Z102" s="380" t="e">
        <f t="shared" si="31"/>
        <v>#DIV/0!</v>
      </c>
      <c r="AA102" s="380" t="e">
        <f t="shared" si="31"/>
        <v>#DIV/0!</v>
      </c>
      <c r="AB102" s="380" t="e">
        <f t="shared" si="31"/>
        <v>#DIV/0!</v>
      </c>
      <c r="AC102" s="380" t="e">
        <f t="shared" si="31"/>
        <v>#DIV/0!</v>
      </c>
      <c r="AD102" s="380" t="e">
        <f t="shared" si="31"/>
        <v>#DIV/0!</v>
      </c>
      <c r="AE102" s="380" t="e">
        <f t="shared" si="31"/>
        <v>#DIV/0!</v>
      </c>
      <c r="AF102" s="380" t="e">
        <f t="shared" si="31"/>
        <v>#DIV/0!</v>
      </c>
      <c r="AG102" s="380" t="e">
        <f t="shared" si="31"/>
        <v>#DIV/0!</v>
      </c>
      <c r="AH102" s="380" t="e">
        <f t="shared" si="31"/>
        <v>#DIV/0!</v>
      </c>
      <c r="AI102" s="380" t="e">
        <f t="shared" si="31"/>
        <v>#DIV/0!</v>
      </c>
      <c r="AJ102" s="380" t="e">
        <f t="shared" si="31"/>
        <v>#DIV/0!</v>
      </c>
      <c r="AK102" s="380" t="e">
        <f t="shared" si="31"/>
        <v>#DIV/0!</v>
      </c>
      <c r="AL102" s="380" t="e">
        <f t="shared" si="31"/>
        <v>#DIV/0!</v>
      </c>
      <c r="AM102" s="380" t="e">
        <f t="shared" si="31"/>
        <v>#DIV/0!</v>
      </c>
      <c r="AN102" s="380" t="e">
        <f t="shared" si="31"/>
        <v>#DIV/0!</v>
      </c>
      <c r="AO102" s="380" t="e">
        <f t="shared" si="31"/>
        <v>#DIV/0!</v>
      </c>
      <c r="AP102" s="380" t="e">
        <f t="shared" si="31"/>
        <v>#DIV/0!</v>
      </c>
      <c r="AQ102" s="380" t="e">
        <f t="shared" si="31"/>
        <v>#DIV/0!</v>
      </c>
      <c r="AR102" s="380" t="e">
        <f t="shared" si="31"/>
        <v>#DIV/0!</v>
      </c>
      <c r="AS102" s="380" t="e">
        <f t="shared" si="31"/>
        <v>#DIV/0!</v>
      </c>
      <c r="AT102" s="380" t="e">
        <f t="shared" si="31"/>
        <v>#DIV/0!</v>
      </c>
      <c r="AU102" s="380" t="e">
        <f t="shared" si="31"/>
        <v>#DIV/0!</v>
      </c>
      <c r="AV102" s="380" t="e">
        <f t="shared" si="31"/>
        <v>#DIV/0!</v>
      </c>
      <c r="AW102" s="380" t="e">
        <f t="shared" si="31"/>
        <v>#DIV/0!</v>
      </c>
      <c r="AX102" s="380" t="e">
        <f t="shared" si="31"/>
        <v>#DIV/0!</v>
      </c>
      <c r="AY102" s="380" t="e">
        <f t="shared" si="31"/>
        <v>#DIV/0!</v>
      </c>
      <c r="AZ102" s="380" t="e">
        <f t="shared" si="31"/>
        <v>#DIV/0!</v>
      </c>
      <c r="BA102" s="380" t="e">
        <f t="shared" si="31"/>
        <v>#DIV/0!</v>
      </c>
      <c r="BB102" s="380" t="e">
        <f t="shared" si="31"/>
        <v>#DIV/0!</v>
      </c>
      <c r="BC102" s="380" t="e">
        <f t="shared" si="31"/>
        <v>#DIV/0!</v>
      </c>
      <c r="BD102" s="380" t="e">
        <f t="shared" si="31"/>
        <v>#DIV/0!</v>
      </c>
      <c r="BE102" s="380" t="e">
        <f t="shared" si="31"/>
        <v>#DIV/0!</v>
      </c>
      <c r="BF102" s="380" t="e">
        <f t="shared" si="31"/>
        <v>#DIV/0!</v>
      </c>
      <c r="BG102" s="380" t="e">
        <f t="shared" si="31"/>
        <v>#DIV/0!</v>
      </c>
      <c r="BH102" s="380" t="e">
        <f t="shared" si="31"/>
        <v>#DIV/0!</v>
      </c>
      <c r="BI102" s="380" t="e">
        <f t="shared" si="31"/>
        <v>#DIV/0!</v>
      </c>
      <c r="BJ102" s="380" t="e">
        <f t="shared" si="31"/>
        <v>#DIV/0!</v>
      </c>
      <c r="BK102" s="380" t="e">
        <f t="shared" si="31"/>
        <v>#DIV/0!</v>
      </c>
      <c r="BL102" s="380" t="e">
        <f t="shared" si="31"/>
        <v>#DIV/0!</v>
      </c>
      <c r="BM102" s="380" t="e">
        <f t="shared" si="31"/>
        <v>#DIV/0!</v>
      </c>
      <c r="BN102" s="380" t="e">
        <f t="shared" si="31"/>
        <v>#DIV/0!</v>
      </c>
      <c r="BO102" s="380" t="e">
        <f t="shared" si="31"/>
        <v>#DIV/0!</v>
      </c>
      <c r="BP102" s="380" t="e">
        <f t="shared" si="31"/>
        <v>#DIV/0!</v>
      </c>
      <c r="BQ102" s="380" t="e">
        <f t="shared" si="31"/>
        <v>#DIV/0!</v>
      </c>
      <c r="BR102" s="380" t="e">
        <f t="shared" si="29"/>
        <v>#DIV/0!</v>
      </c>
      <c r="BS102" s="380" t="e">
        <f t="shared" si="29"/>
        <v>#DIV/0!</v>
      </c>
      <c r="BT102" s="380" t="e">
        <f t="shared" si="29"/>
        <v>#DIV/0!</v>
      </c>
      <c r="BU102" s="380" t="e">
        <f t="shared" si="29"/>
        <v>#DIV/0!</v>
      </c>
      <c r="BV102" s="380" t="e">
        <f t="shared" si="29"/>
        <v>#DIV/0!</v>
      </c>
      <c r="BW102" s="380" t="e">
        <f t="shared" si="29"/>
        <v>#DIV/0!</v>
      </c>
      <c r="BX102" s="380" t="e">
        <f t="shared" si="29"/>
        <v>#DIV/0!</v>
      </c>
      <c r="BY102" s="380" t="e">
        <f t="shared" si="29"/>
        <v>#DIV/0!</v>
      </c>
      <c r="BZ102" s="380" t="e">
        <f t="shared" si="29"/>
        <v>#DIV/0!</v>
      </c>
      <c r="CA102" s="380" t="e">
        <f t="shared" si="29"/>
        <v>#DIV/0!</v>
      </c>
      <c r="CB102" s="380" t="e">
        <f t="shared" si="29"/>
        <v>#DIV/0!</v>
      </c>
      <c r="CC102" s="380" t="e">
        <f t="shared" si="29"/>
        <v>#DIV/0!</v>
      </c>
      <c r="CD102" s="380" t="e">
        <f t="shared" si="29"/>
        <v>#DIV/0!</v>
      </c>
      <c r="CE102" s="380" t="e">
        <f t="shared" si="29"/>
        <v>#DIV/0!</v>
      </c>
      <c r="CF102" s="380" t="e">
        <f t="shared" si="29"/>
        <v>#DIV/0!</v>
      </c>
    </row>
    <row r="104" spans="1:84">
      <c r="C104" s="360" t="s">
        <v>264</v>
      </c>
      <c r="D104" s="365"/>
      <c r="E104" s="365"/>
      <c r="F104" s="365"/>
      <c r="G104" s="729"/>
    </row>
    <row r="105" spans="1:84" s="379" customFormat="1">
      <c r="D105" s="730"/>
      <c r="E105" s="731">
        <v>2010</v>
      </c>
      <c r="F105" s="732">
        <v>2011</v>
      </c>
      <c r="G105" s="732">
        <v>2012</v>
      </c>
      <c r="H105" s="732">
        <v>2013</v>
      </c>
      <c r="I105" s="732">
        <v>2014</v>
      </c>
      <c r="J105" s="732">
        <v>2015</v>
      </c>
      <c r="K105" s="732">
        <v>2016</v>
      </c>
      <c r="L105" s="732">
        <v>2017</v>
      </c>
      <c r="M105" s="732">
        <v>2018</v>
      </c>
      <c r="N105" s="732">
        <v>2019</v>
      </c>
      <c r="O105" s="732">
        <v>2020</v>
      </c>
      <c r="P105" s="732">
        <v>2021</v>
      </c>
      <c r="Q105" s="732">
        <v>2022</v>
      </c>
      <c r="R105" s="732">
        <v>2023</v>
      </c>
      <c r="S105" s="732">
        <v>2024</v>
      </c>
      <c r="T105" s="732">
        <v>2025</v>
      </c>
      <c r="U105" s="732">
        <v>2026</v>
      </c>
      <c r="V105" s="732">
        <v>2027</v>
      </c>
      <c r="W105" s="732">
        <v>2028</v>
      </c>
      <c r="X105" s="732">
        <v>2029</v>
      </c>
      <c r="Y105" s="732">
        <v>2030</v>
      </c>
      <c r="Z105" s="732">
        <v>2031</v>
      </c>
      <c r="AA105" s="732">
        <v>2032</v>
      </c>
      <c r="AB105" s="732">
        <v>2033</v>
      </c>
      <c r="AC105" s="732">
        <v>2034</v>
      </c>
      <c r="AD105" s="732">
        <v>2035</v>
      </c>
      <c r="AE105" s="732">
        <v>2036</v>
      </c>
      <c r="AF105" s="732">
        <v>2037</v>
      </c>
      <c r="AG105" s="732">
        <v>2038</v>
      </c>
      <c r="AH105" s="732">
        <v>2039</v>
      </c>
      <c r="AI105" s="732">
        <v>2040</v>
      </c>
      <c r="AJ105" s="732">
        <v>2041</v>
      </c>
      <c r="AK105" s="732">
        <v>2042</v>
      </c>
      <c r="AL105" s="732">
        <v>2043</v>
      </c>
      <c r="AM105" s="732">
        <v>2044</v>
      </c>
      <c r="AN105" s="732">
        <v>2045</v>
      </c>
      <c r="AO105" s="732">
        <v>2046</v>
      </c>
      <c r="AP105" s="732">
        <v>2047</v>
      </c>
      <c r="AQ105" s="732">
        <v>2048</v>
      </c>
      <c r="AR105" s="732">
        <v>2049</v>
      </c>
      <c r="AS105" s="732">
        <v>2050</v>
      </c>
      <c r="AT105" s="732">
        <v>2051</v>
      </c>
      <c r="AU105" s="732">
        <v>2052</v>
      </c>
      <c r="AV105" s="732">
        <v>2053</v>
      </c>
      <c r="AW105" s="732">
        <v>2054</v>
      </c>
      <c r="AX105" s="732">
        <v>2055</v>
      </c>
      <c r="AY105" s="732">
        <v>2056</v>
      </c>
      <c r="AZ105" s="732">
        <v>2057</v>
      </c>
      <c r="BA105" s="732">
        <v>2058</v>
      </c>
      <c r="BB105" s="732">
        <v>2059</v>
      </c>
      <c r="BC105" s="732">
        <v>2060</v>
      </c>
      <c r="BD105" s="732">
        <v>2061</v>
      </c>
      <c r="BE105" s="732">
        <v>2062</v>
      </c>
      <c r="BF105" s="732">
        <v>2063</v>
      </c>
      <c r="BG105" s="732">
        <v>2064</v>
      </c>
      <c r="BH105" s="732">
        <v>2065</v>
      </c>
      <c r="BI105" s="732">
        <v>2066</v>
      </c>
      <c r="BJ105" s="732">
        <v>2067</v>
      </c>
      <c r="BK105" s="732">
        <v>2068</v>
      </c>
      <c r="BL105" s="732">
        <v>2069</v>
      </c>
      <c r="BM105" s="732">
        <v>2070</v>
      </c>
      <c r="BN105" s="732">
        <v>2071</v>
      </c>
      <c r="BO105" s="732">
        <v>2072</v>
      </c>
      <c r="BP105" s="732">
        <v>2073</v>
      </c>
      <c r="BQ105" s="732">
        <v>2074</v>
      </c>
      <c r="BR105" s="732">
        <v>2075</v>
      </c>
      <c r="BS105" s="732">
        <v>2076</v>
      </c>
      <c r="BT105" s="732">
        <v>2077</v>
      </c>
      <c r="BU105" s="732">
        <v>2078</v>
      </c>
      <c r="BV105" s="732">
        <v>2079</v>
      </c>
      <c r="BW105" s="732">
        <v>2080</v>
      </c>
      <c r="BX105" s="732">
        <v>2081</v>
      </c>
      <c r="BY105" s="732">
        <v>2082</v>
      </c>
      <c r="BZ105" s="732">
        <v>2083</v>
      </c>
      <c r="CA105" s="732">
        <v>2084</v>
      </c>
      <c r="CB105" s="732">
        <v>2085</v>
      </c>
      <c r="CC105" s="732">
        <v>2086</v>
      </c>
      <c r="CD105" s="732">
        <v>2087</v>
      </c>
      <c r="CE105" s="732">
        <v>2088</v>
      </c>
      <c r="CF105" s="732">
        <v>2089</v>
      </c>
    </row>
    <row r="106" spans="1:84">
      <c r="A106" s="360" t="s">
        <v>265</v>
      </c>
      <c r="D106" s="380" t="s">
        <v>87</v>
      </c>
      <c r="E106" s="380" t="e">
        <f t="shared" ref="E106:AD106" si="32">VLOOKUP(E105,voc_nonfuel,7,0)+ (VLOOKUP(E105,voc_nonfuel,8)/$E$5)</f>
        <v>#DIV/0!</v>
      </c>
      <c r="F106" s="380" t="e">
        <f t="shared" si="32"/>
        <v>#DIV/0!</v>
      </c>
      <c r="G106" s="380" t="e">
        <f t="shared" si="32"/>
        <v>#DIV/0!</v>
      </c>
      <c r="H106" s="380" t="e">
        <f t="shared" si="32"/>
        <v>#DIV/0!</v>
      </c>
      <c r="I106" s="380" t="e">
        <f t="shared" si="32"/>
        <v>#DIV/0!</v>
      </c>
      <c r="J106" s="380" t="e">
        <f t="shared" si="32"/>
        <v>#DIV/0!</v>
      </c>
      <c r="K106" s="380" t="e">
        <f t="shared" si="32"/>
        <v>#DIV/0!</v>
      </c>
      <c r="L106" s="380" t="e">
        <f t="shared" si="32"/>
        <v>#DIV/0!</v>
      </c>
      <c r="M106" s="380" t="e">
        <f t="shared" si="32"/>
        <v>#DIV/0!</v>
      </c>
      <c r="N106" s="380" t="e">
        <f t="shared" si="32"/>
        <v>#DIV/0!</v>
      </c>
      <c r="O106" s="380" t="e">
        <f t="shared" si="32"/>
        <v>#DIV/0!</v>
      </c>
      <c r="P106" s="380" t="e">
        <f t="shared" si="32"/>
        <v>#DIV/0!</v>
      </c>
      <c r="Q106" s="380" t="e">
        <f t="shared" si="32"/>
        <v>#DIV/0!</v>
      </c>
      <c r="R106" s="380" t="e">
        <f t="shared" si="32"/>
        <v>#DIV/0!</v>
      </c>
      <c r="S106" s="380" t="e">
        <f t="shared" si="32"/>
        <v>#DIV/0!</v>
      </c>
      <c r="T106" s="380" t="e">
        <f t="shared" si="32"/>
        <v>#DIV/0!</v>
      </c>
      <c r="U106" s="380" t="e">
        <f t="shared" si="32"/>
        <v>#DIV/0!</v>
      </c>
      <c r="V106" s="380" t="e">
        <f t="shared" si="32"/>
        <v>#DIV/0!</v>
      </c>
      <c r="W106" s="380" t="e">
        <f t="shared" si="32"/>
        <v>#DIV/0!</v>
      </c>
      <c r="X106" s="380" t="e">
        <f t="shared" si="32"/>
        <v>#DIV/0!</v>
      </c>
      <c r="Y106" s="380" t="e">
        <f t="shared" si="32"/>
        <v>#DIV/0!</v>
      </c>
      <c r="Z106" s="380" t="e">
        <f t="shared" si="32"/>
        <v>#DIV/0!</v>
      </c>
      <c r="AA106" s="380" t="e">
        <f t="shared" si="32"/>
        <v>#DIV/0!</v>
      </c>
      <c r="AB106" s="380" t="e">
        <f t="shared" si="32"/>
        <v>#DIV/0!</v>
      </c>
      <c r="AC106" s="380" t="e">
        <f t="shared" si="32"/>
        <v>#DIV/0!</v>
      </c>
      <c r="AD106" s="380" t="e">
        <f t="shared" si="32"/>
        <v>#DIV/0!</v>
      </c>
      <c r="AE106" s="380" t="e">
        <f>AD106</f>
        <v>#DIV/0!</v>
      </c>
      <c r="AF106" s="380" t="e">
        <f t="shared" ref="AF106:CF106" si="33">AE106</f>
        <v>#DIV/0!</v>
      </c>
      <c r="AG106" s="380" t="e">
        <f t="shared" si="33"/>
        <v>#DIV/0!</v>
      </c>
      <c r="AH106" s="380" t="e">
        <f t="shared" si="33"/>
        <v>#DIV/0!</v>
      </c>
      <c r="AI106" s="380" t="e">
        <f t="shared" si="33"/>
        <v>#DIV/0!</v>
      </c>
      <c r="AJ106" s="380" t="e">
        <f t="shared" si="33"/>
        <v>#DIV/0!</v>
      </c>
      <c r="AK106" s="380" t="e">
        <f t="shared" si="33"/>
        <v>#DIV/0!</v>
      </c>
      <c r="AL106" s="380" t="e">
        <f t="shared" si="33"/>
        <v>#DIV/0!</v>
      </c>
      <c r="AM106" s="380" t="e">
        <f t="shared" si="33"/>
        <v>#DIV/0!</v>
      </c>
      <c r="AN106" s="380" t="e">
        <f t="shared" si="33"/>
        <v>#DIV/0!</v>
      </c>
      <c r="AO106" s="380" t="e">
        <f t="shared" si="33"/>
        <v>#DIV/0!</v>
      </c>
      <c r="AP106" s="380" t="e">
        <f t="shared" si="33"/>
        <v>#DIV/0!</v>
      </c>
      <c r="AQ106" s="380" t="e">
        <f t="shared" si="33"/>
        <v>#DIV/0!</v>
      </c>
      <c r="AR106" s="380" t="e">
        <f t="shared" si="33"/>
        <v>#DIV/0!</v>
      </c>
      <c r="AS106" s="380" t="e">
        <f t="shared" si="33"/>
        <v>#DIV/0!</v>
      </c>
      <c r="AT106" s="380" t="e">
        <f t="shared" si="33"/>
        <v>#DIV/0!</v>
      </c>
      <c r="AU106" s="380" t="e">
        <f t="shared" si="33"/>
        <v>#DIV/0!</v>
      </c>
      <c r="AV106" s="380" t="e">
        <f t="shared" si="33"/>
        <v>#DIV/0!</v>
      </c>
      <c r="AW106" s="380" t="e">
        <f t="shared" si="33"/>
        <v>#DIV/0!</v>
      </c>
      <c r="AX106" s="380" t="e">
        <f t="shared" si="33"/>
        <v>#DIV/0!</v>
      </c>
      <c r="AY106" s="380" t="e">
        <f t="shared" si="33"/>
        <v>#DIV/0!</v>
      </c>
      <c r="AZ106" s="380" t="e">
        <f t="shared" si="33"/>
        <v>#DIV/0!</v>
      </c>
      <c r="BA106" s="380" t="e">
        <f t="shared" si="33"/>
        <v>#DIV/0!</v>
      </c>
      <c r="BB106" s="380" t="e">
        <f t="shared" si="33"/>
        <v>#DIV/0!</v>
      </c>
      <c r="BC106" s="380" t="e">
        <f t="shared" si="33"/>
        <v>#DIV/0!</v>
      </c>
      <c r="BD106" s="380" t="e">
        <f t="shared" si="33"/>
        <v>#DIV/0!</v>
      </c>
      <c r="BE106" s="380" t="e">
        <f t="shared" si="33"/>
        <v>#DIV/0!</v>
      </c>
      <c r="BF106" s="380" t="e">
        <f t="shared" si="33"/>
        <v>#DIV/0!</v>
      </c>
      <c r="BG106" s="380" t="e">
        <f t="shared" si="33"/>
        <v>#DIV/0!</v>
      </c>
      <c r="BH106" s="380" t="e">
        <f t="shared" si="33"/>
        <v>#DIV/0!</v>
      </c>
      <c r="BI106" s="380" t="e">
        <f t="shared" si="33"/>
        <v>#DIV/0!</v>
      </c>
      <c r="BJ106" s="380" t="e">
        <f t="shared" si="33"/>
        <v>#DIV/0!</v>
      </c>
      <c r="BK106" s="380" t="e">
        <f t="shared" si="33"/>
        <v>#DIV/0!</v>
      </c>
      <c r="BL106" s="380" t="e">
        <f t="shared" si="33"/>
        <v>#DIV/0!</v>
      </c>
      <c r="BM106" s="380" t="e">
        <f t="shared" si="33"/>
        <v>#DIV/0!</v>
      </c>
      <c r="BN106" s="380" t="e">
        <f t="shared" si="33"/>
        <v>#DIV/0!</v>
      </c>
      <c r="BO106" s="380" t="e">
        <f t="shared" si="33"/>
        <v>#DIV/0!</v>
      </c>
      <c r="BP106" s="380" t="e">
        <f t="shared" si="33"/>
        <v>#DIV/0!</v>
      </c>
      <c r="BQ106" s="380" t="e">
        <f t="shared" si="33"/>
        <v>#DIV/0!</v>
      </c>
      <c r="BR106" s="380" t="e">
        <f t="shared" si="33"/>
        <v>#DIV/0!</v>
      </c>
      <c r="BS106" s="380" t="e">
        <f t="shared" si="33"/>
        <v>#DIV/0!</v>
      </c>
      <c r="BT106" s="380" t="e">
        <f t="shared" si="33"/>
        <v>#DIV/0!</v>
      </c>
      <c r="BU106" s="380" t="e">
        <f t="shared" si="33"/>
        <v>#DIV/0!</v>
      </c>
      <c r="BV106" s="380" t="e">
        <f t="shared" si="33"/>
        <v>#DIV/0!</v>
      </c>
      <c r="BW106" s="380" t="e">
        <f t="shared" si="33"/>
        <v>#DIV/0!</v>
      </c>
      <c r="BX106" s="380" t="e">
        <f t="shared" si="33"/>
        <v>#DIV/0!</v>
      </c>
      <c r="BY106" s="380" t="e">
        <f t="shared" si="33"/>
        <v>#DIV/0!</v>
      </c>
      <c r="BZ106" s="380" t="e">
        <f t="shared" si="33"/>
        <v>#DIV/0!</v>
      </c>
      <c r="CA106" s="380" t="e">
        <f t="shared" si="33"/>
        <v>#DIV/0!</v>
      </c>
      <c r="CB106" s="380" t="e">
        <f t="shared" si="33"/>
        <v>#DIV/0!</v>
      </c>
      <c r="CC106" s="380" t="e">
        <f t="shared" si="33"/>
        <v>#DIV/0!</v>
      </c>
      <c r="CD106" s="380" t="e">
        <f t="shared" si="33"/>
        <v>#DIV/0!</v>
      </c>
      <c r="CE106" s="380" t="e">
        <f t="shared" si="33"/>
        <v>#DIV/0!</v>
      </c>
      <c r="CF106" s="380" t="e">
        <f t="shared" si="33"/>
        <v>#DIV/0!</v>
      </c>
    </row>
    <row r="107" spans="1:84">
      <c r="D107" s="380" t="s">
        <v>89</v>
      </c>
      <c r="E107" s="380" t="e">
        <f>(('Table A.3.14'!$D$33+'Table A.3.14'!$E$33/Carriageways!$E$6)*'Table A.1.3.4'!$Q$30 + 'Table A.3.14'!$D$33*'Table A.1.3.4'!$Q$31)/100</f>
        <v>#DIV/0!</v>
      </c>
      <c r="F107" s="380" t="e">
        <f>(('Table A.3.14'!$D$33+'Table A.3.14'!$E$33/Carriageways!$E$6)*'Table A.1.3.4'!$Q$30 + 'Table A.3.14'!$D$33*'Table A.1.3.4'!$Q$31)/100</f>
        <v>#DIV/0!</v>
      </c>
      <c r="G107" s="380" t="e">
        <f>(('Table A.3.14'!$D$33+'Table A.3.14'!$E$33/Carriageways!$E$6)*'Table A.1.3.4'!$Q$30 + 'Table A.3.14'!$D$33*'Table A.1.3.4'!$Q$31)/100</f>
        <v>#DIV/0!</v>
      </c>
      <c r="H107" s="380" t="e">
        <f>(('Table A.3.14'!$D$33+'Table A.3.14'!$E$33/Carriageways!$E$6)*'Table A.1.3.4'!$Q$30 + 'Table A.3.14'!$D$33*'Table A.1.3.4'!$Q$31)/100</f>
        <v>#DIV/0!</v>
      </c>
      <c r="I107" s="380" t="e">
        <f>(('Table A.3.14'!$D$33+'Table A.3.14'!$E$33/Carriageways!$E$6)*'Table A.1.3.4'!$Q$30 + 'Table A.3.14'!$D$33*'Table A.1.3.4'!$Q$31)/100</f>
        <v>#DIV/0!</v>
      </c>
      <c r="J107" s="380" t="e">
        <f>(('Table A.3.14'!$D$33+'Table A.3.14'!$E$33/Carriageways!$E$6)*'Table A.1.3.4'!$Q$30 + 'Table A.3.14'!$D$33*'Table A.1.3.4'!$Q$31)/100</f>
        <v>#DIV/0!</v>
      </c>
      <c r="K107" s="380" t="e">
        <f>(('Table A.3.14'!$D$33+'Table A.3.14'!$E$33/Carriageways!$E$6)*'Table A.1.3.4'!$Q$30 + 'Table A.3.14'!$D$33*'Table A.1.3.4'!$Q$31)/100</f>
        <v>#DIV/0!</v>
      </c>
      <c r="L107" s="380" t="e">
        <f>(('Table A.3.14'!$D$33+'Table A.3.14'!$E$33/Carriageways!$E$6)*'Table A.1.3.4'!$Q$30 + 'Table A.3.14'!$D$33*'Table A.1.3.4'!$Q$31)/100</f>
        <v>#DIV/0!</v>
      </c>
      <c r="M107" s="380" t="e">
        <f>(('Table A.3.14'!$D$33+'Table A.3.14'!$E$33/Carriageways!$E$6)*'Table A.1.3.4'!$Q$30 + 'Table A.3.14'!$D$33*'Table A.1.3.4'!$Q$31)/100</f>
        <v>#DIV/0!</v>
      </c>
      <c r="N107" s="380" t="e">
        <f>(('Table A.3.14'!$D$33+'Table A.3.14'!$E$33/Carriageways!$E$6)*'Table A.1.3.4'!$Q$30 + 'Table A.3.14'!$D$33*'Table A.1.3.4'!$Q$31)/100</f>
        <v>#DIV/0!</v>
      </c>
      <c r="O107" s="380" t="e">
        <f>(('Table A.3.14'!$D$33+'Table A.3.14'!$E$33/Carriageways!$E$6)*'Table A.1.3.4'!$Q$30 + 'Table A.3.14'!$D$33*'Table A.1.3.4'!$Q$31)/100</f>
        <v>#DIV/0!</v>
      </c>
      <c r="P107" s="380" t="e">
        <f>(('Table A.3.14'!$D$33+'Table A.3.14'!$E$33/Carriageways!$E$6)*'Table A.1.3.4'!$Q$30 + 'Table A.3.14'!$D$33*'Table A.1.3.4'!$Q$31)/100</f>
        <v>#DIV/0!</v>
      </c>
      <c r="Q107" s="380" t="e">
        <f>(('Table A.3.14'!$D$33+'Table A.3.14'!$E$33/Carriageways!$E$6)*'Table A.1.3.4'!$Q$30 + 'Table A.3.14'!$D$33*'Table A.1.3.4'!$Q$31)/100</f>
        <v>#DIV/0!</v>
      </c>
      <c r="R107" s="380" t="e">
        <f>(('Table A.3.14'!$D$33+'Table A.3.14'!$E$33/Carriageways!$E$6)*'Table A.1.3.4'!$Q$30 + 'Table A.3.14'!$D$33*'Table A.1.3.4'!$Q$31)/100</f>
        <v>#DIV/0!</v>
      </c>
      <c r="S107" s="380" t="e">
        <f>(('Table A.3.14'!$D$33+'Table A.3.14'!$E$33/Carriageways!$E$6)*'Table A.1.3.4'!$Q$30 + 'Table A.3.14'!$D$33*'Table A.1.3.4'!$Q$31)/100</f>
        <v>#DIV/0!</v>
      </c>
      <c r="T107" s="380" t="e">
        <f>(('Table A.3.14'!$D$33+'Table A.3.14'!$E$33/Carriageways!$E$6)*'Table A.1.3.4'!$Q$30 + 'Table A.3.14'!$D$33*'Table A.1.3.4'!$Q$31)/100</f>
        <v>#DIV/0!</v>
      </c>
      <c r="U107" s="380" t="e">
        <f>(('Table A.3.14'!$D$33+'Table A.3.14'!$E$33/Carriageways!$E$6)*'Table A.1.3.4'!$Q$30 + 'Table A.3.14'!$D$33*'Table A.1.3.4'!$Q$31)/100</f>
        <v>#DIV/0!</v>
      </c>
      <c r="V107" s="380" t="e">
        <f>(('Table A.3.14'!$D$33+'Table A.3.14'!$E$33/Carriageways!$E$6)*'Table A.1.3.4'!$Q$30 + 'Table A.3.14'!$D$33*'Table A.1.3.4'!$Q$31)/100</f>
        <v>#DIV/0!</v>
      </c>
      <c r="W107" s="380" t="e">
        <f>(('Table A.3.14'!$D$33+'Table A.3.14'!$E$33/Carriageways!$E$6)*'Table A.1.3.4'!$Q$30 + 'Table A.3.14'!$D$33*'Table A.1.3.4'!$Q$31)/100</f>
        <v>#DIV/0!</v>
      </c>
      <c r="X107" s="380" t="e">
        <f>(('Table A.3.14'!$D$33+'Table A.3.14'!$E$33/Carriageways!$E$6)*'Table A.1.3.4'!$Q$30 + 'Table A.3.14'!$D$33*'Table A.1.3.4'!$Q$31)/100</f>
        <v>#DIV/0!</v>
      </c>
      <c r="Y107" s="380" t="e">
        <f>(('Table A.3.14'!$D$33+'Table A.3.14'!$E$33/Carriageways!$E$6)*'Table A.1.3.4'!$Q$30 + 'Table A.3.14'!$D$33*'Table A.1.3.4'!$Q$31)/100</f>
        <v>#DIV/0!</v>
      </c>
      <c r="Z107" s="380" t="e">
        <f>(('Table A.3.14'!$D$33+'Table A.3.14'!$E$33/Carriageways!$E$6)*'Table A.1.3.4'!$Q$30 + 'Table A.3.14'!$D$33*'Table A.1.3.4'!$Q$31)/100</f>
        <v>#DIV/0!</v>
      </c>
      <c r="AA107" s="380" t="e">
        <f>(('Table A.3.14'!$D$33+'Table A.3.14'!$E$33/Carriageways!$E$6)*'Table A.1.3.4'!$Q$30 + 'Table A.3.14'!$D$33*'Table A.1.3.4'!$Q$31)/100</f>
        <v>#DIV/0!</v>
      </c>
      <c r="AB107" s="380" t="e">
        <f>(('Table A.3.14'!$D$33+'Table A.3.14'!$E$33/Carriageways!$E$6)*'Table A.1.3.4'!$Q$30 + 'Table A.3.14'!$D$33*'Table A.1.3.4'!$Q$31)/100</f>
        <v>#DIV/0!</v>
      </c>
      <c r="AC107" s="380" t="e">
        <f>(('Table A.3.14'!$D$33+'Table A.3.14'!$E$33/Carriageways!$E$6)*'Table A.1.3.4'!$Q$30 + 'Table A.3.14'!$D$33*'Table A.1.3.4'!$Q$31)/100</f>
        <v>#DIV/0!</v>
      </c>
      <c r="AD107" s="380" t="e">
        <f>(('Table A.3.14'!$D$33+'Table A.3.14'!$E$33/Carriageways!$E$6)*'Table A.1.3.4'!$Q$30 + 'Table A.3.14'!$D$33*'Table A.1.3.4'!$Q$31)/100</f>
        <v>#DIV/0!</v>
      </c>
      <c r="AE107" s="380" t="e">
        <f>AD107</f>
        <v>#DIV/0!</v>
      </c>
      <c r="AF107" s="380" t="e">
        <f t="shared" ref="AF107:CF107" si="34">AE107</f>
        <v>#DIV/0!</v>
      </c>
      <c r="AG107" s="380" t="e">
        <f t="shared" si="34"/>
        <v>#DIV/0!</v>
      </c>
      <c r="AH107" s="380" t="e">
        <f t="shared" si="34"/>
        <v>#DIV/0!</v>
      </c>
      <c r="AI107" s="380" t="e">
        <f t="shared" si="34"/>
        <v>#DIV/0!</v>
      </c>
      <c r="AJ107" s="380" t="e">
        <f t="shared" si="34"/>
        <v>#DIV/0!</v>
      </c>
      <c r="AK107" s="380" t="e">
        <f t="shared" si="34"/>
        <v>#DIV/0!</v>
      </c>
      <c r="AL107" s="380" t="e">
        <f t="shared" si="34"/>
        <v>#DIV/0!</v>
      </c>
      <c r="AM107" s="380" t="e">
        <f t="shared" si="34"/>
        <v>#DIV/0!</v>
      </c>
      <c r="AN107" s="380" t="e">
        <f t="shared" si="34"/>
        <v>#DIV/0!</v>
      </c>
      <c r="AO107" s="380" t="e">
        <f t="shared" si="34"/>
        <v>#DIV/0!</v>
      </c>
      <c r="AP107" s="380" t="e">
        <f t="shared" si="34"/>
        <v>#DIV/0!</v>
      </c>
      <c r="AQ107" s="380" t="e">
        <f t="shared" si="34"/>
        <v>#DIV/0!</v>
      </c>
      <c r="AR107" s="380" t="e">
        <f t="shared" si="34"/>
        <v>#DIV/0!</v>
      </c>
      <c r="AS107" s="380" t="e">
        <f t="shared" si="34"/>
        <v>#DIV/0!</v>
      </c>
      <c r="AT107" s="380" t="e">
        <f t="shared" si="34"/>
        <v>#DIV/0!</v>
      </c>
      <c r="AU107" s="380" t="e">
        <f t="shared" si="34"/>
        <v>#DIV/0!</v>
      </c>
      <c r="AV107" s="380" t="e">
        <f t="shared" si="34"/>
        <v>#DIV/0!</v>
      </c>
      <c r="AW107" s="380" t="e">
        <f t="shared" si="34"/>
        <v>#DIV/0!</v>
      </c>
      <c r="AX107" s="380" t="e">
        <f t="shared" si="34"/>
        <v>#DIV/0!</v>
      </c>
      <c r="AY107" s="380" t="e">
        <f t="shared" si="34"/>
        <v>#DIV/0!</v>
      </c>
      <c r="AZ107" s="380" t="e">
        <f t="shared" si="34"/>
        <v>#DIV/0!</v>
      </c>
      <c r="BA107" s="380" t="e">
        <f t="shared" si="34"/>
        <v>#DIV/0!</v>
      </c>
      <c r="BB107" s="380" t="e">
        <f t="shared" si="34"/>
        <v>#DIV/0!</v>
      </c>
      <c r="BC107" s="380" t="e">
        <f t="shared" si="34"/>
        <v>#DIV/0!</v>
      </c>
      <c r="BD107" s="380" t="e">
        <f t="shared" si="34"/>
        <v>#DIV/0!</v>
      </c>
      <c r="BE107" s="380" t="e">
        <f t="shared" si="34"/>
        <v>#DIV/0!</v>
      </c>
      <c r="BF107" s="380" t="e">
        <f t="shared" si="34"/>
        <v>#DIV/0!</v>
      </c>
      <c r="BG107" s="380" t="e">
        <f t="shared" si="34"/>
        <v>#DIV/0!</v>
      </c>
      <c r="BH107" s="380" t="e">
        <f t="shared" si="34"/>
        <v>#DIV/0!</v>
      </c>
      <c r="BI107" s="380" t="e">
        <f t="shared" si="34"/>
        <v>#DIV/0!</v>
      </c>
      <c r="BJ107" s="380" t="e">
        <f t="shared" si="34"/>
        <v>#DIV/0!</v>
      </c>
      <c r="BK107" s="380" t="e">
        <f t="shared" si="34"/>
        <v>#DIV/0!</v>
      </c>
      <c r="BL107" s="380" t="e">
        <f t="shared" si="34"/>
        <v>#DIV/0!</v>
      </c>
      <c r="BM107" s="380" t="e">
        <f t="shared" si="34"/>
        <v>#DIV/0!</v>
      </c>
      <c r="BN107" s="380" t="e">
        <f t="shared" si="34"/>
        <v>#DIV/0!</v>
      </c>
      <c r="BO107" s="380" t="e">
        <f t="shared" si="34"/>
        <v>#DIV/0!</v>
      </c>
      <c r="BP107" s="380" t="e">
        <f t="shared" si="34"/>
        <v>#DIV/0!</v>
      </c>
      <c r="BQ107" s="380" t="e">
        <f t="shared" si="34"/>
        <v>#DIV/0!</v>
      </c>
      <c r="BR107" s="380" t="e">
        <f t="shared" si="34"/>
        <v>#DIV/0!</v>
      </c>
      <c r="BS107" s="380" t="e">
        <f t="shared" si="34"/>
        <v>#DIV/0!</v>
      </c>
      <c r="BT107" s="380" t="e">
        <f t="shared" si="34"/>
        <v>#DIV/0!</v>
      </c>
      <c r="BU107" s="380" t="e">
        <f t="shared" si="34"/>
        <v>#DIV/0!</v>
      </c>
      <c r="BV107" s="380" t="e">
        <f t="shared" si="34"/>
        <v>#DIV/0!</v>
      </c>
      <c r="BW107" s="380" t="e">
        <f t="shared" si="34"/>
        <v>#DIV/0!</v>
      </c>
      <c r="BX107" s="380" t="e">
        <f t="shared" si="34"/>
        <v>#DIV/0!</v>
      </c>
      <c r="BY107" s="380" t="e">
        <f t="shared" si="34"/>
        <v>#DIV/0!</v>
      </c>
      <c r="BZ107" s="380" t="e">
        <f t="shared" si="34"/>
        <v>#DIV/0!</v>
      </c>
      <c r="CA107" s="380" t="e">
        <f t="shared" si="34"/>
        <v>#DIV/0!</v>
      </c>
      <c r="CB107" s="380" t="e">
        <f t="shared" si="34"/>
        <v>#DIV/0!</v>
      </c>
      <c r="CC107" s="380" t="e">
        <f t="shared" si="34"/>
        <v>#DIV/0!</v>
      </c>
      <c r="CD107" s="380" t="e">
        <f t="shared" si="34"/>
        <v>#DIV/0!</v>
      </c>
      <c r="CE107" s="380" t="e">
        <f t="shared" si="34"/>
        <v>#DIV/0!</v>
      </c>
      <c r="CF107" s="380" t="e">
        <f t="shared" si="34"/>
        <v>#DIV/0!</v>
      </c>
    </row>
    <row r="108" spans="1:84">
      <c r="D108" s="380" t="s">
        <v>91</v>
      </c>
      <c r="E108" s="380" t="e">
        <f>'Table A.3.14'!$D$38+('Table A.3.14'!$E$38/Carriageways!$E$7)</f>
        <v>#DIV/0!</v>
      </c>
      <c r="F108" s="380" t="e">
        <f>'Table A.3.14'!$D$38+('Table A.3.14'!$E$38/Carriageways!$E$7)</f>
        <v>#DIV/0!</v>
      </c>
      <c r="G108" s="380" t="e">
        <f>'Table A.3.14'!$D$38+('Table A.3.14'!$E$38/Carriageways!$E$7)</f>
        <v>#DIV/0!</v>
      </c>
      <c r="H108" s="380" t="e">
        <f>'Table A.3.14'!$D$38+('Table A.3.14'!$E$38/Carriageways!$E$7)</f>
        <v>#DIV/0!</v>
      </c>
      <c r="I108" s="380" t="e">
        <f>'Table A.3.14'!$D$38+('Table A.3.14'!$E$38/Carriageways!$E$7)</f>
        <v>#DIV/0!</v>
      </c>
      <c r="J108" s="380" t="e">
        <f>'Table A.3.14'!$D$38+('Table A.3.14'!$E$38/Carriageways!$E$7)</f>
        <v>#DIV/0!</v>
      </c>
      <c r="K108" s="380" t="e">
        <f>'Table A.3.14'!$D$38+('Table A.3.14'!$E$38/Carriageways!$E$7)</f>
        <v>#DIV/0!</v>
      </c>
      <c r="L108" s="380" t="e">
        <f>'Table A.3.14'!$D$38+('Table A.3.14'!$E$38/Carriageways!$E$7)</f>
        <v>#DIV/0!</v>
      </c>
      <c r="M108" s="380" t="e">
        <f>'Table A.3.14'!$D$38+('Table A.3.14'!$E$38/Carriageways!$E$7)</f>
        <v>#DIV/0!</v>
      </c>
      <c r="N108" s="380" t="e">
        <f>'Table A.3.14'!$D$38+('Table A.3.14'!$E$38/Carriageways!$E$7)</f>
        <v>#DIV/0!</v>
      </c>
      <c r="O108" s="380" t="e">
        <f>'Table A.3.14'!$D$38+('Table A.3.14'!$E$38/Carriageways!$E$7)</f>
        <v>#DIV/0!</v>
      </c>
      <c r="P108" s="380" t="e">
        <f>'Table A.3.14'!$D$38+('Table A.3.14'!$E$38/Carriageways!$E$7)</f>
        <v>#DIV/0!</v>
      </c>
      <c r="Q108" s="380" t="e">
        <f>'Table A.3.14'!$D$38+('Table A.3.14'!$E$38/Carriageways!$E$7)</f>
        <v>#DIV/0!</v>
      </c>
      <c r="R108" s="380" t="e">
        <f>'Table A.3.14'!$D$38+('Table A.3.14'!$E$38/Carriageways!$E$7)</f>
        <v>#DIV/0!</v>
      </c>
      <c r="S108" s="380" t="e">
        <f>'Table A.3.14'!$D$38+('Table A.3.14'!$E$38/Carriageways!$E$7)</f>
        <v>#DIV/0!</v>
      </c>
      <c r="T108" s="380" t="e">
        <f>'Table A.3.14'!$D$38+('Table A.3.14'!$E$38/Carriageways!$E$7)</f>
        <v>#DIV/0!</v>
      </c>
      <c r="U108" s="380" t="e">
        <f>'Table A.3.14'!$D$38+('Table A.3.14'!$E$38/Carriageways!$E$7)</f>
        <v>#DIV/0!</v>
      </c>
      <c r="V108" s="380" t="e">
        <f>'Table A.3.14'!$D$38+('Table A.3.14'!$E$38/Carriageways!$E$7)</f>
        <v>#DIV/0!</v>
      </c>
      <c r="W108" s="380" t="e">
        <f>'Table A.3.14'!$D$38+('Table A.3.14'!$E$38/Carriageways!$E$7)</f>
        <v>#DIV/0!</v>
      </c>
      <c r="X108" s="380" t="e">
        <f>'Table A.3.14'!$D$38+('Table A.3.14'!$E$38/Carriageways!$E$7)</f>
        <v>#DIV/0!</v>
      </c>
      <c r="Y108" s="380" t="e">
        <f>'Table A.3.14'!$D$38+('Table A.3.14'!$E$38/Carriageways!$E$7)</f>
        <v>#DIV/0!</v>
      </c>
      <c r="Z108" s="380" t="e">
        <f>'Table A.3.14'!$D$38+('Table A.3.14'!$E$38/Carriageways!$E$7)</f>
        <v>#DIV/0!</v>
      </c>
      <c r="AA108" s="380" t="e">
        <f>'Table A.3.14'!$D$38+('Table A.3.14'!$E$38/Carriageways!$E$7)</f>
        <v>#DIV/0!</v>
      </c>
      <c r="AB108" s="380" t="e">
        <f>'Table A.3.14'!$D$38+('Table A.3.14'!$E$38/Carriageways!$E$7)</f>
        <v>#DIV/0!</v>
      </c>
      <c r="AC108" s="380" t="e">
        <f>'Table A.3.14'!$D$38+('Table A.3.14'!$E$38/Carriageways!$E$7)</f>
        <v>#DIV/0!</v>
      </c>
      <c r="AD108" s="380" t="e">
        <f>'Table A.3.14'!$D$38+('Table A.3.14'!$E$38/Carriageways!$E$7)</f>
        <v>#DIV/0!</v>
      </c>
      <c r="AE108" s="380" t="e">
        <f>AD108</f>
        <v>#DIV/0!</v>
      </c>
      <c r="AF108" s="380" t="e">
        <f t="shared" ref="AF108:CF108" si="35">AE108</f>
        <v>#DIV/0!</v>
      </c>
      <c r="AG108" s="380" t="e">
        <f t="shared" si="35"/>
        <v>#DIV/0!</v>
      </c>
      <c r="AH108" s="380" t="e">
        <f t="shared" si="35"/>
        <v>#DIV/0!</v>
      </c>
      <c r="AI108" s="380" t="e">
        <f t="shared" si="35"/>
        <v>#DIV/0!</v>
      </c>
      <c r="AJ108" s="380" t="e">
        <f t="shared" si="35"/>
        <v>#DIV/0!</v>
      </c>
      <c r="AK108" s="380" t="e">
        <f t="shared" si="35"/>
        <v>#DIV/0!</v>
      </c>
      <c r="AL108" s="380" t="e">
        <f t="shared" si="35"/>
        <v>#DIV/0!</v>
      </c>
      <c r="AM108" s="380" t="e">
        <f t="shared" si="35"/>
        <v>#DIV/0!</v>
      </c>
      <c r="AN108" s="380" t="e">
        <f t="shared" si="35"/>
        <v>#DIV/0!</v>
      </c>
      <c r="AO108" s="380" t="e">
        <f t="shared" si="35"/>
        <v>#DIV/0!</v>
      </c>
      <c r="AP108" s="380" t="e">
        <f t="shared" si="35"/>
        <v>#DIV/0!</v>
      </c>
      <c r="AQ108" s="380" t="e">
        <f t="shared" si="35"/>
        <v>#DIV/0!</v>
      </c>
      <c r="AR108" s="380" t="e">
        <f t="shared" si="35"/>
        <v>#DIV/0!</v>
      </c>
      <c r="AS108" s="380" t="e">
        <f t="shared" si="35"/>
        <v>#DIV/0!</v>
      </c>
      <c r="AT108" s="380" t="e">
        <f t="shared" si="35"/>
        <v>#DIV/0!</v>
      </c>
      <c r="AU108" s="380" t="e">
        <f t="shared" si="35"/>
        <v>#DIV/0!</v>
      </c>
      <c r="AV108" s="380" t="e">
        <f t="shared" si="35"/>
        <v>#DIV/0!</v>
      </c>
      <c r="AW108" s="380" t="e">
        <f t="shared" si="35"/>
        <v>#DIV/0!</v>
      </c>
      <c r="AX108" s="380" t="e">
        <f t="shared" si="35"/>
        <v>#DIV/0!</v>
      </c>
      <c r="AY108" s="380" t="e">
        <f t="shared" si="35"/>
        <v>#DIV/0!</v>
      </c>
      <c r="AZ108" s="380" t="e">
        <f t="shared" si="35"/>
        <v>#DIV/0!</v>
      </c>
      <c r="BA108" s="380" t="e">
        <f t="shared" si="35"/>
        <v>#DIV/0!</v>
      </c>
      <c r="BB108" s="380" t="e">
        <f t="shared" si="35"/>
        <v>#DIV/0!</v>
      </c>
      <c r="BC108" s="380" t="e">
        <f t="shared" si="35"/>
        <v>#DIV/0!</v>
      </c>
      <c r="BD108" s="380" t="e">
        <f t="shared" si="35"/>
        <v>#DIV/0!</v>
      </c>
      <c r="BE108" s="380" t="e">
        <f t="shared" si="35"/>
        <v>#DIV/0!</v>
      </c>
      <c r="BF108" s="380" t="e">
        <f t="shared" si="35"/>
        <v>#DIV/0!</v>
      </c>
      <c r="BG108" s="380" t="e">
        <f t="shared" si="35"/>
        <v>#DIV/0!</v>
      </c>
      <c r="BH108" s="380" t="e">
        <f t="shared" si="35"/>
        <v>#DIV/0!</v>
      </c>
      <c r="BI108" s="380" t="e">
        <f t="shared" si="35"/>
        <v>#DIV/0!</v>
      </c>
      <c r="BJ108" s="380" t="e">
        <f t="shared" si="35"/>
        <v>#DIV/0!</v>
      </c>
      <c r="BK108" s="380" t="e">
        <f t="shared" si="35"/>
        <v>#DIV/0!</v>
      </c>
      <c r="BL108" s="380" t="e">
        <f t="shared" si="35"/>
        <v>#DIV/0!</v>
      </c>
      <c r="BM108" s="380" t="e">
        <f t="shared" si="35"/>
        <v>#DIV/0!</v>
      </c>
      <c r="BN108" s="380" t="e">
        <f t="shared" si="35"/>
        <v>#DIV/0!</v>
      </c>
      <c r="BO108" s="380" t="e">
        <f t="shared" si="35"/>
        <v>#DIV/0!</v>
      </c>
      <c r="BP108" s="380" t="e">
        <f t="shared" si="35"/>
        <v>#DIV/0!</v>
      </c>
      <c r="BQ108" s="380" t="e">
        <f t="shared" si="35"/>
        <v>#DIV/0!</v>
      </c>
      <c r="BR108" s="380" t="e">
        <f t="shared" si="35"/>
        <v>#DIV/0!</v>
      </c>
      <c r="BS108" s="380" t="e">
        <f t="shared" si="35"/>
        <v>#DIV/0!</v>
      </c>
      <c r="BT108" s="380" t="e">
        <f t="shared" si="35"/>
        <v>#DIV/0!</v>
      </c>
      <c r="BU108" s="380" t="e">
        <f t="shared" si="35"/>
        <v>#DIV/0!</v>
      </c>
      <c r="BV108" s="380" t="e">
        <f t="shared" si="35"/>
        <v>#DIV/0!</v>
      </c>
      <c r="BW108" s="380" t="e">
        <f t="shared" si="35"/>
        <v>#DIV/0!</v>
      </c>
      <c r="BX108" s="380" t="e">
        <f t="shared" si="35"/>
        <v>#DIV/0!</v>
      </c>
      <c r="BY108" s="380" t="e">
        <f t="shared" si="35"/>
        <v>#DIV/0!</v>
      </c>
      <c r="BZ108" s="380" t="e">
        <f t="shared" si="35"/>
        <v>#DIV/0!</v>
      </c>
      <c r="CA108" s="380" t="e">
        <f t="shared" si="35"/>
        <v>#DIV/0!</v>
      </c>
      <c r="CB108" s="380" t="e">
        <f t="shared" si="35"/>
        <v>#DIV/0!</v>
      </c>
      <c r="CC108" s="380" t="e">
        <f t="shared" si="35"/>
        <v>#DIV/0!</v>
      </c>
      <c r="CD108" s="380" t="e">
        <f t="shared" si="35"/>
        <v>#DIV/0!</v>
      </c>
      <c r="CE108" s="380" t="e">
        <f t="shared" si="35"/>
        <v>#DIV/0!</v>
      </c>
      <c r="CF108" s="380" t="e">
        <f t="shared" si="35"/>
        <v>#DIV/0!</v>
      </c>
    </row>
    <row r="109" spans="1:84">
      <c r="D109" s="380" t="s">
        <v>93</v>
      </c>
      <c r="E109" s="380" t="e">
        <f>'Table A.3.14'!$D$39+('Table A.3.14'!$E$39/Carriageways!$E$8)</f>
        <v>#DIV/0!</v>
      </c>
      <c r="F109" s="380" t="e">
        <f>'Table A.3.14'!$D$39+('Table A.3.14'!$E$39/Carriageways!$E$8)</f>
        <v>#DIV/0!</v>
      </c>
      <c r="G109" s="380" t="e">
        <f>'Table A.3.14'!$D$39+('Table A.3.14'!$E$39/Carriageways!$E$8)</f>
        <v>#DIV/0!</v>
      </c>
      <c r="H109" s="380" t="e">
        <f>'Table A.3.14'!$D$39+('Table A.3.14'!$E$39/Carriageways!$E$8)</f>
        <v>#DIV/0!</v>
      </c>
      <c r="I109" s="380" t="e">
        <f>'Table A.3.14'!$D$39+('Table A.3.14'!$E$39/Carriageways!$E$8)</f>
        <v>#DIV/0!</v>
      </c>
      <c r="J109" s="380" t="e">
        <f>'Table A.3.14'!$D$39+('Table A.3.14'!$E$39/Carriageways!$E$8)</f>
        <v>#DIV/0!</v>
      </c>
      <c r="K109" s="380" t="e">
        <f>'Table A.3.14'!$D$39+('Table A.3.14'!$E$39/Carriageways!$E$8)</f>
        <v>#DIV/0!</v>
      </c>
      <c r="L109" s="380" t="e">
        <f>'Table A.3.14'!$D$39+('Table A.3.14'!$E$39/Carriageways!$E$8)</f>
        <v>#DIV/0!</v>
      </c>
      <c r="M109" s="380" t="e">
        <f>'Table A.3.14'!$D$39+('Table A.3.14'!$E$39/Carriageways!$E$8)</f>
        <v>#DIV/0!</v>
      </c>
      <c r="N109" s="380" t="e">
        <f>'Table A.3.14'!$D$39+('Table A.3.14'!$E$39/Carriageways!$E$8)</f>
        <v>#DIV/0!</v>
      </c>
      <c r="O109" s="380" t="e">
        <f>'Table A.3.14'!$D$39+('Table A.3.14'!$E$39/Carriageways!$E$8)</f>
        <v>#DIV/0!</v>
      </c>
      <c r="P109" s="380" t="e">
        <f>'Table A.3.14'!$D$39+('Table A.3.14'!$E$39/Carriageways!$E$8)</f>
        <v>#DIV/0!</v>
      </c>
      <c r="Q109" s="380" t="e">
        <f>'Table A.3.14'!$D$39+('Table A.3.14'!$E$39/Carriageways!$E$8)</f>
        <v>#DIV/0!</v>
      </c>
      <c r="R109" s="380" t="e">
        <f>'Table A.3.14'!$D$39+('Table A.3.14'!$E$39/Carriageways!$E$8)</f>
        <v>#DIV/0!</v>
      </c>
      <c r="S109" s="380" t="e">
        <f>'Table A.3.14'!$D$39+('Table A.3.14'!$E$39/Carriageways!$E$8)</f>
        <v>#DIV/0!</v>
      </c>
      <c r="T109" s="380" t="e">
        <f>'Table A.3.14'!$D$39+('Table A.3.14'!$E$39/Carriageways!$E$8)</f>
        <v>#DIV/0!</v>
      </c>
      <c r="U109" s="380" t="e">
        <f>'Table A.3.14'!$D$39+('Table A.3.14'!$E$39/Carriageways!$E$8)</f>
        <v>#DIV/0!</v>
      </c>
      <c r="V109" s="380" t="e">
        <f>'Table A.3.14'!$D$39+('Table A.3.14'!$E$39/Carriageways!$E$8)</f>
        <v>#DIV/0!</v>
      </c>
      <c r="W109" s="380" t="e">
        <f>'Table A.3.14'!$D$39+('Table A.3.14'!$E$39/Carriageways!$E$8)</f>
        <v>#DIV/0!</v>
      </c>
      <c r="X109" s="380" t="e">
        <f>'Table A.3.14'!$D$39+('Table A.3.14'!$E$39/Carriageways!$E$8)</f>
        <v>#DIV/0!</v>
      </c>
      <c r="Y109" s="380" t="e">
        <f>'Table A.3.14'!$D$39+('Table A.3.14'!$E$39/Carriageways!$E$8)</f>
        <v>#DIV/0!</v>
      </c>
      <c r="Z109" s="380" t="e">
        <f>'Table A.3.14'!$D$39+('Table A.3.14'!$E$39/Carriageways!$E$8)</f>
        <v>#DIV/0!</v>
      </c>
      <c r="AA109" s="380" t="e">
        <f>'Table A.3.14'!$D$39+('Table A.3.14'!$E$39/Carriageways!$E$8)</f>
        <v>#DIV/0!</v>
      </c>
      <c r="AB109" s="380" t="e">
        <f>'Table A.3.14'!$D$39+('Table A.3.14'!$E$39/Carriageways!$E$8)</f>
        <v>#DIV/0!</v>
      </c>
      <c r="AC109" s="380" t="e">
        <f>'Table A.3.14'!$D$39+('Table A.3.14'!$E$39/Carriageways!$E$8)</f>
        <v>#DIV/0!</v>
      </c>
      <c r="AD109" s="380" t="e">
        <f>'Table A.3.14'!$D$39+('Table A.3.14'!$E$39/Carriageways!$E$8)</f>
        <v>#DIV/0!</v>
      </c>
      <c r="AE109" s="380" t="e">
        <f>AD109</f>
        <v>#DIV/0!</v>
      </c>
      <c r="AF109" s="380" t="e">
        <f t="shared" ref="AF109:CF109" si="36">AE109</f>
        <v>#DIV/0!</v>
      </c>
      <c r="AG109" s="380" t="e">
        <f t="shared" si="36"/>
        <v>#DIV/0!</v>
      </c>
      <c r="AH109" s="380" t="e">
        <f t="shared" si="36"/>
        <v>#DIV/0!</v>
      </c>
      <c r="AI109" s="380" t="e">
        <f t="shared" si="36"/>
        <v>#DIV/0!</v>
      </c>
      <c r="AJ109" s="380" t="e">
        <f t="shared" si="36"/>
        <v>#DIV/0!</v>
      </c>
      <c r="AK109" s="380" t="e">
        <f t="shared" si="36"/>
        <v>#DIV/0!</v>
      </c>
      <c r="AL109" s="380" t="e">
        <f t="shared" si="36"/>
        <v>#DIV/0!</v>
      </c>
      <c r="AM109" s="380" t="e">
        <f t="shared" si="36"/>
        <v>#DIV/0!</v>
      </c>
      <c r="AN109" s="380" t="e">
        <f t="shared" si="36"/>
        <v>#DIV/0!</v>
      </c>
      <c r="AO109" s="380" t="e">
        <f t="shared" si="36"/>
        <v>#DIV/0!</v>
      </c>
      <c r="AP109" s="380" t="e">
        <f t="shared" si="36"/>
        <v>#DIV/0!</v>
      </c>
      <c r="AQ109" s="380" t="e">
        <f t="shared" si="36"/>
        <v>#DIV/0!</v>
      </c>
      <c r="AR109" s="380" t="e">
        <f t="shared" si="36"/>
        <v>#DIV/0!</v>
      </c>
      <c r="AS109" s="380" t="e">
        <f t="shared" si="36"/>
        <v>#DIV/0!</v>
      </c>
      <c r="AT109" s="380" t="e">
        <f t="shared" si="36"/>
        <v>#DIV/0!</v>
      </c>
      <c r="AU109" s="380" t="e">
        <f t="shared" si="36"/>
        <v>#DIV/0!</v>
      </c>
      <c r="AV109" s="380" t="e">
        <f t="shared" si="36"/>
        <v>#DIV/0!</v>
      </c>
      <c r="AW109" s="380" t="e">
        <f t="shared" si="36"/>
        <v>#DIV/0!</v>
      </c>
      <c r="AX109" s="380" t="e">
        <f t="shared" si="36"/>
        <v>#DIV/0!</v>
      </c>
      <c r="AY109" s="380" t="e">
        <f t="shared" si="36"/>
        <v>#DIV/0!</v>
      </c>
      <c r="AZ109" s="380" t="e">
        <f t="shared" si="36"/>
        <v>#DIV/0!</v>
      </c>
      <c r="BA109" s="380" t="e">
        <f t="shared" si="36"/>
        <v>#DIV/0!</v>
      </c>
      <c r="BB109" s="380" t="e">
        <f t="shared" si="36"/>
        <v>#DIV/0!</v>
      </c>
      <c r="BC109" s="380" t="e">
        <f t="shared" si="36"/>
        <v>#DIV/0!</v>
      </c>
      <c r="BD109" s="380" t="e">
        <f t="shared" si="36"/>
        <v>#DIV/0!</v>
      </c>
      <c r="BE109" s="380" t="e">
        <f t="shared" si="36"/>
        <v>#DIV/0!</v>
      </c>
      <c r="BF109" s="380" t="e">
        <f t="shared" si="36"/>
        <v>#DIV/0!</v>
      </c>
      <c r="BG109" s="380" t="e">
        <f t="shared" si="36"/>
        <v>#DIV/0!</v>
      </c>
      <c r="BH109" s="380" t="e">
        <f t="shared" si="36"/>
        <v>#DIV/0!</v>
      </c>
      <c r="BI109" s="380" t="e">
        <f t="shared" si="36"/>
        <v>#DIV/0!</v>
      </c>
      <c r="BJ109" s="380" t="e">
        <f t="shared" si="36"/>
        <v>#DIV/0!</v>
      </c>
      <c r="BK109" s="380" t="e">
        <f t="shared" si="36"/>
        <v>#DIV/0!</v>
      </c>
      <c r="BL109" s="380" t="e">
        <f t="shared" si="36"/>
        <v>#DIV/0!</v>
      </c>
      <c r="BM109" s="380" t="e">
        <f t="shared" si="36"/>
        <v>#DIV/0!</v>
      </c>
      <c r="BN109" s="380" t="e">
        <f t="shared" si="36"/>
        <v>#DIV/0!</v>
      </c>
      <c r="BO109" s="380" t="e">
        <f t="shared" si="36"/>
        <v>#DIV/0!</v>
      </c>
      <c r="BP109" s="380" t="e">
        <f t="shared" si="36"/>
        <v>#DIV/0!</v>
      </c>
      <c r="BQ109" s="380" t="e">
        <f t="shared" si="36"/>
        <v>#DIV/0!</v>
      </c>
      <c r="BR109" s="380" t="e">
        <f t="shared" si="36"/>
        <v>#DIV/0!</v>
      </c>
      <c r="BS109" s="380" t="e">
        <f t="shared" si="36"/>
        <v>#DIV/0!</v>
      </c>
      <c r="BT109" s="380" t="e">
        <f t="shared" si="36"/>
        <v>#DIV/0!</v>
      </c>
      <c r="BU109" s="380" t="e">
        <f t="shared" si="36"/>
        <v>#DIV/0!</v>
      </c>
      <c r="BV109" s="380" t="e">
        <f t="shared" si="36"/>
        <v>#DIV/0!</v>
      </c>
      <c r="BW109" s="380" t="e">
        <f t="shared" si="36"/>
        <v>#DIV/0!</v>
      </c>
      <c r="BX109" s="380" t="e">
        <f t="shared" si="36"/>
        <v>#DIV/0!</v>
      </c>
      <c r="BY109" s="380" t="e">
        <f t="shared" si="36"/>
        <v>#DIV/0!</v>
      </c>
      <c r="BZ109" s="380" t="e">
        <f t="shared" si="36"/>
        <v>#DIV/0!</v>
      </c>
      <c r="CA109" s="380" t="e">
        <f t="shared" si="36"/>
        <v>#DIV/0!</v>
      </c>
      <c r="CB109" s="380" t="e">
        <f t="shared" si="36"/>
        <v>#DIV/0!</v>
      </c>
      <c r="CC109" s="380" t="e">
        <f t="shared" si="36"/>
        <v>#DIV/0!</v>
      </c>
      <c r="CD109" s="380" t="e">
        <f t="shared" si="36"/>
        <v>#DIV/0!</v>
      </c>
      <c r="CE109" s="380" t="e">
        <f t="shared" si="36"/>
        <v>#DIV/0!</v>
      </c>
      <c r="CF109" s="380" t="e">
        <f t="shared" si="36"/>
        <v>#DIV/0!</v>
      </c>
    </row>
    <row r="111" spans="1:84">
      <c r="C111" s="360" t="s">
        <v>266</v>
      </c>
    </row>
    <row r="112" spans="1:84" s="379" customFormat="1">
      <c r="D112" s="730"/>
      <c r="E112" s="731">
        <v>2010</v>
      </c>
      <c r="F112" s="732">
        <v>2011</v>
      </c>
      <c r="G112" s="732">
        <v>2012</v>
      </c>
      <c r="H112" s="732">
        <v>2013</v>
      </c>
      <c r="I112" s="732">
        <v>2014</v>
      </c>
      <c r="J112" s="732">
        <v>2015</v>
      </c>
      <c r="K112" s="732">
        <v>2016</v>
      </c>
      <c r="L112" s="732">
        <v>2017</v>
      </c>
      <c r="M112" s="732">
        <v>2018</v>
      </c>
      <c r="N112" s="732">
        <v>2019</v>
      </c>
      <c r="O112" s="732">
        <v>2020</v>
      </c>
      <c r="P112" s="732">
        <v>2021</v>
      </c>
      <c r="Q112" s="732">
        <v>2022</v>
      </c>
      <c r="R112" s="732">
        <v>2023</v>
      </c>
      <c r="S112" s="732">
        <v>2024</v>
      </c>
      <c r="T112" s="732">
        <v>2025</v>
      </c>
      <c r="U112" s="732">
        <v>2026</v>
      </c>
      <c r="V112" s="732">
        <v>2027</v>
      </c>
      <c r="W112" s="732">
        <v>2028</v>
      </c>
      <c r="X112" s="732">
        <v>2029</v>
      </c>
      <c r="Y112" s="732">
        <v>2030</v>
      </c>
      <c r="Z112" s="732">
        <v>2031</v>
      </c>
      <c r="AA112" s="732">
        <v>2032</v>
      </c>
      <c r="AB112" s="732">
        <v>2033</v>
      </c>
      <c r="AC112" s="732">
        <v>2034</v>
      </c>
      <c r="AD112" s="732">
        <v>2035</v>
      </c>
      <c r="AE112" s="732">
        <v>2036</v>
      </c>
      <c r="AF112" s="732">
        <v>2037</v>
      </c>
      <c r="AG112" s="732">
        <v>2038</v>
      </c>
      <c r="AH112" s="732">
        <v>2039</v>
      </c>
      <c r="AI112" s="732">
        <v>2040</v>
      </c>
      <c r="AJ112" s="732">
        <v>2041</v>
      </c>
      <c r="AK112" s="732">
        <v>2042</v>
      </c>
      <c r="AL112" s="732">
        <v>2043</v>
      </c>
      <c r="AM112" s="732">
        <v>2044</v>
      </c>
      <c r="AN112" s="732">
        <v>2045</v>
      </c>
      <c r="AO112" s="732">
        <v>2046</v>
      </c>
      <c r="AP112" s="732">
        <v>2047</v>
      </c>
      <c r="AQ112" s="732">
        <v>2048</v>
      </c>
      <c r="AR112" s="732">
        <v>2049</v>
      </c>
      <c r="AS112" s="732">
        <v>2050</v>
      </c>
      <c r="AT112" s="732">
        <v>2051</v>
      </c>
      <c r="AU112" s="732">
        <v>2052</v>
      </c>
      <c r="AV112" s="732">
        <v>2053</v>
      </c>
      <c r="AW112" s="732">
        <v>2054</v>
      </c>
      <c r="AX112" s="732">
        <v>2055</v>
      </c>
      <c r="AY112" s="732">
        <v>2056</v>
      </c>
      <c r="AZ112" s="732">
        <v>2057</v>
      </c>
      <c r="BA112" s="732">
        <v>2058</v>
      </c>
      <c r="BB112" s="732">
        <v>2059</v>
      </c>
      <c r="BC112" s="732">
        <v>2060</v>
      </c>
      <c r="BD112" s="732">
        <v>2061</v>
      </c>
      <c r="BE112" s="732">
        <v>2062</v>
      </c>
      <c r="BF112" s="732">
        <v>2063</v>
      </c>
      <c r="BG112" s="732">
        <v>2064</v>
      </c>
      <c r="BH112" s="732">
        <v>2065</v>
      </c>
      <c r="BI112" s="732">
        <v>2066</v>
      </c>
      <c r="BJ112" s="732">
        <v>2067</v>
      </c>
      <c r="BK112" s="732">
        <v>2068</v>
      </c>
      <c r="BL112" s="732">
        <v>2069</v>
      </c>
      <c r="BM112" s="732">
        <v>2070</v>
      </c>
      <c r="BN112" s="732">
        <v>2071</v>
      </c>
      <c r="BO112" s="732">
        <v>2072</v>
      </c>
      <c r="BP112" s="732">
        <v>2073</v>
      </c>
      <c r="BQ112" s="732">
        <v>2074</v>
      </c>
      <c r="BR112" s="732">
        <v>2075</v>
      </c>
      <c r="BS112" s="732">
        <v>2076</v>
      </c>
      <c r="BT112" s="732">
        <v>2077</v>
      </c>
      <c r="BU112" s="732">
        <v>2078</v>
      </c>
      <c r="BV112" s="732">
        <v>2079</v>
      </c>
      <c r="BW112" s="732">
        <v>2080</v>
      </c>
      <c r="BX112" s="732">
        <v>2081</v>
      </c>
      <c r="BY112" s="732">
        <v>2082</v>
      </c>
      <c r="BZ112" s="732">
        <v>2083</v>
      </c>
      <c r="CA112" s="732">
        <v>2084</v>
      </c>
      <c r="CB112" s="732">
        <v>2085</v>
      </c>
      <c r="CC112" s="732">
        <v>2086</v>
      </c>
      <c r="CD112" s="732">
        <v>2087</v>
      </c>
      <c r="CE112" s="732">
        <v>2088</v>
      </c>
      <c r="CF112" s="732">
        <v>2089</v>
      </c>
    </row>
    <row r="113" spans="1:84">
      <c r="A113" s="360" t="s">
        <v>267</v>
      </c>
      <c r="D113" s="380" t="s">
        <v>87</v>
      </c>
      <c r="E113" s="380" t="e">
        <f>E106*$E$11</f>
        <v>#DIV/0!</v>
      </c>
      <c r="F113" s="380" t="e">
        <f t="shared" ref="F113:BQ114" si="37">F106*$E$11</f>
        <v>#DIV/0!</v>
      </c>
      <c r="G113" s="380" t="e">
        <f t="shared" si="37"/>
        <v>#DIV/0!</v>
      </c>
      <c r="H113" s="380" t="e">
        <f t="shared" si="37"/>
        <v>#DIV/0!</v>
      </c>
      <c r="I113" s="380" t="e">
        <f t="shared" si="37"/>
        <v>#DIV/0!</v>
      </c>
      <c r="J113" s="380" t="e">
        <f t="shared" si="37"/>
        <v>#DIV/0!</v>
      </c>
      <c r="K113" s="380" t="e">
        <f t="shared" si="37"/>
        <v>#DIV/0!</v>
      </c>
      <c r="L113" s="380" t="e">
        <f t="shared" si="37"/>
        <v>#DIV/0!</v>
      </c>
      <c r="M113" s="380" t="e">
        <f t="shared" si="37"/>
        <v>#DIV/0!</v>
      </c>
      <c r="N113" s="380" t="e">
        <f t="shared" si="37"/>
        <v>#DIV/0!</v>
      </c>
      <c r="O113" s="380" t="e">
        <f t="shared" si="37"/>
        <v>#DIV/0!</v>
      </c>
      <c r="P113" s="380" t="e">
        <f t="shared" si="37"/>
        <v>#DIV/0!</v>
      </c>
      <c r="Q113" s="380" t="e">
        <f t="shared" si="37"/>
        <v>#DIV/0!</v>
      </c>
      <c r="R113" s="380" t="e">
        <f t="shared" si="37"/>
        <v>#DIV/0!</v>
      </c>
      <c r="S113" s="380" t="e">
        <f t="shared" si="37"/>
        <v>#DIV/0!</v>
      </c>
      <c r="T113" s="380" t="e">
        <f t="shared" si="37"/>
        <v>#DIV/0!</v>
      </c>
      <c r="U113" s="380" t="e">
        <f t="shared" si="37"/>
        <v>#DIV/0!</v>
      </c>
      <c r="V113" s="380" t="e">
        <f t="shared" si="37"/>
        <v>#DIV/0!</v>
      </c>
      <c r="W113" s="380" t="e">
        <f t="shared" si="37"/>
        <v>#DIV/0!</v>
      </c>
      <c r="X113" s="380" t="e">
        <f t="shared" si="37"/>
        <v>#DIV/0!</v>
      </c>
      <c r="Y113" s="380" t="e">
        <f t="shared" si="37"/>
        <v>#DIV/0!</v>
      </c>
      <c r="Z113" s="380" t="e">
        <f t="shared" si="37"/>
        <v>#DIV/0!</v>
      </c>
      <c r="AA113" s="380" t="e">
        <f t="shared" si="37"/>
        <v>#DIV/0!</v>
      </c>
      <c r="AB113" s="380" t="e">
        <f t="shared" si="37"/>
        <v>#DIV/0!</v>
      </c>
      <c r="AC113" s="380" t="e">
        <f t="shared" si="37"/>
        <v>#DIV/0!</v>
      </c>
      <c r="AD113" s="380" t="e">
        <f t="shared" si="37"/>
        <v>#DIV/0!</v>
      </c>
      <c r="AE113" s="380" t="e">
        <f t="shared" si="37"/>
        <v>#DIV/0!</v>
      </c>
      <c r="AF113" s="380" t="e">
        <f t="shared" si="37"/>
        <v>#DIV/0!</v>
      </c>
      <c r="AG113" s="380" t="e">
        <f t="shared" si="37"/>
        <v>#DIV/0!</v>
      </c>
      <c r="AH113" s="380" t="e">
        <f t="shared" si="37"/>
        <v>#DIV/0!</v>
      </c>
      <c r="AI113" s="380" t="e">
        <f t="shared" si="37"/>
        <v>#DIV/0!</v>
      </c>
      <c r="AJ113" s="380" t="e">
        <f t="shared" si="37"/>
        <v>#DIV/0!</v>
      </c>
      <c r="AK113" s="380" t="e">
        <f t="shared" si="37"/>
        <v>#DIV/0!</v>
      </c>
      <c r="AL113" s="380" t="e">
        <f t="shared" si="37"/>
        <v>#DIV/0!</v>
      </c>
      <c r="AM113" s="380" t="e">
        <f t="shared" si="37"/>
        <v>#DIV/0!</v>
      </c>
      <c r="AN113" s="380" t="e">
        <f t="shared" si="37"/>
        <v>#DIV/0!</v>
      </c>
      <c r="AO113" s="380" t="e">
        <f t="shared" si="37"/>
        <v>#DIV/0!</v>
      </c>
      <c r="AP113" s="380" t="e">
        <f t="shared" si="37"/>
        <v>#DIV/0!</v>
      </c>
      <c r="AQ113" s="380" t="e">
        <f t="shared" si="37"/>
        <v>#DIV/0!</v>
      </c>
      <c r="AR113" s="380" t="e">
        <f t="shared" si="37"/>
        <v>#DIV/0!</v>
      </c>
      <c r="AS113" s="380" t="e">
        <f t="shared" si="37"/>
        <v>#DIV/0!</v>
      </c>
      <c r="AT113" s="380" t="e">
        <f t="shared" si="37"/>
        <v>#DIV/0!</v>
      </c>
      <c r="AU113" s="380" t="e">
        <f t="shared" si="37"/>
        <v>#DIV/0!</v>
      </c>
      <c r="AV113" s="380" t="e">
        <f t="shared" si="37"/>
        <v>#DIV/0!</v>
      </c>
      <c r="AW113" s="380" t="e">
        <f t="shared" si="37"/>
        <v>#DIV/0!</v>
      </c>
      <c r="AX113" s="380" t="e">
        <f t="shared" si="37"/>
        <v>#DIV/0!</v>
      </c>
      <c r="AY113" s="380" t="e">
        <f t="shared" si="37"/>
        <v>#DIV/0!</v>
      </c>
      <c r="AZ113" s="380" t="e">
        <f t="shared" si="37"/>
        <v>#DIV/0!</v>
      </c>
      <c r="BA113" s="380" t="e">
        <f t="shared" si="37"/>
        <v>#DIV/0!</v>
      </c>
      <c r="BB113" s="380" t="e">
        <f t="shared" si="37"/>
        <v>#DIV/0!</v>
      </c>
      <c r="BC113" s="380" t="e">
        <f t="shared" si="37"/>
        <v>#DIV/0!</v>
      </c>
      <c r="BD113" s="380" t="e">
        <f t="shared" si="37"/>
        <v>#DIV/0!</v>
      </c>
      <c r="BE113" s="380" t="e">
        <f t="shared" si="37"/>
        <v>#DIV/0!</v>
      </c>
      <c r="BF113" s="380" t="e">
        <f t="shared" si="37"/>
        <v>#DIV/0!</v>
      </c>
      <c r="BG113" s="380" t="e">
        <f t="shared" si="37"/>
        <v>#DIV/0!</v>
      </c>
      <c r="BH113" s="380" t="e">
        <f t="shared" si="37"/>
        <v>#DIV/0!</v>
      </c>
      <c r="BI113" s="380" t="e">
        <f t="shared" si="37"/>
        <v>#DIV/0!</v>
      </c>
      <c r="BJ113" s="380" t="e">
        <f t="shared" si="37"/>
        <v>#DIV/0!</v>
      </c>
      <c r="BK113" s="380" t="e">
        <f t="shared" si="37"/>
        <v>#DIV/0!</v>
      </c>
      <c r="BL113" s="380" t="e">
        <f t="shared" si="37"/>
        <v>#DIV/0!</v>
      </c>
      <c r="BM113" s="380" t="e">
        <f t="shared" si="37"/>
        <v>#DIV/0!</v>
      </c>
      <c r="BN113" s="380" t="e">
        <f t="shared" si="37"/>
        <v>#DIV/0!</v>
      </c>
      <c r="BO113" s="380" t="e">
        <f t="shared" si="37"/>
        <v>#DIV/0!</v>
      </c>
      <c r="BP113" s="380" t="e">
        <f t="shared" si="37"/>
        <v>#DIV/0!</v>
      </c>
      <c r="BQ113" s="380" t="e">
        <f t="shared" si="37"/>
        <v>#DIV/0!</v>
      </c>
      <c r="BR113" s="380" t="e">
        <f t="shared" ref="BR113:CF116" si="38">BR106*$E$11</f>
        <v>#DIV/0!</v>
      </c>
      <c r="BS113" s="380" t="e">
        <f t="shared" si="38"/>
        <v>#DIV/0!</v>
      </c>
      <c r="BT113" s="380" t="e">
        <f t="shared" si="38"/>
        <v>#DIV/0!</v>
      </c>
      <c r="BU113" s="380" t="e">
        <f t="shared" si="38"/>
        <v>#DIV/0!</v>
      </c>
      <c r="BV113" s="380" t="e">
        <f t="shared" si="38"/>
        <v>#DIV/0!</v>
      </c>
      <c r="BW113" s="380" t="e">
        <f t="shared" si="38"/>
        <v>#DIV/0!</v>
      </c>
      <c r="BX113" s="380" t="e">
        <f t="shared" si="38"/>
        <v>#DIV/0!</v>
      </c>
      <c r="BY113" s="380" t="e">
        <f t="shared" si="38"/>
        <v>#DIV/0!</v>
      </c>
      <c r="BZ113" s="380" t="e">
        <f t="shared" si="38"/>
        <v>#DIV/0!</v>
      </c>
      <c r="CA113" s="380" t="e">
        <f t="shared" si="38"/>
        <v>#DIV/0!</v>
      </c>
      <c r="CB113" s="380" t="e">
        <f t="shared" si="38"/>
        <v>#DIV/0!</v>
      </c>
      <c r="CC113" s="380" t="e">
        <f t="shared" si="38"/>
        <v>#DIV/0!</v>
      </c>
      <c r="CD113" s="380" t="e">
        <f t="shared" si="38"/>
        <v>#DIV/0!</v>
      </c>
      <c r="CE113" s="380" t="e">
        <f t="shared" si="38"/>
        <v>#DIV/0!</v>
      </c>
      <c r="CF113" s="380" t="e">
        <f t="shared" si="38"/>
        <v>#DIV/0!</v>
      </c>
    </row>
    <row r="114" spans="1:84">
      <c r="D114" s="380" t="s">
        <v>89</v>
      </c>
      <c r="E114" s="380" t="e">
        <f>E107*$E$11</f>
        <v>#DIV/0!</v>
      </c>
      <c r="F114" s="380" t="e">
        <f t="shared" ref="F114:T114" si="39">F107*$E$11</f>
        <v>#DIV/0!</v>
      </c>
      <c r="G114" s="380" t="e">
        <f t="shared" si="39"/>
        <v>#DIV/0!</v>
      </c>
      <c r="H114" s="380" t="e">
        <f t="shared" si="39"/>
        <v>#DIV/0!</v>
      </c>
      <c r="I114" s="380" t="e">
        <f t="shared" si="39"/>
        <v>#DIV/0!</v>
      </c>
      <c r="J114" s="380" t="e">
        <f t="shared" si="39"/>
        <v>#DIV/0!</v>
      </c>
      <c r="K114" s="380" t="e">
        <f t="shared" si="39"/>
        <v>#DIV/0!</v>
      </c>
      <c r="L114" s="380" t="e">
        <f t="shared" si="39"/>
        <v>#DIV/0!</v>
      </c>
      <c r="M114" s="380" t="e">
        <f t="shared" si="39"/>
        <v>#DIV/0!</v>
      </c>
      <c r="N114" s="380" t="e">
        <f t="shared" si="39"/>
        <v>#DIV/0!</v>
      </c>
      <c r="O114" s="380" t="e">
        <f t="shared" si="39"/>
        <v>#DIV/0!</v>
      </c>
      <c r="P114" s="380" t="e">
        <f t="shared" si="39"/>
        <v>#DIV/0!</v>
      </c>
      <c r="Q114" s="380" t="e">
        <f t="shared" si="39"/>
        <v>#DIV/0!</v>
      </c>
      <c r="R114" s="380" t="e">
        <f t="shared" si="39"/>
        <v>#DIV/0!</v>
      </c>
      <c r="S114" s="380" t="e">
        <f t="shared" si="39"/>
        <v>#DIV/0!</v>
      </c>
      <c r="T114" s="380" t="e">
        <f t="shared" si="39"/>
        <v>#DIV/0!</v>
      </c>
      <c r="U114" s="380" t="e">
        <f t="shared" si="37"/>
        <v>#DIV/0!</v>
      </c>
      <c r="V114" s="380" t="e">
        <f t="shared" si="37"/>
        <v>#DIV/0!</v>
      </c>
      <c r="W114" s="380" t="e">
        <f t="shared" si="37"/>
        <v>#DIV/0!</v>
      </c>
      <c r="X114" s="380" t="e">
        <f t="shared" si="37"/>
        <v>#DIV/0!</v>
      </c>
      <c r="Y114" s="380" t="e">
        <f t="shared" si="37"/>
        <v>#DIV/0!</v>
      </c>
      <c r="Z114" s="380" t="e">
        <f t="shared" si="37"/>
        <v>#DIV/0!</v>
      </c>
      <c r="AA114" s="380" t="e">
        <f t="shared" si="37"/>
        <v>#DIV/0!</v>
      </c>
      <c r="AB114" s="380" t="e">
        <f t="shared" si="37"/>
        <v>#DIV/0!</v>
      </c>
      <c r="AC114" s="380" t="e">
        <f t="shared" si="37"/>
        <v>#DIV/0!</v>
      </c>
      <c r="AD114" s="380" t="e">
        <f t="shared" si="37"/>
        <v>#DIV/0!</v>
      </c>
      <c r="AE114" s="380" t="e">
        <f t="shared" si="37"/>
        <v>#DIV/0!</v>
      </c>
      <c r="AF114" s="380" t="e">
        <f t="shared" si="37"/>
        <v>#DIV/0!</v>
      </c>
      <c r="AG114" s="380" t="e">
        <f t="shared" si="37"/>
        <v>#DIV/0!</v>
      </c>
      <c r="AH114" s="380" t="e">
        <f t="shared" si="37"/>
        <v>#DIV/0!</v>
      </c>
      <c r="AI114" s="380" t="e">
        <f t="shared" si="37"/>
        <v>#DIV/0!</v>
      </c>
      <c r="AJ114" s="380" t="e">
        <f t="shared" si="37"/>
        <v>#DIV/0!</v>
      </c>
      <c r="AK114" s="380" t="e">
        <f t="shared" si="37"/>
        <v>#DIV/0!</v>
      </c>
      <c r="AL114" s="380" t="e">
        <f t="shared" si="37"/>
        <v>#DIV/0!</v>
      </c>
      <c r="AM114" s="380" t="e">
        <f t="shared" si="37"/>
        <v>#DIV/0!</v>
      </c>
      <c r="AN114" s="380" t="e">
        <f t="shared" si="37"/>
        <v>#DIV/0!</v>
      </c>
      <c r="AO114" s="380" t="e">
        <f t="shared" si="37"/>
        <v>#DIV/0!</v>
      </c>
      <c r="AP114" s="380" t="e">
        <f t="shared" si="37"/>
        <v>#DIV/0!</v>
      </c>
      <c r="AQ114" s="380" t="e">
        <f t="shared" si="37"/>
        <v>#DIV/0!</v>
      </c>
      <c r="AR114" s="380" t="e">
        <f t="shared" si="37"/>
        <v>#DIV/0!</v>
      </c>
      <c r="AS114" s="380" t="e">
        <f t="shared" si="37"/>
        <v>#DIV/0!</v>
      </c>
      <c r="AT114" s="380" t="e">
        <f t="shared" si="37"/>
        <v>#DIV/0!</v>
      </c>
      <c r="AU114" s="380" t="e">
        <f t="shared" si="37"/>
        <v>#DIV/0!</v>
      </c>
      <c r="AV114" s="380" t="e">
        <f t="shared" si="37"/>
        <v>#DIV/0!</v>
      </c>
      <c r="AW114" s="380" t="e">
        <f t="shared" si="37"/>
        <v>#DIV/0!</v>
      </c>
      <c r="AX114" s="380" t="e">
        <f t="shared" si="37"/>
        <v>#DIV/0!</v>
      </c>
      <c r="AY114" s="380" t="e">
        <f t="shared" si="37"/>
        <v>#DIV/0!</v>
      </c>
      <c r="AZ114" s="380" t="e">
        <f t="shared" si="37"/>
        <v>#DIV/0!</v>
      </c>
      <c r="BA114" s="380" t="e">
        <f t="shared" si="37"/>
        <v>#DIV/0!</v>
      </c>
      <c r="BB114" s="380" t="e">
        <f t="shared" si="37"/>
        <v>#DIV/0!</v>
      </c>
      <c r="BC114" s="380" t="e">
        <f t="shared" si="37"/>
        <v>#DIV/0!</v>
      </c>
      <c r="BD114" s="380" t="e">
        <f t="shared" si="37"/>
        <v>#DIV/0!</v>
      </c>
      <c r="BE114" s="380" t="e">
        <f t="shared" si="37"/>
        <v>#DIV/0!</v>
      </c>
      <c r="BF114" s="380" t="e">
        <f t="shared" si="37"/>
        <v>#DIV/0!</v>
      </c>
      <c r="BG114" s="380" t="e">
        <f t="shared" si="37"/>
        <v>#DIV/0!</v>
      </c>
      <c r="BH114" s="380" t="e">
        <f t="shared" si="37"/>
        <v>#DIV/0!</v>
      </c>
      <c r="BI114" s="380" t="e">
        <f t="shared" si="37"/>
        <v>#DIV/0!</v>
      </c>
      <c r="BJ114" s="380" t="e">
        <f t="shared" si="37"/>
        <v>#DIV/0!</v>
      </c>
      <c r="BK114" s="380" t="e">
        <f t="shared" si="37"/>
        <v>#DIV/0!</v>
      </c>
      <c r="BL114" s="380" t="e">
        <f t="shared" si="37"/>
        <v>#DIV/0!</v>
      </c>
      <c r="BM114" s="380" t="e">
        <f t="shared" si="37"/>
        <v>#DIV/0!</v>
      </c>
      <c r="BN114" s="380" t="e">
        <f t="shared" si="37"/>
        <v>#DIV/0!</v>
      </c>
      <c r="BO114" s="380" t="e">
        <f t="shared" si="37"/>
        <v>#DIV/0!</v>
      </c>
      <c r="BP114" s="380" t="e">
        <f t="shared" si="37"/>
        <v>#DIV/0!</v>
      </c>
      <c r="BQ114" s="380" t="e">
        <f t="shared" si="37"/>
        <v>#DIV/0!</v>
      </c>
      <c r="BR114" s="380" t="e">
        <f t="shared" si="38"/>
        <v>#DIV/0!</v>
      </c>
      <c r="BS114" s="380" t="e">
        <f t="shared" si="38"/>
        <v>#DIV/0!</v>
      </c>
      <c r="BT114" s="380" t="e">
        <f t="shared" si="38"/>
        <v>#DIV/0!</v>
      </c>
      <c r="BU114" s="380" t="e">
        <f t="shared" si="38"/>
        <v>#DIV/0!</v>
      </c>
      <c r="BV114" s="380" t="e">
        <f t="shared" si="38"/>
        <v>#DIV/0!</v>
      </c>
      <c r="BW114" s="380" t="e">
        <f t="shared" si="38"/>
        <v>#DIV/0!</v>
      </c>
      <c r="BX114" s="380" t="e">
        <f t="shared" si="38"/>
        <v>#DIV/0!</v>
      </c>
      <c r="BY114" s="380" t="e">
        <f t="shared" si="38"/>
        <v>#DIV/0!</v>
      </c>
      <c r="BZ114" s="380" t="e">
        <f t="shared" si="38"/>
        <v>#DIV/0!</v>
      </c>
      <c r="CA114" s="380" t="e">
        <f t="shared" si="38"/>
        <v>#DIV/0!</v>
      </c>
      <c r="CB114" s="380" t="e">
        <f t="shared" si="38"/>
        <v>#DIV/0!</v>
      </c>
      <c r="CC114" s="380" t="e">
        <f t="shared" si="38"/>
        <v>#DIV/0!</v>
      </c>
      <c r="CD114" s="380" t="e">
        <f t="shared" si="38"/>
        <v>#DIV/0!</v>
      </c>
      <c r="CE114" s="380" t="e">
        <f t="shared" si="38"/>
        <v>#DIV/0!</v>
      </c>
      <c r="CF114" s="380" t="e">
        <f t="shared" si="38"/>
        <v>#DIV/0!</v>
      </c>
    </row>
    <row r="115" spans="1:84">
      <c r="D115" s="380" t="s">
        <v>91</v>
      </c>
      <c r="E115" s="380" t="e">
        <f>E108*$E$11</f>
        <v>#DIV/0!</v>
      </c>
      <c r="F115" s="380" t="e">
        <f t="shared" ref="F115:BQ116" si="40">F108*$E$11</f>
        <v>#DIV/0!</v>
      </c>
      <c r="G115" s="380" t="e">
        <f t="shared" si="40"/>
        <v>#DIV/0!</v>
      </c>
      <c r="H115" s="380" t="e">
        <f t="shared" si="40"/>
        <v>#DIV/0!</v>
      </c>
      <c r="I115" s="380" t="e">
        <f t="shared" si="40"/>
        <v>#DIV/0!</v>
      </c>
      <c r="J115" s="380" t="e">
        <f t="shared" si="40"/>
        <v>#DIV/0!</v>
      </c>
      <c r="K115" s="380" t="e">
        <f t="shared" si="40"/>
        <v>#DIV/0!</v>
      </c>
      <c r="L115" s="380" t="e">
        <f t="shared" si="40"/>
        <v>#DIV/0!</v>
      </c>
      <c r="M115" s="380" t="e">
        <f t="shared" si="40"/>
        <v>#DIV/0!</v>
      </c>
      <c r="N115" s="380" t="e">
        <f t="shared" si="40"/>
        <v>#DIV/0!</v>
      </c>
      <c r="O115" s="380" t="e">
        <f t="shared" si="40"/>
        <v>#DIV/0!</v>
      </c>
      <c r="P115" s="380" t="e">
        <f t="shared" si="40"/>
        <v>#DIV/0!</v>
      </c>
      <c r="Q115" s="380" t="e">
        <f t="shared" si="40"/>
        <v>#DIV/0!</v>
      </c>
      <c r="R115" s="380" t="e">
        <f t="shared" si="40"/>
        <v>#DIV/0!</v>
      </c>
      <c r="S115" s="380" t="e">
        <f t="shared" si="40"/>
        <v>#DIV/0!</v>
      </c>
      <c r="T115" s="380" t="e">
        <f t="shared" si="40"/>
        <v>#DIV/0!</v>
      </c>
      <c r="U115" s="380" t="e">
        <f t="shared" si="40"/>
        <v>#DIV/0!</v>
      </c>
      <c r="V115" s="380" t="e">
        <f t="shared" si="40"/>
        <v>#DIV/0!</v>
      </c>
      <c r="W115" s="380" t="e">
        <f t="shared" si="40"/>
        <v>#DIV/0!</v>
      </c>
      <c r="X115" s="380" t="e">
        <f t="shared" si="40"/>
        <v>#DIV/0!</v>
      </c>
      <c r="Y115" s="380" t="e">
        <f t="shared" si="40"/>
        <v>#DIV/0!</v>
      </c>
      <c r="Z115" s="380" t="e">
        <f t="shared" si="40"/>
        <v>#DIV/0!</v>
      </c>
      <c r="AA115" s="380" t="e">
        <f t="shared" si="40"/>
        <v>#DIV/0!</v>
      </c>
      <c r="AB115" s="380" t="e">
        <f t="shared" si="40"/>
        <v>#DIV/0!</v>
      </c>
      <c r="AC115" s="380" t="e">
        <f t="shared" si="40"/>
        <v>#DIV/0!</v>
      </c>
      <c r="AD115" s="380" t="e">
        <f t="shared" si="40"/>
        <v>#DIV/0!</v>
      </c>
      <c r="AE115" s="380" t="e">
        <f t="shared" si="40"/>
        <v>#DIV/0!</v>
      </c>
      <c r="AF115" s="380" t="e">
        <f t="shared" si="40"/>
        <v>#DIV/0!</v>
      </c>
      <c r="AG115" s="380" t="e">
        <f t="shared" si="40"/>
        <v>#DIV/0!</v>
      </c>
      <c r="AH115" s="380" t="e">
        <f t="shared" si="40"/>
        <v>#DIV/0!</v>
      </c>
      <c r="AI115" s="380" t="e">
        <f t="shared" si="40"/>
        <v>#DIV/0!</v>
      </c>
      <c r="AJ115" s="380" t="e">
        <f t="shared" si="40"/>
        <v>#DIV/0!</v>
      </c>
      <c r="AK115" s="380" t="e">
        <f t="shared" si="40"/>
        <v>#DIV/0!</v>
      </c>
      <c r="AL115" s="380" t="e">
        <f t="shared" si="40"/>
        <v>#DIV/0!</v>
      </c>
      <c r="AM115" s="380" t="e">
        <f t="shared" si="40"/>
        <v>#DIV/0!</v>
      </c>
      <c r="AN115" s="380" t="e">
        <f t="shared" si="40"/>
        <v>#DIV/0!</v>
      </c>
      <c r="AO115" s="380" t="e">
        <f t="shared" si="40"/>
        <v>#DIV/0!</v>
      </c>
      <c r="AP115" s="380" t="e">
        <f t="shared" si="40"/>
        <v>#DIV/0!</v>
      </c>
      <c r="AQ115" s="380" t="e">
        <f t="shared" si="40"/>
        <v>#DIV/0!</v>
      </c>
      <c r="AR115" s="380" t="e">
        <f t="shared" si="40"/>
        <v>#DIV/0!</v>
      </c>
      <c r="AS115" s="380" t="e">
        <f t="shared" si="40"/>
        <v>#DIV/0!</v>
      </c>
      <c r="AT115" s="380" t="e">
        <f t="shared" si="40"/>
        <v>#DIV/0!</v>
      </c>
      <c r="AU115" s="380" t="e">
        <f t="shared" si="40"/>
        <v>#DIV/0!</v>
      </c>
      <c r="AV115" s="380" t="e">
        <f t="shared" si="40"/>
        <v>#DIV/0!</v>
      </c>
      <c r="AW115" s="380" t="e">
        <f t="shared" si="40"/>
        <v>#DIV/0!</v>
      </c>
      <c r="AX115" s="380" t="e">
        <f t="shared" si="40"/>
        <v>#DIV/0!</v>
      </c>
      <c r="AY115" s="380" t="e">
        <f t="shared" si="40"/>
        <v>#DIV/0!</v>
      </c>
      <c r="AZ115" s="380" t="e">
        <f t="shared" si="40"/>
        <v>#DIV/0!</v>
      </c>
      <c r="BA115" s="380" t="e">
        <f t="shared" si="40"/>
        <v>#DIV/0!</v>
      </c>
      <c r="BB115" s="380" t="e">
        <f t="shared" si="40"/>
        <v>#DIV/0!</v>
      </c>
      <c r="BC115" s="380" t="e">
        <f t="shared" si="40"/>
        <v>#DIV/0!</v>
      </c>
      <c r="BD115" s="380" t="e">
        <f t="shared" si="40"/>
        <v>#DIV/0!</v>
      </c>
      <c r="BE115" s="380" t="e">
        <f t="shared" si="40"/>
        <v>#DIV/0!</v>
      </c>
      <c r="BF115" s="380" t="e">
        <f t="shared" si="40"/>
        <v>#DIV/0!</v>
      </c>
      <c r="BG115" s="380" t="e">
        <f t="shared" si="40"/>
        <v>#DIV/0!</v>
      </c>
      <c r="BH115" s="380" t="e">
        <f t="shared" si="40"/>
        <v>#DIV/0!</v>
      </c>
      <c r="BI115" s="380" t="e">
        <f t="shared" si="40"/>
        <v>#DIV/0!</v>
      </c>
      <c r="BJ115" s="380" t="e">
        <f t="shared" si="40"/>
        <v>#DIV/0!</v>
      </c>
      <c r="BK115" s="380" t="e">
        <f t="shared" si="40"/>
        <v>#DIV/0!</v>
      </c>
      <c r="BL115" s="380" t="e">
        <f t="shared" si="40"/>
        <v>#DIV/0!</v>
      </c>
      <c r="BM115" s="380" t="e">
        <f t="shared" si="40"/>
        <v>#DIV/0!</v>
      </c>
      <c r="BN115" s="380" t="e">
        <f t="shared" si="40"/>
        <v>#DIV/0!</v>
      </c>
      <c r="BO115" s="380" t="e">
        <f t="shared" si="40"/>
        <v>#DIV/0!</v>
      </c>
      <c r="BP115" s="380" t="e">
        <f t="shared" si="40"/>
        <v>#DIV/0!</v>
      </c>
      <c r="BQ115" s="380" t="e">
        <f t="shared" si="40"/>
        <v>#DIV/0!</v>
      </c>
      <c r="BR115" s="380" t="e">
        <f t="shared" si="38"/>
        <v>#DIV/0!</v>
      </c>
      <c r="BS115" s="380" t="e">
        <f t="shared" si="38"/>
        <v>#DIV/0!</v>
      </c>
      <c r="BT115" s="380" t="e">
        <f t="shared" si="38"/>
        <v>#DIV/0!</v>
      </c>
      <c r="BU115" s="380" t="e">
        <f t="shared" si="38"/>
        <v>#DIV/0!</v>
      </c>
      <c r="BV115" s="380" t="e">
        <f t="shared" si="38"/>
        <v>#DIV/0!</v>
      </c>
      <c r="BW115" s="380" t="e">
        <f t="shared" si="38"/>
        <v>#DIV/0!</v>
      </c>
      <c r="BX115" s="380" t="e">
        <f t="shared" si="38"/>
        <v>#DIV/0!</v>
      </c>
      <c r="BY115" s="380" t="e">
        <f t="shared" si="38"/>
        <v>#DIV/0!</v>
      </c>
      <c r="BZ115" s="380" t="e">
        <f t="shared" si="38"/>
        <v>#DIV/0!</v>
      </c>
      <c r="CA115" s="380" t="e">
        <f t="shared" si="38"/>
        <v>#DIV/0!</v>
      </c>
      <c r="CB115" s="380" t="e">
        <f t="shared" si="38"/>
        <v>#DIV/0!</v>
      </c>
      <c r="CC115" s="380" t="e">
        <f t="shared" si="38"/>
        <v>#DIV/0!</v>
      </c>
      <c r="CD115" s="380" t="e">
        <f t="shared" si="38"/>
        <v>#DIV/0!</v>
      </c>
      <c r="CE115" s="380" t="e">
        <f t="shared" si="38"/>
        <v>#DIV/0!</v>
      </c>
      <c r="CF115" s="380" t="e">
        <f t="shared" si="38"/>
        <v>#DIV/0!</v>
      </c>
    </row>
    <row r="116" spans="1:84">
      <c r="D116" s="380" t="s">
        <v>93</v>
      </c>
      <c r="E116" s="380" t="e">
        <f>E109*$E$11</f>
        <v>#DIV/0!</v>
      </c>
      <c r="F116" s="380" t="e">
        <f t="shared" si="40"/>
        <v>#DIV/0!</v>
      </c>
      <c r="G116" s="380" t="e">
        <f t="shared" si="40"/>
        <v>#DIV/0!</v>
      </c>
      <c r="H116" s="380" t="e">
        <f t="shared" si="40"/>
        <v>#DIV/0!</v>
      </c>
      <c r="I116" s="380" t="e">
        <f t="shared" si="40"/>
        <v>#DIV/0!</v>
      </c>
      <c r="J116" s="380" t="e">
        <f t="shared" si="40"/>
        <v>#DIV/0!</v>
      </c>
      <c r="K116" s="380" t="e">
        <f t="shared" si="40"/>
        <v>#DIV/0!</v>
      </c>
      <c r="L116" s="380" t="e">
        <f t="shared" si="40"/>
        <v>#DIV/0!</v>
      </c>
      <c r="M116" s="380" t="e">
        <f t="shared" si="40"/>
        <v>#DIV/0!</v>
      </c>
      <c r="N116" s="380" t="e">
        <f t="shared" si="40"/>
        <v>#DIV/0!</v>
      </c>
      <c r="O116" s="380" t="e">
        <f t="shared" si="40"/>
        <v>#DIV/0!</v>
      </c>
      <c r="P116" s="380" t="e">
        <f t="shared" si="40"/>
        <v>#DIV/0!</v>
      </c>
      <c r="Q116" s="380" t="e">
        <f t="shared" si="40"/>
        <v>#DIV/0!</v>
      </c>
      <c r="R116" s="380" t="e">
        <f t="shared" si="40"/>
        <v>#DIV/0!</v>
      </c>
      <c r="S116" s="380" t="e">
        <f t="shared" si="40"/>
        <v>#DIV/0!</v>
      </c>
      <c r="T116" s="380" t="e">
        <f t="shared" si="40"/>
        <v>#DIV/0!</v>
      </c>
      <c r="U116" s="380" t="e">
        <f t="shared" si="40"/>
        <v>#DIV/0!</v>
      </c>
      <c r="V116" s="380" t="e">
        <f t="shared" si="40"/>
        <v>#DIV/0!</v>
      </c>
      <c r="W116" s="380" t="e">
        <f t="shared" si="40"/>
        <v>#DIV/0!</v>
      </c>
      <c r="X116" s="380" t="e">
        <f t="shared" si="40"/>
        <v>#DIV/0!</v>
      </c>
      <c r="Y116" s="380" t="e">
        <f t="shared" si="40"/>
        <v>#DIV/0!</v>
      </c>
      <c r="Z116" s="380" t="e">
        <f t="shared" si="40"/>
        <v>#DIV/0!</v>
      </c>
      <c r="AA116" s="380" t="e">
        <f t="shared" si="40"/>
        <v>#DIV/0!</v>
      </c>
      <c r="AB116" s="380" t="e">
        <f t="shared" si="40"/>
        <v>#DIV/0!</v>
      </c>
      <c r="AC116" s="380" t="e">
        <f t="shared" si="40"/>
        <v>#DIV/0!</v>
      </c>
      <c r="AD116" s="380" t="e">
        <f t="shared" si="40"/>
        <v>#DIV/0!</v>
      </c>
      <c r="AE116" s="380" t="e">
        <f t="shared" si="40"/>
        <v>#DIV/0!</v>
      </c>
      <c r="AF116" s="380" t="e">
        <f t="shared" si="40"/>
        <v>#DIV/0!</v>
      </c>
      <c r="AG116" s="380" t="e">
        <f t="shared" si="40"/>
        <v>#DIV/0!</v>
      </c>
      <c r="AH116" s="380" t="e">
        <f t="shared" si="40"/>
        <v>#DIV/0!</v>
      </c>
      <c r="AI116" s="380" t="e">
        <f t="shared" si="40"/>
        <v>#DIV/0!</v>
      </c>
      <c r="AJ116" s="380" t="e">
        <f t="shared" si="40"/>
        <v>#DIV/0!</v>
      </c>
      <c r="AK116" s="380" t="e">
        <f t="shared" si="40"/>
        <v>#DIV/0!</v>
      </c>
      <c r="AL116" s="380" t="e">
        <f t="shared" si="40"/>
        <v>#DIV/0!</v>
      </c>
      <c r="AM116" s="380" t="e">
        <f t="shared" si="40"/>
        <v>#DIV/0!</v>
      </c>
      <c r="AN116" s="380" t="e">
        <f t="shared" si="40"/>
        <v>#DIV/0!</v>
      </c>
      <c r="AO116" s="380" t="e">
        <f t="shared" si="40"/>
        <v>#DIV/0!</v>
      </c>
      <c r="AP116" s="380" t="e">
        <f t="shared" si="40"/>
        <v>#DIV/0!</v>
      </c>
      <c r="AQ116" s="380" t="e">
        <f t="shared" si="40"/>
        <v>#DIV/0!</v>
      </c>
      <c r="AR116" s="380" t="e">
        <f t="shared" si="40"/>
        <v>#DIV/0!</v>
      </c>
      <c r="AS116" s="380" t="e">
        <f t="shared" si="40"/>
        <v>#DIV/0!</v>
      </c>
      <c r="AT116" s="380" t="e">
        <f t="shared" si="40"/>
        <v>#DIV/0!</v>
      </c>
      <c r="AU116" s="380" t="e">
        <f t="shared" si="40"/>
        <v>#DIV/0!</v>
      </c>
      <c r="AV116" s="380" t="e">
        <f t="shared" si="40"/>
        <v>#DIV/0!</v>
      </c>
      <c r="AW116" s="380" t="e">
        <f t="shared" si="40"/>
        <v>#DIV/0!</v>
      </c>
      <c r="AX116" s="380" t="e">
        <f t="shared" si="40"/>
        <v>#DIV/0!</v>
      </c>
      <c r="AY116" s="380" t="e">
        <f t="shared" si="40"/>
        <v>#DIV/0!</v>
      </c>
      <c r="AZ116" s="380" t="e">
        <f t="shared" si="40"/>
        <v>#DIV/0!</v>
      </c>
      <c r="BA116" s="380" t="e">
        <f t="shared" si="40"/>
        <v>#DIV/0!</v>
      </c>
      <c r="BB116" s="380" t="e">
        <f t="shared" si="40"/>
        <v>#DIV/0!</v>
      </c>
      <c r="BC116" s="380" t="e">
        <f t="shared" si="40"/>
        <v>#DIV/0!</v>
      </c>
      <c r="BD116" s="380" t="e">
        <f t="shared" si="40"/>
        <v>#DIV/0!</v>
      </c>
      <c r="BE116" s="380" t="e">
        <f t="shared" si="40"/>
        <v>#DIV/0!</v>
      </c>
      <c r="BF116" s="380" t="e">
        <f t="shared" si="40"/>
        <v>#DIV/0!</v>
      </c>
      <c r="BG116" s="380" t="e">
        <f t="shared" si="40"/>
        <v>#DIV/0!</v>
      </c>
      <c r="BH116" s="380" t="e">
        <f t="shared" si="40"/>
        <v>#DIV/0!</v>
      </c>
      <c r="BI116" s="380" t="e">
        <f t="shared" si="40"/>
        <v>#DIV/0!</v>
      </c>
      <c r="BJ116" s="380" t="e">
        <f t="shared" si="40"/>
        <v>#DIV/0!</v>
      </c>
      <c r="BK116" s="380" t="e">
        <f t="shared" si="40"/>
        <v>#DIV/0!</v>
      </c>
      <c r="BL116" s="380" t="e">
        <f t="shared" si="40"/>
        <v>#DIV/0!</v>
      </c>
      <c r="BM116" s="380" t="e">
        <f t="shared" si="40"/>
        <v>#DIV/0!</v>
      </c>
      <c r="BN116" s="380" t="e">
        <f t="shared" si="40"/>
        <v>#DIV/0!</v>
      </c>
      <c r="BO116" s="380" t="e">
        <f t="shared" si="40"/>
        <v>#DIV/0!</v>
      </c>
      <c r="BP116" s="380" t="e">
        <f t="shared" si="40"/>
        <v>#DIV/0!</v>
      </c>
      <c r="BQ116" s="380" t="e">
        <f t="shared" si="40"/>
        <v>#DIV/0!</v>
      </c>
      <c r="BR116" s="380" t="e">
        <f t="shared" si="38"/>
        <v>#DIV/0!</v>
      </c>
      <c r="BS116" s="380" t="e">
        <f t="shared" si="38"/>
        <v>#DIV/0!</v>
      </c>
      <c r="BT116" s="380" t="e">
        <f t="shared" si="38"/>
        <v>#DIV/0!</v>
      </c>
      <c r="BU116" s="380" t="e">
        <f t="shared" si="38"/>
        <v>#DIV/0!</v>
      </c>
      <c r="BV116" s="380" t="e">
        <f t="shared" si="38"/>
        <v>#DIV/0!</v>
      </c>
      <c r="BW116" s="380" t="e">
        <f t="shared" si="38"/>
        <v>#DIV/0!</v>
      </c>
      <c r="BX116" s="380" t="e">
        <f t="shared" si="38"/>
        <v>#DIV/0!</v>
      </c>
      <c r="BY116" s="380" t="e">
        <f t="shared" si="38"/>
        <v>#DIV/0!</v>
      </c>
      <c r="BZ116" s="380" t="e">
        <f t="shared" si="38"/>
        <v>#DIV/0!</v>
      </c>
      <c r="CA116" s="380" t="e">
        <f t="shared" si="38"/>
        <v>#DIV/0!</v>
      </c>
      <c r="CB116" s="380" t="e">
        <f t="shared" si="38"/>
        <v>#DIV/0!</v>
      </c>
      <c r="CC116" s="380" t="e">
        <f t="shared" si="38"/>
        <v>#DIV/0!</v>
      </c>
      <c r="CD116" s="380" t="e">
        <f t="shared" si="38"/>
        <v>#DIV/0!</v>
      </c>
      <c r="CE116" s="380" t="e">
        <f t="shared" si="38"/>
        <v>#DIV/0!</v>
      </c>
      <c r="CF116" s="380" t="e">
        <f t="shared" si="38"/>
        <v>#DIV/0!</v>
      </c>
    </row>
    <row r="118" spans="1:84">
      <c r="C118" s="360" t="s">
        <v>268</v>
      </c>
    </row>
    <row r="119" spans="1:84" s="379" customFormat="1">
      <c r="D119" s="730"/>
      <c r="E119" s="731">
        <v>2010</v>
      </c>
      <c r="F119" s="732">
        <v>2011</v>
      </c>
      <c r="G119" s="732">
        <v>2012</v>
      </c>
      <c r="H119" s="732">
        <v>2013</v>
      </c>
      <c r="I119" s="732">
        <v>2014</v>
      </c>
      <c r="J119" s="732">
        <v>2015</v>
      </c>
      <c r="K119" s="732">
        <v>2016</v>
      </c>
      <c r="L119" s="732">
        <v>2017</v>
      </c>
      <c r="M119" s="732">
        <v>2018</v>
      </c>
      <c r="N119" s="732">
        <v>2019</v>
      </c>
      <c r="O119" s="732">
        <v>2020</v>
      </c>
      <c r="P119" s="732">
        <v>2021</v>
      </c>
      <c r="Q119" s="732">
        <v>2022</v>
      </c>
      <c r="R119" s="732">
        <v>2023</v>
      </c>
      <c r="S119" s="732">
        <v>2024</v>
      </c>
      <c r="T119" s="732">
        <v>2025</v>
      </c>
      <c r="U119" s="732">
        <v>2026</v>
      </c>
      <c r="V119" s="732">
        <v>2027</v>
      </c>
      <c r="W119" s="732">
        <v>2028</v>
      </c>
      <c r="X119" s="732">
        <v>2029</v>
      </c>
      <c r="Y119" s="732">
        <v>2030</v>
      </c>
      <c r="Z119" s="732">
        <v>2031</v>
      </c>
      <c r="AA119" s="732">
        <v>2032</v>
      </c>
      <c r="AB119" s="732">
        <v>2033</v>
      </c>
      <c r="AC119" s="732">
        <v>2034</v>
      </c>
      <c r="AD119" s="732">
        <v>2035</v>
      </c>
      <c r="AE119" s="732">
        <v>2036</v>
      </c>
      <c r="AF119" s="732">
        <v>2037</v>
      </c>
      <c r="AG119" s="732">
        <v>2038</v>
      </c>
      <c r="AH119" s="732">
        <v>2039</v>
      </c>
      <c r="AI119" s="732">
        <v>2040</v>
      </c>
      <c r="AJ119" s="732">
        <v>2041</v>
      </c>
      <c r="AK119" s="732">
        <v>2042</v>
      </c>
      <c r="AL119" s="732">
        <v>2043</v>
      </c>
      <c r="AM119" s="732">
        <v>2044</v>
      </c>
      <c r="AN119" s="732">
        <v>2045</v>
      </c>
      <c r="AO119" s="732">
        <v>2046</v>
      </c>
      <c r="AP119" s="732">
        <v>2047</v>
      </c>
      <c r="AQ119" s="732">
        <v>2048</v>
      </c>
      <c r="AR119" s="732">
        <v>2049</v>
      </c>
      <c r="AS119" s="732">
        <v>2050</v>
      </c>
      <c r="AT119" s="732">
        <v>2051</v>
      </c>
      <c r="AU119" s="732">
        <v>2052</v>
      </c>
      <c r="AV119" s="732">
        <v>2053</v>
      </c>
      <c r="AW119" s="732">
        <v>2054</v>
      </c>
      <c r="AX119" s="732">
        <v>2055</v>
      </c>
      <c r="AY119" s="732">
        <v>2056</v>
      </c>
      <c r="AZ119" s="732">
        <v>2057</v>
      </c>
      <c r="BA119" s="732">
        <v>2058</v>
      </c>
      <c r="BB119" s="732">
        <v>2059</v>
      </c>
      <c r="BC119" s="732">
        <v>2060</v>
      </c>
      <c r="BD119" s="732">
        <v>2061</v>
      </c>
      <c r="BE119" s="732">
        <v>2062</v>
      </c>
      <c r="BF119" s="732">
        <v>2063</v>
      </c>
      <c r="BG119" s="732">
        <v>2064</v>
      </c>
      <c r="BH119" s="732">
        <v>2065</v>
      </c>
      <c r="BI119" s="732">
        <v>2066</v>
      </c>
      <c r="BJ119" s="732">
        <v>2067</v>
      </c>
      <c r="BK119" s="732">
        <v>2068</v>
      </c>
      <c r="BL119" s="732">
        <v>2069</v>
      </c>
      <c r="BM119" s="732">
        <v>2070</v>
      </c>
      <c r="BN119" s="732">
        <v>2071</v>
      </c>
      <c r="BO119" s="732">
        <v>2072</v>
      </c>
      <c r="BP119" s="732">
        <v>2073</v>
      </c>
      <c r="BQ119" s="732">
        <v>2074</v>
      </c>
      <c r="BR119" s="732">
        <v>2075</v>
      </c>
      <c r="BS119" s="732">
        <v>2076</v>
      </c>
      <c r="BT119" s="732">
        <v>2077</v>
      </c>
      <c r="BU119" s="732">
        <v>2078</v>
      </c>
      <c r="BV119" s="732">
        <v>2079</v>
      </c>
      <c r="BW119" s="732">
        <v>2080</v>
      </c>
      <c r="BX119" s="732">
        <v>2081</v>
      </c>
      <c r="BY119" s="732">
        <v>2082</v>
      </c>
      <c r="BZ119" s="732">
        <v>2083</v>
      </c>
      <c r="CA119" s="732">
        <v>2084</v>
      </c>
      <c r="CB119" s="732">
        <v>2085</v>
      </c>
      <c r="CC119" s="732">
        <v>2086</v>
      </c>
      <c r="CD119" s="732">
        <v>2087</v>
      </c>
      <c r="CE119" s="732">
        <v>2088</v>
      </c>
      <c r="CF119" s="732">
        <v>2089</v>
      </c>
    </row>
    <row r="120" spans="1:84">
      <c r="D120" s="380" t="s">
        <v>87</v>
      </c>
      <c r="E120" s="380" t="e">
        <f>(($E$14*($E35))+($E$15*($F35))+($E$16*($G35)))*E113</f>
        <v>#DIV/0!</v>
      </c>
      <c r="F120" s="380" t="e">
        <f t="shared" ref="F120:BQ121" si="41">(($E$14*($E35))+($E$15*($F35))+($E$16*($G35)))*F113</f>
        <v>#DIV/0!</v>
      </c>
      <c r="G120" s="380" t="e">
        <f t="shared" si="41"/>
        <v>#DIV/0!</v>
      </c>
      <c r="H120" s="380" t="e">
        <f t="shared" si="41"/>
        <v>#DIV/0!</v>
      </c>
      <c r="I120" s="380" t="e">
        <f t="shared" si="41"/>
        <v>#DIV/0!</v>
      </c>
      <c r="J120" s="380" t="e">
        <f t="shared" si="41"/>
        <v>#DIV/0!</v>
      </c>
      <c r="K120" s="380" t="e">
        <f t="shared" si="41"/>
        <v>#DIV/0!</v>
      </c>
      <c r="L120" s="380" t="e">
        <f t="shared" si="41"/>
        <v>#DIV/0!</v>
      </c>
      <c r="M120" s="380" t="e">
        <f t="shared" si="41"/>
        <v>#DIV/0!</v>
      </c>
      <c r="N120" s="380" t="e">
        <f t="shared" si="41"/>
        <v>#DIV/0!</v>
      </c>
      <c r="O120" s="380" t="e">
        <f t="shared" si="41"/>
        <v>#DIV/0!</v>
      </c>
      <c r="P120" s="380" t="e">
        <f t="shared" si="41"/>
        <v>#DIV/0!</v>
      </c>
      <c r="Q120" s="380" t="e">
        <f t="shared" si="41"/>
        <v>#DIV/0!</v>
      </c>
      <c r="R120" s="380" t="e">
        <f t="shared" si="41"/>
        <v>#DIV/0!</v>
      </c>
      <c r="S120" s="380" t="e">
        <f t="shared" si="41"/>
        <v>#DIV/0!</v>
      </c>
      <c r="T120" s="380" t="e">
        <f t="shared" si="41"/>
        <v>#DIV/0!</v>
      </c>
      <c r="U120" s="380" t="e">
        <f t="shared" si="41"/>
        <v>#DIV/0!</v>
      </c>
      <c r="V120" s="380" t="e">
        <f t="shared" si="41"/>
        <v>#DIV/0!</v>
      </c>
      <c r="W120" s="380" t="e">
        <f t="shared" si="41"/>
        <v>#DIV/0!</v>
      </c>
      <c r="X120" s="380" t="e">
        <f t="shared" si="41"/>
        <v>#DIV/0!</v>
      </c>
      <c r="Y120" s="380" t="e">
        <f t="shared" si="41"/>
        <v>#DIV/0!</v>
      </c>
      <c r="Z120" s="380" t="e">
        <f t="shared" si="41"/>
        <v>#DIV/0!</v>
      </c>
      <c r="AA120" s="380" t="e">
        <f t="shared" si="41"/>
        <v>#DIV/0!</v>
      </c>
      <c r="AB120" s="380" t="e">
        <f t="shared" si="41"/>
        <v>#DIV/0!</v>
      </c>
      <c r="AC120" s="380" t="e">
        <f t="shared" si="41"/>
        <v>#DIV/0!</v>
      </c>
      <c r="AD120" s="380" t="e">
        <f t="shared" si="41"/>
        <v>#DIV/0!</v>
      </c>
      <c r="AE120" s="380" t="e">
        <f t="shared" si="41"/>
        <v>#DIV/0!</v>
      </c>
      <c r="AF120" s="380" t="e">
        <f t="shared" si="41"/>
        <v>#DIV/0!</v>
      </c>
      <c r="AG120" s="380" t="e">
        <f t="shared" si="41"/>
        <v>#DIV/0!</v>
      </c>
      <c r="AH120" s="380" t="e">
        <f t="shared" si="41"/>
        <v>#DIV/0!</v>
      </c>
      <c r="AI120" s="380" t="e">
        <f t="shared" si="41"/>
        <v>#DIV/0!</v>
      </c>
      <c r="AJ120" s="380" t="e">
        <f t="shared" si="41"/>
        <v>#DIV/0!</v>
      </c>
      <c r="AK120" s="380" t="e">
        <f t="shared" si="41"/>
        <v>#DIV/0!</v>
      </c>
      <c r="AL120" s="380" t="e">
        <f t="shared" si="41"/>
        <v>#DIV/0!</v>
      </c>
      <c r="AM120" s="380" t="e">
        <f t="shared" si="41"/>
        <v>#DIV/0!</v>
      </c>
      <c r="AN120" s="380" t="e">
        <f t="shared" si="41"/>
        <v>#DIV/0!</v>
      </c>
      <c r="AO120" s="380" t="e">
        <f t="shared" si="41"/>
        <v>#DIV/0!</v>
      </c>
      <c r="AP120" s="380" t="e">
        <f t="shared" si="41"/>
        <v>#DIV/0!</v>
      </c>
      <c r="AQ120" s="380" t="e">
        <f t="shared" si="41"/>
        <v>#DIV/0!</v>
      </c>
      <c r="AR120" s="380" t="e">
        <f t="shared" si="41"/>
        <v>#DIV/0!</v>
      </c>
      <c r="AS120" s="380" t="e">
        <f t="shared" si="41"/>
        <v>#DIV/0!</v>
      </c>
      <c r="AT120" s="380" t="e">
        <f t="shared" si="41"/>
        <v>#DIV/0!</v>
      </c>
      <c r="AU120" s="380" t="e">
        <f t="shared" si="41"/>
        <v>#DIV/0!</v>
      </c>
      <c r="AV120" s="380" t="e">
        <f t="shared" si="41"/>
        <v>#DIV/0!</v>
      </c>
      <c r="AW120" s="380" t="e">
        <f t="shared" si="41"/>
        <v>#DIV/0!</v>
      </c>
      <c r="AX120" s="380" t="e">
        <f t="shared" si="41"/>
        <v>#DIV/0!</v>
      </c>
      <c r="AY120" s="380" t="e">
        <f t="shared" si="41"/>
        <v>#DIV/0!</v>
      </c>
      <c r="AZ120" s="380" t="e">
        <f t="shared" si="41"/>
        <v>#DIV/0!</v>
      </c>
      <c r="BA120" s="380" t="e">
        <f t="shared" si="41"/>
        <v>#DIV/0!</v>
      </c>
      <c r="BB120" s="380" t="e">
        <f t="shared" si="41"/>
        <v>#DIV/0!</v>
      </c>
      <c r="BC120" s="380" t="e">
        <f t="shared" si="41"/>
        <v>#DIV/0!</v>
      </c>
      <c r="BD120" s="380" t="e">
        <f t="shared" si="41"/>
        <v>#DIV/0!</v>
      </c>
      <c r="BE120" s="380" t="e">
        <f t="shared" si="41"/>
        <v>#DIV/0!</v>
      </c>
      <c r="BF120" s="380" t="e">
        <f t="shared" si="41"/>
        <v>#DIV/0!</v>
      </c>
      <c r="BG120" s="380" t="e">
        <f t="shared" si="41"/>
        <v>#DIV/0!</v>
      </c>
      <c r="BH120" s="380" t="e">
        <f t="shared" si="41"/>
        <v>#DIV/0!</v>
      </c>
      <c r="BI120" s="380" t="e">
        <f t="shared" si="41"/>
        <v>#DIV/0!</v>
      </c>
      <c r="BJ120" s="380" t="e">
        <f t="shared" si="41"/>
        <v>#DIV/0!</v>
      </c>
      <c r="BK120" s="380" t="e">
        <f t="shared" si="41"/>
        <v>#DIV/0!</v>
      </c>
      <c r="BL120" s="380" t="e">
        <f t="shared" si="41"/>
        <v>#DIV/0!</v>
      </c>
      <c r="BM120" s="380" t="e">
        <f t="shared" si="41"/>
        <v>#DIV/0!</v>
      </c>
      <c r="BN120" s="380" t="e">
        <f t="shared" si="41"/>
        <v>#DIV/0!</v>
      </c>
      <c r="BO120" s="380" t="e">
        <f t="shared" si="41"/>
        <v>#DIV/0!</v>
      </c>
      <c r="BP120" s="380" t="e">
        <f t="shared" si="41"/>
        <v>#DIV/0!</v>
      </c>
      <c r="BQ120" s="380" t="e">
        <f t="shared" si="41"/>
        <v>#DIV/0!</v>
      </c>
      <c r="BR120" s="380" t="e">
        <f t="shared" ref="BR120:CF123" si="42">(($E$14*($E35))+($E$15*($F35))+($E$16*($G35)))*BR113</f>
        <v>#DIV/0!</v>
      </c>
      <c r="BS120" s="380" t="e">
        <f t="shared" si="42"/>
        <v>#DIV/0!</v>
      </c>
      <c r="BT120" s="380" t="e">
        <f t="shared" si="42"/>
        <v>#DIV/0!</v>
      </c>
      <c r="BU120" s="380" t="e">
        <f t="shared" si="42"/>
        <v>#DIV/0!</v>
      </c>
      <c r="BV120" s="380" t="e">
        <f t="shared" si="42"/>
        <v>#DIV/0!</v>
      </c>
      <c r="BW120" s="380" t="e">
        <f t="shared" si="42"/>
        <v>#DIV/0!</v>
      </c>
      <c r="BX120" s="380" t="e">
        <f t="shared" si="42"/>
        <v>#DIV/0!</v>
      </c>
      <c r="BY120" s="380" t="e">
        <f t="shared" si="42"/>
        <v>#DIV/0!</v>
      </c>
      <c r="BZ120" s="380" t="e">
        <f t="shared" si="42"/>
        <v>#DIV/0!</v>
      </c>
      <c r="CA120" s="380" t="e">
        <f t="shared" si="42"/>
        <v>#DIV/0!</v>
      </c>
      <c r="CB120" s="380" t="e">
        <f t="shared" si="42"/>
        <v>#DIV/0!</v>
      </c>
      <c r="CC120" s="380" t="e">
        <f t="shared" si="42"/>
        <v>#DIV/0!</v>
      </c>
      <c r="CD120" s="380" t="e">
        <f t="shared" si="42"/>
        <v>#DIV/0!</v>
      </c>
      <c r="CE120" s="380" t="e">
        <f t="shared" si="42"/>
        <v>#DIV/0!</v>
      </c>
      <c r="CF120" s="380" t="e">
        <f t="shared" si="42"/>
        <v>#DIV/0!</v>
      </c>
    </row>
    <row r="121" spans="1:84">
      <c r="D121" s="380" t="s">
        <v>89</v>
      </c>
      <c r="E121" s="380" t="e">
        <f>(($E$14*($E36))+($E$15*($F36))+($E$16*($G36)))*E114</f>
        <v>#DIV/0!</v>
      </c>
      <c r="F121" s="380" t="e">
        <f t="shared" ref="F121:T121" si="43">(($E$14*($E36))+($E$15*($F36))+($E$16*($G36)))*F114</f>
        <v>#DIV/0!</v>
      </c>
      <c r="G121" s="380" t="e">
        <f t="shared" si="43"/>
        <v>#DIV/0!</v>
      </c>
      <c r="H121" s="380" t="e">
        <f t="shared" si="43"/>
        <v>#DIV/0!</v>
      </c>
      <c r="I121" s="380" t="e">
        <f t="shared" si="43"/>
        <v>#DIV/0!</v>
      </c>
      <c r="J121" s="380" t="e">
        <f t="shared" si="43"/>
        <v>#DIV/0!</v>
      </c>
      <c r="K121" s="380" t="e">
        <f t="shared" si="43"/>
        <v>#DIV/0!</v>
      </c>
      <c r="L121" s="380" t="e">
        <f t="shared" si="43"/>
        <v>#DIV/0!</v>
      </c>
      <c r="M121" s="380" t="e">
        <f t="shared" si="43"/>
        <v>#DIV/0!</v>
      </c>
      <c r="N121" s="380" t="e">
        <f t="shared" si="43"/>
        <v>#DIV/0!</v>
      </c>
      <c r="O121" s="380" t="e">
        <f t="shared" si="43"/>
        <v>#DIV/0!</v>
      </c>
      <c r="P121" s="380" t="e">
        <f t="shared" si="43"/>
        <v>#DIV/0!</v>
      </c>
      <c r="Q121" s="380" t="e">
        <f t="shared" si="43"/>
        <v>#DIV/0!</v>
      </c>
      <c r="R121" s="380" t="e">
        <f t="shared" si="43"/>
        <v>#DIV/0!</v>
      </c>
      <c r="S121" s="380" t="e">
        <f t="shared" si="43"/>
        <v>#DIV/0!</v>
      </c>
      <c r="T121" s="380" t="e">
        <f t="shared" si="43"/>
        <v>#DIV/0!</v>
      </c>
      <c r="U121" s="380" t="e">
        <f t="shared" si="41"/>
        <v>#DIV/0!</v>
      </c>
      <c r="V121" s="380" t="e">
        <f t="shared" si="41"/>
        <v>#DIV/0!</v>
      </c>
      <c r="W121" s="380" t="e">
        <f t="shared" si="41"/>
        <v>#DIV/0!</v>
      </c>
      <c r="X121" s="380" t="e">
        <f t="shared" si="41"/>
        <v>#DIV/0!</v>
      </c>
      <c r="Y121" s="380" t="e">
        <f t="shared" si="41"/>
        <v>#DIV/0!</v>
      </c>
      <c r="Z121" s="380" t="e">
        <f t="shared" si="41"/>
        <v>#DIV/0!</v>
      </c>
      <c r="AA121" s="380" t="e">
        <f t="shared" si="41"/>
        <v>#DIV/0!</v>
      </c>
      <c r="AB121" s="380" t="e">
        <f t="shared" si="41"/>
        <v>#DIV/0!</v>
      </c>
      <c r="AC121" s="380" t="e">
        <f t="shared" si="41"/>
        <v>#DIV/0!</v>
      </c>
      <c r="AD121" s="380" t="e">
        <f t="shared" si="41"/>
        <v>#DIV/0!</v>
      </c>
      <c r="AE121" s="380" t="e">
        <f t="shared" si="41"/>
        <v>#DIV/0!</v>
      </c>
      <c r="AF121" s="380" t="e">
        <f t="shared" si="41"/>
        <v>#DIV/0!</v>
      </c>
      <c r="AG121" s="380" t="e">
        <f t="shared" si="41"/>
        <v>#DIV/0!</v>
      </c>
      <c r="AH121" s="380" t="e">
        <f t="shared" si="41"/>
        <v>#DIV/0!</v>
      </c>
      <c r="AI121" s="380" t="e">
        <f t="shared" si="41"/>
        <v>#DIV/0!</v>
      </c>
      <c r="AJ121" s="380" t="e">
        <f t="shared" si="41"/>
        <v>#DIV/0!</v>
      </c>
      <c r="AK121" s="380" t="e">
        <f t="shared" si="41"/>
        <v>#DIV/0!</v>
      </c>
      <c r="AL121" s="380" t="e">
        <f t="shared" si="41"/>
        <v>#DIV/0!</v>
      </c>
      <c r="AM121" s="380" t="e">
        <f t="shared" si="41"/>
        <v>#DIV/0!</v>
      </c>
      <c r="AN121" s="380" t="e">
        <f t="shared" si="41"/>
        <v>#DIV/0!</v>
      </c>
      <c r="AO121" s="380" t="e">
        <f t="shared" si="41"/>
        <v>#DIV/0!</v>
      </c>
      <c r="AP121" s="380" t="e">
        <f t="shared" si="41"/>
        <v>#DIV/0!</v>
      </c>
      <c r="AQ121" s="380" t="e">
        <f t="shared" si="41"/>
        <v>#DIV/0!</v>
      </c>
      <c r="AR121" s="380" t="e">
        <f t="shared" si="41"/>
        <v>#DIV/0!</v>
      </c>
      <c r="AS121" s="380" t="e">
        <f t="shared" si="41"/>
        <v>#DIV/0!</v>
      </c>
      <c r="AT121" s="380" t="e">
        <f t="shared" si="41"/>
        <v>#DIV/0!</v>
      </c>
      <c r="AU121" s="380" t="e">
        <f t="shared" si="41"/>
        <v>#DIV/0!</v>
      </c>
      <c r="AV121" s="380" t="e">
        <f t="shared" si="41"/>
        <v>#DIV/0!</v>
      </c>
      <c r="AW121" s="380" t="e">
        <f t="shared" si="41"/>
        <v>#DIV/0!</v>
      </c>
      <c r="AX121" s="380" t="e">
        <f t="shared" si="41"/>
        <v>#DIV/0!</v>
      </c>
      <c r="AY121" s="380" t="e">
        <f t="shared" si="41"/>
        <v>#DIV/0!</v>
      </c>
      <c r="AZ121" s="380" t="e">
        <f t="shared" si="41"/>
        <v>#DIV/0!</v>
      </c>
      <c r="BA121" s="380" t="e">
        <f t="shared" si="41"/>
        <v>#DIV/0!</v>
      </c>
      <c r="BB121" s="380" t="e">
        <f t="shared" si="41"/>
        <v>#DIV/0!</v>
      </c>
      <c r="BC121" s="380" t="e">
        <f t="shared" si="41"/>
        <v>#DIV/0!</v>
      </c>
      <c r="BD121" s="380" t="e">
        <f t="shared" si="41"/>
        <v>#DIV/0!</v>
      </c>
      <c r="BE121" s="380" t="e">
        <f t="shared" si="41"/>
        <v>#DIV/0!</v>
      </c>
      <c r="BF121" s="380" t="e">
        <f t="shared" si="41"/>
        <v>#DIV/0!</v>
      </c>
      <c r="BG121" s="380" t="e">
        <f t="shared" si="41"/>
        <v>#DIV/0!</v>
      </c>
      <c r="BH121" s="380" t="e">
        <f t="shared" si="41"/>
        <v>#DIV/0!</v>
      </c>
      <c r="BI121" s="380" t="e">
        <f t="shared" si="41"/>
        <v>#DIV/0!</v>
      </c>
      <c r="BJ121" s="380" t="e">
        <f t="shared" si="41"/>
        <v>#DIV/0!</v>
      </c>
      <c r="BK121" s="380" t="e">
        <f t="shared" si="41"/>
        <v>#DIV/0!</v>
      </c>
      <c r="BL121" s="380" t="e">
        <f t="shared" si="41"/>
        <v>#DIV/0!</v>
      </c>
      <c r="BM121" s="380" t="e">
        <f t="shared" si="41"/>
        <v>#DIV/0!</v>
      </c>
      <c r="BN121" s="380" t="e">
        <f t="shared" si="41"/>
        <v>#DIV/0!</v>
      </c>
      <c r="BO121" s="380" t="e">
        <f t="shared" si="41"/>
        <v>#DIV/0!</v>
      </c>
      <c r="BP121" s="380" t="e">
        <f t="shared" si="41"/>
        <v>#DIV/0!</v>
      </c>
      <c r="BQ121" s="380" t="e">
        <f t="shared" si="41"/>
        <v>#DIV/0!</v>
      </c>
      <c r="BR121" s="380" t="e">
        <f t="shared" si="42"/>
        <v>#DIV/0!</v>
      </c>
      <c r="BS121" s="380" t="e">
        <f t="shared" si="42"/>
        <v>#DIV/0!</v>
      </c>
      <c r="BT121" s="380" t="e">
        <f t="shared" si="42"/>
        <v>#DIV/0!</v>
      </c>
      <c r="BU121" s="380" t="e">
        <f t="shared" si="42"/>
        <v>#DIV/0!</v>
      </c>
      <c r="BV121" s="380" t="e">
        <f t="shared" si="42"/>
        <v>#DIV/0!</v>
      </c>
      <c r="BW121" s="380" t="e">
        <f t="shared" si="42"/>
        <v>#DIV/0!</v>
      </c>
      <c r="BX121" s="380" t="e">
        <f t="shared" si="42"/>
        <v>#DIV/0!</v>
      </c>
      <c r="BY121" s="380" t="e">
        <f t="shared" si="42"/>
        <v>#DIV/0!</v>
      </c>
      <c r="BZ121" s="380" t="e">
        <f t="shared" si="42"/>
        <v>#DIV/0!</v>
      </c>
      <c r="CA121" s="380" t="e">
        <f t="shared" si="42"/>
        <v>#DIV/0!</v>
      </c>
      <c r="CB121" s="380" t="e">
        <f t="shared" si="42"/>
        <v>#DIV/0!</v>
      </c>
      <c r="CC121" s="380" t="e">
        <f t="shared" si="42"/>
        <v>#DIV/0!</v>
      </c>
      <c r="CD121" s="380" t="e">
        <f t="shared" si="42"/>
        <v>#DIV/0!</v>
      </c>
      <c r="CE121" s="380" t="e">
        <f t="shared" si="42"/>
        <v>#DIV/0!</v>
      </c>
      <c r="CF121" s="380" t="e">
        <f t="shared" si="42"/>
        <v>#DIV/0!</v>
      </c>
    </row>
    <row r="122" spans="1:84">
      <c r="D122" s="380" t="s">
        <v>91</v>
      </c>
      <c r="E122" s="380" t="e">
        <f>(($E$14*($E37))+($E$15*($F37))+($E$16*($G37)))*E115</f>
        <v>#DIV/0!</v>
      </c>
      <c r="F122" s="380" t="e">
        <f t="shared" ref="F122:BQ123" si="44">(($E$14*($E37))+($E$15*($F37))+($E$16*($G37)))*F115</f>
        <v>#DIV/0!</v>
      </c>
      <c r="G122" s="380" t="e">
        <f t="shared" si="44"/>
        <v>#DIV/0!</v>
      </c>
      <c r="H122" s="380" t="e">
        <f t="shared" si="44"/>
        <v>#DIV/0!</v>
      </c>
      <c r="I122" s="380" t="e">
        <f t="shared" si="44"/>
        <v>#DIV/0!</v>
      </c>
      <c r="J122" s="380" t="e">
        <f t="shared" si="44"/>
        <v>#DIV/0!</v>
      </c>
      <c r="K122" s="380" t="e">
        <f t="shared" si="44"/>
        <v>#DIV/0!</v>
      </c>
      <c r="L122" s="380" t="e">
        <f t="shared" si="44"/>
        <v>#DIV/0!</v>
      </c>
      <c r="M122" s="380" t="e">
        <f t="shared" si="44"/>
        <v>#DIV/0!</v>
      </c>
      <c r="N122" s="380" t="e">
        <f t="shared" si="44"/>
        <v>#DIV/0!</v>
      </c>
      <c r="O122" s="380" t="e">
        <f t="shared" si="44"/>
        <v>#DIV/0!</v>
      </c>
      <c r="P122" s="380" t="e">
        <f t="shared" si="44"/>
        <v>#DIV/0!</v>
      </c>
      <c r="Q122" s="380" t="e">
        <f t="shared" si="44"/>
        <v>#DIV/0!</v>
      </c>
      <c r="R122" s="380" t="e">
        <f t="shared" si="44"/>
        <v>#DIV/0!</v>
      </c>
      <c r="S122" s="380" t="e">
        <f t="shared" si="44"/>
        <v>#DIV/0!</v>
      </c>
      <c r="T122" s="380" t="e">
        <f t="shared" si="44"/>
        <v>#DIV/0!</v>
      </c>
      <c r="U122" s="380" t="e">
        <f t="shared" si="44"/>
        <v>#DIV/0!</v>
      </c>
      <c r="V122" s="380" t="e">
        <f t="shared" si="44"/>
        <v>#DIV/0!</v>
      </c>
      <c r="W122" s="380" t="e">
        <f t="shared" si="44"/>
        <v>#DIV/0!</v>
      </c>
      <c r="X122" s="380" t="e">
        <f t="shared" si="44"/>
        <v>#DIV/0!</v>
      </c>
      <c r="Y122" s="380" t="e">
        <f t="shared" si="44"/>
        <v>#DIV/0!</v>
      </c>
      <c r="Z122" s="380" t="e">
        <f t="shared" si="44"/>
        <v>#DIV/0!</v>
      </c>
      <c r="AA122" s="380" t="e">
        <f t="shared" si="44"/>
        <v>#DIV/0!</v>
      </c>
      <c r="AB122" s="380" t="e">
        <f t="shared" si="44"/>
        <v>#DIV/0!</v>
      </c>
      <c r="AC122" s="380" t="e">
        <f t="shared" si="44"/>
        <v>#DIV/0!</v>
      </c>
      <c r="AD122" s="380" t="e">
        <f t="shared" si="44"/>
        <v>#DIV/0!</v>
      </c>
      <c r="AE122" s="380" t="e">
        <f t="shared" si="44"/>
        <v>#DIV/0!</v>
      </c>
      <c r="AF122" s="380" t="e">
        <f t="shared" si="44"/>
        <v>#DIV/0!</v>
      </c>
      <c r="AG122" s="380" t="e">
        <f t="shared" si="44"/>
        <v>#DIV/0!</v>
      </c>
      <c r="AH122" s="380" t="e">
        <f t="shared" si="44"/>
        <v>#DIV/0!</v>
      </c>
      <c r="AI122" s="380" t="e">
        <f t="shared" si="44"/>
        <v>#DIV/0!</v>
      </c>
      <c r="AJ122" s="380" t="e">
        <f t="shared" si="44"/>
        <v>#DIV/0!</v>
      </c>
      <c r="AK122" s="380" t="e">
        <f t="shared" si="44"/>
        <v>#DIV/0!</v>
      </c>
      <c r="AL122" s="380" t="e">
        <f t="shared" si="44"/>
        <v>#DIV/0!</v>
      </c>
      <c r="AM122" s="380" t="e">
        <f t="shared" si="44"/>
        <v>#DIV/0!</v>
      </c>
      <c r="AN122" s="380" t="e">
        <f t="shared" si="44"/>
        <v>#DIV/0!</v>
      </c>
      <c r="AO122" s="380" t="e">
        <f t="shared" si="44"/>
        <v>#DIV/0!</v>
      </c>
      <c r="AP122" s="380" t="e">
        <f t="shared" si="44"/>
        <v>#DIV/0!</v>
      </c>
      <c r="AQ122" s="380" t="e">
        <f t="shared" si="44"/>
        <v>#DIV/0!</v>
      </c>
      <c r="AR122" s="380" t="e">
        <f t="shared" si="44"/>
        <v>#DIV/0!</v>
      </c>
      <c r="AS122" s="380" t="e">
        <f t="shared" si="44"/>
        <v>#DIV/0!</v>
      </c>
      <c r="AT122" s="380" t="e">
        <f t="shared" si="44"/>
        <v>#DIV/0!</v>
      </c>
      <c r="AU122" s="380" t="e">
        <f t="shared" si="44"/>
        <v>#DIV/0!</v>
      </c>
      <c r="AV122" s="380" t="e">
        <f t="shared" si="44"/>
        <v>#DIV/0!</v>
      </c>
      <c r="AW122" s="380" t="e">
        <f t="shared" si="44"/>
        <v>#DIV/0!</v>
      </c>
      <c r="AX122" s="380" t="e">
        <f t="shared" si="44"/>
        <v>#DIV/0!</v>
      </c>
      <c r="AY122" s="380" t="e">
        <f t="shared" si="44"/>
        <v>#DIV/0!</v>
      </c>
      <c r="AZ122" s="380" t="e">
        <f t="shared" si="44"/>
        <v>#DIV/0!</v>
      </c>
      <c r="BA122" s="380" t="e">
        <f t="shared" si="44"/>
        <v>#DIV/0!</v>
      </c>
      <c r="BB122" s="380" t="e">
        <f t="shared" si="44"/>
        <v>#DIV/0!</v>
      </c>
      <c r="BC122" s="380" t="e">
        <f t="shared" si="44"/>
        <v>#DIV/0!</v>
      </c>
      <c r="BD122" s="380" t="e">
        <f t="shared" si="44"/>
        <v>#DIV/0!</v>
      </c>
      <c r="BE122" s="380" t="e">
        <f t="shared" si="44"/>
        <v>#DIV/0!</v>
      </c>
      <c r="BF122" s="380" t="e">
        <f t="shared" si="44"/>
        <v>#DIV/0!</v>
      </c>
      <c r="BG122" s="380" t="e">
        <f t="shared" si="44"/>
        <v>#DIV/0!</v>
      </c>
      <c r="BH122" s="380" t="e">
        <f t="shared" si="44"/>
        <v>#DIV/0!</v>
      </c>
      <c r="BI122" s="380" t="e">
        <f t="shared" si="44"/>
        <v>#DIV/0!</v>
      </c>
      <c r="BJ122" s="380" t="e">
        <f t="shared" si="44"/>
        <v>#DIV/0!</v>
      </c>
      <c r="BK122" s="380" t="e">
        <f t="shared" si="44"/>
        <v>#DIV/0!</v>
      </c>
      <c r="BL122" s="380" t="e">
        <f t="shared" si="44"/>
        <v>#DIV/0!</v>
      </c>
      <c r="BM122" s="380" t="e">
        <f t="shared" si="44"/>
        <v>#DIV/0!</v>
      </c>
      <c r="BN122" s="380" t="e">
        <f t="shared" si="44"/>
        <v>#DIV/0!</v>
      </c>
      <c r="BO122" s="380" t="e">
        <f t="shared" si="44"/>
        <v>#DIV/0!</v>
      </c>
      <c r="BP122" s="380" t="e">
        <f t="shared" si="44"/>
        <v>#DIV/0!</v>
      </c>
      <c r="BQ122" s="380" t="e">
        <f t="shared" si="44"/>
        <v>#DIV/0!</v>
      </c>
      <c r="BR122" s="380" t="e">
        <f t="shared" si="42"/>
        <v>#DIV/0!</v>
      </c>
      <c r="BS122" s="380" t="e">
        <f t="shared" si="42"/>
        <v>#DIV/0!</v>
      </c>
      <c r="BT122" s="380" t="e">
        <f t="shared" si="42"/>
        <v>#DIV/0!</v>
      </c>
      <c r="BU122" s="380" t="e">
        <f t="shared" si="42"/>
        <v>#DIV/0!</v>
      </c>
      <c r="BV122" s="380" t="e">
        <f t="shared" si="42"/>
        <v>#DIV/0!</v>
      </c>
      <c r="BW122" s="380" t="e">
        <f t="shared" si="42"/>
        <v>#DIV/0!</v>
      </c>
      <c r="BX122" s="380" t="e">
        <f t="shared" si="42"/>
        <v>#DIV/0!</v>
      </c>
      <c r="BY122" s="380" t="e">
        <f t="shared" si="42"/>
        <v>#DIV/0!</v>
      </c>
      <c r="BZ122" s="380" t="e">
        <f t="shared" si="42"/>
        <v>#DIV/0!</v>
      </c>
      <c r="CA122" s="380" t="e">
        <f t="shared" si="42"/>
        <v>#DIV/0!</v>
      </c>
      <c r="CB122" s="380" t="e">
        <f t="shared" si="42"/>
        <v>#DIV/0!</v>
      </c>
      <c r="CC122" s="380" t="e">
        <f t="shared" si="42"/>
        <v>#DIV/0!</v>
      </c>
      <c r="CD122" s="380" t="e">
        <f t="shared" si="42"/>
        <v>#DIV/0!</v>
      </c>
      <c r="CE122" s="380" t="e">
        <f t="shared" si="42"/>
        <v>#DIV/0!</v>
      </c>
      <c r="CF122" s="380" t="e">
        <f t="shared" si="42"/>
        <v>#DIV/0!</v>
      </c>
    </row>
    <row r="123" spans="1:84">
      <c r="D123" s="380" t="s">
        <v>93</v>
      </c>
      <c r="E123" s="380" t="e">
        <f>(($E$14*($E38))+($E$15*($F38))+($E$16*($G38)))*E116</f>
        <v>#DIV/0!</v>
      </c>
      <c r="F123" s="380" t="e">
        <f t="shared" si="44"/>
        <v>#DIV/0!</v>
      </c>
      <c r="G123" s="380" t="e">
        <f t="shared" si="44"/>
        <v>#DIV/0!</v>
      </c>
      <c r="H123" s="380" t="e">
        <f t="shared" si="44"/>
        <v>#DIV/0!</v>
      </c>
      <c r="I123" s="380" t="e">
        <f t="shared" si="44"/>
        <v>#DIV/0!</v>
      </c>
      <c r="J123" s="380" t="e">
        <f t="shared" si="44"/>
        <v>#DIV/0!</v>
      </c>
      <c r="K123" s="380" t="e">
        <f t="shared" si="44"/>
        <v>#DIV/0!</v>
      </c>
      <c r="L123" s="380" t="e">
        <f t="shared" si="44"/>
        <v>#DIV/0!</v>
      </c>
      <c r="M123" s="380" t="e">
        <f t="shared" si="44"/>
        <v>#DIV/0!</v>
      </c>
      <c r="N123" s="380" t="e">
        <f t="shared" si="44"/>
        <v>#DIV/0!</v>
      </c>
      <c r="O123" s="380" t="e">
        <f t="shared" si="44"/>
        <v>#DIV/0!</v>
      </c>
      <c r="P123" s="380" t="e">
        <f t="shared" si="44"/>
        <v>#DIV/0!</v>
      </c>
      <c r="Q123" s="380" t="e">
        <f t="shared" si="44"/>
        <v>#DIV/0!</v>
      </c>
      <c r="R123" s="380" t="e">
        <f t="shared" si="44"/>
        <v>#DIV/0!</v>
      </c>
      <c r="S123" s="380" t="e">
        <f t="shared" si="44"/>
        <v>#DIV/0!</v>
      </c>
      <c r="T123" s="380" t="e">
        <f t="shared" si="44"/>
        <v>#DIV/0!</v>
      </c>
      <c r="U123" s="380" t="e">
        <f t="shared" si="44"/>
        <v>#DIV/0!</v>
      </c>
      <c r="V123" s="380" t="e">
        <f t="shared" si="44"/>
        <v>#DIV/0!</v>
      </c>
      <c r="W123" s="380" t="e">
        <f t="shared" si="44"/>
        <v>#DIV/0!</v>
      </c>
      <c r="X123" s="380" t="e">
        <f t="shared" si="44"/>
        <v>#DIV/0!</v>
      </c>
      <c r="Y123" s="380" t="e">
        <f t="shared" si="44"/>
        <v>#DIV/0!</v>
      </c>
      <c r="Z123" s="380" t="e">
        <f t="shared" si="44"/>
        <v>#DIV/0!</v>
      </c>
      <c r="AA123" s="380" t="e">
        <f t="shared" si="44"/>
        <v>#DIV/0!</v>
      </c>
      <c r="AB123" s="380" t="e">
        <f t="shared" si="44"/>
        <v>#DIV/0!</v>
      </c>
      <c r="AC123" s="380" t="e">
        <f t="shared" si="44"/>
        <v>#DIV/0!</v>
      </c>
      <c r="AD123" s="380" t="e">
        <f t="shared" si="44"/>
        <v>#DIV/0!</v>
      </c>
      <c r="AE123" s="380" t="e">
        <f t="shared" si="44"/>
        <v>#DIV/0!</v>
      </c>
      <c r="AF123" s="380" t="e">
        <f t="shared" si="44"/>
        <v>#DIV/0!</v>
      </c>
      <c r="AG123" s="380" t="e">
        <f t="shared" si="44"/>
        <v>#DIV/0!</v>
      </c>
      <c r="AH123" s="380" t="e">
        <f t="shared" si="44"/>
        <v>#DIV/0!</v>
      </c>
      <c r="AI123" s="380" t="e">
        <f t="shared" si="44"/>
        <v>#DIV/0!</v>
      </c>
      <c r="AJ123" s="380" t="e">
        <f t="shared" si="44"/>
        <v>#DIV/0!</v>
      </c>
      <c r="AK123" s="380" t="e">
        <f t="shared" si="44"/>
        <v>#DIV/0!</v>
      </c>
      <c r="AL123" s="380" t="e">
        <f t="shared" si="44"/>
        <v>#DIV/0!</v>
      </c>
      <c r="AM123" s="380" t="e">
        <f t="shared" si="44"/>
        <v>#DIV/0!</v>
      </c>
      <c r="AN123" s="380" t="e">
        <f t="shared" si="44"/>
        <v>#DIV/0!</v>
      </c>
      <c r="AO123" s="380" t="e">
        <f t="shared" si="44"/>
        <v>#DIV/0!</v>
      </c>
      <c r="AP123" s="380" t="e">
        <f t="shared" si="44"/>
        <v>#DIV/0!</v>
      </c>
      <c r="AQ123" s="380" t="e">
        <f t="shared" si="44"/>
        <v>#DIV/0!</v>
      </c>
      <c r="AR123" s="380" t="e">
        <f t="shared" si="44"/>
        <v>#DIV/0!</v>
      </c>
      <c r="AS123" s="380" t="e">
        <f t="shared" si="44"/>
        <v>#DIV/0!</v>
      </c>
      <c r="AT123" s="380" t="e">
        <f t="shared" si="44"/>
        <v>#DIV/0!</v>
      </c>
      <c r="AU123" s="380" t="e">
        <f t="shared" si="44"/>
        <v>#DIV/0!</v>
      </c>
      <c r="AV123" s="380" t="e">
        <f t="shared" si="44"/>
        <v>#DIV/0!</v>
      </c>
      <c r="AW123" s="380" t="e">
        <f t="shared" si="44"/>
        <v>#DIV/0!</v>
      </c>
      <c r="AX123" s="380" t="e">
        <f t="shared" si="44"/>
        <v>#DIV/0!</v>
      </c>
      <c r="AY123" s="380" t="e">
        <f t="shared" si="44"/>
        <v>#DIV/0!</v>
      </c>
      <c r="AZ123" s="380" t="e">
        <f t="shared" si="44"/>
        <v>#DIV/0!</v>
      </c>
      <c r="BA123" s="380" t="e">
        <f t="shared" si="44"/>
        <v>#DIV/0!</v>
      </c>
      <c r="BB123" s="380" t="e">
        <f t="shared" si="44"/>
        <v>#DIV/0!</v>
      </c>
      <c r="BC123" s="380" t="e">
        <f t="shared" si="44"/>
        <v>#DIV/0!</v>
      </c>
      <c r="BD123" s="380" t="e">
        <f t="shared" si="44"/>
        <v>#DIV/0!</v>
      </c>
      <c r="BE123" s="380" t="e">
        <f t="shared" si="44"/>
        <v>#DIV/0!</v>
      </c>
      <c r="BF123" s="380" t="e">
        <f t="shared" si="44"/>
        <v>#DIV/0!</v>
      </c>
      <c r="BG123" s="380" t="e">
        <f t="shared" si="44"/>
        <v>#DIV/0!</v>
      </c>
      <c r="BH123" s="380" t="e">
        <f t="shared" si="44"/>
        <v>#DIV/0!</v>
      </c>
      <c r="BI123" s="380" t="e">
        <f t="shared" si="44"/>
        <v>#DIV/0!</v>
      </c>
      <c r="BJ123" s="380" t="e">
        <f t="shared" si="44"/>
        <v>#DIV/0!</v>
      </c>
      <c r="BK123" s="380" t="e">
        <f t="shared" si="44"/>
        <v>#DIV/0!</v>
      </c>
      <c r="BL123" s="380" t="e">
        <f t="shared" si="44"/>
        <v>#DIV/0!</v>
      </c>
      <c r="BM123" s="380" t="e">
        <f t="shared" si="44"/>
        <v>#DIV/0!</v>
      </c>
      <c r="BN123" s="380" t="e">
        <f t="shared" si="44"/>
        <v>#DIV/0!</v>
      </c>
      <c r="BO123" s="380" t="e">
        <f t="shared" si="44"/>
        <v>#DIV/0!</v>
      </c>
      <c r="BP123" s="380" t="e">
        <f t="shared" si="44"/>
        <v>#DIV/0!</v>
      </c>
      <c r="BQ123" s="380" t="e">
        <f t="shared" si="44"/>
        <v>#DIV/0!</v>
      </c>
      <c r="BR123" s="380" t="e">
        <f t="shared" si="42"/>
        <v>#DIV/0!</v>
      </c>
      <c r="BS123" s="380" t="e">
        <f t="shared" si="42"/>
        <v>#DIV/0!</v>
      </c>
      <c r="BT123" s="380" t="e">
        <f t="shared" si="42"/>
        <v>#DIV/0!</v>
      </c>
      <c r="BU123" s="380" t="e">
        <f t="shared" si="42"/>
        <v>#DIV/0!</v>
      </c>
      <c r="BV123" s="380" t="e">
        <f t="shared" si="42"/>
        <v>#DIV/0!</v>
      </c>
      <c r="BW123" s="380" t="e">
        <f t="shared" si="42"/>
        <v>#DIV/0!</v>
      </c>
      <c r="BX123" s="380" t="e">
        <f t="shared" si="42"/>
        <v>#DIV/0!</v>
      </c>
      <c r="BY123" s="380" t="e">
        <f t="shared" si="42"/>
        <v>#DIV/0!</v>
      </c>
      <c r="BZ123" s="380" t="e">
        <f t="shared" si="42"/>
        <v>#DIV/0!</v>
      </c>
      <c r="CA123" s="380" t="e">
        <f t="shared" si="42"/>
        <v>#DIV/0!</v>
      </c>
      <c r="CB123" s="380" t="e">
        <f t="shared" si="42"/>
        <v>#DIV/0!</v>
      </c>
      <c r="CC123" s="380" t="e">
        <f t="shared" si="42"/>
        <v>#DIV/0!</v>
      </c>
      <c r="CD123" s="380" t="e">
        <f t="shared" si="42"/>
        <v>#DIV/0!</v>
      </c>
      <c r="CE123" s="380" t="e">
        <f t="shared" si="42"/>
        <v>#DIV/0!</v>
      </c>
      <c r="CF123" s="380" t="e">
        <f t="shared" si="42"/>
        <v>#DIV/0!</v>
      </c>
    </row>
    <row r="125" spans="1:84">
      <c r="C125" s="360" t="s">
        <v>269</v>
      </c>
    </row>
    <row r="126" spans="1:84" s="379" customFormat="1">
      <c r="D126" s="730"/>
      <c r="E126" s="731">
        <v>2010</v>
      </c>
      <c r="F126" s="732">
        <v>2011</v>
      </c>
      <c r="G126" s="732">
        <v>2012</v>
      </c>
      <c r="H126" s="732">
        <v>2013</v>
      </c>
      <c r="I126" s="732">
        <v>2014</v>
      </c>
      <c r="J126" s="732">
        <v>2015</v>
      </c>
      <c r="K126" s="732">
        <v>2016</v>
      </c>
      <c r="L126" s="732">
        <v>2017</v>
      </c>
      <c r="M126" s="732">
        <v>2018</v>
      </c>
      <c r="N126" s="732">
        <v>2019</v>
      </c>
      <c r="O126" s="732">
        <v>2020</v>
      </c>
      <c r="P126" s="732">
        <v>2021</v>
      </c>
      <c r="Q126" s="732">
        <v>2022</v>
      </c>
      <c r="R126" s="732">
        <v>2023</v>
      </c>
      <c r="S126" s="732">
        <v>2024</v>
      </c>
      <c r="T126" s="732">
        <v>2025</v>
      </c>
      <c r="U126" s="732">
        <v>2026</v>
      </c>
      <c r="V126" s="732">
        <v>2027</v>
      </c>
      <c r="W126" s="732">
        <v>2028</v>
      </c>
      <c r="X126" s="732">
        <v>2029</v>
      </c>
      <c r="Y126" s="732">
        <v>2030</v>
      </c>
      <c r="Z126" s="732">
        <v>2031</v>
      </c>
      <c r="AA126" s="732">
        <v>2032</v>
      </c>
      <c r="AB126" s="732">
        <v>2033</v>
      </c>
      <c r="AC126" s="732">
        <v>2034</v>
      </c>
      <c r="AD126" s="732">
        <v>2035</v>
      </c>
      <c r="AE126" s="732">
        <v>2036</v>
      </c>
      <c r="AF126" s="732">
        <v>2037</v>
      </c>
      <c r="AG126" s="732">
        <v>2038</v>
      </c>
      <c r="AH126" s="732">
        <v>2039</v>
      </c>
      <c r="AI126" s="732">
        <v>2040</v>
      </c>
      <c r="AJ126" s="732">
        <v>2041</v>
      </c>
      <c r="AK126" s="732">
        <v>2042</v>
      </c>
      <c r="AL126" s="732">
        <v>2043</v>
      </c>
      <c r="AM126" s="732">
        <v>2044</v>
      </c>
      <c r="AN126" s="732">
        <v>2045</v>
      </c>
      <c r="AO126" s="732">
        <v>2046</v>
      </c>
      <c r="AP126" s="732">
        <v>2047</v>
      </c>
      <c r="AQ126" s="732">
        <v>2048</v>
      </c>
      <c r="AR126" s="732">
        <v>2049</v>
      </c>
      <c r="AS126" s="732">
        <v>2050</v>
      </c>
      <c r="AT126" s="732">
        <v>2051</v>
      </c>
      <c r="AU126" s="732">
        <v>2052</v>
      </c>
      <c r="AV126" s="732">
        <v>2053</v>
      </c>
      <c r="AW126" s="732">
        <v>2054</v>
      </c>
      <c r="AX126" s="732">
        <v>2055</v>
      </c>
      <c r="AY126" s="732">
        <v>2056</v>
      </c>
      <c r="AZ126" s="732">
        <v>2057</v>
      </c>
      <c r="BA126" s="732">
        <v>2058</v>
      </c>
      <c r="BB126" s="732">
        <v>2059</v>
      </c>
      <c r="BC126" s="732">
        <v>2060</v>
      </c>
      <c r="BD126" s="732">
        <v>2061</v>
      </c>
      <c r="BE126" s="732">
        <v>2062</v>
      </c>
      <c r="BF126" s="732">
        <v>2063</v>
      </c>
      <c r="BG126" s="732">
        <v>2064</v>
      </c>
      <c r="BH126" s="732">
        <v>2065</v>
      </c>
      <c r="BI126" s="732">
        <v>2066</v>
      </c>
      <c r="BJ126" s="732">
        <v>2067</v>
      </c>
      <c r="BK126" s="732">
        <v>2068</v>
      </c>
      <c r="BL126" s="732">
        <v>2069</v>
      </c>
      <c r="BM126" s="732">
        <v>2070</v>
      </c>
      <c r="BN126" s="732">
        <v>2071</v>
      </c>
      <c r="BO126" s="732">
        <v>2072</v>
      </c>
      <c r="BP126" s="732">
        <v>2073</v>
      </c>
      <c r="BQ126" s="732">
        <v>2074</v>
      </c>
      <c r="BR126" s="732">
        <v>2075</v>
      </c>
      <c r="BS126" s="732">
        <v>2076</v>
      </c>
      <c r="BT126" s="732">
        <v>2077</v>
      </c>
      <c r="BU126" s="732">
        <v>2078</v>
      </c>
      <c r="BV126" s="732">
        <v>2079</v>
      </c>
      <c r="BW126" s="732">
        <v>2080</v>
      </c>
      <c r="BX126" s="732">
        <v>2081</v>
      </c>
      <c r="BY126" s="732">
        <v>2082</v>
      </c>
      <c r="BZ126" s="732">
        <v>2083</v>
      </c>
      <c r="CA126" s="732">
        <v>2084</v>
      </c>
      <c r="CB126" s="732">
        <v>2085</v>
      </c>
      <c r="CC126" s="732">
        <v>2086</v>
      </c>
      <c r="CD126" s="732">
        <v>2087</v>
      </c>
      <c r="CE126" s="732">
        <v>2088</v>
      </c>
      <c r="CF126" s="732">
        <v>2089</v>
      </c>
    </row>
    <row r="127" spans="1:84">
      <c r="D127" s="380" t="s">
        <v>87</v>
      </c>
      <c r="E127" s="380" t="e">
        <f>E120+E99</f>
        <v>#DIV/0!</v>
      </c>
      <c r="F127" s="380" t="e">
        <f t="shared" ref="F127:BQ127" si="45">F120+F99</f>
        <v>#DIV/0!</v>
      </c>
      <c r="G127" s="380" t="e">
        <f t="shared" si="45"/>
        <v>#DIV/0!</v>
      </c>
      <c r="H127" s="380" t="e">
        <f t="shared" si="45"/>
        <v>#DIV/0!</v>
      </c>
      <c r="I127" s="380" t="e">
        <f t="shared" si="45"/>
        <v>#DIV/0!</v>
      </c>
      <c r="J127" s="380" t="e">
        <f t="shared" si="45"/>
        <v>#DIV/0!</v>
      </c>
      <c r="K127" s="380" t="e">
        <f t="shared" si="45"/>
        <v>#DIV/0!</v>
      </c>
      <c r="L127" s="380" t="e">
        <f t="shared" si="45"/>
        <v>#DIV/0!</v>
      </c>
      <c r="M127" s="380" t="e">
        <f t="shared" si="45"/>
        <v>#DIV/0!</v>
      </c>
      <c r="N127" s="380" t="e">
        <f t="shared" si="45"/>
        <v>#DIV/0!</v>
      </c>
      <c r="O127" s="380" t="e">
        <f t="shared" si="45"/>
        <v>#DIV/0!</v>
      </c>
      <c r="P127" s="380" t="e">
        <f t="shared" si="45"/>
        <v>#DIV/0!</v>
      </c>
      <c r="Q127" s="380" t="e">
        <f t="shared" si="45"/>
        <v>#DIV/0!</v>
      </c>
      <c r="R127" s="380" t="e">
        <f t="shared" si="45"/>
        <v>#DIV/0!</v>
      </c>
      <c r="S127" s="380" t="e">
        <f t="shared" si="45"/>
        <v>#DIV/0!</v>
      </c>
      <c r="T127" s="380" t="e">
        <f t="shared" si="45"/>
        <v>#DIV/0!</v>
      </c>
      <c r="U127" s="380" t="e">
        <f t="shared" si="45"/>
        <v>#DIV/0!</v>
      </c>
      <c r="V127" s="380" t="e">
        <f t="shared" si="45"/>
        <v>#DIV/0!</v>
      </c>
      <c r="W127" s="380" t="e">
        <f t="shared" si="45"/>
        <v>#DIV/0!</v>
      </c>
      <c r="X127" s="380" t="e">
        <f t="shared" si="45"/>
        <v>#DIV/0!</v>
      </c>
      <c r="Y127" s="380" t="e">
        <f t="shared" si="45"/>
        <v>#DIV/0!</v>
      </c>
      <c r="Z127" s="380" t="e">
        <f t="shared" si="45"/>
        <v>#DIV/0!</v>
      </c>
      <c r="AA127" s="380" t="e">
        <f t="shared" si="45"/>
        <v>#DIV/0!</v>
      </c>
      <c r="AB127" s="380" t="e">
        <f t="shared" si="45"/>
        <v>#DIV/0!</v>
      </c>
      <c r="AC127" s="380" t="e">
        <f t="shared" si="45"/>
        <v>#DIV/0!</v>
      </c>
      <c r="AD127" s="380" t="e">
        <f t="shared" si="45"/>
        <v>#DIV/0!</v>
      </c>
      <c r="AE127" s="380" t="e">
        <f t="shared" si="45"/>
        <v>#DIV/0!</v>
      </c>
      <c r="AF127" s="380" t="e">
        <f t="shared" si="45"/>
        <v>#DIV/0!</v>
      </c>
      <c r="AG127" s="380" t="e">
        <f t="shared" si="45"/>
        <v>#DIV/0!</v>
      </c>
      <c r="AH127" s="380" t="e">
        <f t="shared" si="45"/>
        <v>#DIV/0!</v>
      </c>
      <c r="AI127" s="380" t="e">
        <f t="shared" si="45"/>
        <v>#DIV/0!</v>
      </c>
      <c r="AJ127" s="380" t="e">
        <f t="shared" si="45"/>
        <v>#DIV/0!</v>
      </c>
      <c r="AK127" s="380" t="e">
        <f t="shared" si="45"/>
        <v>#DIV/0!</v>
      </c>
      <c r="AL127" s="380" t="e">
        <f t="shared" si="45"/>
        <v>#DIV/0!</v>
      </c>
      <c r="AM127" s="380" t="e">
        <f t="shared" si="45"/>
        <v>#DIV/0!</v>
      </c>
      <c r="AN127" s="380" t="e">
        <f t="shared" si="45"/>
        <v>#DIV/0!</v>
      </c>
      <c r="AO127" s="380" t="e">
        <f t="shared" si="45"/>
        <v>#DIV/0!</v>
      </c>
      <c r="AP127" s="380" t="e">
        <f t="shared" si="45"/>
        <v>#DIV/0!</v>
      </c>
      <c r="AQ127" s="380" t="e">
        <f t="shared" si="45"/>
        <v>#DIV/0!</v>
      </c>
      <c r="AR127" s="380" t="e">
        <f t="shared" si="45"/>
        <v>#DIV/0!</v>
      </c>
      <c r="AS127" s="380" t="e">
        <f t="shared" si="45"/>
        <v>#DIV/0!</v>
      </c>
      <c r="AT127" s="380" t="e">
        <f t="shared" si="45"/>
        <v>#DIV/0!</v>
      </c>
      <c r="AU127" s="380" t="e">
        <f t="shared" si="45"/>
        <v>#DIV/0!</v>
      </c>
      <c r="AV127" s="380" t="e">
        <f t="shared" si="45"/>
        <v>#DIV/0!</v>
      </c>
      <c r="AW127" s="380" t="e">
        <f t="shared" si="45"/>
        <v>#DIV/0!</v>
      </c>
      <c r="AX127" s="380" t="e">
        <f t="shared" si="45"/>
        <v>#DIV/0!</v>
      </c>
      <c r="AY127" s="380" t="e">
        <f t="shared" si="45"/>
        <v>#DIV/0!</v>
      </c>
      <c r="AZ127" s="380" t="e">
        <f t="shared" si="45"/>
        <v>#DIV/0!</v>
      </c>
      <c r="BA127" s="380" t="e">
        <f t="shared" si="45"/>
        <v>#DIV/0!</v>
      </c>
      <c r="BB127" s="380" t="e">
        <f t="shared" si="45"/>
        <v>#DIV/0!</v>
      </c>
      <c r="BC127" s="380" t="e">
        <f t="shared" si="45"/>
        <v>#DIV/0!</v>
      </c>
      <c r="BD127" s="380" t="e">
        <f t="shared" si="45"/>
        <v>#DIV/0!</v>
      </c>
      <c r="BE127" s="380" t="e">
        <f t="shared" si="45"/>
        <v>#DIV/0!</v>
      </c>
      <c r="BF127" s="380" t="e">
        <f t="shared" si="45"/>
        <v>#DIV/0!</v>
      </c>
      <c r="BG127" s="380" t="e">
        <f t="shared" si="45"/>
        <v>#DIV/0!</v>
      </c>
      <c r="BH127" s="380" t="e">
        <f t="shared" si="45"/>
        <v>#DIV/0!</v>
      </c>
      <c r="BI127" s="380" t="e">
        <f t="shared" si="45"/>
        <v>#DIV/0!</v>
      </c>
      <c r="BJ127" s="380" t="e">
        <f t="shared" si="45"/>
        <v>#DIV/0!</v>
      </c>
      <c r="BK127" s="380" t="e">
        <f t="shared" si="45"/>
        <v>#DIV/0!</v>
      </c>
      <c r="BL127" s="380" t="e">
        <f t="shared" si="45"/>
        <v>#DIV/0!</v>
      </c>
      <c r="BM127" s="380" t="e">
        <f t="shared" si="45"/>
        <v>#DIV/0!</v>
      </c>
      <c r="BN127" s="380" t="e">
        <f t="shared" si="45"/>
        <v>#DIV/0!</v>
      </c>
      <c r="BO127" s="380" t="e">
        <f t="shared" si="45"/>
        <v>#DIV/0!</v>
      </c>
      <c r="BP127" s="380" t="e">
        <f t="shared" si="45"/>
        <v>#DIV/0!</v>
      </c>
      <c r="BQ127" s="380" t="e">
        <f t="shared" si="45"/>
        <v>#DIV/0!</v>
      </c>
      <c r="BR127" s="380" t="e">
        <f t="shared" ref="BR127:CF127" si="46">BR120+BR99</f>
        <v>#DIV/0!</v>
      </c>
      <c r="BS127" s="380" t="e">
        <f t="shared" si="46"/>
        <v>#DIV/0!</v>
      </c>
      <c r="BT127" s="380" t="e">
        <f t="shared" si="46"/>
        <v>#DIV/0!</v>
      </c>
      <c r="BU127" s="380" t="e">
        <f t="shared" si="46"/>
        <v>#DIV/0!</v>
      </c>
      <c r="BV127" s="380" t="e">
        <f t="shared" si="46"/>
        <v>#DIV/0!</v>
      </c>
      <c r="BW127" s="380" t="e">
        <f t="shared" si="46"/>
        <v>#DIV/0!</v>
      </c>
      <c r="BX127" s="380" t="e">
        <f t="shared" si="46"/>
        <v>#DIV/0!</v>
      </c>
      <c r="BY127" s="380" t="e">
        <f t="shared" si="46"/>
        <v>#DIV/0!</v>
      </c>
      <c r="BZ127" s="380" t="e">
        <f t="shared" si="46"/>
        <v>#DIV/0!</v>
      </c>
      <c r="CA127" s="380" t="e">
        <f t="shared" si="46"/>
        <v>#DIV/0!</v>
      </c>
      <c r="CB127" s="380" t="e">
        <f t="shared" si="46"/>
        <v>#DIV/0!</v>
      </c>
      <c r="CC127" s="380" t="e">
        <f t="shared" si="46"/>
        <v>#DIV/0!</v>
      </c>
      <c r="CD127" s="380" t="e">
        <f t="shared" si="46"/>
        <v>#DIV/0!</v>
      </c>
      <c r="CE127" s="380" t="e">
        <f t="shared" si="46"/>
        <v>#DIV/0!</v>
      </c>
      <c r="CF127" s="380" t="e">
        <f t="shared" si="46"/>
        <v>#DIV/0!</v>
      </c>
    </row>
    <row r="128" spans="1:84">
      <c r="D128" s="380" t="s">
        <v>89</v>
      </c>
      <c r="E128" s="380" t="e">
        <f>E121+E100</f>
        <v>#DIV/0!</v>
      </c>
      <c r="F128" s="380" t="e">
        <f t="shared" ref="F128:BP128" si="47">F121+F100</f>
        <v>#DIV/0!</v>
      </c>
      <c r="G128" s="380" t="e">
        <f t="shared" si="47"/>
        <v>#DIV/0!</v>
      </c>
      <c r="H128" s="380" t="e">
        <f t="shared" si="47"/>
        <v>#DIV/0!</v>
      </c>
      <c r="I128" s="380" t="e">
        <f t="shared" si="47"/>
        <v>#DIV/0!</v>
      </c>
      <c r="J128" s="380" t="e">
        <f t="shared" si="47"/>
        <v>#DIV/0!</v>
      </c>
      <c r="K128" s="380" t="e">
        <f t="shared" si="47"/>
        <v>#DIV/0!</v>
      </c>
      <c r="L128" s="380" t="e">
        <f t="shared" si="47"/>
        <v>#DIV/0!</v>
      </c>
      <c r="M128" s="380" t="e">
        <f t="shared" si="47"/>
        <v>#DIV/0!</v>
      </c>
      <c r="N128" s="380" t="e">
        <f t="shared" si="47"/>
        <v>#DIV/0!</v>
      </c>
      <c r="O128" s="380" t="e">
        <f t="shared" si="47"/>
        <v>#DIV/0!</v>
      </c>
      <c r="P128" s="380" t="e">
        <f t="shared" si="47"/>
        <v>#DIV/0!</v>
      </c>
      <c r="Q128" s="380" t="e">
        <f t="shared" si="47"/>
        <v>#DIV/0!</v>
      </c>
      <c r="R128" s="380" t="e">
        <f t="shared" si="47"/>
        <v>#DIV/0!</v>
      </c>
      <c r="S128" s="380" t="e">
        <f t="shared" si="47"/>
        <v>#DIV/0!</v>
      </c>
      <c r="T128" s="380" t="e">
        <f t="shared" si="47"/>
        <v>#DIV/0!</v>
      </c>
      <c r="U128" s="380" t="e">
        <f t="shared" si="47"/>
        <v>#DIV/0!</v>
      </c>
      <c r="V128" s="380" t="e">
        <f t="shared" si="47"/>
        <v>#DIV/0!</v>
      </c>
      <c r="W128" s="380" t="e">
        <f t="shared" si="47"/>
        <v>#DIV/0!</v>
      </c>
      <c r="X128" s="380" t="e">
        <f t="shared" si="47"/>
        <v>#DIV/0!</v>
      </c>
      <c r="Y128" s="380" t="e">
        <f t="shared" si="47"/>
        <v>#DIV/0!</v>
      </c>
      <c r="Z128" s="380" t="e">
        <f t="shared" si="47"/>
        <v>#DIV/0!</v>
      </c>
      <c r="AA128" s="380" t="e">
        <f t="shared" si="47"/>
        <v>#DIV/0!</v>
      </c>
      <c r="AB128" s="380" t="e">
        <f t="shared" si="47"/>
        <v>#DIV/0!</v>
      </c>
      <c r="AC128" s="380" t="e">
        <f t="shared" si="47"/>
        <v>#DIV/0!</v>
      </c>
      <c r="AD128" s="380" t="e">
        <f t="shared" si="47"/>
        <v>#DIV/0!</v>
      </c>
      <c r="AE128" s="380" t="e">
        <f t="shared" si="47"/>
        <v>#DIV/0!</v>
      </c>
      <c r="AF128" s="380" t="e">
        <f t="shared" si="47"/>
        <v>#DIV/0!</v>
      </c>
      <c r="AG128" s="380" t="e">
        <f t="shared" si="47"/>
        <v>#DIV/0!</v>
      </c>
      <c r="AH128" s="380" t="e">
        <f t="shared" si="47"/>
        <v>#DIV/0!</v>
      </c>
      <c r="AI128" s="380" t="e">
        <f t="shared" si="47"/>
        <v>#DIV/0!</v>
      </c>
      <c r="AJ128" s="380" t="e">
        <f t="shared" si="47"/>
        <v>#DIV/0!</v>
      </c>
      <c r="AK128" s="380" t="e">
        <f t="shared" si="47"/>
        <v>#DIV/0!</v>
      </c>
      <c r="AL128" s="380" t="e">
        <f t="shared" si="47"/>
        <v>#DIV/0!</v>
      </c>
      <c r="AM128" s="380" t="e">
        <f t="shared" si="47"/>
        <v>#DIV/0!</v>
      </c>
      <c r="AN128" s="380" t="e">
        <f t="shared" si="47"/>
        <v>#DIV/0!</v>
      </c>
      <c r="AO128" s="380" t="e">
        <f t="shared" si="47"/>
        <v>#DIV/0!</v>
      </c>
      <c r="AP128" s="380" t="e">
        <f t="shared" si="47"/>
        <v>#DIV/0!</v>
      </c>
      <c r="AQ128" s="380" t="e">
        <f t="shared" si="47"/>
        <v>#DIV/0!</v>
      </c>
      <c r="AR128" s="380" t="e">
        <f t="shared" si="47"/>
        <v>#DIV/0!</v>
      </c>
      <c r="AS128" s="380" t="e">
        <f t="shared" si="47"/>
        <v>#DIV/0!</v>
      </c>
      <c r="AT128" s="380" t="e">
        <f t="shared" si="47"/>
        <v>#DIV/0!</v>
      </c>
      <c r="AU128" s="380" t="e">
        <f t="shared" si="47"/>
        <v>#DIV/0!</v>
      </c>
      <c r="AV128" s="380" t="e">
        <f t="shared" si="47"/>
        <v>#DIV/0!</v>
      </c>
      <c r="AW128" s="380" t="e">
        <f t="shared" si="47"/>
        <v>#DIV/0!</v>
      </c>
      <c r="AX128" s="380" t="e">
        <f t="shared" si="47"/>
        <v>#DIV/0!</v>
      </c>
      <c r="AY128" s="380" t="e">
        <f t="shared" si="47"/>
        <v>#DIV/0!</v>
      </c>
      <c r="AZ128" s="380" t="e">
        <f t="shared" si="47"/>
        <v>#DIV/0!</v>
      </c>
      <c r="BA128" s="380" t="e">
        <f t="shared" si="47"/>
        <v>#DIV/0!</v>
      </c>
      <c r="BB128" s="380" t="e">
        <f t="shared" si="47"/>
        <v>#DIV/0!</v>
      </c>
      <c r="BC128" s="380" t="e">
        <f t="shared" si="47"/>
        <v>#DIV/0!</v>
      </c>
      <c r="BD128" s="380" t="e">
        <f t="shared" si="47"/>
        <v>#DIV/0!</v>
      </c>
      <c r="BE128" s="380" t="e">
        <f t="shared" si="47"/>
        <v>#DIV/0!</v>
      </c>
      <c r="BF128" s="380" t="e">
        <f t="shared" si="47"/>
        <v>#DIV/0!</v>
      </c>
      <c r="BG128" s="380" t="e">
        <f t="shared" si="47"/>
        <v>#DIV/0!</v>
      </c>
      <c r="BH128" s="380" t="e">
        <f t="shared" si="47"/>
        <v>#DIV/0!</v>
      </c>
      <c r="BI128" s="380" t="e">
        <f t="shared" si="47"/>
        <v>#DIV/0!</v>
      </c>
      <c r="BJ128" s="380" t="e">
        <f t="shared" si="47"/>
        <v>#DIV/0!</v>
      </c>
      <c r="BK128" s="380" t="e">
        <f t="shared" si="47"/>
        <v>#DIV/0!</v>
      </c>
      <c r="BL128" s="380" t="e">
        <f t="shared" si="47"/>
        <v>#DIV/0!</v>
      </c>
      <c r="BM128" s="380" t="e">
        <f t="shared" si="47"/>
        <v>#DIV/0!</v>
      </c>
      <c r="BN128" s="380" t="e">
        <f t="shared" si="47"/>
        <v>#DIV/0!</v>
      </c>
      <c r="BO128" s="380" t="e">
        <f t="shared" si="47"/>
        <v>#DIV/0!</v>
      </c>
      <c r="BP128" s="380" t="e">
        <f t="shared" si="47"/>
        <v>#DIV/0!</v>
      </c>
      <c r="BQ128" s="380" t="e">
        <f t="shared" ref="BQ128:CF128" si="48">BQ121+BQ100</f>
        <v>#DIV/0!</v>
      </c>
      <c r="BR128" s="380" t="e">
        <f t="shared" si="48"/>
        <v>#DIV/0!</v>
      </c>
      <c r="BS128" s="380" t="e">
        <f t="shared" si="48"/>
        <v>#DIV/0!</v>
      </c>
      <c r="BT128" s="380" t="e">
        <f t="shared" si="48"/>
        <v>#DIV/0!</v>
      </c>
      <c r="BU128" s="380" t="e">
        <f t="shared" si="48"/>
        <v>#DIV/0!</v>
      </c>
      <c r="BV128" s="380" t="e">
        <f t="shared" si="48"/>
        <v>#DIV/0!</v>
      </c>
      <c r="BW128" s="380" t="e">
        <f t="shared" si="48"/>
        <v>#DIV/0!</v>
      </c>
      <c r="BX128" s="380" t="e">
        <f t="shared" si="48"/>
        <v>#DIV/0!</v>
      </c>
      <c r="BY128" s="380" t="e">
        <f t="shared" si="48"/>
        <v>#DIV/0!</v>
      </c>
      <c r="BZ128" s="380" t="e">
        <f t="shared" si="48"/>
        <v>#DIV/0!</v>
      </c>
      <c r="CA128" s="380" t="e">
        <f t="shared" si="48"/>
        <v>#DIV/0!</v>
      </c>
      <c r="CB128" s="380" t="e">
        <f t="shared" si="48"/>
        <v>#DIV/0!</v>
      </c>
      <c r="CC128" s="380" t="e">
        <f t="shared" si="48"/>
        <v>#DIV/0!</v>
      </c>
      <c r="CD128" s="380" t="e">
        <f t="shared" si="48"/>
        <v>#DIV/0!</v>
      </c>
      <c r="CE128" s="380" t="e">
        <f t="shared" si="48"/>
        <v>#DIV/0!</v>
      </c>
      <c r="CF128" s="380" t="e">
        <f t="shared" si="48"/>
        <v>#DIV/0!</v>
      </c>
    </row>
    <row r="129" spans="1:84">
      <c r="A129" s="360" t="s">
        <v>270</v>
      </c>
      <c r="D129" s="380" t="s">
        <v>91</v>
      </c>
      <c r="E129" s="380" t="e">
        <f t="shared" ref="E129:BP129" si="49">E122+E101</f>
        <v>#DIV/0!</v>
      </c>
      <c r="F129" s="380" t="e">
        <f t="shared" si="49"/>
        <v>#DIV/0!</v>
      </c>
      <c r="G129" s="380" t="e">
        <f t="shared" si="49"/>
        <v>#DIV/0!</v>
      </c>
      <c r="H129" s="380" t="e">
        <f t="shared" si="49"/>
        <v>#DIV/0!</v>
      </c>
      <c r="I129" s="380" t="e">
        <f t="shared" si="49"/>
        <v>#DIV/0!</v>
      </c>
      <c r="J129" s="380" t="e">
        <f t="shared" si="49"/>
        <v>#DIV/0!</v>
      </c>
      <c r="K129" s="380" t="e">
        <f t="shared" si="49"/>
        <v>#DIV/0!</v>
      </c>
      <c r="L129" s="380" t="e">
        <f t="shared" si="49"/>
        <v>#DIV/0!</v>
      </c>
      <c r="M129" s="380" t="e">
        <f t="shared" si="49"/>
        <v>#DIV/0!</v>
      </c>
      <c r="N129" s="380" t="e">
        <f t="shared" si="49"/>
        <v>#DIV/0!</v>
      </c>
      <c r="O129" s="380" t="e">
        <f t="shared" si="49"/>
        <v>#DIV/0!</v>
      </c>
      <c r="P129" s="380" t="e">
        <f t="shared" si="49"/>
        <v>#DIV/0!</v>
      </c>
      <c r="Q129" s="380" t="e">
        <f t="shared" si="49"/>
        <v>#DIV/0!</v>
      </c>
      <c r="R129" s="380" t="e">
        <f t="shared" si="49"/>
        <v>#DIV/0!</v>
      </c>
      <c r="S129" s="380" t="e">
        <f t="shared" si="49"/>
        <v>#DIV/0!</v>
      </c>
      <c r="T129" s="380" t="e">
        <f t="shared" si="49"/>
        <v>#DIV/0!</v>
      </c>
      <c r="U129" s="380" t="e">
        <f t="shared" si="49"/>
        <v>#DIV/0!</v>
      </c>
      <c r="V129" s="380" t="e">
        <f t="shared" si="49"/>
        <v>#DIV/0!</v>
      </c>
      <c r="W129" s="380" t="e">
        <f t="shared" si="49"/>
        <v>#DIV/0!</v>
      </c>
      <c r="X129" s="380" t="e">
        <f t="shared" si="49"/>
        <v>#DIV/0!</v>
      </c>
      <c r="Y129" s="380" t="e">
        <f t="shared" si="49"/>
        <v>#DIV/0!</v>
      </c>
      <c r="Z129" s="380" t="e">
        <f t="shared" si="49"/>
        <v>#DIV/0!</v>
      </c>
      <c r="AA129" s="380" t="e">
        <f t="shared" si="49"/>
        <v>#DIV/0!</v>
      </c>
      <c r="AB129" s="380" t="e">
        <f t="shared" si="49"/>
        <v>#DIV/0!</v>
      </c>
      <c r="AC129" s="380" t="e">
        <f t="shared" si="49"/>
        <v>#DIV/0!</v>
      </c>
      <c r="AD129" s="380" t="e">
        <f t="shared" si="49"/>
        <v>#DIV/0!</v>
      </c>
      <c r="AE129" s="380" t="e">
        <f t="shared" si="49"/>
        <v>#DIV/0!</v>
      </c>
      <c r="AF129" s="380" t="e">
        <f t="shared" si="49"/>
        <v>#DIV/0!</v>
      </c>
      <c r="AG129" s="380" t="e">
        <f t="shared" si="49"/>
        <v>#DIV/0!</v>
      </c>
      <c r="AH129" s="380" t="e">
        <f t="shared" si="49"/>
        <v>#DIV/0!</v>
      </c>
      <c r="AI129" s="380" t="e">
        <f t="shared" si="49"/>
        <v>#DIV/0!</v>
      </c>
      <c r="AJ129" s="380" t="e">
        <f t="shared" si="49"/>
        <v>#DIV/0!</v>
      </c>
      <c r="AK129" s="380" t="e">
        <f t="shared" si="49"/>
        <v>#DIV/0!</v>
      </c>
      <c r="AL129" s="380" t="e">
        <f t="shared" si="49"/>
        <v>#DIV/0!</v>
      </c>
      <c r="AM129" s="380" t="e">
        <f t="shared" si="49"/>
        <v>#DIV/0!</v>
      </c>
      <c r="AN129" s="380" t="e">
        <f t="shared" si="49"/>
        <v>#DIV/0!</v>
      </c>
      <c r="AO129" s="380" t="e">
        <f t="shared" si="49"/>
        <v>#DIV/0!</v>
      </c>
      <c r="AP129" s="380" t="e">
        <f t="shared" si="49"/>
        <v>#DIV/0!</v>
      </c>
      <c r="AQ129" s="380" t="e">
        <f t="shared" si="49"/>
        <v>#DIV/0!</v>
      </c>
      <c r="AR129" s="380" t="e">
        <f t="shared" si="49"/>
        <v>#DIV/0!</v>
      </c>
      <c r="AS129" s="380" t="e">
        <f t="shared" si="49"/>
        <v>#DIV/0!</v>
      </c>
      <c r="AT129" s="380" t="e">
        <f t="shared" si="49"/>
        <v>#DIV/0!</v>
      </c>
      <c r="AU129" s="380" t="e">
        <f t="shared" si="49"/>
        <v>#DIV/0!</v>
      </c>
      <c r="AV129" s="380" t="e">
        <f t="shared" si="49"/>
        <v>#DIV/0!</v>
      </c>
      <c r="AW129" s="380" t="e">
        <f t="shared" si="49"/>
        <v>#DIV/0!</v>
      </c>
      <c r="AX129" s="380" t="e">
        <f t="shared" si="49"/>
        <v>#DIV/0!</v>
      </c>
      <c r="AY129" s="380" t="e">
        <f t="shared" si="49"/>
        <v>#DIV/0!</v>
      </c>
      <c r="AZ129" s="380" t="e">
        <f t="shared" si="49"/>
        <v>#DIV/0!</v>
      </c>
      <c r="BA129" s="380" t="e">
        <f t="shared" si="49"/>
        <v>#DIV/0!</v>
      </c>
      <c r="BB129" s="380" t="e">
        <f t="shared" si="49"/>
        <v>#DIV/0!</v>
      </c>
      <c r="BC129" s="380" t="e">
        <f t="shared" si="49"/>
        <v>#DIV/0!</v>
      </c>
      <c r="BD129" s="380" t="e">
        <f t="shared" si="49"/>
        <v>#DIV/0!</v>
      </c>
      <c r="BE129" s="380" t="e">
        <f t="shared" si="49"/>
        <v>#DIV/0!</v>
      </c>
      <c r="BF129" s="380" t="e">
        <f t="shared" si="49"/>
        <v>#DIV/0!</v>
      </c>
      <c r="BG129" s="380" t="e">
        <f t="shared" si="49"/>
        <v>#DIV/0!</v>
      </c>
      <c r="BH129" s="380" t="e">
        <f t="shared" si="49"/>
        <v>#DIV/0!</v>
      </c>
      <c r="BI129" s="380" t="e">
        <f t="shared" si="49"/>
        <v>#DIV/0!</v>
      </c>
      <c r="BJ129" s="380" t="e">
        <f t="shared" si="49"/>
        <v>#DIV/0!</v>
      </c>
      <c r="BK129" s="380" t="e">
        <f t="shared" si="49"/>
        <v>#DIV/0!</v>
      </c>
      <c r="BL129" s="380" t="e">
        <f t="shared" si="49"/>
        <v>#DIV/0!</v>
      </c>
      <c r="BM129" s="380" t="e">
        <f t="shared" si="49"/>
        <v>#DIV/0!</v>
      </c>
      <c r="BN129" s="380" t="e">
        <f t="shared" si="49"/>
        <v>#DIV/0!</v>
      </c>
      <c r="BO129" s="380" t="e">
        <f t="shared" si="49"/>
        <v>#DIV/0!</v>
      </c>
      <c r="BP129" s="380" t="e">
        <f t="shared" si="49"/>
        <v>#DIV/0!</v>
      </c>
      <c r="BQ129" s="380" t="e">
        <f t="shared" ref="BQ129:CF129" si="50">BQ122+BQ101</f>
        <v>#DIV/0!</v>
      </c>
      <c r="BR129" s="380" t="e">
        <f t="shared" si="50"/>
        <v>#DIV/0!</v>
      </c>
      <c r="BS129" s="380" t="e">
        <f t="shared" si="50"/>
        <v>#DIV/0!</v>
      </c>
      <c r="BT129" s="380" t="e">
        <f t="shared" si="50"/>
        <v>#DIV/0!</v>
      </c>
      <c r="BU129" s="380" t="e">
        <f t="shared" si="50"/>
        <v>#DIV/0!</v>
      </c>
      <c r="BV129" s="380" t="e">
        <f t="shared" si="50"/>
        <v>#DIV/0!</v>
      </c>
      <c r="BW129" s="380" t="e">
        <f t="shared" si="50"/>
        <v>#DIV/0!</v>
      </c>
      <c r="BX129" s="380" t="e">
        <f t="shared" si="50"/>
        <v>#DIV/0!</v>
      </c>
      <c r="BY129" s="380" t="e">
        <f t="shared" si="50"/>
        <v>#DIV/0!</v>
      </c>
      <c r="BZ129" s="380" t="e">
        <f t="shared" si="50"/>
        <v>#DIV/0!</v>
      </c>
      <c r="CA129" s="380" t="e">
        <f t="shared" si="50"/>
        <v>#DIV/0!</v>
      </c>
      <c r="CB129" s="380" t="e">
        <f t="shared" si="50"/>
        <v>#DIV/0!</v>
      </c>
      <c r="CC129" s="380" t="e">
        <f t="shared" si="50"/>
        <v>#DIV/0!</v>
      </c>
      <c r="CD129" s="380" t="e">
        <f t="shared" si="50"/>
        <v>#DIV/0!</v>
      </c>
      <c r="CE129" s="380" t="e">
        <f t="shared" si="50"/>
        <v>#DIV/0!</v>
      </c>
      <c r="CF129" s="380" t="e">
        <f t="shared" si="50"/>
        <v>#DIV/0!</v>
      </c>
    </row>
    <row r="130" spans="1:84">
      <c r="D130" s="380" t="s">
        <v>93</v>
      </c>
      <c r="E130" s="380" t="e">
        <f t="shared" ref="E130:BP130" si="51">E123+E102</f>
        <v>#DIV/0!</v>
      </c>
      <c r="F130" s="380" t="e">
        <f t="shared" si="51"/>
        <v>#DIV/0!</v>
      </c>
      <c r="G130" s="380" t="e">
        <f t="shared" si="51"/>
        <v>#DIV/0!</v>
      </c>
      <c r="H130" s="380" t="e">
        <f t="shared" si="51"/>
        <v>#DIV/0!</v>
      </c>
      <c r="I130" s="380" t="e">
        <f t="shared" si="51"/>
        <v>#DIV/0!</v>
      </c>
      <c r="J130" s="380" t="e">
        <f t="shared" si="51"/>
        <v>#DIV/0!</v>
      </c>
      <c r="K130" s="380" t="e">
        <f t="shared" si="51"/>
        <v>#DIV/0!</v>
      </c>
      <c r="L130" s="380" t="e">
        <f t="shared" si="51"/>
        <v>#DIV/0!</v>
      </c>
      <c r="M130" s="380" t="e">
        <f t="shared" si="51"/>
        <v>#DIV/0!</v>
      </c>
      <c r="N130" s="380" t="e">
        <f t="shared" si="51"/>
        <v>#DIV/0!</v>
      </c>
      <c r="O130" s="380" t="e">
        <f t="shared" si="51"/>
        <v>#DIV/0!</v>
      </c>
      <c r="P130" s="380" t="e">
        <f t="shared" si="51"/>
        <v>#DIV/0!</v>
      </c>
      <c r="Q130" s="380" t="e">
        <f t="shared" si="51"/>
        <v>#DIV/0!</v>
      </c>
      <c r="R130" s="380" t="e">
        <f t="shared" si="51"/>
        <v>#DIV/0!</v>
      </c>
      <c r="S130" s="380" t="e">
        <f t="shared" si="51"/>
        <v>#DIV/0!</v>
      </c>
      <c r="T130" s="380" t="e">
        <f t="shared" si="51"/>
        <v>#DIV/0!</v>
      </c>
      <c r="U130" s="380" t="e">
        <f t="shared" si="51"/>
        <v>#DIV/0!</v>
      </c>
      <c r="V130" s="380" t="e">
        <f t="shared" si="51"/>
        <v>#DIV/0!</v>
      </c>
      <c r="W130" s="380" t="e">
        <f t="shared" si="51"/>
        <v>#DIV/0!</v>
      </c>
      <c r="X130" s="380" t="e">
        <f t="shared" si="51"/>
        <v>#DIV/0!</v>
      </c>
      <c r="Y130" s="380" t="e">
        <f t="shared" si="51"/>
        <v>#DIV/0!</v>
      </c>
      <c r="Z130" s="380" t="e">
        <f t="shared" si="51"/>
        <v>#DIV/0!</v>
      </c>
      <c r="AA130" s="380" t="e">
        <f t="shared" si="51"/>
        <v>#DIV/0!</v>
      </c>
      <c r="AB130" s="380" t="e">
        <f t="shared" si="51"/>
        <v>#DIV/0!</v>
      </c>
      <c r="AC130" s="380" t="e">
        <f t="shared" si="51"/>
        <v>#DIV/0!</v>
      </c>
      <c r="AD130" s="380" t="e">
        <f t="shared" si="51"/>
        <v>#DIV/0!</v>
      </c>
      <c r="AE130" s="380" t="e">
        <f t="shared" si="51"/>
        <v>#DIV/0!</v>
      </c>
      <c r="AF130" s="380" t="e">
        <f t="shared" si="51"/>
        <v>#DIV/0!</v>
      </c>
      <c r="AG130" s="380" t="e">
        <f t="shared" si="51"/>
        <v>#DIV/0!</v>
      </c>
      <c r="AH130" s="380" t="e">
        <f t="shared" si="51"/>
        <v>#DIV/0!</v>
      </c>
      <c r="AI130" s="380" t="e">
        <f t="shared" si="51"/>
        <v>#DIV/0!</v>
      </c>
      <c r="AJ130" s="380" t="e">
        <f t="shared" si="51"/>
        <v>#DIV/0!</v>
      </c>
      <c r="AK130" s="380" t="e">
        <f t="shared" si="51"/>
        <v>#DIV/0!</v>
      </c>
      <c r="AL130" s="380" t="e">
        <f t="shared" si="51"/>
        <v>#DIV/0!</v>
      </c>
      <c r="AM130" s="380" t="e">
        <f t="shared" si="51"/>
        <v>#DIV/0!</v>
      </c>
      <c r="AN130" s="380" t="e">
        <f t="shared" si="51"/>
        <v>#DIV/0!</v>
      </c>
      <c r="AO130" s="380" t="e">
        <f t="shared" si="51"/>
        <v>#DIV/0!</v>
      </c>
      <c r="AP130" s="380" t="e">
        <f t="shared" si="51"/>
        <v>#DIV/0!</v>
      </c>
      <c r="AQ130" s="380" t="e">
        <f t="shared" si="51"/>
        <v>#DIV/0!</v>
      </c>
      <c r="AR130" s="380" t="e">
        <f t="shared" si="51"/>
        <v>#DIV/0!</v>
      </c>
      <c r="AS130" s="380" t="e">
        <f t="shared" si="51"/>
        <v>#DIV/0!</v>
      </c>
      <c r="AT130" s="380" t="e">
        <f t="shared" si="51"/>
        <v>#DIV/0!</v>
      </c>
      <c r="AU130" s="380" t="e">
        <f t="shared" si="51"/>
        <v>#DIV/0!</v>
      </c>
      <c r="AV130" s="380" t="e">
        <f t="shared" si="51"/>
        <v>#DIV/0!</v>
      </c>
      <c r="AW130" s="380" t="e">
        <f t="shared" si="51"/>
        <v>#DIV/0!</v>
      </c>
      <c r="AX130" s="380" t="e">
        <f t="shared" si="51"/>
        <v>#DIV/0!</v>
      </c>
      <c r="AY130" s="380" t="e">
        <f t="shared" si="51"/>
        <v>#DIV/0!</v>
      </c>
      <c r="AZ130" s="380" t="e">
        <f t="shared" si="51"/>
        <v>#DIV/0!</v>
      </c>
      <c r="BA130" s="380" t="e">
        <f t="shared" si="51"/>
        <v>#DIV/0!</v>
      </c>
      <c r="BB130" s="380" t="e">
        <f t="shared" si="51"/>
        <v>#DIV/0!</v>
      </c>
      <c r="BC130" s="380" t="e">
        <f t="shared" si="51"/>
        <v>#DIV/0!</v>
      </c>
      <c r="BD130" s="380" t="e">
        <f t="shared" si="51"/>
        <v>#DIV/0!</v>
      </c>
      <c r="BE130" s="380" t="e">
        <f t="shared" si="51"/>
        <v>#DIV/0!</v>
      </c>
      <c r="BF130" s="380" t="e">
        <f t="shared" si="51"/>
        <v>#DIV/0!</v>
      </c>
      <c r="BG130" s="380" t="e">
        <f t="shared" si="51"/>
        <v>#DIV/0!</v>
      </c>
      <c r="BH130" s="380" t="e">
        <f t="shared" si="51"/>
        <v>#DIV/0!</v>
      </c>
      <c r="BI130" s="380" t="e">
        <f t="shared" si="51"/>
        <v>#DIV/0!</v>
      </c>
      <c r="BJ130" s="380" t="e">
        <f t="shared" si="51"/>
        <v>#DIV/0!</v>
      </c>
      <c r="BK130" s="380" t="e">
        <f t="shared" si="51"/>
        <v>#DIV/0!</v>
      </c>
      <c r="BL130" s="380" t="e">
        <f t="shared" si="51"/>
        <v>#DIV/0!</v>
      </c>
      <c r="BM130" s="380" t="e">
        <f t="shared" si="51"/>
        <v>#DIV/0!</v>
      </c>
      <c r="BN130" s="380" t="e">
        <f t="shared" si="51"/>
        <v>#DIV/0!</v>
      </c>
      <c r="BO130" s="380" t="e">
        <f t="shared" si="51"/>
        <v>#DIV/0!</v>
      </c>
      <c r="BP130" s="380" t="e">
        <f t="shared" si="51"/>
        <v>#DIV/0!</v>
      </c>
      <c r="BQ130" s="380" t="e">
        <f t="shared" ref="BQ130:CF130" si="52">BQ123+BQ102</f>
        <v>#DIV/0!</v>
      </c>
      <c r="BR130" s="380" t="e">
        <f t="shared" si="52"/>
        <v>#DIV/0!</v>
      </c>
      <c r="BS130" s="380" t="e">
        <f t="shared" si="52"/>
        <v>#DIV/0!</v>
      </c>
      <c r="BT130" s="380" t="e">
        <f t="shared" si="52"/>
        <v>#DIV/0!</v>
      </c>
      <c r="BU130" s="380" t="e">
        <f t="shared" si="52"/>
        <v>#DIV/0!</v>
      </c>
      <c r="BV130" s="380" t="e">
        <f t="shared" si="52"/>
        <v>#DIV/0!</v>
      </c>
      <c r="BW130" s="380" t="e">
        <f t="shared" si="52"/>
        <v>#DIV/0!</v>
      </c>
      <c r="BX130" s="380" t="e">
        <f t="shared" si="52"/>
        <v>#DIV/0!</v>
      </c>
      <c r="BY130" s="380" t="e">
        <f t="shared" si="52"/>
        <v>#DIV/0!</v>
      </c>
      <c r="BZ130" s="380" t="e">
        <f t="shared" si="52"/>
        <v>#DIV/0!</v>
      </c>
      <c r="CA130" s="380" t="e">
        <f t="shared" si="52"/>
        <v>#DIV/0!</v>
      </c>
      <c r="CB130" s="380" t="e">
        <f t="shared" si="52"/>
        <v>#DIV/0!</v>
      </c>
      <c r="CC130" s="380" t="e">
        <f t="shared" si="52"/>
        <v>#DIV/0!</v>
      </c>
      <c r="CD130" s="380" t="e">
        <f t="shared" si="52"/>
        <v>#DIV/0!</v>
      </c>
      <c r="CE130" s="380" t="e">
        <f t="shared" si="52"/>
        <v>#DIV/0!</v>
      </c>
      <c r="CF130" s="380" t="e">
        <f t="shared" si="52"/>
        <v>#DIV/0!</v>
      </c>
    </row>
    <row r="132" spans="1:84">
      <c r="C132" s="360" t="s">
        <v>271</v>
      </c>
    </row>
    <row r="133" spans="1:84" s="379" customFormat="1">
      <c r="D133" s="730"/>
      <c r="E133" s="731">
        <v>2010</v>
      </c>
      <c r="F133" s="732">
        <v>2011</v>
      </c>
      <c r="G133" s="732">
        <v>2012</v>
      </c>
      <c r="H133" s="732">
        <v>2013</v>
      </c>
      <c r="I133" s="732">
        <v>2014</v>
      </c>
      <c r="J133" s="732">
        <v>2015</v>
      </c>
      <c r="K133" s="732">
        <v>2016</v>
      </c>
      <c r="L133" s="732">
        <v>2017</v>
      </c>
      <c r="M133" s="732">
        <v>2018</v>
      </c>
      <c r="N133" s="732">
        <v>2019</v>
      </c>
      <c r="O133" s="732">
        <v>2020</v>
      </c>
      <c r="P133" s="732">
        <v>2021</v>
      </c>
      <c r="Q133" s="732">
        <v>2022</v>
      </c>
      <c r="R133" s="732">
        <v>2023</v>
      </c>
      <c r="S133" s="732">
        <v>2024</v>
      </c>
      <c r="T133" s="732">
        <v>2025</v>
      </c>
      <c r="U133" s="732">
        <v>2026</v>
      </c>
      <c r="V133" s="732">
        <v>2027</v>
      </c>
      <c r="W133" s="732">
        <v>2028</v>
      </c>
      <c r="X133" s="732">
        <v>2029</v>
      </c>
      <c r="Y133" s="732">
        <v>2030</v>
      </c>
      <c r="Z133" s="732">
        <v>2031</v>
      </c>
      <c r="AA133" s="732">
        <v>2032</v>
      </c>
      <c r="AB133" s="732">
        <v>2033</v>
      </c>
      <c r="AC133" s="732">
        <v>2034</v>
      </c>
      <c r="AD133" s="732">
        <v>2035</v>
      </c>
      <c r="AE133" s="732">
        <v>2036</v>
      </c>
      <c r="AF133" s="732">
        <v>2037</v>
      </c>
      <c r="AG133" s="732">
        <v>2038</v>
      </c>
      <c r="AH133" s="732">
        <v>2039</v>
      </c>
      <c r="AI133" s="732">
        <v>2040</v>
      </c>
      <c r="AJ133" s="732">
        <v>2041</v>
      </c>
      <c r="AK133" s="732">
        <v>2042</v>
      </c>
      <c r="AL133" s="732">
        <v>2043</v>
      </c>
      <c r="AM133" s="732">
        <v>2044</v>
      </c>
      <c r="AN133" s="732">
        <v>2045</v>
      </c>
      <c r="AO133" s="732">
        <v>2046</v>
      </c>
      <c r="AP133" s="732">
        <v>2047</v>
      </c>
      <c r="AQ133" s="732">
        <v>2048</v>
      </c>
      <c r="AR133" s="732">
        <v>2049</v>
      </c>
      <c r="AS133" s="732">
        <v>2050</v>
      </c>
      <c r="AT133" s="732">
        <v>2051</v>
      </c>
      <c r="AU133" s="732">
        <v>2052</v>
      </c>
      <c r="AV133" s="732">
        <v>2053</v>
      </c>
      <c r="AW133" s="732">
        <v>2054</v>
      </c>
      <c r="AX133" s="732">
        <v>2055</v>
      </c>
      <c r="AY133" s="732">
        <v>2056</v>
      </c>
      <c r="AZ133" s="732">
        <v>2057</v>
      </c>
      <c r="BA133" s="732">
        <v>2058</v>
      </c>
      <c r="BB133" s="732">
        <v>2059</v>
      </c>
      <c r="BC133" s="732">
        <v>2060</v>
      </c>
      <c r="BD133" s="732">
        <v>2061</v>
      </c>
      <c r="BE133" s="732">
        <v>2062</v>
      </c>
      <c r="BF133" s="732">
        <v>2063</v>
      </c>
      <c r="BG133" s="732">
        <v>2064</v>
      </c>
      <c r="BH133" s="732">
        <v>2065</v>
      </c>
      <c r="BI133" s="732">
        <v>2066</v>
      </c>
      <c r="BJ133" s="732">
        <v>2067</v>
      </c>
      <c r="BK133" s="732">
        <v>2068</v>
      </c>
      <c r="BL133" s="732">
        <v>2069</v>
      </c>
      <c r="BM133" s="732">
        <v>2070</v>
      </c>
      <c r="BN133" s="732">
        <v>2071</v>
      </c>
      <c r="BO133" s="732">
        <v>2072</v>
      </c>
      <c r="BP133" s="732">
        <v>2073</v>
      </c>
      <c r="BQ133" s="732">
        <v>2074</v>
      </c>
      <c r="BR133" s="732">
        <v>2075</v>
      </c>
      <c r="BS133" s="732">
        <v>2076</v>
      </c>
      <c r="BT133" s="732">
        <v>2077</v>
      </c>
      <c r="BU133" s="732">
        <v>2078</v>
      </c>
      <c r="BV133" s="732">
        <v>2079</v>
      </c>
      <c r="BW133" s="732">
        <v>2080</v>
      </c>
      <c r="BX133" s="732">
        <v>2081</v>
      </c>
      <c r="BY133" s="732">
        <v>2082</v>
      </c>
      <c r="BZ133" s="732">
        <v>2083</v>
      </c>
      <c r="CA133" s="732">
        <v>2084</v>
      </c>
      <c r="CB133" s="732">
        <v>2085</v>
      </c>
      <c r="CC133" s="732">
        <v>2086</v>
      </c>
      <c r="CD133" s="732">
        <v>2087</v>
      </c>
      <c r="CE133" s="732">
        <v>2088</v>
      </c>
      <c r="CF133" s="732">
        <v>2089</v>
      </c>
    </row>
    <row r="134" spans="1:84">
      <c r="D134" s="380" t="s">
        <v>87</v>
      </c>
      <c r="E134" s="380" t="e">
        <f>(E127*$E19*365)/100</f>
        <v>#DIV/0!</v>
      </c>
      <c r="F134" s="380" t="e">
        <f t="shared" ref="F134:AJ134" si="53">(F127*$E19*365)/100</f>
        <v>#DIV/0!</v>
      </c>
      <c r="G134" s="380" t="e">
        <f t="shared" si="53"/>
        <v>#DIV/0!</v>
      </c>
      <c r="H134" s="380" t="e">
        <f t="shared" si="53"/>
        <v>#DIV/0!</v>
      </c>
      <c r="I134" s="380" t="e">
        <f t="shared" si="53"/>
        <v>#DIV/0!</v>
      </c>
      <c r="J134" s="380" t="e">
        <f t="shared" si="53"/>
        <v>#DIV/0!</v>
      </c>
      <c r="K134" s="380" t="e">
        <f t="shared" si="53"/>
        <v>#DIV/0!</v>
      </c>
      <c r="L134" s="380" t="e">
        <f t="shared" si="53"/>
        <v>#DIV/0!</v>
      </c>
      <c r="M134" s="380" t="e">
        <f t="shared" si="53"/>
        <v>#DIV/0!</v>
      </c>
      <c r="N134" s="380" t="e">
        <f t="shared" si="53"/>
        <v>#DIV/0!</v>
      </c>
      <c r="O134" s="380" t="e">
        <f t="shared" si="53"/>
        <v>#DIV/0!</v>
      </c>
      <c r="P134" s="380" t="e">
        <f t="shared" si="53"/>
        <v>#DIV/0!</v>
      </c>
      <c r="Q134" s="380" t="e">
        <f t="shared" si="53"/>
        <v>#DIV/0!</v>
      </c>
      <c r="R134" s="380" t="e">
        <f t="shared" si="53"/>
        <v>#DIV/0!</v>
      </c>
      <c r="S134" s="380" t="e">
        <f t="shared" si="53"/>
        <v>#DIV/0!</v>
      </c>
      <c r="T134" s="380" t="e">
        <f t="shared" si="53"/>
        <v>#DIV/0!</v>
      </c>
      <c r="U134" s="380" t="e">
        <f t="shared" si="53"/>
        <v>#DIV/0!</v>
      </c>
      <c r="V134" s="380" t="e">
        <f t="shared" si="53"/>
        <v>#DIV/0!</v>
      </c>
      <c r="W134" s="380" t="e">
        <f t="shared" si="53"/>
        <v>#DIV/0!</v>
      </c>
      <c r="X134" s="380" t="e">
        <f t="shared" si="53"/>
        <v>#DIV/0!</v>
      </c>
      <c r="Y134" s="380" t="e">
        <f t="shared" si="53"/>
        <v>#DIV/0!</v>
      </c>
      <c r="Z134" s="380" t="e">
        <f t="shared" si="53"/>
        <v>#DIV/0!</v>
      </c>
      <c r="AA134" s="380" t="e">
        <f t="shared" si="53"/>
        <v>#DIV/0!</v>
      </c>
      <c r="AB134" s="380" t="e">
        <f t="shared" si="53"/>
        <v>#DIV/0!</v>
      </c>
      <c r="AC134" s="380" t="e">
        <f t="shared" si="53"/>
        <v>#DIV/0!</v>
      </c>
      <c r="AD134" s="380" t="e">
        <f t="shared" si="53"/>
        <v>#DIV/0!</v>
      </c>
      <c r="AE134" s="380" t="e">
        <f t="shared" si="53"/>
        <v>#DIV/0!</v>
      </c>
      <c r="AF134" s="380" t="e">
        <f t="shared" si="53"/>
        <v>#DIV/0!</v>
      </c>
      <c r="AG134" s="380" t="e">
        <f t="shared" si="53"/>
        <v>#DIV/0!</v>
      </c>
      <c r="AH134" s="380" t="e">
        <f t="shared" si="53"/>
        <v>#DIV/0!</v>
      </c>
      <c r="AI134" s="380" t="e">
        <f t="shared" si="53"/>
        <v>#DIV/0!</v>
      </c>
      <c r="AJ134" s="380" t="e">
        <f t="shared" si="53"/>
        <v>#DIV/0!</v>
      </c>
      <c r="AK134" s="380" t="e">
        <f t="shared" ref="AK134:BP134" si="54">(AK127*$E19*365)/100</f>
        <v>#DIV/0!</v>
      </c>
      <c r="AL134" s="380" t="e">
        <f t="shared" si="54"/>
        <v>#DIV/0!</v>
      </c>
      <c r="AM134" s="380" t="e">
        <f t="shared" si="54"/>
        <v>#DIV/0!</v>
      </c>
      <c r="AN134" s="380" t="e">
        <f t="shared" si="54"/>
        <v>#DIV/0!</v>
      </c>
      <c r="AO134" s="380" t="e">
        <f t="shared" si="54"/>
        <v>#DIV/0!</v>
      </c>
      <c r="AP134" s="380" t="e">
        <f t="shared" si="54"/>
        <v>#DIV/0!</v>
      </c>
      <c r="AQ134" s="380" t="e">
        <f t="shared" si="54"/>
        <v>#DIV/0!</v>
      </c>
      <c r="AR134" s="380" t="e">
        <f t="shared" si="54"/>
        <v>#DIV/0!</v>
      </c>
      <c r="AS134" s="380" t="e">
        <f t="shared" si="54"/>
        <v>#DIV/0!</v>
      </c>
      <c r="AT134" s="380" t="e">
        <f t="shared" si="54"/>
        <v>#DIV/0!</v>
      </c>
      <c r="AU134" s="380" t="e">
        <f t="shared" si="54"/>
        <v>#DIV/0!</v>
      </c>
      <c r="AV134" s="380" t="e">
        <f t="shared" si="54"/>
        <v>#DIV/0!</v>
      </c>
      <c r="AW134" s="380" t="e">
        <f t="shared" si="54"/>
        <v>#DIV/0!</v>
      </c>
      <c r="AX134" s="380" t="e">
        <f t="shared" si="54"/>
        <v>#DIV/0!</v>
      </c>
      <c r="AY134" s="380" t="e">
        <f t="shared" si="54"/>
        <v>#DIV/0!</v>
      </c>
      <c r="AZ134" s="380" t="e">
        <f t="shared" si="54"/>
        <v>#DIV/0!</v>
      </c>
      <c r="BA134" s="380" t="e">
        <f t="shared" si="54"/>
        <v>#DIV/0!</v>
      </c>
      <c r="BB134" s="380" t="e">
        <f t="shared" si="54"/>
        <v>#DIV/0!</v>
      </c>
      <c r="BC134" s="380" t="e">
        <f t="shared" si="54"/>
        <v>#DIV/0!</v>
      </c>
      <c r="BD134" s="380" t="e">
        <f t="shared" si="54"/>
        <v>#DIV/0!</v>
      </c>
      <c r="BE134" s="380" t="e">
        <f t="shared" si="54"/>
        <v>#DIV/0!</v>
      </c>
      <c r="BF134" s="380" t="e">
        <f t="shared" si="54"/>
        <v>#DIV/0!</v>
      </c>
      <c r="BG134" s="380" t="e">
        <f t="shared" si="54"/>
        <v>#DIV/0!</v>
      </c>
      <c r="BH134" s="380" t="e">
        <f t="shared" si="54"/>
        <v>#DIV/0!</v>
      </c>
      <c r="BI134" s="380" t="e">
        <f t="shared" si="54"/>
        <v>#DIV/0!</v>
      </c>
      <c r="BJ134" s="380" t="e">
        <f t="shared" si="54"/>
        <v>#DIV/0!</v>
      </c>
      <c r="BK134" s="380" t="e">
        <f t="shared" si="54"/>
        <v>#DIV/0!</v>
      </c>
      <c r="BL134" s="380" t="e">
        <f t="shared" si="54"/>
        <v>#DIV/0!</v>
      </c>
      <c r="BM134" s="380" t="e">
        <f t="shared" si="54"/>
        <v>#DIV/0!</v>
      </c>
      <c r="BN134" s="380" t="e">
        <f t="shared" si="54"/>
        <v>#DIV/0!</v>
      </c>
      <c r="BO134" s="380" t="e">
        <f t="shared" si="54"/>
        <v>#DIV/0!</v>
      </c>
      <c r="BP134" s="380" t="e">
        <f t="shared" si="54"/>
        <v>#DIV/0!</v>
      </c>
      <c r="BQ134" s="380" t="e">
        <f t="shared" ref="BQ134:CF134" si="55">(BQ127*$E19*365)/100</f>
        <v>#DIV/0!</v>
      </c>
      <c r="BR134" s="380" t="e">
        <f t="shared" si="55"/>
        <v>#DIV/0!</v>
      </c>
      <c r="BS134" s="380" t="e">
        <f t="shared" si="55"/>
        <v>#DIV/0!</v>
      </c>
      <c r="BT134" s="380" t="e">
        <f t="shared" si="55"/>
        <v>#DIV/0!</v>
      </c>
      <c r="BU134" s="380" t="e">
        <f t="shared" si="55"/>
        <v>#DIV/0!</v>
      </c>
      <c r="BV134" s="380" t="e">
        <f t="shared" si="55"/>
        <v>#DIV/0!</v>
      </c>
      <c r="BW134" s="380" t="e">
        <f t="shared" si="55"/>
        <v>#DIV/0!</v>
      </c>
      <c r="BX134" s="380" t="e">
        <f t="shared" si="55"/>
        <v>#DIV/0!</v>
      </c>
      <c r="BY134" s="380" t="e">
        <f t="shared" si="55"/>
        <v>#DIV/0!</v>
      </c>
      <c r="BZ134" s="380" t="e">
        <f t="shared" si="55"/>
        <v>#DIV/0!</v>
      </c>
      <c r="CA134" s="380" t="e">
        <f t="shared" si="55"/>
        <v>#DIV/0!</v>
      </c>
      <c r="CB134" s="380" t="e">
        <f t="shared" si="55"/>
        <v>#DIV/0!</v>
      </c>
      <c r="CC134" s="380" t="e">
        <f t="shared" si="55"/>
        <v>#DIV/0!</v>
      </c>
      <c r="CD134" s="380" t="e">
        <f t="shared" si="55"/>
        <v>#DIV/0!</v>
      </c>
      <c r="CE134" s="380" t="e">
        <f t="shared" si="55"/>
        <v>#DIV/0!</v>
      </c>
      <c r="CF134" s="380" t="e">
        <f t="shared" si="55"/>
        <v>#DIV/0!</v>
      </c>
    </row>
    <row r="135" spans="1:84">
      <c r="D135" s="380" t="s">
        <v>89</v>
      </c>
      <c r="E135" s="380" t="e">
        <f>(E128*$E20*365)/100</f>
        <v>#DIV/0!</v>
      </c>
      <c r="F135" s="380" t="e">
        <f t="shared" ref="F135:AJ135" si="56">(F128*$E20*365)/100</f>
        <v>#DIV/0!</v>
      </c>
      <c r="G135" s="380" t="e">
        <f t="shared" si="56"/>
        <v>#DIV/0!</v>
      </c>
      <c r="H135" s="380" t="e">
        <f t="shared" si="56"/>
        <v>#DIV/0!</v>
      </c>
      <c r="I135" s="380" t="e">
        <f t="shared" si="56"/>
        <v>#DIV/0!</v>
      </c>
      <c r="J135" s="380" t="e">
        <f t="shared" si="56"/>
        <v>#DIV/0!</v>
      </c>
      <c r="K135" s="380" t="e">
        <f t="shared" si="56"/>
        <v>#DIV/0!</v>
      </c>
      <c r="L135" s="380" t="e">
        <f t="shared" si="56"/>
        <v>#DIV/0!</v>
      </c>
      <c r="M135" s="380" t="e">
        <f t="shared" si="56"/>
        <v>#DIV/0!</v>
      </c>
      <c r="N135" s="380" t="e">
        <f t="shared" si="56"/>
        <v>#DIV/0!</v>
      </c>
      <c r="O135" s="380" t="e">
        <f t="shared" si="56"/>
        <v>#DIV/0!</v>
      </c>
      <c r="P135" s="380" t="e">
        <f t="shared" si="56"/>
        <v>#DIV/0!</v>
      </c>
      <c r="Q135" s="380" t="e">
        <f t="shared" si="56"/>
        <v>#DIV/0!</v>
      </c>
      <c r="R135" s="380" t="e">
        <f t="shared" si="56"/>
        <v>#DIV/0!</v>
      </c>
      <c r="S135" s="380" t="e">
        <f t="shared" si="56"/>
        <v>#DIV/0!</v>
      </c>
      <c r="T135" s="380" t="e">
        <f t="shared" si="56"/>
        <v>#DIV/0!</v>
      </c>
      <c r="U135" s="380" t="e">
        <f t="shared" si="56"/>
        <v>#DIV/0!</v>
      </c>
      <c r="V135" s="380" t="e">
        <f t="shared" si="56"/>
        <v>#DIV/0!</v>
      </c>
      <c r="W135" s="380" t="e">
        <f t="shared" si="56"/>
        <v>#DIV/0!</v>
      </c>
      <c r="X135" s="380" t="e">
        <f t="shared" si="56"/>
        <v>#DIV/0!</v>
      </c>
      <c r="Y135" s="380" t="e">
        <f t="shared" si="56"/>
        <v>#DIV/0!</v>
      </c>
      <c r="Z135" s="380" t="e">
        <f t="shared" si="56"/>
        <v>#DIV/0!</v>
      </c>
      <c r="AA135" s="380" t="e">
        <f t="shared" si="56"/>
        <v>#DIV/0!</v>
      </c>
      <c r="AB135" s="380" t="e">
        <f t="shared" si="56"/>
        <v>#DIV/0!</v>
      </c>
      <c r="AC135" s="380" t="e">
        <f t="shared" si="56"/>
        <v>#DIV/0!</v>
      </c>
      <c r="AD135" s="380" t="e">
        <f t="shared" si="56"/>
        <v>#DIV/0!</v>
      </c>
      <c r="AE135" s="380" t="e">
        <f t="shared" si="56"/>
        <v>#DIV/0!</v>
      </c>
      <c r="AF135" s="380" t="e">
        <f t="shared" si="56"/>
        <v>#DIV/0!</v>
      </c>
      <c r="AG135" s="380" t="e">
        <f t="shared" si="56"/>
        <v>#DIV/0!</v>
      </c>
      <c r="AH135" s="380" t="e">
        <f t="shared" si="56"/>
        <v>#DIV/0!</v>
      </c>
      <c r="AI135" s="380" t="e">
        <f t="shared" si="56"/>
        <v>#DIV/0!</v>
      </c>
      <c r="AJ135" s="380" t="e">
        <f t="shared" si="56"/>
        <v>#DIV/0!</v>
      </c>
      <c r="AK135" s="380" t="e">
        <f t="shared" ref="AK135:BP135" si="57">(AK128*$E20*365)/100</f>
        <v>#DIV/0!</v>
      </c>
      <c r="AL135" s="380" t="e">
        <f t="shared" si="57"/>
        <v>#DIV/0!</v>
      </c>
      <c r="AM135" s="380" t="e">
        <f t="shared" si="57"/>
        <v>#DIV/0!</v>
      </c>
      <c r="AN135" s="380" t="e">
        <f t="shared" si="57"/>
        <v>#DIV/0!</v>
      </c>
      <c r="AO135" s="380" t="e">
        <f t="shared" si="57"/>
        <v>#DIV/0!</v>
      </c>
      <c r="AP135" s="380" t="e">
        <f t="shared" si="57"/>
        <v>#DIV/0!</v>
      </c>
      <c r="AQ135" s="380" t="e">
        <f t="shared" si="57"/>
        <v>#DIV/0!</v>
      </c>
      <c r="AR135" s="380" t="e">
        <f t="shared" si="57"/>
        <v>#DIV/0!</v>
      </c>
      <c r="AS135" s="380" t="e">
        <f t="shared" si="57"/>
        <v>#DIV/0!</v>
      </c>
      <c r="AT135" s="380" t="e">
        <f t="shared" si="57"/>
        <v>#DIV/0!</v>
      </c>
      <c r="AU135" s="380" t="e">
        <f t="shared" si="57"/>
        <v>#DIV/0!</v>
      </c>
      <c r="AV135" s="380" t="e">
        <f t="shared" si="57"/>
        <v>#DIV/0!</v>
      </c>
      <c r="AW135" s="380" t="e">
        <f t="shared" si="57"/>
        <v>#DIV/0!</v>
      </c>
      <c r="AX135" s="380" t="e">
        <f t="shared" si="57"/>
        <v>#DIV/0!</v>
      </c>
      <c r="AY135" s="380" t="e">
        <f t="shared" si="57"/>
        <v>#DIV/0!</v>
      </c>
      <c r="AZ135" s="380" t="e">
        <f t="shared" si="57"/>
        <v>#DIV/0!</v>
      </c>
      <c r="BA135" s="380" t="e">
        <f t="shared" si="57"/>
        <v>#DIV/0!</v>
      </c>
      <c r="BB135" s="380" t="e">
        <f t="shared" si="57"/>
        <v>#DIV/0!</v>
      </c>
      <c r="BC135" s="380" t="e">
        <f t="shared" si="57"/>
        <v>#DIV/0!</v>
      </c>
      <c r="BD135" s="380" t="e">
        <f t="shared" si="57"/>
        <v>#DIV/0!</v>
      </c>
      <c r="BE135" s="380" t="e">
        <f t="shared" si="57"/>
        <v>#DIV/0!</v>
      </c>
      <c r="BF135" s="380" t="e">
        <f t="shared" si="57"/>
        <v>#DIV/0!</v>
      </c>
      <c r="BG135" s="380" t="e">
        <f t="shared" si="57"/>
        <v>#DIV/0!</v>
      </c>
      <c r="BH135" s="380" t="e">
        <f t="shared" si="57"/>
        <v>#DIV/0!</v>
      </c>
      <c r="BI135" s="380" t="e">
        <f t="shared" si="57"/>
        <v>#DIV/0!</v>
      </c>
      <c r="BJ135" s="380" t="e">
        <f t="shared" si="57"/>
        <v>#DIV/0!</v>
      </c>
      <c r="BK135" s="380" t="e">
        <f t="shared" si="57"/>
        <v>#DIV/0!</v>
      </c>
      <c r="BL135" s="380" t="e">
        <f t="shared" si="57"/>
        <v>#DIV/0!</v>
      </c>
      <c r="BM135" s="380" t="e">
        <f t="shared" si="57"/>
        <v>#DIV/0!</v>
      </c>
      <c r="BN135" s="380" t="e">
        <f t="shared" si="57"/>
        <v>#DIV/0!</v>
      </c>
      <c r="BO135" s="380" t="e">
        <f t="shared" si="57"/>
        <v>#DIV/0!</v>
      </c>
      <c r="BP135" s="380" t="e">
        <f t="shared" si="57"/>
        <v>#DIV/0!</v>
      </c>
      <c r="BQ135" s="380" t="e">
        <f t="shared" ref="BQ135:CF135" si="58">(BQ128*$E20*365)/100</f>
        <v>#DIV/0!</v>
      </c>
      <c r="BR135" s="380" t="e">
        <f t="shared" si="58"/>
        <v>#DIV/0!</v>
      </c>
      <c r="BS135" s="380" t="e">
        <f t="shared" si="58"/>
        <v>#DIV/0!</v>
      </c>
      <c r="BT135" s="380" t="e">
        <f t="shared" si="58"/>
        <v>#DIV/0!</v>
      </c>
      <c r="BU135" s="380" t="e">
        <f t="shared" si="58"/>
        <v>#DIV/0!</v>
      </c>
      <c r="BV135" s="380" t="e">
        <f t="shared" si="58"/>
        <v>#DIV/0!</v>
      </c>
      <c r="BW135" s="380" t="e">
        <f t="shared" si="58"/>
        <v>#DIV/0!</v>
      </c>
      <c r="BX135" s="380" t="e">
        <f t="shared" si="58"/>
        <v>#DIV/0!</v>
      </c>
      <c r="BY135" s="380" t="e">
        <f t="shared" si="58"/>
        <v>#DIV/0!</v>
      </c>
      <c r="BZ135" s="380" t="e">
        <f t="shared" si="58"/>
        <v>#DIV/0!</v>
      </c>
      <c r="CA135" s="380" t="e">
        <f t="shared" si="58"/>
        <v>#DIV/0!</v>
      </c>
      <c r="CB135" s="380" t="e">
        <f t="shared" si="58"/>
        <v>#DIV/0!</v>
      </c>
      <c r="CC135" s="380" t="e">
        <f t="shared" si="58"/>
        <v>#DIV/0!</v>
      </c>
      <c r="CD135" s="380" t="e">
        <f t="shared" si="58"/>
        <v>#DIV/0!</v>
      </c>
      <c r="CE135" s="380" t="e">
        <f t="shared" si="58"/>
        <v>#DIV/0!</v>
      </c>
      <c r="CF135" s="380" t="e">
        <f t="shared" si="58"/>
        <v>#DIV/0!</v>
      </c>
    </row>
    <row r="136" spans="1:84">
      <c r="D136" s="380" t="s">
        <v>91</v>
      </c>
      <c r="E136" s="380" t="e">
        <f t="shared" ref="E136:AJ136" si="59">(E129*$E21*365)/100</f>
        <v>#DIV/0!</v>
      </c>
      <c r="F136" s="380" t="e">
        <f t="shared" si="59"/>
        <v>#DIV/0!</v>
      </c>
      <c r="G136" s="380" t="e">
        <f t="shared" si="59"/>
        <v>#DIV/0!</v>
      </c>
      <c r="H136" s="380" t="e">
        <f t="shared" si="59"/>
        <v>#DIV/0!</v>
      </c>
      <c r="I136" s="380" t="e">
        <f t="shared" si="59"/>
        <v>#DIV/0!</v>
      </c>
      <c r="J136" s="380" t="e">
        <f t="shared" si="59"/>
        <v>#DIV/0!</v>
      </c>
      <c r="K136" s="380" t="e">
        <f t="shared" si="59"/>
        <v>#DIV/0!</v>
      </c>
      <c r="L136" s="380" t="e">
        <f t="shared" si="59"/>
        <v>#DIV/0!</v>
      </c>
      <c r="M136" s="380" t="e">
        <f t="shared" si="59"/>
        <v>#DIV/0!</v>
      </c>
      <c r="N136" s="380" t="e">
        <f t="shared" si="59"/>
        <v>#DIV/0!</v>
      </c>
      <c r="O136" s="380" t="e">
        <f t="shared" si="59"/>
        <v>#DIV/0!</v>
      </c>
      <c r="P136" s="380" t="e">
        <f t="shared" si="59"/>
        <v>#DIV/0!</v>
      </c>
      <c r="Q136" s="380" t="e">
        <f t="shared" si="59"/>
        <v>#DIV/0!</v>
      </c>
      <c r="R136" s="380" t="e">
        <f t="shared" si="59"/>
        <v>#DIV/0!</v>
      </c>
      <c r="S136" s="380" t="e">
        <f t="shared" si="59"/>
        <v>#DIV/0!</v>
      </c>
      <c r="T136" s="380" t="e">
        <f t="shared" si="59"/>
        <v>#DIV/0!</v>
      </c>
      <c r="U136" s="380" t="e">
        <f t="shared" si="59"/>
        <v>#DIV/0!</v>
      </c>
      <c r="V136" s="380" t="e">
        <f t="shared" si="59"/>
        <v>#DIV/0!</v>
      </c>
      <c r="W136" s="380" t="e">
        <f t="shared" si="59"/>
        <v>#DIV/0!</v>
      </c>
      <c r="X136" s="380" t="e">
        <f t="shared" si="59"/>
        <v>#DIV/0!</v>
      </c>
      <c r="Y136" s="380" t="e">
        <f t="shared" si="59"/>
        <v>#DIV/0!</v>
      </c>
      <c r="Z136" s="380" t="e">
        <f t="shared" si="59"/>
        <v>#DIV/0!</v>
      </c>
      <c r="AA136" s="380" t="e">
        <f t="shared" si="59"/>
        <v>#DIV/0!</v>
      </c>
      <c r="AB136" s="380" t="e">
        <f t="shared" si="59"/>
        <v>#DIV/0!</v>
      </c>
      <c r="AC136" s="380" t="e">
        <f t="shared" si="59"/>
        <v>#DIV/0!</v>
      </c>
      <c r="AD136" s="380" t="e">
        <f t="shared" si="59"/>
        <v>#DIV/0!</v>
      </c>
      <c r="AE136" s="380" t="e">
        <f t="shared" si="59"/>
        <v>#DIV/0!</v>
      </c>
      <c r="AF136" s="380" t="e">
        <f t="shared" si="59"/>
        <v>#DIV/0!</v>
      </c>
      <c r="AG136" s="380" t="e">
        <f t="shared" si="59"/>
        <v>#DIV/0!</v>
      </c>
      <c r="AH136" s="380" t="e">
        <f t="shared" si="59"/>
        <v>#DIV/0!</v>
      </c>
      <c r="AI136" s="380" t="e">
        <f t="shared" si="59"/>
        <v>#DIV/0!</v>
      </c>
      <c r="AJ136" s="380" t="e">
        <f t="shared" si="59"/>
        <v>#DIV/0!</v>
      </c>
      <c r="AK136" s="380" t="e">
        <f t="shared" ref="AK136:BP136" si="60">(AK129*$E21*365)/100</f>
        <v>#DIV/0!</v>
      </c>
      <c r="AL136" s="380" t="e">
        <f t="shared" si="60"/>
        <v>#DIV/0!</v>
      </c>
      <c r="AM136" s="380" t="e">
        <f t="shared" si="60"/>
        <v>#DIV/0!</v>
      </c>
      <c r="AN136" s="380" t="e">
        <f t="shared" si="60"/>
        <v>#DIV/0!</v>
      </c>
      <c r="AO136" s="380" t="e">
        <f t="shared" si="60"/>
        <v>#DIV/0!</v>
      </c>
      <c r="AP136" s="380" t="e">
        <f t="shared" si="60"/>
        <v>#DIV/0!</v>
      </c>
      <c r="AQ136" s="380" t="e">
        <f t="shared" si="60"/>
        <v>#DIV/0!</v>
      </c>
      <c r="AR136" s="380" t="e">
        <f t="shared" si="60"/>
        <v>#DIV/0!</v>
      </c>
      <c r="AS136" s="380" t="e">
        <f t="shared" si="60"/>
        <v>#DIV/0!</v>
      </c>
      <c r="AT136" s="380" t="e">
        <f t="shared" si="60"/>
        <v>#DIV/0!</v>
      </c>
      <c r="AU136" s="380" t="e">
        <f t="shared" si="60"/>
        <v>#DIV/0!</v>
      </c>
      <c r="AV136" s="380" t="e">
        <f t="shared" si="60"/>
        <v>#DIV/0!</v>
      </c>
      <c r="AW136" s="380" t="e">
        <f t="shared" si="60"/>
        <v>#DIV/0!</v>
      </c>
      <c r="AX136" s="380" t="e">
        <f t="shared" si="60"/>
        <v>#DIV/0!</v>
      </c>
      <c r="AY136" s="380" t="e">
        <f t="shared" si="60"/>
        <v>#DIV/0!</v>
      </c>
      <c r="AZ136" s="380" t="e">
        <f t="shared" si="60"/>
        <v>#DIV/0!</v>
      </c>
      <c r="BA136" s="380" t="e">
        <f t="shared" si="60"/>
        <v>#DIV/0!</v>
      </c>
      <c r="BB136" s="380" t="e">
        <f t="shared" si="60"/>
        <v>#DIV/0!</v>
      </c>
      <c r="BC136" s="380" t="e">
        <f t="shared" si="60"/>
        <v>#DIV/0!</v>
      </c>
      <c r="BD136" s="380" t="e">
        <f t="shared" si="60"/>
        <v>#DIV/0!</v>
      </c>
      <c r="BE136" s="380" t="e">
        <f t="shared" si="60"/>
        <v>#DIV/0!</v>
      </c>
      <c r="BF136" s="380" t="e">
        <f t="shared" si="60"/>
        <v>#DIV/0!</v>
      </c>
      <c r="BG136" s="380" t="e">
        <f t="shared" si="60"/>
        <v>#DIV/0!</v>
      </c>
      <c r="BH136" s="380" t="e">
        <f t="shared" si="60"/>
        <v>#DIV/0!</v>
      </c>
      <c r="BI136" s="380" t="e">
        <f t="shared" si="60"/>
        <v>#DIV/0!</v>
      </c>
      <c r="BJ136" s="380" t="e">
        <f t="shared" si="60"/>
        <v>#DIV/0!</v>
      </c>
      <c r="BK136" s="380" t="e">
        <f t="shared" si="60"/>
        <v>#DIV/0!</v>
      </c>
      <c r="BL136" s="380" t="e">
        <f t="shared" si="60"/>
        <v>#DIV/0!</v>
      </c>
      <c r="BM136" s="380" t="e">
        <f t="shared" si="60"/>
        <v>#DIV/0!</v>
      </c>
      <c r="BN136" s="380" t="e">
        <f t="shared" si="60"/>
        <v>#DIV/0!</v>
      </c>
      <c r="BO136" s="380" t="e">
        <f t="shared" si="60"/>
        <v>#DIV/0!</v>
      </c>
      <c r="BP136" s="380" t="e">
        <f t="shared" si="60"/>
        <v>#DIV/0!</v>
      </c>
      <c r="BQ136" s="380" t="e">
        <f t="shared" ref="BQ136:CF136" si="61">(BQ129*$E21*365)/100</f>
        <v>#DIV/0!</v>
      </c>
      <c r="BR136" s="380" t="e">
        <f t="shared" si="61"/>
        <v>#DIV/0!</v>
      </c>
      <c r="BS136" s="380" t="e">
        <f t="shared" si="61"/>
        <v>#DIV/0!</v>
      </c>
      <c r="BT136" s="380" t="e">
        <f t="shared" si="61"/>
        <v>#DIV/0!</v>
      </c>
      <c r="BU136" s="380" t="e">
        <f t="shared" si="61"/>
        <v>#DIV/0!</v>
      </c>
      <c r="BV136" s="380" t="e">
        <f t="shared" si="61"/>
        <v>#DIV/0!</v>
      </c>
      <c r="BW136" s="380" t="e">
        <f t="shared" si="61"/>
        <v>#DIV/0!</v>
      </c>
      <c r="BX136" s="380" t="e">
        <f t="shared" si="61"/>
        <v>#DIV/0!</v>
      </c>
      <c r="BY136" s="380" t="e">
        <f t="shared" si="61"/>
        <v>#DIV/0!</v>
      </c>
      <c r="BZ136" s="380" t="e">
        <f t="shared" si="61"/>
        <v>#DIV/0!</v>
      </c>
      <c r="CA136" s="380" t="e">
        <f t="shared" si="61"/>
        <v>#DIV/0!</v>
      </c>
      <c r="CB136" s="380" t="e">
        <f t="shared" si="61"/>
        <v>#DIV/0!</v>
      </c>
      <c r="CC136" s="380" t="e">
        <f t="shared" si="61"/>
        <v>#DIV/0!</v>
      </c>
      <c r="CD136" s="380" t="e">
        <f t="shared" si="61"/>
        <v>#DIV/0!</v>
      </c>
      <c r="CE136" s="380" t="e">
        <f t="shared" si="61"/>
        <v>#DIV/0!</v>
      </c>
      <c r="CF136" s="380" t="e">
        <f t="shared" si="61"/>
        <v>#DIV/0!</v>
      </c>
    </row>
    <row r="137" spans="1:84">
      <c r="D137" s="380" t="s">
        <v>93</v>
      </c>
      <c r="E137" s="380" t="e">
        <f t="shared" ref="E137:AJ137" si="62">(E130*$E22*365)/100</f>
        <v>#DIV/0!</v>
      </c>
      <c r="F137" s="380" t="e">
        <f t="shared" si="62"/>
        <v>#DIV/0!</v>
      </c>
      <c r="G137" s="380" t="e">
        <f t="shared" si="62"/>
        <v>#DIV/0!</v>
      </c>
      <c r="H137" s="380" t="e">
        <f t="shared" si="62"/>
        <v>#DIV/0!</v>
      </c>
      <c r="I137" s="380" t="e">
        <f t="shared" si="62"/>
        <v>#DIV/0!</v>
      </c>
      <c r="J137" s="380" t="e">
        <f t="shared" si="62"/>
        <v>#DIV/0!</v>
      </c>
      <c r="K137" s="380" t="e">
        <f t="shared" si="62"/>
        <v>#DIV/0!</v>
      </c>
      <c r="L137" s="380" t="e">
        <f t="shared" si="62"/>
        <v>#DIV/0!</v>
      </c>
      <c r="M137" s="380" t="e">
        <f t="shared" si="62"/>
        <v>#DIV/0!</v>
      </c>
      <c r="N137" s="380" t="e">
        <f t="shared" si="62"/>
        <v>#DIV/0!</v>
      </c>
      <c r="O137" s="380" t="e">
        <f t="shared" si="62"/>
        <v>#DIV/0!</v>
      </c>
      <c r="P137" s="380" t="e">
        <f t="shared" si="62"/>
        <v>#DIV/0!</v>
      </c>
      <c r="Q137" s="380" t="e">
        <f t="shared" si="62"/>
        <v>#DIV/0!</v>
      </c>
      <c r="R137" s="380" t="e">
        <f t="shared" si="62"/>
        <v>#DIV/0!</v>
      </c>
      <c r="S137" s="380" t="e">
        <f t="shared" si="62"/>
        <v>#DIV/0!</v>
      </c>
      <c r="T137" s="380" t="e">
        <f t="shared" si="62"/>
        <v>#DIV/0!</v>
      </c>
      <c r="U137" s="380" t="e">
        <f t="shared" si="62"/>
        <v>#DIV/0!</v>
      </c>
      <c r="V137" s="380" t="e">
        <f t="shared" si="62"/>
        <v>#DIV/0!</v>
      </c>
      <c r="W137" s="380" t="e">
        <f t="shared" si="62"/>
        <v>#DIV/0!</v>
      </c>
      <c r="X137" s="380" t="e">
        <f t="shared" si="62"/>
        <v>#DIV/0!</v>
      </c>
      <c r="Y137" s="380" t="e">
        <f t="shared" si="62"/>
        <v>#DIV/0!</v>
      </c>
      <c r="Z137" s="380" t="e">
        <f t="shared" si="62"/>
        <v>#DIV/0!</v>
      </c>
      <c r="AA137" s="380" t="e">
        <f t="shared" si="62"/>
        <v>#DIV/0!</v>
      </c>
      <c r="AB137" s="380" t="e">
        <f t="shared" si="62"/>
        <v>#DIV/0!</v>
      </c>
      <c r="AC137" s="380" t="e">
        <f t="shared" si="62"/>
        <v>#DIV/0!</v>
      </c>
      <c r="AD137" s="380" t="e">
        <f t="shared" si="62"/>
        <v>#DIV/0!</v>
      </c>
      <c r="AE137" s="380" t="e">
        <f t="shared" si="62"/>
        <v>#DIV/0!</v>
      </c>
      <c r="AF137" s="380" t="e">
        <f t="shared" si="62"/>
        <v>#DIV/0!</v>
      </c>
      <c r="AG137" s="380" t="e">
        <f t="shared" si="62"/>
        <v>#DIV/0!</v>
      </c>
      <c r="AH137" s="380" t="e">
        <f t="shared" si="62"/>
        <v>#DIV/0!</v>
      </c>
      <c r="AI137" s="380" t="e">
        <f t="shared" si="62"/>
        <v>#DIV/0!</v>
      </c>
      <c r="AJ137" s="380" t="e">
        <f t="shared" si="62"/>
        <v>#DIV/0!</v>
      </c>
      <c r="AK137" s="380" t="e">
        <f t="shared" ref="AK137:BP137" si="63">(AK130*$E22*365)/100</f>
        <v>#DIV/0!</v>
      </c>
      <c r="AL137" s="380" t="e">
        <f t="shared" si="63"/>
        <v>#DIV/0!</v>
      </c>
      <c r="AM137" s="380" t="e">
        <f t="shared" si="63"/>
        <v>#DIV/0!</v>
      </c>
      <c r="AN137" s="380" t="e">
        <f t="shared" si="63"/>
        <v>#DIV/0!</v>
      </c>
      <c r="AO137" s="380" t="e">
        <f t="shared" si="63"/>
        <v>#DIV/0!</v>
      </c>
      <c r="AP137" s="380" t="e">
        <f t="shared" si="63"/>
        <v>#DIV/0!</v>
      </c>
      <c r="AQ137" s="380" t="e">
        <f t="shared" si="63"/>
        <v>#DIV/0!</v>
      </c>
      <c r="AR137" s="380" t="e">
        <f t="shared" si="63"/>
        <v>#DIV/0!</v>
      </c>
      <c r="AS137" s="380" t="e">
        <f t="shared" si="63"/>
        <v>#DIV/0!</v>
      </c>
      <c r="AT137" s="380" t="e">
        <f t="shared" si="63"/>
        <v>#DIV/0!</v>
      </c>
      <c r="AU137" s="380" t="e">
        <f t="shared" si="63"/>
        <v>#DIV/0!</v>
      </c>
      <c r="AV137" s="380" t="e">
        <f t="shared" si="63"/>
        <v>#DIV/0!</v>
      </c>
      <c r="AW137" s="380" t="e">
        <f t="shared" si="63"/>
        <v>#DIV/0!</v>
      </c>
      <c r="AX137" s="380" t="e">
        <f t="shared" si="63"/>
        <v>#DIV/0!</v>
      </c>
      <c r="AY137" s="380" t="e">
        <f t="shared" si="63"/>
        <v>#DIV/0!</v>
      </c>
      <c r="AZ137" s="380" t="e">
        <f t="shared" si="63"/>
        <v>#DIV/0!</v>
      </c>
      <c r="BA137" s="380" t="e">
        <f t="shared" si="63"/>
        <v>#DIV/0!</v>
      </c>
      <c r="BB137" s="380" t="e">
        <f t="shared" si="63"/>
        <v>#DIV/0!</v>
      </c>
      <c r="BC137" s="380" t="e">
        <f t="shared" si="63"/>
        <v>#DIV/0!</v>
      </c>
      <c r="BD137" s="380" t="e">
        <f t="shared" si="63"/>
        <v>#DIV/0!</v>
      </c>
      <c r="BE137" s="380" t="e">
        <f t="shared" si="63"/>
        <v>#DIV/0!</v>
      </c>
      <c r="BF137" s="380" t="e">
        <f t="shared" si="63"/>
        <v>#DIV/0!</v>
      </c>
      <c r="BG137" s="380" t="e">
        <f t="shared" si="63"/>
        <v>#DIV/0!</v>
      </c>
      <c r="BH137" s="380" t="e">
        <f t="shared" si="63"/>
        <v>#DIV/0!</v>
      </c>
      <c r="BI137" s="380" t="e">
        <f t="shared" si="63"/>
        <v>#DIV/0!</v>
      </c>
      <c r="BJ137" s="380" t="e">
        <f t="shared" si="63"/>
        <v>#DIV/0!</v>
      </c>
      <c r="BK137" s="380" t="e">
        <f t="shared" si="63"/>
        <v>#DIV/0!</v>
      </c>
      <c r="BL137" s="380" t="e">
        <f t="shared" si="63"/>
        <v>#DIV/0!</v>
      </c>
      <c r="BM137" s="380" t="e">
        <f t="shared" si="63"/>
        <v>#DIV/0!</v>
      </c>
      <c r="BN137" s="380" t="e">
        <f t="shared" si="63"/>
        <v>#DIV/0!</v>
      </c>
      <c r="BO137" s="380" t="e">
        <f t="shared" si="63"/>
        <v>#DIV/0!</v>
      </c>
      <c r="BP137" s="380" t="e">
        <f t="shared" si="63"/>
        <v>#DIV/0!</v>
      </c>
      <c r="BQ137" s="380" t="e">
        <f t="shared" ref="BQ137:CF137" si="64">(BQ130*$E22*365)/100</f>
        <v>#DIV/0!</v>
      </c>
      <c r="BR137" s="380" t="e">
        <f t="shared" si="64"/>
        <v>#DIV/0!</v>
      </c>
      <c r="BS137" s="380" t="e">
        <f t="shared" si="64"/>
        <v>#DIV/0!</v>
      </c>
      <c r="BT137" s="380" t="e">
        <f t="shared" si="64"/>
        <v>#DIV/0!</v>
      </c>
      <c r="BU137" s="380" t="e">
        <f t="shared" si="64"/>
        <v>#DIV/0!</v>
      </c>
      <c r="BV137" s="380" t="e">
        <f t="shared" si="64"/>
        <v>#DIV/0!</v>
      </c>
      <c r="BW137" s="380" t="e">
        <f t="shared" si="64"/>
        <v>#DIV/0!</v>
      </c>
      <c r="BX137" s="380" t="e">
        <f t="shared" si="64"/>
        <v>#DIV/0!</v>
      </c>
      <c r="BY137" s="380" t="e">
        <f t="shared" si="64"/>
        <v>#DIV/0!</v>
      </c>
      <c r="BZ137" s="380" t="e">
        <f t="shared" si="64"/>
        <v>#DIV/0!</v>
      </c>
      <c r="CA137" s="380" t="e">
        <f t="shared" si="64"/>
        <v>#DIV/0!</v>
      </c>
      <c r="CB137" s="380" t="e">
        <f t="shared" si="64"/>
        <v>#DIV/0!</v>
      </c>
      <c r="CC137" s="380" t="e">
        <f t="shared" si="64"/>
        <v>#DIV/0!</v>
      </c>
      <c r="CD137" s="380" t="e">
        <f t="shared" si="64"/>
        <v>#DIV/0!</v>
      </c>
      <c r="CE137" s="380" t="e">
        <f t="shared" si="64"/>
        <v>#DIV/0!</v>
      </c>
      <c r="CF137" s="380" t="e">
        <f t="shared" si="64"/>
        <v>#DIV/0!</v>
      </c>
    </row>
    <row r="139" spans="1:84">
      <c r="B139" s="360" t="s">
        <v>272</v>
      </c>
      <c r="C139" s="378"/>
    </row>
    <row r="140" spans="1:84">
      <c r="C140" s="360" t="s">
        <v>273</v>
      </c>
      <c r="E140" s="723"/>
      <c r="F140" s="723"/>
      <c r="G140" s="723"/>
    </row>
    <row r="141" spans="1:84">
      <c r="D141" s="365"/>
      <c r="E141" s="378" t="s">
        <v>101</v>
      </c>
      <c r="F141" s="378" t="s">
        <v>102</v>
      </c>
      <c r="G141" s="378" t="s">
        <v>103</v>
      </c>
    </row>
    <row r="142" spans="1:84">
      <c r="D142" s="380" t="s">
        <v>87</v>
      </c>
      <c r="E142" s="733">
        <f t="shared" ref="E142:G145" si="65">$E$5*(1+E49)</f>
        <v>0</v>
      </c>
      <c r="F142" s="733">
        <f t="shared" si="65"/>
        <v>0</v>
      </c>
      <c r="G142" s="733">
        <f t="shared" si="65"/>
        <v>0</v>
      </c>
      <c r="H142" s="378" t="s">
        <v>274</v>
      </c>
    </row>
    <row r="143" spans="1:84">
      <c r="D143" s="380" t="s">
        <v>89</v>
      </c>
      <c r="E143" s="733">
        <f t="shared" si="65"/>
        <v>0</v>
      </c>
      <c r="F143" s="733">
        <f t="shared" si="65"/>
        <v>0</v>
      </c>
      <c r="G143" s="733">
        <f t="shared" si="65"/>
        <v>0</v>
      </c>
    </row>
    <row r="144" spans="1:84">
      <c r="D144" s="380" t="s">
        <v>91</v>
      </c>
      <c r="E144" s="733">
        <f>$E$5*(1+E51)</f>
        <v>0</v>
      </c>
      <c r="F144" s="733">
        <f t="shared" si="65"/>
        <v>0</v>
      </c>
      <c r="G144" s="733">
        <f t="shared" si="65"/>
        <v>0</v>
      </c>
    </row>
    <row r="145" spans="3:8">
      <c r="D145" s="380" t="s">
        <v>93</v>
      </c>
      <c r="E145" s="733">
        <f t="shared" si="65"/>
        <v>0</v>
      </c>
      <c r="F145" s="733">
        <f t="shared" si="65"/>
        <v>0</v>
      </c>
      <c r="G145" s="733">
        <f t="shared" si="65"/>
        <v>0</v>
      </c>
    </row>
    <row r="146" spans="3:8">
      <c r="E146" s="723"/>
      <c r="F146" s="723"/>
      <c r="G146" s="723"/>
    </row>
    <row r="147" spans="3:8">
      <c r="C147" s="360" t="s">
        <v>275</v>
      </c>
      <c r="E147" s="723"/>
      <c r="F147" s="723"/>
      <c r="G147" s="723"/>
    </row>
    <row r="148" spans="3:8">
      <c r="D148" s="365"/>
      <c r="E148" s="378" t="s">
        <v>101</v>
      </c>
      <c r="F148" s="378" t="s">
        <v>102</v>
      </c>
      <c r="G148" s="378" t="s">
        <v>103</v>
      </c>
    </row>
    <row r="149" spans="3:8">
      <c r="D149" s="380" t="s">
        <v>87</v>
      </c>
      <c r="E149" s="733" t="e">
        <f>60*((1/E142)-(1/$E5))</f>
        <v>#DIV/0!</v>
      </c>
      <c r="F149" s="733" t="e">
        <f>60*((1/F142)-(1/$E5))</f>
        <v>#DIV/0!</v>
      </c>
      <c r="G149" s="733" t="e">
        <f>60*((1/G142)-(1/$E5))</f>
        <v>#DIV/0!</v>
      </c>
      <c r="H149" s="378" t="s">
        <v>276</v>
      </c>
    </row>
    <row r="150" spans="3:8">
      <c r="D150" s="380" t="s">
        <v>89</v>
      </c>
      <c r="E150" s="733" t="e">
        <f t="shared" ref="E150:G152" si="66">60*((1/E143)-(1/$E6))</f>
        <v>#DIV/0!</v>
      </c>
      <c r="F150" s="733" t="e">
        <f t="shared" si="66"/>
        <v>#DIV/0!</v>
      </c>
      <c r="G150" s="733" t="e">
        <f t="shared" si="66"/>
        <v>#DIV/0!</v>
      </c>
    </row>
    <row r="151" spans="3:8">
      <c r="D151" s="380" t="s">
        <v>91</v>
      </c>
      <c r="E151" s="733" t="e">
        <f t="shared" si="66"/>
        <v>#DIV/0!</v>
      </c>
      <c r="F151" s="733" t="e">
        <f t="shared" si="66"/>
        <v>#DIV/0!</v>
      </c>
      <c r="G151" s="733" t="e">
        <f t="shared" si="66"/>
        <v>#DIV/0!</v>
      </c>
    </row>
    <row r="152" spans="3:8">
      <c r="D152" s="380" t="s">
        <v>93</v>
      </c>
      <c r="E152" s="733" t="e">
        <f t="shared" si="66"/>
        <v>#DIV/0!</v>
      </c>
      <c r="F152" s="733" t="e">
        <f t="shared" si="66"/>
        <v>#DIV/0!</v>
      </c>
      <c r="G152" s="733" t="e">
        <f t="shared" si="66"/>
        <v>#DIV/0!</v>
      </c>
    </row>
    <row r="153" spans="3:8">
      <c r="E153" s="723"/>
      <c r="F153" s="723"/>
      <c r="G153" s="723"/>
    </row>
    <row r="154" spans="3:8">
      <c r="C154" s="360" t="s">
        <v>277</v>
      </c>
      <c r="E154" s="723"/>
      <c r="F154" s="723"/>
      <c r="G154" s="723"/>
    </row>
    <row r="155" spans="3:8">
      <c r="C155" s="378"/>
      <c r="D155" s="365"/>
      <c r="E155" s="378" t="s">
        <v>101</v>
      </c>
      <c r="F155" s="378" t="s">
        <v>102</v>
      </c>
      <c r="G155" s="378" t="s">
        <v>103</v>
      </c>
    </row>
    <row r="156" spans="3:8">
      <c r="D156" s="380" t="s">
        <v>87</v>
      </c>
      <c r="E156" s="733" t="e">
        <f>E149*$E$11</f>
        <v>#DIV/0!</v>
      </c>
      <c r="F156" s="733" t="e">
        <f>F149*$E$11</f>
        <v>#DIV/0!</v>
      </c>
      <c r="G156" s="733" t="e">
        <f>G149*$E$11</f>
        <v>#DIV/0!</v>
      </c>
      <c r="H156" s="378" t="s">
        <v>278</v>
      </c>
    </row>
    <row r="157" spans="3:8">
      <c r="D157" s="380" t="s">
        <v>89</v>
      </c>
      <c r="E157" s="733" t="e">
        <f t="shared" ref="E157:G159" si="67">E150*$E$11</f>
        <v>#DIV/0!</v>
      </c>
      <c r="F157" s="733" t="e">
        <f t="shared" si="67"/>
        <v>#DIV/0!</v>
      </c>
      <c r="G157" s="733" t="e">
        <f t="shared" si="67"/>
        <v>#DIV/0!</v>
      </c>
    </row>
    <row r="158" spans="3:8">
      <c r="D158" s="380" t="s">
        <v>91</v>
      </c>
      <c r="E158" s="733" t="e">
        <f t="shared" si="67"/>
        <v>#DIV/0!</v>
      </c>
      <c r="F158" s="733" t="e">
        <f t="shared" si="67"/>
        <v>#DIV/0!</v>
      </c>
      <c r="G158" s="733" t="e">
        <f t="shared" si="67"/>
        <v>#DIV/0!</v>
      </c>
    </row>
    <row r="159" spans="3:8">
      <c r="D159" s="380" t="s">
        <v>93</v>
      </c>
      <c r="E159" s="733" t="e">
        <f t="shared" si="67"/>
        <v>#DIV/0!</v>
      </c>
      <c r="F159" s="733" t="e">
        <f t="shared" si="67"/>
        <v>#DIV/0!</v>
      </c>
      <c r="G159" s="733" t="e">
        <f t="shared" si="67"/>
        <v>#DIV/0!</v>
      </c>
    </row>
    <row r="160" spans="3:8">
      <c r="C160" s="378"/>
    </row>
    <row r="161" spans="3:84">
      <c r="C161" s="360" t="s">
        <v>279</v>
      </c>
    </row>
    <row r="162" spans="3:84">
      <c r="D162" s="728"/>
      <c r="E162" s="728">
        <v>2010</v>
      </c>
      <c r="F162" s="728">
        <v>2011</v>
      </c>
      <c r="G162" s="728">
        <v>2012</v>
      </c>
      <c r="H162" s="728">
        <v>2013</v>
      </c>
      <c r="I162" s="728">
        <v>2014</v>
      </c>
      <c r="J162" s="728">
        <v>2015</v>
      </c>
      <c r="K162" s="728">
        <v>2016</v>
      </c>
      <c r="L162" s="728">
        <v>2017</v>
      </c>
      <c r="M162" s="728">
        <v>2018</v>
      </c>
      <c r="N162" s="728">
        <v>2019</v>
      </c>
      <c r="O162" s="728">
        <v>2020</v>
      </c>
      <c r="P162" s="728">
        <v>2021</v>
      </c>
      <c r="Q162" s="728">
        <v>2022</v>
      </c>
      <c r="R162" s="728">
        <v>2023</v>
      </c>
      <c r="S162" s="728">
        <v>2024</v>
      </c>
      <c r="T162" s="728">
        <v>2025</v>
      </c>
      <c r="U162" s="728">
        <v>2026</v>
      </c>
      <c r="V162" s="728">
        <v>2027</v>
      </c>
      <c r="W162" s="728">
        <v>2028</v>
      </c>
      <c r="X162" s="728">
        <v>2029</v>
      </c>
      <c r="Y162" s="728">
        <v>2030</v>
      </c>
      <c r="Z162" s="728">
        <v>2031</v>
      </c>
      <c r="AA162" s="728">
        <v>2032</v>
      </c>
      <c r="AB162" s="728">
        <v>2033</v>
      </c>
      <c r="AC162" s="728">
        <v>2034</v>
      </c>
      <c r="AD162" s="728">
        <v>2035</v>
      </c>
      <c r="AE162" s="728">
        <v>2036</v>
      </c>
      <c r="AF162" s="728">
        <v>2037</v>
      </c>
      <c r="AG162" s="728">
        <v>2038</v>
      </c>
      <c r="AH162" s="728">
        <v>2039</v>
      </c>
      <c r="AI162" s="728">
        <v>2040</v>
      </c>
      <c r="AJ162" s="728">
        <v>2041</v>
      </c>
      <c r="AK162" s="728">
        <v>2042</v>
      </c>
      <c r="AL162" s="728">
        <v>2043</v>
      </c>
      <c r="AM162" s="728">
        <v>2044</v>
      </c>
      <c r="AN162" s="728">
        <v>2045</v>
      </c>
      <c r="AO162" s="728">
        <v>2046</v>
      </c>
      <c r="AP162" s="728">
        <v>2047</v>
      </c>
      <c r="AQ162" s="728">
        <v>2048</v>
      </c>
      <c r="AR162" s="728">
        <v>2049</v>
      </c>
      <c r="AS162" s="728">
        <v>2050</v>
      </c>
      <c r="AT162" s="728">
        <v>2051</v>
      </c>
      <c r="AU162" s="728">
        <v>2052</v>
      </c>
      <c r="AV162" s="728">
        <v>2053</v>
      </c>
      <c r="AW162" s="728">
        <v>2054</v>
      </c>
      <c r="AX162" s="728">
        <v>2055</v>
      </c>
      <c r="AY162" s="728">
        <v>2056</v>
      </c>
      <c r="AZ162" s="728">
        <v>2057</v>
      </c>
      <c r="BA162" s="728">
        <v>2058</v>
      </c>
      <c r="BB162" s="728">
        <v>2059</v>
      </c>
      <c r="BC162" s="728">
        <v>2060</v>
      </c>
      <c r="BD162" s="728">
        <v>2061</v>
      </c>
      <c r="BE162" s="728">
        <v>2062</v>
      </c>
      <c r="BF162" s="728">
        <v>2063</v>
      </c>
      <c r="BG162" s="728">
        <v>2064</v>
      </c>
      <c r="BH162" s="728">
        <v>2065</v>
      </c>
      <c r="BI162" s="728">
        <v>2066</v>
      </c>
      <c r="BJ162" s="728">
        <v>2067</v>
      </c>
      <c r="BK162" s="728">
        <v>2068</v>
      </c>
      <c r="BL162" s="728">
        <v>2069</v>
      </c>
      <c r="BM162" s="728">
        <v>2070</v>
      </c>
      <c r="BN162" s="728">
        <v>2071</v>
      </c>
      <c r="BO162" s="728">
        <v>2072</v>
      </c>
      <c r="BP162" s="728">
        <v>2073</v>
      </c>
      <c r="BQ162" s="728">
        <v>2074</v>
      </c>
      <c r="BR162" s="728">
        <v>2075</v>
      </c>
      <c r="BS162" s="728">
        <v>2076</v>
      </c>
      <c r="BT162" s="728">
        <v>2077</v>
      </c>
      <c r="BU162" s="728">
        <v>2078</v>
      </c>
      <c r="BV162" s="728">
        <v>2079</v>
      </c>
      <c r="BW162" s="728">
        <v>2080</v>
      </c>
      <c r="BX162" s="728">
        <v>2081</v>
      </c>
      <c r="BY162" s="728">
        <v>2082</v>
      </c>
      <c r="BZ162" s="728">
        <v>2083</v>
      </c>
      <c r="CA162" s="728">
        <v>2084</v>
      </c>
      <c r="CB162" s="728">
        <v>2085</v>
      </c>
      <c r="CC162" s="728">
        <v>2086</v>
      </c>
      <c r="CD162" s="728">
        <v>2087</v>
      </c>
      <c r="CE162" s="728">
        <v>2088</v>
      </c>
      <c r="CF162" s="728">
        <v>2089</v>
      </c>
    </row>
    <row r="163" spans="3:84">
      <c r="D163" s="380" t="s">
        <v>87</v>
      </c>
      <c r="E163" s="380">
        <f t="shared" ref="E163:AJ163" si="68">VLOOKUP(E$162,VOT,84,0)</f>
        <v>10.79</v>
      </c>
      <c r="F163" s="380">
        <f t="shared" si="68"/>
        <v>10.86</v>
      </c>
      <c r="G163" s="380">
        <f t="shared" si="68"/>
        <v>10.95</v>
      </c>
      <c r="H163" s="380">
        <f t="shared" si="68"/>
        <v>11.08</v>
      </c>
      <c r="I163" s="380">
        <f t="shared" si="68"/>
        <v>11.33</v>
      </c>
      <c r="J163" s="380">
        <f t="shared" si="68"/>
        <v>11.53</v>
      </c>
      <c r="K163" s="380">
        <f t="shared" si="68"/>
        <v>11.7</v>
      </c>
      <c r="L163" s="380">
        <f t="shared" si="68"/>
        <v>11.88</v>
      </c>
      <c r="M163" s="380">
        <f t="shared" si="68"/>
        <v>12</v>
      </c>
      <c r="N163" s="380">
        <f t="shared" si="68"/>
        <v>12.13</v>
      </c>
      <c r="O163" s="380">
        <f t="shared" si="68"/>
        <v>12.15</v>
      </c>
      <c r="P163" s="380">
        <f t="shared" si="68"/>
        <v>12.16</v>
      </c>
      <c r="Q163" s="380">
        <f t="shared" si="68"/>
        <v>12.18</v>
      </c>
      <c r="R163" s="380">
        <f t="shared" si="68"/>
        <v>12.36</v>
      </c>
      <c r="S163" s="380">
        <f t="shared" si="68"/>
        <v>12.59</v>
      </c>
      <c r="T163" s="380">
        <f t="shared" si="68"/>
        <v>12.79</v>
      </c>
      <c r="U163" s="380">
        <f t="shared" si="68"/>
        <v>12.98</v>
      </c>
      <c r="V163" s="380">
        <f t="shared" si="68"/>
        <v>13.17</v>
      </c>
      <c r="W163" s="380">
        <f t="shared" si="68"/>
        <v>13.37</v>
      </c>
      <c r="X163" s="380">
        <f t="shared" si="68"/>
        <v>13.56</v>
      </c>
      <c r="Y163" s="380">
        <f t="shared" si="68"/>
        <v>13.76</v>
      </c>
      <c r="Z163" s="380">
        <f t="shared" si="68"/>
        <v>13.95</v>
      </c>
      <c r="AA163" s="380">
        <f t="shared" si="68"/>
        <v>14.15</v>
      </c>
      <c r="AB163" s="380">
        <f t="shared" si="68"/>
        <v>14.34</v>
      </c>
      <c r="AC163" s="380">
        <f t="shared" si="68"/>
        <v>14.54</v>
      </c>
      <c r="AD163" s="380">
        <f t="shared" si="68"/>
        <v>14.74</v>
      </c>
      <c r="AE163" s="380">
        <f t="shared" si="68"/>
        <v>14.95</v>
      </c>
      <c r="AF163" s="380">
        <f t="shared" si="68"/>
        <v>15.17</v>
      </c>
      <c r="AG163" s="380">
        <f t="shared" si="68"/>
        <v>15.4</v>
      </c>
      <c r="AH163" s="380">
        <f t="shared" si="68"/>
        <v>15.62</v>
      </c>
      <c r="AI163" s="380">
        <f t="shared" si="68"/>
        <v>15.84</v>
      </c>
      <c r="AJ163" s="380">
        <f t="shared" si="68"/>
        <v>16.059999999999999</v>
      </c>
      <c r="AK163" s="380">
        <f t="shared" ref="AK163:BP163" si="69">VLOOKUP(AK$162,VOT,84,0)</f>
        <v>16.28</v>
      </c>
      <c r="AL163" s="380">
        <f t="shared" si="69"/>
        <v>16.5</v>
      </c>
      <c r="AM163" s="380">
        <f t="shared" si="69"/>
        <v>16.72</v>
      </c>
      <c r="AN163" s="380">
        <f t="shared" si="69"/>
        <v>16.940000000000001</v>
      </c>
      <c r="AO163" s="380">
        <f t="shared" si="69"/>
        <v>17.16</v>
      </c>
      <c r="AP163" s="380">
        <f t="shared" si="69"/>
        <v>17.39</v>
      </c>
      <c r="AQ163" s="380">
        <f t="shared" si="69"/>
        <v>17.61</v>
      </c>
      <c r="AR163" s="380">
        <f t="shared" si="69"/>
        <v>17.829999999999998</v>
      </c>
      <c r="AS163" s="380">
        <f t="shared" si="69"/>
        <v>18.059999999999999</v>
      </c>
      <c r="AT163" s="380">
        <f t="shared" si="69"/>
        <v>18.3</v>
      </c>
      <c r="AU163" s="380">
        <f t="shared" si="69"/>
        <v>18.54</v>
      </c>
      <c r="AV163" s="380">
        <f t="shared" si="69"/>
        <v>18.79</v>
      </c>
      <c r="AW163" s="380">
        <f t="shared" si="69"/>
        <v>19.04</v>
      </c>
      <c r="AX163" s="380">
        <f t="shared" si="69"/>
        <v>19.3</v>
      </c>
      <c r="AY163" s="380">
        <f t="shared" si="69"/>
        <v>19.559999999999999</v>
      </c>
      <c r="AZ163" s="380">
        <f t="shared" si="69"/>
        <v>19.829999999999998</v>
      </c>
      <c r="BA163" s="380">
        <f t="shared" si="69"/>
        <v>20.11</v>
      </c>
      <c r="BB163" s="380">
        <f t="shared" si="69"/>
        <v>20.39</v>
      </c>
      <c r="BC163" s="380">
        <f t="shared" si="69"/>
        <v>20.68</v>
      </c>
      <c r="BD163" s="380">
        <f t="shared" si="69"/>
        <v>20.98</v>
      </c>
      <c r="BE163" s="380">
        <f t="shared" si="69"/>
        <v>21.28</v>
      </c>
      <c r="BF163" s="380">
        <f t="shared" si="69"/>
        <v>21.59</v>
      </c>
      <c r="BG163" s="380">
        <f t="shared" si="69"/>
        <v>21.91</v>
      </c>
      <c r="BH163" s="380">
        <f t="shared" si="69"/>
        <v>22.23</v>
      </c>
      <c r="BI163" s="380">
        <f t="shared" si="69"/>
        <v>22.58</v>
      </c>
      <c r="BJ163" s="380">
        <f t="shared" si="69"/>
        <v>22.94</v>
      </c>
      <c r="BK163" s="380">
        <f t="shared" si="69"/>
        <v>23.29</v>
      </c>
      <c r="BL163" s="380">
        <f t="shared" si="69"/>
        <v>23.65</v>
      </c>
      <c r="BM163" s="380">
        <f t="shared" si="69"/>
        <v>24</v>
      </c>
      <c r="BN163" s="380">
        <f t="shared" si="69"/>
        <v>24.36</v>
      </c>
      <c r="BO163" s="380">
        <f t="shared" si="69"/>
        <v>24.72</v>
      </c>
      <c r="BP163" s="380">
        <f t="shared" si="69"/>
        <v>25.07</v>
      </c>
      <c r="BQ163" s="380">
        <f t="shared" ref="BQ163:CF163" si="70">VLOOKUP(BQ$162,VOT,84,0)</f>
        <v>25.41</v>
      </c>
      <c r="BR163" s="380">
        <f t="shared" si="70"/>
        <v>25.75</v>
      </c>
      <c r="BS163" s="380">
        <f t="shared" si="70"/>
        <v>26.07</v>
      </c>
      <c r="BT163" s="380">
        <f t="shared" si="70"/>
        <v>26.4</v>
      </c>
      <c r="BU163" s="380">
        <f t="shared" si="70"/>
        <v>26.73</v>
      </c>
      <c r="BV163" s="380">
        <f t="shared" si="70"/>
        <v>27.06</v>
      </c>
      <c r="BW163" s="380">
        <f t="shared" si="70"/>
        <v>27.38</v>
      </c>
      <c r="BX163" s="380">
        <f t="shared" si="70"/>
        <v>27.72</v>
      </c>
      <c r="BY163" s="380">
        <f t="shared" si="70"/>
        <v>28.08</v>
      </c>
      <c r="BZ163" s="380">
        <f t="shared" si="70"/>
        <v>28.45</v>
      </c>
      <c r="CA163" s="380">
        <f t="shared" si="70"/>
        <v>28.82</v>
      </c>
      <c r="CB163" s="380">
        <f t="shared" si="70"/>
        <v>29.21</v>
      </c>
      <c r="CC163" s="380">
        <f t="shared" si="70"/>
        <v>29.63</v>
      </c>
      <c r="CD163" s="380">
        <f t="shared" si="70"/>
        <v>30.07</v>
      </c>
      <c r="CE163" s="380">
        <f t="shared" si="70"/>
        <v>30.52</v>
      </c>
      <c r="CF163" s="380">
        <f t="shared" si="70"/>
        <v>30.98</v>
      </c>
    </row>
    <row r="164" spans="3:84">
      <c r="D164" s="380" t="s">
        <v>89</v>
      </c>
      <c r="E164" s="380">
        <f t="shared" ref="E164:AJ164" si="71">VLOOKUP(E$162,VOT,87,0)</f>
        <v>14.39</v>
      </c>
      <c r="F164" s="380">
        <f t="shared" si="71"/>
        <v>14.47</v>
      </c>
      <c r="G164" s="380">
        <f t="shared" si="71"/>
        <v>14.59</v>
      </c>
      <c r="H164" s="380">
        <f t="shared" si="71"/>
        <v>14.77</v>
      </c>
      <c r="I164" s="380">
        <f t="shared" si="71"/>
        <v>15.1</v>
      </c>
      <c r="J164" s="380">
        <f t="shared" si="71"/>
        <v>15.37</v>
      </c>
      <c r="K164" s="380">
        <f t="shared" si="71"/>
        <v>15.59</v>
      </c>
      <c r="L164" s="380">
        <f t="shared" si="71"/>
        <v>15.83</v>
      </c>
      <c r="M164" s="380">
        <f t="shared" si="71"/>
        <v>16</v>
      </c>
      <c r="N164" s="380">
        <f t="shared" si="71"/>
        <v>16.18</v>
      </c>
      <c r="O164" s="380">
        <f t="shared" si="71"/>
        <v>16.190000000000001</v>
      </c>
      <c r="P164" s="380">
        <f t="shared" si="71"/>
        <v>16.21</v>
      </c>
      <c r="Q164" s="380">
        <f t="shared" si="71"/>
        <v>16.23</v>
      </c>
      <c r="R164" s="380">
        <f t="shared" si="71"/>
        <v>16.48</v>
      </c>
      <c r="S164" s="380">
        <f t="shared" si="71"/>
        <v>16.79</v>
      </c>
      <c r="T164" s="380">
        <f t="shared" si="71"/>
        <v>17.05</v>
      </c>
      <c r="U164" s="380">
        <f t="shared" si="71"/>
        <v>17.3</v>
      </c>
      <c r="V164" s="380">
        <f t="shared" si="71"/>
        <v>17.559999999999999</v>
      </c>
      <c r="W164" s="380">
        <f t="shared" si="71"/>
        <v>17.82</v>
      </c>
      <c r="X164" s="380">
        <f t="shared" si="71"/>
        <v>18.079999999999998</v>
      </c>
      <c r="Y164" s="380">
        <f t="shared" si="71"/>
        <v>18.34</v>
      </c>
      <c r="Z164" s="380">
        <f t="shared" si="71"/>
        <v>18.600000000000001</v>
      </c>
      <c r="AA164" s="380">
        <f t="shared" si="71"/>
        <v>18.86</v>
      </c>
      <c r="AB164" s="380">
        <f t="shared" si="71"/>
        <v>19.12</v>
      </c>
      <c r="AC164" s="380">
        <f t="shared" si="71"/>
        <v>19.38</v>
      </c>
      <c r="AD164" s="380">
        <f t="shared" si="71"/>
        <v>19.64</v>
      </c>
      <c r="AE164" s="380">
        <f t="shared" si="71"/>
        <v>19.93</v>
      </c>
      <c r="AF164" s="380">
        <f t="shared" si="71"/>
        <v>20.23</v>
      </c>
      <c r="AG164" s="380">
        <f t="shared" si="71"/>
        <v>20.52</v>
      </c>
      <c r="AH164" s="380">
        <f t="shared" si="71"/>
        <v>20.82</v>
      </c>
      <c r="AI164" s="380">
        <f t="shared" si="71"/>
        <v>21.11</v>
      </c>
      <c r="AJ164" s="380">
        <f t="shared" si="71"/>
        <v>21.41</v>
      </c>
      <c r="AK164" s="380">
        <f t="shared" ref="AK164:BP164" si="72">VLOOKUP(AK$162,VOT,87,0)</f>
        <v>21.7</v>
      </c>
      <c r="AL164" s="380">
        <f t="shared" si="72"/>
        <v>22</v>
      </c>
      <c r="AM164" s="380">
        <f t="shared" si="72"/>
        <v>22.29</v>
      </c>
      <c r="AN164" s="380">
        <f t="shared" si="72"/>
        <v>22.58</v>
      </c>
      <c r="AO164" s="380">
        <f t="shared" si="72"/>
        <v>22.88</v>
      </c>
      <c r="AP164" s="380">
        <f t="shared" si="72"/>
        <v>23.17</v>
      </c>
      <c r="AQ164" s="380">
        <f t="shared" si="72"/>
        <v>23.47</v>
      </c>
      <c r="AR164" s="380">
        <f t="shared" si="72"/>
        <v>23.77</v>
      </c>
      <c r="AS164" s="380">
        <f t="shared" si="72"/>
        <v>24.08</v>
      </c>
      <c r="AT164" s="380">
        <f t="shared" si="72"/>
        <v>24.39</v>
      </c>
      <c r="AU164" s="380">
        <f t="shared" si="72"/>
        <v>24.72</v>
      </c>
      <c r="AV164" s="380">
        <f t="shared" si="72"/>
        <v>25.05</v>
      </c>
      <c r="AW164" s="380">
        <f t="shared" si="72"/>
        <v>25.38</v>
      </c>
      <c r="AX164" s="380">
        <f t="shared" si="72"/>
        <v>25.73</v>
      </c>
      <c r="AY164" s="380">
        <f t="shared" si="72"/>
        <v>26.08</v>
      </c>
      <c r="AZ164" s="380">
        <f t="shared" si="72"/>
        <v>26.44</v>
      </c>
      <c r="BA164" s="380">
        <f t="shared" si="72"/>
        <v>26.81</v>
      </c>
      <c r="BB164" s="380">
        <f t="shared" si="72"/>
        <v>27.19</v>
      </c>
      <c r="BC164" s="380">
        <f t="shared" si="72"/>
        <v>27.57</v>
      </c>
      <c r="BD164" s="380">
        <f t="shared" si="72"/>
        <v>27.97</v>
      </c>
      <c r="BE164" s="380">
        <f t="shared" si="72"/>
        <v>28.37</v>
      </c>
      <c r="BF164" s="380">
        <f t="shared" si="72"/>
        <v>28.78</v>
      </c>
      <c r="BG164" s="380">
        <f t="shared" si="72"/>
        <v>29.21</v>
      </c>
      <c r="BH164" s="380">
        <f t="shared" si="72"/>
        <v>29.64</v>
      </c>
      <c r="BI164" s="380">
        <f t="shared" si="72"/>
        <v>30.1</v>
      </c>
      <c r="BJ164" s="380">
        <f t="shared" si="72"/>
        <v>30.58</v>
      </c>
      <c r="BK164" s="380">
        <f t="shared" si="72"/>
        <v>31.05</v>
      </c>
      <c r="BL164" s="380">
        <f t="shared" si="72"/>
        <v>31.52</v>
      </c>
      <c r="BM164" s="380">
        <f t="shared" si="72"/>
        <v>31.99</v>
      </c>
      <c r="BN164" s="380">
        <f t="shared" si="72"/>
        <v>32.479999999999997</v>
      </c>
      <c r="BO164" s="380">
        <f t="shared" si="72"/>
        <v>32.950000000000003</v>
      </c>
      <c r="BP164" s="380">
        <f t="shared" si="72"/>
        <v>33.42</v>
      </c>
      <c r="BQ164" s="380">
        <f t="shared" ref="BQ164:CF164" si="73">VLOOKUP(BQ$162,VOT,87,0)</f>
        <v>33.869999999999997</v>
      </c>
      <c r="BR164" s="380">
        <f t="shared" si="73"/>
        <v>34.32</v>
      </c>
      <c r="BS164" s="380">
        <f t="shared" si="73"/>
        <v>34.75</v>
      </c>
      <c r="BT164" s="380">
        <f t="shared" si="73"/>
        <v>35.19</v>
      </c>
      <c r="BU164" s="380">
        <f t="shared" si="73"/>
        <v>35.630000000000003</v>
      </c>
      <c r="BV164" s="380">
        <f t="shared" si="73"/>
        <v>36.07</v>
      </c>
      <c r="BW164" s="380">
        <f t="shared" si="73"/>
        <v>36.5</v>
      </c>
      <c r="BX164" s="380">
        <f t="shared" si="73"/>
        <v>36.950000000000003</v>
      </c>
      <c r="BY164" s="380">
        <f t="shared" si="73"/>
        <v>37.43</v>
      </c>
      <c r="BZ164" s="380">
        <f t="shared" si="73"/>
        <v>37.92</v>
      </c>
      <c r="CA164" s="380">
        <f t="shared" si="73"/>
        <v>38.42</v>
      </c>
      <c r="CB164" s="380">
        <f t="shared" si="73"/>
        <v>38.94</v>
      </c>
      <c r="CC164" s="380">
        <f t="shared" si="73"/>
        <v>39.5</v>
      </c>
      <c r="CD164" s="380">
        <f t="shared" si="73"/>
        <v>40.090000000000003</v>
      </c>
      <c r="CE164" s="380">
        <f t="shared" si="73"/>
        <v>40.68</v>
      </c>
      <c r="CF164" s="380">
        <f t="shared" si="73"/>
        <v>41.29</v>
      </c>
    </row>
    <row r="165" spans="3:84">
      <c r="D165" s="380" t="s">
        <v>91</v>
      </c>
      <c r="E165" s="380">
        <f t="shared" ref="E165:AJ165" si="74">VLOOKUP(E$162,VOT,89,0)</f>
        <v>14.43</v>
      </c>
      <c r="F165" s="380">
        <f t="shared" si="74"/>
        <v>14.52</v>
      </c>
      <c r="G165" s="380">
        <f t="shared" si="74"/>
        <v>14.64</v>
      </c>
      <c r="H165" s="380">
        <f t="shared" si="74"/>
        <v>14.82</v>
      </c>
      <c r="I165" s="380">
        <f t="shared" si="74"/>
        <v>15.15</v>
      </c>
      <c r="J165" s="380">
        <f t="shared" si="74"/>
        <v>15.43</v>
      </c>
      <c r="K165" s="380">
        <f t="shared" si="74"/>
        <v>15.65</v>
      </c>
      <c r="L165" s="380">
        <f t="shared" si="74"/>
        <v>15.88</v>
      </c>
      <c r="M165" s="380">
        <f t="shared" si="74"/>
        <v>16.05</v>
      </c>
      <c r="N165" s="380">
        <f t="shared" si="74"/>
        <v>16.23</v>
      </c>
      <c r="O165" s="380">
        <f t="shared" si="74"/>
        <v>16.25</v>
      </c>
      <c r="P165" s="380">
        <f t="shared" si="74"/>
        <v>16.27</v>
      </c>
      <c r="Q165" s="380">
        <f t="shared" si="74"/>
        <v>16.29</v>
      </c>
      <c r="R165" s="380">
        <f t="shared" si="74"/>
        <v>16.53</v>
      </c>
      <c r="S165" s="380">
        <f t="shared" si="74"/>
        <v>16.84</v>
      </c>
      <c r="T165" s="380">
        <f t="shared" si="74"/>
        <v>17.11</v>
      </c>
      <c r="U165" s="380">
        <f t="shared" si="74"/>
        <v>17.36</v>
      </c>
      <c r="V165" s="380">
        <f t="shared" si="74"/>
        <v>17.62</v>
      </c>
      <c r="W165" s="380">
        <f t="shared" si="74"/>
        <v>17.88</v>
      </c>
      <c r="X165" s="380">
        <f t="shared" si="74"/>
        <v>18.14</v>
      </c>
      <c r="Y165" s="380">
        <f t="shared" si="74"/>
        <v>18.399999999999999</v>
      </c>
      <c r="Z165" s="380">
        <f t="shared" si="74"/>
        <v>18.66</v>
      </c>
      <c r="AA165" s="380">
        <f t="shared" si="74"/>
        <v>18.920000000000002</v>
      </c>
      <c r="AB165" s="380">
        <f t="shared" si="74"/>
        <v>19.18</v>
      </c>
      <c r="AC165" s="380">
        <f t="shared" si="74"/>
        <v>19.45</v>
      </c>
      <c r="AD165" s="380">
        <f t="shared" si="74"/>
        <v>19.71</v>
      </c>
      <c r="AE165" s="380">
        <f t="shared" si="74"/>
        <v>20</v>
      </c>
      <c r="AF165" s="380">
        <f t="shared" si="74"/>
        <v>20.3</v>
      </c>
      <c r="AG165" s="380">
        <f t="shared" si="74"/>
        <v>20.59</v>
      </c>
      <c r="AH165" s="380">
        <f t="shared" si="74"/>
        <v>20.89</v>
      </c>
      <c r="AI165" s="380">
        <f t="shared" si="74"/>
        <v>21.19</v>
      </c>
      <c r="AJ165" s="380">
        <f t="shared" si="74"/>
        <v>21.48</v>
      </c>
      <c r="AK165" s="380">
        <f t="shared" ref="AK165:BP165" si="75">VLOOKUP(AK$162,VOT,89,0)</f>
        <v>21.78</v>
      </c>
      <c r="AL165" s="380">
        <f t="shared" si="75"/>
        <v>22.07</v>
      </c>
      <c r="AM165" s="380">
        <f t="shared" si="75"/>
        <v>22.37</v>
      </c>
      <c r="AN165" s="380">
        <f t="shared" si="75"/>
        <v>22.66</v>
      </c>
      <c r="AO165" s="380">
        <f t="shared" si="75"/>
        <v>22.96</v>
      </c>
      <c r="AP165" s="380">
        <f t="shared" si="75"/>
        <v>23.25</v>
      </c>
      <c r="AQ165" s="380">
        <f t="shared" si="75"/>
        <v>23.55</v>
      </c>
      <c r="AR165" s="380">
        <f t="shared" si="75"/>
        <v>23.85</v>
      </c>
      <c r="AS165" s="380">
        <f t="shared" si="75"/>
        <v>24.16</v>
      </c>
      <c r="AT165" s="380">
        <f t="shared" si="75"/>
        <v>24.48</v>
      </c>
      <c r="AU165" s="380">
        <f t="shared" si="75"/>
        <v>24.8</v>
      </c>
      <c r="AV165" s="380">
        <f t="shared" si="75"/>
        <v>25.13</v>
      </c>
      <c r="AW165" s="380">
        <f t="shared" si="75"/>
        <v>25.47</v>
      </c>
      <c r="AX165" s="380">
        <f t="shared" si="75"/>
        <v>25.81</v>
      </c>
      <c r="AY165" s="380">
        <f t="shared" si="75"/>
        <v>26.17</v>
      </c>
      <c r="AZ165" s="380">
        <f t="shared" si="75"/>
        <v>26.53</v>
      </c>
      <c r="BA165" s="380">
        <f t="shared" si="75"/>
        <v>26.9</v>
      </c>
      <c r="BB165" s="380">
        <f t="shared" si="75"/>
        <v>27.28</v>
      </c>
      <c r="BC165" s="380">
        <f t="shared" si="75"/>
        <v>27.66</v>
      </c>
      <c r="BD165" s="380">
        <f t="shared" si="75"/>
        <v>28.06</v>
      </c>
      <c r="BE165" s="380">
        <f t="shared" si="75"/>
        <v>28.47</v>
      </c>
      <c r="BF165" s="380">
        <f t="shared" si="75"/>
        <v>28.88</v>
      </c>
      <c r="BG165" s="380">
        <f t="shared" si="75"/>
        <v>29.31</v>
      </c>
      <c r="BH165" s="380">
        <f t="shared" si="75"/>
        <v>29.74</v>
      </c>
      <c r="BI165" s="380">
        <f t="shared" si="75"/>
        <v>30.2</v>
      </c>
      <c r="BJ165" s="380">
        <f t="shared" si="75"/>
        <v>30.68</v>
      </c>
      <c r="BK165" s="380">
        <f t="shared" si="75"/>
        <v>31.15</v>
      </c>
      <c r="BL165" s="380">
        <f t="shared" si="75"/>
        <v>31.63</v>
      </c>
      <c r="BM165" s="380">
        <f t="shared" si="75"/>
        <v>32.1</v>
      </c>
      <c r="BN165" s="380">
        <f t="shared" si="75"/>
        <v>32.590000000000003</v>
      </c>
      <c r="BO165" s="380">
        <f t="shared" si="75"/>
        <v>33.06</v>
      </c>
      <c r="BP165" s="380">
        <f t="shared" si="75"/>
        <v>33.53</v>
      </c>
      <c r="BQ165" s="380">
        <f t="shared" ref="BQ165:CF165" si="76">VLOOKUP(BQ$162,VOT,89,0)</f>
        <v>33.99</v>
      </c>
      <c r="BR165" s="380">
        <f t="shared" si="76"/>
        <v>34.44</v>
      </c>
      <c r="BS165" s="380">
        <f t="shared" si="76"/>
        <v>34.869999999999997</v>
      </c>
      <c r="BT165" s="380">
        <f t="shared" si="76"/>
        <v>35.31</v>
      </c>
      <c r="BU165" s="380">
        <f t="shared" si="76"/>
        <v>35.75</v>
      </c>
      <c r="BV165" s="380">
        <f t="shared" si="76"/>
        <v>36.19</v>
      </c>
      <c r="BW165" s="380">
        <f t="shared" si="76"/>
        <v>36.619999999999997</v>
      </c>
      <c r="BX165" s="380">
        <f t="shared" si="76"/>
        <v>37.08</v>
      </c>
      <c r="BY165" s="380">
        <f t="shared" si="76"/>
        <v>37.56</v>
      </c>
      <c r="BZ165" s="380">
        <f t="shared" si="76"/>
        <v>38.049999999999997</v>
      </c>
      <c r="CA165" s="380">
        <f t="shared" si="76"/>
        <v>38.549999999999997</v>
      </c>
      <c r="CB165" s="380">
        <f t="shared" si="76"/>
        <v>39.08</v>
      </c>
      <c r="CC165" s="380">
        <f t="shared" si="76"/>
        <v>39.630000000000003</v>
      </c>
      <c r="CD165" s="380">
        <f t="shared" si="76"/>
        <v>40.22</v>
      </c>
      <c r="CE165" s="380">
        <f t="shared" si="76"/>
        <v>40.82</v>
      </c>
      <c r="CF165" s="380">
        <f t="shared" si="76"/>
        <v>41.43</v>
      </c>
    </row>
    <row r="166" spans="3:84">
      <c r="D166" s="380" t="s">
        <v>93</v>
      </c>
      <c r="E166" s="380">
        <f t="shared" ref="E166:AJ166" si="77">VLOOKUP(E$162,VOT,93,0)</f>
        <v>79.55</v>
      </c>
      <c r="F166" s="380">
        <f t="shared" si="77"/>
        <v>80.040000000000006</v>
      </c>
      <c r="G166" s="380">
        <f t="shared" si="77"/>
        <v>80.680000000000007</v>
      </c>
      <c r="H166" s="380">
        <f t="shared" si="77"/>
        <v>81.69</v>
      </c>
      <c r="I166" s="380">
        <f t="shared" si="77"/>
        <v>83.49</v>
      </c>
      <c r="J166" s="380">
        <f t="shared" si="77"/>
        <v>85.01</v>
      </c>
      <c r="K166" s="380">
        <f t="shared" si="77"/>
        <v>86.22</v>
      </c>
      <c r="L166" s="380">
        <f t="shared" si="77"/>
        <v>87.54</v>
      </c>
      <c r="M166" s="380">
        <f t="shared" si="77"/>
        <v>88.45</v>
      </c>
      <c r="N166" s="380">
        <f t="shared" si="77"/>
        <v>89.45</v>
      </c>
      <c r="O166" s="380">
        <f t="shared" si="77"/>
        <v>89.55</v>
      </c>
      <c r="P166" s="380">
        <f t="shared" si="77"/>
        <v>89.65</v>
      </c>
      <c r="Q166" s="380">
        <f t="shared" si="77"/>
        <v>89.75</v>
      </c>
      <c r="R166" s="380">
        <f t="shared" si="77"/>
        <v>91.11</v>
      </c>
      <c r="S166" s="380">
        <f t="shared" si="77"/>
        <v>92.83</v>
      </c>
      <c r="T166" s="380">
        <f t="shared" si="77"/>
        <v>94.3</v>
      </c>
      <c r="U166" s="380">
        <f t="shared" si="77"/>
        <v>95.68</v>
      </c>
      <c r="V166" s="380">
        <f t="shared" si="77"/>
        <v>97.1</v>
      </c>
      <c r="W166" s="380">
        <f t="shared" si="77"/>
        <v>98.53</v>
      </c>
      <c r="X166" s="380">
        <f t="shared" si="77"/>
        <v>99.98</v>
      </c>
      <c r="Y166" s="380">
        <f t="shared" si="77"/>
        <v>101.41</v>
      </c>
      <c r="Z166" s="380">
        <f t="shared" si="77"/>
        <v>102.85</v>
      </c>
      <c r="AA166" s="380">
        <f t="shared" si="77"/>
        <v>104.28</v>
      </c>
      <c r="AB166" s="380">
        <f t="shared" si="77"/>
        <v>105.72</v>
      </c>
      <c r="AC166" s="380">
        <f t="shared" si="77"/>
        <v>107.17</v>
      </c>
      <c r="AD166" s="380">
        <f t="shared" si="77"/>
        <v>108.62</v>
      </c>
      <c r="AE166" s="380">
        <f t="shared" si="77"/>
        <v>110.22</v>
      </c>
      <c r="AF166" s="380">
        <f t="shared" si="77"/>
        <v>111.85</v>
      </c>
      <c r="AG166" s="380">
        <f t="shared" si="77"/>
        <v>113.49</v>
      </c>
      <c r="AH166" s="380">
        <f t="shared" si="77"/>
        <v>115.12</v>
      </c>
      <c r="AI166" s="380">
        <f t="shared" si="77"/>
        <v>116.75</v>
      </c>
      <c r="AJ166" s="380">
        <f t="shared" si="77"/>
        <v>118.39</v>
      </c>
      <c r="AK166" s="380">
        <f t="shared" ref="AK166:BP166" si="78">VLOOKUP(AK$162,VOT,93,0)</f>
        <v>120.01</v>
      </c>
      <c r="AL166" s="380">
        <f t="shared" si="78"/>
        <v>121.63</v>
      </c>
      <c r="AM166" s="380">
        <f t="shared" si="78"/>
        <v>123.25</v>
      </c>
      <c r="AN166" s="380">
        <f t="shared" si="78"/>
        <v>124.88</v>
      </c>
      <c r="AO166" s="380">
        <f t="shared" si="78"/>
        <v>126.52</v>
      </c>
      <c r="AP166" s="380">
        <f t="shared" si="78"/>
        <v>128.15</v>
      </c>
      <c r="AQ166" s="380">
        <f t="shared" si="78"/>
        <v>129.79</v>
      </c>
      <c r="AR166" s="380">
        <f t="shared" si="78"/>
        <v>131.46</v>
      </c>
      <c r="AS166" s="380">
        <f t="shared" si="78"/>
        <v>133.15</v>
      </c>
      <c r="AT166" s="380">
        <f t="shared" si="78"/>
        <v>134.88999999999999</v>
      </c>
      <c r="AU166" s="380">
        <f t="shared" si="78"/>
        <v>136.66999999999999</v>
      </c>
      <c r="AV166" s="380">
        <f t="shared" si="78"/>
        <v>138.5</v>
      </c>
      <c r="AW166" s="380">
        <f t="shared" si="78"/>
        <v>140.35</v>
      </c>
      <c r="AX166" s="380">
        <f t="shared" si="78"/>
        <v>142.25</v>
      </c>
      <c r="AY166" s="380">
        <f t="shared" si="78"/>
        <v>144.19999999999999</v>
      </c>
      <c r="AZ166" s="380">
        <f t="shared" si="78"/>
        <v>146.19999999999999</v>
      </c>
      <c r="BA166" s="380">
        <f t="shared" si="78"/>
        <v>148.24</v>
      </c>
      <c r="BB166" s="380">
        <f t="shared" si="78"/>
        <v>150.33000000000001</v>
      </c>
      <c r="BC166" s="380">
        <f t="shared" si="78"/>
        <v>152.46</v>
      </c>
      <c r="BD166" s="380">
        <f t="shared" si="78"/>
        <v>154.65</v>
      </c>
      <c r="BE166" s="380">
        <f t="shared" si="78"/>
        <v>156.88</v>
      </c>
      <c r="BF166" s="380">
        <f t="shared" si="78"/>
        <v>159.16999999999999</v>
      </c>
      <c r="BG166" s="380">
        <f t="shared" si="78"/>
        <v>161.5</v>
      </c>
      <c r="BH166" s="380">
        <f t="shared" si="78"/>
        <v>163.9</v>
      </c>
      <c r="BI166" s="380">
        <f t="shared" si="78"/>
        <v>166.42</v>
      </c>
      <c r="BJ166" s="380">
        <f t="shared" si="78"/>
        <v>169.09</v>
      </c>
      <c r="BK166" s="380">
        <f t="shared" si="78"/>
        <v>171.68</v>
      </c>
      <c r="BL166" s="380">
        <f t="shared" si="78"/>
        <v>174.29</v>
      </c>
      <c r="BM166" s="380">
        <f t="shared" si="78"/>
        <v>176.9</v>
      </c>
      <c r="BN166" s="380">
        <f t="shared" si="78"/>
        <v>179.58</v>
      </c>
      <c r="BO166" s="380">
        <f t="shared" si="78"/>
        <v>182.21</v>
      </c>
      <c r="BP166" s="380">
        <f t="shared" si="78"/>
        <v>184.81</v>
      </c>
      <c r="BQ166" s="380">
        <f t="shared" ref="BQ166:CF166" si="79">VLOOKUP(BQ$162,VOT,93,0)</f>
        <v>187.31</v>
      </c>
      <c r="BR166" s="380">
        <f t="shared" si="79"/>
        <v>189.78</v>
      </c>
      <c r="BS166" s="380">
        <f t="shared" si="79"/>
        <v>192.16</v>
      </c>
      <c r="BT166" s="380">
        <f t="shared" si="79"/>
        <v>194.6</v>
      </c>
      <c r="BU166" s="380">
        <f t="shared" si="79"/>
        <v>197.04</v>
      </c>
      <c r="BV166" s="380">
        <f t="shared" si="79"/>
        <v>199.44</v>
      </c>
      <c r="BW166" s="380">
        <f t="shared" si="79"/>
        <v>201.82</v>
      </c>
      <c r="BX166" s="380">
        <f t="shared" si="79"/>
        <v>204.35</v>
      </c>
      <c r="BY166" s="380">
        <f t="shared" si="79"/>
        <v>206.99</v>
      </c>
      <c r="BZ166" s="380">
        <f t="shared" si="79"/>
        <v>209.7</v>
      </c>
      <c r="CA166" s="380">
        <f t="shared" si="79"/>
        <v>212.45</v>
      </c>
      <c r="CB166" s="380">
        <f t="shared" si="79"/>
        <v>215.34</v>
      </c>
      <c r="CC166" s="380">
        <f t="shared" si="79"/>
        <v>218.41</v>
      </c>
      <c r="CD166" s="380">
        <f t="shared" si="79"/>
        <v>221.66</v>
      </c>
      <c r="CE166" s="380">
        <f t="shared" si="79"/>
        <v>224.95</v>
      </c>
      <c r="CF166" s="380">
        <f t="shared" si="79"/>
        <v>228.32</v>
      </c>
    </row>
    <row r="168" spans="3:84">
      <c r="C168" s="360" t="s">
        <v>280</v>
      </c>
    </row>
    <row r="169" spans="3:84">
      <c r="D169" s="728"/>
      <c r="E169" s="728">
        <v>2010</v>
      </c>
      <c r="F169" s="728">
        <v>2011</v>
      </c>
      <c r="G169" s="728">
        <v>2012</v>
      </c>
      <c r="H169" s="728">
        <v>2013</v>
      </c>
      <c r="I169" s="728">
        <v>2014</v>
      </c>
      <c r="J169" s="728">
        <v>2015</v>
      </c>
      <c r="K169" s="728">
        <v>2016</v>
      </c>
      <c r="L169" s="728">
        <v>2017</v>
      </c>
      <c r="M169" s="728">
        <v>2018</v>
      </c>
      <c r="N169" s="728">
        <v>2019</v>
      </c>
      <c r="O169" s="728">
        <v>2020</v>
      </c>
      <c r="P169" s="728">
        <v>2021</v>
      </c>
      <c r="Q169" s="728">
        <v>2022</v>
      </c>
      <c r="R169" s="728">
        <v>2023</v>
      </c>
      <c r="S169" s="728">
        <v>2024</v>
      </c>
      <c r="T169" s="728">
        <v>2025</v>
      </c>
      <c r="U169" s="728">
        <v>2026</v>
      </c>
      <c r="V169" s="728">
        <v>2027</v>
      </c>
      <c r="W169" s="728">
        <v>2028</v>
      </c>
      <c r="X169" s="728">
        <v>2029</v>
      </c>
      <c r="Y169" s="728">
        <v>2030</v>
      </c>
      <c r="Z169" s="728">
        <v>2031</v>
      </c>
      <c r="AA169" s="728">
        <v>2032</v>
      </c>
      <c r="AB169" s="728">
        <v>2033</v>
      </c>
      <c r="AC169" s="728">
        <v>2034</v>
      </c>
      <c r="AD169" s="728">
        <v>2035</v>
      </c>
      <c r="AE169" s="728">
        <v>2036</v>
      </c>
      <c r="AF169" s="728">
        <v>2037</v>
      </c>
      <c r="AG169" s="728">
        <v>2038</v>
      </c>
      <c r="AH169" s="728">
        <v>2039</v>
      </c>
      <c r="AI169" s="728">
        <v>2040</v>
      </c>
      <c r="AJ169" s="728">
        <v>2041</v>
      </c>
      <c r="AK169" s="728">
        <v>2042</v>
      </c>
      <c r="AL169" s="728">
        <v>2043</v>
      </c>
      <c r="AM169" s="728">
        <v>2044</v>
      </c>
      <c r="AN169" s="728">
        <v>2045</v>
      </c>
      <c r="AO169" s="728">
        <v>2046</v>
      </c>
      <c r="AP169" s="728">
        <v>2047</v>
      </c>
      <c r="AQ169" s="728">
        <v>2048</v>
      </c>
      <c r="AR169" s="728">
        <v>2049</v>
      </c>
      <c r="AS169" s="728">
        <v>2050</v>
      </c>
      <c r="AT169" s="728">
        <v>2051</v>
      </c>
      <c r="AU169" s="728">
        <v>2052</v>
      </c>
      <c r="AV169" s="728">
        <v>2053</v>
      </c>
      <c r="AW169" s="728">
        <v>2054</v>
      </c>
      <c r="AX169" s="728">
        <v>2055</v>
      </c>
      <c r="AY169" s="728">
        <v>2056</v>
      </c>
      <c r="AZ169" s="728">
        <v>2057</v>
      </c>
      <c r="BA169" s="728">
        <v>2058</v>
      </c>
      <c r="BB169" s="728">
        <v>2059</v>
      </c>
      <c r="BC169" s="728">
        <v>2060</v>
      </c>
      <c r="BD169" s="728">
        <v>2061</v>
      </c>
      <c r="BE169" s="728">
        <v>2062</v>
      </c>
      <c r="BF169" s="728">
        <v>2063</v>
      </c>
      <c r="BG169" s="728">
        <v>2064</v>
      </c>
      <c r="BH169" s="728">
        <v>2065</v>
      </c>
      <c r="BI169" s="728">
        <v>2066</v>
      </c>
      <c r="BJ169" s="728">
        <v>2067</v>
      </c>
      <c r="BK169" s="728">
        <v>2068</v>
      </c>
      <c r="BL169" s="728">
        <v>2069</v>
      </c>
      <c r="BM169" s="728">
        <v>2070</v>
      </c>
      <c r="BN169" s="728">
        <v>2071</v>
      </c>
      <c r="BO169" s="728">
        <v>2072</v>
      </c>
      <c r="BP169" s="728">
        <v>2073</v>
      </c>
      <c r="BQ169" s="728">
        <v>2074</v>
      </c>
      <c r="BR169" s="728">
        <v>2075</v>
      </c>
      <c r="BS169" s="728">
        <v>2076</v>
      </c>
      <c r="BT169" s="728">
        <v>2077</v>
      </c>
      <c r="BU169" s="728">
        <v>2078</v>
      </c>
      <c r="BV169" s="728">
        <v>2079</v>
      </c>
      <c r="BW169" s="728">
        <v>2080</v>
      </c>
      <c r="BX169" s="728">
        <v>2081</v>
      </c>
      <c r="BY169" s="728">
        <v>2082</v>
      </c>
      <c r="BZ169" s="728">
        <v>2083</v>
      </c>
      <c r="CA169" s="728">
        <v>2084</v>
      </c>
      <c r="CB169" s="728">
        <v>2085</v>
      </c>
      <c r="CC169" s="728">
        <v>2086</v>
      </c>
      <c r="CD169" s="728">
        <v>2087</v>
      </c>
      <c r="CE169" s="728">
        <v>2088</v>
      </c>
      <c r="CF169" s="728">
        <v>2089</v>
      </c>
    </row>
    <row r="170" spans="3:84">
      <c r="D170" s="380" t="s">
        <v>249</v>
      </c>
      <c r="E170" s="380" t="e">
        <f>((($E$14*$E156)+($E$15*$F156)+($E$16*$G156))/60)*E163</f>
        <v>#DIV/0!</v>
      </c>
      <c r="F170" s="380" t="e">
        <f t="shared" ref="F170:BQ171" si="80">((($E$14*$E156)+($E$15*$F156)+($E$16*$G156))/60)*F163</f>
        <v>#DIV/0!</v>
      </c>
      <c r="G170" s="380" t="e">
        <f>((($E$14*$E156)+($E$15*$F156)+($E$16*$G156))/60)*G163</f>
        <v>#DIV/0!</v>
      </c>
      <c r="H170" s="380" t="e">
        <f t="shared" si="80"/>
        <v>#DIV/0!</v>
      </c>
      <c r="I170" s="380" t="e">
        <f t="shared" si="80"/>
        <v>#DIV/0!</v>
      </c>
      <c r="J170" s="380" t="e">
        <f t="shared" si="80"/>
        <v>#DIV/0!</v>
      </c>
      <c r="K170" s="380" t="e">
        <f t="shared" si="80"/>
        <v>#DIV/0!</v>
      </c>
      <c r="L170" s="380" t="e">
        <f t="shared" si="80"/>
        <v>#DIV/0!</v>
      </c>
      <c r="M170" s="380" t="e">
        <f t="shared" si="80"/>
        <v>#DIV/0!</v>
      </c>
      <c r="N170" s="380" t="e">
        <f>((($E$14*$E156)+($E$15*$F156)+($E$16*$G156))/60)*N163</f>
        <v>#DIV/0!</v>
      </c>
      <c r="O170" s="380" t="e">
        <f t="shared" si="80"/>
        <v>#DIV/0!</v>
      </c>
      <c r="P170" s="380" t="e">
        <f t="shared" si="80"/>
        <v>#DIV/0!</v>
      </c>
      <c r="Q170" s="380" t="e">
        <f t="shared" si="80"/>
        <v>#DIV/0!</v>
      </c>
      <c r="R170" s="380" t="e">
        <f t="shared" si="80"/>
        <v>#DIV/0!</v>
      </c>
      <c r="S170" s="380" t="e">
        <f t="shared" si="80"/>
        <v>#DIV/0!</v>
      </c>
      <c r="T170" s="380" t="e">
        <f t="shared" si="80"/>
        <v>#DIV/0!</v>
      </c>
      <c r="U170" s="380" t="e">
        <f t="shared" si="80"/>
        <v>#DIV/0!</v>
      </c>
      <c r="V170" s="380" t="e">
        <f t="shared" si="80"/>
        <v>#DIV/0!</v>
      </c>
      <c r="W170" s="380" t="e">
        <f t="shared" si="80"/>
        <v>#DIV/0!</v>
      </c>
      <c r="X170" s="380" t="e">
        <f t="shared" si="80"/>
        <v>#DIV/0!</v>
      </c>
      <c r="Y170" s="380" t="e">
        <f t="shared" si="80"/>
        <v>#DIV/0!</v>
      </c>
      <c r="Z170" s="380" t="e">
        <f t="shared" si="80"/>
        <v>#DIV/0!</v>
      </c>
      <c r="AA170" s="380" t="e">
        <f t="shared" si="80"/>
        <v>#DIV/0!</v>
      </c>
      <c r="AB170" s="380" t="e">
        <f t="shared" si="80"/>
        <v>#DIV/0!</v>
      </c>
      <c r="AC170" s="380" t="e">
        <f t="shared" si="80"/>
        <v>#DIV/0!</v>
      </c>
      <c r="AD170" s="380" t="e">
        <f t="shared" si="80"/>
        <v>#DIV/0!</v>
      </c>
      <c r="AE170" s="380" t="e">
        <f t="shared" si="80"/>
        <v>#DIV/0!</v>
      </c>
      <c r="AF170" s="380" t="e">
        <f t="shared" si="80"/>
        <v>#DIV/0!</v>
      </c>
      <c r="AG170" s="380" t="e">
        <f t="shared" si="80"/>
        <v>#DIV/0!</v>
      </c>
      <c r="AH170" s="380" t="e">
        <f t="shared" si="80"/>
        <v>#DIV/0!</v>
      </c>
      <c r="AI170" s="380" t="e">
        <f t="shared" si="80"/>
        <v>#DIV/0!</v>
      </c>
      <c r="AJ170" s="380" t="e">
        <f t="shared" si="80"/>
        <v>#DIV/0!</v>
      </c>
      <c r="AK170" s="380" t="e">
        <f t="shared" si="80"/>
        <v>#DIV/0!</v>
      </c>
      <c r="AL170" s="380" t="e">
        <f t="shared" si="80"/>
        <v>#DIV/0!</v>
      </c>
      <c r="AM170" s="380" t="e">
        <f t="shared" si="80"/>
        <v>#DIV/0!</v>
      </c>
      <c r="AN170" s="380" t="e">
        <f t="shared" si="80"/>
        <v>#DIV/0!</v>
      </c>
      <c r="AO170" s="380" t="e">
        <f t="shared" si="80"/>
        <v>#DIV/0!</v>
      </c>
      <c r="AP170" s="380" t="e">
        <f t="shared" si="80"/>
        <v>#DIV/0!</v>
      </c>
      <c r="AQ170" s="380" t="e">
        <f t="shared" si="80"/>
        <v>#DIV/0!</v>
      </c>
      <c r="AR170" s="380" t="e">
        <f t="shared" si="80"/>
        <v>#DIV/0!</v>
      </c>
      <c r="AS170" s="380" t="e">
        <f t="shared" si="80"/>
        <v>#DIV/0!</v>
      </c>
      <c r="AT170" s="380" t="e">
        <f t="shared" si="80"/>
        <v>#DIV/0!</v>
      </c>
      <c r="AU170" s="380" t="e">
        <f t="shared" si="80"/>
        <v>#DIV/0!</v>
      </c>
      <c r="AV170" s="380" t="e">
        <f t="shared" si="80"/>
        <v>#DIV/0!</v>
      </c>
      <c r="AW170" s="380" t="e">
        <f t="shared" si="80"/>
        <v>#DIV/0!</v>
      </c>
      <c r="AX170" s="380" t="e">
        <f t="shared" si="80"/>
        <v>#DIV/0!</v>
      </c>
      <c r="AY170" s="380" t="e">
        <f t="shared" si="80"/>
        <v>#DIV/0!</v>
      </c>
      <c r="AZ170" s="380" t="e">
        <f t="shared" si="80"/>
        <v>#DIV/0!</v>
      </c>
      <c r="BA170" s="380" t="e">
        <f t="shared" si="80"/>
        <v>#DIV/0!</v>
      </c>
      <c r="BB170" s="380" t="e">
        <f t="shared" si="80"/>
        <v>#DIV/0!</v>
      </c>
      <c r="BC170" s="380" t="e">
        <f t="shared" si="80"/>
        <v>#DIV/0!</v>
      </c>
      <c r="BD170" s="380" t="e">
        <f t="shared" si="80"/>
        <v>#DIV/0!</v>
      </c>
      <c r="BE170" s="380" t="e">
        <f t="shared" si="80"/>
        <v>#DIV/0!</v>
      </c>
      <c r="BF170" s="380" t="e">
        <f t="shared" si="80"/>
        <v>#DIV/0!</v>
      </c>
      <c r="BG170" s="380" t="e">
        <f t="shared" si="80"/>
        <v>#DIV/0!</v>
      </c>
      <c r="BH170" s="380" t="e">
        <f t="shared" si="80"/>
        <v>#DIV/0!</v>
      </c>
      <c r="BI170" s="380" t="e">
        <f t="shared" si="80"/>
        <v>#DIV/0!</v>
      </c>
      <c r="BJ170" s="380" t="e">
        <f t="shared" si="80"/>
        <v>#DIV/0!</v>
      </c>
      <c r="BK170" s="380" t="e">
        <f t="shared" si="80"/>
        <v>#DIV/0!</v>
      </c>
      <c r="BL170" s="380" t="e">
        <f t="shared" si="80"/>
        <v>#DIV/0!</v>
      </c>
      <c r="BM170" s="380" t="e">
        <f t="shared" si="80"/>
        <v>#DIV/0!</v>
      </c>
      <c r="BN170" s="380" t="e">
        <f t="shared" si="80"/>
        <v>#DIV/0!</v>
      </c>
      <c r="BO170" s="380" t="e">
        <f t="shared" si="80"/>
        <v>#DIV/0!</v>
      </c>
      <c r="BP170" s="380" t="e">
        <f t="shared" si="80"/>
        <v>#DIV/0!</v>
      </c>
      <c r="BQ170" s="380" t="e">
        <f t="shared" si="80"/>
        <v>#DIV/0!</v>
      </c>
      <c r="BR170" s="380" t="e">
        <f t="shared" ref="BR170:CF173" si="81">((($E$14*$E156)+($E$15*$F156)+($E$16*$G156))/60)*BR163</f>
        <v>#DIV/0!</v>
      </c>
      <c r="BS170" s="380" t="e">
        <f t="shared" si="81"/>
        <v>#DIV/0!</v>
      </c>
      <c r="BT170" s="380" t="e">
        <f t="shared" si="81"/>
        <v>#DIV/0!</v>
      </c>
      <c r="BU170" s="380" t="e">
        <f t="shared" si="81"/>
        <v>#DIV/0!</v>
      </c>
      <c r="BV170" s="380" t="e">
        <f t="shared" si="81"/>
        <v>#DIV/0!</v>
      </c>
      <c r="BW170" s="380" t="e">
        <f t="shared" si="81"/>
        <v>#DIV/0!</v>
      </c>
      <c r="BX170" s="380" t="e">
        <f t="shared" si="81"/>
        <v>#DIV/0!</v>
      </c>
      <c r="BY170" s="380" t="e">
        <f t="shared" si="81"/>
        <v>#DIV/0!</v>
      </c>
      <c r="BZ170" s="380" t="e">
        <f t="shared" si="81"/>
        <v>#DIV/0!</v>
      </c>
      <c r="CA170" s="380" t="e">
        <f t="shared" si="81"/>
        <v>#DIV/0!</v>
      </c>
      <c r="CB170" s="380" t="e">
        <f t="shared" si="81"/>
        <v>#DIV/0!</v>
      </c>
      <c r="CC170" s="380" t="e">
        <f t="shared" si="81"/>
        <v>#DIV/0!</v>
      </c>
      <c r="CD170" s="380" t="e">
        <f t="shared" si="81"/>
        <v>#DIV/0!</v>
      </c>
      <c r="CE170" s="380" t="e">
        <f t="shared" si="81"/>
        <v>#DIV/0!</v>
      </c>
      <c r="CF170" s="380" t="e">
        <f t="shared" si="81"/>
        <v>#DIV/0!</v>
      </c>
    </row>
    <row r="171" spans="3:84">
      <c r="D171" s="380" t="s">
        <v>89</v>
      </c>
      <c r="E171" s="380" t="e">
        <f t="shared" ref="E171:T171" si="82">((($E$14*$E157)+($E$15*$F157)+($E$16*$G157))/60)*E164</f>
        <v>#DIV/0!</v>
      </c>
      <c r="F171" s="380" t="e">
        <f>((($E$14*$E157)+($E$15*$F157)+($E$16*$G157))/60)*F164</f>
        <v>#DIV/0!</v>
      </c>
      <c r="G171" s="380" t="e">
        <f t="shared" si="82"/>
        <v>#DIV/0!</v>
      </c>
      <c r="H171" s="380" t="e">
        <f t="shared" si="82"/>
        <v>#DIV/0!</v>
      </c>
      <c r="I171" s="380" t="e">
        <f t="shared" si="82"/>
        <v>#DIV/0!</v>
      </c>
      <c r="J171" s="380" t="e">
        <f t="shared" si="82"/>
        <v>#DIV/0!</v>
      </c>
      <c r="K171" s="380" t="e">
        <f t="shared" si="82"/>
        <v>#DIV/0!</v>
      </c>
      <c r="L171" s="380" t="e">
        <f t="shared" si="82"/>
        <v>#DIV/0!</v>
      </c>
      <c r="M171" s="380" t="e">
        <f t="shared" si="82"/>
        <v>#DIV/0!</v>
      </c>
      <c r="N171" s="380" t="e">
        <f t="shared" si="82"/>
        <v>#DIV/0!</v>
      </c>
      <c r="O171" s="380" t="e">
        <f t="shared" si="82"/>
        <v>#DIV/0!</v>
      </c>
      <c r="P171" s="380" t="e">
        <f t="shared" si="82"/>
        <v>#DIV/0!</v>
      </c>
      <c r="Q171" s="380" t="e">
        <f t="shared" si="82"/>
        <v>#DIV/0!</v>
      </c>
      <c r="R171" s="380" t="e">
        <f t="shared" si="82"/>
        <v>#DIV/0!</v>
      </c>
      <c r="S171" s="380" t="e">
        <f t="shared" si="82"/>
        <v>#DIV/0!</v>
      </c>
      <c r="T171" s="380" t="e">
        <f t="shared" si="82"/>
        <v>#DIV/0!</v>
      </c>
      <c r="U171" s="380" t="e">
        <f t="shared" si="80"/>
        <v>#DIV/0!</v>
      </c>
      <c r="V171" s="380" t="e">
        <f t="shared" si="80"/>
        <v>#DIV/0!</v>
      </c>
      <c r="W171" s="380" t="e">
        <f t="shared" si="80"/>
        <v>#DIV/0!</v>
      </c>
      <c r="X171" s="380" t="e">
        <f t="shared" si="80"/>
        <v>#DIV/0!</v>
      </c>
      <c r="Y171" s="380" t="e">
        <f t="shared" si="80"/>
        <v>#DIV/0!</v>
      </c>
      <c r="Z171" s="380" t="e">
        <f t="shared" si="80"/>
        <v>#DIV/0!</v>
      </c>
      <c r="AA171" s="380" t="e">
        <f t="shared" si="80"/>
        <v>#DIV/0!</v>
      </c>
      <c r="AB171" s="380" t="e">
        <f t="shared" si="80"/>
        <v>#DIV/0!</v>
      </c>
      <c r="AC171" s="380" t="e">
        <f t="shared" si="80"/>
        <v>#DIV/0!</v>
      </c>
      <c r="AD171" s="380" t="e">
        <f t="shared" si="80"/>
        <v>#DIV/0!</v>
      </c>
      <c r="AE171" s="380" t="e">
        <f t="shared" si="80"/>
        <v>#DIV/0!</v>
      </c>
      <c r="AF171" s="380" t="e">
        <f t="shared" si="80"/>
        <v>#DIV/0!</v>
      </c>
      <c r="AG171" s="380" t="e">
        <f t="shared" si="80"/>
        <v>#DIV/0!</v>
      </c>
      <c r="AH171" s="380" t="e">
        <f t="shared" si="80"/>
        <v>#DIV/0!</v>
      </c>
      <c r="AI171" s="380" t="e">
        <f t="shared" si="80"/>
        <v>#DIV/0!</v>
      </c>
      <c r="AJ171" s="380" t="e">
        <f t="shared" si="80"/>
        <v>#DIV/0!</v>
      </c>
      <c r="AK171" s="380" t="e">
        <f t="shared" si="80"/>
        <v>#DIV/0!</v>
      </c>
      <c r="AL171" s="380" t="e">
        <f t="shared" si="80"/>
        <v>#DIV/0!</v>
      </c>
      <c r="AM171" s="380" t="e">
        <f t="shared" si="80"/>
        <v>#DIV/0!</v>
      </c>
      <c r="AN171" s="380" t="e">
        <f t="shared" si="80"/>
        <v>#DIV/0!</v>
      </c>
      <c r="AO171" s="380" t="e">
        <f t="shared" si="80"/>
        <v>#DIV/0!</v>
      </c>
      <c r="AP171" s="380" t="e">
        <f t="shared" si="80"/>
        <v>#DIV/0!</v>
      </c>
      <c r="AQ171" s="380" t="e">
        <f t="shared" si="80"/>
        <v>#DIV/0!</v>
      </c>
      <c r="AR171" s="380" t="e">
        <f t="shared" si="80"/>
        <v>#DIV/0!</v>
      </c>
      <c r="AS171" s="380" t="e">
        <f t="shared" si="80"/>
        <v>#DIV/0!</v>
      </c>
      <c r="AT171" s="380" t="e">
        <f t="shared" si="80"/>
        <v>#DIV/0!</v>
      </c>
      <c r="AU171" s="380" t="e">
        <f t="shared" si="80"/>
        <v>#DIV/0!</v>
      </c>
      <c r="AV171" s="380" t="e">
        <f t="shared" si="80"/>
        <v>#DIV/0!</v>
      </c>
      <c r="AW171" s="380" t="e">
        <f t="shared" si="80"/>
        <v>#DIV/0!</v>
      </c>
      <c r="AX171" s="380" t="e">
        <f t="shared" si="80"/>
        <v>#DIV/0!</v>
      </c>
      <c r="AY171" s="380" t="e">
        <f t="shared" si="80"/>
        <v>#DIV/0!</v>
      </c>
      <c r="AZ171" s="380" t="e">
        <f t="shared" si="80"/>
        <v>#DIV/0!</v>
      </c>
      <c r="BA171" s="380" t="e">
        <f t="shared" si="80"/>
        <v>#DIV/0!</v>
      </c>
      <c r="BB171" s="380" t="e">
        <f t="shared" si="80"/>
        <v>#DIV/0!</v>
      </c>
      <c r="BC171" s="380" t="e">
        <f t="shared" si="80"/>
        <v>#DIV/0!</v>
      </c>
      <c r="BD171" s="380" t="e">
        <f t="shared" si="80"/>
        <v>#DIV/0!</v>
      </c>
      <c r="BE171" s="380" t="e">
        <f t="shared" si="80"/>
        <v>#DIV/0!</v>
      </c>
      <c r="BF171" s="380" t="e">
        <f t="shared" si="80"/>
        <v>#DIV/0!</v>
      </c>
      <c r="BG171" s="380" t="e">
        <f t="shared" si="80"/>
        <v>#DIV/0!</v>
      </c>
      <c r="BH171" s="380" t="e">
        <f t="shared" si="80"/>
        <v>#DIV/0!</v>
      </c>
      <c r="BI171" s="380" t="e">
        <f t="shared" si="80"/>
        <v>#DIV/0!</v>
      </c>
      <c r="BJ171" s="380" t="e">
        <f t="shared" si="80"/>
        <v>#DIV/0!</v>
      </c>
      <c r="BK171" s="380" t="e">
        <f t="shared" si="80"/>
        <v>#DIV/0!</v>
      </c>
      <c r="BL171" s="380" t="e">
        <f t="shared" si="80"/>
        <v>#DIV/0!</v>
      </c>
      <c r="BM171" s="380" t="e">
        <f t="shared" si="80"/>
        <v>#DIV/0!</v>
      </c>
      <c r="BN171" s="380" t="e">
        <f t="shared" si="80"/>
        <v>#DIV/0!</v>
      </c>
      <c r="BO171" s="380" t="e">
        <f t="shared" si="80"/>
        <v>#DIV/0!</v>
      </c>
      <c r="BP171" s="380" t="e">
        <f t="shared" si="80"/>
        <v>#DIV/0!</v>
      </c>
      <c r="BQ171" s="380" t="e">
        <f t="shared" si="80"/>
        <v>#DIV/0!</v>
      </c>
      <c r="BR171" s="380" t="e">
        <f t="shared" si="81"/>
        <v>#DIV/0!</v>
      </c>
      <c r="BS171" s="380" t="e">
        <f t="shared" si="81"/>
        <v>#DIV/0!</v>
      </c>
      <c r="BT171" s="380" t="e">
        <f t="shared" si="81"/>
        <v>#DIV/0!</v>
      </c>
      <c r="BU171" s="380" t="e">
        <f t="shared" si="81"/>
        <v>#DIV/0!</v>
      </c>
      <c r="BV171" s="380" t="e">
        <f t="shared" si="81"/>
        <v>#DIV/0!</v>
      </c>
      <c r="BW171" s="380" t="e">
        <f t="shared" si="81"/>
        <v>#DIV/0!</v>
      </c>
      <c r="BX171" s="380" t="e">
        <f t="shared" si="81"/>
        <v>#DIV/0!</v>
      </c>
      <c r="BY171" s="380" t="e">
        <f t="shared" si="81"/>
        <v>#DIV/0!</v>
      </c>
      <c r="BZ171" s="380" t="e">
        <f t="shared" si="81"/>
        <v>#DIV/0!</v>
      </c>
      <c r="CA171" s="380" t="e">
        <f t="shared" si="81"/>
        <v>#DIV/0!</v>
      </c>
      <c r="CB171" s="380" t="e">
        <f t="shared" si="81"/>
        <v>#DIV/0!</v>
      </c>
      <c r="CC171" s="380" t="e">
        <f t="shared" si="81"/>
        <v>#DIV/0!</v>
      </c>
      <c r="CD171" s="380" t="e">
        <f t="shared" si="81"/>
        <v>#DIV/0!</v>
      </c>
      <c r="CE171" s="380" t="e">
        <f t="shared" si="81"/>
        <v>#DIV/0!</v>
      </c>
      <c r="CF171" s="380" t="e">
        <f t="shared" si="81"/>
        <v>#DIV/0!</v>
      </c>
    </row>
    <row r="172" spans="3:84">
      <c r="D172" s="380" t="s">
        <v>91</v>
      </c>
      <c r="E172" s="380" t="e">
        <f>((($E$14*$E158)+($E$15*$F158)+($E$16*$G158))/60)*E165</f>
        <v>#DIV/0!</v>
      </c>
      <c r="F172" s="380" t="e">
        <f t="shared" ref="F172:BQ173" si="83">((($E$14*$E158)+($E$15*$F158)+($E$16*$G158))/60)*F165</f>
        <v>#DIV/0!</v>
      </c>
      <c r="G172" s="380" t="e">
        <f t="shared" si="83"/>
        <v>#DIV/0!</v>
      </c>
      <c r="H172" s="380" t="e">
        <f t="shared" si="83"/>
        <v>#DIV/0!</v>
      </c>
      <c r="I172" s="380" t="e">
        <f t="shared" si="83"/>
        <v>#DIV/0!</v>
      </c>
      <c r="J172" s="380" t="e">
        <f t="shared" si="83"/>
        <v>#DIV/0!</v>
      </c>
      <c r="K172" s="380" t="e">
        <f t="shared" si="83"/>
        <v>#DIV/0!</v>
      </c>
      <c r="L172" s="380" t="e">
        <f t="shared" si="83"/>
        <v>#DIV/0!</v>
      </c>
      <c r="M172" s="380" t="e">
        <f t="shared" si="83"/>
        <v>#DIV/0!</v>
      </c>
      <c r="N172" s="380" t="e">
        <f t="shared" si="83"/>
        <v>#DIV/0!</v>
      </c>
      <c r="O172" s="380" t="e">
        <f t="shared" si="83"/>
        <v>#DIV/0!</v>
      </c>
      <c r="P172" s="380" t="e">
        <f t="shared" si="83"/>
        <v>#DIV/0!</v>
      </c>
      <c r="Q172" s="380" t="e">
        <f t="shared" si="83"/>
        <v>#DIV/0!</v>
      </c>
      <c r="R172" s="380" t="e">
        <f t="shared" si="83"/>
        <v>#DIV/0!</v>
      </c>
      <c r="S172" s="380" t="e">
        <f t="shared" si="83"/>
        <v>#DIV/0!</v>
      </c>
      <c r="T172" s="380" t="e">
        <f t="shared" si="83"/>
        <v>#DIV/0!</v>
      </c>
      <c r="U172" s="380" t="e">
        <f t="shared" si="83"/>
        <v>#DIV/0!</v>
      </c>
      <c r="V172" s="380" t="e">
        <f t="shared" si="83"/>
        <v>#DIV/0!</v>
      </c>
      <c r="W172" s="380" t="e">
        <f t="shared" si="83"/>
        <v>#DIV/0!</v>
      </c>
      <c r="X172" s="380" t="e">
        <f t="shared" si="83"/>
        <v>#DIV/0!</v>
      </c>
      <c r="Y172" s="380" t="e">
        <f t="shared" si="83"/>
        <v>#DIV/0!</v>
      </c>
      <c r="Z172" s="380" t="e">
        <f t="shared" si="83"/>
        <v>#DIV/0!</v>
      </c>
      <c r="AA172" s="380" t="e">
        <f t="shared" si="83"/>
        <v>#DIV/0!</v>
      </c>
      <c r="AB172" s="380" t="e">
        <f t="shared" si="83"/>
        <v>#DIV/0!</v>
      </c>
      <c r="AC172" s="380" t="e">
        <f t="shared" si="83"/>
        <v>#DIV/0!</v>
      </c>
      <c r="AD172" s="380" t="e">
        <f t="shared" si="83"/>
        <v>#DIV/0!</v>
      </c>
      <c r="AE172" s="380" t="e">
        <f t="shared" si="83"/>
        <v>#DIV/0!</v>
      </c>
      <c r="AF172" s="380" t="e">
        <f t="shared" si="83"/>
        <v>#DIV/0!</v>
      </c>
      <c r="AG172" s="380" t="e">
        <f t="shared" si="83"/>
        <v>#DIV/0!</v>
      </c>
      <c r="AH172" s="380" t="e">
        <f t="shared" si="83"/>
        <v>#DIV/0!</v>
      </c>
      <c r="AI172" s="380" t="e">
        <f t="shared" si="83"/>
        <v>#DIV/0!</v>
      </c>
      <c r="AJ172" s="380" t="e">
        <f t="shared" si="83"/>
        <v>#DIV/0!</v>
      </c>
      <c r="AK172" s="380" t="e">
        <f t="shared" si="83"/>
        <v>#DIV/0!</v>
      </c>
      <c r="AL172" s="380" t="e">
        <f t="shared" si="83"/>
        <v>#DIV/0!</v>
      </c>
      <c r="AM172" s="380" t="e">
        <f t="shared" si="83"/>
        <v>#DIV/0!</v>
      </c>
      <c r="AN172" s="380" t="e">
        <f t="shared" si="83"/>
        <v>#DIV/0!</v>
      </c>
      <c r="AO172" s="380" t="e">
        <f t="shared" si="83"/>
        <v>#DIV/0!</v>
      </c>
      <c r="AP172" s="380" t="e">
        <f t="shared" si="83"/>
        <v>#DIV/0!</v>
      </c>
      <c r="AQ172" s="380" t="e">
        <f t="shared" si="83"/>
        <v>#DIV/0!</v>
      </c>
      <c r="AR172" s="380" t="e">
        <f t="shared" si="83"/>
        <v>#DIV/0!</v>
      </c>
      <c r="AS172" s="380" t="e">
        <f t="shared" si="83"/>
        <v>#DIV/0!</v>
      </c>
      <c r="AT172" s="380" t="e">
        <f t="shared" si="83"/>
        <v>#DIV/0!</v>
      </c>
      <c r="AU172" s="380" t="e">
        <f t="shared" si="83"/>
        <v>#DIV/0!</v>
      </c>
      <c r="AV172" s="380" t="e">
        <f t="shared" si="83"/>
        <v>#DIV/0!</v>
      </c>
      <c r="AW172" s="380" t="e">
        <f t="shared" si="83"/>
        <v>#DIV/0!</v>
      </c>
      <c r="AX172" s="380" t="e">
        <f t="shared" si="83"/>
        <v>#DIV/0!</v>
      </c>
      <c r="AY172" s="380" t="e">
        <f t="shared" si="83"/>
        <v>#DIV/0!</v>
      </c>
      <c r="AZ172" s="380" t="e">
        <f t="shared" si="83"/>
        <v>#DIV/0!</v>
      </c>
      <c r="BA172" s="380" t="e">
        <f t="shared" si="83"/>
        <v>#DIV/0!</v>
      </c>
      <c r="BB172" s="380" t="e">
        <f t="shared" si="83"/>
        <v>#DIV/0!</v>
      </c>
      <c r="BC172" s="380" t="e">
        <f t="shared" si="83"/>
        <v>#DIV/0!</v>
      </c>
      <c r="BD172" s="380" t="e">
        <f t="shared" si="83"/>
        <v>#DIV/0!</v>
      </c>
      <c r="BE172" s="380" t="e">
        <f t="shared" si="83"/>
        <v>#DIV/0!</v>
      </c>
      <c r="BF172" s="380" t="e">
        <f t="shared" si="83"/>
        <v>#DIV/0!</v>
      </c>
      <c r="BG172" s="380" t="e">
        <f t="shared" si="83"/>
        <v>#DIV/0!</v>
      </c>
      <c r="BH172" s="380" t="e">
        <f t="shared" si="83"/>
        <v>#DIV/0!</v>
      </c>
      <c r="BI172" s="380" t="e">
        <f t="shared" si="83"/>
        <v>#DIV/0!</v>
      </c>
      <c r="BJ172" s="380" t="e">
        <f t="shared" si="83"/>
        <v>#DIV/0!</v>
      </c>
      <c r="BK172" s="380" t="e">
        <f t="shared" si="83"/>
        <v>#DIV/0!</v>
      </c>
      <c r="BL172" s="380" t="e">
        <f t="shared" si="83"/>
        <v>#DIV/0!</v>
      </c>
      <c r="BM172" s="380" t="e">
        <f t="shared" si="83"/>
        <v>#DIV/0!</v>
      </c>
      <c r="BN172" s="380" t="e">
        <f t="shared" si="83"/>
        <v>#DIV/0!</v>
      </c>
      <c r="BO172" s="380" t="e">
        <f t="shared" si="83"/>
        <v>#DIV/0!</v>
      </c>
      <c r="BP172" s="380" t="e">
        <f t="shared" si="83"/>
        <v>#DIV/0!</v>
      </c>
      <c r="BQ172" s="380" t="e">
        <f t="shared" si="83"/>
        <v>#DIV/0!</v>
      </c>
      <c r="BR172" s="380" t="e">
        <f t="shared" si="81"/>
        <v>#DIV/0!</v>
      </c>
      <c r="BS172" s="380" t="e">
        <f t="shared" si="81"/>
        <v>#DIV/0!</v>
      </c>
      <c r="BT172" s="380" t="e">
        <f t="shared" si="81"/>
        <v>#DIV/0!</v>
      </c>
      <c r="BU172" s="380" t="e">
        <f t="shared" si="81"/>
        <v>#DIV/0!</v>
      </c>
      <c r="BV172" s="380" t="e">
        <f t="shared" si="81"/>
        <v>#DIV/0!</v>
      </c>
      <c r="BW172" s="380" t="e">
        <f t="shared" si="81"/>
        <v>#DIV/0!</v>
      </c>
      <c r="BX172" s="380" t="e">
        <f t="shared" si="81"/>
        <v>#DIV/0!</v>
      </c>
      <c r="BY172" s="380" t="e">
        <f t="shared" si="81"/>
        <v>#DIV/0!</v>
      </c>
      <c r="BZ172" s="380" t="e">
        <f t="shared" si="81"/>
        <v>#DIV/0!</v>
      </c>
      <c r="CA172" s="380" t="e">
        <f t="shared" si="81"/>
        <v>#DIV/0!</v>
      </c>
      <c r="CB172" s="380" t="e">
        <f t="shared" si="81"/>
        <v>#DIV/0!</v>
      </c>
      <c r="CC172" s="380" t="e">
        <f t="shared" si="81"/>
        <v>#DIV/0!</v>
      </c>
      <c r="CD172" s="380" t="e">
        <f t="shared" si="81"/>
        <v>#DIV/0!</v>
      </c>
      <c r="CE172" s="380" t="e">
        <f t="shared" si="81"/>
        <v>#DIV/0!</v>
      </c>
      <c r="CF172" s="380" t="e">
        <f t="shared" si="81"/>
        <v>#DIV/0!</v>
      </c>
    </row>
    <row r="173" spans="3:84">
      <c r="D173" s="380" t="s">
        <v>93</v>
      </c>
      <c r="E173" s="380" t="e">
        <f>((($E$14*$E159)+($E$15*$F159)+($E$16*$G159))/60)*E166</f>
        <v>#DIV/0!</v>
      </c>
      <c r="F173" s="380" t="e">
        <f t="shared" si="83"/>
        <v>#DIV/0!</v>
      </c>
      <c r="G173" s="380" t="e">
        <f t="shared" si="83"/>
        <v>#DIV/0!</v>
      </c>
      <c r="H173" s="380" t="e">
        <f t="shared" si="83"/>
        <v>#DIV/0!</v>
      </c>
      <c r="I173" s="380" t="e">
        <f t="shared" si="83"/>
        <v>#DIV/0!</v>
      </c>
      <c r="J173" s="380" t="e">
        <f t="shared" si="83"/>
        <v>#DIV/0!</v>
      </c>
      <c r="K173" s="380" t="e">
        <f t="shared" si="83"/>
        <v>#DIV/0!</v>
      </c>
      <c r="L173" s="380" t="e">
        <f t="shared" si="83"/>
        <v>#DIV/0!</v>
      </c>
      <c r="M173" s="380" t="e">
        <f t="shared" si="83"/>
        <v>#DIV/0!</v>
      </c>
      <c r="N173" s="380" t="e">
        <f t="shared" si="83"/>
        <v>#DIV/0!</v>
      </c>
      <c r="O173" s="380" t="e">
        <f t="shared" si="83"/>
        <v>#DIV/0!</v>
      </c>
      <c r="P173" s="380" t="e">
        <f t="shared" si="83"/>
        <v>#DIV/0!</v>
      </c>
      <c r="Q173" s="380" t="e">
        <f t="shared" si="83"/>
        <v>#DIV/0!</v>
      </c>
      <c r="R173" s="380" t="e">
        <f t="shared" si="83"/>
        <v>#DIV/0!</v>
      </c>
      <c r="S173" s="380" t="e">
        <f t="shared" si="83"/>
        <v>#DIV/0!</v>
      </c>
      <c r="T173" s="380" t="e">
        <f t="shared" si="83"/>
        <v>#DIV/0!</v>
      </c>
      <c r="U173" s="380" t="e">
        <f t="shared" si="83"/>
        <v>#DIV/0!</v>
      </c>
      <c r="V173" s="380" t="e">
        <f t="shared" si="83"/>
        <v>#DIV/0!</v>
      </c>
      <c r="W173" s="380" t="e">
        <f t="shared" si="83"/>
        <v>#DIV/0!</v>
      </c>
      <c r="X173" s="380" t="e">
        <f t="shared" si="83"/>
        <v>#DIV/0!</v>
      </c>
      <c r="Y173" s="380" t="e">
        <f t="shared" si="83"/>
        <v>#DIV/0!</v>
      </c>
      <c r="Z173" s="380" t="e">
        <f t="shared" si="83"/>
        <v>#DIV/0!</v>
      </c>
      <c r="AA173" s="380" t="e">
        <f t="shared" si="83"/>
        <v>#DIV/0!</v>
      </c>
      <c r="AB173" s="380" t="e">
        <f t="shared" si="83"/>
        <v>#DIV/0!</v>
      </c>
      <c r="AC173" s="380" t="e">
        <f t="shared" si="83"/>
        <v>#DIV/0!</v>
      </c>
      <c r="AD173" s="380" t="e">
        <f t="shared" si="83"/>
        <v>#DIV/0!</v>
      </c>
      <c r="AE173" s="380" t="e">
        <f t="shared" si="83"/>
        <v>#DIV/0!</v>
      </c>
      <c r="AF173" s="380" t="e">
        <f t="shared" si="83"/>
        <v>#DIV/0!</v>
      </c>
      <c r="AG173" s="380" t="e">
        <f t="shared" si="83"/>
        <v>#DIV/0!</v>
      </c>
      <c r="AH173" s="380" t="e">
        <f t="shared" si="83"/>
        <v>#DIV/0!</v>
      </c>
      <c r="AI173" s="380" t="e">
        <f t="shared" si="83"/>
        <v>#DIV/0!</v>
      </c>
      <c r="AJ173" s="380" t="e">
        <f t="shared" si="83"/>
        <v>#DIV/0!</v>
      </c>
      <c r="AK173" s="380" t="e">
        <f t="shared" si="83"/>
        <v>#DIV/0!</v>
      </c>
      <c r="AL173" s="380" t="e">
        <f t="shared" si="83"/>
        <v>#DIV/0!</v>
      </c>
      <c r="AM173" s="380" t="e">
        <f t="shared" si="83"/>
        <v>#DIV/0!</v>
      </c>
      <c r="AN173" s="380" t="e">
        <f t="shared" si="83"/>
        <v>#DIV/0!</v>
      </c>
      <c r="AO173" s="380" t="e">
        <f t="shared" si="83"/>
        <v>#DIV/0!</v>
      </c>
      <c r="AP173" s="380" t="e">
        <f t="shared" si="83"/>
        <v>#DIV/0!</v>
      </c>
      <c r="AQ173" s="380" t="e">
        <f t="shared" si="83"/>
        <v>#DIV/0!</v>
      </c>
      <c r="AR173" s="380" t="e">
        <f t="shared" si="83"/>
        <v>#DIV/0!</v>
      </c>
      <c r="AS173" s="380" t="e">
        <f t="shared" si="83"/>
        <v>#DIV/0!</v>
      </c>
      <c r="AT173" s="380" t="e">
        <f t="shared" si="83"/>
        <v>#DIV/0!</v>
      </c>
      <c r="AU173" s="380" t="e">
        <f t="shared" si="83"/>
        <v>#DIV/0!</v>
      </c>
      <c r="AV173" s="380" t="e">
        <f t="shared" si="83"/>
        <v>#DIV/0!</v>
      </c>
      <c r="AW173" s="380" t="e">
        <f t="shared" si="83"/>
        <v>#DIV/0!</v>
      </c>
      <c r="AX173" s="380" t="e">
        <f t="shared" si="83"/>
        <v>#DIV/0!</v>
      </c>
      <c r="AY173" s="380" t="e">
        <f t="shared" si="83"/>
        <v>#DIV/0!</v>
      </c>
      <c r="AZ173" s="380" t="e">
        <f t="shared" si="83"/>
        <v>#DIV/0!</v>
      </c>
      <c r="BA173" s="380" t="e">
        <f t="shared" si="83"/>
        <v>#DIV/0!</v>
      </c>
      <c r="BB173" s="380" t="e">
        <f t="shared" si="83"/>
        <v>#DIV/0!</v>
      </c>
      <c r="BC173" s="380" t="e">
        <f t="shared" si="83"/>
        <v>#DIV/0!</v>
      </c>
      <c r="BD173" s="380" t="e">
        <f t="shared" si="83"/>
        <v>#DIV/0!</v>
      </c>
      <c r="BE173" s="380" t="e">
        <f t="shared" si="83"/>
        <v>#DIV/0!</v>
      </c>
      <c r="BF173" s="380" t="e">
        <f t="shared" si="83"/>
        <v>#DIV/0!</v>
      </c>
      <c r="BG173" s="380" t="e">
        <f t="shared" si="83"/>
        <v>#DIV/0!</v>
      </c>
      <c r="BH173" s="380" t="e">
        <f t="shared" si="83"/>
        <v>#DIV/0!</v>
      </c>
      <c r="BI173" s="380" t="e">
        <f t="shared" si="83"/>
        <v>#DIV/0!</v>
      </c>
      <c r="BJ173" s="380" t="e">
        <f t="shared" si="83"/>
        <v>#DIV/0!</v>
      </c>
      <c r="BK173" s="380" t="e">
        <f t="shared" si="83"/>
        <v>#DIV/0!</v>
      </c>
      <c r="BL173" s="380" t="e">
        <f t="shared" si="83"/>
        <v>#DIV/0!</v>
      </c>
      <c r="BM173" s="380" t="e">
        <f t="shared" si="83"/>
        <v>#DIV/0!</v>
      </c>
      <c r="BN173" s="380" t="e">
        <f t="shared" si="83"/>
        <v>#DIV/0!</v>
      </c>
      <c r="BO173" s="380" t="e">
        <f t="shared" si="83"/>
        <v>#DIV/0!</v>
      </c>
      <c r="BP173" s="380" t="e">
        <f t="shared" si="83"/>
        <v>#DIV/0!</v>
      </c>
      <c r="BQ173" s="380" t="e">
        <f t="shared" si="83"/>
        <v>#DIV/0!</v>
      </c>
      <c r="BR173" s="380" t="e">
        <f t="shared" si="81"/>
        <v>#DIV/0!</v>
      </c>
      <c r="BS173" s="380" t="e">
        <f t="shared" si="81"/>
        <v>#DIV/0!</v>
      </c>
      <c r="BT173" s="380" t="e">
        <f t="shared" si="81"/>
        <v>#DIV/0!</v>
      </c>
      <c r="BU173" s="380" t="e">
        <f t="shared" si="81"/>
        <v>#DIV/0!</v>
      </c>
      <c r="BV173" s="380" t="e">
        <f t="shared" si="81"/>
        <v>#DIV/0!</v>
      </c>
      <c r="BW173" s="380" t="e">
        <f t="shared" si="81"/>
        <v>#DIV/0!</v>
      </c>
      <c r="BX173" s="380" t="e">
        <f t="shared" si="81"/>
        <v>#DIV/0!</v>
      </c>
      <c r="BY173" s="380" t="e">
        <f t="shared" si="81"/>
        <v>#DIV/0!</v>
      </c>
      <c r="BZ173" s="380" t="e">
        <f t="shared" si="81"/>
        <v>#DIV/0!</v>
      </c>
      <c r="CA173" s="380" t="e">
        <f t="shared" si="81"/>
        <v>#DIV/0!</v>
      </c>
      <c r="CB173" s="380" t="e">
        <f t="shared" si="81"/>
        <v>#DIV/0!</v>
      </c>
      <c r="CC173" s="380" t="e">
        <f t="shared" si="81"/>
        <v>#DIV/0!</v>
      </c>
      <c r="CD173" s="380" t="e">
        <f t="shared" si="81"/>
        <v>#DIV/0!</v>
      </c>
      <c r="CE173" s="380" t="e">
        <f t="shared" si="81"/>
        <v>#DIV/0!</v>
      </c>
      <c r="CF173" s="380" t="e">
        <f t="shared" si="81"/>
        <v>#DIV/0!</v>
      </c>
    </row>
    <row r="175" spans="3:84">
      <c r="C175" s="360" t="s">
        <v>281</v>
      </c>
    </row>
    <row r="176" spans="3:84">
      <c r="D176" s="728"/>
      <c r="E176" s="728">
        <v>2010</v>
      </c>
      <c r="F176" s="728">
        <v>2011</v>
      </c>
      <c r="G176" s="728">
        <v>2012</v>
      </c>
      <c r="H176" s="728">
        <v>2013</v>
      </c>
      <c r="I176" s="728">
        <v>2014</v>
      </c>
      <c r="J176" s="728">
        <v>2015</v>
      </c>
      <c r="K176" s="728">
        <v>2016</v>
      </c>
      <c r="L176" s="728">
        <v>2017</v>
      </c>
      <c r="M176" s="728">
        <v>2018</v>
      </c>
      <c r="N176" s="728">
        <v>2019</v>
      </c>
      <c r="O176" s="728">
        <v>2020</v>
      </c>
      <c r="P176" s="728">
        <v>2021</v>
      </c>
      <c r="Q176" s="728">
        <v>2022</v>
      </c>
      <c r="R176" s="728">
        <v>2023</v>
      </c>
      <c r="S176" s="728">
        <v>2024</v>
      </c>
      <c r="T176" s="728">
        <v>2025</v>
      </c>
      <c r="U176" s="728">
        <v>2026</v>
      </c>
      <c r="V176" s="728">
        <v>2027</v>
      </c>
      <c r="W176" s="728">
        <v>2028</v>
      </c>
      <c r="X176" s="728">
        <v>2029</v>
      </c>
      <c r="Y176" s="728">
        <v>2030</v>
      </c>
      <c r="Z176" s="728">
        <v>2031</v>
      </c>
      <c r="AA176" s="728">
        <v>2032</v>
      </c>
      <c r="AB176" s="728">
        <v>2033</v>
      </c>
      <c r="AC176" s="728">
        <v>2034</v>
      </c>
      <c r="AD176" s="728">
        <v>2035</v>
      </c>
      <c r="AE176" s="728">
        <v>2036</v>
      </c>
      <c r="AF176" s="728">
        <v>2037</v>
      </c>
      <c r="AG176" s="728">
        <v>2038</v>
      </c>
      <c r="AH176" s="728">
        <v>2039</v>
      </c>
      <c r="AI176" s="728">
        <v>2040</v>
      </c>
      <c r="AJ176" s="728">
        <v>2041</v>
      </c>
      <c r="AK176" s="728">
        <v>2042</v>
      </c>
      <c r="AL176" s="728">
        <v>2043</v>
      </c>
      <c r="AM176" s="728">
        <v>2044</v>
      </c>
      <c r="AN176" s="728">
        <v>2045</v>
      </c>
      <c r="AO176" s="728">
        <v>2046</v>
      </c>
      <c r="AP176" s="728">
        <v>2047</v>
      </c>
      <c r="AQ176" s="728">
        <v>2048</v>
      </c>
      <c r="AR176" s="728">
        <v>2049</v>
      </c>
      <c r="AS176" s="728">
        <v>2050</v>
      </c>
      <c r="AT176" s="728">
        <v>2051</v>
      </c>
      <c r="AU176" s="728">
        <v>2052</v>
      </c>
      <c r="AV176" s="728">
        <v>2053</v>
      </c>
      <c r="AW176" s="728">
        <v>2054</v>
      </c>
      <c r="AX176" s="728">
        <v>2055</v>
      </c>
      <c r="AY176" s="728">
        <v>2056</v>
      </c>
      <c r="AZ176" s="728">
        <v>2057</v>
      </c>
      <c r="BA176" s="728">
        <v>2058</v>
      </c>
      <c r="BB176" s="728">
        <v>2059</v>
      </c>
      <c r="BC176" s="728">
        <v>2060</v>
      </c>
      <c r="BD176" s="728">
        <v>2061</v>
      </c>
      <c r="BE176" s="728">
        <v>2062</v>
      </c>
      <c r="BF176" s="728">
        <v>2063</v>
      </c>
      <c r="BG176" s="728">
        <v>2064</v>
      </c>
      <c r="BH176" s="728">
        <v>2065</v>
      </c>
      <c r="BI176" s="728">
        <v>2066</v>
      </c>
      <c r="BJ176" s="728">
        <v>2067</v>
      </c>
      <c r="BK176" s="728">
        <v>2068</v>
      </c>
      <c r="BL176" s="728">
        <v>2069</v>
      </c>
      <c r="BM176" s="728">
        <v>2070</v>
      </c>
      <c r="BN176" s="728">
        <v>2071</v>
      </c>
      <c r="BO176" s="728">
        <v>2072</v>
      </c>
      <c r="BP176" s="728">
        <v>2073</v>
      </c>
      <c r="BQ176" s="728">
        <v>2074</v>
      </c>
      <c r="BR176" s="728">
        <v>2075</v>
      </c>
      <c r="BS176" s="728">
        <v>2076</v>
      </c>
      <c r="BT176" s="728">
        <v>2077</v>
      </c>
      <c r="BU176" s="728">
        <v>2078</v>
      </c>
      <c r="BV176" s="728">
        <v>2079</v>
      </c>
      <c r="BW176" s="728">
        <v>2080</v>
      </c>
      <c r="BX176" s="728">
        <v>2081</v>
      </c>
      <c r="BY176" s="728">
        <v>2082</v>
      </c>
      <c r="BZ176" s="728">
        <v>2083</v>
      </c>
      <c r="CA176" s="728">
        <v>2084</v>
      </c>
      <c r="CB176" s="728">
        <v>2085</v>
      </c>
      <c r="CC176" s="728">
        <v>2086</v>
      </c>
      <c r="CD176" s="728">
        <v>2087</v>
      </c>
      <c r="CE176" s="728">
        <v>2088</v>
      </c>
      <c r="CF176" s="728">
        <v>2089</v>
      </c>
    </row>
    <row r="177" spans="2:84">
      <c r="D177" s="380" t="s">
        <v>249</v>
      </c>
      <c r="E177" s="380" t="e">
        <f>(E170*$E19*365)</f>
        <v>#DIV/0!</v>
      </c>
      <c r="F177" s="380" t="e">
        <f t="shared" ref="F177:AJ177" si="84">(F170*$E19*365)</f>
        <v>#DIV/0!</v>
      </c>
      <c r="G177" s="380" t="e">
        <f t="shared" si="84"/>
        <v>#DIV/0!</v>
      </c>
      <c r="H177" s="380" t="e">
        <f t="shared" si="84"/>
        <v>#DIV/0!</v>
      </c>
      <c r="I177" s="380" t="e">
        <f t="shared" si="84"/>
        <v>#DIV/0!</v>
      </c>
      <c r="J177" s="380" t="e">
        <f t="shared" si="84"/>
        <v>#DIV/0!</v>
      </c>
      <c r="K177" s="380" t="e">
        <f t="shared" si="84"/>
        <v>#DIV/0!</v>
      </c>
      <c r="L177" s="380" t="e">
        <f t="shared" si="84"/>
        <v>#DIV/0!</v>
      </c>
      <c r="M177" s="380" t="e">
        <f t="shared" si="84"/>
        <v>#DIV/0!</v>
      </c>
      <c r="N177" s="380" t="e">
        <f>(N170*$E19*365)</f>
        <v>#DIV/0!</v>
      </c>
      <c r="O177" s="380" t="e">
        <f t="shared" si="84"/>
        <v>#DIV/0!</v>
      </c>
      <c r="P177" s="380" t="e">
        <f t="shared" si="84"/>
        <v>#DIV/0!</v>
      </c>
      <c r="Q177" s="380" t="e">
        <f t="shared" si="84"/>
        <v>#DIV/0!</v>
      </c>
      <c r="R177" s="380" t="e">
        <f t="shared" si="84"/>
        <v>#DIV/0!</v>
      </c>
      <c r="S177" s="380" t="e">
        <f t="shared" si="84"/>
        <v>#DIV/0!</v>
      </c>
      <c r="T177" s="380" t="e">
        <f t="shared" si="84"/>
        <v>#DIV/0!</v>
      </c>
      <c r="U177" s="380" t="e">
        <f t="shared" si="84"/>
        <v>#DIV/0!</v>
      </c>
      <c r="V177" s="380" t="e">
        <f t="shared" si="84"/>
        <v>#DIV/0!</v>
      </c>
      <c r="W177" s="380" t="e">
        <f t="shared" si="84"/>
        <v>#DIV/0!</v>
      </c>
      <c r="X177" s="380" t="e">
        <f t="shared" si="84"/>
        <v>#DIV/0!</v>
      </c>
      <c r="Y177" s="380" t="e">
        <f t="shared" si="84"/>
        <v>#DIV/0!</v>
      </c>
      <c r="Z177" s="380" t="e">
        <f t="shared" si="84"/>
        <v>#DIV/0!</v>
      </c>
      <c r="AA177" s="380" t="e">
        <f t="shared" si="84"/>
        <v>#DIV/0!</v>
      </c>
      <c r="AB177" s="380" t="e">
        <f t="shared" si="84"/>
        <v>#DIV/0!</v>
      </c>
      <c r="AC177" s="380" t="e">
        <f t="shared" si="84"/>
        <v>#DIV/0!</v>
      </c>
      <c r="AD177" s="380" t="e">
        <f t="shared" si="84"/>
        <v>#DIV/0!</v>
      </c>
      <c r="AE177" s="380" t="e">
        <f t="shared" si="84"/>
        <v>#DIV/0!</v>
      </c>
      <c r="AF177" s="380" t="e">
        <f t="shared" si="84"/>
        <v>#DIV/0!</v>
      </c>
      <c r="AG177" s="380" t="e">
        <f t="shared" si="84"/>
        <v>#DIV/0!</v>
      </c>
      <c r="AH177" s="380" t="e">
        <f t="shared" si="84"/>
        <v>#DIV/0!</v>
      </c>
      <c r="AI177" s="380" t="e">
        <f t="shared" si="84"/>
        <v>#DIV/0!</v>
      </c>
      <c r="AJ177" s="380" t="e">
        <f t="shared" si="84"/>
        <v>#DIV/0!</v>
      </c>
      <c r="AK177" s="380" t="e">
        <f t="shared" ref="AK177:BP177" si="85">(AK170*$E19*365)</f>
        <v>#DIV/0!</v>
      </c>
      <c r="AL177" s="380" t="e">
        <f t="shared" si="85"/>
        <v>#DIV/0!</v>
      </c>
      <c r="AM177" s="380" t="e">
        <f t="shared" si="85"/>
        <v>#DIV/0!</v>
      </c>
      <c r="AN177" s="380" t="e">
        <f t="shared" si="85"/>
        <v>#DIV/0!</v>
      </c>
      <c r="AO177" s="380" t="e">
        <f t="shared" si="85"/>
        <v>#DIV/0!</v>
      </c>
      <c r="AP177" s="380" t="e">
        <f t="shared" si="85"/>
        <v>#DIV/0!</v>
      </c>
      <c r="AQ177" s="380" t="e">
        <f t="shared" si="85"/>
        <v>#DIV/0!</v>
      </c>
      <c r="AR177" s="380" t="e">
        <f t="shared" si="85"/>
        <v>#DIV/0!</v>
      </c>
      <c r="AS177" s="380" t="e">
        <f t="shared" si="85"/>
        <v>#DIV/0!</v>
      </c>
      <c r="AT177" s="380" t="e">
        <f t="shared" si="85"/>
        <v>#DIV/0!</v>
      </c>
      <c r="AU177" s="380" t="e">
        <f t="shared" si="85"/>
        <v>#DIV/0!</v>
      </c>
      <c r="AV177" s="380" t="e">
        <f t="shared" si="85"/>
        <v>#DIV/0!</v>
      </c>
      <c r="AW177" s="380" t="e">
        <f t="shared" si="85"/>
        <v>#DIV/0!</v>
      </c>
      <c r="AX177" s="380" t="e">
        <f t="shared" si="85"/>
        <v>#DIV/0!</v>
      </c>
      <c r="AY177" s="380" t="e">
        <f t="shared" si="85"/>
        <v>#DIV/0!</v>
      </c>
      <c r="AZ177" s="380" t="e">
        <f t="shared" si="85"/>
        <v>#DIV/0!</v>
      </c>
      <c r="BA177" s="380" t="e">
        <f t="shared" si="85"/>
        <v>#DIV/0!</v>
      </c>
      <c r="BB177" s="380" t="e">
        <f t="shared" si="85"/>
        <v>#DIV/0!</v>
      </c>
      <c r="BC177" s="380" t="e">
        <f t="shared" si="85"/>
        <v>#DIV/0!</v>
      </c>
      <c r="BD177" s="380" t="e">
        <f t="shared" si="85"/>
        <v>#DIV/0!</v>
      </c>
      <c r="BE177" s="380" t="e">
        <f t="shared" si="85"/>
        <v>#DIV/0!</v>
      </c>
      <c r="BF177" s="380" t="e">
        <f t="shared" si="85"/>
        <v>#DIV/0!</v>
      </c>
      <c r="BG177" s="380" t="e">
        <f t="shared" si="85"/>
        <v>#DIV/0!</v>
      </c>
      <c r="BH177" s="380" t="e">
        <f t="shared" si="85"/>
        <v>#DIV/0!</v>
      </c>
      <c r="BI177" s="380" t="e">
        <f t="shared" si="85"/>
        <v>#DIV/0!</v>
      </c>
      <c r="BJ177" s="380" t="e">
        <f t="shared" si="85"/>
        <v>#DIV/0!</v>
      </c>
      <c r="BK177" s="380" t="e">
        <f t="shared" si="85"/>
        <v>#DIV/0!</v>
      </c>
      <c r="BL177" s="380" t="e">
        <f t="shared" si="85"/>
        <v>#DIV/0!</v>
      </c>
      <c r="BM177" s="380" t="e">
        <f t="shared" si="85"/>
        <v>#DIV/0!</v>
      </c>
      <c r="BN177" s="380" t="e">
        <f t="shared" si="85"/>
        <v>#DIV/0!</v>
      </c>
      <c r="BO177" s="380" t="e">
        <f t="shared" si="85"/>
        <v>#DIV/0!</v>
      </c>
      <c r="BP177" s="380" t="e">
        <f t="shared" si="85"/>
        <v>#DIV/0!</v>
      </c>
      <c r="BQ177" s="380" t="e">
        <f t="shared" ref="BQ177:CF177" si="86">(BQ170*$E19*365)</f>
        <v>#DIV/0!</v>
      </c>
      <c r="BR177" s="380" t="e">
        <f t="shared" si="86"/>
        <v>#DIV/0!</v>
      </c>
      <c r="BS177" s="380" t="e">
        <f t="shared" si="86"/>
        <v>#DIV/0!</v>
      </c>
      <c r="BT177" s="380" t="e">
        <f t="shared" si="86"/>
        <v>#DIV/0!</v>
      </c>
      <c r="BU177" s="380" t="e">
        <f t="shared" si="86"/>
        <v>#DIV/0!</v>
      </c>
      <c r="BV177" s="380" t="e">
        <f t="shared" si="86"/>
        <v>#DIV/0!</v>
      </c>
      <c r="BW177" s="380" t="e">
        <f t="shared" si="86"/>
        <v>#DIV/0!</v>
      </c>
      <c r="BX177" s="380" t="e">
        <f t="shared" si="86"/>
        <v>#DIV/0!</v>
      </c>
      <c r="BY177" s="380" t="e">
        <f t="shared" si="86"/>
        <v>#DIV/0!</v>
      </c>
      <c r="BZ177" s="380" t="e">
        <f t="shared" si="86"/>
        <v>#DIV/0!</v>
      </c>
      <c r="CA177" s="380" t="e">
        <f t="shared" si="86"/>
        <v>#DIV/0!</v>
      </c>
      <c r="CB177" s="380" t="e">
        <f t="shared" si="86"/>
        <v>#DIV/0!</v>
      </c>
      <c r="CC177" s="380" t="e">
        <f t="shared" si="86"/>
        <v>#DIV/0!</v>
      </c>
      <c r="CD177" s="380" t="e">
        <f t="shared" si="86"/>
        <v>#DIV/0!</v>
      </c>
      <c r="CE177" s="380" t="e">
        <f t="shared" si="86"/>
        <v>#DIV/0!</v>
      </c>
      <c r="CF177" s="380" t="e">
        <f t="shared" si="86"/>
        <v>#DIV/0!</v>
      </c>
    </row>
    <row r="178" spans="2:84">
      <c r="D178" s="380" t="s">
        <v>89</v>
      </c>
      <c r="E178" s="380" t="e">
        <f t="shared" ref="E178:AJ178" si="87">(E171*$E20*365)</f>
        <v>#DIV/0!</v>
      </c>
      <c r="F178" s="380" t="e">
        <f t="shared" si="87"/>
        <v>#DIV/0!</v>
      </c>
      <c r="G178" s="380" t="e">
        <f t="shared" si="87"/>
        <v>#DIV/0!</v>
      </c>
      <c r="H178" s="380" t="e">
        <f t="shared" si="87"/>
        <v>#DIV/0!</v>
      </c>
      <c r="I178" s="380" t="e">
        <f t="shared" si="87"/>
        <v>#DIV/0!</v>
      </c>
      <c r="J178" s="380" t="e">
        <f t="shared" si="87"/>
        <v>#DIV/0!</v>
      </c>
      <c r="K178" s="380" t="e">
        <f t="shared" si="87"/>
        <v>#DIV/0!</v>
      </c>
      <c r="L178" s="380" t="e">
        <f t="shared" si="87"/>
        <v>#DIV/0!</v>
      </c>
      <c r="M178" s="380" t="e">
        <f t="shared" si="87"/>
        <v>#DIV/0!</v>
      </c>
      <c r="N178" s="380" t="e">
        <f t="shared" si="87"/>
        <v>#DIV/0!</v>
      </c>
      <c r="O178" s="380" t="e">
        <f t="shared" si="87"/>
        <v>#DIV/0!</v>
      </c>
      <c r="P178" s="380" t="e">
        <f t="shared" si="87"/>
        <v>#DIV/0!</v>
      </c>
      <c r="Q178" s="380" t="e">
        <f t="shared" si="87"/>
        <v>#DIV/0!</v>
      </c>
      <c r="R178" s="380" t="e">
        <f t="shared" si="87"/>
        <v>#DIV/0!</v>
      </c>
      <c r="S178" s="380" t="e">
        <f t="shared" si="87"/>
        <v>#DIV/0!</v>
      </c>
      <c r="T178" s="380" t="e">
        <f t="shared" si="87"/>
        <v>#DIV/0!</v>
      </c>
      <c r="U178" s="380" t="e">
        <f t="shared" si="87"/>
        <v>#DIV/0!</v>
      </c>
      <c r="V178" s="380" t="e">
        <f t="shared" si="87"/>
        <v>#DIV/0!</v>
      </c>
      <c r="W178" s="380" t="e">
        <f t="shared" si="87"/>
        <v>#DIV/0!</v>
      </c>
      <c r="X178" s="380" t="e">
        <f t="shared" si="87"/>
        <v>#DIV/0!</v>
      </c>
      <c r="Y178" s="380" t="e">
        <f t="shared" si="87"/>
        <v>#DIV/0!</v>
      </c>
      <c r="Z178" s="380" t="e">
        <f t="shared" si="87"/>
        <v>#DIV/0!</v>
      </c>
      <c r="AA178" s="380" t="e">
        <f t="shared" si="87"/>
        <v>#DIV/0!</v>
      </c>
      <c r="AB178" s="380" t="e">
        <f t="shared" si="87"/>
        <v>#DIV/0!</v>
      </c>
      <c r="AC178" s="380" t="e">
        <f t="shared" si="87"/>
        <v>#DIV/0!</v>
      </c>
      <c r="AD178" s="380" t="e">
        <f t="shared" si="87"/>
        <v>#DIV/0!</v>
      </c>
      <c r="AE178" s="380" t="e">
        <f t="shared" si="87"/>
        <v>#DIV/0!</v>
      </c>
      <c r="AF178" s="380" t="e">
        <f t="shared" si="87"/>
        <v>#DIV/0!</v>
      </c>
      <c r="AG178" s="380" t="e">
        <f t="shared" si="87"/>
        <v>#DIV/0!</v>
      </c>
      <c r="AH178" s="380" t="e">
        <f t="shared" si="87"/>
        <v>#DIV/0!</v>
      </c>
      <c r="AI178" s="380" t="e">
        <f t="shared" si="87"/>
        <v>#DIV/0!</v>
      </c>
      <c r="AJ178" s="380" t="e">
        <f t="shared" si="87"/>
        <v>#DIV/0!</v>
      </c>
      <c r="AK178" s="380" t="e">
        <f t="shared" ref="AK178:BP178" si="88">(AK171*$E20*365)</f>
        <v>#DIV/0!</v>
      </c>
      <c r="AL178" s="380" t="e">
        <f t="shared" si="88"/>
        <v>#DIV/0!</v>
      </c>
      <c r="AM178" s="380" t="e">
        <f t="shared" si="88"/>
        <v>#DIV/0!</v>
      </c>
      <c r="AN178" s="380" t="e">
        <f t="shared" si="88"/>
        <v>#DIV/0!</v>
      </c>
      <c r="AO178" s="380" t="e">
        <f t="shared" si="88"/>
        <v>#DIV/0!</v>
      </c>
      <c r="AP178" s="380" t="e">
        <f t="shared" si="88"/>
        <v>#DIV/0!</v>
      </c>
      <c r="AQ178" s="380" t="e">
        <f t="shared" si="88"/>
        <v>#DIV/0!</v>
      </c>
      <c r="AR178" s="380" t="e">
        <f t="shared" si="88"/>
        <v>#DIV/0!</v>
      </c>
      <c r="AS178" s="380" t="e">
        <f t="shared" si="88"/>
        <v>#DIV/0!</v>
      </c>
      <c r="AT178" s="380" t="e">
        <f t="shared" si="88"/>
        <v>#DIV/0!</v>
      </c>
      <c r="AU178" s="380" t="e">
        <f t="shared" si="88"/>
        <v>#DIV/0!</v>
      </c>
      <c r="AV178" s="380" t="e">
        <f t="shared" si="88"/>
        <v>#DIV/0!</v>
      </c>
      <c r="AW178" s="380" t="e">
        <f t="shared" si="88"/>
        <v>#DIV/0!</v>
      </c>
      <c r="AX178" s="380" t="e">
        <f t="shared" si="88"/>
        <v>#DIV/0!</v>
      </c>
      <c r="AY178" s="380" t="e">
        <f t="shared" si="88"/>
        <v>#DIV/0!</v>
      </c>
      <c r="AZ178" s="380" t="e">
        <f t="shared" si="88"/>
        <v>#DIV/0!</v>
      </c>
      <c r="BA178" s="380" t="e">
        <f t="shared" si="88"/>
        <v>#DIV/0!</v>
      </c>
      <c r="BB178" s="380" t="e">
        <f t="shared" si="88"/>
        <v>#DIV/0!</v>
      </c>
      <c r="BC178" s="380" t="e">
        <f t="shared" si="88"/>
        <v>#DIV/0!</v>
      </c>
      <c r="BD178" s="380" t="e">
        <f t="shared" si="88"/>
        <v>#DIV/0!</v>
      </c>
      <c r="BE178" s="380" t="e">
        <f t="shared" si="88"/>
        <v>#DIV/0!</v>
      </c>
      <c r="BF178" s="380" t="e">
        <f t="shared" si="88"/>
        <v>#DIV/0!</v>
      </c>
      <c r="BG178" s="380" t="e">
        <f t="shared" si="88"/>
        <v>#DIV/0!</v>
      </c>
      <c r="BH178" s="380" t="e">
        <f t="shared" si="88"/>
        <v>#DIV/0!</v>
      </c>
      <c r="BI178" s="380" t="e">
        <f t="shared" si="88"/>
        <v>#DIV/0!</v>
      </c>
      <c r="BJ178" s="380" t="e">
        <f t="shared" si="88"/>
        <v>#DIV/0!</v>
      </c>
      <c r="BK178" s="380" t="e">
        <f t="shared" si="88"/>
        <v>#DIV/0!</v>
      </c>
      <c r="BL178" s="380" t="e">
        <f t="shared" si="88"/>
        <v>#DIV/0!</v>
      </c>
      <c r="BM178" s="380" t="e">
        <f t="shared" si="88"/>
        <v>#DIV/0!</v>
      </c>
      <c r="BN178" s="380" t="e">
        <f t="shared" si="88"/>
        <v>#DIV/0!</v>
      </c>
      <c r="BO178" s="380" t="e">
        <f t="shared" si="88"/>
        <v>#DIV/0!</v>
      </c>
      <c r="BP178" s="380" t="e">
        <f t="shared" si="88"/>
        <v>#DIV/0!</v>
      </c>
      <c r="BQ178" s="380" t="e">
        <f t="shared" ref="BQ178:CF178" si="89">(BQ171*$E20*365)</f>
        <v>#DIV/0!</v>
      </c>
      <c r="BR178" s="380" t="e">
        <f t="shared" si="89"/>
        <v>#DIV/0!</v>
      </c>
      <c r="BS178" s="380" t="e">
        <f t="shared" si="89"/>
        <v>#DIV/0!</v>
      </c>
      <c r="BT178" s="380" t="e">
        <f t="shared" si="89"/>
        <v>#DIV/0!</v>
      </c>
      <c r="BU178" s="380" t="e">
        <f t="shared" si="89"/>
        <v>#DIV/0!</v>
      </c>
      <c r="BV178" s="380" t="e">
        <f t="shared" si="89"/>
        <v>#DIV/0!</v>
      </c>
      <c r="BW178" s="380" t="e">
        <f t="shared" si="89"/>
        <v>#DIV/0!</v>
      </c>
      <c r="BX178" s="380" t="e">
        <f t="shared" si="89"/>
        <v>#DIV/0!</v>
      </c>
      <c r="BY178" s="380" t="e">
        <f t="shared" si="89"/>
        <v>#DIV/0!</v>
      </c>
      <c r="BZ178" s="380" t="e">
        <f t="shared" si="89"/>
        <v>#DIV/0!</v>
      </c>
      <c r="CA178" s="380" t="e">
        <f t="shared" si="89"/>
        <v>#DIV/0!</v>
      </c>
      <c r="CB178" s="380" t="e">
        <f t="shared" si="89"/>
        <v>#DIV/0!</v>
      </c>
      <c r="CC178" s="380" t="e">
        <f t="shared" si="89"/>
        <v>#DIV/0!</v>
      </c>
      <c r="CD178" s="380" t="e">
        <f t="shared" si="89"/>
        <v>#DIV/0!</v>
      </c>
      <c r="CE178" s="380" t="e">
        <f t="shared" si="89"/>
        <v>#DIV/0!</v>
      </c>
      <c r="CF178" s="380" t="e">
        <f t="shared" si="89"/>
        <v>#DIV/0!</v>
      </c>
    </row>
    <row r="179" spans="2:84">
      <c r="D179" s="380" t="s">
        <v>91</v>
      </c>
      <c r="E179" s="380" t="e">
        <f t="shared" ref="E179:AJ179" si="90">(E172*$E21*365)</f>
        <v>#DIV/0!</v>
      </c>
      <c r="F179" s="380" t="e">
        <f t="shared" si="90"/>
        <v>#DIV/0!</v>
      </c>
      <c r="G179" s="380" t="e">
        <f t="shared" si="90"/>
        <v>#DIV/0!</v>
      </c>
      <c r="H179" s="380" t="e">
        <f t="shared" si="90"/>
        <v>#DIV/0!</v>
      </c>
      <c r="I179" s="380" t="e">
        <f t="shared" si="90"/>
        <v>#DIV/0!</v>
      </c>
      <c r="J179" s="380" t="e">
        <f t="shared" si="90"/>
        <v>#DIV/0!</v>
      </c>
      <c r="K179" s="380" t="e">
        <f t="shared" si="90"/>
        <v>#DIV/0!</v>
      </c>
      <c r="L179" s="380" t="e">
        <f t="shared" si="90"/>
        <v>#DIV/0!</v>
      </c>
      <c r="M179" s="380" t="e">
        <f t="shared" si="90"/>
        <v>#DIV/0!</v>
      </c>
      <c r="N179" s="380" t="e">
        <f t="shared" si="90"/>
        <v>#DIV/0!</v>
      </c>
      <c r="O179" s="380" t="e">
        <f t="shared" si="90"/>
        <v>#DIV/0!</v>
      </c>
      <c r="P179" s="380" t="e">
        <f t="shared" si="90"/>
        <v>#DIV/0!</v>
      </c>
      <c r="Q179" s="380" t="e">
        <f t="shared" si="90"/>
        <v>#DIV/0!</v>
      </c>
      <c r="R179" s="380" t="e">
        <f t="shared" si="90"/>
        <v>#DIV/0!</v>
      </c>
      <c r="S179" s="380" t="e">
        <f t="shared" si="90"/>
        <v>#DIV/0!</v>
      </c>
      <c r="T179" s="380" t="e">
        <f t="shared" si="90"/>
        <v>#DIV/0!</v>
      </c>
      <c r="U179" s="380" t="e">
        <f t="shared" si="90"/>
        <v>#DIV/0!</v>
      </c>
      <c r="V179" s="380" t="e">
        <f t="shared" si="90"/>
        <v>#DIV/0!</v>
      </c>
      <c r="W179" s="380" t="e">
        <f t="shared" si="90"/>
        <v>#DIV/0!</v>
      </c>
      <c r="X179" s="380" t="e">
        <f t="shared" si="90"/>
        <v>#DIV/0!</v>
      </c>
      <c r="Y179" s="380" t="e">
        <f t="shared" si="90"/>
        <v>#DIV/0!</v>
      </c>
      <c r="Z179" s="380" t="e">
        <f t="shared" si="90"/>
        <v>#DIV/0!</v>
      </c>
      <c r="AA179" s="380" t="e">
        <f t="shared" si="90"/>
        <v>#DIV/0!</v>
      </c>
      <c r="AB179" s="380" t="e">
        <f t="shared" si="90"/>
        <v>#DIV/0!</v>
      </c>
      <c r="AC179" s="380" t="e">
        <f t="shared" si="90"/>
        <v>#DIV/0!</v>
      </c>
      <c r="AD179" s="380" t="e">
        <f t="shared" si="90"/>
        <v>#DIV/0!</v>
      </c>
      <c r="AE179" s="380" t="e">
        <f t="shared" si="90"/>
        <v>#DIV/0!</v>
      </c>
      <c r="AF179" s="380" t="e">
        <f t="shared" si="90"/>
        <v>#DIV/0!</v>
      </c>
      <c r="AG179" s="380" t="e">
        <f t="shared" si="90"/>
        <v>#DIV/0!</v>
      </c>
      <c r="AH179" s="380" t="e">
        <f t="shared" si="90"/>
        <v>#DIV/0!</v>
      </c>
      <c r="AI179" s="380" t="e">
        <f t="shared" si="90"/>
        <v>#DIV/0!</v>
      </c>
      <c r="AJ179" s="380" t="e">
        <f t="shared" si="90"/>
        <v>#DIV/0!</v>
      </c>
      <c r="AK179" s="380" t="e">
        <f t="shared" ref="AK179:BP179" si="91">(AK172*$E21*365)</f>
        <v>#DIV/0!</v>
      </c>
      <c r="AL179" s="380" t="e">
        <f t="shared" si="91"/>
        <v>#DIV/0!</v>
      </c>
      <c r="AM179" s="380" t="e">
        <f t="shared" si="91"/>
        <v>#DIV/0!</v>
      </c>
      <c r="AN179" s="380" t="e">
        <f t="shared" si="91"/>
        <v>#DIV/0!</v>
      </c>
      <c r="AO179" s="380" t="e">
        <f t="shared" si="91"/>
        <v>#DIV/0!</v>
      </c>
      <c r="AP179" s="380" t="e">
        <f t="shared" si="91"/>
        <v>#DIV/0!</v>
      </c>
      <c r="AQ179" s="380" t="e">
        <f t="shared" si="91"/>
        <v>#DIV/0!</v>
      </c>
      <c r="AR179" s="380" t="e">
        <f t="shared" si="91"/>
        <v>#DIV/0!</v>
      </c>
      <c r="AS179" s="380" t="e">
        <f t="shared" si="91"/>
        <v>#DIV/0!</v>
      </c>
      <c r="AT179" s="380" t="e">
        <f t="shared" si="91"/>
        <v>#DIV/0!</v>
      </c>
      <c r="AU179" s="380" t="e">
        <f t="shared" si="91"/>
        <v>#DIV/0!</v>
      </c>
      <c r="AV179" s="380" t="e">
        <f t="shared" si="91"/>
        <v>#DIV/0!</v>
      </c>
      <c r="AW179" s="380" t="e">
        <f t="shared" si="91"/>
        <v>#DIV/0!</v>
      </c>
      <c r="AX179" s="380" t="e">
        <f t="shared" si="91"/>
        <v>#DIV/0!</v>
      </c>
      <c r="AY179" s="380" t="e">
        <f t="shared" si="91"/>
        <v>#DIV/0!</v>
      </c>
      <c r="AZ179" s="380" t="e">
        <f t="shared" si="91"/>
        <v>#DIV/0!</v>
      </c>
      <c r="BA179" s="380" t="e">
        <f t="shared" si="91"/>
        <v>#DIV/0!</v>
      </c>
      <c r="BB179" s="380" t="e">
        <f t="shared" si="91"/>
        <v>#DIV/0!</v>
      </c>
      <c r="BC179" s="380" t="e">
        <f t="shared" si="91"/>
        <v>#DIV/0!</v>
      </c>
      <c r="BD179" s="380" t="e">
        <f t="shared" si="91"/>
        <v>#DIV/0!</v>
      </c>
      <c r="BE179" s="380" t="e">
        <f t="shared" si="91"/>
        <v>#DIV/0!</v>
      </c>
      <c r="BF179" s="380" t="e">
        <f t="shared" si="91"/>
        <v>#DIV/0!</v>
      </c>
      <c r="BG179" s="380" t="e">
        <f t="shared" si="91"/>
        <v>#DIV/0!</v>
      </c>
      <c r="BH179" s="380" t="e">
        <f t="shared" si="91"/>
        <v>#DIV/0!</v>
      </c>
      <c r="BI179" s="380" t="e">
        <f t="shared" si="91"/>
        <v>#DIV/0!</v>
      </c>
      <c r="BJ179" s="380" t="e">
        <f t="shared" si="91"/>
        <v>#DIV/0!</v>
      </c>
      <c r="BK179" s="380" t="e">
        <f t="shared" si="91"/>
        <v>#DIV/0!</v>
      </c>
      <c r="BL179" s="380" t="e">
        <f t="shared" si="91"/>
        <v>#DIV/0!</v>
      </c>
      <c r="BM179" s="380" t="e">
        <f t="shared" si="91"/>
        <v>#DIV/0!</v>
      </c>
      <c r="BN179" s="380" t="e">
        <f t="shared" si="91"/>
        <v>#DIV/0!</v>
      </c>
      <c r="BO179" s="380" t="e">
        <f t="shared" si="91"/>
        <v>#DIV/0!</v>
      </c>
      <c r="BP179" s="380" t="e">
        <f t="shared" si="91"/>
        <v>#DIV/0!</v>
      </c>
      <c r="BQ179" s="380" t="e">
        <f t="shared" ref="BQ179:CF179" si="92">(BQ172*$E21*365)</f>
        <v>#DIV/0!</v>
      </c>
      <c r="BR179" s="380" t="e">
        <f t="shared" si="92"/>
        <v>#DIV/0!</v>
      </c>
      <c r="BS179" s="380" t="e">
        <f t="shared" si="92"/>
        <v>#DIV/0!</v>
      </c>
      <c r="BT179" s="380" t="e">
        <f t="shared" si="92"/>
        <v>#DIV/0!</v>
      </c>
      <c r="BU179" s="380" t="e">
        <f t="shared" si="92"/>
        <v>#DIV/0!</v>
      </c>
      <c r="BV179" s="380" t="e">
        <f t="shared" si="92"/>
        <v>#DIV/0!</v>
      </c>
      <c r="BW179" s="380" t="e">
        <f t="shared" si="92"/>
        <v>#DIV/0!</v>
      </c>
      <c r="BX179" s="380" t="e">
        <f t="shared" si="92"/>
        <v>#DIV/0!</v>
      </c>
      <c r="BY179" s="380" t="e">
        <f t="shared" si="92"/>
        <v>#DIV/0!</v>
      </c>
      <c r="BZ179" s="380" t="e">
        <f t="shared" si="92"/>
        <v>#DIV/0!</v>
      </c>
      <c r="CA179" s="380" t="e">
        <f t="shared" si="92"/>
        <v>#DIV/0!</v>
      </c>
      <c r="CB179" s="380" t="e">
        <f t="shared" si="92"/>
        <v>#DIV/0!</v>
      </c>
      <c r="CC179" s="380" t="e">
        <f t="shared" si="92"/>
        <v>#DIV/0!</v>
      </c>
      <c r="CD179" s="380" t="e">
        <f t="shared" si="92"/>
        <v>#DIV/0!</v>
      </c>
      <c r="CE179" s="380" t="e">
        <f t="shared" si="92"/>
        <v>#DIV/0!</v>
      </c>
      <c r="CF179" s="380" t="e">
        <f t="shared" si="92"/>
        <v>#DIV/0!</v>
      </c>
    </row>
    <row r="180" spans="2:84">
      <c r="D180" s="380" t="s">
        <v>93</v>
      </c>
      <c r="E180" s="380" t="e">
        <f t="shared" ref="E180:AJ180" si="93">(E173*$E22*365)</f>
        <v>#DIV/0!</v>
      </c>
      <c r="F180" s="380" t="e">
        <f t="shared" si="93"/>
        <v>#DIV/0!</v>
      </c>
      <c r="G180" s="380" t="e">
        <f t="shared" si="93"/>
        <v>#DIV/0!</v>
      </c>
      <c r="H180" s="380" t="e">
        <f t="shared" si="93"/>
        <v>#DIV/0!</v>
      </c>
      <c r="I180" s="380" t="e">
        <f t="shared" si="93"/>
        <v>#DIV/0!</v>
      </c>
      <c r="J180" s="380" t="e">
        <f t="shared" si="93"/>
        <v>#DIV/0!</v>
      </c>
      <c r="K180" s="380" t="e">
        <f t="shared" si="93"/>
        <v>#DIV/0!</v>
      </c>
      <c r="L180" s="380" t="e">
        <f t="shared" si="93"/>
        <v>#DIV/0!</v>
      </c>
      <c r="M180" s="380" t="e">
        <f t="shared" si="93"/>
        <v>#DIV/0!</v>
      </c>
      <c r="N180" s="380" t="e">
        <f t="shared" si="93"/>
        <v>#DIV/0!</v>
      </c>
      <c r="O180" s="380" t="e">
        <f t="shared" si="93"/>
        <v>#DIV/0!</v>
      </c>
      <c r="P180" s="380" t="e">
        <f t="shared" si="93"/>
        <v>#DIV/0!</v>
      </c>
      <c r="Q180" s="380" t="e">
        <f t="shared" si="93"/>
        <v>#DIV/0!</v>
      </c>
      <c r="R180" s="380" t="e">
        <f t="shared" si="93"/>
        <v>#DIV/0!</v>
      </c>
      <c r="S180" s="380" t="e">
        <f t="shared" si="93"/>
        <v>#DIV/0!</v>
      </c>
      <c r="T180" s="380" t="e">
        <f t="shared" si="93"/>
        <v>#DIV/0!</v>
      </c>
      <c r="U180" s="380" t="e">
        <f t="shared" si="93"/>
        <v>#DIV/0!</v>
      </c>
      <c r="V180" s="380" t="e">
        <f t="shared" si="93"/>
        <v>#DIV/0!</v>
      </c>
      <c r="W180" s="380" t="e">
        <f t="shared" si="93"/>
        <v>#DIV/0!</v>
      </c>
      <c r="X180" s="380" t="e">
        <f t="shared" si="93"/>
        <v>#DIV/0!</v>
      </c>
      <c r="Y180" s="380" t="e">
        <f t="shared" si="93"/>
        <v>#DIV/0!</v>
      </c>
      <c r="Z180" s="380" t="e">
        <f t="shared" si="93"/>
        <v>#DIV/0!</v>
      </c>
      <c r="AA180" s="380" t="e">
        <f t="shared" si="93"/>
        <v>#DIV/0!</v>
      </c>
      <c r="AB180" s="380" t="e">
        <f t="shared" si="93"/>
        <v>#DIV/0!</v>
      </c>
      <c r="AC180" s="380" t="e">
        <f t="shared" si="93"/>
        <v>#DIV/0!</v>
      </c>
      <c r="AD180" s="380" t="e">
        <f t="shared" si="93"/>
        <v>#DIV/0!</v>
      </c>
      <c r="AE180" s="380" t="e">
        <f t="shared" si="93"/>
        <v>#DIV/0!</v>
      </c>
      <c r="AF180" s="380" t="e">
        <f t="shared" si="93"/>
        <v>#DIV/0!</v>
      </c>
      <c r="AG180" s="380" t="e">
        <f t="shared" si="93"/>
        <v>#DIV/0!</v>
      </c>
      <c r="AH180" s="380" t="e">
        <f t="shared" si="93"/>
        <v>#DIV/0!</v>
      </c>
      <c r="AI180" s="380" t="e">
        <f t="shared" si="93"/>
        <v>#DIV/0!</v>
      </c>
      <c r="AJ180" s="380" t="e">
        <f t="shared" si="93"/>
        <v>#DIV/0!</v>
      </c>
      <c r="AK180" s="380" t="e">
        <f t="shared" ref="AK180:BP180" si="94">(AK173*$E22*365)</f>
        <v>#DIV/0!</v>
      </c>
      <c r="AL180" s="380" t="e">
        <f t="shared" si="94"/>
        <v>#DIV/0!</v>
      </c>
      <c r="AM180" s="380" t="e">
        <f t="shared" si="94"/>
        <v>#DIV/0!</v>
      </c>
      <c r="AN180" s="380" t="e">
        <f t="shared" si="94"/>
        <v>#DIV/0!</v>
      </c>
      <c r="AO180" s="380" t="e">
        <f t="shared" si="94"/>
        <v>#DIV/0!</v>
      </c>
      <c r="AP180" s="380" t="e">
        <f t="shared" si="94"/>
        <v>#DIV/0!</v>
      </c>
      <c r="AQ180" s="380" t="e">
        <f t="shared" si="94"/>
        <v>#DIV/0!</v>
      </c>
      <c r="AR180" s="380" t="e">
        <f t="shared" si="94"/>
        <v>#DIV/0!</v>
      </c>
      <c r="AS180" s="380" t="e">
        <f t="shared" si="94"/>
        <v>#DIV/0!</v>
      </c>
      <c r="AT180" s="380" t="e">
        <f t="shared" si="94"/>
        <v>#DIV/0!</v>
      </c>
      <c r="AU180" s="380" t="e">
        <f t="shared" si="94"/>
        <v>#DIV/0!</v>
      </c>
      <c r="AV180" s="380" t="e">
        <f t="shared" si="94"/>
        <v>#DIV/0!</v>
      </c>
      <c r="AW180" s="380" t="e">
        <f t="shared" si="94"/>
        <v>#DIV/0!</v>
      </c>
      <c r="AX180" s="380" t="e">
        <f t="shared" si="94"/>
        <v>#DIV/0!</v>
      </c>
      <c r="AY180" s="380" t="e">
        <f t="shared" si="94"/>
        <v>#DIV/0!</v>
      </c>
      <c r="AZ180" s="380" t="e">
        <f t="shared" si="94"/>
        <v>#DIV/0!</v>
      </c>
      <c r="BA180" s="380" t="e">
        <f t="shared" si="94"/>
        <v>#DIV/0!</v>
      </c>
      <c r="BB180" s="380" t="e">
        <f t="shared" si="94"/>
        <v>#DIV/0!</v>
      </c>
      <c r="BC180" s="380" t="e">
        <f t="shared" si="94"/>
        <v>#DIV/0!</v>
      </c>
      <c r="BD180" s="380" t="e">
        <f t="shared" si="94"/>
        <v>#DIV/0!</v>
      </c>
      <c r="BE180" s="380" t="e">
        <f t="shared" si="94"/>
        <v>#DIV/0!</v>
      </c>
      <c r="BF180" s="380" t="e">
        <f t="shared" si="94"/>
        <v>#DIV/0!</v>
      </c>
      <c r="BG180" s="380" t="e">
        <f t="shared" si="94"/>
        <v>#DIV/0!</v>
      </c>
      <c r="BH180" s="380" t="e">
        <f t="shared" si="94"/>
        <v>#DIV/0!</v>
      </c>
      <c r="BI180" s="380" t="e">
        <f t="shared" si="94"/>
        <v>#DIV/0!</v>
      </c>
      <c r="BJ180" s="380" t="e">
        <f t="shared" si="94"/>
        <v>#DIV/0!</v>
      </c>
      <c r="BK180" s="380" t="e">
        <f t="shared" si="94"/>
        <v>#DIV/0!</v>
      </c>
      <c r="BL180" s="380" t="e">
        <f t="shared" si="94"/>
        <v>#DIV/0!</v>
      </c>
      <c r="BM180" s="380" t="e">
        <f t="shared" si="94"/>
        <v>#DIV/0!</v>
      </c>
      <c r="BN180" s="380" t="e">
        <f t="shared" si="94"/>
        <v>#DIV/0!</v>
      </c>
      <c r="BO180" s="380" t="e">
        <f t="shared" si="94"/>
        <v>#DIV/0!</v>
      </c>
      <c r="BP180" s="380" t="e">
        <f t="shared" si="94"/>
        <v>#DIV/0!</v>
      </c>
      <c r="BQ180" s="380" t="e">
        <f t="shared" ref="BQ180:CF180" si="95">(BQ173*$E22*365)</f>
        <v>#DIV/0!</v>
      </c>
      <c r="BR180" s="380" t="e">
        <f t="shared" si="95"/>
        <v>#DIV/0!</v>
      </c>
      <c r="BS180" s="380" t="e">
        <f t="shared" si="95"/>
        <v>#DIV/0!</v>
      </c>
      <c r="BT180" s="380" t="e">
        <f t="shared" si="95"/>
        <v>#DIV/0!</v>
      </c>
      <c r="BU180" s="380" t="e">
        <f t="shared" si="95"/>
        <v>#DIV/0!</v>
      </c>
      <c r="BV180" s="380" t="e">
        <f t="shared" si="95"/>
        <v>#DIV/0!</v>
      </c>
      <c r="BW180" s="380" t="e">
        <f t="shared" si="95"/>
        <v>#DIV/0!</v>
      </c>
      <c r="BX180" s="380" t="e">
        <f t="shared" si="95"/>
        <v>#DIV/0!</v>
      </c>
      <c r="BY180" s="380" t="e">
        <f t="shared" si="95"/>
        <v>#DIV/0!</v>
      </c>
      <c r="BZ180" s="380" t="e">
        <f t="shared" si="95"/>
        <v>#DIV/0!</v>
      </c>
      <c r="CA180" s="380" t="e">
        <f t="shared" si="95"/>
        <v>#DIV/0!</v>
      </c>
      <c r="CB180" s="380" t="e">
        <f t="shared" si="95"/>
        <v>#DIV/0!</v>
      </c>
      <c r="CC180" s="380" t="e">
        <f t="shared" si="95"/>
        <v>#DIV/0!</v>
      </c>
      <c r="CD180" s="380" t="e">
        <f t="shared" si="95"/>
        <v>#DIV/0!</v>
      </c>
      <c r="CE180" s="380" t="e">
        <f t="shared" si="95"/>
        <v>#DIV/0!</v>
      </c>
      <c r="CF180" s="380" t="e">
        <f t="shared" si="95"/>
        <v>#DIV/0!</v>
      </c>
    </row>
    <row r="183" spans="2:84">
      <c r="B183" s="360" t="s">
        <v>282</v>
      </c>
    </row>
    <row r="184" spans="2:84">
      <c r="B184" s="378"/>
      <c r="C184" s="360" t="s">
        <v>283</v>
      </c>
    </row>
    <row r="185" spans="2:84">
      <c r="D185" s="728"/>
      <c r="E185" s="728">
        <v>2010</v>
      </c>
      <c r="F185" s="728">
        <v>2011</v>
      </c>
      <c r="G185" s="728">
        <v>2012</v>
      </c>
      <c r="H185" s="728">
        <v>2013</v>
      </c>
      <c r="I185" s="728">
        <v>2014</v>
      </c>
      <c r="J185" s="728">
        <v>2015</v>
      </c>
      <c r="K185" s="728">
        <v>2016</v>
      </c>
      <c r="L185" s="728">
        <v>2017</v>
      </c>
      <c r="M185" s="728">
        <v>2018</v>
      </c>
      <c r="N185" s="728">
        <v>2019</v>
      </c>
      <c r="O185" s="728">
        <v>2020</v>
      </c>
      <c r="P185" s="728">
        <v>2021</v>
      </c>
      <c r="Q185" s="728">
        <v>2022</v>
      </c>
      <c r="R185" s="728">
        <v>2023</v>
      </c>
      <c r="S185" s="728">
        <v>2024</v>
      </c>
      <c r="T185" s="728">
        <v>2025</v>
      </c>
      <c r="U185" s="728">
        <v>2026</v>
      </c>
      <c r="V185" s="728">
        <v>2027</v>
      </c>
      <c r="W185" s="728">
        <v>2028</v>
      </c>
      <c r="X185" s="728">
        <v>2029</v>
      </c>
      <c r="Y185" s="728">
        <v>2030</v>
      </c>
      <c r="Z185" s="728">
        <v>2031</v>
      </c>
      <c r="AA185" s="728">
        <v>2032</v>
      </c>
      <c r="AB185" s="728">
        <v>2033</v>
      </c>
      <c r="AC185" s="728">
        <v>2034</v>
      </c>
      <c r="AD185" s="728">
        <v>2035</v>
      </c>
      <c r="AE185" s="728">
        <v>2036</v>
      </c>
      <c r="AF185" s="728">
        <v>2037</v>
      </c>
      <c r="AG185" s="728">
        <v>2038</v>
      </c>
      <c r="AH185" s="728">
        <v>2039</v>
      </c>
      <c r="AI185" s="728">
        <v>2040</v>
      </c>
      <c r="AJ185" s="728">
        <v>2041</v>
      </c>
      <c r="AK185" s="728">
        <v>2042</v>
      </c>
      <c r="AL185" s="728">
        <v>2043</v>
      </c>
      <c r="AM185" s="728">
        <v>2044</v>
      </c>
      <c r="AN185" s="728">
        <v>2045</v>
      </c>
      <c r="AO185" s="728">
        <v>2046</v>
      </c>
      <c r="AP185" s="728">
        <v>2047</v>
      </c>
      <c r="AQ185" s="728">
        <v>2048</v>
      </c>
      <c r="AR185" s="728">
        <v>2049</v>
      </c>
      <c r="AS185" s="728">
        <v>2050</v>
      </c>
      <c r="AT185" s="728">
        <v>2051</v>
      </c>
      <c r="AU185" s="728">
        <v>2052</v>
      </c>
      <c r="AV185" s="728">
        <v>2053</v>
      </c>
      <c r="AW185" s="728">
        <v>2054</v>
      </c>
      <c r="AX185" s="728">
        <v>2055</v>
      </c>
      <c r="AY185" s="728">
        <v>2056</v>
      </c>
      <c r="AZ185" s="728">
        <v>2057</v>
      </c>
      <c r="BA185" s="728">
        <v>2058</v>
      </c>
      <c r="BB185" s="728">
        <v>2059</v>
      </c>
      <c r="BC185" s="728">
        <v>2060</v>
      </c>
      <c r="BD185" s="728">
        <v>2061</v>
      </c>
      <c r="BE185" s="728">
        <v>2062</v>
      </c>
      <c r="BF185" s="728">
        <v>2063</v>
      </c>
      <c r="BG185" s="728">
        <v>2064</v>
      </c>
      <c r="BH185" s="728">
        <v>2065</v>
      </c>
      <c r="BI185" s="728">
        <v>2066</v>
      </c>
      <c r="BJ185" s="728">
        <v>2067</v>
      </c>
      <c r="BK185" s="728">
        <v>2068</v>
      </c>
      <c r="BL185" s="728">
        <v>2069</v>
      </c>
      <c r="BM185" s="728">
        <v>2070</v>
      </c>
      <c r="BN185" s="728">
        <v>2071</v>
      </c>
      <c r="BO185" s="728">
        <v>2072</v>
      </c>
      <c r="BP185" s="728">
        <v>2073</v>
      </c>
      <c r="BQ185" s="728">
        <v>2074</v>
      </c>
      <c r="BR185" s="728">
        <v>2075</v>
      </c>
      <c r="BS185" s="728">
        <v>2076</v>
      </c>
      <c r="BT185" s="728">
        <v>2077</v>
      </c>
      <c r="BU185" s="728">
        <v>2078</v>
      </c>
      <c r="BV185" s="728">
        <v>2079</v>
      </c>
      <c r="BW185" s="728">
        <v>2080</v>
      </c>
      <c r="BX185" s="728">
        <v>2081</v>
      </c>
      <c r="BY185" s="728">
        <v>2082</v>
      </c>
      <c r="BZ185" s="728">
        <v>2083</v>
      </c>
      <c r="CA185" s="728">
        <v>2084</v>
      </c>
      <c r="CB185" s="728">
        <v>2085</v>
      </c>
      <c r="CC185" s="728">
        <v>2086</v>
      </c>
      <c r="CD185" s="728">
        <v>2087</v>
      </c>
      <c r="CE185" s="728">
        <v>2088</v>
      </c>
      <c r="CF185" s="728">
        <v>2089</v>
      </c>
    </row>
    <row r="186" spans="2:84">
      <c r="D186" s="364" t="s">
        <v>87</v>
      </c>
      <c r="E186" s="380" t="e">
        <f t="shared" ref="E186:AJ186" si="96">(((VLOOKUP(E185, GG_fuel,7,FALSE)) + (VLOOKUP(E185, GG_fuel,8,0))*$E$5 + (VLOOKUP(E185, GG_fuel,9,0))*$E$5^2 + (VLOOKUP(E185, GG_fuel,10,0))*$E$5^3)/$E$5)</f>
        <v>#DIV/0!</v>
      </c>
      <c r="F186" s="380" t="e">
        <f t="shared" si="96"/>
        <v>#DIV/0!</v>
      </c>
      <c r="G186" s="380" t="e">
        <f t="shared" si="96"/>
        <v>#DIV/0!</v>
      </c>
      <c r="H186" s="380" t="e">
        <f t="shared" si="96"/>
        <v>#DIV/0!</v>
      </c>
      <c r="I186" s="380" t="e">
        <f t="shared" si="96"/>
        <v>#DIV/0!</v>
      </c>
      <c r="J186" s="380" t="e">
        <f t="shared" si="96"/>
        <v>#DIV/0!</v>
      </c>
      <c r="K186" s="380" t="e">
        <f t="shared" si="96"/>
        <v>#DIV/0!</v>
      </c>
      <c r="L186" s="380" t="e">
        <f t="shared" si="96"/>
        <v>#DIV/0!</v>
      </c>
      <c r="M186" s="380" t="e">
        <f t="shared" si="96"/>
        <v>#DIV/0!</v>
      </c>
      <c r="N186" s="380" t="e">
        <f t="shared" si="96"/>
        <v>#DIV/0!</v>
      </c>
      <c r="O186" s="380" t="e">
        <f t="shared" si="96"/>
        <v>#DIV/0!</v>
      </c>
      <c r="P186" s="380" t="e">
        <f t="shared" si="96"/>
        <v>#DIV/0!</v>
      </c>
      <c r="Q186" s="380" t="e">
        <f t="shared" si="96"/>
        <v>#DIV/0!</v>
      </c>
      <c r="R186" s="380" t="e">
        <f t="shared" si="96"/>
        <v>#DIV/0!</v>
      </c>
      <c r="S186" s="380" t="e">
        <f t="shared" si="96"/>
        <v>#DIV/0!</v>
      </c>
      <c r="T186" s="380" t="e">
        <f t="shared" si="96"/>
        <v>#DIV/0!</v>
      </c>
      <c r="U186" s="380" t="e">
        <f t="shared" si="96"/>
        <v>#DIV/0!</v>
      </c>
      <c r="V186" s="380" t="e">
        <f t="shared" si="96"/>
        <v>#DIV/0!</v>
      </c>
      <c r="W186" s="380" t="e">
        <f t="shared" si="96"/>
        <v>#DIV/0!</v>
      </c>
      <c r="X186" s="380" t="e">
        <f t="shared" si="96"/>
        <v>#DIV/0!</v>
      </c>
      <c r="Y186" s="380" t="e">
        <f t="shared" si="96"/>
        <v>#DIV/0!</v>
      </c>
      <c r="Z186" s="380" t="e">
        <f t="shared" si="96"/>
        <v>#DIV/0!</v>
      </c>
      <c r="AA186" s="380" t="e">
        <f t="shared" si="96"/>
        <v>#DIV/0!</v>
      </c>
      <c r="AB186" s="380" t="e">
        <f t="shared" si="96"/>
        <v>#DIV/0!</v>
      </c>
      <c r="AC186" s="380" t="e">
        <f t="shared" si="96"/>
        <v>#DIV/0!</v>
      </c>
      <c r="AD186" s="380" t="e">
        <f t="shared" si="96"/>
        <v>#DIV/0!</v>
      </c>
      <c r="AE186" s="380" t="e">
        <f t="shared" si="96"/>
        <v>#DIV/0!</v>
      </c>
      <c r="AF186" s="380" t="e">
        <f t="shared" si="96"/>
        <v>#DIV/0!</v>
      </c>
      <c r="AG186" s="380" t="e">
        <f t="shared" si="96"/>
        <v>#DIV/0!</v>
      </c>
      <c r="AH186" s="380" t="e">
        <f t="shared" si="96"/>
        <v>#DIV/0!</v>
      </c>
      <c r="AI186" s="380" t="e">
        <f t="shared" si="96"/>
        <v>#DIV/0!</v>
      </c>
      <c r="AJ186" s="380" t="e">
        <f t="shared" si="96"/>
        <v>#DIV/0!</v>
      </c>
      <c r="AK186" s="380" t="e">
        <f t="shared" ref="AK186:BP186" si="97">(((VLOOKUP(AK185, GG_fuel,7,FALSE)) + (VLOOKUP(AK185, GG_fuel,8,0))*$E$5 + (VLOOKUP(AK185, GG_fuel,9,0))*$E$5^2 + (VLOOKUP(AK185, GG_fuel,10,0))*$E$5^3)/$E$5)</f>
        <v>#DIV/0!</v>
      </c>
      <c r="AL186" s="380" t="e">
        <f t="shared" si="97"/>
        <v>#DIV/0!</v>
      </c>
      <c r="AM186" s="380" t="e">
        <f t="shared" si="97"/>
        <v>#DIV/0!</v>
      </c>
      <c r="AN186" s="380" t="e">
        <f t="shared" si="97"/>
        <v>#DIV/0!</v>
      </c>
      <c r="AO186" s="380" t="e">
        <f t="shared" si="97"/>
        <v>#DIV/0!</v>
      </c>
      <c r="AP186" s="380" t="e">
        <f t="shared" si="97"/>
        <v>#DIV/0!</v>
      </c>
      <c r="AQ186" s="380" t="e">
        <f t="shared" si="97"/>
        <v>#DIV/0!</v>
      </c>
      <c r="AR186" s="380" t="e">
        <f t="shared" si="97"/>
        <v>#DIV/0!</v>
      </c>
      <c r="AS186" s="380" t="e">
        <f t="shared" si="97"/>
        <v>#DIV/0!</v>
      </c>
      <c r="AT186" s="380" t="e">
        <f t="shared" si="97"/>
        <v>#DIV/0!</v>
      </c>
      <c r="AU186" s="380" t="e">
        <f t="shared" si="97"/>
        <v>#DIV/0!</v>
      </c>
      <c r="AV186" s="380" t="e">
        <f t="shared" si="97"/>
        <v>#DIV/0!</v>
      </c>
      <c r="AW186" s="380" t="e">
        <f t="shared" si="97"/>
        <v>#DIV/0!</v>
      </c>
      <c r="AX186" s="380" t="e">
        <f t="shared" si="97"/>
        <v>#DIV/0!</v>
      </c>
      <c r="AY186" s="380" t="e">
        <f t="shared" si="97"/>
        <v>#DIV/0!</v>
      </c>
      <c r="AZ186" s="380" t="e">
        <f t="shared" si="97"/>
        <v>#DIV/0!</v>
      </c>
      <c r="BA186" s="380" t="e">
        <f t="shared" si="97"/>
        <v>#DIV/0!</v>
      </c>
      <c r="BB186" s="380" t="e">
        <f t="shared" si="97"/>
        <v>#DIV/0!</v>
      </c>
      <c r="BC186" s="380" t="e">
        <f t="shared" si="97"/>
        <v>#DIV/0!</v>
      </c>
      <c r="BD186" s="380" t="e">
        <f t="shared" si="97"/>
        <v>#DIV/0!</v>
      </c>
      <c r="BE186" s="380" t="e">
        <f t="shared" si="97"/>
        <v>#DIV/0!</v>
      </c>
      <c r="BF186" s="380" t="e">
        <f t="shared" si="97"/>
        <v>#DIV/0!</v>
      </c>
      <c r="BG186" s="380" t="e">
        <f t="shared" si="97"/>
        <v>#DIV/0!</v>
      </c>
      <c r="BH186" s="380" t="e">
        <f t="shared" si="97"/>
        <v>#DIV/0!</v>
      </c>
      <c r="BI186" s="380" t="e">
        <f t="shared" si="97"/>
        <v>#DIV/0!</v>
      </c>
      <c r="BJ186" s="380" t="e">
        <f t="shared" si="97"/>
        <v>#DIV/0!</v>
      </c>
      <c r="BK186" s="380" t="e">
        <f t="shared" si="97"/>
        <v>#DIV/0!</v>
      </c>
      <c r="BL186" s="380" t="e">
        <f t="shared" si="97"/>
        <v>#DIV/0!</v>
      </c>
      <c r="BM186" s="380" t="e">
        <f t="shared" si="97"/>
        <v>#DIV/0!</v>
      </c>
      <c r="BN186" s="380" t="e">
        <f t="shared" si="97"/>
        <v>#DIV/0!</v>
      </c>
      <c r="BO186" s="380" t="e">
        <f t="shared" si="97"/>
        <v>#DIV/0!</v>
      </c>
      <c r="BP186" s="380" t="e">
        <f t="shared" si="97"/>
        <v>#DIV/0!</v>
      </c>
      <c r="BQ186" s="380" t="e">
        <f t="shared" ref="BQ186:CF186" si="98">(((VLOOKUP(BQ185, GG_fuel,7,FALSE)) + (VLOOKUP(BQ185, GG_fuel,8,0))*$E$5 + (VLOOKUP(BQ185, GG_fuel,9,0))*$E$5^2 + (VLOOKUP(BQ185, GG_fuel,10,0))*$E$5^3)/$E$5)</f>
        <v>#DIV/0!</v>
      </c>
      <c r="BR186" s="380" t="e">
        <f t="shared" si="98"/>
        <v>#DIV/0!</v>
      </c>
      <c r="BS186" s="380" t="e">
        <f t="shared" si="98"/>
        <v>#DIV/0!</v>
      </c>
      <c r="BT186" s="380" t="e">
        <f t="shared" si="98"/>
        <v>#DIV/0!</v>
      </c>
      <c r="BU186" s="380" t="e">
        <f t="shared" si="98"/>
        <v>#DIV/0!</v>
      </c>
      <c r="BV186" s="380" t="e">
        <f t="shared" si="98"/>
        <v>#DIV/0!</v>
      </c>
      <c r="BW186" s="380" t="e">
        <f t="shared" si="98"/>
        <v>#DIV/0!</v>
      </c>
      <c r="BX186" s="380" t="e">
        <f t="shared" si="98"/>
        <v>#DIV/0!</v>
      </c>
      <c r="BY186" s="380" t="e">
        <f t="shared" si="98"/>
        <v>#DIV/0!</v>
      </c>
      <c r="BZ186" s="380" t="e">
        <f t="shared" si="98"/>
        <v>#DIV/0!</v>
      </c>
      <c r="CA186" s="380" t="e">
        <f t="shared" si="98"/>
        <v>#DIV/0!</v>
      </c>
      <c r="CB186" s="380" t="e">
        <f t="shared" si="98"/>
        <v>#DIV/0!</v>
      </c>
      <c r="CC186" s="380" t="e">
        <f t="shared" si="98"/>
        <v>#DIV/0!</v>
      </c>
      <c r="CD186" s="380" t="e">
        <f t="shared" si="98"/>
        <v>#DIV/0!</v>
      </c>
      <c r="CE186" s="380" t="e">
        <f t="shared" si="98"/>
        <v>#DIV/0!</v>
      </c>
      <c r="CF186" s="380" t="e">
        <f t="shared" si="98"/>
        <v>#DIV/0!</v>
      </c>
    </row>
    <row r="187" spans="2:84">
      <c r="D187" s="364" t="s">
        <v>89</v>
      </c>
      <c r="E187" s="380" t="e">
        <f t="shared" ref="E187:AJ187" si="99">(((VLOOKUP(E185, GG_fuel,19,FALSE)) + (VLOOKUP(E185, GG_fuel,20,0))*$E$6 + (VLOOKUP(E185, GG_fuel,21,0))*$E$6^2 + (VLOOKUP(E185, GG_fuel,22,0))*$E$6^3)/$E$6)</f>
        <v>#DIV/0!</v>
      </c>
      <c r="F187" s="380" t="e">
        <f t="shared" si="99"/>
        <v>#DIV/0!</v>
      </c>
      <c r="G187" s="380" t="e">
        <f t="shared" si="99"/>
        <v>#DIV/0!</v>
      </c>
      <c r="H187" s="380" t="e">
        <f t="shared" si="99"/>
        <v>#DIV/0!</v>
      </c>
      <c r="I187" s="380" t="e">
        <f t="shared" si="99"/>
        <v>#DIV/0!</v>
      </c>
      <c r="J187" s="380" t="e">
        <f t="shared" si="99"/>
        <v>#DIV/0!</v>
      </c>
      <c r="K187" s="380" t="e">
        <f t="shared" si="99"/>
        <v>#DIV/0!</v>
      </c>
      <c r="L187" s="380" t="e">
        <f t="shared" si="99"/>
        <v>#DIV/0!</v>
      </c>
      <c r="M187" s="380" t="e">
        <f t="shared" si="99"/>
        <v>#DIV/0!</v>
      </c>
      <c r="N187" s="380" t="e">
        <f t="shared" si="99"/>
        <v>#DIV/0!</v>
      </c>
      <c r="O187" s="380" t="e">
        <f t="shared" si="99"/>
        <v>#DIV/0!</v>
      </c>
      <c r="P187" s="380" t="e">
        <f t="shared" si="99"/>
        <v>#DIV/0!</v>
      </c>
      <c r="Q187" s="380" t="e">
        <f t="shared" si="99"/>
        <v>#DIV/0!</v>
      </c>
      <c r="R187" s="380" t="e">
        <f t="shared" si="99"/>
        <v>#DIV/0!</v>
      </c>
      <c r="S187" s="380" t="e">
        <f t="shared" si="99"/>
        <v>#DIV/0!</v>
      </c>
      <c r="T187" s="380" t="e">
        <f t="shared" si="99"/>
        <v>#DIV/0!</v>
      </c>
      <c r="U187" s="380" t="e">
        <f t="shared" si="99"/>
        <v>#DIV/0!</v>
      </c>
      <c r="V187" s="380" t="e">
        <f t="shared" si="99"/>
        <v>#DIV/0!</v>
      </c>
      <c r="W187" s="380" t="e">
        <f t="shared" si="99"/>
        <v>#DIV/0!</v>
      </c>
      <c r="X187" s="380" t="e">
        <f t="shared" si="99"/>
        <v>#DIV/0!</v>
      </c>
      <c r="Y187" s="380" t="e">
        <f t="shared" si="99"/>
        <v>#DIV/0!</v>
      </c>
      <c r="Z187" s="380" t="e">
        <f t="shared" si="99"/>
        <v>#DIV/0!</v>
      </c>
      <c r="AA187" s="380" t="e">
        <f t="shared" si="99"/>
        <v>#DIV/0!</v>
      </c>
      <c r="AB187" s="380" t="e">
        <f t="shared" si="99"/>
        <v>#DIV/0!</v>
      </c>
      <c r="AC187" s="380" t="e">
        <f t="shared" si="99"/>
        <v>#DIV/0!</v>
      </c>
      <c r="AD187" s="380" t="e">
        <f t="shared" si="99"/>
        <v>#DIV/0!</v>
      </c>
      <c r="AE187" s="380" t="e">
        <f t="shared" si="99"/>
        <v>#DIV/0!</v>
      </c>
      <c r="AF187" s="380" t="e">
        <f t="shared" si="99"/>
        <v>#DIV/0!</v>
      </c>
      <c r="AG187" s="380" t="e">
        <f t="shared" si="99"/>
        <v>#DIV/0!</v>
      </c>
      <c r="AH187" s="380" t="e">
        <f t="shared" si="99"/>
        <v>#DIV/0!</v>
      </c>
      <c r="AI187" s="380" t="e">
        <f t="shared" si="99"/>
        <v>#DIV/0!</v>
      </c>
      <c r="AJ187" s="380" t="e">
        <f t="shared" si="99"/>
        <v>#DIV/0!</v>
      </c>
      <c r="AK187" s="380" t="e">
        <f t="shared" ref="AK187:BP187" si="100">(((VLOOKUP(AK185, GG_fuel,19,FALSE)) + (VLOOKUP(AK185, GG_fuel,20,0))*$E$6 + (VLOOKUP(AK185, GG_fuel,21,0))*$E$6^2 + (VLOOKUP(AK185, GG_fuel,22,0))*$E$6^3)/$E$6)</f>
        <v>#DIV/0!</v>
      </c>
      <c r="AL187" s="380" t="e">
        <f t="shared" si="100"/>
        <v>#DIV/0!</v>
      </c>
      <c r="AM187" s="380" t="e">
        <f t="shared" si="100"/>
        <v>#DIV/0!</v>
      </c>
      <c r="AN187" s="380" t="e">
        <f t="shared" si="100"/>
        <v>#DIV/0!</v>
      </c>
      <c r="AO187" s="380" t="e">
        <f t="shared" si="100"/>
        <v>#DIV/0!</v>
      </c>
      <c r="AP187" s="380" t="e">
        <f t="shared" si="100"/>
        <v>#DIV/0!</v>
      </c>
      <c r="AQ187" s="380" t="e">
        <f t="shared" si="100"/>
        <v>#DIV/0!</v>
      </c>
      <c r="AR187" s="380" t="e">
        <f t="shared" si="100"/>
        <v>#DIV/0!</v>
      </c>
      <c r="AS187" s="380" t="e">
        <f t="shared" si="100"/>
        <v>#DIV/0!</v>
      </c>
      <c r="AT187" s="380" t="e">
        <f t="shared" si="100"/>
        <v>#DIV/0!</v>
      </c>
      <c r="AU187" s="380" t="e">
        <f t="shared" si="100"/>
        <v>#DIV/0!</v>
      </c>
      <c r="AV187" s="380" t="e">
        <f t="shared" si="100"/>
        <v>#DIV/0!</v>
      </c>
      <c r="AW187" s="380" t="e">
        <f t="shared" si="100"/>
        <v>#DIV/0!</v>
      </c>
      <c r="AX187" s="380" t="e">
        <f t="shared" si="100"/>
        <v>#DIV/0!</v>
      </c>
      <c r="AY187" s="380" t="e">
        <f t="shared" si="100"/>
        <v>#DIV/0!</v>
      </c>
      <c r="AZ187" s="380" t="e">
        <f t="shared" si="100"/>
        <v>#DIV/0!</v>
      </c>
      <c r="BA187" s="380" t="e">
        <f t="shared" si="100"/>
        <v>#DIV/0!</v>
      </c>
      <c r="BB187" s="380" t="e">
        <f t="shared" si="100"/>
        <v>#DIV/0!</v>
      </c>
      <c r="BC187" s="380" t="e">
        <f t="shared" si="100"/>
        <v>#DIV/0!</v>
      </c>
      <c r="BD187" s="380" t="e">
        <f t="shared" si="100"/>
        <v>#DIV/0!</v>
      </c>
      <c r="BE187" s="380" t="e">
        <f t="shared" si="100"/>
        <v>#DIV/0!</v>
      </c>
      <c r="BF187" s="380" t="e">
        <f t="shared" si="100"/>
        <v>#DIV/0!</v>
      </c>
      <c r="BG187" s="380" t="e">
        <f t="shared" si="100"/>
        <v>#DIV/0!</v>
      </c>
      <c r="BH187" s="380" t="e">
        <f t="shared" si="100"/>
        <v>#DIV/0!</v>
      </c>
      <c r="BI187" s="380" t="e">
        <f t="shared" si="100"/>
        <v>#DIV/0!</v>
      </c>
      <c r="BJ187" s="380" t="e">
        <f t="shared" si="100"/>
        <v>#DIV/0!</v>
      </c>
      <c r="BK187" s="380" t="e">
        <f t="shared" si="100"/>
        <v>#DIV/0!</v>
      </c>
      <c r="BL187" s="380" t="e">
        <f t="shared" si="100"/>
        <v>#DIV/0!</v>
      </c>
      <c r="BM187" s="380" t="e">
        <f t="shared" si="100"/>
        <v>#DIV/0!</v>
      </c>
      <c r="BN187" s="380" t="e">
        <f t="shared" si="100"/>
        <v>#DIV/0!</v>
      </c>
      <c r="BO187" s="380" t="e">
        <f t="shared" si="100"/>
        <v>#DIV/0!</v>
      </c>
      <c r="BP187" s="380" t="e">
        <f t="shared" si="100"/>
        <v>#DIV/0!</v>
      </c>
      <c r="BQ187" s="380" t="e">
        <f t="shared" ref="BQ187:CF187" si="101">(((VLOOKUP(BQ185, GG_fuel,19,FALSE)) + (VLOOKUP(BQ185, GG_fuel,20,0))*$E$6 + (VLOOKUP(BQ185, GG_fuel,21,0))*$E$6^2 + (VLOOKUP(BQ185, GG_fuel,22,0))*$E$6^3)/$E$6)</f>
        <v>#DIV/0!</v>
      </c>
      <c r="BR187" s="380" t="e">
        <f t="shared" si="101"/>
        <v>#DIV/0!</v>
      </c>
      <c r="BS187" s="380" t="e">
        <f t="shared" si="101"/>
        <v>#DIV/0!</v>
      </c>
      <c r="BT187" s="380" t="e">
        <f t="shared" si="101"/>
        <v>#DIV/0!</v>
      </c>
      <c r="BU187" s="380" t="e">
        <f t="shared" si="101"/>
        <v>#DIV/0!</v>
      </c>
      <c r="BV187" s="380" t="e">
        <f t="shared" si="101"/>
        <v>#DIV/0!</v>
      </c>
      <c r="BW187" s="380" t="e">
        <f t="shared" si="101"/>
        <v>#DIV/0!</v>
      </c>
      <c r="BX187" s="380" t="e">
        <f t="shared" si="101"/>
        <v>#DIV/0!</v>
      </c>
      <c r="BY187" s="380" t="e">
        <f t="shared" si="101"/>
        <v>#DIV/0!</v>
      </c>
      <c r="BZ187" s="380" t="e">
        <f t="shared" si="101"/>
        <v>#DIV/0!</v>
      </c>
      <c r="CA187" s="380" t="e">
        <f t="shared" si="101"/>
        <v>#DIV/0!</v>
      </c>
      <c r="CB187" s="380" t="e">
        <f t="shared" si="101"/>
        <v>#DIV/0!</v>
      </c>
      <c r="CC187" s="380" t="e">
        <f t="shared" si="101"/>
        <v>#DIV/0!</v>
      </c>
      <c r="CD187" s="380" t="e">
        <f t="shared" si="101"/>
        <v>#DIV/0!</v>
      </c>
      <c r="CE187" s="380" t="e">
        <f t="shared" si="101"/>
        <v>#DIV/0!</v>
      </c>
      <c r="CF187" s="380" t="e">
        <f t="shared" si="101"/>
        <v>#DIV/0!</v>
      </c>
    </row>
    <row r="188" spans="2:84">
      <c r="D188" s="364" t="s">
        <v>91</v>
      </c>
      <c r="E188" s="380" t="e">
        <f t="shared" ref="E188:AJ188" si="102">((VLOOKUP(E185, GG_fuel,35,FALSE)) + (VLOOKUP(E185, GG_fuel,36,0))*$E$7 + (VLOOKUP(E185, GG_fuel,37,0))*$E$7^2 + (VLOOKUP(E185, GG_fuel,38,0))*$E$7^3)/$E$7</f>
        <v>#DIV/0!</v>
      </c>
      <c r="F188" s="380" t="e">
        <f t="shared" si="102"/>
        <v>#DIV/0!</v>
      </c>
      <c r="G188" s="380" t="e">
        <f t="shared" si="102"/>
        <v>#DIV/0!</v>
      </c>
      <c r="H188" s="380" t="e">
        <f t="shared" si="102"/>
        <v>#DIV/0!</v>
      </c>
      <c r="I188" s="380" t="e">
        <f t="shared" si="102"/>
        <v>#DIV/0!</v>
      </c>
      <c r="J188" s="380" t="e">
        <f t="shared" si="102"/>
        <v>#DIV/0!</v>
      </c>
      <c r="K188" s="380" t="e">
        <f t="shared" si="102"/>
        <v>#DIV/0!</v>
      </c>
      <c r="L188" s="380" t="e">
        <f t="shared" si="102"/>
        <v>#DIV/0!</v>
      </c>
      <c r="M188" s="380" t="e">
        <f t="shared" si="102"/>
        <v>#DIV/0!</v>
      </c>
      <c r="N188" s="380" t="e">
        <f t="shared" si="102"/>
        <v>#DIV/0!</v>
      </c>
      <c r="O188" s="380" t="e">
        <f t="shared" si="102"/>
        <v>#DIV/0!</v>
      </c>
      <c r="P188" s="380" t="e">
        <f t="shared" si="102"/>
        <v>#DIV/0!</v>
      </c>
      <c r="Q188" s="380" t="e">
        <f t="shared" si="102"/>
        <v>#DIV/0!</v>
      </c>
      <c r="R188" s="380" t="e">
        <f t="shared" si="102"/>
        <v>#DIV/0!</v>
      </c>
      <c r="S188" s="380" t="e">
        <f t="shared" si="102"/>
        <v>#DIV/0!</v>
      </c>
      <c r="T188" s="380" t="e">
        <f t="shared" si="102"/>
        <v>#DIV/0!</v>
      </c>
      <c r="U188" s="380" t="e">
        <f t="shared" si="102"/>
        <v>#DIV/0!</v>
      </c>
      <c r="V188" s="380" t="e">
        <f t="shared" si="102"/>
        <v>#DIV/0!</v>
      </c>
      <c r="W188" s="380" t="e">
        <f t="shared" si="102"/>
        <v>#DIV/0!</v>
      </c>
      <c r="X188" s="380" t="e">
        <f t="shared" si="102"/>
        <v>#DIV/0!</v>
      </c>
      <c r="Y188" s="380" t="e">
        <f t="shared" si="102"/>
        <v>#DIV/0!</v>
      </c>
      <c r="Z188" s="380" t="e">
        <f t="shared" si="102"/>
        <v>#DIV/0!</v>
      </c>
      <c r="AA188" s="380" t="e">
        <f t="shared" si="102"/>
        <v>#DIV/0!</v>
      </c>
      <c r="AB188" s="380" t="e">
        <f t="shared" si="102"/>
        <v>#DIV/0!</v>
      </c>
      <c r="AC188" s="380" t="e">
        <f t="shared" si="102"/>
        <v>#DIV/0!</v>
      </c>
      <c r="AD188" s="380" t="e">
        <f t="shared" si="102"/>
        <v>#DIV/0!</v>
      </c>
      <c r="AE188" s="380" t="e">
        <f t="shared" si="102"/>
        <v>#DIV/0!</v>
      </c>
      <c r="AF188" s="380" t="e">
        <f t="shared" si="102"/>
        <v>#DIV/0!</v>
      </c>
      <c r="AG188" s="380" t="e">
        <f t="shared" si="102"/>
        <v>#DIV/0!</v>
      </c>
      <c r="AH188" s="380" t="e">
        <f t="shared" si="102"/>
        <v>#DIV/0!</v>
      </c>
      <c r="AI188" s="380" t="e">
        <f t="shared" si="102"/>
        <v>#DIV/0!</v>
      </c>
      <c r="AJ188" s="380" t="e">
        <f t="shared" si="102"/>
        <v>#DIV/0!</v>
      </c>
      <c r="AK188" s="380" t="e">
        <f t="shared" ref="AK188:BP188" si="103">((VLOOKUP(AK185, GG_fuel,35,FALSE)) + (VLOOKUP(AK185, GG_fuel,36,0))*$E$7 + (VLOOKUP(AK185, GG_fuel,37,0))*$E$7^2 + (VLOOKUP(AK185, GG_fuel,38,0))*$E$7^3)/$E$7</f>
        <v>#DIV/0!</v>
      </c>
      <c r="AL188" s="380" t="e">
        <f t="shared" si="103"/>
        <v>#DIV/0!</v>
      </c>
      <c r="AM188" s="380" t="e">
        <f t="shared" si="103"/>
        <v>#DIV/0!</v>
      </c>
      <c r="AN188" s="380" t="e">
        <f t="shared" si="103"/>
        <v>#DIV/0!</v>
      </c>
      <c r="AO188" s="380" t="e">
        <f t="shared" si="103"/>
        <v>#DIV/0!</v>
      </c>
      <c r="AP188" s="380" t="e">
        <f t="shared" si="103"/>
        <v>#DIV/0!</v>
      </c>
      <c r="AQ188" s="380" t="e">
        <f t="shared" si="103"/>
        <v>#DIV/0!</v>
      </c>
      <c r="AR188" s="380" t="e">
        <f t="shared" si="103"/>
        <v>#DIV/0!</v>
      </c>
      <c r="AS188" s="380" t="e">
        <f t="shared" si="103"/>
        <v>#DIV/0!</v>
      </c>
      <c r="AT188" s="380" t="e">
        <f t="shared" si="103"/>
        <v>#DIV/0!</v>
      </c>
      <c r="AU188" s="380" t="e">
        <f t="shared" si="103"/>
        <v>#DIV/0!</v>
      </c>
      <c r="AV188" s="380" t="e">
        <f t="shared" si="103"/>
        <v>#DIV/0!</v>
      </c>
      <c r="AW188" s="380" t="e">
        <f t="shared" si="103"/>
        <v>#DIV/0!</v>
      </c>
      <c r="AX188" s="380" t="e">
        <f t="shared" si="103"/>
        <v>#DIV/0!</v>
      </c>
      <c r="AY188" s="380" t="e">
        <f t="shared" si="103"/>
        <v>#DIV/0!</v>
      </c>
      <c r="AZ188" s="380" t="e">
        <f t="shared" si="103"/>
        <v>#DIV/0!</v>
      </c>
      <c r="BA188" s="380" t="e">
        <f t="shared" si="103"/>
        <v>#DIV/0!</v>
      </c>
      <c r="BB188" s="380" t="e">
        <f t="shared" si="103"/>
        <v>#DIV/0!</v>
      </c>
      <c r="BC188" s="380" t="e">
        <f t="shared" si="103"/>
        <v>#DIV/0!</v>
      </c>
      <c r="BD188" s="380" t="e">
        <f t="shared" si="103"/>
        <v>#DIV/0!</v>
      </c>
      <c r="BE188" s="380" t="e">
        <f t="shared" si="103"/>
        <v>#DIV/0!</v>
      </c>
      <c r="BF188" s="380" t="e">
        <f t="shared" si="103"/>
        <v>#DIV/0!</v>
      </c>
      <c r="BG188" s="380" t="e">
        <f t="shared" si="103"/>
        <v>#DIV/0!</v>
      </c>
      <c r="BH188" s="380" t="e">
        <f t="shared" si="103"/>
        <v>#DIV/0!</v>
      </c>
      <c r="BI188" s="380" t="e">
        <f t="shared" si="103"/>
        <v>#DIV/0!</v>
      </c>
      <c r="BJ188" s="380" t="e">
        <f t="shared" si="103"/>
        <v>#DIV/0!</v>
      </c>
      <c r="BK188" s="380" t="e">
        <f t="shared" si="103"/>
        <v>#DIV/0!</v>
      </c>
      <c r="BL188" s="380" t="e">
        <f t="shared" si="103"/>
        <v>#DIV/0!</v>
      </c>
      <c r="BM188" s="380" t="e">
        <f t="shared" si="103"/>
        <v>#DIV/0!</v>
      </c>
      <c r="BN188" s="380" t="e">
        <f t="shared" si="103"/>
        <v>#DIV/0!</v>
      </c>
      <c r="BO188" s="380" t="e">
        <f t="shared" si="103"/>
        <v>#DIV/0!</v>
      </c>
      <c r="BP188" s="380" t="e">
        <f t="shared" si="103"/>
        <v>#DIV/0!</v>
      </c>
      <c r="BQ188" s="380" t="e">
        <f t="shared" ref="BQ188:CF188" si="104">((VLOOKUP(BQ185, GG_fuel,35,FALSE)) + (VLOOKUP(BQ185, GG_fuel,36,0))*$E$7 + (VLOOKUP(BQ185, GG_fuel,37,0))*$E$7^2 + (VLOOKUP(BQ185, GG_fuel,38,0))*$E$7^3)/$E$7</f>
        <v>#DIV/0!</v>
      </c>
      <c r="BR188" s="380" t="e">
        <f t="shared" si="104"/>
        <v>#DIV/0!</v>
      </c>
      <c r="BS188" s="380" t="e">
        <f t="shared" si="104"/>
        <v>#DIV/0!</v>
      </c>
      <c r="BT188" s="380" t="e">
        <f t="shared" si="104"/>
        <v>#DIV/0!</v>
      </c>
      <c r="BU188" s="380" t="e">
        <f t="shared" si="104"/>
        <v>#DIV/0!</v>
      </c>
      <c r="BV188" s="380" t="e">
        <f t="shared" si="104"/>
        <v>#DIV/0!</v>
      </c>
      <c r="BW188" s="380" t="e">
        <f t="shared" si="104"/>
        <v>#DIV/0!</v>
      </c>
      <c r="BX188" s="380" t="e">
        <f t="shared" si="104"/>
        <v>#DIV/0!</v>
      </c>
      <c r="BY188" s="380" t="e">
        <f t="shared" si="104"/>
        <v>#DIV/0!</v>
      </c>
      <c r="BZ188" s="380" t="e">
        <f t="shared" si="104"/>
        <v>#DIV/0!</v>
      </c>
      <c r="CA188" s="380" t="e">
        <f t="shared" si="104"/>
        <v>#DIV/0!</v>
      </c>
      <c r="CB188" s="380" t="e">
        <f t="shared" si="104"/>
        <v>#DIV/0!</v>
      </c>
      <c r="CC188" s="380" t="e">
        <f t="shared" si="104"/>
        <v>#DIV/0!</v>
      </c>
      <c r="CD188" s="380" t="e">
        <f t="shared" si="104"/>
        <v>#DIV/0!</v>
      </c>
      <c r="CE188" s="380" t="e">
        <f t="shared" si="104"/>
        <v>#DIV/0!</v>
      </c>
      <c r="CF188" s="380" t="e">
        <f t="shared" si="104"/>
        <v>#DIV/0!</v>
      </c>
    </row>
    <row r="189" spans="2:84">
      <c r="D189" s="364" t="s">
        <v>93</v>
      </c>
      <c r="E189" s="380" t="e">
        <f t="shared" ref="E189:AJ189" si="105">((VLOOKUP(E185, GG_fuel,31,FALSE)) + (VLOOKUP(E185, GG_fuel,32,0))*$E$8 + (VLOOKUP(E185, GG_fuel,33,0))*$E$8^2 + (VLOOKUP(E185, GG_fuel,34,0))*$E$8^3)/$E$8</f>
        <v>#DIV/0!</v>
      </c>
      <c r="F189" s="380" t="e">
        <f t="shared" si="105"/>
        <v>#DIV/0!</v>
      </c>
      <c r="G189" s="380" t="e">
        <f t="shared" si="105"/>
        <v>#DIV/0!</v>
      </c>
      <c r="H189" s="380" t="e">
        <f t="shared" si="105"/>
        <v>#DIV/0!</v>
      </c>
      <c r="I189" s="380" t="e">
        <f t="shared" si="105"/>
        <v>#DIV/0!</v>
      </c>
      <c r="J189" s="380" t="e">
        <f t="shared" si="105"/>
        <v>#DIV/0!</v>
      </c>
      <c r="K189" s="380" t="e">
        <f t="shared" si="105"/>
        <v>#DIV/0!</v>
      </c>
      <c r="L189" s="380" t="e">
        <f t="shared" si="105"/>
        <v>#DIV/0!</v>
      </c>
      <c r="M189" s="380" t="e">
        <f t="shared" si="105"/>
        <v>#DIV/0!</v>
      </c>
      <c r="N189" s="380" t="e">
        <f t="shared" si="105"/>
        <v>#DIV/0!</v>
      </c>
      <c r="O189" s="380" t="e">
        <f t="shared" si="105"/>
        <v>#DIV/0!</v>
      </c>
      <c r="P189" s="380" t="e">
        <f t="shared" si="105"/>
        <v>#DIV/0!</v>
      </c>
      <c r="Q189" s="380" t="e">
        <f t="shared" si="105"/>
        <v>#DIV/0!</v>
      </c>
      <c r="R189" s="380" t="e">
        <f t="shared" si="105"/>
        <v>#DIV/0!</v>
      </c>
      <c r="S189" s="380" t="e">
        <f t="shared" si="105"/>
        <v>#DIV/0!</v>
      </c>
      <c r="T189" s="380" t="e">
        <f t="shared" si="105"/>
        <v>#DIV/0!</v>
      </c>
      <c r="U189" s="380" t="e">
        <f t="shared" si="105"/>
        <v>#DIV/0!</v>
      </c>
      <c r="V189" s="380" t="e">
        <f t="shared" si="105"/>
        <v>#DIV/0!</v>
      </c>
      <c r="W189" s="380" t="e">
        <f t="shared" si="105"/>
        <v>#DIV/0!</v>
      </c>
      <c r="X189" s="380" t="e">
        <f t="shared" si="105"/>
        <v>#DIV/0!</v>
      </c>
      <c r="Y189" s="380" t="e">
        <f t="shared" si="105"/>
        <v>#DIV/0!</v>
      </c>
      <c r="Z189" s="380" t="e">
        <f t="shared" si="105"/>
        <v>#DIV/0!</v>
      </c>
      <c r="AA189" s="380" t="e">
        <f t="shared" si="105"/>
        <v>#DIV/0!</v>
      </c>
      <c r="AB189" s="380" t="e">
        <f t="shared" si="105"/>
        <v>#DIV/0!</v>
      </c>
      <c r="AC189" s="380" t="e">
        <f t="shared" si="105"/>
        <v>#DIV/0!</v>
      </c>
      <c r="AD189" s="380" t="e">
        <f t="shared" si="105"/>
        <v>#DIV/0!</v>
      </c>
      <c r="AE189" s="380" t="e">
        <f t="shared" si="105"/>
        <v>#DIV/0!</v>
      </c>
      <c r="AF189" s="380" t="e">
        <f t="shared" si="105"/>
        <v>#DIV/0!</v>
      </c>
      <c r="AG189" s="380" t="e">
        <f t="shared" si="105"/>
        <v>#DIV/0!</v>
      </c>
      <c r="AH189" s="380" t="e">
        <f t="shared" si="105"/>
        <v>#DIV/0!</v>
      </c>
      <c r="AI189" s="380" t="e">
        <f t="shared" si="105"/>
        <v>#DIV/0!</v>
      </c>
      <c r="AJ189" s="380" t="e">
        <f t="shared" si="105"/>
        <v>#DIV/0!</v>
      </c>
      <c r="AK189" s="380" t="e">
        <f t="shared" ref="AK189:BP189" si="106">((VLOOKUP(AK185, GG_fuel,31,FALSE)) + (VLOOKUP(AK185, GG_fuel,32,0))*$E$8 + (VLOOKUP(AK185, GG_fuel,33,0))*$E$8^2 + (VLOOKUP(AK185, GG_fuel,34,0))*$E$8^3)/$E$8</f>
        <v>#DIV/0!</v>
      </c>
      <c r="AL189" s="380" t="e">
        <f t="shared" si="106"/>
        <v>#DIV/0!</v>
      </c>
      <c r="AM189" s="380" t="e">
        <f t="shared" si="106"/>
        <v>#DIV/0!</v>
      </c>
      <c r="AN189" s="380" t="e">
        <f t="shared" si="106"/>
        <v>#DIV/0!</v>
      </c>
      <c r="AO189" s="380" t="e">
        <f t="shared" si="106"/>
        <v>#DIV/0!</v>
      </c>
      <c r="AP189" s="380" t="e">
        <f t="shared" si="106"/>
        <v>#DIV/0!</v>
      </c>
      <c r="AQ189" s="380" t="e">
        <f t="shared" si="106"/>
        <v>#DIV/0!</v>
      </c>
      <c r="AR189" s="380" t="e">
        <f t="shared" si="106"/>
        <v>#DIV/0!</v>
      </c>
      <c r="AS189" s="380" t="e">
        <f t="shared" si="106"/>
        <v>#DIV/0!</v>
      </c>
      <c r="AT189" s="380" t="e">
        <f t="shared" si="106"/>
        <v>#DIV/0!</v>
      </c>
      <c r="AU189" s="380" t="e">
        <f t="shared" si="106"/>
        <v>#DIV/0!</v>
      </c>
      <c r="AV189" s="380" t="e">
        <f t="shared" si="106"/>
        <v>#DIV/0!</v>
      </c>
      <c r="AW189" s="380" t="e">
        <f t="shared" si="106"/>
        <v>#DIV/0!</v>
      </c>
      <c r="AX189" s="380" t="e">
        <f t="shared" si="106"/>
        <v>#DIV/0!</v>
      </c>
      <c r="AY189" s="380" t="e">
        <f t="shared" si="106"/>
        <v>#DIV/0!</v>
      </c>
      <c r="AZ189" s="380" t="e">
        <f t="shared" si="106"/>
        <v>#DIV/0!</v>
      </c>
      <c r="BA189" s="380" t="e">
        <f t="shared" si="106"/>
        <v>#DIV/0!</v>
      </c>
      <c r="BB189" s="380" t="e">
        <f t="shared" si="106"/>
        <v>#DIV/0!</v>
      </c>
      <c r="BC189" s="380" t="e">
        <f t="shared" si="106"/>
        <v>#DIV/0!</v>
      </c>
      <c r="BD189" s="380" t="e">
        <f t="shared" si="106"/>
        <v>#DIV/0!</v>
      </c>
      <c r="BE189" s="380" t="e">
        <f t="shared" si="106"/>
        <v>#DIV/0!</v>
      </c>
      <c r="BF189" s="380" t="e">
        <f t="shared" si="106"/>
        <v>#DIV/0!</v>
      </c>
      <c r="BG189" s="380" t="e">
        <f t="shared" si="106"/>
        <v>#DIV/0!</v>
      </c>
      <c r="BH189" s="380" t="e">
        <f t="shared" si="106"/>
        <v>#DIV/0!</v>
      </c>
      <c r="BI189" s="380" t="e">
        <f t="shared" si="106"/>
        <v>#DIV/0!</v>
      </c>
      <c r="BJ189" s="380" t="e">
        <f t="shared" si="106"/>
        <v>#DIV/0!</v>
      </c>
      <c r="BK189" s="380" t="e">
        <f t="shared" si="106"/>
        <v>#DIV/0!</v>
      </c>
      <c r="BL189" s="380" t="e">
        <f t="shared" si="106"/>
        <v>#DIV/0!</v>
      </c>
      <c r="BM189" s="380" t="e">
        <f t="shared" si="106"/>
        <v>#DIV/0!</v>
      </c>
      <c r="BN189" s="380" t="e">
        <f t="shared" si="106"/>
        <v>#DIV/0!</v>
      </c>
      <c r="BO189" s="380" t="e">
        <f t="shared" si="106"/>
        <v>#DIV/0!</v>
      </c>
      <c r="BP189" s="380" t="e">
        <f t="shared" si="106"/>
        <v>#DIV/0!</v>
      </c>
      <c r="BQ189" s="380" t="e">
        <f t="shared" ref="BQ189:CF189" si="107">((VLOOKUP(BQ185, GG_fuel,31,FALSE)) + (VLOOKUP(BQ185, GG_fuel,32,0))*$E$8 + (VLOOKUP(BQ185, GG_fuel,33,0))*$E$8^2 + (VLOOKUP(BQ185, GG_fuel,34,0))*$E$8^3)/$E$8</f>
        <v>#DIV/0!</v>
      </c>
      <c r="BR189" s="380" t="e">
        <f t="shared" si="107"/>
        <v>#DIV/0!</v>
      </c>
      <c r="BS189" s="380" t="e">
        <f t="shared" si="107"/>
        <v>#DIV/0!</v>
      </c>
      <c r="BT189" s="380" t="e">
        <f t="shared" si="107"/>
        <v>#DIV/0!</v>
      </c>
      <c r="BU189" s="380" t="e">
        <f t="shared" si="107"/>
        <v>#DIV/0!</v>
      </c>
      <c r="BV189" s="380" t="e">
        <f t="shared" si="107"/>
        <v>#DIV/0!</v>
      </c>
      <c r="BW189" s="380" t="e">
        <f t="shared" si="107"/>
        <v>#DIV/0!</v>
      </c>
      <c r="BX189" s="380" t="e">
        <f t="shared" si="107"/>
        <v>#DIV/0!</v>
      </c>
      <c r="BY189" s="380" t="e">
        <f t="shared" si="107"/>
        <v>#DIV/0!</v>
      </c>
      <c r="BZ189" s="380" t="e">
        <f t="shared" si="107"/>
        <v>#DIV/0!</v>
      </c>
      <c r="CA189" s="380" t="e">
        <f t="shared" si="107"/>
        <v>#DIV/0!</v>
      </c>
      <c r="CB189" s="380" t="e">
        <f t="shared" si="107"/>
        <v>#DIV/0!</v>
      </c>
      <c r="CC189" s="380" t="e">
        <f t="shared" si="107"/>
        <v>#DIV/0!</v>
      </c>
      <c r="CD189" s="380" t="e">
        <f t="shared" si="107"/>
        <v>#DIV/0!</v>
      </c>
      <c r="CE189" s="380" t="e">
        <f t="shared" si="107"/>
        <v>#DIV/0!</v>
      </c>
      <c r="CF189" s="380" t="e">
        <f t="shared" si="107"/>
        <v>#DIV/0!</v>
      </c>
    </row>
    <row r="190" spans="2:84">
      <c r="D190" s="365"/>
    </row>
    <row r="191" spans="2:84">
      <c r="C191" s="360" t="s">
        <v>284</v>
      </c>
      <c r="D191" s="365"/>
    </row>
    <row r="192" spans="2:84">
      <c r="D192" s="728"/>
      <c r="E192" s="728">
        <v>2010</v>
      </c>
      <c r="F192" s="728">
        <v>2011</v>
      </c>
      <c r="G192" s="728">
        <v>2012</v>
      </c>
      <c r="H192" s="728">
        <v>2013</v>
      </c>
      <c r="I192" s="728">
        <v>2014</v>
      </c>
      <c r="J192" s="728">
        <v>2015</v>
      </c>
      <c r="K192" s="728">
        <v>2016</v>
      </c>
      <c r="L192" s="728">
        <v>2017</v>
      </c>
      <c r="M192" s="728">
        <v>2018</v>
      </c>
      <c r="N192" s="728">
        <v>2019</v>
      </c>
      <c r="O192" s="728">
        <v>2020</v>
      </c>
      <c r="P192" s="728">
        <v>2021</v>
      </c>
      <c r="Q192" s="728">
        <v>2022</v>
      </c>
      <c r="R192" s="728">
        <v>2023</v>
      </c>
      <c r="S192" s="728">
        <v>2024</v>
      </c>
      <c r="T192" s="728">
        <v>2025</v>
      </c>
      <c r="U192" s="728">
        <v>2026</v>
      </c>
      <c r="V192" s="728">
        <v>2027</v>
      </c>
      <c r="W192" s="728">
        <v>2028</v>
      </c>
      <c r="X192" s="728">
        <v>2029</v>
      </c>
      <c r="Y192" s="728">
        <v>2030</v>
      </c>
      <c r="Z192" s="728">
        <v>2031</v>
      </c>
      <c r="AA192" s="728">
        <v>2032</v>
      </c>
      <c r="AB192" s="728">
        <v>2033</v>
      </c>
      <c r="AC192" s="728">
        <v>2034</v>
      </c>
      <c r="AD192" s="728">
        <v>2035</v>
      </c>
      <c r="AE192" s="728">
        <v>2036</v>
      </c>
      <c r="AF192" s="728">
        <v>2037</v>
      </c>
      <c r="AG192" s="728">
        <v>2038</v>
      </c>
      <c r="AH192" s="728">
        <v>2039</v>
      </c>
      <c r="AI192" s="728">
        <v>2040</v>
      </c>
      <c r="AJ192" s="728">
        <v>2041</v>
      </c>
      <c r="AK192" s="728">
        <v>2042</v>
      </c>
      <c r="AL192" s="728">
        <v>2043</v>
      </c>
      <c r="AM192" s="728">
        <v>2044</v>
      </c>
      <c r="AN192" s="728">
        <v>2045</v>
      </c>
      <c r="AO192" s="728">
        <v>2046</v>
      </c>
      <c r="AP192" s="728">
        <v>2047</v>
      </c>
      <c r="AQ192" s="728">
        <v>2048</v>
      </c>
      <c r="AR192" s="728">
        <v>2049</v>
      </c>
      <c r="AS192" s="728">
        <v>2050</v>
      </c>
      <c r="AT192" s="728">
        <v>2051</v>
      </c>
      <c r="AU192" s="728">
        <v>2052</v>
      </c>
      <c r="AV192" s="728">
        <v>2053</v>
      </c>
      <c r="AW192" s="728">
        <v>2054</v>
      </c>
      <c r="AX192" s="728">
        <v>2055</v>
      </c>
      <c r="AY192" s="728">
        <v>2056</v>
      </c>
      <c r="AZ192" s="728">
        <v>2057</v>
      </c>
      <c r="BA192" s="728">
        <v>2058</v>
      </c>
      <c r="BB192" s="728">
        <v>2059</v>
      </c>
      <c r="BC192" s="728">
        <v>2060</v>
      </c>
      <c r="BD192" s="728">
        <v>2061</v>
      </c>
      <c r="BE192" s="728">
        <v>2062</v>
      </c>
      <c r="BF192" s="728">
        <v>2063</v>
      </c>
      <c r="BG192" s="728">
        <v>2064</v>
      </c>
      <c r="BH192" s="728">
        <v>2065</v>
      </c>
      <c r="BI192" s="728">
        <v>2066</v>
      </c>
      <c r="BJ192" s="728">
        <v>2067</v>
      </c>
      <c r="BK192" s="728">
        <v>2068</v>
      </c>
      <c r="BL192" s="728">
        <v>2069</v>
      </c>
      <c r="BM192" s="728">
        <v>2070</v>
      </c>
      <c r="BN192" s="728">
        <v>2071</v>
      </c>
      <c r="BO192" s="728">
        <v>2072</v>
      </c>
      <c r="BP192" s="728">
        <v>2073</v>
      </c>
      <c r="BQ192" s="728">
        <v>2074</v>
      </c>
      <c r="BR192" s="728">
        <v>2075</v>
      </c>
      <c r="BS192" s="728">
        <v>2076</v>
      </c>
      <c r="BT192" s="728">
        <v>2077</v>
      </c>
      <c r="BU192" s="728">
        <v>2078</v>
      </c>
      <c r="BV192" s="728">
        <v>2079</v>
      </c>
      <c r="BW192" s="728">
        <v>2080</v>
      </c>
      <c r="BX192" s="728">
        <v>2081</v>
      </c>
      <c r="BY192" s="728">
        <v>2082</v>
      </c>
      <c r="BZ192" s="728">
        <v>2083</v>
      </c>
      <c r="CA192" s="728">
        <v>2084</v>
      </c>
      <c r="CB192" s="728">
        <v>2085</v>
      </c>
      <c r="CC192" s="728">
        <v>2086</v>
      </c>
      <c r="CD192" s="728">
        <v>2087</v>
      </c>
      <c r="CE192" s="728">
        <v>2088</v>
      </c>
      <c r="CF192" s="728">
        <v>2089</v>
      </c>
    </row>
    <row r="193" spans="3:84">
      <c r="D193" s="364" t="s">
        <v>87</v>
      </c>
      <c r="E193" s="380" t="e">
        <f t="shared" ref="E193:AJ193" si="108">VLOOKUP(E$192,Carbon,4)*E186</f>
        <v>#DIV/0!</v>
      </c>
      <c r="F193" s="380" t="e">
        <f t="shared" si="108"/>
        <v>#DIV/0!</v>
      </c>
      <c r="G193" s="380" t="e">
        <f t="shared" si="108"/>
        <v>#DIV/0!</v>
      </c>
      <c r="H193" s="380" t="e">
        <f t="shared" si="108"/>
        <v>#DIV/0!</v>
      </c>
      <c r="I193" s="380" t="e">
        <f t="shared" si="108"/>
        <v>#DIV/0!</v>
      </c>
      <c r="J193" s="380" t="e">
        <f t="shared" si="108"/>
        <v>#DIV/0!</v>
      </c>
      <c r="K193" s="380" t="e">
        <f t="shared" si="108"/>
        <v>#DIV/0!</v>
      </c>
      <c r="L193" s="380" t="e">
        <f t="shared" si="108"/>
        <v>#DIV/0!</v>
      </c>
      <c r="M193" s="380" t="e">
        <f t="shared" si="108"/>
        <v>#DIV/0!</v>
      </c>
      <c r="N193" s="380" t="e">
        <f t="shared" si="108"/>
        <v>#DIV/0!</v>
      </c>
      <c r="O193" s="380" t="e">
        <f t="shared" si="108"/>
        <v>#DIV/0!</v>
      </c>
      <c r="P193" s="380" t="e">
        <f t="shared" si="108"/>
        <v>#DIV/0!</v>
      </c>
      <c r="Q193" s="380" t="e">
        <f t="shared" si="108"/>
        <v>#DIV/0!</v>
      </c>
      <c r="R193" s="380" t="e">
        <f t="shared" si="108"/>
        <v>#DIV/0!</v>
      </c>
      <c r="S193" s="380" t="e">
        <f t="shared" si="108"/>
        <v>#DIV/0!</v>
      </c>
      <c r="T193" s="380" t="e">
        <f t="shared" si="108"/>
        <v>#DIV/0!</v>
      </c>
      <c r="U193" s="380" t="e">
        <f t="shared" si="108"/>
        <v>#DIV/0!</v>
      </c>
      <c r="V193" s="380" t="e">
        <f t="shared" si="108"/>
        <v>#DIV/0!</v>
      </c>
      <c r="W193" s="380" t="e">
        <f t="shared" si="108"/>
        <v>#DIV/0!</v>
      </c>
      <c r="X193" s="380" t="e">
        <f t="shared" si="108"/>
        <v>#DIV/0!</v>
      </c>
      <c r="Y193" s="380" t="e">
        <f t="shared" si="108"/>
        <v>#DIV/0!</v>
      </c>
      <c r="Z193" s="380" t="e">
        <f t="shared" si="108"/>
        <v>#DIV/0!</v>
      </c>
      <c r="AA193" s="380" t="e">
        <f t="shared" si="108"/>
        <v>#DIV/0!</v>
      </c>
      <c r="AB193" s="380" t="e">
        <f t="shared" si="108"/>
        <v>#DIV/0!</v>
      </c>
      <c r="AC193" s="380" t="e">
        <f t="shared" si="108"/>
        <v>#DIV/0!</v>
      </c>
      <c r="AD193" s="380" t="e">
        <f t="shared" si="108"/>
        <v>#DIV/0!</v>
      </c>
      <c r="AE193" s="380" t="e">
        <f t="shared" si="108"/>
        <v>#DIV/0!</v>
      </c>
      <c r="AF193" s="380" t="e">
        <f t="shared" si="108"/>
        <v>#DIV/0!</v>
      </c>
      <c r="AG193" s="380" t="e">
        <f t="shared" si="108"/>
        <v>#DIV/0!</v>
      </c>
      <c r="AH193" s="380" t="e">
        <f t="shared" si="108"/>
        <v>#DIV/0!</v>
      </c>
      <c r="AI193" s="380" t="e">
        <f t="shared" si="108"/>
        <v>#DIV/0!</v>
      </c>
      <c r="AJ193" s="380" t="e">
        <f t="shared" si="108"/>
        <v>#DIV/0!</v>
      </c>
      <c r="AK193" s="380" t="e">
        <f t="shared" ref="AK193:BP193" si="109">VLOOKUP(AK$192,Carbon,4)*AK186</f>
        <v>#DIV/0!</v>
      </c>
      <c r="AL193" s="380" t="e">
        <f t="shared" si="109"/>
        <v>#DIV/0!</v>
      </c>
      <c r="AM193" s="380" t="e">
        <f t="shared" si="109"/>
        <v>#DIV/0!</v>
      </c>
      <c r="AN193" s="380" t="e">
        <f t="shared" si="109"/>
        <v>#DIV/0!</v>
      </c>
      <c r="AO193" s="380" t="e">
        <f t="shared" si="109"/>
        <v>#DIV/0!</v>
      </c>
      <c r="AP193" s="380" t="e">
        <f t="shared" si="109"/>
        <v>#DIV/0!</v>
      </c>
      <c r="AQ193" s="380" t="e">
        <f t="shared" si="109"/>
        <v>#DIV/0!</v>
      </c>
      <c r="AR193" s="380" t="e">
        <f t="shared" si="109"/>
        <v>#DIV/0!</v>
      </c>
      <c r="AS193" s="380" t="e">
        <f t="shared" si="109"/>
        <v>#DIV/0!</v>
      </c>
      <c r="AT193" s="380" t="e">
        <f t="shared" si="109"/>
        <v>#DIV/0!</v>
      </c>
      <c r="AU193" s="380" t="e">
        <f t="shared" si="109"/>
        <v>#DIV/0!</v>
      </c>
      <c r="AV193" s="380" t="e">
        <f t="shared" si="109"/>
        <v>#DIV/0!</v>
      </c>
      <c r="AW193" s="380" t="e">
        <f t="shared" si="109"/>
        <v>#DIV/0!</v>
      </c>
      <c r="AX193" s="380" t="e">
        <f t="shared" si="109"/>
        <v>#DIV/0!</v>
      </c>
      <c r="AY193" s="380" t="e">
        <f t="shared" si="109"/>
        <v>#DIV/0!</v>
      </c>
      <c r="AZ193" s="380" t="e">
        <f t="shared" si="109"/>
        <v>#DIV/0!</v>
      </c>
      <c r="BA193" s="380" t="e">
        <f t="shared" si="109"/>
        <v>#DIV/0!</v>
      </c>
      <c r="BB193" s="380" t="e">
        <f t="shared" si="109"/>
        <v>#DIV/0!</v>
      </c>
      <c r="BC193" s="380" t="e">
        <f t="shared" si="109"/>
        <v>#DIV/0!</v>
      </c>
      <c r="BD193" s="380" t="e">
        <f t="shared" si="109"/>
        <v>#DIV/0!</v>
      </c>
      <c r="BE193" s="380" t="e">
        <f t="shared" si="109"/>
        <v>#DIV/0!</v>
      </c>
      <c r="BF193" s="380" t="e">
        <f t="shared" si="109"/>
        <v>#DIV/0!</v>
      </c>
      <c r="BG193" s="380" t="e">
        <f t="shared" si="109"/>
        <v>#DIV/0!</v>
      </c>
      <c r="BH193" s="380" t="e">
        <f t="shared" si="109"/>
        <v>#DIV/0!</v>
      </c>
      <c r="BI193" s="380" t="e">
        <f t="shared" si="109"/>
        <v>#DIV/0!</v>
      </c>
      <c r="BJ193" s="380" t="e">
        <f t="shared" si="109"/>
        <v>#DIV/0!</v>
      </c>
      <c r="BK193" s="380" t="e">
        <f t="shared" si="109"/>
        <v>#DIV/0!</v>
      </c>
      <c r="BL193" s="380" t="e">
        <f t="shared" si="109"/>
        <v>#DIV/0!</v>
      </c>
      <c r="BM193" s="380" t="e">
        <f t="shared" si="109"/>
        <v>#DIV/0!</v>
      </c>
      <c r="BN193" s="380" t="e">
        <f t="shared" si="109"/>
        <v>#DIV/0!</v>
      </c>
      <c r="BO193" s="380" t="e">
        <f t="shared" si="109"/>
        <v>#DIV/0!</v>
      </c>
      <c r="BP193" s="380" t="e">
        <f t="shared" si="109"/>
        <v>#DIV/0!</v>
      </c>
      <c r="BQ193" s="380" t="e">
        <f t="shared" ref="BQ193:CF193" si="110">VLOOKUP(BQ$192,Carbon,4)*BQ186</f>
        <v>#DIV/0!</v>
      </c>
      <c r="BR193" s="380" t="e">
        <f t="shared" si="110"/>
        <v>#DIV/0!</v>
      </c>
      <c r="BS193" s="380" t="e">
        <f t="shared" si="110"/>
        <v>#DIV/0!</v>
      </c>
      <c r="BT193" s="380" t="e">
        <f t="shared" si="110"/>
        <v>#DIV/0!</v>
      </c>
      <c r="BU193" s="380" t="e">
        <f t="shared" si="110"/>
        <v>#DIV/0!</v>
      </c>
      <c r="BV193" s="380" t="e">
        <f t="shared" si="110"/>
        <v>#DIV/0!</v>
      </c>
      <c r="BW193" s="380" t="e">
        <f t="shared" si="110"/>
        <v>#DIV/0!</v>
      </c>
      <c r="BX193" s="380" t="e">
        <f t="shared" si="110"/>
        <v>#DIV/0!</v>
      </c>
      <c r="BY193" s="380" t="e">
        <f t="shared" si="110"/>
        <v>#DIV/0!</v>
      </c>
      <c r="BZ193" s="380" t="e">
        <f t="shared" si="110"/>
        <v>#DIV/0!</v>
      </c>
      <c r="CA193" s="380" t="e">
        <f t="shared" si="110"/>
        <v>#DIV/0!</v>
      </c>
      <c r="CB193" s="380" t="e">
        <f t="shared" si="110"/>
        <v>#DIV/0!</v>
      </c>
      <c r="CC193" s="380" t="e">
        <f t="shared" si="110"/>
        <v>#DIV/0!</v>
      </c>
      <c r="CD193" s="380" t="e">
        <f t="shared" si="110"/>
        <v>#DIV/0!</v>
      </c>
      <c r="CE193" s="380" t="e">
        <f t="shared" si="110"/>
        <v>#DIV/0!</v>
      </c>
      <c r="CF193" s="380" t="e">
        <f t="shared" si="110"/>
        <v>#DIV/0!</v>
      </c>
    </row>
    <row r="194" spans="3:84">
      <c r="D194" s="364" t="s">
        <v>89</v>
      </c>
      <c r="E194" s="380" t="e">
        <f t="shared" ref="E194:AJ194" si="111">VLOOKUP(E$192,Carbon,4)*E187</f>
        <v>#DIV/0!</v>
      </c>
      <c r="F194" s="380" t="e">
        <f t="shared" si="111"/>
        <v>#DIV/0!</v>
      </c>
      <c r="G194" s="380" t="e">
        <f t="shared" si="111"/>
        <v>#DIV/0!</v>
      </c>
      <c r="H194" s="380" t="e">
        <f t="shared" si="111"/>
        <v>#DIV/0!</v>
      </c>
      <c r="I194" s="380" t="e">
        <f t="shared" si="111"/>
        <v>#DIV/0!</v>
      </c>
      <c r="J194" s="380" t="e">
        <f t="shared" si="111"/>
        <v>#DIV/0!</v>
      </c>
      <c r="K194" s="380" t="e">
        <f t="shared" si="111"/>
        <v>#DIV/0!</v>
      </c>
      <c r="L194" s="380" t="e">
        <f t="shared" si="111"/>
        <v>#DIV/0!</v>
      </c>
      <c r="M194" s="380" t="e">
        <f t="shared" si="111"/>
        <v>#DIV/0!</v>
      </c>
      <c r="N194" s="380" t="e">
        <f t="shared" si="111"/>
        <v>#DIV/0!</v>
      </c>
      <c r="O194" s="380" t="e">
        <f t="shared" si="111"/>
        <v>#DIV/0!</v>
      </c>
      <c r="P194" s="380" t="e">
        <f t="shared" si="111"/>
        <v>#DIV/0!</v>
      </c>
      <c r="Q194" s="380" t="e">
        <f t="shared" si="111"/>
        <v>#DIV/0!</v>
      </c>
      <c r="R194" s="380" t="e">
        <f t="shared" si="111"/>
        <v>#DIV/0!</v>
      </c>
      <c r="S194" s="380" t="e">
        <f t="shared" si="111"/>
        <v>#DIV/0!</v>
      </c>
      <c r="T194" s="380" t="e">
        <f t="shared" si="111"/>
        <v>#DIV/0!</v>
      </c>
      <c r="U194" s="380" t="e">
        <f t="shared" si="111"/>
        <v>#DIV/0!</v>
      </c>
      <c r="V194" s="380" t="e">
        <f t="shared" si="111"/>
        <v>#DIV/0!</v>
      </c>
      <c r="W194" s="380" t="e">
        <f t="shared" si="111"/>
        <v>#DIV/0!</v>
      </c>
      <c r="X194" s="380" t="e">
        <f t="shared" si="111"/>
        <v>#DIV/0!</v>
      </c>
      <c r="Y194" s="380" t="e">
        <f t="shared" si="111"/>
        <v>#DIV/0!</v>
      </c>
      <c r="Z194" s="380" t="e">
        <f t="shared" si="111"/>
        <v>#DIV/0!</v>
      </c>
      <c r="AA194" s="380" t="e">
        <f t="shared" si="111"/>
        <v>#DIV/0!</v>
      </c>
      <c r="AB194" s="380" t="e">
        <f t="shared" si="111"/>
        <v>#DIV/0!</v>
      </c>
      <c r="AC194" s="380" t="e">
        <f t="shared" si="111"/>
        <v>#DIV/0!</v>
      </c>
      <c r="AD194" s="380" t="e">
        <f t="shared" si="111"/>
        <v>#DIV/0!</v>
      </c>
      <c r="AE194" s="380" t="e">
        <f t="shared" si="111"/>
        <v>#DIV/0!</v>
      </c>
      <c r="AF194" s="380" t="e">
        <f t="shared" si="111"/>
        <v>#DIV/0!</v>
      </c>
      <c r="AG194" s="380" t="e">
        <f t="shared" si="111"/>
        <v>#DIV/0!</v>
      </c>
      <c r="AH194" s="380" t="e">
        <f t="shared" si="111"/>
        <v>#DIV/0!</v>
      </c>
      <c r="AI194" s="380" t="e">
        <f t="shared" si="111"/>
        <v>#DIV/0!</v>
      </c>
      <c r="AJ194" s="380" t="e">
        <f t="shared" si="111"/>
        <v>#DIV/0!</v>
      </c>
      <c r="AK194" s="380" t="e">
        <f t="shared" ref="AK194:BP194" si="112">VLOOKUP(AK$192,Carbon,4)*AK187</f>
        <v>#DIV/0!</v>
      </c>
      <c r="AL194" s="380" t="e">
        <f t="shared" si="112"/>
        <v>#DIV/0!</v>
      </c>
      <c r="AM194" s="380" t="e">
        <f t="shared" si="112"/>
        <v>#DIV/0!</v>
      </c>
      <c r="AN194" s="380" t="e">
        <f t="shared" si="112"/>
        <v>#DIV/0!</v>
      </c>
      <c r="AO194" s="380" t="e">
        <f t="shared" si="112"/>
        <v>#DIV/0!</v>
      </c>
      <c r="AP194" s="380" t="e">
        <f t="shared" si="112"/>
        <v>#DIV/0!</v>
      </c>
      <c r="AQ194" s="380" t="e">
        <f t="shared" si="112"/>
        <v>#DIV/0!</v>
      </c>
      <c r="AR194" s="380" t="e">
        <f t="shared" si="112"/>
        <v>#DIV/0!</v>
      </c>
      <c r="AS194" s="380" t="e">
        <f t="shared" si="112"/>
        <v>#DIV/0!</v>
      </c>
      <c r="AT194" s="380" t="e">
        <f t="shared" si="112"/>
        <v>#DIV/0!</v>
      </c>
      <c r="AU194" s="380" t="e">
        <f t="shared" si="112"/>
        <v>#DIV/0!</v>
      </c>
      <c r="AV194" s="380" t="e">
        <f t="shared" si="112"/>
        <v>#DIV/0!</v>
      </c>
      <c r="AW194" s="380" t="e">
        <f t="shared" si="112"/>
        <v>#DIV/0!</v>
      </c>
      <c r="AX194" s="380" t="e">
        <f t="shared" si="112"/>
        <v>#DIV/0!</v>
      </c>
      <c r="AY194" s="380" t="e">
        <f t="shared" si="112"/>
        <v>#DIV/0!</v>
      </c>
      <c r="AZ194" s="380" t="e">
        <f t="shared" si="112"/>
        <v>#DIV/0!</v>
      </c>
      <c r="BA194" s="380" t="e">
        <f t="shared" si="112"/>
        <v>#DIV/0!</v>
      </c>
      <c r="BB194" s="380" t="e">
        <f t="shared" si="112"/>
        <v>#DIV/0!</v>
      </c>
      <c r="BC194" s="380" t="e">
        <f t="shared" si="112"/>
        <v>#DIV/0!</v>
      </c>
      <c r="BD194" s="380" t="e">
        <f t="shared" si="112"/>
        <v>#DIV/0!</v>
      </c>
      <c r="BE194" s="380" t="e">
        <f t="shared" si="112"/>
        <v>#DIV/0!</v>
      </c>
      <c r="BF194" s="380" t="e">
        <f t="shared" si="112"/>
        <v>#DIV/0!</v>
      </c>
      <c r="BG194" s="380" t="e">
        <f t="shared" si="112"/>
        <v>#DIV/0!</v>
      </c>
      <c r="BH194" s="380" t="e">
        <f t="shared" si="112"/>
        <v>#DIV/0!</v>
      </c>
      <c r="BI194" s="380" t="e">
        <f t="shared" si="112"/>
        <v>#DIV/0!</v>
      </c>
      <c r="BJ194" s="380" t="e">
        <f t="shared" si="112"/>
        <v>#DIV/0!</v>
      </c>
      <c r="BK194" s="380" t="e">
        <f t="shared" si="112"/>
        <v>#DIV/0!</v>
      </c>
      <c r="BL194" s="380" t="e">
        <f t="shared" si="112"/>
        <v>#DIV/0!</v>
      </c>
      <c r="BM194" s="380" t="e">
        <f t="shared" si="112"/>
        <v>#DIV/0!</v>
      </c>
      <c r="BN194" s="380" t="e">
        <f t="shared" si="112"/>
        <v>#DIV/0!</v>
      </c>
      <c r="BO194" s="380" t="e">
        <f t="shared" si="112"/>
        <v>#DIV/0!</v>
      </c>
      <c r="BP194" s="380" t="e">
        <f t="shared" si="112"/>
        <v>#DIV/0!</v>
      </c>
      <c r="BQ194" s="380" t="e">
        <f t="shared" ref="BQ194:CF194" si="113">VLOOKUP(BQ$192,Carbon,4)*BQ187</f>
        <v>#DIV/0!</v>
      </c>
      <c r="BR194" s="380" t="e">
        <f t="shared" si="113"/>
        <v>#DIV/0!</v>
      </c>
      <c r="BS194" s="380" t="e">
        <f t="shared" si="113"/>
        <v>#DIV/0!</v>
      </c>
      <c r="BT194" s="380" t="e">
        <f t="shared" si="113"/>
        <v>#DIV/0!</v>
      </c>
      <c r="BU194" s="380" t="e">
        <f t="shared" si="113"/>
        <v>#DIV/0!</v>
      </c>
      <c r="BV194" s="380" t="e">
        <f t="shared" si="113"/>
        <v>#DIV/0!</v>
      </c>
      <c r="BW194" s="380" t="e">
        <f t="shared" si="113"/>
        <v>#DIV/0!</v>
      </c>
      <c r="BX194" s="380" t="e">
        <f t="shared" si="113"/>
        <v>#DIV/0!</v>
      </c>
      <c r="BY194" s="380" t="e">
        <f t="shared" si="113"/>
        <v>#DIV/0!</v>
      </c>
      <c r="BZ194" s="380" t="e">
        <f t="shared" si="113"/>
        <v>#DIV/0!</v>
      </c>
      <c r="CA194" s="380" t="e">
        <f t="shared" si="113"/>
        <v>#DIV/0!</v>
      </c>
      <c r="CB194" s="380" t="e">
        <f t="shared" si="113"/>
        <v>#DIV/0!</v>
      </c>
      <c r="CC194" s="380" t="e">
        <f t="shared" si="113"/>
        <v>#DIV/0!</v>
      </c>
      <c r="CD194" s="380" t="e">
        <f t="shared" si="113"/>
        <v>#DIV/0!</v>
      </c>
      <c r="CE194" s="380" t="e">
        <f t="shared" si="113"/>
        <v>#DIV/0!</v>
      </c>
      <c r="CF194" s="380" t="e">
        <f t="shared" si="113"/>
        <v>#DIV/0!</v>
      </c>
    </row>
    <row r="195" spans="3:84">
      <c r="D195" s="364" t="s">
        <v>91</v>
      </c>
      <c r="E195" s="380" t="e">
        <f t="shared" ref="E195:AJ195" si="114">VLOOKUP(E$192,Carbon,4)*E188</f>
        <v>#DIV/0!</v>
      </c>
      <c r="F195" s="380" t="e">
        <f t="shared" si="114"/>
        <v>#DIV/0!</v>
      </c>
      <c r="G195" s="380" t="e">
        <f t="shared" si="114"/>
        <v>#DIV/0!</v>
      </c>
      <c r="H195" s="380" t="e">
        <f t="shared" si="114"/>
        <v>#DIV/0!</v>
      </c>
      <c r="I195" s="380" t="e">
        <f t="shared" si="114"/>
        <v>#DIV/0!</v>
      </c>
      <c r="J195" s="380" t="e">
        <f t="shared" si="114"/>
        <v>#DIV/0!</v>
      </c>
      <c r="K195" s="380" t="e">
        <f t="shared" si="114"/>
        <v>#DIV/0!</v>
      </c>
      <c r="L195" s="380" t="e">
        <f t="shared" si="114"/>
        <v>#DIV/0!</v>
      </c>
      <c r="M195" s="380" t="e">
        <f t="shared" si="114"/>
        <v>#DIV/0!</v>
      </c>
      <c r="N195" s="380" t="e">
        <f t="shared" si="114"/>
        <v>#DIV/0!</v>
      </c>
      <c r="O195" s="380" t="e">
        <f t="shared" si="114"/>
        <v>#DIV/0!</v>
      </c>
      <c r="P195" s="380" t="e">
        <f t="shared" si="114"/>
        <v>#DIV/0!</v>
      </c>
      <c r="Q195" s="380" t="e">
        <f t="shared" si="114"/>
        <v>#DIV/0!</v>
      </c>
      <c r="R195" s="380" t="e">
        <f t="shared" si="114"/>
        <v>#DIV/0!</v>
      </c>
      <c r="S195" s="380" t="e">
        <f t="shared" si="114"/>
        <v>#DIV/0!</v>
      </c>
      <c r="T195" s="380" t="e">
        <f t="shared" si="114"/>
        <v>#DIV/0!</v>
      </c>
      <c r="U195" s="380" t="e">
        <f t="shared" si="114"/>
        <v>#DIV/0!</v>
      </c>
      <c r="V195" s="380" t="e">
        <f t="shared" si="114"/>
        <v>#DIV/0!</v>
      </c>
      <c r="W195" s="380" t="e">
        <f t="shared" si="114"/>
        <v>#DIV/0!</v>
      </c>
      <c r="X195" s="380" t="e">
        <f t="shared" si="114"/>
        <v>#DIV/0!</v>
      </c>
      <c r="Y195" s="380" t="e">
        <f t="shared" si="114"/>
        <v>#DIV/0!</v>
      </c>
      <c r="Z195" s="380" t="e">
        <f t="shared" si="114"/>
        <v>#DIV/0!</v>
      </c>
      <c r="AA195" s="380" t="e">
        <f t="shared" si="114"/>
        <v>#DIV/0!</v>
      </c>
      <c r="AB195" s="380" t="e">
        <f t="shared" si="114"/>
        <v>#DIV/0!</v>
      </c>
      <c r="AC195" s="380" t="e">
        <f t="shared" si="114"/>
        <v>#DIV/0!</v>
      </c>
      <c r="AD195" s="380" t="e">
        <f t="shared" si="114"/>
        <v>#DIV/0!</v>
      </c>
      <c r="AE195" s="380" t="e">
        <f t="shared" si="114"/>
        <v>#DIV/0!</v>
      </c>
      <c r="AF195" s="380" t="e">
        <f t="shared" si="114"/>
        <v>#DIV/0!</v>
      </c>
      <c r="AG195" s="380" t="e">
        <f t="shared" si="114"/>
        <v>#DIV/0!</v>
      </c>
      <c r="AH195" s="380" t="e">
        <f t="shared" si="114"/>
        <v>#DIV/0!</v>
      </c>
      <c r="AI195" s="380" t="e">
        <f t="shared" si="114"/>
        <v>#DIV/0!</v>
      </c>
      <c r="AJ195" s="380" t="e">
        <f t="shared" si="114"/>
        <v>#DIV/0!</v>
      </c>
      <c r="AK195" s="380" t="e">
        <f t="shared" ref="AK195:BP195" si="115">VLOOKUP(AK$192,Carbon,4)*AK188</f>
        <v>#DIV/0!</v>
      </c>
      <c r="AL195" s="380" t="e">
        <f t="shared" si="115"/>
        <v>#DIV/0!</v>
      </c>
      <c r="AM195" s="380" t="e">
        <f t="shared" si="115"/>
        <v>#DIV/0!</v>
      </c>
      <c r="AN195" s="380" t="e">
        <f t="shared" si="115"/>
        <v>#DIV/0!</v>
      </c>
      <c r="AO195" s="380" t="e">
        <f t="shared" si="115"/>
        <v>#DIV/0!</v>
      </c>
      <c r="AP195" s="380" t="e">
        <f t="shared" si="115"/>
        <v>#DIV/0!</v>
      </c>
      <c r="AQ195" s="380" t="e">
        <f t="shared" si="115"/>
        <v>#DIV/0!</v>
      </c>
      <c r="AR195" s="380" t="e">
        <f t="shared" si="115"/>
        <v>#DIV/0!</v>
      </c>
      <c r="AS195" s="380" t="e">
        <f t="shared" si="115"/>
        <v>#DIV/0!</v>
      </c>
      <c r="AT195" s="380" t="e">
        <f t="shared" si="115"/>
        <v>#DIV/0!</v>
      </c>
      <c r="AU195" s="380" t="e">
        <f t="shared" si="115"/>
        <v>#DIV/0!</v>
      </c>
      <c r="AV195" s="380" t="e">
        <f t="shared" si="115"/>
        <v>#DIV/0!</v>
      </c>
      <c r="AW195" s="380" t="e">
        <f t="shared" si="115"/>
        <v>#DIV/0!</v>
      </c>
      <c r="AX195" s="380" t="e">
        <f t="shared" si="115"/>
        <v>#DIV/0!</v>
      </c>
      <c r="AY195" s="380" t="e">
        <f t="shared" si="115"/>
        <v>#DIV/0!</v>
      </c>
      <c r="AZ195" s="380" t="e">
        <f t="shared" si="115"/>
        <v>#DIV/0!</v>
      </c>
      <c r="BA195" s="380" t="e">
        <f t="shared" si="115"/>
        <v>#DIV/0!</v>
      </c>
      <c r="BB195" s="380" t="e">
        <f t="shared" si="115"/>
        <v>#DIV/0!</v>
      </c>
      <c r="BC195" s="380" t="e">
        <f t="shared" si="115"/>
        <v>#DIV/0!</v>
      </c>
      <c r="BD195" s="380" t="e">
        <f t="shared" si="115"/>
        <v>#DIV/0!</v>
      </c>
      <c r="BE195" s="380" t="e">
        <f t="shared" si="115"/>
        <v>#DIV/0!</v>
      </c>
      <c r="BF195" s="380" t="e">
        <f t="shared" si="115"/>
        <v>#DIV/0!</v>
      </c>
      <c r="BG195" s="380" t="e">
        <f t="shared" si="115"/>
        <v>#DIV/0!</v>
      </c>
      <c r="BH195" s="380" t="e">
        <f t="shared" si="115"/>
        <v>#DIV/0!</v>
      </c>
      <c r="BI195" s="380" t="e">
        <f t="shared" si="115"/>
        <v>#DIV/0!</v>
      </c>
      <c r="BJ195" s="380" t="e">
        <f t="shared" si="115"/>
        <v>#DIV/0!</v>
      </c>
      <c r="BK195" s="380" t="e">
        <f t="shared" si="115"/>
        <v>#DIV/0!</v>
      </c>
      <c r="BL195" s="380" t="e">
        <f t="shared" si="115"/>
        <v>#DIV/0!</v>
      </c>
      <c r="BM195" s="380" t="e">
        <f t="shared" si="115"/>
        <v>#DIV/0!</v>
      </c>
      <c r="BN195" s="380" t="e">
        <f t="shared" si="115"/>
        <v>#DIV/0!</v>
      </c>
      <c r="BO195" s="380" t="e">
        <f t="shared" si="115"/>
        <v>#DIV/0!</v>
      </c>
      <c r="BP195" s="380" t="e">
        <f t="shared" si="115"/>
        <v>#DIV/0!</v>
      </c>
      <c r="BQ195" s="380" t="e">
        <f t="shared" ref="BQ195:CF195" si="116">VLOOKUP(BQ$192,Carbon,4)*BQ188</f>
        <v>#DIV/0!</v>
      </c>
      <c r="BR195" s="380" t="e">
        <f t="shared" si="116"/>
        <v>#DIV/0!</v>
      </c>
      <c r="BS195" s="380" t="e">
        <f t="shared" si="116"/>
        <v>#DIV/0!</v>
      </c>
      <c r="BT195" s="380" t="e">
        <f t="shared" si="116"/>
        <v>#DIV/0!</v>
      </c>
      <c r="BU195" s="380" t="e">
        <f t="shared" si="116"/>
        <v>#DIV/0!</v>
      </c>
      <c r="BV195" s="380" t="e">
        <f t="shared" si="116"/>
        <v>#DIV/0!</v>
      </c>
      <c r="BW195" s="380" t="e">
        <f t="shared" si="116"/>
        <v>#DIV/0!</v>
      </c>
      <c r="BX195" s="380" t="e">
        <f t="shared" si="116"/>
        <v>#DIV/0!</v>
      </c>
      <c r="BY195" s="380" t="e">
        <f t="shared" si="116"/>
        <v>#DIV/0!</v>
      </c>
      <c r="BZ195" s="380" t="e">
        <f t="shared" si="116"/>
        <v>#DIV/0!</v>
      </c>
      <c r="CA195" s="380" t="e">
        <f t="shared" si="116"/>
        <v>#DIV/0!</v>
      </c>
      <c r="CB195" s="380" t="e">
        <f t="shared" si="116"/>
        <v>#DIV/0!</v>
      </c>
      <c r="CC195" s="380" t="e">
        <f t="shared" si="116"/>
        <v>#DIV/0!</v>
      </c>
      <c r="CD195" s="380" t="e">
        <f t="shared" si="116"/>
        <v>#DIV/0!</v>
      </c>
      <c r="CE195" s="380" t="e">
        <f t="shared" si="116"/>
        <v>#DIV/0!</v>
      </c>
      <c r="CF195" s="380" t="e">
        <f t="shared" si="116"/>
        <v>#DIV/0!</v>
      </c>
    </row>
    <row r="196" spans="3:84">
      <c r="D196" s="364" t="s">
        <v>93</v>
      </c>
      <c r="E196" s="380" t="e">
        <f t="shared" ref="E196:AJ196" si="117">VLOOKUP(E$192,Carbon,4)*E189</f>
        <v>#DIV/0!</v>
      </c>
      <c r="F196" s="380" t="e">
        <f t="shared" si="117"/>
        <v>#DIV/0!</v>
      </c>
      <c r="G196" s="380" t="e">
        <f t="shared" si="117"/>
        <v>#DIV/0!</v>
      </c>
      <c r="H196" s="380" t="e">
        <f t="shared" si="117"/>
        <v>#DIV/0!</v>
      </c>
      <c r="I196" s="380" t="e">
        <f t="shared" si="117"/>
        <v>#DIV/0!</v>
      </c>
      <c r="J196" s="380" t="e">
        <f t="shared" si="117"/>
        <v>#DIV/0!</v>
      </c>
      <c r="K196" s="380" t="e">
        <f t="shared" si="117"/>
        <v>#DIV/0!</v>
      </c>
      <c r="L196" s="380" t="e">
        <f t="shared" si="117"/>
        <v>#DIV/0!</v>
      </c>
      <c r="M196" s="380" t="e">
        <f t="shared" si="117"/>
        <v>#DIV/0!</v>
      </c>
      <c r="N196" s="380" t="e">
        <f t="shared" si="117"/>
        <v>#DIV/0!</v>
      </c>
      <c r="O196" s="380" t="e">
        <f t="shared" si="117"/>
        <v>#DIV/0!</v>
      </c>
      <c r="P196" s="380" t="e">
        <f t="shared" si="117"/>
        <v>#DIV/0!</v>
      </c>
      <c r="Q196" s="380" t="e">
        <f t="shared" si="117"/>
        <v>#DIV/0!</v>
      </c>
      <c r="R196" s="380" t="e">
        <f t="shared" si="117"/>
        <v>#DIV/0!</v>
      </c>
      <c r="S196" s="380" t="e">
        <f t="shared" si="117"/>
        <v>#DIV/0!</v>
      </c>
      <c r="T196" s="380" t="e">
        <f t="shared" si="117"/>
        <v>#DIV/0!</v>
      </c>
      <c r="U196" s="380" t="e">
        <f t="shared" si="117"/>
        <v>#DIV/0!</v>
      </c>
      <c r="V196" s="380" t="e">
        <f t="shared" si="117"/>
        <v>#DIV/0!</v>
      </c>
      <c r="W196" s="380" t="e">
        <f t="shared" si="117"/>
        <v>#DIV/0!</v>
      </c>
      <c r="X196" s="380" t="e">
        <f t="shared" si="117"/>
        <v>#DIV/0!</v>
      </c>
      <c r="Y196" s="380" t="e">
        <f t="shared" si="117"/>
        <v>#DIV/0!</v>
      </c>
      <c r="Z196" s="380" t="e">
        <f t="shared" si="117"/>
        <v>#DIV/0!</v>
      </c>
      <c r="AA196" s="380" t="e">
        <f t="shared" si="117"/>
        <v>#DIV/0!</v>
      </c>
      <c r="AB196" s="380" t="e">
        <f t="shared" si="117"/>
        <v>#DIV/0!</v>
      </c>
      <c r="AC196" s="380" t="e">
        <f t="shared" si="117"/>
        <v>#DIV/0!</v>
      </c>
      <c r="AD196" s="380" t="e">
        <f t="shared" si="117"/>
        <v>#DIV/0!</v>
      </c>
      <c r="AE196" s="380" t="e">
        <f t="shared" si="117"/>
        <v>#DIV/0!</v>
      </c>
      <c r="AF196" s="380" t="e">
        <f t="shared" si="117"/>
        <v>#DIV/0!</v>
      </c>
      <c r="AG196" s="380" t="e">
        <f t="shared" si="117"/>
        <v>#DIV/0!</v>
      </c>
      <c r="AH196" s="380" t="e">
        <f t="shared" si="117"/>
        <v>#DIV/0!</v>
      </c>
      <c r="AI196" s="380" t="e">
        <f t="shared" si="117"/>
        <v>#DIV/0!</v>
      </c>
      <c r="AJ196" s="380" t="e">
        <f t="shared" si="117"/>
        <v>#DIV/0!</v>
      </c>
      <c r="AK196" s="380" t="e">
        <f t="shared" ref="AK196:BP196" si="118">VLOOKUP(AK$192,Carbon,4)*AK189</f>
        <v>#DIV/0!</v>
      </c>
      <c r="AL196" s="380" t="e">
        <f t="shared" si="118"/>
        <v>#DIV/0!</v>
      </c>
      <c r="AM196" s="380" t="e">
        <f t="shared" si="118"/>
        <v>#DIV/0!</v>
      </c>
      <c r="AN196" s="380" t="e">
        <f t="shared" si="118"/>
        <v>#DIV/0!</v>
      </c>
      <c r="AO196" s="380" t="e">
        <f t="shared" si="118"/>
        <v>#DIV/0!</v>
      </c>
      <c r="AP196" s="380" t="e">
        <f t="shared" si="118"/>
        <v>#DIV/0!</v>
      </c>
      <c r="AQ196" s="380" t="e">
        <f t="shared" si="118"/>
        <v>#DIV/0!</v>
      </c>
      <c r="AR196" s="380" t="e">
        <f t="shared" si="118"/>
        <v>#DIV/0!</v>
      </c>
      <c r="AS196" s="380" t="e">
        <f t="shared" si="118"/>
        <v>#DIV/0!</v>
      </c>
      <c r="AT196" s="380" t="e">
        <f t="shared" si="118"/>
        <v>#DIV/0!</v>
      </c>
      <c r="AU196" s="380" t="e">
        <f t="shared" si="118"/>
        <v>#DIV/0!</v>
      </c>
      <c r="AV196" s="380" t="e">
        <f t="shared" si="118"/>
        <v>#DIV/0!</v>
      </c>
      <c r="AW196" s="380" t="e">
        <f t="shared" si="118"/>
        <v>#DIV/0!</v>
      </c>
      <c r="AX196" s="380" t="e">
        <f t="shared" si="118"/>
        <v>#DIV/0!</v>
      </c>
      <c r="AY196" s="380" t="e">
        <f t="shared" si="118"/>
        <v>#DIV/0!</v>
      </c>
      <c r="AZ196" s="380" t="e">
        <f t="shared" si="118"/>
        <v>#DIV/0!</v>
      </c>
      <c r="BA196" s="380" t="e">
        <f t="shared" si="118"/>
        <v>#DIV/0!</v>
      </c>
      <c r="BB196" s="380" t="e">
        <f t="shared" si="118"/>
        <v>#DIV/0!</v>
      </c>
      <c r="BC196" s="380" t="e">
        <f t="shared" si="118"/>
        <v>#DIV/0!</v>
      </c>
      <c r="BD196" s="380" t="e">
        <f t="shared" si="118"/>
        <v>#DIV/0!</v>
      </c>
      <c r="BE196" s="380" t="e">
        <f t="shared" si="118"/>
        <v>#DIV/0!</v>
      </c>
      <c r="BF196" s="380" t="e">
        <f t="shared" si="118"/>
        <v>#DIV/0!</v>
      </c>
      <c r="BG196" s="380" t="e">
        <f t="shared" si="118"/>
        <v>#DIV/0!</v>
      </c>
      <c r="BH196" s="380" t="e">
        <f t="shared" si="118"/>
        <v>#DIV/0!</v>
      </c>
      <c r="BI196" s="380" t="e">
        <f t="shared" si="118"/>
        <v>#DIV/0!</v>
      </c>
      <c r="BJ196" s="380" t="e">
        <f t="shared" si="118"/>
        <v>#DIV/0!</v>
      </c>
      <c r="BK196" s="380" t="e">
        <f t="shared" si="118"/>
        <v>#DIV/0!</v>
      </c>
      <c r="BL196" s="380" t="e">
        <f t="shared" si="118"/>
        <v>#DIV/0!</v>
      </c>
      <c r="BM196" s="380" t="e">
        <f t="shared" si="118"/>
        <v>#DIV/0!</v>
      </c>
      <c r="BN196" s="380" t="e">
        <f t="shared" si="118"/>
        <v>#DIV/0!</v>
      </c>
      <c r="BO196" s="380" t="e">
        <f t="shared" si="118"/>
        <v>#DIV/0!</v>
      </c>
      <c r="BP196" s="380" t="e">
        <f t="shared" si="118"/>
        <v>#DIV/0!</v>
      </c>
      <c r="BQ196" s="380" t="e">
        <f t="shared" ref="BQ196:CF196" si="119">VLOOKUP(BQ$192,Carbon,4)*BQ189</f>
        <v>#DIV/0!</v>
      </c>
      <c r="BR196" s="380" t="e">
        <f t="shared" si="119"/>
        <v>#DIV/0!</v>
      </c>
      <c r="BS196" s="380" t="e">
        <f t="shared" si="119"/>
        <v>#DIV/0!</v>
      </c>
      <c r="BT196" s="380" t="e">
        <f t="shared" si="119"/>
        <v>#DIV/0!</v>
      </c>
      <c r="BU196" s="380" t="e">
        <f t="shared" si="119"/>
        <v>#DIV/0!</v>
      </c>
      <c r="BV196" s="380" t="e">
        <f t="shared" si="119"/>
        <v>#DIV/0!</v>
      </c>
      <c r="BW196" s="380" t="e">
        <f t="shared" si="119"/>
        <v>#DIV/0!</v>
      </c>
      <c r="BX196" s="380" t="e">
        <f t="shared" si="119"/>
        <v>#DIV/0!</v>
      </c>
      <c r="BY196" s="380" t="e">
        <f t="shared" si="119"/>
        <v>#DIV/0!</v>
      </c>
      <c r="BZ196" s="380" t="e">
        <f t="shared" si="119"/>
        <v>#DIV/0!</v>
      </c>
      <c r="CA196" s="380" t="e">
        <f t="shared" si="119"/>
        <v>#DIV/0!</v>
      </c>
      <c r="CB196" s="380" t="e">
        <f t="shared" si="119"/>
        <v>#DIV/0!</v>
      </c>
      <c r="CC196" s="380" t="e">
        <f t="shared" si="119"/>
        <v>#DIV/0!</v>
      </c>
      <c r="CD196" s="380" t="e">
        <f t="shared" si="119"/>
        <v>#DIV/0!</v>
      </c>
      <c r="CE196" s="380" t="e">
        <f t="shared" si="119"/>
        <v>#DIV/0!</v>
      </c>
      <c r="CF196" s="380" t="e">
        <f t="shared" si="119"/>
        <v>#DIV/0!</v>
      </c>
    </row>
    <row r="197" spans="3:84">
      <c r="D197" s="365"/>
    </row>
    <row r="198" spans="3:84">
      <c r="C198" s="360" t="s">
        <v>285</v>
      </c>
      <c r="D198" s="365"/>
    </row>
    <row r="199" spans="3:84">
      <c r="D199" s="728"/>
      <c r="E199" s="728">
        <v>2010</v>
      </c>
      <c r="F199" s="728">
        <v>2011</v>
      </c>
      <c r="G199" s="728">
        <v>2012</v>
      </c>
      <c r="H199" s="728">
        <v>2013</v>
      </c>
      <c r="I199" s="728">
        <v>2014</v>
      </c>
      <c r="J199" s="728">
        <v>2015</v>
      </c>
      <c r="K199" s="728">
        <v>2016</v>
      </c>
      <c r="L199" s="728">
        <v>2017</v>
      </c>
      <c r="M199" s="728">
        <v>2018</v>
      </c>
      <c r="N199" s="728">
        <v>2019</v>
      </c>
      <c r="O199" s="728">
        <v>2020</v>
      </c>
      <c r="P199" s="728">
        <v>2021</v>
      </c>
      <c r="Q199" s="728">
        <v>2022</v>
      </c>
      <c r="R199" s="728">
        <v>2023</v>
      </c>
      <c r="S199" s="728">
        <v>2024</v>
      </c>
      <c r="T199" s="728">
        <v>2025</v>
      </c>
      <c r="U199" s="728">
        <v>2026</v>
      </c>
      <c r="V199" s="728">
        <v>2027</v>
      </c>
      <c r="W199" s="728">
        <v>2028</v>
      </c>
      <c r="X199" s="728">
        <v>2029</v>
      </c>
      <c r="Y199" s="728">
        <v>2030</v>
      </c>
      <c r="Z199" s="728">
        <v>2031</v>
      </c>
      <c r="AA199" s="728">
        <v>2032</v>
      </c>
      <c r="AB199" s="728">
        <v>2033</v>
      </c>
      <c r="AC199" s="728">
        <v>2034</v>
      </c>
      <c r="AD199" s="728">
        <v>2035</v>
      </c>
      <c r="AE199" s="728">
        <v>2036</v>
      </c>
      <c r="AF199" s="728">
        <v>2037</v>
      </c>
      <c r="AG199" s="728">
        <v>2038</v>
      </c>
      <c r="AH199" s="728">
        <v>2039</v>
      </c>
      <c r="AI199" s="728">
        <v>2040</v>
      </c>
      <c r="AJ199" s="728">
        <v>2041</v>
      </c>
      <c r="AK199" s="728">
        <v>2042</v>
      </c>
      <c r="AL199" s="728">
        <v>2043</v>
      </c>
      <c r="AM199" s="728">
        <v>2044</v>
      </c>
      <c r="AN199" s="728">
        <v>2045</v>
      </c>
      <c r="AO199" s="728">
        <v>2046</v>
      </c>
      <c r="AP199" s="728">
        <v>2047</v>
      </c>
      <c r="AQ199" s="728">
        <v>2048</v>
      </c>
      <c r="AR199" s="728">
        <v>2049</v>
      </c>
      <c r="AS199" s="728">
        <v>2050</v>
      </c>
      <c r="AT199" s="728">
        <v>2051</v>
      </c>
      <c r="AU199" s="728">
        <v>2052</v>
      </c>
      <c r="AV199" s="728">
        <v>2053</v>
      </c>
      <c r="AW199" s="728">
        <v>2054</v>
      </c>
      <c r="AX199" s="728">
        <v>2055</v>
      </c>
      <c r="AY199" s="728">
        <v>2056</v>
      </c>
      <c r="AZ199" s="728">
        <v>2057</v>
      </c>
      <c r="BA199" s="728">
        <v>2058</v>
      </c>
      <c r="BB199" s="728">
        <v>2059</v>
      </c>
      <c r="BC199" s="728">
        <v>2060</v>
      </c>
      <c r="BD199" s="728">
        <v>2061</v>
      </c>
      <c r="BE199" s="728">
        <v>2062</v>
      </c>
      <c r="BF199" s="728">
        <v>2063</v>
      </c>
      <c r="BG199" s="728">
        <v>2064</v>
      </c>
      <c r="BH199" s="728">
        <v>2065</v>
      </c>
      <c r="BI199" s="728">
        <v>2066</v>
      </c>
      <c r="BJ199" s="728">
        <v>2067</v>
      </c>
      <c r="BK199" s="728">
        <v>2068</v>
      </c>
      <c r="BL199" s="728">
        <v>2069</v>
      </c>
      <c r="BM199" s="728">
        <v>2070</v>
      </c>
      <c r="BN199" s="728">
        <v>2071</v>
      </c>
      <c r="BO199" s="728">
        <v>2072</v>
      </c>
      <c r="BP199" s="728">
        <v>2073</v>
      </c>
      <c r="BQ199" s="728">
        <v>2074</v>
      </c>
      <c r="BR199" s="728">
        <v>2075</v>
      </c>
      <c r="BS199" s="728">
        <v>2076</v>
      </c>
      <c r="BT199" s="728">
        <v>2077</v>
      </c>
      <c r="BU199" s="728">
        <v>2078</v>
      </c>
      <c r="BV199" s="728">
        <v>2079</v>
      </c>
      <c r="BW199" s="728">
        <v>2080</v>
      </c>
      <c r="BX199" s="728">
        <v>2081</v>
      </c>
      <c r="BY199" s="728">
        <v>2082</v>
      </c>
      <c r="BZ199" s="728">
        <v>2083</v>
      </c>
      <c r="CA199" s="728">
        <v>2084</v>
      </c>
      <c r="CB199" s="728">
        <v>2085</v>
      </c>
      <c r="CC199" s="728">
        <v>2086</v>
      </c>
      <c r="CD199" s="728">
        <v>2087</v>
      </c>
      <c r="CE199" s="728">
        <v>2088</v>
      </c>
      <c r="CF199" s="728">
        <v>2089</v>
      </c>
    </row>
    <row r="200" spans="3:84">
      <c r="D200" s="364" t="s">
        <v>87</v>
      </c>
      <c r="E200" s="380" t="e">
        <f t="shared" ref="E200:AJ200" si="120">((((VLOOKUP(E199,GG_fuel,3,FALSE))+(VLOOKUP(E199,GG_fuel,4,0))*$E$5+(VLOOKUP(E199,GG_fuel,5,0))*$E$5^2+(VLOOKUP(E199,GG_fuel,6,0))*$E$5^3)/$E$5))</f>
        <v>#DIV/0!</v>
      </c>
      <c r="F200" s="380" t="e">
        <f t="shared" si="120"/>
        <v>#DIV/0!</v>
      </c>
      <c r="G200" s="380" t="e">
        <f t="shared" si="120"/>
        <v>#DIV/0!</v>
      </c>
      <c r="H200" s="380" t="e">
        <f t="shared" si="120"/>
        <v>#DIV/0!</v>
      </c>
      <c r="I200" s="380" t="e">
        <f t="shared" si="120"/>
        <v>#DIV/0!</v>
      </c>
      <c r="J200" s="380" t="e">
        <f t="shared" si="120"/>
        <v>#DIV/0!</v>
      </c>
      <c r="K200" s="380" t="e">
        <f t="shared" si="120"/>
        <v>#DIV/0!</v>
      </c>
      <c r="L200" s="380" t="e">
        <f t="shared" si="120"/>
        <v>#DIV/0!</v>
      </c>
      <c r="M200" s="380" t="e">
        <f t="shared" si="120"/>
        <v>#DIV/0!</v>
      </c>
      <c r="N200" s="380" t="e">
        <f t="shared" si="120"/>
        <v>#DIV/0!</v>
      </c>
      <c r="O200" s="380" t="e">
        <f t="shared" si="120"/>
        <v>#DIV/0!</v>
      </c>
      <c r="P200" s="380" t="e">
        <f t="shared" si="120"/>
        <v>#DIV/0!</v>
      </c>
      <c r="Q200" s="380" t="e">
        <f t="shared" si="120"/>
        <v>#DIV/0!</v>
      </c>
      <c r="R200" s="380" t="e">
        <f t="shared" si="120"/>
        <v>#DIV/0!</v>
      </c>
      <c r="S200" s="380" t="e">
        <f t="shared" si="120"/>
        <v>#DIV/0!</v>
      </c>
      <c r="T200" s="380" t="e">
        <f t="shared" si="120"/>
        <v>#DIV/0!</v>
      </c>
      <c r="U200" s="380" t="e">
        <f t="shared" si="120"/>
        <v>#DIV/0!</v>
      </c>
      <c r="V200" s="380" t="e">
        <f t="shared" si="120"/>
        <v>#DIV/0!</v>
      </c>
      <c r="W200" s="380" t="e">
        <f t="shared" si="120"/>
        <v>#DIV/0!</v>
      </c>
      <c r="X200" s="380" t="e">
        <f t="shared" si="120"/>
        <v>#DIV/0!</v>
      </c>
      <c r="Y200" s="380" t="e">
        <f t="shared" si="120"/>
        <v>#DIV/0!</v>
      </c>
      <c r="Z200" s="380" t="e">
        <f t="shared" si="120"/>
        <v>#DIV/0!</v>
      </c>
      <c r="AA200" s="380" t="e">
        <f t="shared" si="120"/>
        <v>#DIV/0!</v>
      </c>
      <c r="AB200" s="380" t="e">
        <f t="shared" si="120"/>
        <v>#DIV/0!</v>
      </c>
      <c r="AC200" s="380" t="e">
        <f t="shared" si="120"/>
        <v>#DIV/0!</v>
      </c>
      <c r="AD200" s="380" t="e">
        <f t="shared" si="120"/>
        <v>#DIV/0!</v>
      </c>
      <c r="AE200" s="380" t="e">
        <f t="shared" si="120"/>
        <v>#DIV/0!</v>
      </c>
      <c r="AF200" s="380" t="e">
        <f t="shared" si="120"/>
        <v>#DIV/0!</v>
      </c>
      <c r="AG200" s="380" t="e">
        <f t="shared" si="120"/>
        <v>#DIV/0!</v>
      </c>
      <c r="AH200" s="380" t="e">
        <f t="shared" si="120"/>
        <v>#DIV/0!</v>
      </c>
      <c r="AI200" s="380" t="e">
        <f t="shared" si="120"/>
        <v>#DIV/0!</v>
      </c>
      <c r="AJ200" s="380" t="e">
        <f t="shared" si="120"/>
        <v>#DIV/0!</v>
      </c>
      <c r="AK200" s="380" t="e">
        <f t="shared" ref="AK200:BP200" si="121">((((VLOOKUP(AK199,GG_fuel,3,FALSE))+(VLOOKUP(AK199,GG_fuel,4,0))*$E$5+(VLOOKUP(AK199,GG_fuel,5,0))*$E$5^2+(VLOOKUP(AK199,GG_fuel,6,0))*$E$5^3)/$E$5))</f>
        <v>#DIV/0!</v>
      </c>
      <c r="AL200" s="380" t="e">
        <f t="shared" si="121"/>
        <v>#DIV/0!</v>
      </c>
      <c r="AM200" s="380" t="e">
        <f t="shared" si="121"/>
        <v>#DIV/0!</v>
      </c>
      <c r="AN200" s="380" t="e">
        <f t="shared" si="121"/>
        <v>#DIV/0!</v>
      </c>
      <c r="AO200" s="380" t="e">
        <f t="shared" si="121"/>
        <v>#DIV/0!</v>
      </c>
      <c r="AP200" s="380" t="e">
        <f t="shared" si="121"/>
        <v>#DIV/0!</v>
      </c>
      <c r="AQ200" s="380" t="e">
        <f t="shared" si="121"/>
        <v>#DIV/0!</v>
      </c>
      <c r="AR200" s="380" t="e">
        <f t="shared" si="121"/>
        <v>#DIV/0!</v>
      </c>
      <c r="AS200" s="380" t="e">
        <f t="shared" si="121"/>
        <v>#DIV/0!</v>
      </c>
      <c r="AT200" s="380" t="e">
        <f t="shared" si="121"/>
        <v>#DIV/0!</v>
      </c>
      <c r="AU200" s="380" t="e">
        <f t="shared" si="121"/>
        <v>#DIV/0!</v>
      </c>
      <c r="AV200" s="380" t="e">
        <f t="shared" si="121"/>
        <v>#DIV/0!</v>
      </c>
      <c r="AW200" s="380" t="e">
        <f t="shared" si="121"/>
        <v>#DIV/0!</v>
      </c>
      <c r="AX200" s="380" t="e">
        <f t="shared" si="121"/>
        <v>#DIV/0!</v>
      </c>
      <c r="AY200" s="380" t="e">
        <f t="shared" si="121"/>
        <v>#DIV/0!</v>
      </c>
      <c r="AZ200" s="380" t="e">
        <f t="shared" si="121"/>
        <v>#DIV/0!</v>
      </c>
      <c r="BA200" s="380" t="e">
        <f t="shared" si="121"/>
        <v>#DIV/0!</v>
      </c>
      <c r="BB200" s="380" t="e">
        <f t="shared" si="121"/>
        <v>#DIV/0!</v>
      </c>
      <c r="BC200" s="380" t="e">
        <f t="shared" si="121"/>
        <v>#DIV/0!</v>
      </c>
      <c r="BD200" s="380" t="e">
        <f t="shared" si="121"/>
        <v>#DIV/0!</v>
      </c>
      <c r="BE200" s="380" t="e">
        <f t="shared" si="121"/>
        <v>#DIV/0!</v>
      </c>
      <c r="BF200" s="380" t="e">
        <f t="shared" si="121"/>
        <v>#DIV/0!</v>
      </c>
      <c r="BG200" s="380" t="e">
        <f t="shared" si="121"/>
        <v>#DIV/0!</v>
      </c>
      <c r="BH200" s="380" t="e">
        <f t="shared" si="121"/>
        <v>#DIV/0!</v>
      </c>
      <c r="BI200" s="380" t="e">
        <f t="shared" si="121"/>
        <v>#DIV/0!</v>
      </c>
      <c r="BJ200" s="380" t="e">
        <f t="shared" si="121"/>
        <v>#DIV/0!</v>
      </c>
      <c r="BK200" s="380" t="e">
        <f t="shared" si="121"/>
        <v>#DIV/0!</v>
      </c>
      <c r="BL200" s="380" t="e">
        <f t="shared" si="121"/>
        <v>#DIV/0!</v>
      </c>
      <c r="BM200" s="380" t="e">
        <f t="shared" si="121"/>
        <v>#DIV/0!</v>
      </c>
      <c r="BN200" s="380" t="e">
        <f t="shared" si="121"/>
        <v>#DIV/0!</v>
      </c>
      <c r="BO200" s="380" t="e">
        <f t="shared" si="121"/>
        <v>#DIV/0!</v>
      </c>
      <c r="BP200" s="380" t="e">
        <f t="shared" si="121"/>
        <v>#DIV/0!</v>
      </c>
      <c r="BQ200" s="380" t="e">
        <f t="shared" ref="BQ200:CF200" si="122">((((VLOOKUP(BQ199,GG_fuel,3,FALSE))+(VLOOKUP(BQ199,GG_fuel,4,0))*$E$5+(VLOOKUP(BQ199,GG_fuel,5,0))*$E$5^2+(VLOOKUP(BQ199,GG_fuel,6,0))*$E$5^3)/$E$5))</f>
        <v>#DIV/0!</v>
      </c>
      <c r="BR200" s="380" t="e">
        <f t="shared" si="122"/>
        <v>#DIV/0!</v>
      </c>
      <c r="BS200" s="380" t="e">
        <f t="shared" si="122"/>
        <v>#DIV/0!</v>
      </c>
      <c r="BT200" s="380" t="e">
        <f t="shared" si="122"/>
        <v>#DIV/0!</v>
      </c>
      <c r="BU200" s="380" t="e">
        <f t="shared" si="122"/>
        <v>#DIV/0!</v>
      </c>
      <c r="BV200" s="380" t="e">
        <f t="shared" si="122"/>
        <v>#DIV/0!</v>
      </c>
      <c r="BW200" s="380" t="e">
        <f t="shared" si="122"/>
        <v>#DIV/0!</v>
      </c>
      <c r="BX200" s="380" t="e">
        <f t="shared" si="122"/>
        <v>#DIV/0!</v>
      </c>
      <c r="BY200" s="380" t="e">
        <f t="shared" si="122"/>
        <v>#DIV/0!</v>
      </c>
      <c r="BZ200" s="380" t="e">
        <f t="shared" si="122"/>
        <v>#DIV/0!</v>
      </c>
      <c r="CA200" s="380" t="e">
        <f t="shared" si="122"/>
        <v>#DIV/0!</v>
      </c>
      <c r="CB200" s="380" t="e">
        <f t="shared" si="122"/>
        <v>#DIV/0!</v>
      </c>
      <c r="CC200" s="380" t="e">
        <f t="shared" si="122"/>
        <v>#DIV/0!</v>
      </c>
      <c r="CD200" s="380" t="e">
        <f t="shared" si="122"/>
        <v>#DIV/0!</v>
      </c>
      <c r="CE200" s="380" t="e">
        <f t="shared" si="122"/>
        <v>#DIV/0!</v>
      </c>
      <c r="CF200" s="380" t="e">
        <f t="shared" si="122"/>
        <v>#DIV/0!</v>
      </c>
    </row>
    <row r="201" spans="3:84">
      <c r="D201" s="364" t="s">
        <v>89</v>
      </c>
      <c r="E201" s="380" t="e">
        <f t="shared" ref="E201:AJ201" si="123">((((VLOOKUP(E199,GG_fuel,15,FALSE))+(VLOOKUP(E199,GG_fuel,16,0))*$E$6+(VLOOKUP(E199,GG_fuel,17,0))*$E$6^2+(VLOOKUP(E199,GG_fuel,18,0))*$E$6^3)/$E$6))</f>
        <v>#DIV/0!</v>
      </c>
      <c r="F201" s="380" t="e">
        <f t="shared" si="123"/>
        <v>#DIV/0!</v>
      </c>
      <c r="G201" s="380" t="e">
        <f t="shared" si="123"/>
        <v>#DIV/0!</v>
      </c>
      <c r="H201" s="380" t="e">
        <f t="shared" si="123"/>
        <v>#DIV/0!</v>
      </c>
      <c r="I201" s="380" t="e">
        <f t="shared" si="123"/>
        <v>#DIV/0!</v>
      </c>
      <c r="J201" s="380" t="e">
        <f t="shared" si="123"/>
        <v>#DIV/0!</v>
      </c>
      <c r="K201" s="380" t="e">
        <f t="shared" si="123"/>
        <v>#DIV/0!</v>
      </c>
      <c r="L201" s="380" t="e">
        <f t="shared" si="123"/>
        <v>#DIV/0!</v>
      </c>
      <c r="M201" s="380" t="e">
        <f t="shared" si="123"/>
        <v>#DIV/0!</v>
      </c>
      <c r="N201" s="380" t="e">
        <f t="shared" si="123"/>
        <v>#DIV/0!</v>
      </c>
      <c r="O201" s="380" t="e">
        <f t="shared" si="123"/>
        <v>#DIV/0!</v>
      </c>
      <c r="P201" s="380" t="e">
        <f t="shared" si="123"/>
        <v>#DIV/0!</v>
      </c>
      <c r="Q201" s="380" t="e">
        <f t="shared" si="123"/>
        <v>#DIV/0!</v>
      </c>
      <c r="R201" s="380" t="e">
        <f t="shared" si="123"/>
        <v>#DIV/0!</v>
      </c>
      <c r="S201" s="380" t="e">
        <f t="shared" si="123"/>
        <v>#DIV/0!</v>
      </c>
      <c r="T201" s="380" t="e">
        <f t="shared" si="123"/>
        <v>#DIV/0!</v>
      </c>
      <c r="U201" s="380" t="e">
        <f t="shared" si="123"/>
        <v>#DIV/0!</v>
      </c>
      <c r="V201" s="380" t="e">
        <f t="shared" si="123"/>
        <v>#DIV/0!</v>
      </c>
      <c r="W201" s="380" t="e">
        <f t="shared" si="123"/>
        <v>#DIV/0!</v>
      </c>
      <c r="X201" s="380" t="e">
        <f t="shared" si="123"/>
        <v>#DIV/0!</v>
      </c>
      <c r="Y201" s="380" t="e">
        <f t="shared" si="123"/>
        <v>#DIV/0!</v>
      </c>
      <c r="Z201" s="380" t="e">
        <f t="shared" si="123"/>
        <v>#DIV/0!</v>
      </c>
      <c r="AA201" s="380" t="e">
        <f t="shared" si="123"/>
        <v>#DIV/0!</v>
      </c>
      <c r="AB201" s="380" t="e">
        <f t="shared" si="123"/>
        <v>#DIV/0!</v>
      </c>
      <c r="AC201" s="380" t="e">
        <f t="shared" si="123"/>
        <v>#DIV/0!</v>
      </c>
      <c r="AD201" s="380" t="e">
        <f t="shared" si="123"/>
        <v>#DIV/0!</v>
      </c>
      <c r="AE201" s="380" t="e">
        <f t="shared" si="123"/>
        <v>#DIV/0!</v>
      </c>
      <c r="AF201" s="380" t="e">
        <f t="shared" si="123"/>
        <v>#DIV/0!</v>
      </c>
      <c r="AG201" s="380" t="e">
        <f t="shared" si="123"/>
        <v>#DIV/0!</v>
      </c>
      <c r="AH201" s="380" t="e">
        <f t="shared" si="123"/>
        <v>#DIV/0!</v>
      </c>
      <c r="AI201" s="380" t="e">
        <f t="shared" si="123"/>
        <v>#DIV/0!</v>
      </c>
      <c r="AJ201" s="380" t="e">
        <f t="shared" si="123"/>
        <v>#DIV/0!</v>
      </c>
      <c r="AK201" s="380" t="e">
        <f t="shared" ref="AK201:BP201" si="124">((((VLOOKUP(AK199,GG_fuel,15,FALSE))+(VLOOKUP(AK199,GG_fuel,16,0))*$E$6+(VLOOKUP(AK199,GG_fuel,17,0))*$E$6^2+(VLOOKUP(AK199,GG_fuel,18,0))*$E$6^3)/$E$6))</f>
        <v>#DIV/0!</v>
      </c>
      <c r="AL201" s="380" t="e">
        <f t="shared" si="124"/>
        <v>#DIV/0!</v>
      </c>
      <c r="AM201" s="380" t="e">
        <f t="shared" si="124"/>
        <v>#DIV/0!</v>
      </c>
      <c r="AN201" s="380" t="e">
        <f t="shared" si="124"/>
        <v>#DIV/0!</v>
      </c>
      <c r="AO201" s="380" t="e">
        <f t="shared" si="124"/>
        <v>#DIV/0!</v>
      </c>
      <c r="AP201" s="380" t="e">
        <f t="shared" si="124"/>
        <v>#DIV/0!</v>
      </c>
      <c r="AQ201" s="380" t="e">
        <f t="shared" si="124"/>
        <v>#DIV/0!</v>
      </c>
      <c r="AR201" s="380" t="e">
        <f t="shared" si="124"/>
        <v>#DIV/0!</v>
      </c>
      <c r="AS201" s="380" t="e">
        <f t="shared" si="124"/>
        <v>#DIV/0!</v>
      </c>
      <c r="AT201" s="380" t="e">
        <f t="shared" si="124"/>
        <v>#DIV/0!</v>
      </c>
      <c r="AU201" s="380" t="e">
        <f t="shared" si="124"/>
        <v>#DIV/0!</v>
      </c>
      <c r="AV201" s="380" t="e">
        <f t="shared" si="124"/>
        <v>#DIV/0!</v>
      </c>
      <c r="AW201" s="380" t="e">
        <f t="shared" si="124"/>
        <v>#DIV/0!</v>
      </c>
      <c r="AX201" s="380" t="e">
        <f t="shared" si="124"/>
        <v>#DIV/0!</v>
      </c>
      <c r="AY201" s="380" t="e">
        <f t="shared" si="124"/>
        <v>#DIV/0!</v>
      </c>
      <c r="AZ201" s="380" t="e">
        <f t="shared" si="124"/>
        <v>#DIV/0!</v>
      </c>
      <c r="BA201" s="380" t="e">
        <f t="shared" si="124"/>
        <v>#DIV/0!</v>
      </c>
      <c r="BB201" s="380" t="e">
        <f t="shared" si="124"/>
        <v>#DIV/0!</v>
      </c>
      <c r="BC201" s="380" t="e">
        <f t="shared" si="124"/>
        <v>#DIV/0!</v>
      </c>
      <c r="BD201" s="380" t="e">
        <f t="shared" si="124"/>
        <v>#DIV/0!</v>
      </c>
      <c r="BE201" s="380" t="e">
        <f t="shared" si="124"/>
        <v>#DIV/0!</v>
      </c>
      <c r="BF201" s="380" t="e">
        <f t="shared" si="124"/>
        <v>#DIV/0!</v>
      </c>
      <c r="BG201" s="380" t="e">
        <f t="shared" si="124"/>
        <v>#DIV/0!</v>
      </c>
      <c r="BH201" s="380" t="e">
        <f t="shared" si="124"/>
        <v>#DIV/0!</v>
      </c>
      <c r="BI201" s="380" t="e">
        <f t="shared" si="124"/>
        <v>#DIV/0!</v>
      </c>
      <c r="BJ201" s="380" t="e">
        <f t="shared" si="124"/>
        <v>#DIV/0!</v>
      </c>
      <c r="BK201" s="380" t="e">
        <f t="shared" si="124"/>
        <v>#DIV/0!</v>
      </c>
      <c r="BL201" s="380" t="e">
        <f t="shared" si="124"/>
        <v>#DIV/0!</v>
      </c>
      <c r="BM201" s="380" t="e">
        <f t="shared" si="124"/>
        <v>#DIV/0!</v>
      </c>
      <c r="BN201" s="380" t="e">
        <f t="shared" si="124"/>
        <v>#DIV/0!</v>
      </c>
      <c r="BO201" s="380" t="e">
        <f t="shared" si="124"/>
        <v>#DIV/0!</v>
      </c>
      <c r="BP201" s="380" t="e">
        <f t="shared" si="124"/>
        <v>#DIV/0!</v>
      </c>
      <c r="BQ201" s="380" t="e">
        <f t="shared" ref="BQ201:CF201" si="125">((((VLOOKUP(BQ199,GG_fuel,15,FALSE))+(VLOOKUP(BQ199,GG_fuel,16,0))*$E$6+(VLOOKUP(BQ199,GG_fuel,17,0))*$E$6^2+(VLOOKUP(BQ199,GG_fuel,18,0))*$E$6^3)/$E$6))</f>
        <v>#DIV/0!</v>
      </c>
      <c r="BR201" s="380" t="e">
        <f t="shared" si="125"/>
        <v>#DIV/0!</v>
      </c>
      <c r="BS201" s="380" t="e">
        <f t="shared" si="125"/>
        <v>#DIV/0!</v>
      </c>
      <c r="BT201" s="380" t="e">
        <f t="shared" si="125"/>
        <v>#DIV/0!</v>
      </c>
      <c r="BU201" s="380" t="e">
        <f t="shared" si="125"/>
        <v>#DIV/0!</v>
      </c>
      <c r="BV201" s="380" t="e">
        <f t="shared" si="125"/>
        <v>#DIV/0!</v>
      </c>
      <c r="BW201" s="380" t="e">
        <f t="shared" si="125"/>
        <v>#DIV/0!</v>
      </c>
      <c r="BX201" s="380" t="e">
        <f t="shared" si="125"/>
        <v>#DIV/0!</v>
      </c>
      <c r="BY201" s="380" t="e">
        <f t="shared" si="125"/>
        <v>#DIV/0!</v>
      </c>
      <c r="BZ201" s="380" t="e">
        <f t="shared" si="125"/>
        <v>#DIV/0!</v>
      </c>
      <c r="CA201" s="380" t="e">
        <f t="shared" si="125"/>
        <v>#DIV/0!</v>
      </c>
      <c r="CB201" s="380" t="e">
        <f t="shared" si="125"/>
        <v>#DIV/0!</v>
      </c>
      <c r="CC201" s="380" t="e">
        <f t="shared" si="125"/>
        <v>#DIV/0!</v>
      </c>
      <c r="CD201" s="380" t="e">
        <f t="shared" si="125"/>
        <v>#DIV/0!</v>
      </c>
      <c r="CE201" s="380" t="e">
        <f t="shared" si="125"/>
        <v>#DIV/0!</v>
      </c>
      <c r="CF201" s="380" t="e">
        <f t="shared" si="125"/>
        <v>#DIV/0!</v>
      </c>
    </row>
    <row r="203" spans="3:84">
      <c r="C203" s="360" t="s">
        <v>286</v>
      </c>
    </row>
    <row r="204" spans="3:84">
      <c r="D204" s="728"/>
      <c r="E204" s="728">
        <v>2010</v>
      </c>
      <c r="F204" s="728">
        <v>2011</v>
      </c>
      <c r="G204" s="728">
        <v>2012</v>
      </c>
      <c r="H204" s="728">
        <v>2013</v>
      </c>
      <c r="I204" s="728">
        <v>2014</v>
      </c>
      <c r="J204" s="728">
        <v>2015</v>
      </c>
      <c r="K204" s="728">
        <v>2016</v>
      </c>
      <c r="L204" s="728">
        <v>2017</v>
      </c>
      <c r="M204" s="728">
        <v>2018</v>
      </c>
      <c r="N204" s="728">
        <v>2019</v>
      </c>
      <c r="O204" s="728">
        <v>2020</v>
      </c>
      <c r="P204" s="728">
        <v>2021</v>
      </c>
      <c r="Q204" s="728">
        <v>2022</v>
      </c>
      <c r="R204" s="728">
        <v>2023</v>
      </c>
      <c r="S204" s="728">
        <v>2024</v>
      </c>
      <c r="T204" s="728">
        <v>2025</v>
      </c>
      <c r="U204" s="728">
        <v>2026</v>
      </c>
      <c r="V204" s="728">
        <v>2027</v>
      </c>
      <c r="W204" s="728">
        <v>2028</v>
      </c>
      <c r="X204" s="728">
        <v>2029</v>
      </c>
      <c r="Y204" s="728">
        <v>2030</v>
      </c>
      <c r="Z204" s="728">
        <v>2031</v>
      </c>
      <c r="AA204" s="728">
        <v>2032</v>
      </c>
      <c r="AB204" s="728">
        <v>2033</v>
      </c>
      <c r="AC204" s="728">
        <v>2034</v>
      </c>
      <c r="AD204" s="728">
        <v>2035</v>
      </c>
      <c r="AE204" s="728">
        <v>2036</v>
      </c>
      <c r="AF204" s="728">
        <v>2037</v>
      </c>
      <c r="AG204" s="728">
        <v>2038</v>
      </c>
      <c r="AH204" s="728">
        <v>2039</v>
      </c>
      <c r="AI204" s="728">
        <v>2040</v>
      </c>
      <c r="AJ204" s="728">
        <v>2041</v>
      </c>
      <c r="AK204" s="728">
        <v>2042</v>
      </c>
      <c r="AL204" s="728">
        <v>2043</v>
      </c>
      <c r="AM204" s="728">
        <v>2044</v>
      </c>
      <c r="AN204" s="728">
        <v>2045</v>
      </c>
      <c r="AO204" s="728">
        <v>2046</v>
      </c>
      <c r="AP204" s="728">
        <v>2047</v>
      </c>
      <c r="AQ204" s="728">
        <v>2048</v>
      </c>
      <c r="AR204" s="728">
        <v>2049</v>
      </c>
      <c r="AS204" s="728">
        <v>2050</v>
      </c>
      <c r="AT204" s="728">
        <v>2051</v>
      </c>
      <c r="AU204" s="728">
        <v>2052</v>
      </c>
      <c r="AV204" s="728">
        <v>2053</v>
      </c>
      <c r="AW204" s="728">
        <v>2054</v>
      </c>
      <c r="AX204" s="728">
        <v>2055</v>
      </c>
      <c r="AY204" s="728">
        <v>2056</v>
      </c>
      <c r="AZ204" s="728">
        <v>2057</v>
      </c>
      <c r="BA204" s="728">
        <v>2058</v>
      </c>
      <c r="BB204" s="728">
        <v>2059</v>
      </c>
      <c r="BC204" s="728">
        <v>2060</v>
      </c>
      <c r="BD204" s="728">
        <v>2061</v>
      </c>
      <c r="BE204" s="728">
        <v>2062</v>
      </c>
      <c r="BF204" s="728">
        <v>2063</v>
      </c>
      <c r="BG204" s="728">
        <v>2064</v>
      </c>
      <c r="BH204" s="728">
        <v>2065</v>
      </c>
      <c r="BI204" s="728">
        <v>2066</v>
      </c>
      <c r="BJ204" s="728">
        <v>2067</v>
      </c>
      <c r="BK204" s="728">
        <v>2068</v>
      </c>
      <c r="BL204" s="728">
        <v>2069</v>
      </c>
      <c r="BM204" s="728">
        <v>2070</v>
      </c>
      <c r="BN204" s="728">
        <v>2071</v>
      </c>
      <c r="BO204" s="728">
        <v>2072</v>
      </c>
      <c r="BP204" s="728">
        <v>2073</v>
      </c>
      <c r="BQ204" s="728">
        <v>2074</v>
      </c>
      <c r="BR204" s="728">
        <v>2075</v>
      </c>
      <c r="BS204" s="728">
        <v>2076</v>
      </c>
      <c r="BT204" s="728">
        <v>2077</v>
      </c>
      <c r="BU204" s="728">
        <v>2078</v>
      </c>
      <c r="BV204" s="728">
        <v>2079</v>
      </c>
      <c r="BW204" s="728">
        <v>2080</v>
      </c>
      <c r="BX204" s="728">
        <v>2081</v>
      </c>
      <c r="BY204" s="728">
        <v>2082</v>
      </c>
      <c r="BZ204" s="728">
        <v>2083</v>
      </c>
      <c r="CA204" s="728">
        <v>2084</v>
      </c>
      <c r="CB204" s="728">
        <v>2085</v>
      </c>
      <c r="CC204" s="728">
        <v>2086</v>
      </c>
      <c r="CD204" s="728">
        <v>2087</v>
      </c>
      <c r="CE204" s="728">
        <v>2088</v>
      </c>
      <c r="CF204" s="728">
        <v>2089</v>
      </c>
    </row>
    <row r="205" spans="3:84">
      <c r="C205" s="378"/>
      <c r="D205" s="380" t="s">
        <v>87</v>
      </c>
      <c r="E205" s="380" t="e">
        <f t="shared" ref="E205:AJ205" si="126">VLOOKUP(E204,Carbon,3)*E200</f>
        <v>#DIV/0!</v>
      </c>
      <c r="F205" s="380" t="e">
        <f t="shared" si="126"/>
        <v>#DIV/0!</v>
      </c>
      <c r="G205" s="380" t="e">
        <f t="shared" si="126"/>
        <v>#DIV/0!</v>
      </c>
      <c r="H205" s="380" t="e">
        <f t="shared" si="126"/>
        <v>#DIV/0!</v>
      </c>
      <c r="I205" s="380" t="e">
        <f t="shared" si="126"/>
        <v>#DIV/0!</v>
      </c>
      <c r="J205" s="380" t="e">
        <f t="shared" si="126"/>
        <v>#DIV/0!</v>
      </c>
      <c r="K205" s="380" t="e">
        <f t="shared" si="126"/>
        <v>#DIV/0!</v>
      </c>
      <c r="L205" s="380" t="e">
        <f t="shared" si="126"/>
        <v>#DIV/0!</v>
      </c>
      <c r="M205" s="380" t="e">
        <f t="shared" si="126"/>
        <v>#DIV/0!</v>
      </c>
      <c r="N205" s="380" t="e">
        <f t="shared" si="126"/>
        <v>#DIV/0!</v>
      </c>
      <c r="O205" s="380" t="e">
        <f t="shared" si="126"/>
        <v>#DIV/0!</v>
      </c>
      <c r="P205" s="380" t="e">
        <f t="shared" si="126"/>
        <v>#DIV/0!</v>
      </c>
      <c r="Q205" s="380" t="e">
        <f t="shared" si="126"/>
        <v>#DIV/0!</v>
      </c>
      <c r="R205" s="380" t="e">
        <f t="shared" si="126"/>
        <v>#DIV/0!</v>
      </c>
      <c r="S205" s="380" t="e">
        <f t="shared" si="126"/>
        <v>#DIV/0!</v>
      </c>
      <c r="T205" s="380" t="e">
        <f t="shared" si="126"/>
        <v>#DIV/0!</v>
      </c>
      <c r="U205" s="380" t="e">
        <f t="shared" si="126"/>
        <v>#DIV/0!</v>
      </c>
      <c r="V205" s="380" t="e">
        <f t="shared" si="126"/>
        <v>#DIV/0!</v>
      </c>
      <c r="W205" s="380" t="e">
        <f t="shared" si="126"/>
        <v>#DIV/0!</v>
      </c>
      <c r="X205" s="380" t="e">
        <f t="shared" si="126"/>
        <v>#DIV/0!</v>
      </c>
      <c r="Y205" s="380" t="e">
        <f t="shared" si="126"/>
        <v>#DIV/0!</v>
      </c>
      <c r="Z205" s="380" t="e">
        <f t="shared" si="126"/>
        <v>#DIV/0!</v>
      </c>
      <c r="AA205" s="380" t="e">
        <f t="shared" si="126"/>
        <v>#DIV/0!</v>
      </c>
      <c r="AB205" s="380" t="e">
        <f t="shared" si="126"/>
        <v>#DIV/0!</v>
      </c>
      <c r="AC205" s="380" t="e">
        <f t="shared" si="126"/>
        <v>#DIV/0!</v>
      </c>
      <c r="AD205" s="380" t="e">
        <f t="shared" si="126"/>
        <v>#DIV/0!</v>
      </c>
      <c r="AE205" s="380" t="e">
        <f t="shared" si="126"/>
        <v>#DIV/0!</v>
      </c>
      <c r="AF205" s="380" t="e">
        <f t="shared" si="126"/>
        <v>#DIV/0!</v>
      </c>
      <c r="AG205" s="380" t="e">
        <f t="shared" si="126"/>
        <v>#DIV/0!</v>
      </c>
      <c r="AH205" s="380" t="e">
        <f t="shared" si="126"/>
        <v>#DIV/0!</v>
      </c>
      <c r="AI205" s="380" t="e">
        <f t="shared" si="126"/>
        <v>#DIV/0!</v>
      </c>
      <c r="AJ205" s="380" t="e">
        <f t="shared" si="126"/>
        <v>#DIV/0!</v>
      </c>
      <c r="AK205" s="380" t="e">
        <f t="shared" ref="AK205:BP205" si="127">VLOOKUP(AK204,Carbon,3)*AK200</f>
        <v>#DIV/0!</v>
      </c>
      <c r="AL205" s="380" t="e">
        <f t="shared" si="127"/>
        <v>#DIV/0!</v>
      </c>
      <c r="AM205" s="380" t="e">
        <f t="shared" si="127"/>
        <v>#DIV/0!</v>
      </c>
      <c r="AN205" s="380" t="e">
        <f t="shared" si="127"/>
        <v>#DIV/0!</v>
      </c>
      <c r="AO205" s="380" t="e">
        <f t="shared" si="127"/>
        <v>#DIV/0!</v>
      </c>
      <c r="AP205" s="380" t="e">
        <f t="shared" si="127"/>
        <v>#DIV/0!</v>
      </c>
      <c r="AQ205" s="380" t="e">
        <f t="shared" si="127"/>
        <v>#DIV/0!</v>
      </c>
      <c r="AR205" s="380" t="e">
        <f t="shared" si="127"/>
        <v>#DIV/0!</v>
      </c>
      <c r="AS205" s="380" t="e">
        <f t="shared" si="127"/>
        <v>#DIV/0!</v>
      </c>
      <c r="AT205" s="380" t="e">
        <f t="shared" si="127"/>
        <v>#DIV/0!</v>
      </c>
      <c r="AU205" s="380" t="e">
        <f t="shared" si="127"/>
        <v>#DIV/0!</v>
      </c>
      <c r="AV205" s="380" t="e">
        <f t="shared" si="127"/>
        <v>#DIV/0!</v>
      </c>
      <c r="AW205" s="380" t="e">
        <f t="shared" si="127"/>
        <v>#DIV/0!</v>
      </c>
      <c r="AX205" s="380" t="e">
        <f t="shared" si="127"/>
        <v>#DIV/0!</v>
      </c>
      <c r="AY205" s="380" t="e">
        <f t="shared" si="127"/>
        <v>#DIV/0!</v>
      </c>
      <c r="AZ205" s="380" t="e">
        <f t="shared" si="127"/>
        <v>#DIV/0!</v>
      </c>
      <c r="BA205" s="380" t="e">
        <f t="shared" si="127"/>
        <v>#DIV/0!</v>
      </c>
      <c r="BB205" s="380" t="e">
        <f t="shared" si="127"/>
        <v>#DIV/0!</v>
      </c>
      <c r="BC205" s="380" t="e">
        <f t="shared" si="127"/>
        <v>#DIV/0!</v>
      </c>
      <c r="BD205" s="380" t="e">
        <f t="shared" si="127"/>
        <v>#DIV/0!</v>
      </c>
      <c r="BE205" s="380" t="e">
        <f t="shared" si="127"/>
        <v>#DIV/0!</v>
      </c>
      <c r="BF205" s="380" t="e">
        <f t="shared" si="127"/>
        <v>#DIV/0!</v>
      </c>
      <c r="BG205" s="380" t="e">
        <f t="shared" si="127"/>
        <v>#DIV/0!</v>
      </c>
      <c r="BH205" s="380" t="e">
        <f t="shared" si="127"/>
        <v>#DIV/0!</v>
      </c>
      <c r="BI205" s="380" t="e">
        <f t="shared" si="127"/>
        <v>#DIV/0!</v>
      </c>
      <c r="BJ205" s="380" t="e">
        <f t="shared" si="127"/>
        <v>#DIV/0!</v>
      </c>
      <c r="BK205" s="380" t="e">
        <f t="shared" si="127"/>
        <v>#DIV/0!</v>
      </c>
      <c r="BL205" s="380" t="e">
        <f t="shared" si="127"/>
        <v>#DIV/0!</v>
      </c>
      <c r="BM205" s="380" t="e">
        <f t="shared" si="127"/>
        <v>#DIV/0!</v>
      </c>
      <c r="BN205" s="380" t="e">
        <f t="shared" si="127"/>
        <v>#DIV/0!</v>
      </c>
      <c r="BO205" s="380" t="e">
        <f t="shared" si="127"/>
        <v>#DIV/0!</v>
      </c>
      <c r="BP205" s="380" t="e">
        <f t="shared" si="127"/>
        <v>#DIV/0!</v>
      </c>
      <c r="BQ205" s="380" t="e">
        <f t="shared" ref="BQ205:CF205" si="128">VLOOKUP(BQ204,Carbon,3)*BQ200</f>
        <v>#DIV/0!</v>
      </c>
      <c r="BR205" s="380" t="e">
        <f t="shared" si="128"/>
        <v>#DIV/0!</v>
      </c>
      <c r="BS205" s="380" t="e">
        <f t="shared" si="128"/>
        <v>#DIV/0!</v>
      </c>
      <c r="BT205" s="380" t="e">
        <f t="shared" si="128"/>
        <v>#DIV/0!</v>
      </c>
      <c r="BU205" s="380" t="e">
        <f t="shared" si="128"/>
        <v>#DIV/0!</v>
      </c>
      <c r="BV205" s="380" t="e">
        <f t="shared" si="128"/>
        <v>#DIV/0!</v>
      </c>
      <c r="BW205" s="380" t="e">
        <f t="shared" si="128"/>
        <v>#DIV/0!</v>
      </c>
      <c r="BX205" s="380" t="e">
        <f t="shared" si="128"/>
        <v>#DIV/0!</v>
      </c>
      <c r="BY205" s="380" t="e">
        <f t="shared" si="128"/>
        <v>#DIV/0!</v>
      </c>
      <c r="BZ205" s="380" t="e">
        <f t="shared" si="128"/>
        <v>#DIV/0!</v>
      </c>
      <c r="CA205" s="380" t="e">
        <f t="shared" si="128"/>
        <v>#DIV/0!</v>
      </c>
      <c r="CB205" s="380" t="e">
        <f t="shared" si="128"/>
        <v>#DIV/0!</v>
      </c>
      <c r="CC205" s="380" t="e">
        <f t="shared" si="128"/>
        <v>#DIV/0!</v>
      </c>
      <c r="CD205" s="380" t="e">
        <f t="shared" si="128"/>
        <v>#DIV/0!</v>
      </c>
      <c r="CE205" s="380" t="e">
        <f t="shared" si="128"/>
        <v>#DIV/0!</v>
      </c>
      <c r="CF205" s="380" t="e">
        <f t="shared" si="128"/>
        <v>#DIV/0!</v>
      </c>
    </row>
    <row r="206" spans="3:84">
      <c r="C206" s="378"/>
      <c r="D206" s="380" t="s">
        <v>89</v>
      </c>
      <c r="E206" s="380" t="e">
        <f t="shared" ref="E206:AJ206" si="129">VLOOKUP(E204,Carbon,3,0)*E201</f>
        <v>#DIV/0!</v>
      </c>
      <c r="F206" s="380" t="e">
        <f t="shared" si="129"/>
        <v>#DIV/0!</v>
      </c>
      <c r="G206" s="380" t="e">
        <f t="shared" si="129"/>
        <v>#DIV/0!</v>
      </c>
      <c r="H206" s="380" t="e">
        <f t="shared" si="129"/>
        <v>#DIV/0!</v>
      </c>
      <c r="I206" s="380" t="e">
        <f t="shared" si="129"/>
        <v>#DIV/0!</v>
      </c>
      <c r="J206" s="380" t="e">
        <f t="shared" si="129"/>
        <v>#DIV/0!</v>
      </c>
      <c r="K206" s="380" t="e">
        <f t="shared" si="129"/>
        <v>#DIV/0!</v>
      </c>
      <c r="L206" s="380" t="e">
        <f t="shared" si="129"/>
        <v>#DIV/0!</v>
      </c>
      <c r="M206" s="380" t="e">
        <f t="shared" si="129"/>
        <v>#DIV/0!</v>
      </c>
      <c r="N206" s="380" t="e">
        <f t="shared" si="129"/>
        <v>#DIV/0!</v>
      </c>
      <c r="O206" s="380" t="e">
        <f t="shared" si="129"/>
        <v>#DIV/0!</v>
      </c>
      <c r="P206" s="380" t="e">
        <f t="shared" si="129"/>
        <v>#DIV/0!</v>
      </c>
      <c r="Q206" s="380" t="e">
        <f t="shared" si="129"/>
        <v>#DIV/0!</v>
      </c>
      <c r="R206" s="380" t="e">
        <f t="shared" si="129"/>
        <v>#DIV/0!</v>
      </c>
      <c r="S206" s="380" t="e">
        <f t="shared" si="129"/>
        <v>#DIV/0!</v>
      </c>
      <c r="T206" s="380" t="e">
        <f t="shared" si="129"/>
        <v>#DIV/0!</v>
      </c>
      <c r="U206" s="380" t="e">
        <f t="shared" si="129"/>
        <v>#DIV/0!</v>
      </c>
      <c r="V206" s="380" t="e">
        <f t="shared" si="129"/>
        <v>#DIV/0!</v>
      </c>
      <c r="W206" s="380" t="e">
        <f t="shared" si="129"/>
        <v>#DIV/0!</v>
      </c>
      <c r="X206" s="380" t="e">
        <f t="shared" si="129"/>
        <v>#DIV/0!</v>
      </c>
      <c r="Y206" s="380" t="e">
        <f t="shared" si="129"/>
        <v>#DIV/0!</v>
      </c>
      <c r="Z206" s="380" t="e">
        <f t="shared" si="129"/>
        <v>#DIV/0!</v>
      </c>
      <c r="AA206" s="380" t="e">
        <f t="shared" si="129"/>
        <v>#DIV/0!</v>
      </c>
      <c r="AB206" s="380" t="e">
        <f t="shared" si="129"/>
        <v>#DIV/0!</v>
      </c>
      <c r="AC206" s="380" t="e">
        <f t="shared" si="129"/>
        <v>#DIV/0!</v>
      </c>
      <c r="AD206" s="380" t="e">
        <f t="shared" si="129"/>
        <v>#DIV/0!</v>
      </c>
      <c r="AE206" s="380" t="e">
        <f t="shared" si="129"/>
        <v>#DIV/0!</v>
      </c>
      <c r="AF206" s="380" t="e">
        <f t="shared" si="129"/>
        <v>#DIV/0!</v>
      </c>
      <c r="AG206" s="380" t="e">
        <f t="shared" si="129"/>
        <v>#DIV/0!</v>
      </c>
      <c r="AH206" s="380" t="e">
        <f t="shared" si="129"/>
        <v>#DIV/0!</v>
      </c>
      <c r="AI206" s="380" t="e">
        <f t="shared" si="129"/>
        <v>#DIV/0!</v>
      </c>
      <c r="AJ206" s="380" t="e">
        <f t="shared" si="129"/>
        <v>#DIV/0!</v>
      </c>
      <c r="AK206" s="380" t="e">
        <f t="shared" ref="AK206:BP206" si="130">VLOOKUP(AK204,Carbon,3,0)*AK201</f>
        <v>#DIV/0!</v>
      </c>
      <c r="AL206" s="380" t="e">
        <f t="shared" si="130"/>
        <v>#DIV/0!</v>
      </c>
      <c r="AM206" s="380" t="e">
        <f t="shared" si="130"/>
        <v>#DIV/0!</v>
      </c>
      <c r="AN206" s="380" t="e">
        <f t="shared" si="130"/>
        <v>#DIV/0!</v>
      </c>
      <c r="AO206" s="380" t="e">
        <f t="shared" si="130"/>
        <v>#DIV/0!</v>
      </c>
      <c r="AP206" s="380" t="e">
        <f t="shared" si="130"/>
        <v>#DIV/0!</v>
      </c>
      <c r="AQ206" s="380" t="e">
        <f t="shared" si="130"/>
        <v>#DIV/0!</v>
      </c>
      <c r="AR206" s="380" t="e">
        <f t="shared" si="130"/>
        <v>#DIV/0!</v>
      </c>
      <c r="AS206" s="380" t="e">
        <f t="shared" si="130"/>
        <v>#DIV/0!</v>
      </c>
      <c r="AT206" s="380" t="e">
        <f t="shared" si="130"/>
        <v>#DIV/0!</v>
      </c>
      <c r="AU206" s="380" t="e">
        <f t="shared" si="130"/>
        <v>#DIV/0!</v>
      </c>
      <c r="AV206" s="380" t="e">
        <f t="shared" si="130"/>
        <v>#DIV/0!</v>
      </c>
      <c r="AW206" s="380" t="e">
        <f t="shared" si="130"/>
        <v>#DIV/0!</v>
      </c>
      <c r="AX206" s="380" t="e">
        <f t="shared" si="130"/>
        <v>#DIV/0!</v>
      </c>
      <c r="AY206" s="380" t="e">
        <f t="shared" si="130"/>
        <v>#DIV/0!</v>
      </c>
      <c r="AZ206" s="380" t="e">
        <f t="shared" si="130"/>
        <v>#DIV/0!</v>
      </c>
      <c r="BA206" s="380" t="e">
        <f t="shared" si="130"/>
        <v>#DIV/0!</v>
      </c>
      <c r="BB206" s="380" t="e">
        <f t="shared" si="130"/>
        <v>#DIV/0!</v>
      </c>
      <c r="BC206" s="380" t="e">
        <f t="shared" si="130"/>
        <v>#DIV/0!</v>
      </c>
      <c r="BD206" s="380" t="e">
        <f t="shared" si="130"/>
        <v>#DIV/0!</v>
      </c>
      <c r="BE206" s="380" t="e">
        <f t="shared" si="130"/>
        <v>#DIV/0!</v>
      </c>
      <c r="BF206" s="380" t="e">
        <f t="shared" si="130"/>
        <v>#DIV/0!</v>
      </c>
      <c r="BG206" s="380" t="e">
        <f t="shared" si="130"/>
        <v>#DIV/0!</v>
      </c>
      <c r="BH206" s="380" t="e">
        <f t="shared" si="130"/>
        <v>#DIV/0!</v>
      </c>
      <c r="BI206" s="380" t="e">
        <f t="shared" si="130"/>
        <v>#DIV/0!</v>
      </c>
      <c r="BJ206" s="380" t="e">
        <f t="shared" si="130"/>
        <v>#DIV/0!</v>
      </c>
      <c r="BK206" s="380" t="e">
        <f t="shared" si="130"/>
        <v>#DIV/0!</v>
      </c>
      <c r="BL206" s="380" t="e">
        <f t="shared" si="130"/>
        <v>#DIV/0!</v>
      </c>
      <c r="BM206" s="380" t="e">
        <f t="shared" si="130"/>
        <v>#DIV/0!</v>
      </c>
      <c r="BN206" s="380" t="e">
        <f t="shared" si="130"/>
        <v>#DIV/0!</v>
      </c>
      <c r="BO206" s="380" t="e">
        <f t="shared" si="130"/>
        <v>#DIV/0!</v>
      </c>
      <c r="BP206" s="380" t="e">
        <f t="shared" si="130"/>
        <v>#DIV/0!</v>
      </c>
      <c r="BQ206" s="380" t="e">
        <f t="shared" ref="BQ206:CF206" si="131">VLOOKUP(BQ204,Carbon,3,0)*BQ201</f>
        <v>#DIV/0!</v>
      </c>
      <c r="BR206" s="380" t="e">
        <f t="shared" si="131"/>
        <v>#DIV/0!</v>
      </c>
      <c r="BS206" s="380" t="e">
        <f t="shared" si="131"/>
        <v>#DIV/0!</v>
      </c>
      <c r="BT206" s="380" t="e">
        <f t="shared" si="131"/>
        <v>#DIV/0!</v>
      </c>
      <c r="BU206" s="380" t="e">
        <f t="shared" si="131"/>
        <v>#DIV/0!</v>
      </c>
      <c r="BV206" s="380" t="e">
        <f t="shared" si="131"/>
        <v>#DIV/0!</v>
      </c>
      <c r="BW206" s="380" t="e">
        <f t="shared" si="131"/>
        <v>#DIV/0!</v>
      </c>
      <c r="BX206" s="380" t="e">
        <f t="shared" si="131"/>
        <v>#DIV/0!</v>
      </c>
      <c r="BY206" s="380" t="e">
        <f t="shared" si="131"/>
        <v>#DIV/0!</v>
      </c>
      <c r="BZ206" s="380" t="e">
        <f t="shared" si="131"/>
        <v>#DIV/0!</v>
      </c>
      <c r="CA206" s="380" t="e">
        <f t="shared" si="131"/>
        <v>#DIV/0!</v>
      </c>
      <c r="CB206" s="380" t="e">
        <f t="shared" si="131"/>
        <v>#DIV/0!</v>
      </c>
      <c r="CC206" s="380" t="e">
        <f t="shared" si="131"/>
        <v>#DIV/0!</v>
      </c>
      <c r="CD206" s="380" t="e">
        <f t="shared" si="131"/>
        <v>#DIV/0!</v>
      </c>
      <c r="CE206" s="380" t="e">
        <f t="shared" si="131"/>
        <v>#DIV/0!</v>
      </c>
      <c r="CF206" s="380" t="e">
        <f t="shared" si="131"/>
        <v>#DIV/0!</v>
      </c>
    </row>
    <row r="207" spans="3:84">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c r="AF207" s="360"/>
      <c r="AG207" s="360"/>
      <c r="AH207" s="360"/>
      <c r="AI207" s="360"/>
      <c r="AJ207" s="360"/>
      <c r="AK207" s="360"/>
      <c r="AL207" s="360"/>
      <c r="AM207" s="360"/>
      <c r="AN207" s="360"/>
      <c r="AO207" s="360"/>
      <c r="AP207" s="360"/>
      <c r="AQ207" s="360"/>
      <c r="AR207" s="360"/>
      <c r="AS207" s="360"/>
      <c r="AT207" s="360"/>
      <c r="AU207" s="360"/>
      <c r="AV207" s="360"/>
      <c r="AW207" s="360"/>
      <c r="AX207" s="360"/>
      <c r="AY207" s="360"/>
      <c r="AZ207" s="360"/>
      <c r="BA207" s="360"/>
      <c r="BB207" s="360"/>
      <c r="BC207" s="360"/>
      <c r="BD207" s="360"/>
      <c r="BE207" s="360"/>
      <c r="BF207" s="360"/>
      <c r="BG207" s="360"/>
      <c r="BH207" s="360"/>
      <c r="BI207" s="360"/>
      <c r="BJ207" s="360"/>
      <c r="BK207" s="360"/>
      <c r="BL207" s="360"/>
      <c r="BM207" s="360"/>
      <c r="BN207" s="360"/>
      <c r="BO207" s="360"/>
      <c r="BP207" s="360"/>
      <c r="BQ207" s="360"/>
      <c r="BR207" s="360"/>
      <c r="BS207" s="360"/>
      <c r="BT207" s="360"/>
      <c r="BU207" s="360"/>
      <c r="BV207" s="360"/>
      <c r="BW207" s="360"/>
      <c r="BX207" s="360"/>
      <c r="BY207" s="360"/>
      <c r="BZ207" s="360"/>
      <c r="CA207" s="360"/>
      <c r="CB207" s="360"/>
      <c r="CC207" s="360"/>
      <c r="CD207" s="360"/>
      <c r="CE207" s="360"/>
      <c r="CF207" s="360"/>
    </row>
    <row r="208" spans="3:84">
      <c r="C208" s="360" t="s">
        <v>287</v>
      </c>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c r="AF208" s="360"/>
      <c r="AG208" s="360"/>
      <c r="AH208" s="360"/>
      <c r="AI208" s="360"/>
      <c r="AJ208" s="360"/>
      <c r="AK208" s="360"/>
      <c r="AL208" s="360"/>
      <c r="AM208" s="360"/>
      <c r="AN208" s="360"/>
      <c r="AO208" s="360"/>
      <c r="AP208" s="360"/>
      <c r="AQ208" s="360"/>
      <c r="AR208" s="360"/>
      <c r="AS208" s="360"/>
      <c r="AT208" s="360"/>
      <c r="AU208" s="360"/>
      <c r="AV208" s="360"/>
      <c r="AW208" s="360"/>
      <c r="AX208" s="360"/>
      <c r="AY208" s="360"/>
      <c r="AZ208" s="360"/>
      <c r="BA208" s="360"/>
      <c r="BB208" s="360"/>
      <c r="BC208" s="360"/>
      <c r="BD208" s="360"/>
      <c r="BE208" s="360"/>
      <c r="BF208" s="360"/>
      <c r="BG208" s="360"/>
      <c r="BH208" s="360"/>
      <c r="BI208" s="360"/>
      <c r="BJ208" s="360"/>
      <c r="BK208" s="360"/>
      <c r="BL208" s="360"/>
      <c r="BM208" s="360"/>
      <c r="BN208" s="360"/>
      <c r="BO208" s="360"/>
      <c r="BP208" s="360"/>
      <c r="BQ208" s="360"/>
      <c r="BR208" s="360"/>
      <c r="BS208" s="360"/>
      <c r="BT208" s="360"/>
      <c r="BU208" s="360"/>
      <c r="BV208" s="360"/>
      <c r="BW208" s="360"/>
      <c r="BX208" s="360"/>
      <c r="BY208" s="360"/>
      <c r="BZ208" s="360"/>
      <c r="CA208" s="360"/>
      <c r="CB208" s="360"/>
      <c r="CC208" s="360"/>
      <c r="CD208" s="360"/>
      <c r="CE208" s="360"/>
      <c r="CF208" s="360"/>
    </row>
    <row r="209" spans="1:84">
      <c r="D209" s="728"/>
      <c r="E209" s="728">
        <v>2010</v>
      </c>
      <c r="F209" s="728">
        <v>2011</v>
      </c>
      <c r="G209" s="728">
        <v>2012</v>
      </c>
      <c r="H209" s="728">
        <v>2013</v>
      </c>
      <c r="I209" s="728">
        <v>2014</v>
      </c>
      <c r="J209" s="728">
        <v>2015</v>
      </c>
      <c r="K209" s="728">
        <v>2016</v>
      </c>
      <c r="L209" s="728">
        <v>2017</v>
      </c>
      <c r="M209" s="728">
        <v>2018</v>
      </c>
      <c r="N209" s="728">
        <v>2019</v>
      </c>
      <c r="O209" s="728">
        <v>2020</v>
      </c>
      <c r="P209" s="728">
        <v>2021</v>
      </c>
      <c r="Q209" s="728">
        <v>2022</v>
      </c>
      <c r="R209" s="728">
        <v>2023</v>
      </c>
      <c r="S209" s="728">
        <v>2024</v>
      </c>
      <c r="T209" s="728">
        <v>2025</v>
      </c>
      <c r="U209" s="728">
        <v>2026</v>
      </c>
      <c r="V209" s="728">
        <v>2027</v>
      </c>
      <c r="W209" s="728">
        <v>2028</v>
      </c>
      <c r="X209" s="728">
        <v>2029</v>
      </c>
      <c r="Y209" s="728">
        <v>2030</v>
      </c>
      <c r="Z209" s="728">
        <v>2031</v>
      </c>
      <c r="AA209" s="728">
        <v>2032</v>
      </c>
      <c r="AB209" s="728">
        <v>2033</v>
      </c>
      <c r="AC209" s="728">
        <v>2034</v>
      </c>
      <c r="AD209" s="728">
        <v>2035</v>
      </c>
      <c r="AE209" s="728">
        <v>2036</v>
      </c>
      <c r="AF209" s="728">
        <v>2037</v>
      </c>
      <c r="AG209" s="728">
        <v>2038</v>
      </c>
      <c r="AH209" s="728">
        <v>2039</v>
      </c>
      <c r="AI209" s="728">
        <v>2040</v>
      </c>
      <c r="AJ209" s="728">
        <v>2041</v>
      </c>
      <c r="AK209" s="728">
        <v>2042</v>
      </c>
      <c r="AL209" s="728">
        <v>2043</v>
      </c>
      <c r="AM209" s="728">
        <v>2044</v>
      </c>
      <c r="AN209" s="728">
        <v>2045</v>
      </c>
      <c r="AO209" s="728">
        <v>2046</v>
      </c>
      <c r="AP209" s="728">
        <v>2047</v>
      </c>
      <c r="AQ209" s="728">
        <v>2048</v>
      </c>
      <c r="AR209" s="728">
        <v>2049</v>
      </c>
      <c r="AS209" s="728">
        <v>2050</v>
      </c>
      <c r="AT209" s="728">
        <v>2051</v>
      </c>
      <c r="AU209" s="728">
        <v>2052</v>
      </c>
      <c r="AV209" s="728">
        <v>2053</v>
      </c>
      <c r="AW209" s="728">
        <v>2054</v>
      </c>
      <c r="AX209" s="728">
        <v>2055</v>
      </c>
      <c r="AY209" s="728">
        <v>2056</v>
      </c>
      <c r="AZ209" s="728">
        <v>2057</v>
      </c>
      <c r="BA209" s="728">
        <v>2058</v>
      </c>
      <c r="BB209" s="728">
        <v>2059</v>
      </c>
      <c r="BC209" s="728">
        <v>2060</v>
      </c>
      <c r="BD209" s="728">
        <v>2061</v>
      </c>
      <c r="BE209" s="728">
        <v>2062</v>
      </c>
      <c r="BF209" s="728">
        <v>2063</v>
      </c>
      <c r="BG209" s="728">
        <v>2064</v>
      </c>
      <c r="BH209" s="728">
        <v>2065</v>
      </c>
      <c r="BI209" s="728">
        <v>2066</v>
      </c>
      <c r="BJ209" s="728">
        <v>2067</v>
      </c>
      <c r="BK209" s="728">
        <v>2068</v>
      </c>
      <c r="BL209" s="728">
        <v>2069</v>
      </c>
      <c r="BM209" s="728">
        <v>2070</v>
      </c>
      <c r="BN209" s="728">
        <v>2071</v>
      </c>
      <c r="BO209" s="728">
        <v>2072</v>
      </c>
      <c r="BP209" s="728">
        <v>2073</v>
      </c>
      <c r="BQ209" s="728">
        <v>2074</v>
      </c>
      <c r="BR209" s="728">
        <v>2075</v>
      </c>
      <c r="BS209" s="728">
        <v>2076</v>
      </c>
      <c r="BT209" s="728">
        <v>2077</v>
      </c>
      <c r="BU209" s="728">
        <v>2078</v>
      </c>
      <c r="BV209" s="728">
        <v>2079</v>
      </c>
      <c r="BW209" s="728">
        <v>2080</v>
      </c>
      <c r="BX209" s="728">
        <v>2081</v>
      </c>
      <c r="BY209" s="728">
        <v>2082</v>
      </c>
      <c r="BZ209" s="728">
        <v>2083</v>
      </c>
      <c r="CA209" s="728">
        <v>2084</v>
      </c>
      <c r="CB209" s="728">
        <v>2085</v>
      </c>
      <c r="CC209" s="728">
        <v>2086</v>
      </c>
      <c r="CD209" s="728">
        <v>2087</v>
      </c>
      <c r="CE209" s="728">
        <v>2088</v>
      </c>
      <c r="CF209" s="728">
        <v>2089</v>
      </c>
    </row>
    <row r="210" spans="1:84">
      <c r="A210" s="378"/>
      <c r="B210" s="378"/>
      <c r="C210" s="378"/>
      <c r="D210" s="380" t="s">
        <v>87</v>
      </c>
      <c r="E210" s="380">
        <f t="shared" ref="E210:AD210" si="132">VLOOKUP(E$209,Fuel_proportion,4,0)</f>
        <v>0.4</v>
      </c>
      <c r="F210" s="380">
        <f t="shared" si="132"/>
        <v>0.42</v>
      </c>
      <c r="G210" s="380">
        <f t="shared" si="132"/>
        <v>0.45</v>
      </c>
      <c r="H210" s="380">
        <f t="shared" si="132"/>
        <v>0.47</v>
      </c>
      <c r="I210" s="380">
        <f t="shared" si="132"/>
        <v>0.48</v>
      </c>
      <c r="J210" s="380">
        <f t="shared" si="132"/>
        <v>0.5</v>
      </c>
      <c r="K210" s="380">
        <f t="shared" si="132"/>
        <v>0.51</v>
      </c>
      <c r="L210" s="380">
        <f t="shared" si="132"/>
        <v>0.52</v>
      </c>
      <c r="M210" s="380">
        <f t="shared" si="132"/>
        <v>0.51</v>
      </c>
      <c r="N210" s="380">
        <f t="shared" si="132"/>
        <v>0.5</v>
      </c>
      <c r="O210" s="380">
        <f t="shared" si="132"/>
        <v>0.49</v>
      </c>
      <c r="P210" s="380">
        <f t="shared" si="132"/>
        <v>0.48</v>
      </c>
      <c r="Q210" s="380">
        <f t="shared" si="132"/>
        <v>0.46</v>
      </c>
      <c r="R210" s="380">
        <f t="shared" si="132"/>
        <v>0.45</v>
      </c>
      <c r="S210" s="380">
        <f t="shared" si="132"/>
        <v>0.43</v>
      </c>
      <c r="T210" s="380">
        <f t="shared" si="132"/>
        <v>0.41</v>
      </c>
      <c r="U210" s="380">
        <f t="shared" si="132"/>
        <v>0.39</v>
      </c>
      <c r="V210" s="380">
        <f t="shared" si="132"/>
        <v>0.38</v>
      </c>
      <c r="W210" s="380">
        <f t="shared" si="132"/>
        <v>0.36</v>
      </c>
      <c r="X210" s="380">
        <f t="shared" si="132"/>
        <v>0.34</v>
      </c>
      <c r="Y210" s="380">
        <f t="shared" si="132"/>
        <v>0.32</v>
      </c>
      <c r="Z210" s="380">
        <f t="shared" si="132"/>
        <v>0.31</v>
      </c>
      <c r="AA210" s="380">
        <f t="shared" si="132"/>
        <v>0.28999999999999998</v>
      </c>
      <c r="AB210" s="380">
        <f t="shared" si="132"/>
        <v>0.28000000000000003</v>
      </c>
      <c r="AC210" s="380">
        <f t="shared" si="132"/>
        <v>0.27</v>
      </c>
      <c r="AD210" s="380">
        <f t="shared" si="132"/>
        <v>0.26</v>
      </c>
      <c r="AE210" s="380">
        <f>AD210</f>
        <v>0.26</v>
      </c>
      <c r="AF210" s="380">
        <f t="shared" ref="AF210:CF210" si="133">AE210</f>
        <v>0.26</v>
      </c>
      <c r="AG210" s="380">
        <f t="shared" si="133"/>
        <v>0.26</v>
      </c>
      <c r="AH210" s="380">
        <f t="shared" si="133"/>
        <v>0.26</v>
      </c>
      <c r="AI210" s="380">
        <f t="shared" si="133"/>
        <v>0.26</v>
      </c>
      <c r="AJ210" s="380">
        <f t="shared" si="133"/>
        <v>0.26</v>
      </c>
      <c r="AK210" s="380">
        <f t="shared" si="133"/>
        <v>0.26</v>
      </c>
      <c r="AL210" s="380">
        <f t="shared" si="133"/>
        <v>0.26</v>
      </c>
      <c r="AM210" s="380">
        <f t="shared" si="133"/>
        <v>0.26</v>
      </c>
      <c r="AN210" s="380">
        <f t="shared" si="133"/>
        <v>0.26</v>
      </c>
      <c r="AO210" s="380">
        <f t="shared" si="133"/>
        <v>0.26</v>
      </c>
      <c r="AP210" s="380">
        <f t="shared" si="133"/>
        <v>0.26</v>
      </c>
      <c r="AQ210" s="380">
        <f t="shared" si="133"/>
        <v>0.26</v>
      </c>
      <c r="AR210" s="380">
        <f t="shared" si="133"/>
        <v>0.26</v>
      </c>
      <c r="AS210" s="380">
        <f t="shared" si="133"/>
        <v>0.26</v>
      </c>
      <c r="AT210" s="380">
        <f t="shared" si="133"/>
        <v>0.26</v>
      </c>
      <c r="AU210" s="380">
        <f t="shared" si="133"/>
        <v>0.26</v>
      </c>
      <c r="AV210" s="380">
        <f t="shared" si="133"/>
        <v>0.26</v>
      </c>
      <c r="AW210" s="380">
        <f t="shared" si="133"/>
        <v>0.26</v>
      </c>
      <c r="AX210" s="380">
        <f t="shared" si="133"/>
        <v>0.26</v>
      </c>
      <c r="AY210" s="380">
        <f t="shared" si="133"/>
        <v>0.26</v>
      </c>
      <c r="AZ210" s="380">
        <f t="shared" si="133"/>
        <v>0.26</v>
      </c>
      <c r="BA210" s="380">
        <f t="shared" si="133"/>
        <v>0.26</v>
      </c>
      <c r="BB210" s="380">
        <f t="shared" si="133"/>
        <v>0.26</v>
      </c>
      <c r="BC210" s="380">
        <f t="shared" si="133"/>
        <v>0.26</v>
      </c>
      <c r="BD210" s="380">
        <f t="shared" si="133"/>
        <v>0.26</v>
      </c>
      <c r="BE210" s="380">
        <f t="shared" si="133"/>
        <v>0.26</v>
      </c>
      <c r="BF210" s="380">
        <f t="shared" si="133"/>
        <v>0.26</v>
      </c>
      <c r="BG210" s="380">
        <f t="shared" si="133"/>
        <v>0.26</v>
      </c>
      <c r="BH210" s="380">
        <f t="shared" si="133"/>
        <v>0.26</v>
      </c>
      <c r="BI210" s="380">
        <f t="shared" si="133"/>
        <v>0.26</v>
      </c>
      <c r="BJ210" s="380">
        <f t="shared" si="133"/>
        <v>0.26</v>
      </c>
      <c r="BK210" s="380">
        <f t="shared" si="133"/>
        <v>0.26</v>
      </c>
      <c r="BL210" s="380">
        <f t="shared" si="133"/>
        <v>0.26</v>
      </c>
      <c r="BM210" s="380">
        <f t="shared" si="133"/>
        <v>0.26</v>
      </c>
      <c r="BN210" s="380">
        <f t="shared" si="133"/>
        <v>0.26</v>
      </c>
      <c r="BO210" s="380">
        <f t="shared" si="133"/>
        <v>0.26</v>
      </c>
      <c r="BP210" s="380">
        <f t="shared" si="133"/>
        <v>0.26</v>
      </c>
      <c r="BQ210" s="380">
        <f t="shared" si="133"/>
        <v>0.26</v>
      </c>
      <c r="BR210" s="380">
        <f t="shared" si="133"/>
        <v>0.26</v>
      </c>
      <c r="BS210" s="380">
        <f t="shared" si="133"/>
        <v>0.26</v>
      </c>
      <c r="BT210" s="380">
        <f t="shared" si="133"/>
        <v>0.26</v>
      </c>
      <c r="BU210" s="380">
        <f t="shared" si="133"/>
        <v>0.26</v>
      </c>
      <c r="BV210" s="380">
        <f t="shared" si="133"/>
        <v>0.26</v>
      </c>
      <c r="BW210" s="380">
        <f t="shared" si="133"/>
        <v>0.26</v>
      </c>
      <c r="BX210" s="380">
        <f t="shared" si="133"/>
        <v>0.26</v>
      </c>
      <c r="BY210" s="380">
        <f t="shared" si="133"/>
        <v>0.26</v>
      </c>
      <c r="BZ210" s="380">
        <f t="shared" si="133"/>
        <v>0.26</v>
      </c>
      <c r="CA210" s="380">
        <f t="shared" si="133"/>
        <v>0.26</v>
      </c>
      <c r="CB210" s="380">
        <f t="shared" si="133"/>
        <v>0.26</v>
      </c>
      <c r="CC210" s="380">
        <f t="shared" si="133"/>
        <v>0.26</v>
      </c>
      <c r="CD210" s="380">
        <f t="shared" si="133"/>
        <v>0.26</v>
      </c>
      <c r="CE210" s="380">
        <f t="shared" si="133"/>
        <v>0.26</v>
      </c>
      <c r="CF210" s="380">
        <f t="shared" si="133"/>
        <v>0.26</v>
      </c>
    </row>
    <row r="211" spans="1:84">
      <c r="A211" s="378"/>
      <c r="B211" s="378"/>
      <c r="C211" s="378"/>
      <c r="D211" s="380" t="s">
        <v>89</v>
      </c>
      <c r="E211" s="380">
        <f t="shared" ref="E211:AD211" si="134">VLOOKUP(E$209,Fuel_proportion,7,0)</f>
        <v>0.96</v>
      </c>
      <c r="F211" s="380">
        <f t="shared" si="134"/>
        <v>0.97</v>
      </c>
      <c r="G211" s="380">
        <f t="shared" si="134"/>
        <v>0.97</v>
      </c>
      <c r="H211" s="380">
        <f t="shared" si="134"/>
        <v>0.97</v>
      </c>
      <c r="I211" s="380">
        <f t="shared" si="134"/>
        <v>0.97</v>
      </c>
      <c r="J211" s="380">
        <f t="shared" si="134"/>
        <v>0.98</v>
      </c>
      <c r="K211" s="380">
        <f t="shared" si="134"/>
        <v>0.98</v>
      </c>
      <c r="L211" s="380">
        <f t="shared" si="134"/>
        <v>0.98</v>
      </c>
      <c r="M211" s="380">
        <f t="shared" si="134"/>
        <v>0.98</v>
      </c>
      <c r="N211" s="380">
        <f t="shared" si="134"/>
        <v>0.98</v>
      </c>
      <c r="O211" s="380">
        <f t="shared" si="134"/>
        <v>0.98</v>
      </c>
      <c r="P211" s="380">
        <f t="shared" si="134"/>
        <v>0.98</v>
      </c>
      <c r="Q211" s="380">
        <f t="shared" si="134"/>
        <v>0.98</v>
      </c>
      <c r="R211" s="380">
        <f t="shared" si="134"/>
        <v>0.97</v>
      </c>
      <c r="S211" s="380">
        <f t="shared" si="134"/>
        <v>0.97</v>
      </c>
      <c r="T211" s="380">
        <f t="shared" si="134"/>
        <v>0.97</v>
      </c>
      <c r="U211" s="380">
        <f t="shared" si="134"/>
        <v>0.96</v>
      </c>
      <c r="V211" s="380">
        <f t="shared" si="134"/>
        <v>0.96</v>
      </c>
      <c r="W211" s="380">
        <f t="shared" si="134"/>
        <v>0.95</v>
      </c>
      <c r="X211" s="380">
        <f t="shared" si="134"/>
        <v>0.94</v>
      </c>
      <c r="Y211" s="380">
        <f t="shared" si="134"/>
        <v>0.94</v>
      </c>
      <c r="Z211" s="380">
        <f t="shared" si="134"/>
        <v>0.93</v>
      </c>
      <c r="AA211" s="380">
        <f t="shared" si="134"/>
        <v>0.92</v>
      </c>
      <c r="AB211" s="380">
        <f t="shared" si="134"/>
        <v>0.91</v>
      </c>
      <c r="AC211" s="380">
        <f t="shared" si="134"/>
        <v>0.9</v>
      </c>
      <c r="AD211" s="380">
        <f t="shared" si="134"/>
        <v>0.89</v>
      </c>
      <c r="AE211" s="380">
        <f>AD211</f>
        <v>0.89</v>
      </c>
      <c r="AF211" s="380">
        <f t="shared" ref="AF211:CF211" si="135">AE211</f>
        <v>0.89</v>
      </c>
      <c r="AG211" s="380">
        <f t="shared" si="135"/>
        <v>0.89</v>
      </c>
      <c r="AH211" s="380">
        <f t="shared" si="135"/>
        <v>0.89</v>
      </c>
      <c r="AI211" s="380">
        <f t="shared" si="135"/>
        <v>0.89</v>
      </c>
      <c r="AJ211" s="380">
        <f t="shared" si="135"/>
        <v>0.89</v>
      </c>
      <c r="AK211" s="380">
        <f t="shared" si="135"/>
        <v>0.89</v>
      </c>
      <c r="AL211" s="380">
        <f t="shared" si="135"/>
        <v>0.89</v>
      </c>
      <c r="AM211" s="380">
        <f t="shared" si="135"/>
        <v>0.89</v>
      </c>
      <c r="AN211" s="380">
        <f t="shared" si="135"/>
        <v>0.89</v>
      </c>
      <c r="AO211" s="380">
        <f t="shared" si="135"/>
        <v>0.89</v>
      </c>
      <c r="AP211" s="380">
        <f t="shared" si="135"/>
        <v>0.89</v>
      </c>
      <c r="AQ211" s="380">
        <f t="shared" si="135"/>
        <v>0.89</v>
      </c>
      <c r="AR211" s="380">
        <f t="shared" si="135"/>
        <v>0.89</v>
      </c>
      <c r="AS211" s="380">
        <f t="shared" si="135"/>
        <v>0.89</v>
      </c>
      <c r="AT211" s="380">
        <f t="shared" si="135"/>
        <v>0.89</v>
      </c>
      <c r="AU211" s="380">
        <f t="shared" si="135"/>
        <v>0.89</v>
      </c>
      <c r="AV211" s="380">
        <f t="shared" si="135"/>
        <v>0.89</v>
      </c>
      <c r="AW211" s="380">
        <f t="shared" si="135"/>
        <v>0.89</v>
      </c>
      <c r="AX211" s="380">
        <f t="shared" si="135"/>
        <v>0.89</v>
      </c>
      <c r="AY211" s="380">
        <f t="shared" si="135"/>
        <v>0.89</v>
      </c>
      <c r="AZ211" s="380">
        <f t="shared" si="135"/>
        <v>0.89</v>
      </c>
      <c r="BA211" s="380">
        <f t="shared" si="135"/>
        <v>0.89</v>
      </c>
      <c r="BB211" s="380">
        <f t="shared" si="135"/>
        <v>0.89</v>
      </c>
      <c r="BC211" s="380">
        <f t="shared" si="135"/>
        <v>0.89</v>
      </c>
      <c r="BD211" s="380">
        <f t="shared" si="135"/>
        <v>0.89</v>
      </c>
      <c r="BE211" s="380">
        <f t="shared" si="135"/>
        <v>0.89</v>
      </c>
      <c r="BF211" s="380">
        <f t="shared" si="135"/>
        <v>0.89</v>
      </c>
      <c r="BG211" s="380">
        <f t="shared" si="135"/>
        <v>0.89</v>
      </c>
      <c r="BH211" s="380">
        <f t="shared" si="135"/>
        <v>0.89</v>
      </c>
      <c r="BI211" s="380">
        <f t="shared" si="135"/>
        <v>0.89</v>
      </c>
      <c r="BJ211" s="380">
        <f t="shared" si="135"/>
        <v>0.89</v>
      </c>
      <c r="BK211" s="380">
        <f t="shared" si="135"/>
        <v>0.89</v>
      </c>
      <c r="BL211" s="380">
        <f t="shared" si="135"/>
        <v>0.89</v>
      </c>
      <c r="BM211" s="380">
        <f t="shared" si="135"/>
        <v>0.89</v>
      </c>
      <c r="BN211" s="380">
        <f t="shared" si="135"/>
        <v>0.89</v>
      </c>
      <c r="BO211" s="380">
        <f t="shared" si="135"/>
        <v>0.89</v>
      </c>
      <c r="BP211" s="380">
        <f t="shared" si="135"/>
        <v>0.89</v>
      </c>
      <c r="BQ211" s="380">
        <f t="shared" si="135"/>
        <v>0.89</v>
      </c>
      <c r="BR211" s="380">
        <f t="shared" si="135"/>
        <v>0.89</v>
      </c>
      <c r="BS211" s="380">
        <f t="shared" si="135"/>
        <v>0.89</v>
      </c>
      <c r="BT211" s="380">
        <f t="shared" si="135"/>
        <v>0.89</v>
      </c>
      <c r="BU211" s="380">
        <f t="shared" si="135"/>
        <v>0.89</v>
      </c>
      <c r="BV211" s="380">
        <f t="shared" si="135"/>
        <v>0.89</v>
      </c>
      <c r="BW211" s="380">
        <f t="shared" si="135"/>
        <v>0.89</v>
      </c>
      <c r="BX211" s="380">
        <f t="shared" si="135"/>
        <v>0.89</v>
      </c>
      <c r="BY211" s="380">
        <f t="shared" si="135"/>
        <v>0.89</v>
      </c>
      <c r="BZ211" s="380">
        <f t="shared" si="135"/>
        <v>0.89</v>
      </c>
      <c r="CA211" s="380">
        <f t="shared" si="135"/>
        <v>0.89</v>
      </c>
      <c r="CB211" s="380">
        <f t="shared" si="135"/>
        <v>0.89</v>
      </c>
      <c r="CC211" s="380">
        <f t="shared" si="135"/>
        <v>0.89</v>
      </c>
      <c r="CD211" s="380">
        <f t="shared" si="135"/>
        <v>0.89</v>
      </c>
      <c r="CE211" s="380">
        <f t="shared" si="135"/>
        <v>0.89</v>
      </c>
      <c r="CF211" s="380">
        <f t="shared" si="135"/>
        <v>0.89</v>
      </c>
    </row>
    <row r="212" spans="1:84">
      <c r="A212" s="378"/>
      <c r="B212" s="378"/>
      <c r="C212" s="378"/>
    </row>
    <row r="213" spans="1:84">
      <c r="C213" s="360" t="s">
        <v>288</v>
      </c>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c r="AN213" s="360"/>
      <c r="AO213" s="360"/>
      <c r="AP213" s="360"/>
      <c r="AQ213" s="360"/>
      <c r="AR213" s="360"/>
      <c r="AS213" s="360"/>
      <c r="AT213" s="360"/>
      <c r="AU213" s="360"/>
      <c r="AV213" s="360"/>
      <c r="AW213" s="360"/>
      <c r="AX213" s="360"/>
      <c r="AY213" s="360"/>
      <c r="AZ213" s="360"/>
      <c r="BA213" s="360"/>
      <c r="BB213" s="360"/>
      <c r="BC213" s="360"/>
      <c r="BD213" s="360"/>
      <c r="BE213" s="360"/>
      <c r="BF213" s="360"/>
      <c r="BG213" s="360"/>
      <c r="BH213" s="360"/>
      <c r="BI213" s="360"/>
      <c r="BJ213" s="360"/>
      <c r="BK213" s="360"/>
      <c r="BL213" s="360"/>
      <c r="BM213" s="360"/>
      <c r="BN213" s="360"/>
      <c r="BO213" s="360"/>
      <c r="BP213" s="360"/>
      <c r="BQ213" s="360"/>
      <c r="BR213" s="360"/>
      <c r="BS213" s="360"/>
      <c r="BT213" s="360"/>
      <c r="BU213" s="360"/>
      <c r="BV213" s="360"/>
      <c r="BW213" s="360"/>
      <c r="BX213" s="360"/>
      <c r="BY213" s="360"/>
      <c r="BZ213" s="360"/>
      <c r="CA213" s="360"/>
      <c r="CB213" s="360"/>
      <c r="CC213" s="360"/>
      <c r="CD213" s="360"/>
      <c r="CE213" s="360"/>
      <c r="CF213" s="360"/>
    </row>
    <row r="214" spans="1:84">
      <c r="D214" s="728"/>
      <c r="E214" s="728">
        <v>2010</v>
      </c>
      <c r="F214" s="728">
        <v>2011</v>
      </c>
      <c r="G214" s="728">
        <v>2012</v>
      </c>
      <c r="H214" s="728">
        <v>2013</v>
      </c>
      <c r="I214" s="728">
        <v>2014</v>
      </c>
      <c r="J214" s="728">
        <v>2015</v>
      </c>
      <c r="K214" s="728">
        <v>2016</v>
      </c>
      <c r="L214" s="728">
        <v>2017</v>
      </c>
      <c r="M214" s="728">
        <v>2018</v>
      </c>
      <c r="N214" s="728">
        <v>2019</v>
      </c>
      <c r="O214" s="728">
        <v>2020</v>
      </c>
      <c r="P214" s="728">
        <v>2021</v>
      </c>
      <c r="Q214" s="728">
        <v>2022</v>
      </c>
      <c r="R214" s="728">
        <v>2023</v>
      </c>
      <c r="S214" s="728">
        <v>2024</v>
      </c>
      <c r="T214" s="728">
        <v>2025</v>
      </c>
      <c r="U214" s="728">
        <v>2026</v>
      </c>
      <c r="V214" s="728">
        <v>2027</v>
      </c>
      <c r="W214" s="728">
        <v>2028</v>
      </c>
      <c r="X214" s="728">
        <v>2029</v>
      </c>
      <c r="Y214" s="728">
        <v>2030</v>
      </c>
      <c r="Z214" s="728">
        <v>2031</v>
      </c>
      <c r="AA214" s="728">
        <v>2032</v>
      </c>
      <c r="AB214" s="728">
        <v>2033</v>
      </c>
      <c r="AC214" s="728">
        <v>2034</v>
      </c>
      <c r="AD214" s="728">
        <v>2035</v>
      </c>
      <c r="AE214" s="728">
        <v>2036</v>
      </c>
      <c r="AF214" s="728">
        <v>2037</v>
      </c>
      <c r="AG214" s="728">
        <v>2038</v>
      </c>
      <c r="AH214" s="728">
        <v>2039</v>
      </c>
      <c r="AI214" s="728">
        <v>2040</v>
      </c>
      <c r="AJ214" s="728">
        <v>2041</v>
      </c>
      <c r="AK214" s="728">
        <v>2042</v>
      </c>
      <c r="AL214" s="728">
        <v>2043</v>
      </c>
      <c r="AM214" s="728">
        <v>2044</v>
      </c>
      <c r="AN214" s="728">
        <v>2045</v>
      </c>
      <c r="AO214" s="728">
        <v>2046</v>
      </c>
      <c r="AP214" s="728">
        <v>2047</v>
      </c>
      <c r="AQ214" s="728">
        <v>2048</v>
      </c>
      <c r="AR214" s="728">
        <v>2049</v>
      </c>
      <c r="AS214" s="728">
        <v>2050</v>
      </c>
      <c r="AT214" s="728">
        <v>2051</v>
      </c>
      <c r="AU214" s="728">
        <v>2052</v>
      </c>
      <c r="AV214" s="728">
        <v>2053</v>
      </c>
      <c r="AW214" s="728">
        <v>2054</v>
      </c>
      <c r="AX214" s="728">
        <v>2055</v>
      </c>
      <c r="AY214" s="728">
        <v>2056</v>
      </c>
      <c r="AZ214" s="728">
        <v>2057</v>
      </c>
      <c r="BA214" s="728">
        <v>2058</v>
      </c>
      <c r="BB214" s="728">
        <v>2059</v>
      </c>
      <c r="BC214" s="728">
        <v>2060</v>
      </c>
      <c r="BD214" s="728">
        <v>2061</v>
      </c>
      <c r="BE214" s="728">
        <v>2062</v>
      </c>
      <c r="BF214" s="728">
        <v>2063</v>
      </c>
      <c r="BG214" s="728">
        <v>2064</v>
      </c>
      <c r="BH214" s="728">
        <v>2065</v>
      </c>
      <c r="BI214" s="728">
        <v>2066</v>
      </c>
      <c r="BJ214" s="728">
        <v>2067</v>
      </c>
      <c r="BK214" s="728">
        <v>2068</v>
      </c>
      <c r="BL214" s="728">
        <v>2069</v>
      </c>
      <c r="BM214" s="728">
        <v>2070</v>
      </c>
      <c r="BN214" s="728">
        <v>2071</v>
      </c>
      <c r="BO214" s="728">
        <v>2072</v>
      </c>
      <c r="BP214" s="728">
        <v>2073</v>
      </c>
      <c r="BQ214" s="728">
        <v>2074</v>
      </c>
      <c r="BR214" s="728">
        <v>2075</v>
      </c>
      <c r="BS214" s="728">
        <v>2076</v>
      </c>
      <c r="BT214" s="728">
        <v>2077</v>
      </c>
      <c r="BU214" s="728">
        <v>2078</v>
      </c>
      <c r="BV214" s="728">
        <v>2079</v>
      </c>
      <c r="BW214" s="728">
        <v>2080</v>
      </c>
      <c r="BX214" s="728">
        <v>2081</v>
      </c>
      <c r="BY214" s="728">
        <v>2082</v>
      </c>
      <c r="BZ214" s="728">
        <v>2083</v>
      </c>
      <c r="CA214" s="728">
        <v>2084</v>
      </c>
      <c r="CB214" s="728">
        <v>2085</v>
      </c>
      <c r="CC214" s="728">
        <v>2086</v>
      </c>
      <c r="CD214" s="728">
        <v>2087</v>
      </c>
      <c r="CE214" s="728">
        <v>2088</v>
      </c>
      <c r="CF214" s="728">
        <v>2089</v>
      </c>
    </row>
    <row r="215" spans="1:84">
      <c r="A215" s="378"/>
      <c r="B215" s="378"/>
      <c r="C215" s="378"/>
      <c r="D215" s="380" t="s">
        <v>87</v>
      </c>
      <c r="E215" s="380">
        <f t="shared" ref="E215:AD215" si="136">VLOOKUP(E$214,Fuel_proportion,3,0)</f>
        <v>0.6</v>
      </c>
      <c r="F215" s="380">
        <f t="shared" si="136"/>
        <v>0.57999999999999996</v>
      </c>
      <c r="G215" s="380">
        <f t="shared" si="136"/>
        <v>0.55000000000000004</v>
      </c>
      <c r="H215" s="380">
        <f t="shared" si="136"/>
        <v>0.53</v>
      </c>
      <c r="I215" s="380">
        <f t="shared" si="136"/>
        <v>0.51</v>
      </c>
      <c r="J215" s="380">
        <f t="shared" si="136"/>
        <v>0.5</v>
      </c>
      <c r="K215" s="380">
        <f t="shared" si="136"/>
        <v>0.48</v>
      </c>
      <c r="L215" s="380">
        <f t="shared" si="136"/>
        <v>0.48</v>
      </c>
      <c r="M215" s="380">
        <f t="shared" si="136"/>
        <v>0.49</v>
      </c>
      <c r="N215" s="380">
        <f t="shared" si="136"/>
        <v>0.49</v>
      </c>
      <c r="O215" s="380">
        <f t="shared" si="136"/>
        <v>0.5</v>
      </c>
      <c r="P215" s="380">
        <f t="shared" si="136"/>
        <v>0.51</v>
      </c>
      <c r="Q215" s="380">
        <f t="shared" si="136"/>
        <v>0.52</v>
      </c>
      <c r="R215" s="380">
        <f t="shared" si="136"/>
        <v>0.53</v>
      </c>
      <c r="S215" s="380">
        <f t="shared" si="136"/>
        <v>0.53</v>
      </c>
      <c r="T215" s="380">
        <f t="shared" si="136"/>
        <v>0.53</v>
      </c>
      <c r="U215" s="380">
        <f t="shared" si="136"/>
        <v>0.53</v>
      </c>
      <c r="V215" s="380">
        <f t="shared" si="136"/>
        <v>0.53</v>
      </c>
      <c r="W215" s="380">
        <f t="shared" si="136"/>
        <v>0.53</v>
      </c>
      <c r="X215" s="380">
        <f t="shared" si="136"/>
        <v>0.53</v>
      </c>
      <c r="Y215" s="380">
        <f t="shared" si="136"/>
        <v>0.52</v>
      </c>
      <c r="Z215" s="380">
        <f t="shared" si="136"/>
        <v>0.51</v>
      </c>
      <c r="AA215" s="380">
        <f t="shared" si="136"/>
        <v>0.51</v>
      </c>
      <c r="AB215" s="380">
        <f t="shared" si="136"/>
        <v>0.5</v>
      </c>
      <c r="AC215" s="380">
        <f t="shared" si="136"/>
        <v>0.49</v>
      </c>
      <c r="AD215" s="380">
        <f t="shared" si="136"/>
        <v>0.48</v>
      </c>
      <c r="AE215" s="380">
        <f>AD215</f>
        <v>0.48</v>
      </c>
      <c r="AF215" s="380">
        <f t="shared" ref="AF215:CF215" si="137">AE215</f>
        <v>0.48</v>
      </c>
      <c r="AG215" s="380">
        <f t="shared" si="137"/>
        <v>0.48</v>
      </c>
      <c r="AH215" s="380">
        <f t="shared" si="137"/>
        <v>0.48</v>
      </c>
      <c r="AI215" s="380">
        <f t="shared" si="137"/>
        <v>0.48</v>
      </c>
      <c r="AJ215" s="380">
        <f t="shared" si="137"/>
        <v>0.48</v>
      </c>
      <c r="AK215" s="380">
        <f t="shared" si="137"/>
        <v>0.48</v>
      </c>
      <c r="AL215" s="380">
        <f t="shared" si="137"/>
        <v>0.48</v>
      </c>
      <c r="AM215" s="380">
        <f t="shared" si="137"/>
        <v>0.48</v>
      </c>
      <c r="AN215" s="380">
        <f t="shared" si="137"/>
        <v>0.48</v>
      </c>
      <c r="AO215" s="380">
        <f t="shared" si="137"/>
        <v>0.48</v>
      </c>
      <c r="AP215" s="380">
        <f t="shared" si="137"/>
        <v>0.48</v>
      </c>
      <c r="AQ215" s="380">
        <f t="shared" si="137"/>
        <v>0.48</v>
      </c>
      <c r="AR215" s="380">
        <f t="shared" si="137"/>
        <v>0.48</v>
      </c>
      <c r="AS215" s="380">
        <f t="shared" si="137"/>
        <v>0.48</v>
      </c>
      <c r="AT215" s="380">
        <f t="shared" si="137"/>
        <v>0.48</v>
      </c>
      <c r="AU215" s="380">
        <f t="shared" si="137"/>
        <v>0.48</v>
      </c>
      <c r="AV215" s="380">
        <f t="shared" si="137"/>
        <v>0.48</v>
      </c>
      <c r="AW215" s="380">
        <f t="shared" si="137"/>
        <v>0.48</v>
      </c>
      <c r="AX215" s="380">
        <f t="shared" si="137"/>
        <v>0.48</v>
      </c>
      <c r="AY215" s="380">
        <f t="shared" si="137"/>
        <v>0.48</v>
      </c>
      <c r="AZ215" s="380">
        <f t="shared" si="137"/>
        <v>0.48</v>
      </c>
      <c r="BA215" s="380">
        <f t="shared" si="137"/>
        <v>0.48</v>
      </c>
      <c r="BB215" s="380">
        <f t="shared" si="137"/>
        <v>0.48</v>
      </c>
      <c r="BC215" s="380">
        <f t="shared" si="137"/>
        <v>0.48</v>
      </c>
      <c r="BD215" s="380">
        <f t="shared" si="137"/>
        <v>0.48</v>
      </c>
      <c r="BE215" s="380">
        <f t="shared" si="137"/>
        <v>0.48</v>
      </c>
      <c r="BF215" s="380">
        <f t="shared" si="137"/>
        <v>0.48</v>
      </c>
      <c r="BG215" s="380">
        <f t="shared" si="137"/>
        <v>0.48</v>
      </c>
      <c r="BH215" s="380">
        <f t="shared" si="137"/>
        <v>0.48</v>
      </c>
      <c r="BI215" s="380">
        <f t="shared" si="137"/>
        <v>0.48</v>
      </c>
      <c r="BJ215" s="380">
        <f t="shared" si="137"/>
        <v>0.48</v>
      </c>
      <c r="BK215" s="380">
        <f t="shared" si="137"/>
        <v>0.48</v>
      </c>
      <c r="BL215" s="380">
        <f t="shared" si="137"/>
        <v>0.48</v>
      </c>
      <c r="BM215" s="380">
        <f t="shared" si="137"/>
        <v>0.48</v>
      </c>
      <c r="BN215" s="380">
        <f t="shared" si="137"/>
        <v>0.48</v>
      </c>
      <c r="BO215" s="380">
        <f t="shared" si="137"/>
        <v>0.48</v>
      </c>
      <c r="BP215" s="380">
        <f t="shared" si="137"/>
        <v>0.48</v>
      </c>
      <c r="BQ215" s="380">
        <f t="shared" si="137"/>
        <v>0.48</v>
      </c>
      <c r="BR215" s="380">
        <f t="shared" si="137"/>
        <v>0.48</v>
      </c>
      <c r="BS215" s="380">
        <f t="shared" si="137"/>
        <v>0.48</v>
      </c>
      <c r="BT215" s="380">
        <f t="shared" si="137"/>
        <v>0.48</v>
      </c>
      <c r="BU215" s="380">
        <f t="shared" si="137"/>
        <v>0.48</v>
      </c>
      <c r="BV215" s="380">
        <f t="shared" si="137"/>
        <v>0.48</v>
      </c>
      <c r="BW215" s="380">
        <f t="shared" si="137"/>
        <v>0.48</v>
      </c>
      <c r="BX215" s="380">
        <f t="shared" si="137"/>
        <v>0.48</v>
      </c>
      <c r="BY215" s="380">
        <f t="shared" si="137"/>
        <v>0.48</v>
      </c>
      <c r="BZ215" s="380">
        <f t="shared" si="137"/>
        <v>0.48</v>
      </c>
      <c r="CA215" s="380">
        <f t="shared" si="137"/>
        <v>0.48</v>
      </c>
      <c r="CB215" s="380">
        <f t="shared" si="137"/>
        <v>0.48</v>
      </c>
      <c r="CC215" s="380">
        <f t="shared" si="137"/>
        <v>0.48</v>
      </c>
      <c r="CD215" s="380">
        <f t="shared" si="137"/>
        <v>0.48</v>
      </c>
      <c r="CE215" s="380">
        <f t="shared" si="137"/>
        <v>0.48</v>
      </c>
      <c r="CF215" s="380">
        <f t="shared" si="137"/>
        <v>0.48</v>
      </c>
    </row>
    <row r="216" spans="1:84">
      <c r="A216" s="378"/>
      <c r="B216" s="378"/>
      <c r="C216" s="378"/>
      <c r="D216" s="380" t="s">
        <v>89</v>
      </c>
      <c r="E216" s="380">
        <f>VLOOKUP(E$214,Fuel_proportion,6,0)</f>
        <v>0.03</v>
      </c>
      <c r="F216" s="380">
        <f t="shared" ref="F216:AD216" si="138">VLOOKUP(F$209,Fuel_proportion,6,0)</f>
        <v>0.03</v>
      </c>
      <c r="G216" s="380">
        <f t="shared" si="138"/>
        <v>0.03</v>
      </c>
      <c r="H216" s="380">
        <f t="shared" si="138"/>
        <v>0.03</v>
      </c>
      <c r="I216" s="380">
        <f t="shared" si="138"/>
        <v>0.02</v>
      </c>
      <c r="J216" s="380">
        <f t="shared" si="138"/>
        <v>0.02</v>
      </c>
      <c r="K216" s="380">
        <f t="shared" si="138"/>
        <v>0.02</v>
      </c>
      <c r="L216" s="380">
        <f t="shared" si="138"/>
        <v>0.02</v>
      </c>
      <c r="M216" s="380">
        <f t="shared" si="138"/>
        <v>0.02</v>
      </c>
      <c r="N216" s="380">
        <f t="shared" si="138"/>
        <v>0.02</v>
      </c>
      <c r="O216" s="380">
        <f t="shared" si="138"/>
        <v>0.02</v>
      </c>
      <c r="P216" s="380">
        <f t="shared" si="138"/>
        <v>0.02</v>
      </c>
      <c r="Q216" s="380">
        <f t="shared" si="138"/>
        <v>0.02</v>
      </c>
      <c r="R216" s="380">
        <f t="shared" si="138"/>
        <v>0.02</v>
      </c>
      <c r="S216" s="380">
        <f t="shared" si="138"/>
        <v>0.02</v>
      </c>
      <c r="T216" s="380">
        <f t="shared" si="138"/>
        <v>0.02</v>
      </c>
      <c r="U216" s="380">
        <f t="shared" si="138"/>
        <v>0.02</v>
      </c>
      <c r="V216" s="380">
        <f t="shared" si="138"/>
        <v>0.02</v>
      </c>
      <c r="W216" s="380">
        <f t="shared" si="138"/>
        <v>0.02</v>
      </c>
      <c r="X216" s="380">
        <f t="shared" si="138"/>
        <v>0.03</v>
      </c>
      <c r="Y216" s="380">
        <f t="shared" si="138"/>
        <v>0.03</v>
      </c>
      <c r="Z216" s="380">
        <f t="shared" si="138"/>
        <v>0.03</v>
      </c>
      <c r="AA216" s="380">
        <f t="shared" si="138"/>
        <v>0.03</v>
      </c>
      <c r="AB216" s="380">
        <f t="shared" si="138"/>
        <v>0.03</v>
      </c>
      <c r="AC216" s="380">
        <f t="shared" si="138"/>
        <v>0.03</v>
      </c>
      <c r="AD216" s="380">
        <f t="shared" si="138"/>
        <v>0.03</v>
      </c>
      <c r="AE216" s="380">
        <f>AD216</f>
        <v>0.03</v>
      </c>
      <c r="AF216" s="380">
        <f t="shared" ref="AF216:CF216" si="139">AE216</f>
        <v>0.03</v>
      </c>
      <c r="AG216" s="380">
        <f t="shared" si="139"/>
        <v>0.03</v>
      </c>
      <c r="AH216" s="380">
        <f t="shared" si="139"/>
        <v>0.03</v>
      </c>
      <c r="AI216" s="380">
        <f t="shared" si="139"/>
        <v>0.03</v>
      </c>
      <c r="AJ216" s="380">
        <f t="shared" si="139"/>
        <v>0.03</v>
      </c>
      <c r="AK216" s="380">
        <f t="shared" si="139"/>
        <v>0.03</v>
      </c>
      <c r="AL216" s="380">
        <f t="shared" si="139"/>
        <v>0.03</v>
      </c>
      <c r="AM216" s="380">
        <f t="shared" si="139"/>
        <v>0.03</v>
      </c>
      <c r="AN216" s="380">
        <f t="shared" si="139"/>
        <v>0.03</v>
      </c>
      <c r="AO216" s="380">
        <f t="shared" si="139"/>
        <v>0.03</v>
      </c>
      <c r="AP216" s="380">
        <f t="shared" si="139"/>
        <v>0.03</v>
      </c>
      <c r="AQ216" s="380">
        <f t="shared" si="139"/>
        <v>0.03</v>
      </c>
      <c r="AR216" s="380">
        <f t="shared" si="139"/>
        <v>0.03</v>
      </c>
      <c r="AS216" s="380">
        <f t="shared" si="139"/>
        <v>0.03</v>
      </c>
      <c r="AT216" s="380">
        <f t="shared" si="139"/>
        <v>0.03</v>
      </c>
      <c r="AU216" s="380">
        <f t="shared" si="139"/>
        <v>0.03</v>
      </c>
      <c r="AV216" s="380">
        <f t="shared" si="139"/>
        <v>0.03</v>
      </c>
      <c r="AW216" s="380">
        <f t="shared" si="139"/>
        <v>0.03</v>
      </c>
      <c r="AX216" s="380">
        <f t="shared" si="139"/>
        <v>0.03</v>
      </c>
      <c r="AY216" s="380">
        <f t="shared" si="139"/>
        <v>0.03</v>
      </c>
      <c r="AZ216" s="380">
        <f t="shared" si="139"/>
        <v>0.03</v>
      </c>
      <c r="BA216" s="380">
        <f t="shared" si="139"/>
        <v>0.03</v>
      </c>
      <c r="BB216" s="380">
        <f t="shared" si="139"/>
        <v>0.03</v>
      </c>
      <c r="BC216" s="380">
        <f t="shared" si="139"/>
        <v>0.03</v>
      </c>
      <c r="BD216" s="380">
        <f t="shared" si="139"/>
        <v>0.03</v>
      </c>
      <c r="BE216" s="380">
        <f t="shared" si="139"/>
        <v>0.03</v>
      </c>
      <c r="BF216" s="380">
        <f t="shared" si="139"/>
        <v>0.03</v>
      </c>
      <c r="BG216" s="380">
        <f t="shared" si="139"/>
        <v>0.03</v>
      </c>
      <c r="BH216" s="380">
        <f t="shared" si="139"/>
        <v>0.03</v>
      </c>
      <c r="BI216" s="380">
        <f t="shared" si="139"/>
        <v>0.03</v>
      </c>
      <c r="BJ216" s="380">
        <f t="shared" si="139"/>
        <v>0.03</v>
      </c>
      <c r="BK216" s="380">
        <f t="shared" si="139"/>
        <v>0.03</v>
      </c>
      <c r="BL216" s="380">
        <f t="shared" si="139"/>
        <v>0.03</v>
      </c>
      <c r="BM216" s="380">
        <f t="shared" si="139"/>
        <v>0.03</v>
      </c>
      <c r="BN216" s="380">
        <f t="shared" si="139"/>
        <v>0.03</v>
      </c>
      <c r="BO216" s="380">
        <f t="shared" si="139"/>
        <v>0.03</v>
      </c>
      <c r="BP216" s="380">
        <f t="shared" si="139"/>
        <v>0.03</v>
      </c>
      <c r="BQ216" s="380">
        <f t="shared" si="139"/>
        <v>0.03</v>
      </c>
      <c r="BR216" s="380">
        <f t="shared" si="139"/>
        <v>0.03</v>
      </c>
      <c r="BS216" s="380">
        <f t="shared" si="139"/>
        <v>0.03</v>
      </c>
      <c r="BT216" s="380">
        <f t="shared" si="139"/>
        <v>0.03</v>
      </c>
      <c r="BU216" s="380">
        <f t="shared" si="139"/>
        <v>0.03</v>
      </c>
      <c r="BV216" s="380">
        <f t="shared" si="139"/>
        <v>0.03</v>
      </c>
      <c r="BW216" s="380">
        <f t="shared" si="139"/>
        <v>0.03</v>
      </c>
      <c r="BX216" s="380">
        <f t="shared" si="139"/>
        <v>0.03</v>
      </c>
      <c r="BY216" s="380">
        <f t="shared" si="139"/>
        <v>0.03</v>
      </c>
      <c r="BZ216" s="380">
        <f t="shared" si="139"/>
        <v>0.03</v>
      </c>
      <c r="CA216" s="380">
        <f t="shared" si="139"/>
        <v>0.03</v>
      </c>
      <c r="CB216" s="380">
        <f t="shared" si="139"/>
        <v>0.03</v>
      </c>
      <c r="CC216" s="380">
        <f t="shared" si="139"/>
        <v>0.03</v>
      </c>
      <c r="CD216" s="380">
        <f t="shared" si="139"/>
        <v>0.03</v>
      </c>
      <c r="CE216" s="380">
        <f t="shared" si="139"/>
        <v>0.03</v>
      </c>
      <c r="CF216" s="380">
        <f t="shared" si="139"/>
        <v>0.03</v>
      </c>
    </row>
    <row r="217" spans="1:84">
      <c r="A217" s="378"/>
      <c r="B217" s="378"/>
      <c r="C217" s="378"/>
    </row>
    <row r="218" spans="1:84">
      <c r="C218" s="360" t="s">
        <v>289</v>
      </c>
    </row>
    <row r="219" spans="1:84">
      <c r="D219" s="728"/>
      <c r="E219" s="728">
        <v>2010</v>
      </c>
      <c r="F219" s="728">
        <v>2011</v>
      </c>
      <c r="G219" s="728">
        <v>2012</v>
      </c>
      <c r="H219" s="728">
        <v>2013</v>
      </c>
      <c r="I219" s="728">
        <v>2014</v>
      </c>
      <c r="J219" s="728">
        <v>2015</v>
      </c>
      <c r="K219" s="728">
        <v>2016</v>
      </c>
      <c r="L219" s="728">
        <v>2017</v>
      </c>
      <c r="M219" s="728">
        <v>2018</v>
      </c>
      <c r="N219" s="728">
        <v>2019</v>
      </c>
      <c r="O219" s="728">
        <v>2020</v>
      </c>
      <c r="P219" s="728">
        <v>2021</v>
      </c>
      <c r="Q219" s="728">
        <v>2022</v>
      </c>
      <c r="R219" s="728">
        <v>2023</v>
      </c>
      <c r="S219" s="728">
        <v>2024</v>
      </c>
      <c r="T219" s="728">
        <v>2025</v>
      </c>
      <c r="U219" s="728">
        <v>2026</v>
      </c>
      <c r="V219" s="728">
        <v>2027</v>
      </c>
      <c r="W219" s="728">
        <v>2028</v>
      </c>
      <c r="X219" s="728">
        <v>2029</v>
      </c>
      <c r="Y219" s="728">
        <v>2030</v>
      </c>
      <c r="Z219" s="728">
        <v>2031</v>
      </c>
      <c r="AA219" s="728">
        <v>2032</v>
      </c>
      <c r="AB219" s="728">
        <v>2033</v>
      </c>
      <c r="AC219" s="728">
        <v>2034</v>
      </c>
      <c r="AD219" s="728">
        <v>2035</v>
      </c>
      <c r="AE219" s="728">
        <v>2036</v>
      </c>
      <c r="AF219" s="728">
        <v>2037</v>
      </c>
      <c r="AG219" s="728">
        <v>2038</v>
      </c>
      <c r="AH219" s="728">
        <v>2039</v>
      </c>
      <c r="AI219" s="728">
        <v>2040</v>
      </c>
      <c r="AJ219" s="728">
        <v>2041</v>
      </c>
      <c r="AK219" s="728">
        <v>2042</v>
      </c>
      <c r="AL219" s="728">
        <v>2043</v>
      </c>
      <c r="AM219" s="728">
        <v>2044</v>
      </c>
      <c r="AN219" s="728">
        <v>2045</v>
      </c>
      <c r="AO219" s="728">
        <v>2046</v>
      </c>
      <c r="AP219" s="728">
        <v>2047</v>
      </c>
      <c r="AQ219" s="728">
        <v>2048</v>
      </c>
      <c r="AR219" s="728">
        <v>2049</v>
      </c>
      <c r="AS219" s="728">
        <v>2050</v>
      </c>
      <c r="AT219" s="728">
        <v>2051</v>
      </c>
      <c r="AU219" s="728">
        <v>2052</v>
      </c>
      <c r="AV219" s="728">
        <v>2053</v>
      </c>
      <c r="AW219" s="728">
        <v>2054</v>
      </c>
      <c r="AX219" s="728">
        <v>2055</v>
      </c>
      <c r="AY219" s="728">
        <v>2056</v>
      </c>
      <c r="AZ219" s="728">
        <v>2057</v>
      </c>
      <c r="BA219" s="728">
        <v>2058</v>
      </c>
      <c r="BB219" s="728">
        <v>2059</v>
      </c>
      <c r="BC219" s="728">
        <v>2060</v>
      </c>
      <c r="BD219" s="728">
        <v>2061</v>
      </c>
      <c r="BE219" s="728">
        <v>2062</v>
      </c>
      <c r="BF219" s="728">
        <v>2063</v>
      </c>
      <c r="BG219" s="728">
        <v>2064</v>
      </c>
      <c r="BH219" s="728">
        <v>2065</v>
      </c>
      <c r="BI219" s="728">
        <v>2066</v>
      </c>
      <c r="BJ219" s="728">
        <v>2067</v>
      </c>
      <c r="BK219" s="728">
        <v>2068</v>
      </c>
      <c r="BL219" s="728">
        <v>2069</v>
      </c>
      <c r="BM219" s="728">
        <v>2070</v>
      </c>
      <c r="BN219" s="728">
        <v>2071</v>
      </c>
      <c r="BO219" s="728">
        <v>2072</v>
      </c>
      <c r="BP219" s="728">
        <v>2073</v>
      </c>
      <c r="BQ219" s="728">
        <v>2074</v>
      </c>
      <c r="BR219" s="728">
        <v>2075</v>
      </c>
      <c r="BS219" s="728">
        <v>2076</v>
      </c>
      <c r="BT219" s="728">
        <v>2077</v>
      </c>
      <c r="BU219" s="728">
        <v>2078</v>
      </c>
      <c r="BV219" s="728">
        <v>2079</v>
      </c>
      <c r="BW219" s="728">
        <v>2080</v>
      </c>
      <c r="BX219" s="728">
        <v>2081</v>
      </c>
      <c r="BY219" s="728">
        <v>2082</v>
      </c>
      <c r="BZ219" s="728">
        <v>2083</v>
      </c>
      <c r="CA219" s="728">
        <v>2084</v>
      </c>
      <c r="CB219" s="728">
        <v>2085</v>
      </c>
      <c r="CC219" s="728">
        <v>2086</v>
      </c>
      <c r="CD219" s="728">
        <v>2087</v>
      </c>
      <c r="CE219" s="728">
        <v>2088</v>
      </c>
      <c r="CF219" s="728">
        <v>2089</v>
      </c>
    </row>
    <row r="220" spans="1:84">
      <c r="D220" s="380" t="s">
        <v>87</v>
      </c>
      <c r="E220" s="380" t="e">
        <f>E193*E210+E200*E215</f>
        <v>#DIV/0!</v>
      </c>
      <c r="F220" s="380" t="e">
        <f t="shared" ref="F220:AJ220" si="140">F193*F210+F200*F215</f>
        <v>#DIV/0!</v>
      </c>
      <c r="G220" s="380" t="e">
        <f t="shared" si="140"/>
        <v>#DIV/0!</v>
      </c>
      <c r="H220" s="380" t="e">
        <f t="shared" si="140"/>
        <v>#DIV/0!</v>
      </c>
      <c r="I220" s="380" t="e">
        <f t="shared" si="140"/>
        <v>#DIV/0!</v>
      </c>
      <c r="J220" s="380" t="e">
        <f t="shared" si="140"/>
        <v>#DIV/0!</v>
      </c>
      <c r="K220" s="380" t="e">
        <f t="shared" si="140"/>
        <v>#DIV/0!</v>
      </c>
      <c r="L220" s="380" t="e">
        <f t="shared" si="140"/>
        <v>#DIV/0!</v>
      </c>
      <c r="M220" s="380" t="e">
        <f t="shared" si="140"/>
        <v>#DIV/0!</v>
      </c>
      <c r="N220" s="380" t="e">
        <f t="shared" si="140"/>
        <v>#DIV/0!</v>
      </c>
      <c r="O220" s="380" t="e">
        <f t="shared" si="140"/>
        <v>#DIV/0!</v>
      </c>
      <c r="P220" s="380" t="e">
        <f t="shared" si="140"/>
        <v>#DIV/0!</v>
      </c>
      <c r="Q220" s="380" t="e">
        <f t="shared" si="140"/>
        <v>#DIV/0!</v>
      </c>
      <c r="R220" s="380" t="e">
        <f t="shared" si="140"/>
        <v>#DIV/0!</v>
      </c>
      <c r="S220" s="380" t="e">
        <f t="shared" si="140"/>
        <v>#DIV/0!</v>
      </c>
      <c r="T220" s="380" t="e">
        <f t="shared" si="140"/>
        <v>#DIV/0!</v>
      </c>
      <c r="U220" s="380" t="e">
        <f t="shared" si="140"/>
        <v>#DIV/0!</v>
      </c>
      <c r="V220" s="380" t="e">
        <f t="shared" si="140"/>
        <v>#DIV/0!</v>
      </c>
      <c r="W220" s="380" t="e">
        <f t="shared" si="140"/>
        <v>#DIV/0!</v>
      </c>
      <c r="X220" s="380" t="e">
        <f t="shared" si="140"/>
        <v>#DIV/0!</v>
      </c>
      <c r="Y220" s="380" t="e">
        <f t="shared" si="140"/>
        <v>#DIV/0!</v>
      </c>
      <c r="Z220" s="380" t="e">
        <f t="shared" si="140"/>
        <v>#DIV/0!</v>
      </c>
      <c r="AA220" s="380" t="e">
        <f t="shared" si="140"/>
        <v>#DIV/0!</v>
      </c>
      <c r="AB220" s="380" t="e">
        <f t="shared" si="140"/>
        <v>#DIV/0!</v>
      </c>
      <c r="AC220" s="380" t="e">
        <f t="shared" si="140"/>
        <v>#DIV/0!</v>
      </c>
      <c r="AD220" s="380" t="e">
        <f t="shared" si="140"/>
        <v>#DIV/0!</v>
      </c>
      <c r="AE220" s="380" t="e">
        <f t="shared" si="140"/>
        <v>#DIV/0!</v>
      </c>
      <c r="AF220" s="380" t="e">
        <f t="shared" si="140"/>
        <v>#DIV/0!</v>
      </c>
      <c r="AG220" s="380" t="e">
        <f t="shared" si="140"/>
        <v>#DIV/0!</v>
      </c>
      <c r="AH220" s="380" t="e">
        <f t="shared" si="140"/>
        <v>#DIV/0!</v>
      </c>
      <c r="AI220" s="380" t="e">
        <f t="shared" si="140"/>
        <v>#DIV/0!</v>
      </c>
      <c r="AJ220" s="380" t="e">
        <f t="shared" si="140"/>
        <v>#DIV/0!</v>
      </c>
      <c r="AK220" s="380" t="e">
        <f t="shared" ref="AK220:BP220" si="141">AK193*AK210+AK200*AK215</f>
        <v>#DIV/0!</v>
      </c>
      <c r="AL220" s="380" t="e">
        <f t="shared" si="141"/>
        <v>#DIV/0!</v>
      </c>
      <c r="AM220" s="380" t="e">
        <f t="shared" si="141"/>
        <v>#DIV/0!</v>
      </c>
      <c r="AN220" s="380" t="e">
        <f t="shared" si="141"/>
        <v>#DIV/0!</v>
      </c>
      <c r="AO220" s="380" t="e">
        <f t="shared" si="141"/>
        <v>#DIV/0!</v>
      </c>
      <c r="AP220" s="380" t="e">
        <f t="shared" si="141"/>
        <v>#DIV/0!</v>
      </c>
      <c r="AQ220" s="380" t="e">
        <f t="shared" si="141"/>
        <v>#DIV/0!</v>
      </c>
      <c r="AR220" s="380" t="e">
        <f t="shared" si="141"/>
        <v>#DIV/0!</v>
      </c>
      <c r="AS220" s="380" t="e">
        <f t="shared" si="141"/>
        <v>#DIV/0!</v>
      </c>
      <c r="AT220" s="380" t="e">
        <f t="shared" si="141"/>
        <v>#DIV/0!</v>
      </c>
      <c r="AU220" s="380" t="e">
        <f t="shared" si="141"/>
        <v>#DIV/0!</v>
      </c>
      <c r="AV220" s="380" t="e">
        <f t="shared" si="141"/>
        <v>#DIV/0!</v>
      </c>
      <c r="AW220" s="380" t="e">
        <f t="shared" si="141"/>
        <v>#DIV/0!</v>
      </c>
      <c r="AX220" s="380" t="e">
        <f t="shared" si="141"/>
        <v>#DIV/0!</v>
      </c>
      <c r="AY220" s="380" t="e">
        <f t="shared" si="141"/>
        <v>#DIV/0!</v>
      </c>
      <c r="AZ220" s="380" t="e">
        <f t="shared" si="141"/>
        <v>#DIV/0!</v>
      </c>
      <c r="BA220" s="380" t="e">
        <f t="shared" si="141"/>
        <v>#DIV/0!</v>
      </c>
      <c r="BB220" s="380" t="e">
        <f t="shared" si="141"/>
        <v>#DIV/0!</v>
      </c>
      <c r="BC220" s="380" t="e">
        <f t="shared" si="141"/>
        <v>#DIV/0!</v>
      </c>
      <c r="BD220" s="380" t="e">
        <f t="shared" si="141"/>
        <v>#DIV/0!</v>
      </c>
      <c r="BE220" s="380" t="e">
        <f t="shared" si="141"/>
        <v>#DIV/0!</v>
      </c>
      <c r="BF220" s="380" t="e">
        <f t="shared" si="141"/>
        <v>#DIV/0!</v>
      </c>
      <c r="BG220" s="380" t="e">
        <f t="shared" si="141"/>
        <v>#DIV/0!</v>
      </c>
      <c r="BH220" s="380" t="e">
        <f t="shared" si="141"/>
        <v>#DIV/0!</v>
      </c>
      <c r="BI220" s="380" t="e">
        <f t="shared" si="141"/>
        <v>#DIV/0!</v>
      </c>
      <c r="BJ220" s="380" t="e">
        <f t="shared" si="141"/>
        <v>#DIV/0!</v>
      </c>
      <c r="BK220" s="380" t="e">
        <f t="shared" si="141"/>
        <v>#DIV/0!</v>
      </c>
      <c r="BL220" s="380" t="e">
        <f t="shared" si="141"/>
        <v>#DIV/0!</v>
      </c>
      <c r="BM220" s="380" t="e">
        <f t="shared" si="141"/>
        <v>#DIV/0!</v>
      </c>
      <c r="BN220" s="380" t="e">
        <f t="shared" si="141"/>
        <v>#DIV/0!</v>
      </c>
      <c r="BO220" s="380" t="e">
        <f t="shared" si="141"/>
        <v>#DIV/0!</v>
      </c>
      <c r="BP220" s="380" t="e">
        <f t="shared" si="141"/>
        <v>#DIV/0!</v>
      </c>
      <c r="BQ220" s="380" t="e">
        <f t="shared" ref="BQ220:CF220" si="142">BQ193*BQ210+BQ200*BQ215</f>
        <v>#DIV/0!</v>
      </c>
      <c r="BR220" s="380" t="e">
        <f t="shared" si="142"/>
        <v>#DIV/0!</v>
      </c>
      <c r="BS220" s="380" t="e">
        <f t="shared" si="142"/>
        <v>#DIV/0!</v>
      </c>
      <c r="BT220" s="380" t="e">
        <f t="shared" si="142"/>
        <v>#DIV/0!</v>
      </c>
      <c r="BU220" s="380" t="e">
        <f t="shared" si="142"/>
        <v>#DIV/0!</v>
      </c>
      <c r="BV220" s="380" t="e">
        <f t="shared" si="142"/>
        <v>#DIV/0!</v>
      </c>
      <c r="BW220" s="380" t="e">
        <f t="shared" si="142"/>
        <v>#DIV/0!</v>
      </c>
      <c r="BX220" s="380" t="e">
        <f t="shared" si="142"/>
        <v>#DIV/0!</v>
      </c>
      <c r="BY220" s="380" t="e">
        <f t="shared" si="142"/>
        <v>#DIV/0!</v>
      </c>
      <c r="BZ220" s="380" t="e">
        <f t="shared" si="142"/>
        <v>#DIV/0!</v>
      </c>
      <c r="CA220" s="380" t="e">
        <f t="shared" si="142"/>
        <v>#DIV/0!</v>
      </c>
      <c r="CB220" s="380" t="e">
        <f t="shared" si="142"/>
        <v>#DIV/0!</v>
      </c>
      <c r="CC220" s="380" t="e">
        <f t="shared" si="142"/>
        <v>#DIV/0!</v>
      </c>
      <c r="CD220" s="380" t="e">
        <f t="shared" si="142"/>
        <v>#DIV/0!</v>
      </c>
      <c r="CE220" s="380" t="e">
        <f t="shared" si="142"/>
        <v>#DIV/0!</v>
      </c>
      <c r="CF220" s="380" t="e">
        <f t="shared" si="142"/>
        <v>#DIV/0!</v>
      </c>
    </row>
    <row r="221" spans="1:84">
      <c r="D221" s="380" t="s">
        <v>89</v>
      </c>
      <c r="E221" s="380" t="e">
        <f t="shared" ref="E221:AJ221" si="143">E194*E211+E206*E216</f>
        <v>#DIV/0!</v>
      </c>
      <c r="F221" s="380" t="e">
        <f t="shared" si="143"/>
        <v>#DIV/0!</v>
      </c>
      <c r="G221" s="380" t="e">
        <f t="shared" si="143"/>
        <v>#DIV/0!</v>
      </c>
      <c r="H221" s="380" t="e">
        <f t="shared" si="143"/>
        <v>#DIV/0!</v>
      </c>
      <c r="I221" s="380" t="e">
        <f t="shared" si="143"/>
        <v>#DIV/0!</v>
      </c>
      <c r="J221" s="380" t="e">
        <f t="shared" si="143"/>
        <v>#DIV/0!</v>
      </c>
      <c r="K221" s="380" t="e">
        <f t="shared" si="143"/>
        <v>#DIV/0!</v>
      </c>
      <c r="L221" s="380" t="e">
        <f t="shared" si="143"/>
        <v>#DIV/0!</v>
      </c>
      <c r="M221" s="380" t="e">
        <f t="shared" si="143"/>
        <v>#DIV/0!</v>
      </c>
      <c r="N221" s="380" t="e">
        <f t="shared" si="143"/>
        <v>#DIV/0!</v>
      </c>
      <c r="O221" s="380" t="e">
        <f t="shared" si="143"/>
        <v>#DIV/0!</v>
      </c>
      <c r="P221" s="380" t="e">
        <f t="shared" si="143"/>
        <v>#DIV/0!</v>
      </c>
      <c r="Q221" s="380" t="e">
        <f t="shared" si="143"/>
        <v>#DIV/0!</v>
      </c>
      <c r="R221" s="380" t="e">
        <f t="shared" si="143"/>
        <v>#DIV/0!</v>
      </c>
      <c r="S221" s="380" t="e">
        <f t="shared" si="143"/>
        <v>#DIV/0!</v>
      </c>
      <c r="T221" s="380" t="e">
        <f t="shared" si="143"/>
        <v>#DIV/0!</v>
      </c>
      <c r="U221" s="380" t="e">
        <f t="shared" si="143"/>
        <v>#DIV/0!</v>
      </c>
      <c r="V221" s="380" t="e">
        <f t="shared" si="143"/>
        <v>#DIV/0!</v>
      </c>
      <c r="W221" s="380" t="e">
        <f t="shared" si="143"/>
        <v>#DIV/0!</v>
      </c>
      <c r="X221" s="380" t="e">
        <f t="shared" si="143"/>
        <v>#DIV/0!</v>
      </c>
      <c r="Y221" s="380" t="e">
        <f t="shared" si="143"/>
        <v>#DIV/0!</v>
      </c>
      <c r="Z221" s="380" t="e">
        <f t="shared" si="143"/>
        <v>#DIV/0!</v>
      </c>
      <c r="AA221" s="380" t="e">
        <f t="shared" si="143"/>
        <v>#DIV/0!</v>
      </c>
      <c r="AB221" s="380" t="e">
        <f t="shared" si="143"/>
        <v>#DIV/0!</v>
      </c>
      <c r="AC221" s="380" t="e">
        <f t="shared" si="143"/>
        <v>#DIV/0!</v>
      </c>
      <c r="AD221" s="380" t="e">
        <f t="shared" si="143"/>
        <v>#DIV/0!</v>
      </c>
      <c r="AE221" s="380" t="e">
        <f t="shared" si="143"/>
        <v>#DIV/0!</v>
      </c>
      <c r="AF221" s="380" t="e">
        <f t="shared" si="143"/>
        <v>#DIV/0!</v>
      </c>
      <c r="AG221" s="380" t="e">
        <f t="shared" si="143"/>
        <v>#DIV/0!</v>
      </c>
      <c r="AH221" s="380" t="e">
        <f t="shared" si="143"/>
        <v>#DIV/0!</v>
      </c>
      <c r="AI221" s="380" t="e">
        <f t="shared" si="143"/>
        <v>#DIV/0!</v>
      </c>
      <c r="AJ221" s="380" t="e">
        <f t="shared" si="143"/>
        <v>#DIV/0!</v>
      </c>
      <c r="AK221" s="380" t="e">
        <f t="shared" ref="AK221:BP221" si="144">AK194*AK211+AK206*AK216</f>
        <v>#DIV/0!</v>
      </c>
      <c r="AL221" s="380" t="e">
        <f t="shared" si="144"/>
        <v>#DIV/0!</v>
      </c>
      <c r="AM221" s="380" t="e">
        <f t="shared" si="144"/>
        <v>#DIV/0!</v>
      </c>
      <c r="AN221" s="380" t="e">
        <f t="shared" si="144"/>
        <v>#DIV/0!</v>
      </c>
      <c r="AO221" s="380" t="e">
        <f t="shared" si="144"/>
        <v>#DIV/0!</v>
      </c>
      <c r="AP221" s="380" t="e">
        <f t="shared" si="144"/>
        <v>#DIV/0!</v>
      </c>
      <c r="AQ221" s="380" t="e">
        <f t="shared" si="144"/>
        <v>#DIV/0!</v>
      </c>
      <c r="AR221" s="380" t="e">
        <f t="shared" si="144"/>
        <v>#DIV/0!</v>
      </c>
      <c r="AS221" s="380" t="e">
        <f t="shared" si="144"/>
        <v>#DIV/0!</v>
      </c>
      <c r="AT221" s="380" t="e">
        <f t="shared" si="144"/>
        <v>#DIV/0!</v>
      </c>
      <c r="AU221" s="380" t="e">
        <f t="shared" si="144"/>
        <v>#DIV/0!</v>
      </c>
      <c r="AV221" s="380" t="e">
        <f t="shared" si="144"/>
        <v>#DIV/0!</v>
      </c>
      <c r="AW221" s="380" t="e">
        <f t="shared" si="144"/>
        <v>#DIV/0!</v>
      </c>
      <c r="AX221" s="380" t="e">
        <f t="shared" si="144"/>
        <v>#DIV/0!</v>
      </c>
      <c r="AY221" s="380" t="e">
        <f t="shared" si="144"/>
        <v>#DIV/0!</v>
      </c>
      <c r="AZ221" s="380" t="e">
        <f t="shared" si="144"/>
        <v>#DIV/0!</v>
      </c>
      <c r="BA221" s="380" t="e">
        <f t="shared" si="144"/>
        <v>#DIV/0!</v>
      </c>
      <c r="BB221" s="380" t="e">
        <f t="shared" si="144"/>
        <v>#DIV/0!</v>
      </c>
      <c r="BC221" s="380" t="e">
        <f t="shared" si="144"/>
        <v>#DIV/0!</v>
      </c>
      <c r="BD221" s="380" t="e">
        <f t="shared" si="144"/>
        <v>#DIV/0!</v>
      </c>
      <c r="BE221" s="380" t="e">
        <f t="shared" si="144"/>
        <v>#DIV/0!</v>
      </c>
      <c r="BF221" s="380" t="e">
        <f t="shared" si="144"/>
        <v>#DIV/0!</v>
      </c>
      <c r="BG221" s="380" t="e">
        <f t="shared" si="144"/>
        <v>#DIV/0!</v>
      </c>
      <c r="BH221" s="380" t="e">
        <f t="shared" si="144"/>
        <v>#DIV/0!</v>
      </c>
      <c r="BI221" s="380" t="e">
        <f t="shared" si="144"/>
        <v>#DIV/0!</v>
      </c>
      <c r="BJ221" s="380" t="e">
        <f t="shared" si="144"/>
        <v>#DIV/0!</v>
      </c>
      <c r="BK221" s="380" t="e">
        <f t="shared" si="144"/>
        <v>#DIV/0!</v>
      </c>
      <c r="BL221" s="380" t="e">
        <f t="shared" si="144"/>
        <v>#DIV/0!</v>
      </c>
      <c r="BM221" s="380" t="e">
        <f t="shared" si="144"/>
        <v>#DIV/0!</v>
      </c>
      <c r="BN221" s="380" t="e">
        <f t="shared" si="144"/>
        <v>#DIV/0!</v>
      </c>
      <c r="BO221" s="380" t="e">
        <f t="shared" si="144"/>
        <v>#DIV/0!</v>
      </c>
      <c r="BP221" s="380" t="e">
        <f t="shared" si="144"/>
        <v>#DIV/0!</v>
      </c>
      <c r="BQ221" s="380" t="e">
        <f t="shared" ref="BQ221:CF221" si="145">BQ194*BQ211+BQ206*BQ216</f>
        <v>#DIV/0!</v>
      </c>
      <c r="BR221" s="380" t="e">
        <f t="shared" si="145"/>
        <v>#DIV/0!</v>
      </c>
      <c r="BS221" s="380" t="e">
        <f t="shared" si="145"/>
        <v>#DIV/0!</v>
      </c>
      <c r="BT221" s="380" t="e">
        <f t="shared" si="145"/>
        <v>#DIV/0!</v>
      </c>
      <c r="BU221" s="380" t="e">
        <f t="shared" si="145"/>
        <v>#DIV/0!</v>
      </c>
      <c r="BV221" s="380" t="e">
        <f t="shared" si="145"/>
        <v>#DIV/0!</v>
      </c>
      <c r="BW221" s="380" t="e">
        <f t="shared" si="145"/>
        <v>#DIV/0!</v>
      </c>
      <c r="BX221" s="380" t="e">
        <f t="shared" si="145"/>
        <v>#DIV/0!</v>
      </c>
      <c r="BY221" s="380" t="e">
        <f t="shared" si="145"/>
        <v>#DIV/0!</v>
      </c>
      <c r="BZ221" s="380" t="e">
        <f t="shared" si="145"/>
        <v>#DIV/0!</v>
      </c>
      <c r="CA221" s="380" t="e">
        <f t="shared" si="145"/>
        <v>#DIV/0!</v>
      </c>
      <c r="CB221" s="380" t="e">
        <f t="shared" si="145"/>
        <v>#DIV/0!</v>
      </c>
      <c r="CC221" s="380" t="e">
        <f t="shared" si="145"/>
        <v>#DIV/0!</v>
      </c>
      <c r="CD221" s="380" t="e">
        <f t="shared" si="145"/>
        <v>#DIV/0!</v>
      </c>
      <c r="CE221" s="380" t="e">
        <f t="shared" si="145"/>
        <v>#DIV/0!</v>
      </c>
      <c r="CF221" s="380" t="e">
        <f t="shared" si="145"/>
        <v>#DIV/0!</v>
      </c>
    </row>
    <row r="222" spans="1:84">
      <c r="D222" s="380" t="s">
        <v>91</v>
      </c>
      <c r="E222" s="380" t="e">
        <f>E195</f>
        <v>#DIV/0!</v>
      </c>
      <c r="F222" s="380" t="e">
        <f t="shared" ref="F222:BQ223" si="146">F195</f>
        <v>#DIV/0!</v>
      </c>
      <c r="G222" s="380" t="e">
        <f t="shared" si="146"/>
        <v>#DIV/0!</v>
      </c>
      <c r="H222" s="380" t="e">
        <f>H195</f>
        <v>#DIV/0!</v>
      </c>
      <c r="I222" s="380" t="e">
        <f t="shared" si="146"/>
        <v>#DIV/0!</v>
      </c>
      <c r="J222" s="380" t="e">
        <f t="shared" si="146"/>
        <v>#DIV/0!</v>
      </c>
      <c r="K222" s="380" t="e">
        <f t="shared" si="146"/>
        <v>#DIV/0!</v>
      </c>
      <c r="L222" s="380" t="e">
        <f t="shared" si="146"/>
        <v>#DIV/0!</v>
      </c>
      <c r="M222" s="380" t="e">
        <f t="shared" si="146"/>
        <v>#DIV/0!</v>
      </c>
      <c r="N222" s="380" t="e">
        <f t="shared" si="146"/>
        <v>#DIV/0!</v>
      </c>
      <c r="O222" s="380" t="e">
        <f t="shared" si="146"/>
        <v>#DIV/0!</v>
      </c>
      <c r="P222" s="380" t="e">
        <f t="shared" si="146"/>
        <v>#DIV/0!</v>
      </c>
      <c r="Q222" s="380" t="e">
        <f t="shared" si="146"/>
        <v>#DIV/0!</v>
      </c>
      <c r="R222" s="380" t="e">
        <f t="shared" si="146"/>
        <v>#DIV/0!</v>
      </c>
      <c r="S222" s="380" t="e">
        <f t="shared" si="146"/>
        <v>#DIV/0!</v>
      </c>
      <c r="T222" s="380" t="e">
        <f t="shared" si="146"/>
        <v>#DIV/0!</v>
      </c>
      <c r="U222" s="380" t="e">
        <f t="shared" si="146"/>
        <v>#DIV/0!</v>
      </c>
      <c r="V222" s="380" t="e">
        <f t="shared" si="146"/>
        <v>#DIV/0!</v>
      </c>
      <c r="W222" s="380" t="e">
        <f t="shared" si="146"/>
        <v>#DIV/0!</v>
      </c>
      <c r="X222" s="380" t="e">
        <f t="shared" si="146"/>
        <v>#DIV/0!</v>
      </c>
      <c r="Y222" s="380" t="e">
        <f t="shared" si="146"/>
        <v>#DIV/0!</v>
      </c>
      <c r="Z222" s="380" t="e">
        <f t="shared" si="146"/>
        <v>#DIV/0!</v>
      </c>
      <c r="AA222" s="380" t="e">
        <f t="shared" si="146"/>
        <v>#DIV/0!</v>
      </c>
      <c r="AB222" s="380" t="e">
        <f t="shared" si="146"/>
        <v>#DIV/0!</v>
      </c>
      <c r="AC222" s="380" t="e">
        <f t="shared" si="146"/>
        <v>#DIV/0!</v>
      </c>
      <c r="AD222" s="380" t="e">
        <f t="shared" si="146"/>
        <v>#DIV/0!</v>
      </c>
      <c r="AE222" s="380" t="e">
        <f t="shared" si="146"/>
        <v>#DIV/0!</v>
      </c>
      <c r="AF222" s="380" t="e">
        <f t="shared" si="146"/>
        <v>#DIV/0!</v>
      </c>
      <c r="AG222" s="380" t="e">
        <f t="shared" si="146"/>
        <v>#DIV/0!</v>
      </c>
      <c r="AH222" s="380" t="e">
        <f t="shared" si="146"/>
        <v>#DIV/0!</v>
      </c>
      <c r="AI222" s="380" t="e">
        <f t="shared" si="146"/>
        <v>#DIV/0!</v>
      </c>
      <c r="AJ222" s="380" t="e">
        <f t="shared" si="146"/>
        <v>#DIV/0!</v>
      </c>
      <c r="AK222" s="380" t="e">
        <f t="shared" si="146"/>
        <v>#DIV/0!</v>
      </c>
      <c r="AL222" s="380" t="e">
        <f t="shared" si="146"/>
        <v>#DIV/0!</v>
      </c>
      <c r="AM222" s="380" t="e">
        <f t="shared" si="146"/>
        <v>#DIV/0!</v>
      </c>
      <c r="AN222" s="380" t="e">
        <f t="shared" si="146"/>
        <v>#DIV/0!</v>
      </c>
      <c r="AO222" s="380" t="e">
        <f t="shared" si="146"/>
        <v>#DIV/0!</v>
      </c>
      <c r="AP222" s="380" t="e">
        <f t="shared" si="146"/>
        <v>#DIV/0!</v>
      </c>
      <c r="AQ222" s="380" t="e">
        <f t="shared" si="146"/>
        <v>#DIV/0!</v>
      </c>
      <c r="AR222" s="380" t="e">
        <f t="shared" si="146"/>
        <v>#DIV/0!</v>
      </c>
      <c r="AS222" s="380" t="e">
        <f t="shared" si="146"/>
        <v>#DIV/0!</v>
      </c>
      <c r="AT222" s="380" t="e">
        <f t="shared" si="146"/>
        <v>#DIV/0!</v>
      </c>
      <c r="AU222" s="380" t="e">
        <f t="shared" si="146"/>
        <v>#DIV/0!</v>
      </c>
      <c r="AV222" s="380" t="e">
        <f t="shared" si="146"/>
        <v>#DIV/0!</v>
      </c>
      <c r="AW222" s="380" t="e">
        <f t="shared" si="146"/>
        <v>#DIV/0!</v>
      </c>
      <c r="AX222" s="380" t="e">
        <f t="shared" si="146"/>
        <v>#DIV/0!</v>
      </c>
      <c r="AY222" s="380" t="e">
        <f t="shared" si="146"/>
        <v>#DIV/0!</v>
      </c>
      <c r="AZ222" s="380" t="e">
        <f t="shared" si="146"/>
        <v>#DIV/0!</v>
      </c>
      <c r="BA222" s="380" t="e">
        <f t="shared" si="146"/>
        <v>#DIV/0!</v>
      </c>
      <c r="BB222" s="380" t="e">
        <f t="shared" si="146"/>
        <v>#DIV/0!</v>
      </c>
      <c r="BC222" s="380" t="e">
        <f t="shared" si="146"/>
        <v>#DIV/0!</v>
      </c>
      <c r="BD222" s="380" t="e">
        <f t="shared" si="146"/>
        <v>#DIV/0!</v>
      </c>
      <c r="BE222" s="380" t="e">
        <f t="shared" si="146"/>
        <v>#DIV/0!</v>
      </c>
      <c r="BF222" s="380" t="e">
        <f t="shared" si="146"/>
        <v>#DIV/0!</v>
      </c>
      <c r="BG222" s="380" t="e">
        <f t="shared" si="146"/>
        <v>#DIV/0!</v>
      </c>
      <c r="BH222" s="380" t="e">
        <f t="shared" si="146"/>
        <v>#DIV/0!</v>
      </c>
      <c r="BI222" s="380" t="e">
        <f t="shared" si="146"/>
        <v>#DIV/0!</v>
      </c>
      <c r="BJ222" s="380" t="e">
        <f t="shared" si="146"/>
        <v>#DIV/0!</v>
      </c>
      <c r="BK222" s="380" t="e">
        <f t="shared" si="146"/>
        <v>#DIV/0!</v>
      </c>
      <c r="BL222" s="380" t="e">
        <f t="shared" si="146"/>
        <v>#DIV/0!</v>
      </c>
      <c r="BM222" s="380" t="e">
        <f t="shared" si="146"/>
        <v>#DIV/0!</v>
      </c>
      <c r="BN222" s="380" t="e">
        <f t="shared" si="146"/>
        <v>#DIV/0!</v>
      </c>
      <c r="BO222" s="380" t="e">
        <f t="shared" si="146"/>
        <v>#DIV/0!</v>
      </c>
      <c r="BP222" s="380" t="e">
        <f t="shared" si="146"/>
        <v>#DIV/0!</v>
      </c>
      <c r="BQ222" s="380" t="e">
        <f t="shared" si="146"/>
        <v>#DIV/0!</v>
      </c>
      <c r="BR222" s="380" t="e">
        <f t="shared" ref="BR222:CF223" si="147">BR195</f>
        <v>#DIV/0!</v>
      </c>
      <c r="BS222" s="380" t="e">
        <f t="shared" si="147"/>
        <v>#DIV/0!</v>
      </c>
      <c r="BT222" s="380" t="e">
        <f t="shared" si="147"/>
        <v>#DIV/0!</v>
      </c>
      <c r="BU222" s="380" t="e">
        <f t="shared" si="147"/>
        <v>#DIV/0!</v>
      </c>
      <c r="BV222" s="380" t="e">
        <f t="shared" si="147"/>
        <v>#DIV/0!</v>
      </c>
      <c r="BW222" s="380" t="e">
        <f t="shared" si="147"/>
        <v>#DIV/0!</v>
      </c>
      <c r="BX222" s="380" t="e">
        <f t="shared" si="147"/>
        <v>#DIV/0!</v>
      </c>
      <c r="BY222" s="380" t="e">
        <f t="shared" si="147"/>
        <v>#DIV/0!</v>
      </c>
      <c r="BZ222" s="380" t="e">
        <f t="shared" si="147"/>
        <v>#DIV/0!</v>
      </c>
      <c r="CA222" s="380" t="e">
        <f t="shared" si="147"/>
        <v>#DIV/0!</v>
      </c>
      <c r="CB222" s="380" t="e">
        <f t="shared" si="147"/>
        <v>#DIV/0!</v>
      </c>
      <c r="CC222" s="380" t="e">
        <f t="shared" si="147"/>
        <v>#DIV/0!</v>
      </c>
      <c r="CD222" s="380" t="e">
        <f t="shared" si="147"/>
        <v>#DIV/0!</v>
      </c>
      <c r="CE222" s="380" t="e">
        <f t="shared" si="147"/>
        <v>#DIV/0!</v>
      </c>
      <c r="CF222" s="380" t="e">
        <f t="shared" si="147"/>
        <v>#DIV/0!</v>
      </c>
    </row>
    <row r="223" spans="1:84">
      <c r="D223" s="380" t="s">
        <v>93</v>
      </c>
      <c r="E223" s="380" t="e">
        <f>E196</f>
        <v>#DIV/0!</v>
      </c>
      <c r="F223" s="380" t="e">
        <f t="shared" si="146"/>
        <v>#DIV/0!</v>
      </c>
      <c r="G223" s="380" t="e">
        <f t="shared" si="146"/>
        <v>#DIV/0!</v>
      </c>
      <c r="H223" s="380" t="e">
        <f t="shared" si="146"/>
        <v>#DIV/0!</v>
      </c>
      <c r="I223" s="380" t="e">
        <f t="shared" si="146"/>
        <v>#DIV/0!</v>
      </c>
      <c r="J223" s="380" t="e">
        <f t="shared" si="146"/>
        <v>#DIV/0!</v>
      </c>
      <c r="K223" s="380" t="e">
        <f t="shared" si="146"/>
        <v>#DIV/0!</v>
      </c>
      <c r="L223" s="380" t="e">
        <f t="shared" si="146"/>
        <v>#DIV/0!</v>
      </c>
      <c r="M223" s="380" t="e">
        <f t="shared" si="146"/>
        <v>#DIV/0!</v>
      </c>
      <c r="N223" s="380" t="e">
        <f t="shared" si="146"/>
        <v>#DIV/0!</v>
      </c>
      <c r="O223" s="380" t="e">
        <f t="shared" si="146"/>
        <v>#DIV/0!</v>
      </c>
      <c r="P223" s="380" t="e">
        <f t="shared" si="146"/>
        <v>#DIV/0!</v>
      </c>
      <c r="Q223" s="380" t="e">
        <f t="shared" si="146"/>
        <v>#DIV/0!</v>
      </c>
      <c r="R223" s="380" t="e">
        <f t="shared" si="146"/>
        <v>#DIV/0!</v>
      </c>
      <c r="S223" s="380" t="e">
        <f t="shared" si="146"/>
        <v>#DIV/0!</v>
      </c>
      <c r="T223" s="380" t="e">
        <f t="shared" si="146"/>
        <v>#DIV/0!</v>
      </c>
      <c r="U223" s="380" t="e">
        <f t="shared" si="146"/>
        <v>#DIV/0!</v>
      </c>
      <c r="V223" s="380" t="e">
        <f t="shared" si="146"/>
        <v>#DIV/0!</v>
      </c>
      <c r="W223" s="380" t="e">
        <f t="shared" si="146"/>
        <v>#DIV/0!</v>
      </c>
      <c r="X223" s="380" t="e">
        <f t="shared" si="146"/>
        <v>#DIV/0!</v>
      </c>
      <c r="Y223" s="380" t="e">
        <f t="shared" si="146"/>
        <v>#DIV/0!</v>
      </c>
      <c r="Z223" s="380" t="e">
        <f t="shared" si="146"/>
        <v>#DIV/0!</v>
      </c>
      <c r="AA223" s="380" t="e">
        <f t="shared" si="146"/>
        <v>#DIV/0!</v>
      </c>
      <c r="AB223" s="380" t="e">
        <f t="shared" si="146"/>
        <v>#DIV/0!</v>
      </c>
      <c r="AC223" s="380" t="e">
        <f t="shared" si="146"/>
        <v>#DIV/0!</v>
      </c>
      <c r="AD223" s="380" t="e">
        <f t="shared" si="146"/>
        <v>#DIV/0!</v>
      </c>
      <c r="AE223" s="380" t="e">
        <f t="shared" si="146"/>
        <v>#DIV/0!</v>
      </c>
      <c r="AF223" s="380" t="e">
        <f t="shared" si="146"/>
        <v>#DIV/0!</v>
      </c>
      <c r="AG223" s="380" t="e">
        <f t="shared" si="146"/>
        <v>#DIV/0!</v>
      </c>
      <c r="AH223" s="380" t="e">
        <f t="shared" si="146"/>
        <v>#DIV/0!</v>
      </c>
      <c r="AI223" s="380" t="e">
        <f t="shared" si="146"/>
        <v>#DIV/0!</v>
      </c>
      <c r="AJ223" s="380" t="e">
        <f t="shared" si="146"/>
        <v>#DIV/0!</v>
      </c>
      <c r="AK223" s="380" t="e">
        <f t="shared" si="146"/>
        <v>#DIV/0!</v>
      </c>
      <c r="AL223" s="380" t="e">
        <f t="shared" si="146"/>
        <v>#DIV/0!</v>
      </c>
      <c r="AM223" s="380" t="e">
        <f t="shared" si="146"/>
        <v>#DIV/0!</v>
      </c>
      <c r="AN223" s="380" t="e">
        <f t="shared" si="146"/>
        <v>#DIV/0!</v>
      </c>
      <c r="AO223" s="380" t="e">
        <f t="shared" si="146"/>
        <v>#DIV/0!</v>
      </c>
      <c r="AP223" s="380" t="e">
        <f t="shared" si="146"/>
        <v>#DIV/0!</v>
      </c>
      <c r="AQ223" s="380" t="e">
        <f t="shared" si="146"/>
        <v>#DIV/0!</v>
      </c>
      <c r="AR223" s="380" t="e">
        <f t="shared" si="146"/>
        <v>#DIV/0!</v>
      </c>
      <c r="AS223" s="380" t="e">
        <f t="shared" si="146"/>
        <v>#DIV/0!</v>
      </c>
      <c r="AT223" s="380" t="e">
        <f t="shared" si="146"/>
        <v>#DIV/0!</v>
      </c>
      <c r="AU223" s="380" t="e">
        <f t="shared" si="146"/>
        <v>#DIV/0!</v>
      </c>
      <c r="AV223" s="380" t="e">
        <f t="shared" si="146"/>
        <v>#DIV/0!</v>
      </c>
      <c r="AW223" s="380" t="e">
        <f t="shared" si="146"/>
        <v>#DIV/0!</v>
      </c>
      <c r="AX223" s="380" t="e">
        <f t="shared" si="146"/>
        <v>#DIV/0!</v>
      </c>
      <c r="AY223" s="380" t="e">
        <f t="shared" si="146"/>
        <v>#DIV/0!</v>
      </c>
      <c r="AZ223" s="380" t="e">
        <f t="shared" si="146"/>
        <v>#DIV/0!</v>
      </c>
      <c r="BA223" s="380" t="e">
        <f t="shared" si="146"/>
        <v>#DIV/0!</v>
      </c>
      <c r="BB223" s="380" t="e">
        <f t="shared" si="146"/>
        <v>#DIV/0!</v>
      </c>
      <c r="BC223" s="380" t="e">
        <f t="shared" si="146"/>
        <v>#DIV/0!</v>
      </c>
      <c r="BD223" s="380" t="e">
        <f t="shared" si="146"/>
        <v>#DIV/0!</v>
      </c>
      <c r="BE223" s="380" t="e">
        <f t="shared" si="146"/>
        <v>#DIV/0!</v>
      </c>
      <c r="BF223" s="380" t="e">
        <f t="shared" si="146"/>
        <v>#DIV/0!</v>
      </c>
      <c r="BG223" s="380" t="e">
        <f t="shared" si="146"/>
        <v>#DIV/0!</v>
      </c>
      <c r="BH223" s="380" t="e">
        <f t="shared" si="146"/>
        <v>#DIV/0!</v>
      </c>
      <c r="BI223" s="380" t="e">
        <f t="shared" si="146"/>
        <v>#DIV/0!</v>
      </c>
      <c r="BJ223" s="380" t="e">
        <f t="shared" si="146"/>
        <v>#DIV/0!</v>
      </c>
      <c r="BK223" s="380" t="e">
        <f t="shared" si="146"/>
        <v>#DIV/0!</v>
      </c>
      <c r="BL223" s="380" t="e">
        <f t="shared" si="146"/>
        <v>#DIV/0!</v>
      </c>
      <c r="BM223" s="380" t="e">
        <f t="shared" si="146"/>
        <v>#DIV/0!</v>
      </c>
      <c r="BN223" s="380" t="e">
        <f t="shared" si="146"/>
        <v>#DIV/0!</v>
      </c>
      <c r="BO223" s="380" t="e">
        <f t="shared" si="146"/>
        <v>#DIV/0!</v>
      </c>
      <c r="BP223" s="380" t="e">
        <f t="shared" si="146"/>
        <v>#DIV/0!</v>
      </c>
      <c r="BQ223" s="380" t="e">
        <f t="shared" si="146"/>
        <v>#DIV/0!</v>
      </c>
      <c r="BR223" s="380" t="e">
        <f t="shared" si="147"/>
        <v>#DIV/0!</v>
      </c>
      <c r="BS223" s="380" t="e">
        <f t="shared" si="147"/>
        <v>#DIV/0!</v>
      </c>
      <c r="BT223" s="380" t="e">
        <f t="shared" si="147"/>
        <v>#DIV/0!</v>
      </c>
      <c r="BU223" s="380" t="e">
        <f t="shared" si="147"/>
        <v>#DIV/0!</v>
      </c>
      <c r="BV223" s="380" t="e">
        <f t="shared" si="147"/>
        <v>#DIV/0!</v>
      </c>
      <c r="BW223" s="380" t="e">
        <f t="shared" si="147"/>
        <v>#DIV/0!</v>
      </c>
      <c r="BX223" s="380" t="e">
        <f t="shared" si="147"/>
        <v>#DIV/0!</v>
      </c>
      <c r="BY223" s="380" t="e">
        <f t="shared" si="147"/>
        <v>#DIV/0!</v>
      </c>
      <c r="BZ223" s="380" t="e">
        <f t="shared" si="147"/>
        <v>#DIV/0!</v>
      </c>
      <c r="CA223" s="380" t="e">
        <f t="shared" si="147"/>
        <v>#DIV/0!</v>
      </c>
      <c r="CB223" s="380" t="e">
        <f t="shared" si="147"/>
        <v>#DIV/0!</v>
      </c>
      <c r="CC223" s="380" t="e">
        <f t="shared" si="147"/>
        <v>#DIV/0!</v>
      </c>
      <c r="CD223" s="380" t="e">
        <f t="shared" si="147"/>
        <v>#DIV/0!</v>
      </c>
      <c r="CE223" s="380" t="e">
        <f t="shared" si="147"/>
        <v>#DIV/0!</v>
      </c>
      <c r="CF223" s="380" t="e">
        <f t="shared" si="147"/>
        <v>#DIV/0!</v>
      </c>
    </row>
    <row r="225" spans="2:84">
      <c r="C225" s="360" t="s">
        <v>290</v>
      </c>
    </row>
    <row r="226" spans="2:84">
      <c r="D226" s="728"/>
      <c r="E226" s="728">
        <v>2010</v>
      </c>
      <c r="F226" s="728">
        <v>2011</v>
      </c>
      <c r="G226" s="728">
        <v>2012</v>
      </c>
      <c r="H226" s="728">
        <v>2013</v>
      </c>
      <c r="I226" s="728">
        <v>2014</v>
      </c>
      <c r="J226" s="728">
        <v>2015</v>
      </c>
      <c r="K226" s="728">
        <v>2016</v>
      </c>
      <c r="L226" s="728">
        <v>2017</v>
      </c>
      <c r="M226" s="728">
        <v>2018</v>
      </c>
      <c r="N226" s="728">
        <v>2019</v>
      </c>
      <c r="O226" s="728">
        <v>2020</v>
      </c>
      <c r="P226" s="728">
        <v>2021</v>
      </c>
      <c r="Q226" s="728">
        <v>2022</v>
      </c>
      <c r="R226" s="728">
        <v>2023</v>
      </c>
      <c r="S226" s="728">
        <v>2024</v>
      </c>
      <c r="T226" s="728">
        <v>2025</v>
      </c>
      <c r="U226" s="728">
        <v>2026</v>
      </c>
      <c r="V226" s="728">
        <v>2027</v>
      </c>
      <c r="W226" s="728">
        <v>2028</v>
      </c>
      <c r="X226" s="728">
        <v>2029</v>
      </c>
      <c r="Y226" s="728">
        <v>2030</v>
      </c>
      <c r="Z226" s="728">
        <v>2031</v>
      </c>
      <c r="AA226" s="728">
        <v>2032</v>
      </c>
      <c r="AB226" s="728">
        <v>2033</v>
      </c>
      <c r="AC226" s="728">
        <v>2034</v>
      </c>
      <c r="AD226" s="728">
        <v>2035</v>
      </c>
      <c r="AE226" s="728">
        <v>2036</v>
      </c>
      <c r="AF226" s="728">
        <v>2037</v>
      </c>
      <c r="AG226" s="728">
        <v>2038</v>
      </c>
      <c r="AH226" s="728">
        <v>2039</v>
      </c>
      <c r="AI226" s="728">
        <v>2040</v>
      </c>
      <c r="AJ226" s="728">
        <v>2041</v>
      </c>
      <c r="AK226" s="728">
        <v>2042</v>
      </c>
      <c r="AL226" s="728">
        <v>2043</v>
      </c>
      <c r="AM226" s="728">
        <v>2044</v>
      </c>
      <c r="AN226" s="728">
        <v>2045</v>
      </c>
      <c r="AO226" s="728">
        <v>2046</v>
      </c>
      <c r="AP226" s="728">
        <v>2047</v>
      </c>
      <c r="AQ226" s="728">
        <v>2048</v>
      </c>
      <c r="AR226" s="728">
        <v>2049</v>
      </c>
      <c r="AS226" s="728">
        <v>2050</v>
      </c>
      <c r="AT226" s="728">
        <v>2051</v>
      </c>
      <c r="AU226" s="728">
        <v>2052</v>
      </c>
      <c r="AV226" s="728">
        <v>2053</v>
      </c>
      <c r="AW226" s="728">
        <v>2054</v>
      </c>
      <c r="AX226" s="728">
        <v>2055</v>
      </c>
      <c r="AY226" s="728">
        <v>2056</v>
      </c>
      <c r="AZ226" s="728">
        <v>2057</v>
      </c>
      <c r="BA226" s="728">
        <v>2058</v>
      </c>
      <c r="BB226" s="728">
        <v>2059</v>
      </c>
      <c r="BC226" s="728">
        <v>2060</v>
      </c>
      <c r="BD226" s="728">
        <v>2061</v>
      </c>
      <c r="BE226" s="728">
        <v>2062</v>
      </c>
      <c r="BF226" s="728">
        <v>2063</v>
      </c>
      <c r="BG226" s="728">
        <v>2064</v>
      </c>
      <c r="BH226" s="728">
        <v>2065</v>
      </c>
      <c r="BI226" s="728">
        <v>2066</v>
      </c>
      <c r="BJ226" s="728">
        <v>2067</v>
      </c>
      <c r="BK226" s="728">
        <v>2068</v>
      </c>
      <c r="BL226" s="728">
        <v>2069</v>
      </c>
      <c r="BM226" s="728">
        <v>2070</v>
      </c>
      <c r="BN226" s="728">
        <v>2071</v>
      </c>
      <c r="BO226" s="728">
        <v>2072</v>
      </c>
      <c r="BP226" s="728">
        <v>2073</v>
      </c>
      <c r="BQ226" s="728">
        <v>2074</v>
      </c>
      <c r="BR226" s="728">
        <v>2075</v>
      </c>
      <c r="BS226" s="728">
        <v>2076</v>
      </c>
      <c r="BT226" s="728">
        <v>2077</v>
      </c>
      <c r="BU226" s="728">
        <v>2078</v>
      </c>
      <c r="BV226" s="728">
        <v>2079</v>
      </c>
      <c r="BW226" s="728">
        <v>2080</v>
      </c>
      <c r="BX226" s="728">
        <v>2081</v>
      </c>
      <c r="BY226" s="728">
        <v>2082</v>
      </c>
      <c r="BZ226" s="728">
        <v>2083</v>
      </c>
      <c r="CA226" s="728">
        <v>2084</v>
      </c>
      <c r="CB226" s="728">
        <v>2085</v>
      </c>
      <c r="CC226" s="728">
        <v>2086</v>
      </c>
      <c r="CD226" s="728">
        <v>2087</v>
      </c>
      <c r="CE226" s="728">
        <v>2088</v>
      </c>
      <c r="CF226" s="728">
        <v>2089</v>
      </c>
    </row>
    <row r="227" spans="2:84">
      <c r="D227" s="380" t="s">
        <v>87</v>
      </c>
      <c r="E227" s="380" t="e">
        <f>E220*$E$11</f>
        <v>#DIV/0!</v>
      </c>
      <c r="F227" s="380" t="e">
        <f t="shared" ref="F227:BQ228" si="148">F220*$E$11</f>
        <v>#DIV/0!</v>
      </c>
      <c r="G227" s="380" t="e">
        <f t="shared" si="148"/>
        <v>#DIV/0!</v>
      </c>
      <c r="H227" s="380" t="e">
        <f t="shared" si="148"/>
        <v>#DIV/0!</v>
      </c>
      <c r="I227" s="380" t="e">
        <f t="shared" si="148"/>
        <v>#DIV/0!</v>
      </c>
      <c r="J227" s="380" t="e">
        <f t="shared" si="148"/>
        <v>#DIV/0!</v>
      </c>
      <c r="K227" s="380" t="e">
        <f t="shared" si="148"/>
        <v>#DIV/0!</v>
      </c>
      <c r="L227" s="380" t="e">
        <f t="shared" si="148"/>
        <v>#DIV/0!</v>
      </c>
      <c r="M227" s="380" t="e">
        <f t="shared" si="148"/>
        <v>#DIV/0!</v>
      </c>
      <c r="N227" s="380" t="e">
        <f t="shared" si="148"/>
        <v>#DIV/0!</v>
      </c>
      <c r="O227" s="380" t="e">
        <f t="shared" si="148"/>
        <v>#DIV/0!</v>
      </c>
      <c r="P227" s="380" t="e">
        <f t="shared" si="148"/>
        <v>#DIV/0!</v>
      </c>
      <c r="Q227" s="380" t="e">
        <f t="shared" si="148"/>
        <v>#DIV/0!</v>
      </c>
      <c r="R227" s="380" t="e">
        <f t="shared" si="148"/>
        <v>#DIV/0!</v>
      </c>
      <c r="S227" s="380" t="e">
        <f t="shared" si="148"/>
        <v>#DIV/0!</v>
      </c>
      <c r="T227" s="380" t="e">
        <f t="shared" si="148"/>
        <v>#DIV/0!</v>
      </c>
      <c r="U227" s="380" t="e">
        <f t="shared" si="148"/>
        <v>#DIV/0!</v>
      </c>
      <c r="V227" s="380" t="e">
        <f t="shared" si="148"/>
        <v>#DIV/0!</v>
      </c>
      <c r="W227" s="380" t="e">
        <f t="shared" si="148"/>
        <v>#DIV/0!</v>
      </c>
      <c r="X227" s="380" t="e">
        <f t="shared" si="148"/>
        <v>#DIV/0!</v>
      </c>
      <c r="Y227" s="380" t="e">
        <f t="shared" si="148"/>
        <v>#DIV/0!</v>
      </c>
      <c r="Z227" s="380" t="e">
        <f t="shared" si="148"/>
        <v>#DIV/0!</v>
      </c>
      <c r="AA227" s="380" t="e">
        <f t="shared" si="148"/>
        <v>#DIV/0!</v>
      </c>
      <c r="AB227" s="380" t="e">
        <f t="shared" si="148"/>
        <v>#DIV/0!</v>
      </c>
      <c r="AC227" s="380" t="e">
        <f t="shared" si="148"/>
        <v>#DIV/0!</v>
      </c>
      <c r="AD227" s="380" t="e">
        <f t="shared" si="148"/>
        <v>#DIV/0!</v>
      </c>
      <c r="AE227" s="380" t="e">
        <f t="shared" si="148"/>
        <v>#DIV/0!</v>
      </c>
      <c r="AF227" s="380" t="e">
        <f t="shared" si="148"/>
        <v>#DIV/0!</v>
      </c>
      <c r="AG227" s="380" t="e">
        <f t="shared" si="148"/>
        <v>#DIV/0!</v>
      </c>
      <c r="AH227" s="380" t="e">
        <f t="shared" si="148"/>
        <v>#DIV/0!</v>
      </c>
      <c r="AI227" s="380" t="e">
        <f t="shared" si="148"/>
        <v>#DIV/0!</v>
      </c>
      <c r="AJ227" s="380" t="e">
        <f t="shared" si="148"/>
        <v>#DIV/0!</v>
      </c>
      <c r="AK227" s="380" t="e">
        <f t="shared" si="148"/>
        <v>#DIV/0!</v>
      </c>
      <c r="AL227" s="380" t="e">
        <f t="shared" si="148"/>
        <v>#DIV/0!</v>
      </c>
      <c r="AM227" s="380" t="e">
        <f t="shared" si="148"/>
        <v>#DIV/0!</v>
      </c>
      <c r="AN227" s="380" t="e">
        <f t="shared" si="148"/>
        <v>#DIV/0!</v>
      </c>
      <c r="AO227" s="380" t="e">
        <f t="shared" si="148"/>
        <v>#DIV/0!</v>
      </c>
      <c r="AP227" s="380" t="e">
        <f t="shared" si="148"/>
        <v>#DIV/0!</v>
      </c>
      <c r="AQ227" s="380" t="e">
        <f t="shared" si="148"/>
        <v>#DIV/0!</v>
      </c>
      <c r="AR227" s="380" t="e">
        <f t="shared" si="148"/>
        <v>#DIV/0!</v>
      </c>
      <c r="AS227" s="380" t="e">
        <f t="shared" si="148"/>
        <v>#DIV/0!</v>
      </c>
      <c r="AT227" s="380" t="e">
        <f t="shared" si="148"/>
        <v>#DIV/0!</v>
      </c>
      <c r="AU227" s="380" t="e">
        <f t="shared" si="148"/>
        <v>#DIV/0!</v>
      </c>
      <c r="AV227" s="380" t="e">
        <f t="shared" si="148"/>
        <v>#DIV/0!</v>
      </c>
      <c r="AW227" s="380" t="e">
        <f t="shared" si="148"/>
        <v>#DIV/0!</v>
      </c>
      <c r="AX227" s="380" t="e">
        <f t="shared" si="148"/>
        <v>#DIV/0!</v>
      </c>
      <c r="AY227" s="380" t="e">
        <f t="shared" si="148"/>
        <v>#DIV/0!</v>
      </c>
      <c r="AZ227" s="380" t="e">
        <f t="shared" si="148"/>
        <v>#DIV/0!</v>
      </c>
      <c r="BA227" s="380" t="e">
        <f t="shared" si="148"/>
        <v>#DIV/0!</v>
      </c>
      <c r="BB227" s="380" t="e">
        <f t="shared" si="148"/>
        <v>#DIV/0!</v>
      </c>
      <c r="BC227" s="380" t="e">
        <f t="shared" si="148"/>
        <v>#DIV/0!</v>
      </c>
      <c r="BD227" s="380" t="e">
        <f t="shared" si="148"/>
        <v>#DIV/0!</v>
      </c>
      <c r="BE227" s="380" t="e">
        <f t="shared" si="148"/>
        <v>#DIV/0!</v>
      </c>
      <c r="BF227" s="380" t="e">
        <f t="shared" si="148"/>
        <v>#DIV/0!</v>
      </c>
      <c r="BG227" s="380" t="e">
        <f t="shared" si="148"/>
        <v>#DIV/0!</v>
      </c>
      <c r="BH227" s="380" t="e">
        <f t="shared" si="148"/>
        <v>#DIV/0!</v>
      </c>
      <c r="BI227" s="380" t="e">
        <f t="shared" si="148"/>
        <v>#DIV/0!</v>
      </c>
      <c r="BJ227" s="380" t="e">
        <f t="shared" si="148"/>
        <v>#DIV/0!</v>
      </c>
      <c r="BK227" s="380" t="e">
        <f t="shared" si="148"/>
        <v>#DIV/0!</v>
      </c>
      <c r="BL227" s="380" t="e">
        <f t="shared" si="148"/>
        <v>#DIV/0!</v>
      </c>
      <c r="BM227" s="380" t="e">
        <f t="shared" si="148"/>
        <v>#DIV/0!</v>
      </c>
      <c r="BN227" s="380" t="e">
        <f t="shared" si="148"/>
        <v>#DIV/0!</v>
      </c>
      <c r="BO227" s="380" t="e">
        <f t="shared" si="148"/>
        <v>#DIV/0!</v>
      </c>
      <c r="BP227" s="380" t="e">
        <f t="shared" si="148"/>
        <v>#DIV/0!</v>
      </c>
      <c r="BQ227" s="380" t="e">
        <f t="shared" si="148"/>
        <v>#DIV/0!</v>
      </c>
      <c r="BR227" s="380" t="e">
        <f t="shared" ref="BR227:CF230" si="149">BR220*$E$11</f>
        <v>#DIV/0!</v>
      </c>
      <c r="BS227" s="380" t="e">
        <f t="shared" si="149"/>
        <v>#DIV/0!</v>
      </c>
      <c r="BT227" s="380" t="e">
        <f t="shared" si="149"/>
        <v>#DIV/0!</v>
      </c>
      <c r="BU227" s="380" t="e">
        <f t="shared" si="149"/>
        <v>#DIV/0!</v>
      </c>
      <c r="BV227" s="380" t="e">
        <f t="shared" si="149"/>
        <v>#DIV/0!</v>
      </c>
      <c r="BW227" s="380" t="e">
        <f t="shared" si="149"/>
        <v>#DIV/0!</v>
      </c>
      <c r="BX227" s="380" t="e">
        <f t="shared" si="149"/>
        <v>#DIV/0!</v>
      </c>
      <c r="BY227" s="380" t="e">
        <f t="shared" si="149"/>
        <v>#DIV/0!</v>
      </c>
      <c r="BZ227" s="380" t="e">
        <f t="shared" si="149"/>
        <v>#DIV/0!</v>
      </c>
      <c r="CA227" s="380" t="e">
        <f t="shared" si="149"/>
        <v>#DIV/0!</v>
      </c>
      <c r="CB227" s="380" t="e">
        <f t="shared" si="149"/>
        <v>#DIV/0!</v>
      </c>
      <c r="CC227" s="380" t="e">
        <f t="shared" si="149"/>
        <v>#DIV/0!</v>
      </c>
      <c r="CD227" s="380" t="e">
        <f t="shared" si="149"/>
        <v>#DIV/0!</v>
      </c>
      <c r="CE227" s="380" t="e">
        <f t="shared" si="149"/>
        <v>#DIV/0!</v>
      </c>
      <c r="CF227" s="380" t="e">
        <f t="shared" si="149"/>
        <v>#DIV/0!</v>
      </c>
    </row>
    <row r="228" spans="2:84">
      <c r="D228" s="380" t="s">
        <v>89</v>
      </c>
      <c r="E228" s="380" t="e">
        <f>E221*$E$11</f>
        <v>#DIV/0!</v>
      </c>
      <c r="F228" s="380" t="e">
        <f t="shared" ref="F228:T228" si="150">F221*$E$11</f>
        <v>#DIV/0!</v>
      </c>
      <c r="G228" s="380" t="e">
        <f t="shared" si="150"/>
        <v>#DIV/0!</v>
      </c>
      <c r="H228" s="380" t="e">
        <f t="shared" si="150"/>
        <v>#DIV/0!</v>
      </c>
      <c r="I228" s="380" t="e">
        <f t="shared" si="150"/>
        <v>#DIV/0!</v>
      </c>
      <c r="J228" s="380" t="e">
        <f t="shared" si="150"/>
        <v>#DIV/0!</v>
      </c>
      <c r="K228" s="380" t="e">
        <f t="shared" si="150"/>
        <v>#DIV/0!</v>
      </c>
      <c r="L228" s="380" t="e">
        <f t="shared" si="150"/>
        <v>#DIV/0!</v>
      </c>
      <c r="M228" s="380" t="e">
        <f t="shared" si="150"/>
        <v>#DIV/0!</v>
      </c>
      <c r="N228" s="380" t="e">
        <f t="shared" si="150"/>
        <v>#DIV/0!</v>
      </c>
      <c r="O228" s="380" t="e">
        <f t="shared" si="150"/>
        <v>#DIV/0!</v>
      </c>
      <c r="P228" s="380" t="e">
        <f t="shared" si="150"/>
        <v>#DIV/0!</v>
      </c>
      <c r="Q228" s="380" t="e">
        <f t="shared" si="150"/>
        <v>#DIV/0!</v>
      </c>
      <c r="R228" s="380" t="e">
        <f t="shared" si="150"/>
        <v>#DIV/0!</v>
      </c>
      <c r="S228" s="380" t="e">
        <f t="shared" si="150"/>
        <v>#DIV/0!</v>
      </c>
      <c r="T228" s="380" t="e">
        <f t="shared" si="150"/>
        <v>#DIV/0!</v>
      </c>
      <c r="U228" s="380" t="e">
        <f t="shared" si="148"/>
        <v>#DIV/0!</v>
      </c>
      <c r="V228" s="380" t="e">
        <f t="shared" si="148"/>
        <v>#DIV/0!</v>
      </c>
      <c r="W228" s="380" t="e">
        <f t="shared" si="148"/>
        <v>#DIV/0!</v>
      </c>
      <c r="X228" s="380" t="e">
        <f t="shared" si="148"/>
        <v>#DIV/0!</v>
      </c>
      <c r="Y228" s="380" t="e">
        <f t="shared" si="148"/>
        <v>#DIV/0!</v>
      </c>
      <c r="Z228" s="380" t="e">
        <f t="shared" si="148"/>
        <v>#DIV/0!</v>
      </c>
      <c r="AA228" s="380" t="e">
        <f t="shared" si="148"/>
        <v>#DIV/0!</v>
      </c>
      <c r="AB228" s="380" t="e">
        <f t="shared" si="148"/>
        <v>#DIV/0!</v>
      </c>
      <c r="AC228" s="380" t="e">
        <f t="shared" si="148"/>
        <v>#DIV/0!</v>
      </c>
      <c r="AD228" s="380" t="e">
        <f t="shared" si="148"/>
        <v>#DIV/0!</v>
      </c>
      <c r="AE228" s="380" t="e">
        <f t="shared" si="148"/>
        <v>#DIV/0!</v>
      </c>
      <c r="AF228" s="380" t="e">
        <f t="shared" si="148"/>
        <v>#DIV/0!</v>
      </c>
      <c r="AG228" s="380" t="e">
        <f t="shared" si="148"/>
        <v>#DIV/0!</v>
      </c>
      <c r="AH228" s="380" t="e">
        <f t="shared" si="148"/>
        <v>#DIV/0!</v>
      </c>
      <c r="AI228" s="380" t="e">
        <f t="shared" si="148"/>
        <v>#DIV/0!</v>
      </c>
      <c r="AJ228" s="380" t="e">
        <f t="shared" si="148"/>
        <v>#DIV/0!</v>
      </c>
      <c r="AK228" s="380" t="e">
        <f t="shared" si="148"/>
        <v>#DIV/0!</v>
      </c>
      <c r="AL228" s="380" t="e">
        <f t="shared" si="148"/>
        <v>#DIV/0!</v>
      </c>
      <c r="AM228" s="380" t="e">
        <f t="shared" si="148"/>
        <v>#DIV/0!</v>
      </c>
      <c r="AN228" s="380" t="e">
        <f t="shared" si="148"/>
        <v>#DIV/0!</v>
      </c>
      <c r="AO228" s="380" t="e">
        <f t="shared" si="148"/>
        <v>#DIV/0!</v>
      </c>
      <c r="AP228" s="380" t="e">
        <f t="shared" si="148"/>
        <v>#DIV/0!</v>
      </c>
      <c r="AQ228" s="380" t="e">
        <f t="shared" si="148"/>
        <v>#DIV/0!</v>
      </c>
      <c r="AR228" s="380" t="e">
        <f t="shared" si="148"/>
        <v>#DIV/0!</v>
      </c>
      <c r="AS228" s="380" t="e">
        <f t="shared" si="148"/>
        <v>#DIV/0!</v>
      </c>
      <c r="AT228" s="380" t="e">
        <f t="shared" si="148"/>
        <v>#DIV/0!</v>
      </c>
      <c r="AU228" s="380" t="e">
        <f t="shared" si="148"/>
        <v>#DIV/0!</v>
      </c>
      <c r="AV228" s="380" t="e">
        <f t="shared" si="148"/>
        <v>#DIV/0!</v>
      </c>
      <c r="AW228" s="380" t="e">
        <f t="shared" si="148"/>
        <v>#DIV/0!</v>
      </c>
      <c r="AX228" s="380" t="e">
        <f t="shared" si="148"/>
        <v>#DIV/0!</v>
      </c>
      <c r="AY228" s="380" t="e">
        <f t="shared" si="148"/>
        <v>#DIV/0!</v>
      </c>
      <c r="AZ228" s="380" t="e">
        <f t="shared" si="148"/>
        <v>#DIV/0!</v>
      </c>
      <c r="BA228" s="380" t="e">
        <f t="shared" si="148"/>
        <v>#DIV/0!</v>
      </c>
      <c r="BB228" s="380" t="e">
        <f t="shared" si="148"/>
        <v>#DIV/0!</v>
      </c>
      <c r="BC228" s="380" t="e">
        <f t="shared" si="148"/>
        <v>#DIV/0!</v>
      </c>
      <c r="BD228" s="380" t="e">
        <f t="shared" si="148"/>
        <v>#DIV/0!</v>
      </c>
      <c r="BE228" s="380" t="e">
        <f t="shared" si="148"/>
        <v>#DIV/0!</v>
      </c>
      <c r="BF228" s="380" t="e">
        <f t="shared" si="148"/>
        <v>#DIV/0!</v>
      </c>
      <c r="BG228" s="380" t="e">
        <f t="shared" si="148"/>
        <v>#DIV/0!</v>
      </c>
      <c r="BH228" s="380" t="e">
        <f t="shared" si="148"/>
        <v>#DIV/0!</v>
      </c>
      <c r="BI228" s="380" t="e">
        <f t="shared" si="148"/>
        <v>#DIV/0!</v>
      </c>
      <c r="BJ228" s="380" t="e">
        <f t="shared" si="148"/>
        <v>#DIV/0!</v>
      </c>
      <c r="BK228" s="380" t="e">
        <f t="shared" si="148"/>
        <v>#DIV/0!</v>
      </c>
      <c r="BL228" s="380" t="e">
        <f t="shared" si="148"/>
        <v>#DIV/0!</v>
      </c>
      <c r="BM228" s="380" t="e">
        <f t="shared" si="148"/>
        <v>#DIV/0!</v>
      </c>
      <c r="BN228" s="380" t="e">
        <f t="shared" si="148"/>
        <v>#DIV/0!</v>
      </c>
      <c r="BO228" s="380" t="e">
        <f t="shared" si="148"/>
        <v>#DIV/0!</v>
      </c>
      <c r="BP228" s="380" t="e">
        <f t="shared" si="148"/>
        <v>#DIV/0!</v>
      </c>
      <c r="BQ228" s="380" t="e">
        <f t="shared" si="148"/>
        <v>#DIV/0!</v>
      </c>
      <c r="BR228" s="380" t="e">
        <f t="shared" si="149"/>
        <v>#DIV/0!</v>
      </c>
      <c r="BS228" s="380" t="e">
        <f t="shared" si="149"/>
        <v>#DIV/0!</v>
      </c>
      <c r="BT228" s="380" t="e">
        <f t="shared" si="149"/>
        <v>#DIV/0!</v>
      </c>
      <c r="BU228" s="380" t="e">
        <f t="shared" si="149"/>
        <v>#DIV/0!</v>
      </c>
      <c r="BV228" s="380" t="e">
        <f t="shared" si="149"/>
        <v>#DIV/0!</v>
      </c>
      <c r="BW228" s="380" t="e">
        <f t="shared" si="149"/>
        <v>#DIV/0!</v>
      </c>
      <c r="BX228" s="380" t="e">
        <f t="shared" si="149"/>
        <v>#DIV/0!</v>
      </c>
      <c r="BY228" s="380" t="e">
        <f t="shared" si="149"/>
        <v>#DIV/0!</v>
      </c>
      <c r="BZ228" s="380" t="e">
        <f t="shared" si="149"/>
        <v>#DIV/0!</v>
      </c>
      <c r="CA228" s="380" t="e">
        <f t="shared" si="149"/>
        <v>#DIV/0!</v>
      </c>
      <c r="CB228" s="380" t="e">
        <f t="shared" si="149"/>
        <v>#DIV/0!</v>
      </c>
      <c r="CC228" s="380" t="e">
        <f t="shared" si="149"/>
        <v>#DIV/0!</v>
      </c>
      <c r="CD228" s="380" t="e">
        <f t="shared" si="149"/>
        <v>#DIV/0!</v>
      </c>
      <c r="CE228" s="380" t="e">
        <f t="shared" si="149"/>
        <v>#DIV/0!</v>
      </c>
      <c r="CF228" s="380" t="e">
        <f t="shared" si="149"/>
        <v>#DIV/0!</v>
      </c>
    </row>
    <row r="229" spans="2:84">
      <c r="D229" s="380" t="s">
        <v>91</v>
      </c>
      <c r="E229" s="380" t="e">
        <f>E222*$E$11</f>
        <v>#DIV/0!</v>
      </c>
      <c r="F229" s="380" t="e">
        <f t="shared" ref="F229:BQ230" si="151">F222*$E$11</f>
        <v>#DIV/0!</v>
      </c>
      <c r="G229" s="380" t="e">
        <f t="shared" si="151"/>
        <v>#DIV/0!</v>
      </c>
      <c r="H229" s="380" t="e">
        <f t="shared" si="151"/>
        <v>#DIV/0!</v>
      </c>
      <c r="I229" s="380" t="e">
        <f t="shared" si="151"/>
        <v>#DIV/0!</v>
      </c>
      <c r="J229" s="380" t="e">
        <f t="shared" si="151"/>
        <v>#DIV/0!</v>
      </c>
      <c r="K229" s="380" t="e">
        <f t="shared" si="151"/>
        <v>#DIV/0!</v>
      </c>
      <c r="L229" s="380" t="e">
        <f t="shared" si="151"/>
        <v>#DIV/0!</v>
      </c>
      <c r="M229" s="380" t="e">
        <f t="shared" si="151"/>
        <v>#DIV/0!</v>
      </c>
      <c r="N229" s="380" t="e">
        <f t="shared" si="151"/>
        <v>#DIV/0!</v>
      </c>
      <c r="O229" s="380" t="e">
        <f t="shared" si="151"/>
        <v>#DIV/0!</v>
      </c>
      <c r="P229" s="380" t="e">
        <f t="shared" si="151"/>
        <v>#DIV/0!</v>
      </c>
      <c r="Q229" s="380" t="e">
        <f t="shared" si="151"/>
        <v>#DIV/0!</v>
      </c>
      <c r="R229" s="380" t="e">
        <f t="shared" si="151"/>
        <v>#DIV/0!</v>
      </c>
      <c r="S229" s="380" t="e">
        <f t="shared" si="151"/>
        <v>#DIV/0!</v>
      </c>
      <c r="T229" s="380" t="e">
        <f t="shared" si="151"/>
        <v>#DIV/0!</v>
      </c>
      <c r="U229" s="380" t="e">
        <f t="shared" si="151"/>
        <v>#DIV/0!</v>
      </c>
      <c r="V229" s="380" t="e">
        <f t="shared" si="151"/>
        <v>#DIV/0!</v>
      </c>
      <c r="W229" s="380" t="e">
        <f t="shared" si="151"/>
        <v>#DIV/0!</v>
      </c>
      <c r="X229" s="380" t="e">
        <f t="shared" si="151"/>
        <v>#DIV/0!</v>
      </c>
      <c r="Y229" s="380" t="e">
        <f t="shared" si="151"/>
        <v>#DIV/0!</v>
      </c>
      <c r="Z229" s="380" t="e">
        <f t="shared" si="151"/>
        <v>#DIV/0!</v>
      </c>
      <c r="AA229" s="380" t="e">
        <f t="shared" si="151"/>
        <v>#DIV/0!</v>
      </c>
      <c r="AB229" s="380" t="e">
        <f t="shared" si="151"/>
        <v>#DIV/0!</v>
      </c>
      <c r="AC229" s="380" t="e">
        <f t="shared" si="151"/>
        <v>#DIV/0!</v>
      </c>
      <c r="AD229" s="380" t="e">
        <f t="shared" si="151"/>
        <v>#DIV/0!</v>
      </c>
      <c r="AE229" s="380" t="e">
        <f t="shared" si="151"/>
        <v>#DIV/0!</v>
      </c>
      <c r="AF229" s="380" t="e">
        <f t="shared" si="151"/>
        <v>#DIV/0!</v>
      </c>
      <c r="AG229" s="380" t="e">
        <f t="shared" si="151"/>
        <v>#DIV/0!</v>
      </c>
      <c r="AH229" s="380" t="e">
        <f t="shared" si="151"/>
        <v>#DIV/0!</v>
      </c>
      <c r="AI229" s="380" t="e">
        <f t="shared" si="151"/>
        <v>#DIV/0!</v>
      </c>
      <c r="AJ229" s="380" t="e">
        <f t="shared" si="151"/>
        <v>#DIV/0!</v>
      </c>
      <c r="AK229" s="380" t="e">
        <f t="shared" si="151"/>
        <v>#DIV/0!</v>
      </c>
      <c r="AL229" s="380" t="e">
        <f t="shared" si="151"/>
        <v>#DIV/0!</v>
      </c>
      <c r="AM229" s="380" t="e">
        <f t="shared" si="151"/>
        <v>#DIV/0!</v>
      </c>
      <c r="AN229" s="380" t="e">
        <f t="shared" si="151"/>
        <v>#DIV/0!</v>
      </c>
      <c r="AO229" s="380" t="e">
        <f t="shared" si="151"/>
        <v>#DIV/0!</v>
      </c>
      <c r="AP229" s="380" t="e">
        <f t="shared" si="151"/>
        <v>#DIV/0!</v>
      </c>
      <c r="AQ229" s="380" t="e">
        <f t="shared" si="151"/>
        <v>#DIV/0!</v>
      </c>
      <c r="AR229" s="380" t="e">
        <f t="shared" si="151"/>
        <v>#DIV/0!</v>
      </c>
      <c r="AS229" s="380" t="e">
        <f t="shared" si="151"/>
        <v>#DIV/0!</v>
      </c>
      <c r="AT229" s="380" t="e">
        <f t="shared" si="151"/>
        <v>#DIV/0!</v>
      </c>
      <c r="AU229" s="380" t="e">
        <f t="shared" si="151"/>
        <v>#DIV/0!</v>
      </c>
      <c r="AV229" s="380" t="e">
        <f t="shared" si="151"/>
        <v>#DIV/0!</v>
      </c>
      <c r="AW229" s="380" t="e">
        <f t="shared" si="151"/>
        <v>#DIV/0!</v>
      </c>
      <c r="AX229" s="380" t="e">
        <f t="shared" si="151"/>
        <v>#DIV/0!</v>
      </c>
      <c r="AY229" s="380" t="e">
        <f t="shared" si="151"/>
        <v>#DIV/0!</v>
      </c>
      <c r="AZ229" s="380" t="e">
        <f t="shared" si="151"/>
        <v>#DIV/0!</v>
      </c>
      <c r="BA229" s="380" t="e">
        <f t="shared" si="151"/>
        <v>#DIV/0!</v>
      </c>
      <c r="BB229" s="380" t="e">
        <f t="shared" si="151"/>
        <v>#DIV/0!</v>
      </c>
      <c r="BC229" s="380" t="e">
        <f t="shared" si="151"/>
        <v>#DIV/0!</v>
      </c>
      <c r="BD229" s="380" t="e">
        <f t="shared" si="151"/>
        <v>#DIV/0!</v>
      </c>
      <c r="BE229" s="380" t="e">
        <f t="shared" si="151"/>
        <v>#DIV/0!</v>
      </c>
      <c r="BF229" s="380" t="e">
        <f t="shared" si="151"/>
        <v>#DIV/0!</v>
      </c>
      <c r="BG229" s="380" t="e">
        <f t="shared" si="151"/>
        <v>#DIV/0!</v>
      </c>
      <c r="BH229" s="380" t="e">
        <f t="shared" si="151"/>
        <v>#DIV/0!</v>
      </c>
      <c r="BI229" s="380" t="e">
        <f t="shared" si="151"/>
        <v>#DIV/0!</v>
      </c>
      <c r="BJ229" s="380" t="e">
        <f t="shared" si="151"/>
        <v>#DIV/0!</v>
      </c>
      <c r="BK229" s="380" t="e">
        <f t="shared" si="151"/>
        <v>#DIV/0!</v>
      </c>
      <c r="BL229" s="380" t="e">
        <f t="shared" si="151"/>
        <v>#DIV/0!</v>
      </c>
      <c r="BM229" s="380" t="e">
        <f t="shared" si="151"/>
        <v>#DIV/0!</v>
      </c>
      <c r="BN229" s="380" t="e">
        <f t="shared" si="151"/>
        <v>#DIV/0!</v>
      </c>
      <c r="BO229" s="380" t="e">
        <f t="shared" si="151"/>
        <v>#DIV/0!</v>
      </c>
      <c r="BP229" s="380" t="e">
        <f t="shared" si="151"/>
        <v>#DIV/0!</v>
      </c>
      <c r="BQ229" s="380" t="e">
        <f t="shared" si="151"/>
        <v>#DIV/0!</v>
      </c>
      <c r="BR229" s="380" t="e">
        <f t="shared" si="149"/>
        <v>#DIV/0!</v>
      </c>
      <c r="BS229" s="380" t="e">
        <f t="shared" si="149"/>
        <v>#DIV/0!</v>
      </c>
      <c r="BT229" s="380" t="e">
        <f t="shared" si="149"/>
        <v>#DIV/0!</v>
      </c>
      <c r="BU229" s="380" t="e">
        <f t="shared" si="149"/>
        <v>#DIV/0!</v>
      </c>
      <c r="BV229" s="380" t="e">
        <f t="shared" si="149"/>
        <v>#DIV/0!</v>
      </c>
      <c r="BW229" s="380" t="e">
        <f t="shared" si="149"/>
        <v>#DIV/0!</v>
      </c>
      <c r="BX229" s="380" t="e">
        <f t="shared" si="149"/>
        <v>#DIV/0!</v>
      </c>
      <c r="BY229" s="380" t="e">
        <f t="shared" si="149"/>
        <v>#DIV/0!</v>
      </c>
      <c r="BZ229" s="380" t="e">
        <f t="shared" si="149"/>
        <v>#DIV/0!</v>
      </c>
      <c r="CA229" s="380" t="e">
        <f t="shared" si="149"/>
        <v>#DIV/0!</v>
      </c>
      <c r="CB229" s="380" t="e">
        <f t="shared" si="149"/>
        <v>#DIV/0!</v>
      </c>
      <c r="CC229" s="380" t="e">
        <f t="shared" si="149"/>
        <v>#DIV/0!</v>
      </c>
      <c r="CD229" s="380" t="e">
        <f t="shared" si="149"/>
        <v>#DIV/0!</v>
      </c>
      <c r="CE229" s="380" t="e">
        <f t="shared" si="149"/>
        <v>#DIV/0!</v>
      </c>
      <c r="CF229" s="380" t="e">
        <f t="shared" si="149"/>
        <v>#DIV/0!</v>
      </c>
    </row>
    <row r="230" spans="2:84">
      <c r="D230" s="380" t="s">
        <v>93</v>
      </c>
      <c r="E230" s="380" t="e">
        <f>E223*$E$11</f>
        <v>#DIV/0!</v>
      </c>
      <c r="F230" s="380" t="e">
        <f t="shared" si="151"/>
        <v>#DIV/0!</v>
      </c>
      <c r="G230" s="380" t="e">
        <f t="shared" si="151"/>
        <v>#DIV/0!</v>
      </c>
      <c r="H230" s="380" t="e">
        <f t="shared" si="151"/>
        <v>#DIV/0!</v>
      </c>
      <c r="I230" s="380" t="e">
        <f t="shared" si="151"/>
        <v>#DIV/0!</v>
      </c>
      <c r="J230" s="380" t="e">
        <f t="shared" si="151"/>
        <v>#DIV/0!</v>
      </c>
      <c r="K230" s="380" t="e">
        <f t="shared" si="151"/>
        <v>#DIV/0!</v>
      </c>
      <c r="L230" s="380" t="e">
        <f t="shared" si="151"/>
        <v>#DIV/0!</v>
      </c>
      <c r="M230" s="380" t="e">
        <f t="shared" si="151"/>
        <v>#DIV/0!</v>
      </c>
      <c r="N230" s="380" t="e">
        <f t="shared" si="151"/>
        <v>#DIV/0!</v>
      </c>
      <c r="O230" s="380" t="e">
        <f t="shared" si="151"/>
        <v>#DIV/0!</v>
      </c>
      <c r="P230" s="380" t="e">
        <f t="shared" si="151"/>
        <v>#DIV/0!</v>
      </c>
      <c r="Q230" s="380" t="e">
        <f t="shared" si="151"/>
        <v>#DIV/0!</v>
      </c>
      <c r="R230" s="380" t="e">
        <f t="shared" si="151"/>
        <v>#DIV/0!</v>
      </c>
      <c r="S230" s="380" t="e">
        <f t="shared" si="151"/>
        <v>#DIV/0!</v>
      </c>
      <c r="T230" s="380" t="e">
        <f t="shared" si="151"/>
        <v>#DIV/0!</v>
      </c>
      <c r="U230" s="380" t="e">
        <f t="shared" si="151"/>
        <v>#DIV/0!</v>
      </c>
      <c r="V230" s="380" t="e">
        <f t="shared" si="151"/>
        <v>#DIV/0!</v>
      </c>
      <c r="W230" s="380" t="e">
        <f t="shared" si="151"/>
        <v>#DIV/0!</v>
      </c>
      <c r="X230" s="380" t="e">
        <f t="shared" si="151"/>
        <v>#DIV/0!</v>
      </c>
      <c r="Y230" s="380" t="e">
        <f t="shared" si="151"/>
        <v>#DIV/0!</v>
      </c>
      <c r="Z230" s="380" t="e">
        <f t="shared" si="151"/>
        <v>#DIV/0!</v>
      </c>
      <c r="AA230" s="380" t="e">
        <f t="shared" si="151"/>
        <v>#DIV/0!</v>
      </c>
      <c r="AB230" s="380" t="e">
        <f t="shared" si="151"/>
        <v>#DIV/0!</v>
      </c>
      <c r="AC230" s="380" t="e">
        <f t="shared" si="151"/>
        <v>#DIV/0!</v>
      </c>
      <c r="AD230" s="380" t="e">
        <f t="shared" si="151"/>
        <v>#DIV/0!</v>
      </c>
      <c r="AE230" s="380" t="e">
        <f t="shared" si="151"/>
        <v>#DIV/0!</v>
      </c>
      <c r="AF230" s="380" t="e">
        <f t="shared" si="151"/>
        <v>#DIV/0!</v>
      </c>
      <c r="AG230" s="380" t="e">
        <f t="shared" si="151"/>
        <v>#DIV/0!</v>
      </c>
      <c r="AH230" s="380" t="e">
        <f t="shared" si="151"/>
        <v>#DIV/0!</v>
      </c>
      <c r="AI230" s="380" t="e">
        <f t="shared" si="151"/>
        <v>#DIV/0!</v>
      </c>
      <c r="AJ230" s="380" t="e">
        <f t="shared" si="151"/>
        <v>#DIV/0!</v>
      </c>
      <c r="AK230" s="380" t="e">
        <f t="shared" si="151"/>
        <v>#DIV/0!</v>
      </c>
      <c r="AL230" s="380" t="e">
        <f t="shared" si="151"/>
        <v>#DIV/0!</v>
      </c>
      <c r="AM230" s="380" t="e">
        <f t="shared" si="151"/>
        <v>#DIV/0!</v>
      </c>
      <c r="AN230" s="380" t="e">
        <f t="shared" si="151"/>
        <v>#DIV/0!</v>
      </c>
      <c r="AO230" s="380" t="e">
        <f t="shared" si="151"/>
        <v>#DIV/0!</v>
      </c>
      <c r="AP230" s="380" t="e">
        <f t="shared" si="151"/>
        <v>#DIV/0!</v>
      </c>
      <c r="AQ230" s="380" t="e">
        <f t="shared" si="151"/>
        <v>#DIV/0!</v>
      </c>
      <c r="AR230" s="380" t="e">
        <f t="shared" si="151"/>
        <v>#DIV/0!</v>
      </c>
      <c r="AS230" s="380" t="e">
        <f t="shared" si="151"/>
        <v>#DIV/0!</v>
      </c>
      <c r="AT230" s="380" t="e">
        <f t="shared" si="151"/>
        <v>#DIV/0!</v>
      </c>
      <c r="AU230" s="380" t="e">
        <f t="shared" si="151"/>
        <v>#DIV/0!</v>
      </c>
      <c r="AV230" s="380" t="e">
        <f t="shared" si="151"/>
        <v>#DIV/0!</v>
      </c>
      <c r="AW230" s="380" t="e">
        <f t="shared" si="151"/>
        <v>#DIV/0!</v>
      </c>
      <c r="AX230" s="380" t="e">
        <f t="shared" si="151"/>
        <v>#DIV/0!</v>
      </c>
      <c r="AY230" s="380" t="e">
        <f t="shared" si="151"/>
        <v>#DIV/0!</v>
      </c>
      <c r="AZ230" s="380" t="e">
        <f t="shared" si="151"/>
        <v>#DIV/0!</v>
      </c>
      <c r="BA230" s="380" t="e">
        <f t="shared" si="151"/>
        <v>#DIV/0!</v>
      </c>
      <c r="BB230" s="380" t="e">
        <f t="shared" si="151"/>
        <v>#DIV/0!</v>
      </c>
      <c r="BC230" s="380" t="e">
        <f t="shared" si="151"/>
        <v>#DIV/0!</v>
      </c>
      <c r="BD230" s="380" t="e">
        <f t="shared" si="151"/>
        <v>#DIV/0!</v>
      </c>
      <c r="BE230" s="380" t="e">
        <f t="shared" si="151"/>
        <v>#DIV/0!</v>
      </c>
      <c r="BF230" s="380" t="e">
        <f t="shared" si="151"/>
        <v>#DIV/0!</v>
      </c>
      <c r="BG230" s="380" t="e">
        <f t="shared" si="151"/>
        <v>#DIV/0!</v>
      </c>
      <c r="BH230" s="380" t="e">
        <f t="shared" si="151"/>
        <v>#DIV/0!</v>
      </c>
      <c r="BI230" s="380" t="e">
        <f t="shared" si="151"/>
        <v>#DIV/0!</v>
      </c>
      <c r="BJ230" s="380" t="e">
        <f t="shared" si="151"/>
        <v>#DIV/0!</v>
      </c>
      <c r="BK230" s="380" t="e">
        <f t="shared" si="151"/>
        <v>#DIV/0!</v>
      </c>
      <c r="BL230" s="380" t="e">
        <f t="shared" si="151"/>
        <v>#DIV/0!</v>
      </c>
      <c r="BM230" s="380" t="e">
        <f t="shared" si="151"/>
        <v>#DIV/0!</v>
      </c>
      <c r="BN230" s="380" t="e">
        <f t="shared" si="151"/>
        <v>#DIV/0!</v>
      </c>
      <c r="BO230" s="380" t="e">
        <f t="shared" si="151"/>
        <v>#DIV/0!</v>
      </c>
      <c r="BP230" s="380" t="e">
        <f t="shared" si="151"/>
        <v>#DIV/0!</v>
      </c>
      <c r="BQ230" s="380" t="e">
        <f t="shared" si="151"/>
        <v>#DIV/0!</v>
      </c>
      <c r="BR230" s="380" t="e">
        <f t="shared" si="149"/>
        <v>#DIV/0!</v>
      </c>
      <c r="BS230" s="380" t="e">
        <f t="shared" si="149"/>
        <v>#DIV/0!</v>
      </c>
      <c r="BT230" s="380" t="e">
        <f t="shared" si="149"/>
        <v>#DIV/0!</v>
      </c>
      <c r="BU230" s="380" t="e">
        <f t="shared" si="149"/>
        <v>#DIV/0!</v>
      </c>
      <c r="BV230" s="380" t="e">
        <f t="shared" si="149"/>
        <v>#DIV/0!</v>
      </c>
      <c r="BW230" s="380" t="e">
        <f t="shared" si="149"/>
        <v>#DIV/0!</v>
      </c>
      <c r="BX230" s="380" t="e">
        <f t="shared" si="149"/>
        <v>#DIV/0!</v>
      </c>
      <c r="BY230" s="380" t="e">
        <f t="shared" si="149"/>
        <v>#DIV/0!</v>
      </c>
      <c r="BZ230" s="380" t="e">
        <f t="shared" si="149"/>
        <v>#DIV/0!</v>
      </c>
      <c r="CA230" s="380" t="e">
        <f t="shared" si="149"/>
        <v>#DIV/0!</v>
      </c>
      <c r="CB230" s="380" t="e">
        <f t="shared" si="149"/>
        <v>#DIV/0!</v>
      </c>
      <c r="CC230" s="380" t="e">
        <f t="shared" si="149"/>
        <v>#DIV/0!</v>
      </c>
      <c r="CD230" s="380" t="e">
        <f t="shared" si="149"/>
        <v>#DIV/0!</v>
      </c>
      <c r="CE230" s="380" t="e">
        <f t="shared" si="149"/>
        <v>#DIV/0!</v>
      </c>
      <c r="CF230" s="380" t="e">
        <f t="shared" si="149"/>
        <v>#DIV/0!</v>
      </c>
    </row>
    <row r="231" spans="2:84">
      <c r="B231" s="378"/>
    </row>
    <row r="232" spans="2:84">
      <c r="C232" s="360" t="s">
        <v>291</v>
      </c>
    </row>
    <row r="233" spans="2:84">
      <c r="D233" s="728"/>
      <c r="E233" s="728">
        <v>2010</v>
      </c>
      <c r="F233" s="728">
        <v>2011</v>
      </c>
      <c r="G233" s="728">
        <v>2012</v>
      </c>
      <c r="H233" s="728">
        <v>2013</v>
      </c>
      <c r="I233" s="728">
        <v>2014</v>
      </c>
      <c r="J233" s="728">
        <v>2015</v>
      </c>
      <c r="K233" s="728">
        <v>2016</v>
      </c>
      <c r="L233" s="728">
        <v>2017</v>
      </c>
      <c r="M233" s="728">
        <v>2018</v>
      </c>
      <c r="N233" s="728">
        <v>2019</v>
      </c>
      <c r="O233" s="728">
        <v>2020</v>
      </c>
      <c r="P233" s="728">
        <v>2021</v>
      </c>
      <c r="Q233" s="728">
        <v>2022</v>
      </c>
      <c r="R233" s="728">
        <v>2023</v>
      </c>
      <c r="S233" s="728">
        <v>2024</v>
      </c>
      <c r="T233" s="728">
        <v>2025</v>
      </c>
      <c r="U233" s="728">
        <v>2026</v>
      </c>
      <c r="V233" s="728">
        <v>2027</v>
      </c>
      <c r="W233" s="728">
        <v>2028</v>
      </c>
      <c r="X233" s="728">
        <v>2029</v>
      </c>
      <c r="Y233" s="728">
        <v>2030</v>
      </c>
      <c r="Z233" s="728">
        <v>2031</v>
      </c>
      <c r="AA233" s="728">
        <v>2032</v>
      </c>
      <c r="AB233" s="728">
        <v>2033</v>
      </c>
      <c r="AC233" s="728">
        <v>2034</v>
      </c>
      <c r="AD233" s="728">
        <v>2035</v>
      </c>
      <c r="AE233" s="728">
        <v>2036</v>
      </c>
      <c r="AF233" s="728">
        <v>2037</v>
      </c>
      <c r="AG233" s="728">
        <v>2038</v>
      </c>
      <c r="AH233" s="728">
        <v>2039</v>
      </c>
      <c r="AI233" s="728">
        <v>2040</v>
      </c>
      <c r="AJ233" s="728">
        <v>2041</v>
      </c>
      <c r="AK233" s="728">
        <v>2042</v>
      </c>
      <c r="AL233" s="728">
        <v>2043</v>
      </c>
      <c r="AM233" s="728">
        <v>2044</v>
      </c>
      <c r="AN233" s="728">
        <v>2045</v>
      </c>
      <c r="AO233" s="728">
        <v>2046</v>
      </c>
      <c r="AP233" s="728">
        <v>2047</v>
      </c>
      <c r="AQ233" s="728">
        <v>2048</v>
      </c>
      <c r="AR233" s="728">
        <v>2049</v>
      </c>
      <c r="AS233" s="728">
        <v>2050</v>
      </c>
      <c r="AT233" s="728">
        <v>2051</v>
      </c>
      <c r="AU233" s="728">
        <v>2052</v>
      </c>
      <c r="AV233" s="728">
        <v>2053</v>
      </c>
      <c r="AW233" s="728">
        <v>2054</v>
      </c>
      <c r="AX233" s="728">
        <v>2055</v>
      </c>
      <c r="AY233" s="728">
        <v>2056</v>
      </c>
      <c r="AZ233" s="728">
        <v>2057</v>
      </c>
      <c r="BA233" s="728">
        <v>2058</v>
      </c>
      <c r="BB233" s="728">
        <v>2059</v>
      </c>
      <c r="BC233" s="728">
        <v>2060</v>
      </c>
      <c r="BD233" s="728">
        <v>2061</v>
      </c>
      <c r="BE233" s="728">
        <v>2062</v>
      </c>
      <c r="BF233" s="728">
        <v>2063</v>
      </c>
      <c r="BG233" s="728">
        <v>2064</v>
      </c>
      <c r="BH233" s="728">
        <v>2065</v>
      </c>
      <c r="BI233" s="728">
        <v>2066</v>
      </c>
      <c r="BJ233" s="728">
        <v>2067</v>
      </c>
      <c r="BK233" s="728">
        <v>2068</v>
      </c>
      <c r="BL233" s="728">
        <v>2069</v>
      </c>
      <c r="BM233" s="728">
        <v>2070</v>
      </c>
      <c r="BN233" s="728">
        <v>2071</v>
      </c>
      <c r="BO233" s="728">
        <v>2072</v>
      </c>
      <c r="BP233" s="728">
        <v>2073</v>
      </c>
      <c r="BQ233" s="728">
        <v>2074</v>
      </c>
      <c r="BR233" s="728">
        <v>2075</v>
      </c>
      <c r="BS233" s="728">
        <v>2076</v>
      </c>
      <c r="BT233" s="728">
        <v>2077</v>
      </c>
      <c r="BU233" s="728">
        <v>2078</v>
      </c>
      <c r="BV233" s="728">
        <v>2079</v>
      </c>
      <c r="BW233" s="728">
        <v>2080</v>
      </c>
      <c r="BX233" s="728">
        <v>2081</v>
      </c>
      <c r="BY233" s="728">
        <v>2082</v>
      </c>
      <c r="BZ233" s="728">
        <v>2083</v>
      </c>
      <c r="CA233" s="728">
        <v>2084</v>
      </c>
      <c r="CB233" s="728">
        <v>2085</v>
      </c>
      <c r="CC233" s="728">
        <v>2086</v>
      </c>
      <c r="CD233" s="728">
        <v>2087</v>
      </c>
      <c r="CE233" s="728">
        <v>2088</v>
      </c>
      <c r="CF233" s="728">
        <v>2089</v>
      </c>
    </row>
    <row r="234" spans="2:84">
      <c r="D234" s="380" t="s">
        <v>87</v>
      </c>
      <c r="E234" s="380" t="e">
        <f>((($E$14*($E63))+($E$15*($F63))+($E$16*($G63))))*E227</f>
        <v>#DIV/0!</v>
      </c>
      <c r="F234" s="380" t="e">
        <f t="shared" ref="F234:BQ235" si="152">((($E$14*($E63))+($E$15*($F63))+($E$16*($G63))))*F227</f>
        <v>#DIV/0!</v>
      </c>
      <c r="G234" s="380" t="e">
        <f t="shared" si="152"/>
        <v>#DIV/0!</v>
      </c>
      <c r="H234" s="380" t="e">
        <f t="shared" si="152"/>
        <v>#DIV/0!</v>
      </c>
      <c r="I234" s="380" t="e">
        <f t="shared" si="152"/>
        <v>#DIV/0!</v>
      </c>
      <c r="J234" s="380" t="e">
        <f t="shared" si="152"/>
        <v>#DIV/0!</v>
      </c>
      <c r="K234" s="380" t="e">
        <f t="shared" si="152"/>
        <v>#DIV/0!</v>
      </c>
      <c r="L234" s="380" t="e">
        <f t="shared" si="152"/>
        <v>#DIV/0!</v>
      </c>
      <c r="M234" s="380" t="e">
        <f t="shared" si="152"/>
        <v>#DIV/0!</v>
      </c>
      <c r="N234" s="380" t="e">
        <f>((($E$14*($E63))+($E$15*($F63))+($E$16*($G63))))*N227</f>
        <v>#DIV/0!</v>
      </c>
      <c r="O234" s="380" t="e">
        <f t="shared" si="152"/>
        <v>#DIV/0!</v>
      </c>
      <c r="P234" s="380" t="e">
        <f t="shared" si="152"/>
        <v>#DIV/0!</v>
      </c>
      <c r="Q234" s="380" t="e">
        <f t="shared" si="152"/>
        <v>#DIV/0!</v>
      </c>
      <c r="R234" s="380" t="e">
        <f t="shared" si="152"/>
        <v>#DIV/0!</v>
      </c>
      <c r="S234" s="380" t="e">
        <f t="shared" si="152"/>
        <v>#DIV/0!</v>
      </c>
      <c r="T234" s="380" t="e">
        <f t="shared" si="152"/>
        <v>#DIV/0!</v>
      </c>
      <c r="U234" s="380" t="e">
        <f t="shared" si="152"/>
        <v>#DIV/0!</v>
      </c>
      <c r="V234" s="380" t="e">
        <f t="shared" si="152"/>
        <v>#DIV/0!</v>
      </c>
      <c r="W234" s="380" t="e">
        <f t="shared" si="152"/>
        <v>#DIV/0!</v>
      </c>
      <c r="X234" s="380" t="e">
        <f t="shared" si="152"/>
        <v>#DIV/0!</v>
      </c>
      <c r="Y234" s="380" t="e">
        <f t="shared" si="152"/>
        <v>#DIV/0!</v>
      </c>
      <c r="Z234" s="380" t="e">
        <f t="shared" si="152"/>
        <v>#DIV/0!</v>
      </c>
      <c r="AA234" s="380" t="e">
        <f t="shared" si="152"/>
        <v>#DIV/0!</v>
      </c>
      <c r="AB234" s="380" t="e">
        <f t="shared" si="152"/>
        <v>#DIV/0!</v>
      </c>
      <c r="AC234" s="380" t="e">
        <f t="shared" si="152"/>
        <v>#DIV/0!</v>
      </c>
      <c r="AD234" s="380" t="e">
        <f t="shared" si="152"/>
        <v>#DIV/0!</v>
      </c>
      <c r="AE234" s="380" t="e">
        <f t="shared" si="152"/>
        <v>#DIV/0!</v>
      </c>
      <c r="AF234" s="380" t="e">
        <f t="shared" si="152"/>
        <v>#DIV/0!</v>
      </c>
      <c r="AG234" s="380" t="e">
        <f t="shared" si="152"/>
        <v>#DIV/0!</v>
      </c>
      <c r="AH234" s="380" t="e">
        <f t="shared" si="152"/>
        <v>#DIV/0!</v>
      </c>
      <c r="AI234" s="380" t="e">
        <f t="shared" si="152"/>
        <v>#DIV/0!</v>
      </c>
      <c r="AJ234" s="380" t="e">
        <f t="shared" si="152"/>
        <v>#DIV/0!</v>
      </c>
      <c r="AK234" s="380" t="e">
        <f t="shared" si="152"/>
        <v>#DIV/0!</v>
      </c>
      <c r="AL234" s="380" t="e">
        <f t="shared" si="152"/>
        <v>#DIV/0!</v>
      </c>
      <c r="AM234" s="380" t="e">
        <f t="shared" si="152"/>
        <v>#DIV/0!</v>
      </c>
      <c r="AN234" s="380" t="e">
        <f t="shared" si="152"/>
        <v>#DIV/0!</v>
      </c>
      <c r="AO234" s="380" t="e">
        <f t="shared" si="152"/>
        <v>#DIV/0!</v>
      </c>
      <c r="AP234" s="380" t="e">
        <f t="shared" si="152"/>
        <v>#DIV/0!</v>
      </c>
      <c r="AQ234" s="380" t="e">
        <f t="shared" si="152"/>
        <v>#DIV/0!</v>
      </c>
      <c r="AR234" s="380" t="e">
        <f t="shared" si="152"/>
        <v>#DIV/0!</v>
      </c>
      <c r="AS234" s="380" t="e">
        <f t="shared" si="152"/>
        <v>#DIV/0!</v>
      </c>
      <c r="AT234" s="380" t="e">
        <f t="shared" si="152"/>
        <v>#DIV/0!</v>
      </c>
      <c r="AU234" s="380" t="e">
        <f t="shared" si="152"/>
        <v>#DIV/0!</v>
      </c>
      <c r="AV234" s="380" t="e">
        <f t="shared" si="152"/>
        <v>#DIV/0!</v>
      </c>
      <c r="AW234" s="380" t="e">
        <f t="shared" si="152"/>
        <v>#DIV/0!</v>
      </c>
      <c r="AX234" s="380" t="e">
        <f t="shared" si="152"/>
        <v>#DIV/0!</v>
      </c>
      <c r="AY234" s="380" t="e">
        <f t="shared" si="152"/>
        <v>#DIV/0!</v>
      </c>
      <c r="AZ234" s="380" t="e">
        <f t="shared" si="152"/>
        <v>#DIV/0!</v>
      </c>
      <c r="BA234" s="380" t="e">
        <f t="shared" si="152"/>
        <v>#DIV/0!</v>
      </c>
      <c r="BB234" s="380" t="e">
        <f t="shared" si="152"/>
        <v>#DIV/0!</v>
      </c>
      <c r="BC234" s="380" t="e">
        <f t="shared" si="152"/>
        <v>#DIV/0!</v>
      </c>
      <c r="BD234" s="380" t="e">
        <f t="shared" si="152"/>
        <v>#DIV/0!</v>
      </c>
      <c r="BE234" s="380" t="e">
        <f t="shared" si="152"/>
        <v>#DIV/0!</v>
      </c>
      <c r="BF234" s="380" t="e">
        <f t="shared" si="152"/>
        <v>#DIV/0!</v>
      </c>
      <c r="BG234" s="380" t="e">
        <f t="shared" si="152"/>
        <v>#DIV/0!</v>
      </c>
      <c r="BH234" s="380" t="e">
        <f t="shared" si="152"/>
        <v>#DIV/0!</v>
      </c>
      <c r="BI234" s="380" t="e">
        <f t="shared" si="152"/>
        <v>#DIV/0!</v>
      </c>
      <c r="BJ234" s="380" t="e">
        <f t="shared" si="152"/>
        <v>#DIV/0!</v>
      </c>
      <c r="BK234" s="380" t="e">
        <f t="shared" si="152"/>
        <v>#DIV/0!</v>
      </c>
      <c r="BL234" s="380" t="e">
        <f t="shared" si="152"/>
        <v>#DIV/0!</v>
      </c>
      <c r="BM234" s="380" t="e">
        <f t="shared" si="152"/>
        <v>#DIV/0!</v>
      </c>
      <c r="BN234" s="380" t="e">
        <f t="shared" si="152"/>
        <v>#DIV/0!</v>
      </c>
      <c r="BO234" s="380" t="e">
        <f t="shared" si="152"/>
        <v>#DIV/0!</v>
      </c>
      <c r="BP234" s="380" t="e">
        <f t="shared" si="152"/>
        <v>#DIV/0!</v>
      </c>
      <c r="BQ234" s="380" t="e">
        <f t="shared" si="152"/>
        <v>#DIV/0!</v>
      </c>
      <c r="BR234" s="380" t="e">
        <f t="shared" ref="BR234:CF237" si="153">((($E$14*($E63))+($E$15*($F63))+($E$16*($G63))))*BR227</f>
        <v>#DIV/0!</v>
      </c>
      <c r="BS234" s="380" t="e">
        <f t="shared" si="153"/>
        <v>#DIV/0!</v>
      </c>
      <c r="BT234" s="380" t="e">
        <f t="shared" si="153"/>
        <v>#DIV/0!</v>
      </c>
      <c r="BU234" s="380" t="e">
        <f t="shared" si="153"/>
        <v>#DIV/0!</v>
      </c>
      <c r="BV234" s="380" t="e">
        <f t="shared" si="153"/>
        <v>#DIV/0!</v>
      </c>
      <c r="BW234" s="380" t="e">
        <f t="shared" si="153"/>
        <v>#DIV/0!</v>
      </c>
      <c r="BX234" s="380" t="e">
        <f t="shared" si="153"/>
        <v>#DIV/0!</v>
      </c>
      <c r="BY234" s="380" t="e">
        <f t="shared" si="153"/>
        <v>#DIV/0!</v>
      </c>
      <c r="BZ234" s="380" t="e">
        <f t="shared" si="153"/>
        <v>#DIV/0!</v>
      </c>
      <c r="CA234" s="380" t="e">
        <f t="shared" si="153"/>
        <v>#DIV/0!</v>
      </c>
      <c r="CB234" s="380" t="e">
        <f t="shared" si="153"/>
        <v>#DIV/0!</v>
      </c>
      <c r="CC234" s="380" t="e">
        <f t="shared" si="153"/>
        <v>#DIV/0!</v>
      </c>
      <c r="CD234" s="380" t="e">
        <f t="shared" si="153"/>
        <v>#DIV/0!</v>
      </c>
      <c r="CE234" s="380" t="e">
        <f t="shared" si="153"/>
        <v>#DIV/0!</v>
      </c>
      <c r="CF234" s="380" t="e">
        <f t="shared" si="153"/>
        <v>#DIV/0!</v>
      </c>
    </row>
    <row r="235" spans="2:84">
      <c r="D235" s="380" t="s">
        <v>89</v>
      </c>
      <c r="E235" s="380" t="e">
        <f>((($E$14*($E64))+($E$15*($F64))+($E$16*($G64))))*E228</f>
        <v>#DIV/0!</v>
      </c>
      <c r="F235" s="380" t="e">
        <f t="shared" ref="F235:M235" si="154">((($E$14*($E64))+($E$15*($F64))+($E$16*($G64))))*F228</f>
        <v>#DIV/0!</v>
      </c>
      <c r="G235" s="380" t="e">
        <f t="shared" si="154"/>
        <v>#DIV/0!</v>
      </c>
      <c r="H235" s="380" t="e">
        <f t="shared" si="154"/>
        <v>#DIV/0!</v>
      </c>
      <c r="I235" s="380" t="e">
        <f t="shared" si="154"/>
        <v>#DIV/0!</v>
      </c>
      <c r="J235" s="380" t="e">
        <f t="shared" si="154"/>
        <v>#DIV/0!</v>
      </c>
      <c r="K235" s="380" t="e">
        <f t="shared" si="154"/>
        <v>#DIV/0!</v>
      </c>
      <c r="L235" s="380" t="e">
        <f t="shared" si="154"/>
        <v>#DIV/0!</v>
      </c>
      <c r="M235" s="380" t="e">
        <f t="shared" si="154"/>
        <v>#DIV/0!</v>
      </c>
      <c r="N235" s="380" t="e">
        <f>((($E$14*($E64))+($E$15*($F64))+($E$16*($G64))))*N228</f>
        <v>#DIV/0!</v>
      </c>
      <c r="O235" s="380" t="e">
        <f t="shared" ref="O235:T235" si="155">((($E$14*($E64))+($E$15*($F64))+($E$16*($G64))))*O228</f>
        <v>#DIV/0!</v>
      </c>
      <c r="P235" s="380" t="e">
        <f t="shared" si="155"/>
        <v>#DIV/0!</v>
      </c>
      <c r="Q235" s="380" t="e">
        <f t="shared" si="155"/>
        <v>#DIV/0!</v>
      </c>
      <c r="R235" s="380" t="e">
        <f t="shared" si="155"/>
        <v>#DIV/0!</v>
      </c>
      <c r="S235" s="380" t="e">
        <f t="shared" si="155"/>
        <v>#DIV/0!</v>
      </c>
      <c r="T235" s="380" t="e">
        <f t="shared" si="155"/>
        <v>#DIV/0!</v>
      </c>
      <c r="U235" s="380" t="e">
        <f t="shared" si="152"/>
        <v>#DIV/0!</v>
      </c>
      <c r="V235" s="380" t="e">
        <f t="shared" si="152"/>
        <v>#DIV/0!</v>
      </c>
      <c r="W235" s="380" t="e">
        <f t="shared" si="152"/>
        <v>#DIV/0!</v>
      </c>
      <c r="X235" s="380" t="e">
        <f t="shared" si="152"/>
        <v>#DIV/0!</v>
      </c>
      <c r="Y235" s="380" t="e">
        <f t="shared" si="152"/>
        <v>#DIV/0!</v>
      </c>
      <c r="Z235" s="380" t="e">
        <f t="shared" si="152"/>
        <v>#DIV/0!</v>
      </c>
      <c r="AA235" s="380" t="e">
        <f t="shared" si="152"/>
        <v>#DIV/0!</v>
      </c>
      <c r="AB235" s="380" t="e">
        <f t="shared" si="152"/>
        <v>#DIV/0!</v>
      </c>
      <c r="AC235" s="380" t="e">
        <f t="shared" si="152"/>
        <v>#DIV/0!</v>
      </c>
      <c r="AD235" s="380" t="e">
        <f t="shared" si="152"/>
        <v>#DIV/0!</v>
      </c>
      <c r="AE235" s="380" t="e">
        <f t="shared" si="152"/>
        <v>#DIV/0!</v>
      </c>
      <c r="AF235" s="380" t="e">
        <f t="shared" si="152"/>
        <v>#DIV/0!</v>
      </c>
      <c r="AG235" s="380" t="e">
        <f t="shared" si="152"/>
        <v>#DIV/0!</v>
      </c>
      <c r="AH235" s="380" t="e">
        <f t="shared" si="152"/>
        <v>#DIV/0!</v>
      </c>
      <c r="AI235" s="380" t="e">
        <f t="shared" si="152"/>
        <v>#DIV/0!</v>
      </c>
      <c r="AJ235" s="380" t="e">
        <f t="shared" si="152"/>
        <v>#DIV/0!</v>
      </c>
      <c r="AK235" s="380" t="e">
        <f t="shared" si="152"/>
        <v>#DIV/0!</v>
      </c>
      <c r="AL235" s="380" t="e">
        <f t="shared" si="152"/>
        <v>#DIV/0!</v>
      </c>
      <c r="AM235" s="380" t="e">
        <f t="shared" si="152"/>
        <v>#DIV/0!</v>
      </c>
      <c r="AN235" s="380" t="e">
        <f t="shared" si="152"/>
        <v>#DIV/0!</v>
      </c>
      <c r="AO235" s="380" t="e">
        <f t="shared" si="152"/>
        <v>#DIV/0!</v>
      </c>
      <c r="AP235" s="380" t="e">
        <f t="shared" si="152"/>
        <v>#DIV/0!</v>
      </c>
      <c r="AQ235" s="380" t="e">
        <f t="shared" si="152"/>
        <v>#DIV/0!</v>
      </c>
      <c r="AR235" s="380" t="e">
        <f t="shared" si="152"/>
        <v>#DIV/0!</v>
      </c>
      <c r="AS235" s="380" t="e">
        <f t="shared" si="152"/>
        <v>#DIV/0!</v>
      </c>
      <c r="AT235" s="380" t="e">
        <f t="shared" si="152"/>
        <v>#DIV/0!</v>
      </c>
      <c r="AU235" s="380" t="e">
        <f t="shared" si="152"/>
        <v>#DIV/0!</v>
      </c>
      <c r="AV235" s="380" t="e">
        <f t="shared" si="152"/>
        <v>#DIV/0!</v>
      </c>
      <c r="AW235" s="380" t="e">
        <f t="shared" si="152"/>
        <v>#DIV/0!</v>
      </c>
      <c r="AX235" s="380" t="e">
        <f t="shared" si="152"/>
        <v>#DIV/0!</v>
      </c>
      <c r="AY235" s="380" t="e">
        <f t="shared" si="152"/>
        <v>#DIV/0!</v>
      </c>
      <c r="AZ235" s="380" t="e">
        <f t="shared" si="152"/>
        <v>#DIV/0!</v>
      </c>
      <c r="BA235" s="380" t="e">
        <f t="shared" si="152"/>
        <v>#DIV/0!</v>
      </c>
      <c r="BB235" s="380" t="e">
        <f t="shared" si="152"/>
        <v>#DIV/0!</v>
      </c>
      <c r="BC235" s="380" t="e">
        <f t="shared" si="152"/>
        <v>#DIV/0!</v>
      </c>
      <c r="BD235" s="380" t="e">
        <f t="shared" si="152"/>
        <v>#DIV/0!</v>
      </c>
      <c r="BE235" s="380" t="e">
        <f t="shared" si="152"/>
        <v>#DIV/0!</v>
      </c>
      <c r="BF235" s="380" t="e">
        <f t="shared" si="152"/>
        <v>#DIV/0!</v>
      </c>
      <c r="BG235" s="380" t="e">
        <f t="shared" si="152"/>
        <v>#DIV/0!</v>
      </c>
      <c r="BH235" s="380" t="e">
        <f t="shared" si="152"/>
        <v>#DIV/0!</v>
      </c>
      <c r="BI235" s="380" t="e">
        <f t="shared" si="152"/>
        <v>#DIV/0!</v>
      </c>
      <c r="BJ235" s="380" t="e">
        <f t="shared" si="152"/>
        <v>#DIV/0!</v>
      </c>
      <c r="BK235" s="380" t="e">
        <f t="shared" si="152"/>
        <v>#DIV/0!</v>
      </c>
      <c r="BL235" s="380" t="e">
        <f t="shared" si="152"/>
        <v>#DIV/0!</v>
      </c>
      <c r="BM235" s="380" t="e">
        <f t="shared" si="152"/>
        <v>#DIV/0!</v>
      </c>
      <c r="BN235" s="380" t="e">
        <f t="shared" si="152"/>
        <v>#DIV/0!</v>
      </c>
      <c r="BO235" s="380" t="e">
        <f t="shared" si="152"/>
        <v>#DIV/0!</v>
      </c>
      <c r="BP235" s="380" t="e">
        <f t="shared" si="152"/>
        <v>#DIV/0!</v>
      </c>
      <c r="BQ235" s="380" t="e">
        <f t="shared" si="152"/>
        <v>#DIV/0!</v>
      </c>
      <c r="BR235" s="380" t="e">
        <f t="shared" si="153"/>
        <v>#DIV/0!</v>
      </c>
      <c r="BS235" s="380" t="e">
        <f t="shared" si="153"/>
        <v>#DIV/0!</v>
      </c>
      <c r="BT235" s="380" t="e">
        <f t="shared" si="153"/>
        <v>#DIV/0!</v>
      </c>
      <c r="BU235" s="380" t="e">
        <f t="shared" si="153"/>
        <v>#DIV/0!</v>
      </c>
      <c r="BV235" s="380" t="e">
        <f t="shared" si="153"/>
        <v>#DIV/0!</v>
      </c>
      <c r="BW235" s="380" t="e">
        <f t="shared" si="153"/>
        <v>#DIV/0!</v>
      </c>
      <c r="BX235" s="380" t="e">
        <f t="shared" si="153"/>
        <v>#DIV/0!</v>
      </c>
      <c r="BY235" s="380" t="e">
        <f t="shared" si="153"/>
        <v>#DIV/0!</v>
      </c>
      <c r="BZ235" s="380" t="e">
        <f t="shared" si="153"/>
        <v>#DIV/0!</v>
      </c>
      <c r="CA235" s="380" t="e">
        <f t="shared" si="153"/>
        <v>#DIV/0!</v>
      </c>
      <c r="CB235" s="380" t="e">
        <f t="shared" si="153"/>
        <v>#DIV/0!</v>
      </c>
      <c r="CC235" s="380" t="e">
        <f t="shared" si="153"/>
        <v>#DIV/0!</v>
      </c>
      <c r="CD235" s="380" t="e">
        <f t="shared" si="153"/>
        <v>#DIV/0!</v>
      </c>
      <c r="CE235" s="380" t="e">
        <f t="shared" si="153"/>
        <v>#DIV/0!</v>
      </c>
      <c r="CF235" s="380" t="e">
        <f t="shared" si="153"/>
        <v>#DIV/0!</v>
      </c>
    </row>
    <row r="236" spans="2:84">
      <c r="D236" s="380" t="s">
        <v>91</v>
      </c>
      <c r="E236" s="380" t="e">
        <f>((($E$14*($E65))+($E$15*($F65))+($E$16*($G65))))*E229</f>
        <v>#DIV/0!</v>
      </c>
      <c r="F236" s="380" t="e">
        <f t="shared" ref="F236:BQ237" si="156">((($E$14*($E65))+($E$15*($F65))+($E$16*($G65))))*F229</f>
        <v>#DIV/0!</v>
      </c>
      <c r="G236" s="380" t="e">
        <f t="shared" si="156"/>
        <v>#DIV/0!</v>
      </c>
      <c r="H236" s="380" t="e">
        <f t="shared" si="156"/>
        <v>#DIV/0!</v>
      </c>
      <c r="I236" s="380" t="e">
        <f t="shared" si="156"/>
        <v>#DIV/0!</v>
      </c>
      <c r="J236" s="380" t="e">
        <f t="shared" si="156"/>
        <v>#DIV/0!</v>
      </c>
      <c r="K236" s="380" t="e">
        <f t="shared" si="156"/>
        <v>#DIV/0!</v>
      </c>
      <c r="L236" s="380" t="e">
        <f t="shared" si="156"/>
        <v>#DIV/0!</v>
      </c>
      <c r="M236" s="380" t="e">
        <f t="shared" si="156"/>
        <v>#DIV/0!</v>
      </c>
      <c r="N236" s="380" t="e">
        <f t="shared" si="156"/>
        <v>#DIV/0!</v>
      </c>
      <c r="O236" s="380" t="e">
        <f t="shared" si="156"/>
        <v>#DIV/0!</v>
      </c>
      <c r="P236" s="380" t="e">
        <f t="shared" si="156"/>
        <v>#DIV/0!</v>
      </c>
      <c r="Q236" s="380" t="e">
        <f t="shared" si="156"/>
        <v>#DIV/0!</v>
      </c>
      <c r="R236" s="380" t="e">
        <f t="shared" si="156"/>
        <v>#DIV/0!</v>
      </c>
      <c r="S236" s="380" t="e">
        <f t="shared" si="156"/>
        <v>#DIV/0!</v>
      </c>
      <c r="T236" s="380" t="e">
        <f t="shared" si="156"/>
        <v>#DIV/0!</v>
      </c>
      <c r="U236" s="380" t="e">
        <f t="shared" si="156"/>
        <v>#DIV/0!</v>
      </c>
      <c r="V236" s="380" t="e">
        <f t="shared" si="156"/>
        <v>#DIV/0!</v>
      </c>
      <c r="W236" s="380" t="e">
        <f t="shared" si="156"/>
        <v>#DIV/0!</v>
      </c>
      <c r="X236" s="380" t="e">
        <f t="shared" si="156"/>
        <v>#DIV/0!</v>
      </c>
      <c r="Y236" s="380" t="e">
        <f t="shared" si="156"/>
        <v>#DIV/0!</v>
      </c>
      <c r="Z236" s="380" t="e">
        <f t="shared" si="156"/>
        <v>#DIV/0!</v>
      </c>
      <c r="AA236" s="380" t="e">
        <f t="shared" si="156"/>
        <v>#DIV/0!</v>
      </c>
      <c r="AB236" s="380" t="e">
        <f t="shared" si="156"/>
        <v>#DIV/0!</v>
      </c>
      <c r="AC236" s="380" t="e">
        <f t="shared" si="156"/>
        <v>#DIV/0!</v>
      </c>
      <c r="AD236" s="380" t="e">
        <f t="shared" si="156"/>
        <v>#DIV/0!</v>
      </c>
      <c r="AE236" s="380" t="e">
        <f t="shared" si="156"/>
        <v>#DIV/0!</v>
      </c>
      <c r="AF236" s="380" t="e">
        <f t="shared" si="156"/>
        <v>#DIV/0!</v>
      </c>
      <c r="AG236" s="380" t="e">
        <f t="shared" si="156"/>
        <v>#DIV/0!</v>
      </c>
      <c r="AH236" s="380" t="e">
        <f t="shared" si="156"/>
        <v>#DIV/0!</v>
      </c>
      <c r="AI236" s="380" t="e">
        <f t="shared" si="156"/>
        <v>#DIV/0!</v>
      </c>
      <c r="AJ236" s="380" t="e">
        <f t="shared" si="156"/>
        <v>#DIV/0!</v>
      </c>
      <c r="AK236" s="380" t="e">
        <f t="shared" si="156"/>
        <v>#DIV/0!</v>
      </c>
      <c r="AL236" s="380" t="e">
        <f t="shared" si="156"/>
        <v>#DIV/0!</v>
      </c>
      <c r="AM236" s="380" t="e">
        <f t="shared" si="156"/>
        <v>#DIV/0!</v>
      </c>
      <c r="AN236" s="380" t="e">
        <f t="shared" si="156"/>
        <v>#DIV/0!</v>
      </c>
      <c r="AO236" s="380" t="e">
        <f t="shared" si="156"/>
        <v>#DIV/0!</v>
      </c>
      <c r="AP236" s="380" t="e">
        <f t="shared" si="156"/>
        <v>#DIV/0!</v>
      </c>
      <c r="AQ236" s="380" t="e">
        <f t="shared" si="156"/>
        <v>#DIV/0!</v>
      </c>
      <c r="AR236" s="380" t="e">
        <f t="shared" si="156"/>
        <v>#DIV/0!</v>
      </c>
      <c r="AS236" s="380" t="e">
        <f t="shared" si="156"/>
        <v>#DIV/0!</v>
      </c>
      <c r="AT236" s="380" t="e">
        <f t="shared" si="156"/>
        <v>#DIV/0!</v>
      </c>
      <c r="AU236" s="380" t="e">
        <f t="shared" si="156"/>
        <v>#DIV/0!</v>
      </c>
      <c r="AV236" s="380" t="e">
        <f t="shared" si="156"/>
        <v>#DIV/0!</v>
      </c>
      <c r="AW236" s="380" t="e">
        <f t="shared" si="156"/>
        <v>#DIV/0!</v>
      </c>
      <c r="AX236" s="380" t="e">
        <f t="shared" si="156"/>
        <v>#DIV/0!</v>
      </c>
      <c r="AY236" s="380" t="e">
        <f t="shared" si="156"/>
        <v>#DIV/0!</v>
      </c>
      <c r="AZ236" s="380" t="e">
        <f t="shared" si="156"/>
        <v>#DIV/0!</v>
      </c>
      <c r="BA236" s="380" t="e">
        <f t="shared" si="156"/>
        <v>#DIV/0!</v>
      </c>
      <c r="BB236" s="380" t="e">
        <f t="shared" si="156"/>
        <v>#DIV/0!</v>
      </c>
      <c r="BC236" s="380" t="e">
        <f t="shared" si="156"/>
        <v>#DIV/0!</v>
      </c>
      <c r="BD236" s="380" t="e">
        <f t="shared" si="156"/>
        <v>#DIV/0!</v>
      </c>
      <c r="BE236" s="380" t="e">
        <f t="shared" si="156"/>
        <v>#DIV/0!</v>
      </c>
      <c r="BF236" s="380" t="e">
        <f t="shared" si="156"/>
        <v>#DIV/0!</v>
      </c>
      <c r="BG236" s="380" t="e">
        <f t="shared" si="156"/>
        <v>#DIV/0!</v>
      </c>
      <c r="BH236" s="380" t="e">
        <f t="shared" si="156"/>
        <v>#DIV/0!</v>
      </c>
      <c r="BI236" s="380" t="e">
        <f t="shared" si="156"/>
        <v>#DIV/0!</v>
      </c>
      <c r="BJ236" s="380" t="e">
        <f t="shared" si="156"/>
        <v>#DIV/0!</v>
      </c>
      <c r="BK236" s="380" t="e">
        <f t="shared" si="156"/>
        <v>#DIV/0!</v>
      </c>
      <c r="BL236" s="380" t="e">
        <f t="shared" si="156"/>
        <v>#DIV/0!</v>
      </c>
      <c r="BM236" s="380" t="e">
        <f t="shared" si="156"/>
        <v>#DIV/0!</v>
      </c>
      <c r="BN236" s="380" t="e">
        <f t="shared" si="156"/>
        <v>#DIV/0!</v>
      </c>
      <c r="BO236" s="380" t="e">
        <f t="shared" si="156"/>
        <v>#DIV/0!</v>
      </c>
      <c r="BP236" s="380" t="e">
        <f t="shared" si="156"/>
        <v>#DIV/0!</v>
      </c>
      <c r="BQ236" s="380" t="e">
        <f t="shared" si="156"/>
        <v>#DIV/0!</v>
      </c>
      <c r="BR236" s="380" t="e">
        <f t="shared" si="153"/>
        <v>#DIV/0!</v>
      </c>
      <c r="BS236" s="380" t="e">
        <f t="shared" si="153"/>
        <v>#DIV/0!</v>
      </c>
      <c r="BT236" s="380" t="e">
        <f t="shared" si="153"/>
        <v>#DIV/0!</v>
      </c>
      <c r="BU236" s="380" t="e">
        <f t="shared" si="153"/>
        <v>#DIV/0!</v>
      </c>
      <c r="BV236" s="380" t="e">
        <f t="shared" si="153"/>
        <v>#DIV/0!</v>
      </c>
      <c r="BW236" s="380" t="e">
        <f t="shared" si="153"/>
        <v>#DIV/0!</v>
      </c>
      <c r="BX236" s="380" t="e">
        <f t="shared" si="153"/>
        <v>#DIV/0!</v>
      </c>
      <c r="BY236" s="380" t="e">
        <f t="shared" si="153"/>
        <v>#DIV/0!</v>
      </c>
      <c r="BZ236" s="380" t="e">
        <f t="shared" si="153"/>
        <v>#DIV/0!</v>
      </c>
      <c r="CA236" s="380" t="e">
        <f t="shared" si="153"/>
        <v>#DIV/0!</v>
      </c>
      <c r="CB236" s="380" t="e">
        <f t="shared" si="153"/>
        <v>#DIV/0!</v>
      </c>
      <c r="CC236" s="380" t="e">
        <f t="shared" si="153"/>
        <v>#DIV/0!</v>
      </c>
      <c r="CD236" s="380" t="e">
        <f t="shared" si="153"/>
        <v>#DIV/0!</v>
      </c>
      <c r="CE236" s="380" t="e">
        <f t="shared" si="153"/>
        <v>#DIV/0!</v>
      </c>
      <c r="CF236" s="380" t="e">
        <f t="shared" si="153"/>
        <v>#DIV/0!</v>
      </c>
    </row>
    <row r="237" spans="2:84">
      <c r="D237" s="380" t="s">
        <v>93</v>
      </c>
      <c r="E237" s="380" t="e">
        <f>((($E$14*($E66))+($E$15*($F66))+($E$16*($G66))))*E230</f>
        <v>#DIV/0!</v>
      </c>
      <c r="F237" s="380" t="e">
        <f t="shared" si="156"/>
        <v>#DIV/0!</v>
      </c>
      <c r="G237" s="380" t="e">
        <f t="shared" si="156"/>
        <v>#DIV/0!</v>
      </c>
      <c r="H237" s="380" t="e">
        <f t="shared" si="156"/>
        <v>#DIV/0!</v>
      </c>
      <c r="I237" s="380" t="e">
        <f t="shared" si="156"/>
        <v>#DIV/0!</v>
      </c>
      <c r="J237" s="380" t="e">
        <f t="shared" si="156"/>
        <v>#DIV/0!</v>
      </c>
      <c r="K237" s="380" t="e">
        <f t="shared" si="156"/>
        <v>#DIV/0!</v>
      </c>
      <c r="L237" s="380" t="e">
        <f t="shared" si="156"/>
        <v>#DIV/0!</v>
      </c>
      <c r="M237" s="380" t="e">
        <f t="shared" si="156"/>
        <v>#DIV/0!</v>
      </c>
      <c r="N237" s="380" t="e">
        <f t="shared" si="156"/>
        <v>#DIV/0!</v>
      </c>
      <c r="O237" s="380" t="e">
        <f t="shared" si="156"/>
        <v>#DIV/0!</v>
      </c>
      <c r="P237" s="380" t="e">
        <f t="shared" si="156"/>
        <v>#DIV/0!</v>
      </c>
      <c r="Q237" s="380" t="e">
        <f t="shared" si="156"/>
        <v>#DIV/0!</v>
      </c>
      <c r="R237" s="380" t="e">
        <f t="shared" si="156"/>
        <v>#DIV/0!</v>
      </c>
      <c r="S237" s="380" t="e">
        <f t="shared" si="156"/>
        <v>#DIV/0!</v>
      </c>
      <c r="T237" s="380" t="e">
        <f t="shared" si="156"/>
        <v>#DIV/0!</v>
      </c>
      <c r="U237" s="380" t="e">
        <f t="shared" si="156"/>
        <v>#DIV/0!</v>
      </c>
      <c r="V237" s="380" t="e">
        <f t="shared" si="156"/>
        <v>#DIV/0!</v>
      </c>
      <c r="W237" s="380" t="e">
        <f t="shared" si="156"/>
        <v>#DIV/0!</v>
      </c>
      <c r="X237" s="380" t="e">
        <f t="shared" si="156"/>
        <v>#DIV/0!</v>
      </c>
      <c r="Y237" s="380" t="e">
        <f t="shared" si="156"/>
        <v>#DIV/0!</v>
      </c>
      <c r="Z237" s="380" t="e">
        <f t="shared" si="156"/>
        <v>#DIV/0!</v>
      </c>
      <c r="AA237" s="380" t="e">
        <f t="shared" si="156"/>
        <v>#DIV/0!</v>
      </c>
      <c r="AB237" s="380" t="e">
        <f t="shared" si="156"/>
        <v>#DIV/0!</v>
      </c>
      <c r="AC237" s="380" t="e">
        <f t="shared" si="156"/>
        <v>#DIV/0!</v>
      </c>
      <c r="AD237" s="380" t="e">
        <f t="shared" si="156"/>
        <v>#DIV/0!</v>
      </c>
      <c r="AE237" s="380" t="e">
        <f t="shared" si="156"/>
        <v>#DIV/0!</v>
      </c>
      <c r="AF237" s="380" t="e">
        <f t="shared" si="156"/>
        <v>#DIV/0!</v>
      </c>
      <c r="AG237" s="380" t="e">
        <f t="shared" si="156"/>
        <v>#DIV/0!</v>
      </c>
      <c r="AH237" s="380" t="e">
        <f t="shared" si="156"/>
        <v>#DIV/0!</v>
      </c>
      <c r="AI237" s="380" t="e">
        <f t="shared" si="156"/>
        <v>#DIV/0!</v>
      </c>
      <c r="AJ237" s="380" t="e">
        <f t="shared" si="156"/>
        <v>#DIV/0!</v>
      </c>
      <c r="AK237" s="380" t="e">
        <f t="shared" si="156"/>
        <v>#DIV/0!</v>
      </c>
      <c r="AL237" s="380" t="e">
        <f t="shared" si="156"/>
        <v>#DIV/0!</v>
      </c>
      <c r="AM237" s="380" t="e">
        <f t="shared" si="156"/>
        <v>#DIV/0!</v>
      </c>
      <c r="AN237" s="380" t="e">
        <f t="shared" si="156"/>
        <v>#DIV/0!</v>
      </c>
      <c r="AO237" s="380" t="e">
        <f t="shared" si="156"/>
        <v>#DIV/0!</v>
      </c>
      <c r="AP237" s="380" t="e">
        <f t="shared" si="156"/>
        <v>#DIV/0!</v>
      </c>
      <c r="AQ237" s="380" t="e">
        <f t="shared" si="156"/>
        <v>#DIV/0!</v>
      </c>
      <c r="AR237" s="380" t="e">
        <f t="shared" si="156"/>
        <v>#DIV/0!</v>
      </c>
      <c r="AS237" s="380" t="e">
        <f t="shared" si="156"/>
        <v>#DIV/0!</v>
      </c>
      <c r="AT237" s="380" t="e">
        <f t="shared" si="156"/>
        <v>#DIV/0!</v>
      </c>
      <c r="AU237" s="380" t="e">
        <f t="shared" si="156"/>
        <v>#DIV/0!</v>
      </c>
      <c r="AV237" s="380" t="e">
        <f t="shared" si="156"/>
        <v>#DIV/0!</v>
      </c>
      <c r="AW237" s="380" t="e">
        <f t="shared" si="156"/>
        <v>#DIV/0!</v>
      </c>
      <c r="AX237" s="380" t="e">
        <f t="shared" si="156"/>
        <v>#DIV/0!</v>
      </c>
      <c r="AY237" s="380" t="e">
        <f t="shared" si="156"/>
        <v>#DIV/0!</v>
      </c>
      <c r="AZ237" s="380" t="e">
        <f t="shared" si="156"/>
        <v>#DIV/0!</v>
      </c>
      <c r="BA237" s="380" t="e">
        <f t="shared" si="156"/>
        <v>#DIV/0!</v>
      </c>
      <c r="BB237" s="380" t="e">
        <f t="shared" si="156"/>
        <v>#DIV/0!</v>
      </c>
      <c r="BC237" s="380" t="e">
        <f t="shared" si="156"/>
        <v>#DIV/0!</v>
      </c>
      <c r="BD237" s="380" t="e">
        <f t="shared" si="156"/>
        <v>#DIV/0!</v>
      </c>
      <c r="BE237" s="380" t="e">
        <f t="shared" si="156"/>
        <v>#DIV/0!</v>
      </c>
      <c r="BF237" s="380" t="e">
        <f t="shared" si="156"/>
        <v>#DIV/0!</v>
      </c>
      <c r="BG237" s="380" t="e">
        <f t="shared" si="156"/>
        <v>#DIV/0!</v>
      </c>
      <c r="BH237" s="380" t="e">
        <f t="shared" si="156"/>
        <v>#DIV/0!</v>
      </c>
      <c r="BI237" s="380" t="e">
        <f t="shared" si="156"/>
        <v>#DIV/0!</v>
      </c>
      <c r="BJ237" s="380" t="e">
        <f t="shared" si="156"/>
        <v>#DIV/0!</v>
      </c>
      <c r="BK237" s="380" t="e">
        <f t="shared" si="156"/>
        <v>#DIV/0!</v>
      </c>
      <c r="BL237" s="380" t="e">
        <f t="shared" si="156"/>
        <v>#DIV/0!</v>
      </c>
      <c r="BM237" s="380" t="e">
        <f t="shared" si="156"/>
        <v>#DIV/0!</v>
      </c>
      <c r="BN237" s="380" t="e">
        <f t="shared" si="156"/>
        <v>#DIV/0!</v>
      </c>
      <c r="BO237" s="380" t="e">
        <f t="shared" si="156"/>
        <v>#DIV/0!</v>
      </c>
      <c r="BP237" s="380" t="e">
        <f t="shared" si="156"/>
        <v>#DIV/0!</v>
      </c>
      <c r="BQ237" s="380" t="e">
        <f t="shared" si="156"/>
        <v>#DIV/0!</v>
      </c>
      <c r="BR237" s="380" t="e">
        <f t="shared" si="153"/>
        <v>#DIV/0!</v>
      </c>
      <c r="BS237" s="380" t="e">
        <f t="shared" si="153"/>
        <v>#DIV/0!</v>
      </c>
      <c r="BT237" s="380" t="e">
        <f t="shared" si="153"/>
        <v>#DIV/0!</v>
      </c>
      <c r="BU237" s="380" t="e">
        <f t="shared" si="153"/>
        <v>#DIV/0!</v>
      </c>
      <c r="BV237" s="380" t="e">
        <f t="shared" si="153"/>
        <v>#DIV/0!</v>
      </c>
      <c r="BW237" s="380" t="e">
        <f t="shared" si="153"/>
        <v>#DIV/0!</v>
      </c>
      <c r="BX237" s="380" t="e">
        <f t="shared" si="153"/>
        <v>#DIV/0!</v>
      </c>
      <c r="BY237" s="380" t="e">
        <f t="shared" si="153"/>
        <v>#DIV/0!</v>
      </c>
      <c r="BZ237" s="380" t="e">
        <f t="shared" si="153"/>
        <v>#DIV/0!</v>
      </c>
      <c r="CA237" s="380" t="e">
        <f t="shared" si="153"/>
        <v>#DIV/0!</v>
      </c>
      <c r="CB237" s="380" t="e">
        <f t="shared" si="153"/>
        <v>#DIV/0!</v>
      </c>
      <c r="CC237" s="380" t="e">
        <f t="shared" si="153"/>
        <v>#DIV/0!</v>
      </c>
      <c r="CD237" s="380" t="e">
        <f t="shared" si="153"/>
        <v>#DIV/0!</v>
      </c>
      <c r="CE237" s="380" t="e">
        <f t="shared" si="153"/>
        <v>#DIV/0!</v>
      </c>
      <c r="CF237" s="380" t="e">
        <f t="shared" si="153"/>
        <v>#DIV/0!</v>
      </c>
    </row>
    <row r="239" spans="2:84">
      <c r="C239" s="360" t="s">
        <v>292</v>
      </c>
    </row>
    <row r="240" spans="2:84">
      <c r="D240" s="728"/>
      <c r="E240" s="728">
        <v>2010</v>
      </c>
      <c r="F240" s="728">
        <v>2011</v>
      </c>
      <c r="G240" s="728">
        <v>2012</v>
      </c>
      <c r="H240" s="728">
        <v>2013</v>
      </c>
      <c r="I240" s="728">
        <v>2014</v>
      </c>
      <c r="J240" s="728">
        <v>2015</v>
      </c>
      <c r="K240" s="728">
        <v>2016</v>
      </c>
      <c r="L240" s="728">
        <v>2017</v>
      </c>
      <c r="M240" s="728">
        <v>2018</v>
      </c>
      <c r="N240" s="728">
        <v>2019</v>
      </c>
      <c r="O240" s="728">
        <v>2020</v>
      </c>
      <c r="P240" s="728">
        <v>2021</v>
      </c>
      <c r="Q240" s="728">
        <v>2022</v>
      </c>
      <c r="R240" s="728">
        <v>2023</v>
      </c>
      <c r="S240" s="728">
        <v>2024</v>
      </c>
      <c r="T240" s="728">
        <v>2025</v>
      </c>
      <c r="U240" s="728">
        <v>2026</v>
      </c>
      <c r="V240" s="728">
        <v>2027</v>
      </c>
      <c r="W240" s="728">
        <v>2028</v>
      </c>
      <c r="X240" s="728">
        <v>2029</v>
      </c>
      <c r="Y240" s="728">
        <v>2030</v>
      </c>
      <c r="Z240" s="728">
        <v>2031</v>
      </c>
      <c r="AA240" s="728">
        <v>2032</v>
      </c>
      <c r="AB240" s="728">
        <v>2033</v>
      </c>
      <c r="AC240" s="728">
        <v>2034</v>
      </c>
      <c r="AD240" s="728">
        <v>2035</v>
      </c>
      <c r="AE240" s="728">
        <v>2036</v>
      </c>
      <c r="AF240" s="728">
        <v>2037</v>
      </c>
      <c r="AG240" s="728">
        <v>2038</v>
      </c>
      <c r="AH240" s="728">
        <v>2039</v>
      </c>
      <c r="AI240" s="728">
        <v>2040</v>
      </c>
      <c r="AJ240" s="728">
        <v>2041</v>
      </c>
      <c r="AK240" s="728">
        <v>2042</v>
      </c>
      <c r="AL240" s="728">
        <v>2043</v>
      </c>
      <c r="AM240" s="728">
        <v>2044</v>
      </c>
      <c r="AN240" s="728">
        <v>2045</v>
      </c>
      <c r="AO240" s="728">
        <v>2046</v>
      </c>
      <c r="AP240" s="728">
        <v>2047</v>
      </c>
      <c r="AQ240" s="728">
        <v>2048</v>
      </c>
      <c r="AR240" s="728">
        <v>2049</v>
      </c>
      <c r="AS240" s="728">
        <v>2050</v>
      </c>
      <c r="AT240" s="728">
        <v>2051</v>
      </c>
      <c r="AU240" s="728">
        <v>2052</v>
      </c>
      <c r="AV240" s="728">
        <v>2053</v>
      </c>
      <c r="AW240" s="728">
        <v>2054</v>
      </c>
      <c r="AX240" s="728">
        <v>2055</v>
      </c>
      <c r="AY240" s="728">
        <v>2056</v>
      </c>
      <c r="AZ240" s="728">
        <v>2057</v>
      </c>
      <c r="BA240" s="728">
        <v>2058</v>
      </c>
      <c r="BB240" s="728">
        <v>2059</v>
      </c>
      <c r="BC240" s="728">
        <v>2060</v>
      </c>
      <c r="BD240" s="728">
        <v>2061</v>
      </c>
      <c r="BE240" s="728">
        <v>2062</v>
      </c>
      <c r="BF240" s="728">
        <v>2063</v>
      </c>
      <c r="BG240" s="728">
        <v>2064</v>
      </c>
      <c r="BH240" s="728">
        <v>2065</v>
      </c>
      <c r="BI240" s="728">
        <v>2066</v>
      </c>
      <c r="BJ240" s="728">
        <v>2067</v>
      </c>
      <c r="BK240" s="728">
        <v>2068</v>
      </c>
      <c r="BL240" s="728">
        <v>2069</v>
      </c>
      <c r="BM240" s="728">
        <v>2070</v>
      </c>
      <c r="BN240" s="728">
        <v>2071</v>
      </c>
      <c r="BO240" s="728">
        <v>2072</v>
      </c>
      <c r="BP240" s="728">
        <v>2073</v>
      </c>
      <c r="BQ240" s="728">
        <v>2074</v>
      </c>
      <c r="BR240" s="728">
        <v>2075</v>
      </c>
      <c r="BS240" s="728">
        <v>2076</v>
      </c>
      <c r="BT240" s="728">
        <v>2077</v>
      </c>
      <c r="BU240" s="728">
        <v>2078</v>
      </c>
      <c r="BV240" s="728">
        <v>2079</v>
      </c>
      <c r="BW240" s="728">
        <v>2080</v>
      </c>
      <c r="BX240" s="728">
        <v>2081</v>
      </c>
      <c r="BY240" s="728">
        <v>2082</v>
      </c>
      <c r="BZ240" s="728">
        <v>2083</v>
      </c>
      <c r="CA240" s="728">
        <v>2084</v>
      </c>
      <c r="CB240" s="728">
        <v>2085</v>
      </c>
      <c r="CC240" s="728">
        <v>2086</v>
      </c>
      <c r="CD240" s="728">
        <v>2087</v>
      </c>
      <c r="CE240" s="728">
        <v>2088</v>
      </c>
      <c r="CF240" s="728">
        <v>2089</v>
      </c>
    </row>
    <row r="241" spans="3:84">
      <c r="D241" s="380" t="s">
        <v>87</v>
      </c>
      <c r="E241" s="380" t="e">
        <f t="shared" ref="E241:AJ241" si="157">VLOOKUP(E$240, Carbon_price,4,0)*E234/1000</f>
        <v>#DIV/0!</v>
      </c>
      <c r="F241" s="380" t="e">
        <f t="shared" si="157"/>
        <v>#DIV/0!</v>
      </c>
      <c r="G241" s="380" t="e">
        <f t="shared" si="157"/>
        <v>#DIV/0!</v>
      </c>
      <c r="H241" s="380" t="e">
        <f t="shared" si="157"/>
        <v>#DIV/0!</v>
      </c>
      <c r="I241" s="380" t="e">
        <f t="shared" si="157"/>
        <v>#DIV/0!</v>
      </c>
      <c r="J241" s="380" t="e">
        <f t="shared" si="157"/>
        <v>#DIV/0!</v>
      </c>
      <c r="K241" s="380" t="e">
        <f t="shared" si="157"/>
        <v>#DIV/0!</v>
      </c>
      <c r="L241" s="380" t="e">
        <f t="shared" si="157"/>
        <v>#DIV/0!</v>
      </c>
      <c r="M241" s="380" t="e">
        <f t="shared" si="157"/>
        <v>#DIV/0!</v>
      </c>
      <c r="N241" s="380" t="e">
        <f>VLOOKUP(N$240, Carbon_price,4,0)*N234/1000</f>
        <v>#DIV/0!</v>
      </c>
      <c r="O241" s="380" t="e">
        <f t="shared" si="157"/>
        <v>#DIV/0!</v>
      </c>
      <c r="P241" s="380" t="e">
        <f t="shared" si="157"/>
        <v>#DIV/0!</v>
      </c>
      <c r="Q241" s="380" t="e">
        <f t="shared" si="157"/>
        <v>#DIV/0!</v>
      </c>
      <c r="R241" s="380" t="e">
        <f t="shared" si="157"/>
        <v>#DIV/0!</v>
      </c>
      <c r="S241" s="380" t="e">
        <f t="shared" si="157"/>
        <v>#DIV/0!</v>
      </c>
      <c r="T241" s="380" t="e">
        <f t="shared" si="157"/>
        <v>#DIV/0!</v>
      </c>
      <c r="U241" s="380" t="e">
        <f t="shared" si="157"/>
        <v>#DIV/0!</v>
      </c>
      <c r="V241" s="380" t="e">
        <f t="shared" si="157"/>
        <v>#DIV/0!</v>
      </c>
      <c r="W241" s="380" t="e">
        <f t="shared" si="157"/>
        <v>#DIV/0!</v>
      </c>
      <c r="X241" s="380" t="e">
        <f t="shared" si="157"/>
        <v>#DIV/0!</v>
      </c>
      <c r="Y241" s="380" t="e">
        <f t="shared" si="157"/>
        <v>#DIV/0!</v>
      </c>
      <c r="Z241" s="380" t="e">
        <f t="shared" si="157"/>
        <v>#DIV/0!</v>
      </c>
      <c r="AA241" s="380" t="e">
        <f t="shared" si="157"/>
        <v>#DIV/0!</v>
      </c>
      <c r="AB241" s="380" t="e">
        <f t="shared" si="157"/>
        <v>#DIV/0!</v>
      </c>
      <c r="AC241" s="380" t="e">
        <f t="shared" si="157"/>
        <v>#DIV/0!</v>
      </c>
      <c r="AD241" s="380" t="e">
        <f t="shared" si="157"/>
        <v>#DIV/0!</v>
      </c>
      <c r="AE241" s="380" t="e">
        <f t="shared" si="157"/>
        <v>#DIV/0!</v>
      </c>
      <c r="AF241" s="380" t="e">
        <f t="shared" si="157"/>
        <v>#DIV/0!</v>
      </c>
      <c r="AG241" s="380" t="e">
        <f t="shared" si="157"/>
        <v>#DIV/0!</v>
      </c>
      <c r="AH241" s="380" t="e">
        <f t="shared" si="157"/>
        <v>#DIV/0!</v>
      </c>
      <c r="AI241" s="380" t="e">
        <f t="shared" si="157"/>
        <v>#DIV/0!</v>
      </c>
      <c r="AJ241" s="380" t="e">
        <f t="shared" si="157"/>
        <v>#DIV/0!</v>
      </c>
      <c r="AK241" s="380" t="e">
        <f t="shared" ref="AK241:BP241" si="158">VLOOKUP(AK$240, Carbon_price,4,0)*AK234/1000</f>
        <v>#DIV/0!</v>
      </c>
      <c r="AL241" s="380" t="e">
        <f t="shared" si="158"/>
        <v>#DIV/0!</v>
      </c>
      <c r="AM241" s="380" t="e">
        <f t="shared" si="158"/>
        <v>#DIV/0!</v>
      </c>
      <c r="AN241" s="380" t="e">
        <f t="shared" si="158"/>
        <v>#DIV/0!</v>
      </c>
      <c r="AO241" s="380" t="e">
        <f t="shared" si="158"/>
        <v>#DIV/0!</v>
      </c>
      <c r="AP241" s="380" t="e">
        <f t="shared" si="158"/>
        <v>#DIV/0!</v>
      </c>
      <c r="AQ241" s="380" t="e">
        <f t="shared" si="158"/>
        <v>#DIV/0!</v>
      </c>
      <c r="AR241" s="380" t="e">
        <f t="shared" si="158"/>
        <v>#DIV/0!</v>
      </c>
      <c r="AS241" s="380" t="e">
        <f t="shared" si="158"/>
        <v>#DIV/0!</v>
      </c>
      <c r="AT241" s="380" t="e">
        <f t="shared" si="158"/>
        <v>#DIV/0!</v>
      </c>
      <c r="AU241" s="380" t="e">
        <f t="shared" si="158"/>
        <v>#DIV/0!</v>
      </c>
      <c r="AV241" s="380" t="e">
        <f t="shared" si="158"/>
        <v>#DIV/0!</v>
      </c>
      <c r="AW241" s="380" t="e">
        <f t="shared" si="158"/>
        <v>#DIV/0!</v>
      </c>
      <c r="AX241" s="380" t="e">
        <f t="shared" si="158"/>
        <v>#DIV/0!</v>
      </c>
      <c r="AY241" s="380" t="e">
        <f t="shared" si="158"/>
        <v>#DIV/0!</v>
      </c>
      <c r="AZ241" s="380" t="e">
        <f t="shared" si="158"/>
        <v>#DIV/0!</v>
      </c>
      <c r="BA241" s="380" t="e">
        <f t="shared" si="158"/>
        <v>#DIV/0!</v>
      </c>
      <c r="BB241" s="380" t="e">
        <f t="shared" si="158"/>
        <v>#DIV/0!</v>
      </c>
      <c r="BC241" s="380" t="e">
        <f t="shared" si="158"/>
        <v>#DIV/0!</v>
      </c>
      <c r="BD241" s="380" t="e">
        <f t="shared" si="158"/>
        <v>#DIV/0!</v>
      </c>
      <c r="BE241" s="380" t="e">
        <f t="shared" si="158"/>
        <v>#DIV/0!</v>
      </c>
      <c r="BF241" s="380" t="e">
        <f t="shared" si="158"/>
        <v>#DIV/0!</v>
      </c>
      <c r="BG241" s="380" t="e">
        <f t="shared" si="158"/>
        <v>#DIV/0!</v>
      </c>
      <c r="BH241" s="380" t="e">
        <f t="shared" si="158"/>
        <v>#DIV/0!</v>
      </c>
      <c r="BI241" s="380" t="e">
        <f t="shared" si="158"/>
        <v>#DIV/0!</v>
      </c>
      <c r="BJ241" s="380" t="e">
        <f t="shared" si="158"/>
        <v>#DIV/0!</v>
      </c>
      <c r="BK241" s="380" t="e">
        <f t="shared" si="158"/>
        <v>#DIV/0!</v>
      </c>
      <c r="BL241" s="380" t="e">
        <f t="shared" si="158"/>
        <v>#DIV/0!</v>
      </c>
      <c r="BM241" s="380" t="e">
        <f t="shared" si="158"/>
        <v>#DIV/0!</v>
      </c>
      <c r="BN241" s="380" t="e">
        <f t="shared" si="158"/>
        <v>#DIV/0!</v>
      </c>
      <c r="BO241" s="380" t="e">
        <f t="shared" si="158"/>
        <v>#DIV/0!</v>
      </c>
      <c r="BP241" s="380" t="e">
        <f t="shared" si="158"/>
        <v>#DIV/0!</v>
      </c>
      <c r="BQ241" s="380" t="e">
        <f t="shared" ref="BQ241:CF241" si="159">VLOOKUP(BQ$240, Carbon_price,4,0)*BQ234/1000</f>
        <v>#DIV/0!</v>
      </c>
      <c r="BR241" s="380" t="e">
        <f t="shared" si="159"/>
        <v>#DIV/0!</v>
      </c>
      <c r="BS241" s="380" t="e">
        <f t="shared" si="159"/>
        <v>#DIV/0!</v>
      </c>
      <c r="BT241" s="380" t="e">
        <f t="shared" si="159"/>
        <v>#DIV/0!</v>
      </c>
      <c r="BU241" s="380" t="e">
        <f t="shared" si="159"/>
        <v>#DIV/0!</v>
      </c>
      <c r="BV241" s="380" t="e">
        <f t="shared" si="159"/>
        <v>#DIV/0!</v>
      </c>
      <c r="BW241" s="380" t="e">
        <f t="shared" si="159"/>
        <v>#DIV/0!</v>
      </c>
      <c r="BX241" s="380" t="e">
        <f t="shared" si="159"/>
        <v>#DIV/0!</v>
      </c>
      <c r="BY241" s="380" t="e">
        <f t="shared" si="159"/>
        <v>#DIV/0!</v>
      </c>
      <c r="BZ241" s="380" t="e">
        <f t="shared" si="159"/>
        <v>#DIV/0!</v>
      </c>
      <c r="CA241" s="380" t="e">
        <f t="shared" si="159"/>
        <v>#DIV/0!</v>
      </c>
      <c r="CB241" s="380" t="e">
        <f t="shared" si="159"/>
        <v>#DIV/0!</v>
      </c>
      <c r="CC241" s="380" t="e">
        <f t="shared" si="159"/>
        <v>#DIV/0!</v>
      </c>
      <c r="CD241" s="380" t="e">
        <f t="shared" si="159"/>
        <v>#DIV/0!</v>
      </c>
      <c r="CE241" s="380" t="e">
        <f t="shared" si="159"/>
        <v>#DIV/0!</v>
      </c>
      <c r="CF241" s="380" t="e">
        <f t="shared" si="159"/>
        <v>#DIV/0!</v>
      </c>
    </row>
    <row r="242" spans="3:84">
      <c r="D242" s="380" t="s">
        <v>89</v>
      </c>
      <c r="E242" s="380" t="e">
        <f t="shared" ref="E242:AJ242" si="160">VLOOKUP(E$240, Carbon_price,4,0)*E235/1000</f>
        <v>#DIV/0!</v>
      </c>
      <c r="F242" s="380" t="e">
        <f t="shared" si="160"/>
        <v>#DIV/0!</v>
      </c>
      <c r="G242" s="380" t="e">
        <f t="shared" si="160"/>
        <v>#DIV/0!</v>
      </c>
      <c r="H242" s="380" t="e">
        <f>VLOOKUP(H$240, Carbon_price,4,0)*H235/1000</f>
        <v>#DIV/0!</v>
      </c>
      <c r="I242" s="380" t="e">
        <f t="shared" si="160"/>
        <v>#DIV/0!</v>
      </c>
      <c r="J242" s="380" t="e">
        <f t="shared" si="160"/>
        <v>#DIV/0!</v>
      </c>
      <c r="K242" s="380" t="e">
        <f t="shared" si="160"/>
        <v>#DIV/0!</v>
      </c>
      <c r="L242" s="380" t="e">
        <f t="shared" si="160"/>
        <v>#DIV/0!</v>
      </c>
      <c r="M242" s="380" t="e">
        <f t="shared" si="160"/>
        <v>#DIV/0!</v>
      </c>
      <c r="N242" s="380" t="e">
        <f t="shared" si="160"/>
        <v>#DIV/0!</v>
      </c>
      <c r="O242" s="380" t="e">
        <f t="shared" si="160"/>
        <v>#DIV/0!</v>
      </c>
      <c r="P242" s="380" t="e">
        <f t="shared" si="160"/>
        <v>#DIV/0!</v>
      </c>
      <c r="Q242" s="380" t="e">
        <f t="shared" si="160"/>
        <v>#DIV/0!</v>
      </c>
      <c r="R242" s="380" t="e">
        <f t="shared" si="160"/>
        <v>#DIV/0!</v>
      </c>
      <c r="S242" s="380" t="e">
        <f t="shared" si="160"/>
        <v>#DIV/0!</v>
      </c>
      <c r="T242" s="380" t="e">
        <f t="shared" si="160"/>
        <v>#DIV/0!</v>
      </c>
      <c r="U242" s="380" t="e">
        <f t="shared" si="160"/>
        <v>#DIV/0!</v>
      </c>
      <c r="V242" s="380" t="e">
        <f t="shared" si="160"/>
        <v>#DIV/0!</v>
      </c>
      <c r="W242" s="380" t="e">
        <f t="shared" si="160"/>
        <v>#DIV/0!</v>
      </c>
      <c r="X242" s="380" t="e">
        <f t="shared" si="160"/>
        <v>#DIV/0!</v>
      </c>
      <c r="Y242" s="380" t="e">
        <f t="shared" si="160"/>
        <v>#DIV/0!</v>
      </c>
      <c r="Z242" s="380" t="e">
        <f t="shared" si="160"/>
        <v>#DIV/0!</v>
      </c>
      <c r="AA242" s="380" t="e">
        <f t="shared" si="160"/>
        <v>#DIV/0!</v>
      </c>
      <c r="AB242" s="380" t="e">
        <f t="shared" si="160"/>
        <v>#DIV/0!</v>
      </c>
      <c r="AC242" s="380" t="e">
        <f t="shared" si="160"/>
        <v>#DIV/0!</v>
      </c>
      <c r="AD242" s="380" t="e">
        <f t="shared" si="160"/>
        <v>#DIV/0!</v>
      </c>
      <c r="AE242" s="380" t="e">
        <f t="shared" si="160"/>
        <v>#DIV/0!</v>
      </c>
      <c r="AF242" s="380" t="e">
        <f t="shared" si="160"/>
        <v>#DIV/0!</v>
      </c>
      <c r="AG242" s="380" t="e">
        <f t="shared" si="160"/>
        <v>#DIV/0!</v>
      </c>
      <c r="AH242" s="380" t="e">
        <f t="shared" si="160"/>
        <v>#DIV/0!</v>
      </c>
      <c r="AI242" s="380" t="e">
        <f t="shared" si="160"/>
        <v>#DIV/0!</v>
      </c>
      <c r="AJ242" s="380" t="e">
        <f t="shared" si="160"/>
        <v>#DIV/0!</v>
      </c>
      <c r="AK242" s="380" t="e">
        <f t="shared" ref="AK242:BP242" si="161">VLOOKUP(AK$240, Carbon_price,4,0)*AK235/1000</f>
        <v>#DIV/0!</v>
      </c>
      <c r="AL242" s="380" t="e">
        <f t="shared" si="161"/>
        <v>#DIV/0!</v>
      </c>
      <c r="AM242" s="380" t="e">
        <f t="shared" si="161"/>
        <v>#DIV/0!</v>
      </c>
      <c r="AN242" s="380" t="e">
        <f t="shared" si="161"/>
        <v>#DIV/0!</v>
      </c>
      <c r="AO242" s="380" t="e">
        <f t="shared" si="161"/>
        <v>#DIV/0!</v>
      </c>
      <c r="AP242" s="380" t="e">
        <f t="shared" si="161"/>
        <v>#DIV/0!</v>
      </c>
      <c r="AQ242" s="380" t="e">
        <f t="shared" si="161"/>
        <v>#DIV/0!</v>
      </c>
      <c r="AR242" s="380" t="e">
        <f t="shared" si="161"/>
        <v>#DIV/0!</v>
      </c>
      <c r="AS242" s="380" t="e">
        <f t="shared" si="161"/>
        <v>#DIV/0!</v>
      </c>
      <c r="AT242" s="380" t="e">
        <f t="shared" si="161"/>
        <v>#DIV/0!</v>
      </c>
      <c r="AU242" s="380" t="e">
        <f t="shared" si="161"/>
        <v>#DIV/0!</v>
      </c>
      <c r="AV242" s="380" t="e">
        <f t="shared" si="161"/>
        <v>#DIV/0!</v>
      </c>
      <c r="AW242" s="380" t="e">
        <f t="shared" si="161"/>
        <v>#DIV/0!</v>
      </c>
      <c r="AX242" s="380" t="e">
        <f t="shared" si="161"/>
        <v>#DIV/0!</v>
      </c>
      <c r="AY242" s="380" t="e">
        <f t="shared" si="161"/>
        <v>#DIV/0!</v>
      </c>
      <c r="AZ242" s="380" t="e">
        <f t="shared" si="161"/>
        <v>#DIV/0!</v>
      </c>
      <c r="BA242" s="380" t="e">
        <f t="shared" si="161"/>
        <v>#DIV/0!</v>
      </c>
      <c r="BB242" s="380" t="e">
        <f t="shared" si="161"/>
        <v>#DIV/0!</v>
      </c>
      <c r="BC242" s="380" t="e">
        <f t="shared" si="161"/>
        <v>#DIV/0!</v>
      </c>
      <c r="BD242" s="380" t="e">
        <f t="shared" si="161"/>
        <v>#DIV/0!</v>
      </c>
      <c r="BE242" s="380" t="e">
        <f t="shared" si="161"/>
        <v>#DIV/0!</v>
      </c>
      <c r="BF242" s="380" t="e">
        <f t="shared" si="161"/>
        <v>#DIV/0!</v>
      </c>
      <c r="BG242" s="380" t="e">
        <f t="shared" si="161"/>
        <v>#DIV/0!</v>
      </c>
      <c r="BH242" s="380" t="e">
        <f t="shared" si="161"/>
        <v>#DIV/0!</v>
      </c>
      <c r="BI242" s="380" t="e">
        <f t="shared" si="161"/>
        <v>#DIV/0!</v>
      </c>
      <c r="BJ242" s="380" t="e">
        <f t="shared" si="161"/>
        <v>#DIV/0!</v>
      </c>
      <c r="BK242" s="380" t="e">
        <f t="shared" si="161"/>
        <v>#DIV/0!</v>
      </c>
      <c r="BL242" s="380" t="e">
        <f t="shared" si="161"/>
        <v>#DIV/0!</v>
      </c>
      <c r="BM242" s="380" t="e">
        <f t="shared" si="161"/>
        <v>#DIV/0!</v>
      </c>
      <c r="BN242" s="380" t="e">
        <f t="shared" si="161"/>
        <v>#DIV/0!</v>
      </c>
      <c r="BO242" s="380" t="e">
        <f t="shared" si="161"/>
        <v>#DIV/0!</v>
      </c>
      <c r="BP242" s="380" t="e">
        <f t="shared" si="161"/>
        <v>#DIV/0!</v>
      </c>
      <c r="BQ242" s="380" t="e">
        <f t="shared" ref="BQ242:CF242" si="162">VLOOKUP(BQ$240, Carbon_price,4,0)*BQ235/1000</f>
        <v>#DIV/0!</v>
      </c>
      <c r="BR242" s="380" t="e">
        <f t="shared" si="162"/>
        <v>#DIV/0!</v>
      </c>
      <c r="BS242" s="380" t="e">
        <f t="shared" si="162"/>
        <v>#DIV/0!</v>
      </c>
      <c r="BT242" s="380" t="e">
        <f t="shared" si="162"/>
        <v>#DIV/0!</v>
      </c>
      <c r="BU242" s="380" t="e">
        <f t="shared" si="162"/>
        <v>#DIV/0!</v>
      </c>
      <c r="BV242" s="380" t="e">
        <f t="shared" si="162"/>
        <v>#DIV/0!</v>
      </c>
      <c r="BW242" s="380" t="e">
        <f t="shared" si="162"/>
        <v>#DIV/0!</v>
      </c>
      <c r="BX242" s="380" t="e">
        <f t="shared" si="162"/>
        <v>#DIV/0!</v>
      </c>
      <c r="BY242" s="380" t="e">
        <f t="shared" si="162"/>
        <v>#DIV/0!</v>
      </c>
      <c r="BZ242" s="380" t="e">
        <f t="shared" si="162"/>
        <v>#DIV/0!</v>
      </c>
      <c r="CA242" s="380" t="e">
        <f t="shared" si="162"/>
        <v>#DIV/0!</v>
      </c>
      <c r="CB242" s="380" t="e">
        <f t="shared" si="162"/>
        <v>#DIV/0!</v>
      </c>
      <c r="CC242" s="380" t="e">
        <f t="shared" si="162"/>
        <v>#DIV/0!</v>
      </c>
      <c r="CD242" s="380" t="e">
        <f t="shared" si="162"/>
        <v>#DIV/0!</v>
      </c>
      <c r="CE242" s="380" t="e">
        <f t="shared" si="162"/>
        <v>#DIV/0!</v>
      </c>
      <c r="CF242" s="380" t="e">
        <f t="shared" si="162"/>
        <v>#DIV/0!</v>
      </c>
    </row>
    <row r="243" spans="3:84">
      <c r="D243" s="380" t="s">
        <v>91</v>
      </c>
      <c r="E243" s="380" t="e">
        <f t="shared" ref="E243:AJ243" si="163">VLOOKUP(E$240, Carbon_price,4,0)*E236/1000</f>
        <v>#DIV/0!</v>
      </c>
      <c r="F243" s="380" t="e">
        <f t="shared" si="163"/>
        <v>#DIV/0!</v>
      </c>
      <c r="G243" s="380" t="e">
        <f t="shared" si="163"/>
        <v>#DIV/0!</v>
      </c>
      <c r="H243" s="380" t="e">
        <f t="shared" si="163"/>
        <v>#DIV/0!</v>
      </c>
      <c r="I243" s="380" t="e">
        <f t="shared" si="163"/>
        <v>#DIV/0!</v>
      </c>
      <c r="J243" s="380" t="e">
        <f t="shared" si="163"/>
        <v>#DIV/0!</v>
      </c>
      <c r="K243" s="380" t="e">
        <f t="shared" si="163"/>
        <v>#DIV/0!</v>
      </c>
      <c r="L243" s="380" t="e">
        <f t="shared" si="163"/>
        <v>#DIV/0!</v>
      </c>
      <c r="M243" s="380" t="e">
        <f t="shared" si="163"/>
        <v>#DIV/0!</v>
      </c>
      <c r="N243" s="380" t="e">
        <f t="shared" si="163"/>
        <v>#DIV/0!</v>
      </c>
      <c r="O243" s="380" t="e">
        <f t="shared" si="163"/>
        <v>#DIV/0!</v>
      </c>
      <c r="P243" s="380" t="e">
        <f t="shared" si="163"/>
        <v>#DIV/0!</v>
      </c>
      <c r="Q243" s="380" t="e">
        <f t="shared" si="163"/>
        <v>#DIV/0!</v>
      </c>
      <c r="R243" s="380" t="e">
        <f t="shared" si="163"/>
        <v>#DIV/0!</v>
      </c>
      <c r="S243" s="380" t="e">
        <f t="shared" si="163"/>
        <v>#DIV/0!</v>
      </c>
      <c r="T243" s="380" t="e">
        <f t="shared" si="163"/>
        <v>#DIV/0!</v>
      </c>
      <c r="U243" s="380" t="e">
        <f t="shared" si="163"/>
        <v>#DIV/0!</v>
      </c>
      <c r="V243" s="380" t="e">
        <f t="shared" si="163"/>
        <v>#DIV/0!</v>
      </c>
      <c r="W243" s="380" t="e">
        <f t="shared" si="163"/>
        <v>#DIV/0!</v>
      </c>
      <c r="X243" s="380" t="e">
        <f t="shared" si="163"/>
        <v>#DIV/0!</v>
      </c>
      <c r="Y243" s="380" t="e">
        <f t="shared" si="163"/>
        <v>#DIV/0!</v>
      </c>
      <c r="Z243" s="380" t="e">
        <f t="shared" si="163"/>
        <v>#DIV/0!</v>
      </c>
      <c r="AA243" s="380" t="e">
        <f t="shared" si="163"/>
        <v>#DIV/0!</v>
      </c>
      <c r="AB243" s="380" t="e">
        <f t="shared" si="163"/>
        <v>#DIV/0!</v>
      </c>
      <c r="AC243" s="380" t="e">
        <f t="shared" si="163"/>
        <v>#DIV/0!</v>
      </c>
      <c r="AD243" s="380" t="e">
        <f t="shared" si="163"/>
        <v>#DIV/0!</v>
      </c>
      <c r="AE243" s="380" t="e">
        <f t="shared" si="163"/>
        <v>#DIV/0!</v>
      </c>
      <c r="AF243" s="380" t="e">
        <f t="shared" si="163"/>
        <v>#DIV/0!</v>
      </c>
      <c r="AG243" s="380" t="e">
        <f t="shared" si="163"/>
        <v>#DIV/0!</v>
      </c>
      <c r="AH243" s="380" t="e">
        <f t="shared" si="163"/>
        <v>#DIV/0!</v>
      </c>
      <c r="AI243" s="380" t="e">
        <f t="shared" si="163"/>
        <v>#DIV/0!</v>
      </c>
      <c r="AJ243" s="380" t="e">
        <f t="shared" si="163"/>
        <v>#DIV/0!</v>
      </c>
      <c r="AK243" s="380" t="e">
        <f t="shared" ref="AK243:BP243" si="164">VLOOKUP(AK$240, Carbon_price,4,0)*AK236/1000</f>
        <v>#DIV/0!</v>
      </c>
      <c r="AL243" s="380" t="e">
        <f t="shared" si="164"/>
        <v>#DIV/0!</v>
      </c>
      <c r="AM243" s="380" t="e">
        <f t="shared" si="164"/>
        <v>#DIV/0!</v>
      </c>
      <c r="AN243" s="380" t="e">
        <f t="shared" si="164"/>
        <v>#DIV/0!</v>
      </c>
      <c r="AO243" s="380" t="e">
        <f t="shared" si="164"/>
        <v>#DIV/0!</v>
      </c>
      <c r="AP243" s="380" t="e">
        <f t="shared" si="164"/>
        <v>#DIV/0!</v>
      </c>
      <c r="AQ243" s="380" t="e">
        <f t="shared" si="164"/>
        <v>#DIV/0!</v>
      </c>
      <c r="AR243" s="380" t="e">
        <f t="shared" si="164"/>
        <v>#DIV/0!</v>
      </c>
      <c r="AS243" s="380" t="e">
        <f t="shared" si="164"/>
        <v>#DIV/0!</v>
      </c>
      <c r="AT243" s="380" t="e">
        <f t="shared" si="164"/>
        <v>#DIV/0!</v>
      </c>
      <c r="AU243" s="380" t="e">
        <f t="shared" si="164"/>
        <v>#DIV/0!</v>
      </c>
      <c r="AV243" s="380" t="e">
        <f t="shared" si="164"/>
        <v>#DIV/0!</v>
      </c>
      <c r="AW243" s="380" t="e">
        <f t="shared" si="164"/>
        <v>#DIV/0!</v>
      </c>
      <c r="AX243" s="380" t="e">
        <f t="shared" si="164"/>
        <v>#DIV/0!</v>
      </c>
      <c r="AY243" s="380" t="e">
        <f t="shared" si="164"/>
        <v>#DIV/0!</v>
      </c>
      <c r="AZ243" s="380" t="e">
        <f t="shared" si="164"/>
        <v>#DIV/0!</v>
      </c>
      <c r="BA243" s="380" t="e">
        <f t="shared" si="164"/>
        <v>#DIV/0!</v>
      </c>
      <c r="BB243" s="380" t="e">
        <f t="shared" si="164"/>
        <v>#DIV/0!</v>
      </c>
      <c r="BC243" s="380" t="e">
        <f t="shared" si="164"/>
        <v>#DIV/0!</v>
      </c>
      <c r="BD243" s="380" t="e">
        <f t="shared" si="164"/>
        <v>#DIV/0!</v>
      </c>
      <c r="BE243" s="380" t="e">
        <f t="shared" si="164"/>
        <v>#DIV/0!</v>
      </c>
      <c r="BF243" s="380" t="e">
        <f t="shared" si="164"/>
        <v>#DIV/0!</v>
      </c>
      <c r="BG243" s="380" t="e">
        <f t="shared" si="164"/>
        <v>#DIV/0!</v>
      </c>
      <c r="BH243" s="380" t="e">
        <f t="shared" si="164"/>
        <v>#DIV/0!</v>
      </c>
      <c r="BI243" s="380" t="e">
        <f t="shared" si="164"/>
        <v>#DIV/0!</v>
      </c>
      <c r="BJ243" s="380" t="e">
        <f t="shared" si="164"/>
        <v>#DIV/0!</v>
      </c>
      <c r="BK243" s="380" t="e">
        <f t="shared" si="164"/>
        <v>#DIV/0!</v>
      </c>
      <c r="BL243" s="380" t="e">
        <f t="shared" si="164"/>
        <v>#DIV/0!</v>
      </c>
      <c r="BM243" s="380" t="e">
        <f t="shared" si="164"/>
        <v>#DIV/0!</v>
      </c>
      <c r="BN243" s="380" t="e">
        <f t="shared" si="164"/>
        <v>#DIV/0!</v>
      </c>
      <c r="BO243" s="380" t="e">
        <f t="shared" si="164"/>
        <v>#DIV/0!</v>
      </c>
      <c r="BP243" s="380" t="e">
        <f t="shared" si="164"/>
        <v>#DIV/0!</v>
      </c>
      <c r="BQ243" s="380" t="e">
        <f t="shared" ref="BQ243:CF243" si="165">VLOOKUP(BQ$240, Carbon_price,4,0)*BQ236/1000</f>
        <v>#DIV/0!</v>
      </c>
      <c r="BR243" s="380" t="e">
        <f t="shared" si="165"/>
        <v>#DIV/0!</v>
      </c>
      <c r="BS243" s="380" t="e">
        <f t="shared" si="165"/>
        <v>#DIV/0!</v>
      </c>
      <c r="BT243" s="380" t="e">
        <f t="shared" si="165"/>
        <v>#DIV/0!</v>
      </c>
      <c r="BU243" s="380" t="e">
        <f t="shared" si="165"/>
        <v>#DIV/0!</v>
      </c>
      <c r="BV243" s="380" t="e">
        <f t="shared" si="165"/>
        <v>#DIV/0!</v>
      </c>
      <c r="BW243" s="380" t="e">
        <f t="shared" si="165"/>
        <v>#DIV/0!</v>
      </c>
      <c r="BX243" s="380" t="e">
        <f t="shared" si="165"/>
        <v>#DIV/0!</v>
      </c>
      <c r="BY243" s="380" t="e">
        <f t="shared" si="165"/>
        <v>#DIV/0!</v>
      </c>
      <c r="BZ243" s="380" t="e">
        <f t="shared" si="165"/>
        <v>#DIV/0!</v>
      </c>
      <c r="CA243" s="380" t="e">
        <f t="shared" si="165"/>
        <v>#DIV/0!</v>
      </c>
      <c r="CB243" s="380" t="e">
        <f t="shared" si="165"/>
        <v>#DIV/0!</v>
      </c>
      <c r="CC243" s="380" t="e">
        <f t="shared" si="165"/>
        <v>#DIV/0!</v>
      </c>
      <c r="CD243" s="380" t="e">
        <f t="shared" si="165"/>
        <v>#DIV/0!</v>
      </c>
      <c r="CE243" s="380" t="e">
        <f t="shared" si="165"/>
        <v>#DIV/0!</v>
      </c>
      <c r="CF243" s="380" t="e">
        <f t="shared" si="165"/>
        <v>#DIV/0!</v>
      </c>
    </row>
    <row r="244" spans="3:84">
      <c r="D244" s="380" t="s">
        <v>93</v>
      </c>
      <c r="E244" s="380" t="e">
        <f>VLOOKUP(E$240, Carbon_price,4,0)*E237/1000</f>
        <v>#DIV/0!</v>
      </c>
      <c r="F244" s="380" t="e">
        <f t="shared" ref="F244:AJ244" si="166">VLOOKUP(F$240, Carbon_price,4,0)*F237/1000</f>
        <v>#DIV/0!</v>
      </c>
      <c r="G244" s="380" t="e">
        <f t="shared" si="166"/>
        <v>#DIV/0!</v>
      </c>
      <c r="H244" s="380" t="e">
        <f t="shared" si="166"/>
        <v>#DIV/0!</v>
      </c>
      <c r="I244" s="380" t="e">
        <f t="shared" si="166"/>
        <v>#DIV/0!</v>
      </c>
      <c r="J244" s="380" t="e">
        <f t="shared" si="166"/>
        <v>#DIV/0!</v>
      </c>
      <c r="K244" s="380" t="e">
        <f t="shared" si="166"/>
        <v>#DIV/0!</v>
      </c>
      <c r="L244" s="380" t="e">
        <f t="shared" si="166"/>
        <v>#DIV/0!</v>
      </c>
      <c r="M244" s="380" t="e">
        <f t="shared" si="166"/>
        <v>#DIV/0!</v>
      </c>
      <c r="N244" s="380" t="e">
        <f t="shared" si="166"/>
        <v>#DIV/0!</v>
      </c>
      <c r="O244" s="380" t="e">
        <f t="shared" si="166"/>
        <v>#DIV/0!</v>
      </c>
      <c r="P244" s="380" t="e">
        <f t="shared" si="166"/>
        <v>#DIV/0!</v>
      </c>
      <c r="Q244" s="380" t="e">
        <f t="shared" si="166"/>
        <v>#DIV/0!</v>
      </c>
      <c r="R244" s="380" t="e">
        <f t="shared" si="166"/>
        <v>#DIV/0!</v>
      </c>
      <c r="S244" s="380" t="e">
        <f t="shared" si="166"/>
        <v>#DIV/0!</v>
      </c>
      <c r="T244" s="380" t="e">
        <f t="shared" si="166"/>
        <v>#DIV/0!</v>
      </c>
      <c r="U244" s="380" t="e">
        <f t="shared" si="166"/>
        <v>#DIV/0!</v>
      </c>
      <c r="V244" s="380" t="e">
        <f t="shared" si="166"/>
        <v>#DIV/0!</v>
      </c>
      <c r="W244" s="380" t="e">
        <f t="shared" si="166"/>
        <v>#DIV/0!</v>
      </c>
      <c r="X244" s="380" t="e">
        <f t="shared" si="166"/>
        <v>#DIV/0!</v>
      </c>
      <c r="Y244" s="380" t="e">
        <f t="shared" si="166"/>
        <v>#DIV/0!</v>
      </c>
      <c r="Z244" s="380" t="e">
        <f t="shared" si="166"/>
        <v>#DIV/0!</v>
      </c>
      <c r="AA244" s="380" t="e">
        <f t="shared" si="166"/>
        <v>#DIV/0!</v>
      </c>
      <c r="AB244" s="380" t="e">
        <f t="shared" si="166"/>
        <v>#DIV/0!</v>
      </c>
      <c r="AC244" s="380" t="e">
        <f t="shared" si="166"/>
        <v>#DIV/0!</v>
      </c>
      <c r="AD244" s="380" t="e">
        <f t="shared" si="166"/>
        <v>#DIV/0!</v>
      </c>
      <c r="AE244" s="380" t="e">
        <f t="shared" si="166"/>
        <v>#DIV/0!</v>
      </c>
      <c r="AF244" s="380" t="e">
        <f t="shared" si="166"/>
        <v>#DIV/0!</v>
      </c>
      <c r="AG244" s="380" t="e">
        <f t="shared" si="166"/>
        <v>#DIV/0!</v>
      </c>
      <c r="AH244" s="380" t="e">
        <f t="shared" si="166"/>
        <v>#DIV/0!</v>
      </c>
      <c r="AI244" s="380" t="e">
        <f t="shared" si="166"/>
        <v>#DIV/0!</v>
      </c>
      <c r="AJ244" s="380" t="e">
        <f t="shared" si="166"/>
        <v>#DIV/0!</v>
      </c>
      <c r="AK244" s="380" t="e">
        <f t="shared" ref="AK244:BP244" si="167">VLOOKUP(AK$240, Carbon_price,4,0)*AK237/1000</f>
        <v>#DIV/0!</v>
      </c>
      <c r="AL244" s="380" t="e">
        <f t="shared" si="167"/>
        <v>#DIV/0!</v>
      </c>
      <c r="AM244" s="380" t="e">
        <f t="shared" si="167"/>
        <v>#DIV/0!</v>
      </c>
      <c r="AN244" s="380" t="e">
        <f t="shared" si="167"/>
        <v>#DIV/0!</v>
      </c>
      <c r="AO244" s="380" t="e">
        <f t="shared" si="167"/>
        <v>#DIV/0!</v>
      </c>
      <c r="AP244" s="380" t="e">
        <f t="shared" si="167"/>
        <v>#DIV/0!</v>
      </c>
      <c r="AQ244" s="380" t="e">
        <f t="shared" si="167"/>
        <v>#DIV/0!</v>
      </c>
      <c r="AR244" s="380" t="e">
        <f t="shared" si="167"/>
        <v>#DIV/0!</v>
      </c>
      <c r="AS244" s="380" t="e">
        <f t="shared" si="167"/>
        <v>#DIV/0!</v>
      </c>
      <c r="AT244" s="380" t="e">
        <f t="shared" si="167"/>
        <v>#DIV/0!</v>
      </c>
      <c r="AU244" s="380" t="e">
        <f t="shared" si="167"/>
        <v>#DIV/0!</v>
      </c>
      <c r="AV244" s="380" t="e">
        <f t="shared" si="167"/>
        <v>#DIV/0!</v>
      </c>
      <c r="AW244" s="380" t="e">
        <f t="shared" si="167"/>
        <v>#DIV/0!</v>
      </c>
      <c r="AX244" s="380" t="e">
        <f t="shared" si="167"/>
        <v>#DIV/0!</v>
      </c>
      <c r="AY244" s="380" t="e">
        <f t="shared" si="167"/>
        <v>#DIV/0!</v>
      </c>
      <c r="AZ244" s="380" t="e">
        <f t="shared" si="167"/>
        <v>#DIV/0!</v>
      </c>
      <c r="BA244" s="380" t="e">
        <f t="shared" si="167"/>
        <v>#DIV/0!</v>
      </c>
      <c r="BB244" s="380" t="e">
        <f t="shared" si="167"/>
        <v>#DIV/0!</v>
      </c>
      <c r="BC244" s="380" t="e">
        <f t="shared" si="167"/>
        <v>#DIV/0!</v>
      </c>
      <c r="BD244" s="380" t="e">
        <f t="shared" si="167"/>
        <v>#DIV/0!</v>
      </c>
      <c r="BE244" s="380" t="e">
        <f t="shared" si="167"/>
        <v>#DIV/0!</v>
      </c>
      <c r="BF244" s="380" t="e">
        <f t="shared" si="167"/>
        <v>#DIV/0!</v>
      </c>
      <c r="BG244" s="380" t="e">
        <f t="shared" si="167"/>
        <v>#DIV/0!</v>
      </c>
      <c r="BH244" s="380" t="e">
        <f t="shared" si="167"/>
        <v>#DIV/0!</v>
      </c>
      <c r="BI244" s="380" t="e">
        <f t="shared" si="167"/>
        <v>#DIV/0!</v>
      </c>
      <c r="BJ244" s="380" t="e">
        <f t="shared" si="167"/>
        <v>#DIV/0!</v>
      </c>
      <c r="BK244" s="380" t="e">
        <f t="shared" si="167"/>
        <v>#DIV/0!</v>
      </c>
      <c r="BL244" s="380" t="e">
        <f t="shared" si="167"/>
        <v>#DIV/0!</v>
      </c>
      <c r="BM244" s="380" t="e">
        <f t="shared" si="167"/>
        <v>#DIV/0!</v>
      </c>
      <c r="BN244" s="380" t="e">
        <f t="shared" si="167"/>
        <v>#DIV/0!</v>
      </c>
      <c r="BO244" s="380" t="e">
        <f t="shared" si="167"/>
        <v>#DIV/0!</v>
      </c>
      <c r="BP244" s="380" t="e">
        <f t="shared" si="167"/>
        <v>#DIV/0!</v>
      </c>
      <c r="BQ244" s="380" t="e">
        <f t="shared" ref="BQ244:CF244" si="168">VLOOKUP(BQ$240, Carbon_price,4,0)*BQ237/1000</f>
        <v>#DIV/0!</v>
      </c>
      <c r="BR244" s="380" t="e">
        <f t="shared" si="168"/>
        <v>#DIV/0!</v>
      </c>
      <c r="BS244" s="380" t="e">
        <f t="shared" si="168"/>
        <v>#DIV/0!</v>
      </c>
      <c r="BT244" s="380" t="e">
        <f t="shared" si="168"/>
        <v>#DIV/0!</v>
      </c>
      <c r="BU244" s="380" t="e">
        <f t="shared" si="168"/>
        <v>#DIV/0!</v>
      </c>
      <c r="BV244" s="380" t="e">
        <f t="shared" si="168"/>
        <v>#DIV/0!</v>
      </c>
      <c r="BW244" s="380" t="e">
        <f t="shared" si="168"/>
        <v>#DIV/0!</v>
      </c>
      <c r="BX244" s="380" t="e">
        <f t="shared" si="168"/>
        <v>#DIV/0!</v>
      </c>
      <c r="BY244" s="380" t="e">
        <f t="shared" si="168"/>
        <v>#DIV/0!</v>
      </c>
      <c r="BZ244" s="380" t="e">
        <f t="shared" si="168"/>
        <v>#DIV/0!</v>
      </c>
      <c r="CA244" s="380" t="e">
        <f t="shared" si="168"/>
        <v>#DIV/0!</v>
      </c>
      <c r="CB244" s="380" t="e">
        <f t="shared" si="168"/>
        <v>#DIV/0!</v>
      </c>
      <c r="CC244" s="380" t="e">
        <f t="shared" si="168"/>
        <v>#DIV/0!</v>
      </c>
      <c r="CD244" s="380" t="e">
        <f t="shared" si="168"/>
        <v>#DIV/0!</v>
      </c>
      <c r="CE244" s="380" t="e">
        <f t="shared" si="168"/>
        <v>#DIV/0!</v>
      </c>
      <c r="CF244" s="380" t="e">
        <f t="shared" si="168"/>
        <v>#DIV/0!</v>
      </c>
    </row>
    <row r="246" spans="3:84">
      <c r="C246" s="360" t="s">
        <v>293</v>
      </c>
    </row>
    <row r="247" spans="3:84">
      <c r="D247" s="728"/>
      <c r="E247" s="728">
        <v>2010</v>
      </c>
      <c r="F247" s="728">
        <v>2011</v>
      </c>
      <c r="G247" s="728">
        <v>2012</v>
      </c>
      <c r="H247" s="728">
        <v>2013</v>
      </c>
      <c r="I247" s="728">
        <v>2014</v>
      </c>
      <c r="J247" s="728">
        <v>2015</v>
      </c>
      <c r="K247" s="728">
        <v>2016</v>
      </c>
      <c r="L247" s="728">
        <v>2017</v>
      </c>
      <c r="M247" s="728">
        <v>2018</v>
      </c>
      <c r="N247" s="728">
        <v>2019</v>
      </c>
      <c r="O247" s="728">
        <v>2020</v>
      </c>
      <c r="P247" s="728">
        <v>2021</v>
      </c>
      <c r="Q247" s="728">
        <v>2022</v>
      </c>
      <c r="R247" s="728">
        <v>2023</v>
      </c>
      <c r="S247" s="728">
        <v>2024</v>
      </c>
      <c r="T247" s="728">
        <v>2025</v>
      </c>
      <c r="U247" s="728">
        <v>2026</v>
      </c>
      <c r="V247" s="728">
        <v>2027</v>
      </c>
      <c r="W247" s="728">
        <v>2028</v>
      </c>
      <c r="X247" s="728">
        <v>2029</v>
      </c>
      <c r="Y247" s="728">
        <v>2030</v>
      </c>
      <c r="Z247" s="728">
        <v>2031</v>
      </c>
      <c r="AA247" s="728">
        <v>2032</v>
      </c>
      <c r="AB247" s="728">
        <v>2033</v>
      </c>
      <c r="AC247" s="728">
        <v>2034</v>
      </c>
      <c r="AD247" s="728">
        <v>2035</v>
      </c>
      <c r="AE247" s="728">
        <v>2036</v>
      </c>
      <c r="AF247" s="728">
        <v>2037</v>
      </c>
      <c r="AG247" s="728">
        <v>2038</v>
      </c>
      <c r="AH247" s="728">
        <v>2039</v>
      </c>
      <c r="AI247" s="728">
        <v>2040</v>
      </c>
      <c r="AJ247" s="728">
        <v>2041</v>
      </c>
      <c r="AK247" s="728">
        <v>2042</v>
      </c>
      <c r="AL247" s="728">
        <v>2043</v>
      </c>
      <c r="AM247" s="728">
        <v>2044</v>
      </c>
      <c r="AN247" s="728">
        <v>2045</v>
      </c>
      <c r="AO247" s="728">
        <v>2046</v>
      </c>
      <c r="AP247" s="728">
        <v>2047</v>
      </c>
      <c r="AQ247" s="728">
        <v>2048</v>
      </c>
      <c r="AR247" s="728">
        <v>2049</v>
      </c>
      <c r="AS247" s="728">
        <v>2050</v>
      </c>
      <c r="AT247" s="728">
        <v>2051</v>
      </c>
      <c r="AU247" s="728">
        <v>2052</v>
      </c>
      <c r="AV247" s="728">
        <v>2053</v>
      </c>
      <c r="AW247" s="728">
        <v>2054</v>
      </c>
      <c r="AX247" s="728">
        <v>2055</v>
      </c>
      <c r="AY247" s="728">
        <v>2056</v>
      </c>
      <c r="AZ247" s="728">
        <v>2057</v>
      </c>
      <c r="BA247" s="728">
        <v>2058</v>
      </c>
      <c r="BB247" s="728">
        <v>2059</v>
      </c>
      <c r="BC247" s="728">
        <v>2060</v>
      </c>
      <c r="BD247" s="728">
        <v>2061</v>
      </c>
      <c r="BE247" s="728">
        <v>2062</v>
      </c>
      <c r="BF247" s="728">
        <v>2063</v>
      </c>
      <c r="BG247" s="728">
        <v>2064</v>
      </c>
      <c r="BH247" s="728">
        <v>2065</v>
      </c>
      <c r="BI247" s="728">
        <v>2066</v>
      </c>
      <c r="BJ247" s="728">
        <v>2067</v>
      </c>
      <c r="BK247" s="728">
        <v>2068</v>
      </c>
      <c r="BL247" s="728">
        <v>2069</v>
      </c>
      <c r="BM247" s="728">
        <v>2070</v>
      </c>
      <c r="BN247" s="728">
        <v>2071</v>
      </c>
      <c r="BO247" s="728">
        <v>2072</v>
      </c>
      <c r="BP247" s="728">
        <v>2073</v>
      </c>
      <c r="BQ247" s="728">
        <v>2074</v>
      </c>
      <c r="BR247" s="728">
        <v>2075</v>
      </c>
      <c r="BS247" s="728">
        <v>2076</v>
      </c>
      <c r="BT247" s="728">
        <v>2077</v>
      </c>
      <c r="BU247" s="728">
        <v>2078</v>
      </c>
      <c r="BV247" s="728">
        <v>2079</v>
      </c>
      <c r="BW247" s="728">
        <v>2080</v>
      </c>
      <c r="BX247" s="728">
        <v>2081</v>
      </c>
      <c r="BY247" s="728">
        <v>2082</v>
      </c>
      <c r="BZ247" s="728">
        <v>2083</v>
      </c>
      <c r="CA247" s="728">
        <v>2084</v>
      </c>
      <c r="CB247" s="728">
        <v>2085</v>
      </c>
      <c r="CC247" s="728">
        <v>2086</v>
      </c>
      <c r="CD247" s="728">
        <v>2087</v>
      </c>
      <c r="CE247" s="728">
        <v>2088</v>
      </c>
      <c r="CF247" s="728">
        <v>2089</v>
      </c>
    </row>
    <row r="248" spans="3:84">
      <c r="D248" s="380" t="s">
        <v>87</v>
      </c>
      <c r="E248" s="380" t="e">
        <f>E241*$E19*365</f>
        <v>#DIV/0!</v>
      </c>
      <c r="F248" s="380" t="e">
        <f t="shared" ref="F248:AJ248" si="169">F241*$E19*365</f>
        <v>#DIV/0!</v>
      </c>
      <c r="G248" s="380" t="e">
        <f t="shared" si="169"/>
        <v>#DIV/0!</v>
      </c>
      <c r="H248" s="380" t="e">
        <f t="shared" si="169"/>
        <v>#DIV/0!</v>
      </c>
      <c r="I248" s="380" t="e">
        <f t="shared" si="169"/>
        <v>#DIV/0!</v>
      </c>
      <c r="J248" s="380" t="e">
        <f t="shared" si="169"/>
        <v>#DIV/0!</v>
      </c>
      <c r="K248" s="380" t="e">
        <f t="shared" si="169"/>
        <v>#DIV/0!</v>
      </c>
      <c r="L248" s="380" t="e">
        <f t="shared" si="169"/>
        <v>#DIV/0!</v>
      </c>
      <c r="M248" s="380" t="e">
        <f t="shared" si="169"/>
        <v>#DIV/0!</v>
      </c>
      <c r="N248" s="380" t="e">
        <f>N241*$E19*365</f>
        <v>#DIV/0!</v>
      </c>
      <c r="O248" s="380" t="e">
        <f t="shared" si="169"/>
        <v>#DIV/0!</v>
      </c>
      <c r="P248" s="380" t="e">
        <f t="shared" si="169"/>
        <v>#DIV/0!</v>
      </c>
      <c r="Q248" s="380" t="e">
        <f t="shared" si="169"/>
        <v>#DIV/0!</v>
      </c>
      <c r="R248" s="380" t="e">
        <f t="shared" si="169"/>
        <v>#DIV/0!</v>
      </c>
      <c r="S248" s="380" t="e">
        <f t="shared" si="169"/>
        <v>#DIV/0!</v>
      </c>
      <c r="T248" s="380" t="e">
        <f t="shared" si="169"/>
        <v>#DIV/0!</v>
      </c>
      <c r="U248" s="380" t="e">
        <f t="shared" si="169"/>
        <v>#DIV/0!</v>
      </c>
      <c r="V248" s="380" t="e">
        <f t="shared" si="169"/>
        <v>#DIV/0!</v>
      </c>
      <c r="W248" s="380" t="e">
        <f t="shared" si="169"/>
        <v>#DIV/0!</v>
      </c>
      <c r="X248" s="380" t="e">
        <f t="shared" si="169"/>
        <v>#DIV/0!</v>
      </c>
      <c r="Y248" s="380" t="e">
        <f t="shared" si="169"/>
        <v>#DIV/0!</v>
      </c>
      <c r="Z248" s="380" t="e">
        <f t="shared" si="169"/>
        <v>#DIV/0!</v>
      </c>
      <c r="AA248" s="380" t="e">
        <f t="shared" si="169"/>
        <v>#DIV/0!</v>
      </c>
      <c r="AB248" s="380" t="e">
        <f t="shared" si="169"/>
        <v>#DIV/0!</v>
      </c>
      <c r="AC248" s="380" t="e">
        <f t="shared" si="169"/>
        <v>#DIV/0!</v>
      </c>
      <c r="AD248" s="380" t="e">
        <f t="shared" si="169"/>
        <v>#DIV/0!</v>
      </c>
      <c r="AE248" s="380" t="e">
        <f t="shared" si="169"/>
        <v>#DIV/0!</v>
      </c>
      <c r="AF248" s="380" t="e">
        <f t="shared" si="169"/>
        <v>#DIV/0!</v>
      </c>
      <c r="AG248" s="380" t="e">
        <f t="shared" si="169"/>
        <v>#DIV/0!</v>
      </c>
      <c r="AH248" s="380" t="e">
        <f t="shared" si="169"/>
        <v>#DIV/0!</v>
      </c>
      <c r="AI248" s="380" t="e">
        <f t="shared" si="169"/>
        <v>#DIV/0!</v>
      </c>
      <c r="AJ248" s="380" t="e">
        <f t="shared" si="169"/>
        <v>#DIV/0!</v>
      </c>
      <c r="AK248" s="380" t="e">
        <f t="shared" ref="AK248:BP248" si="170">AK241*$E19*365</f>
        <v>#DIV/0!</v>
      </c>
      <c r="AL248" s="380" t="e">
        <f t="shared" si="170"/>
        <v>#DIV/0!</v>
      </c>
      <c r="AM248" s="380" t="e">
        <f t="shared" si="170"/>
        <v>#DIV/0!</v>
      </c>
      <c r="AN248" s="380" t="e">
        <f t="shared" si="170"/>
        <v>#DIV/0!</v>
      </c>
      <c r="AO248" s="380" t="e">
        <f t="shared" si="170"/>
        <v>#DIV/0!</v>
      </c>
      <c r="AP248" s="380" t="e">
        <f t="shared" si="170"/>
        <v>#DIV/0!</v>
      </c>
      <c r="AQ248" s="380" t="e">
        <f t="shared" si="170"/>
        <v>#DIV/0!</v>
      </c>
      <c r="AR248" s="380" t="e">
        <f t="shared" si="170"/>
        <v>#DIV/0!</v>
      </c>
      <c r="AS248" s="380" t="e">
        <f t="shared" si="170"/>
        <v>#DIV/0!</v>
      </c>
      <c r="AT248" s="380" t="e">
        <f t="shared" si="170"/>
        <v>#DIV/0!</v>
      </c>
      <c r="AU248" s="380" t="e">
        <f t="shared" si="170"/>
        <v>#DIV/0!</v>
      </c>
      <c r="AV248" s="380" t="e">
        <f t="shared" si="170"/>
        <v>#DIV/0!</v>
      </c>
      <c r="AW248" s="380" t="e">
        <f t="shared" si="170"/>
        <v>#DIV/0!</v>
      </c>
      <c r="AX248" s="380" t="e">
        <f t="shared" si="170"/>
        <v>#DIV/0!</v>
      </c>
      <c r="AY248" s="380" t="e">
        <f t="shared" si="170"/>
        <v>#DIV/0!</v>
      </c>
      <c r="AZ248" s="380" t="e">
        <f t="shared" si="170"/>
        <v>#DIV/0!</v>
      </c>
      <c r="BA248" s="380" t="e">
        <f t="shared" si="170"/>
        <v>#DIV/0!</v>
      </c>
      <c r="BB248" s="380" t="e">
        <f t="shared" si="170"/>
        <v>#DIV/0!</v>
      </c>
      <c r="BC248" s="380" t="e">
        <f t="shared" si="170"/>
        <v>#DIV/0!</v>
      </c>
      <c r="BD248" s="380" t="e">
        <f t="shared" si="170"/>
        <v>#DIV/0!</v>
      </c>
      <c r="BE248" s="380" t="e">
        <f t="shared" si="170"/>
        <v>#DIV/0!</v>
      </c>
      <c r="BF248" s="380" t="e">
        <f t="shared" si="170"/>
        <v>#DIV/0!</v>
      </c>
      <c r="BG248" s="380" t="e">
        <f t="shared" si="170"/>
        <v>#DIV/0!</v>
      </c>
      <c r="BH248" s="380" t="e">
        <f t="shared" si="170"/>
        <v>#DIV/0!</v>
      </c>
      <c r="BI248" s="380" t="e">
        <f t="shared" si="170"/>
        <v>#DIV/0!</v>
      </c>
      <c r="BJ248" s="380" t="e">
        <f t="shared" si="170"/>
        <v>#DIV/0!</v>
      </c>
      <c r="BK248" s="380" t="e">
        <f t="shared" si="170"/>
        <v>#DIV/0!</v>
      </c>
      <c r="BL248" s="380" t="e">
        <f t="shared" si="170"/>
        <v>#DIV/0!</v>
      </c>
      <c r="BM248" s="380" t="e">
        <f t="shared" si="170"/>
        <v>#DIV/0!</v>
      </c>
      <c r="BN248" s="380" t="e">
        <f t="shared" si="170"/>
        <v>#DIV/0!</v>
      </c>
      <c r="BO248" s="380" t="e">
        <f t="shared" si="170"/>
        <v>#DIV/0!</v>
      </c>
      <c r="BP248" s="380" t="e">
        <f t="shared" si="170"/>
        <v>#DIV/0!</v>
      </c>
      <c r="BQ248" s="380" t="e">
        <f t="shared" ref="BQ248:CF248" si="171">BQ241*$E19*365</f>
        <v>#DIV/0!</v>
      </c>
      <c r="BR248" s="380" t="e">
        <f t="shared" si="171"/>
        <v>#DIV/0!</v>
      </c>
      <c r="BS248" s="380" t="e">
        <f t="shared" si="171"/>
        <v>#DIV/0!</v>
      </c>
      <c r="BT248" s="380" t="e">
        <f t="shared" si="171"/>
        <v>#DIV/0!</v>
      </c>
      <c r="BU248" s="380" t="e">
        <f t="shared" si="171"/>
        <v>#DIV/0!</v>
      </c>
      <c r="BV248" s="380" t="e">
        <f t="shared" si="171"/>
        <v>#DIV/0!</v>
      </c>
      <c r="BW248" s="380" t="e">
        <f t="shared" si="171"/>
        <v>#DIV/0!</v>
      </c>
      <c r="BX248" s="380" t="e">
        <f t="shared" si="171"/>
        <v>#DIV/0!</v>
      </c>
      <c r="BY248" s="380" t="e">
        <f t="shared" si="171"/>
        <v>#DIV/0!</v>
      </c>
      <c r="BZ248" s="380" t="e">
        <f t="shared" si="171"/>
        <v>#DIV/0!</v>
      </c>
      <c r="CA248" s="380" t="e">
        <f t="shared" si="171"/>
        <v>#DIV/0!</v>
      </c>
      <c r="CB248" s="380" t="e">
        <f t="shared" si="171"/>
        <v>#DIV/0!</v>
      </c>
      <c r="CC248" s="380" t="e">
        <f t="shared" si="171"/>
        <v>#DIV/0!</v>
      </c>
      <c r="CD248" s="380" t="e">
        <f t="shared" si="171"/>
        <v>#DIV/0!</v>
      </c>
      <c r="CE248" s="380" t="e">
        <f t="shared" si="171"/>
        <v>#DIV/0!</v>
      </c>
      <c r="CF248" s="380" t="e">
        <f t="shared" si="171"/>
        <v>#DIV/0!</v>
      </c>
    </row>
    <row r="249" spans="3:84">
      <c r="D249" s="380" t="s">
        <v>89</v>
      </c>
      <c r="E249" s="380" t="e">
        <f t="shared" ref="E249:AJ249" si="172">E242*$E20*365</f>
        <v>#DIV/0!</v>
      </c>
      <c r="F249" s="380" t="e">
        <f t="shared" si="172"/>
        <v>#DIV/0!</v>
      </c>
      <c r="G249" s="380" t="e">
        <f t="shared" si="172"/>
        <v>#DIV/0!</v>
      </c>
      <c r="H249" s="380" t="e">
        <f t="shared" si="172"/>
        <v>#DIV/0!</v>
      </c>
      <c r="I249" s="380" t="e">
        <f t="shared" si="172"/>
        <v>#DIV/0!</v>
      </c>
      <c r="J249" s="380" t="e">
        <f t="shared" si="172"/>
        <v>#DIV/0!</v>
      </c>
      <c r="K249" s="380" t="e">
        <f t="shared" si="172"/>
        <v>#DIV/0!</v>
      </c>
      <c r="L249" s="380" t="e">
        <f t="shared" si="172"/>
        <v>#DIV/0!</v>
      </c>
      <c r="M249" s="380" t="e">
        <f t="shared" si="172"/>
        <v>#DIV/0!</v>
      </c>
      <c r="N249" s="380" t="e">
        <f t="shared" si="172"/>
        <v>#DIV/0!</v>
      </c>
      <c r="O249" s="380" t="e">
        <f t="shared" si="172"/>
        <v>#DIV/0!</v>
      </c>
      <c r="P249" s="380" t="e">
        <f t="shared" si="172"/>
        <v>#DIV/0!</v>
      </c>
      <c r="Q249" s="380" t="e">
        <f t="shared" si="172"/>
        <v>#DIV/0!</v>
      </c>
      <c r="R249" s="380" t="e">
        <f t="shared" si="172"/>
        <v>#DIV/0!</v>
      </c>
      <c r="S249" s="380" t="e">
        <f t="shared" si="172"/>
        <v>#DIV/0!</v>
      </c>
      <c r="T249" s="380" t="e">
        <f t="shared" si="172"/>
        <v>#DIV/0!</v>
      </c>
      <c r="U249" s="380" t="e">
        <f t="shared" si="172"/>
        <v>#DIV/0!</v>
      </c>
      <c r="V249" s="380" t="e">
        <f t="shared" si="172"/>
        <v>#DIV/0!</v>
      </c>
      <c r="W249" s="380" t="e">
        <f t="shared" si="172"/>
        <v>#DIV/0!</v>
      </c>
      <c r="X249" s="380" t="e">
        <f t="shared" si="172"/>
        <v>#DIV/0!</v>
      </c>
      <c r="Y249" s="380" t="e">
        <f t="shared" si="172"/>
        <v>#DIV/0!</v>
      </c>
      <c r="Z249" s="380" t="e">
        <f t="shared" si="172"/>
        <v>#DIV/0!</v>
      </c>
      <c r="AA249" s="380" t="e">
        <f t="shared" si="172"/>
        <v>#DIV/0!</v>
      </c>
      <c r="AB249" s="380" t="e">
        <f t="shared" si="172"/>
        <v>#DIV/0!</v>
      </c>
      <c r="AC249" s="380" t="e">
        <f t="shared" si="172"/>
        <v>#DIV/0!</v>
      </c>
      <c r="AD249" s="380" t="e">
        <f t="shared" si="172"/>
        <v>#DIV/0!</v>
      </c>
      <c r="AE249" s="380" t="e">
        <f t="shared" si="172"/>
        <v>#DIV/0!</v>
      </c>
      <c r="AF249" s="380" t="e">
        <f t="shared" si="172"/>
        <v>#DIV/0!</v>
      </c>
      <c r="AG249" s="380" t="e">
        <f t="shared" si="172"/>
        <v>#DIV/0!</v>
      </c>
      <c r="AH249" s="380" t="e">
        <f t="shared" si="172"/>
        <v>#DIV/0!</v>
      </c>
      <c r="AI249" s="380" t="e">
        <f t="shared" si="172"/>
        <v>#DIV/0!</v>
      </c>
      <c r="AJ249" s="380" t="e">
        <f t="shared" si="172"/>
        <v>#DIV/0!</v>
      </c>
      <c r="AK249" s="380" t="e">
        <f t="shared" ref="AK249:BP249" si="173">AK242*$E20*365</f>
        <v>#DIV/0!</v>
      </c>
      <c r="AL249" s="380" t="e">
        <f t="shared" si="173"/>
        <v>#DIV/0!</v>
      </c>
      <c r="AM249" s="380" t="e">
        <f t="shared" si="173"/>
        <v>#DIV/0!</v>
      </c>
      <c r="AN249" s="380" t="e">
        <f t="shared" si="173"/>
        <v>#DIV/0!</v>
      </c>
      <c r="AO249" s="380" t="e">
        <f t="shared" si="173"/>
        <v>#DIV/0!</v>
      </c>
      <c r="AP249" s="380" t="e">
        <f t="shared" si="173"/>
        <v>#DIV/0!</v>
      </c>
      <c r="AQ249" s="380" t="e">
        <f t="shared" si="173"/>
        <v>#DIV/0!</v>
      </c>
      <c r="AR249" s="380" t="e">
        <f t="shared" si="173"/>
        <v>#DIV/0!</v>
      </c>
      <c r="AS249" s="380" t="e">
        <f t="shared" si="173"/>
        <v>#DIV/0!</v>
      </c>
      <c r="AT249" s="380" t="e">
        <f t="shared" si="173"/>
        <v>#DIV/0!</v>
      </c>
      <c r="AU249" s="380" t="e">
        <f t="shared" si="173"/>
        <v>#DIV/0!</v>
      </c>
      <c r="AV249" s="380" t="e">
        <f t="shared" si="173"/>
        <v>#DIV/0!</v>
      </c>
      <c r="AW249" s="380" t="e">
        <f t="shared" si="173"/>
        <v>#DIV/0!</v>
      </c>
      <c r="AX249" s="380" t="e">
        <f t="shared" si="173"/>
        <v>#DIV/0!</v>
      </c>
      <c r="AY249" s="380" t="e">
        <f t="shared" si="173"/>
        <v>#DIV/0!</v>
      </c>
      <c r="AZ249" s="380" t="e">
        <f t="shared" si="173"/>
        <v>#DIV/0!</v>
      </c>
      <c r="BA249" s="380" t="e">
        <f t="shared" si="173"/>
        <v>#DIV/0!</v>
      </c>
      <c r="BB249" s="380" t="e">
        <f t="shared" si="173"/>
        <v>#DIV/0!</v>
      </c>
      <c r="BC249" s="380" t="e">
        <f t="shared" si="173"/>
        <v>#DIV/0!</v>
      </c>
      <c r="BD249" s="380" t="e">
        <f t="shared" si="173"/>
        <v>#DIV/0!</v>
      </c>
      <c r="BE249" s="380" t="e">
        <f t="shared" si="173"/>
        <v>#DIV/0!</v>
      </c>
      <c r="BF249" s="380" t="e">
        <f t="shared" si="173"/>
        <v>#DIV/0!</v>
      </c>
      <c r="BG249" s="380" t="e">
        <f t="shared" si="173"/>
        <v>#DIV/0!</v>
      </c>
      <c r="BH249" s="380" t="e">
        <f t="shared" si="173"/>
        <v>#DIV/0!</v>
      </c>
      <c r="BI249" s="380" t="e">
        <f t="shared" si="173"/>
        <v>#DIV/0!</v>
      </c>
      <c r="BJ249" s="380" t="e">
        <f t="shared" si="173"/>
        <v>#DIV/0!</v>
      </c>
      <c r="BK249" s="380" t="e">
        <f t="shared" si="173"/>
        <v>#DIV/0!</v>
      </c>
      <c r="BL249" s="380" t="e">
        <f t="shared" si="173"/>
        <v>#DIV/0!</v>
      </c>
      <c r="BM249" s="380" t="e">
        <f t="shared" si="173"/>
        <v>#DIV/0!</v>
      </c>
      <c r="BN249" s="380" t="e">
        <f t="shared" si="173"/>
        <v>#DIV/0!</v>
      </c>
      <c r="BO249" s="380" t="e">
        <f t="shared" si="173"/>
        <v>#DIV/0!</v>
      </c>
      <c r="BP249" s="380" t="e">
        <f t="shared" si="173"/>
        <v>#DIV/0!</v>
      </c>
      <c r="BQ249" s="380" t="e">
        <f t="shared" ref="BQ249:CF249" si="174">BQ242*$E20*365</f>
        <v>#DIV/0!</v>
      </c>
      <c r="BR249" s="380" t="e">
        <f t="shared" si="174"/>
        <v>#DIV/0!</v>
      </c>
      <c r="BS249" s="380" t="e">
        <f t="shared" si="174"/>
        <v>#DIV/0!</v>
      </c>
      <c r="BT249" s="380" t="e">
        <f t="shared" si="174"/>
        <v>#DIV/0!</v>
      </c>
      <c r="BU249" s="380" t="e">
        <f t="shared" si="174"/>
        <v>#DIV/0!</v>
      </c>
      <c r="BV249" s="380" t="e">
        <f t="shared" si="174"/>
        <v>#DIV/0!</v>
      </c>
      <c r="BW249" s="380" t="e">
        <f t="shared" si="174"/>
        <v>#DIV/0!</v>
      </c>
      <c r="BX249" s="380" t="e">
        <f t="shared" si="174"/>
        <v>#DIV/0!</v>
      </c>
      <c r="BY249" s="380" t="e">
        <f t="shared" si="174"/>
        <v>#DIV/0!</v>
      </c>
      <c r="BZ249" s="380" t="e">
        <f t="shared" si="174"/>
        <v>#DIV/0!</v>
      </c>
      <c r="CA249" s="380" t="e">
        <f t="shared" si="174"/>
        <v>#DIV/0!</v>
      </c>
      <c r="CB249" s="380" t="e">
        <f t="shared" si="174"/>
        <v>#DIV/0!</v>
      </c>
      <c r="CC249" s="380" t="e">
        <f t="shared" si="174"/>
        <v>#DIV/0!</v>
      </c>
      <c r="CD249" s="380" t="e">
        <f t="shared" si="174"/>
        <v>#DIV/0!</v>
      </c>
      <c r="CE249" s="380" t="e">
        <f t="shared" si="174"/>
        <v>#DIV/0!</v>
      </c>
      <c r="CF249" s="380" t="e">
        <f t="shared" si="174"/>
        <v>#DIV/0!</v>
      </c>
    </row>
    <row r="250" spans="3:84">
      <c r="D250" s="380" t="s">
        <v>91</v>
      </c>
      <c r="E250" s="380" t="e">
        <f t="shared" ref="E250:AJ250" si="175">E243*$E21*365</f>
        <v>#DIV/0!</v>
      </c>
      <c r="F250" s="380" t="e">
        <f t="shared" si="175"/>
        <v>#DIV/0!</v>
      </c>
      <c r="G250" s="380" t="e">
        <f t="shared" si="175"/>
        <v>#DIV/0!</v>
      </c>
      <c r="H250" s="380" t="e">
        <f t="shared" si="175"/>
        <v>#DIV/0!</v>
      </c>
      <c r="I250" s="380" t="e">
        <f t="shared" si="175"/>
        <v>#DIV/0!</v>
      </c>
      <c r="J250" s="380" t="e">
        <f t="shared" si="175"/>
        <v>#DIV/0!</v>
      </c>
      <c r="K250" s="380" t="e">
        <f t="shared" si="175"/>
        <v>#DIV/0!</v>
      </c>
      <c r="L250" s="380" t="e">
        <f t="shared" si="175"/>
        <v>#DIV/0!</v>
      </c>
      <c r="M250" s="380" t="e">
        <f t="shared" si="175"/>
        <v>#DIV/0!</v>
      </c>
      <c r="N250" s="380" t="e">
        <f t="shared" si="175"/>
        <v>#DIV/0!</v>
      </c>
      <c r="O250" s="380" t="e">
        <f t="shared" si="175"/>
        <v>#DIV/0!</v>
      </c>
      <c r="P250" s="380" t="e">
        <f t="shared" si="175"/>
        <v>#DIV/0!</v>
      </c>
      <c r="Q250" s="380" t="e">
        <f t="shared" si="175"/>
        <v>#DIV/0!</v>
      </c>
      <c r="R250" s="380" t="e">
        <f t="shared" si="175"/>
        <v>#DIV/0!</v>
      </c>
      <c r="S250" s="380" t="e">
        <f t="shared" si="175"/>
        <v>#DIV/0!</v>
      </c>
      <c r="T250" s="380" t="e">
        <f t="shared" si="175"/>
        <v>#DIV/0!</v>
      </c>
      <c r="U250" s="380" t="e">
        <f t="shared" si="175"/>
        <v>#DIV/0!</v>
      </c>
      <c r="V250" s="380" t="e">
        <f t="shared" si="175"/>
        <v>#DIV/0!</v>
      </c>
      <c r="W250" s="380" t="e">
        <f t="shared" si="175"/>
        <v>#DIV/0!</v>
      </c>
      <c r="X250" s="380" t="e">
        <f t="shared" si="175"/>
        <v>#DIV/0!</v>
      </c>
      <c r="Y250" s="380" t="e">
        <f t="shared" si="175"/>
        <v>#DIV/0!</v>
      </c>
      <c r="Z250" s="380" t="e">
        <f t="shared" si="175"/>
        <v>#DIV/0!</v>
      </c>
      <c r="AA250" s="380" t="e">
        <f t="shared" si="175"/>
        <v>#DIV/0!</v>
      </c>
      <c r="AB250" s="380" t="e">
        <f t="shared" si="175"/>
        <v>#DIV/0!</v>
      </c>
      <c r="AC250" s="380" t="e">
        <f t="shared" si="175"/>
        <v>#DIV/0!</v>
      </c>
      <c r="AD250" s="380" t="e">
        <f t="shared" si="175"/>
        <v>#DIV/0!</v>
      </c>
      <c r="AE250" s="380" t="e">
        <f t="shared" si="175"/>
        <v>#DIV/0!</v>
      </c>
      <c r="AF250" s="380" t="e">
        <f t="shared" si="175"/>
        <v>#DIV/0!</v>
      </c>
      <c r="AG250" s="380" t="e">
        <f t="shared" si="175"/>
        <v>#DIV/0!</v>
      </c>
      <c r="AH250" s="380" t="e">
        <f t="shared" si="175"/>
        <v>#DIV/0!</v>
      </c>
      <c r="AI250" s="380" t="e">
        <f t="shared" si="175"/>
        <v>#DIV/0!</v>
      </c>
      <c r="AJ250" s="380" t="e">
        <f t="shared" si="175"/>
        <v>#DIV/0!</v>
      </c>
      <c r="AK250" s="380" t="e">
        <f t="shared" ref="AK250:BP250" si="176">AK243*$E21*365</f>
        <v>#DIV/0!</v>
      </c>
      <c r="AL250" s="380" t="e">
        <f t="shared" si="176"/>
        <v>#DIV/0!</v>
      </c>
      <c r="AM250" s="380" t="e">
        <f t="shared" si="176"/>
        <v>#DIV/0!</v>
      </c>
      <c r="AN250" s="380" t="e">
        <f t="shared" si="176"/>
        <v>#DIV/0!</v>
      </c>
      <c r="AO250" s="380" t="e">
        <f t="shared" si="176"/>
        <v>#DIV/0!</v>
      </c>
      <c r="AP250" s="380" t="e">
        <f t="shared" si="176"/>
        <v>#DIV/0!</v>
      </c>
      <c r="AQ250" s="380" t="e">
        <f t="shared" si="176"/>
        <v>#DIV/0!</v>
      </c>
      <c r="AR250" s="380" t="e">
        <f t="shared" si="176"/>
        <v>#DIV/0!</v>
      </c>
      <c r="AS250" s="380" t="e">
        <f t="shared" si="176"/>
        <v>#DIV/0!</v>
      </c>
      <c r="AT250" s="380" t="e">
        <f t="shared" si="176"/>
        <v>#DIV/0!</v>
      </c>
      <c r="AU250" s="380" t="e">
        <f t="shared" si="176"/>
        <v>#DIV/0!</v>
      </c>
      <c r="AV250" s="380" t="e">
        <f t="shared" si="176"/>
        <v>#DIV/0!</v>
      </c>
      <c r="AW250" s="380" t="e">
        <f t="shared" si="176"/>
        <v>#DIV/0!</v>
      </c>
      <c r="AX250" s="380" t="e">
        <f t="shared" si="176"/>
        <v>#DIV/0!</v>
      </c>
      <c r="AY250" s="380" t="e">
        <f t="shared" si="176"/>
        <v>#DIV/0!</v>
      </c>
      <c r="AZ250" s="380" t="e">
        <f t="shared" si="176"/>
        <v>#DIV/0!</v>
      </c>
      <c r="BA250" s="380" t="e">
        <f t="shared" si="176"/>
        <v>#DIV/0!</v>
      </c>
      <c r="BB250" s="380" t="e">
        <f t="shared" si="176"/>
        <v>#DIV/0!</v>
      </c>
      <c r="BC250" s="380" t="e">
        <f t="shared" si="176"/>
        <v>#DIV/0!</v>
      </c>
      <c r="BD250" s="380" t="e">
        <f t="shared" si="176"/>
        <v>#DIV/0!</v>
      </c>
      <c r="BE250" s="380" t="e">
        <f t="shared" si="176"/>
        <v>#DIV/0!</v>
      </c>
      <c r="BF250" s="380" t="e">
        <f t="shared" si="176"/>
        <v>#DIV/0!</v>
      </c>
      <c r="BG250" s="380" t="e">
        <f t="shared" si="176"/>
        <v>#DIV/0!</v>
      </c>
      <c r="BH250" s="380" t="e">
        <f t="shared" si="176"/>
        <v>#DIV/0!</v>
      </c>
      <c r="BI250" s="380" t="e">
        <f t="shared" si="176"/>
        <v>#DIV/0!</v>
      </c>
      <c r="BJ250" s="380" t="e">
        <f t="shared" si="176"/>
        <v>#DIV/0!</v>
      </c>
      <c r="BK250" s="380" t="e">
        <f t="shared" si="176"/>
        <v>#DIV/0!</v>
      </c>
      <c r="BL250" s="380" t="e">
        <f t="shared" si="176"/>
        <v>#DIV/0!</v>
      </c>
      <c r="BM250" s="380" t="e">
        <f t="shared" si="176"/>
        <v>#DIV/0!</v>
      </c>
      <c r="BN250" s="380" t="e">
        <f t="shared" si="176"/>
        <v>#DIV/0!</v>
      </c>
      <c r="BO250" s="380" t="e">
        <f t="shared" si="176"/>
        <v>#DIV/0!</v>
      </c>
      <c r="BP250" s="380" t="e">
        <f t="shared" si="176"/>
        <v>#DIV/0!</v>
      </c>
      <c r="BQ250" s="380" t="e">
        <f t="shared" ref="BQ250:CF250" si="177">BQ243*$E21*365</f>
        <v>#DIV/0!</v>
      </c>
      <c r="BR250" s="380" t="e">
        <f t="shared" si="177"/>
        <v>#DIV/0!</v>
      </c>
      <c r="BS250" s="380" t="e">
        <f t="shared" si="177"/>
        <v>#DIV/0!</v>
      </c>
      <c r="BT250" s="380" t="e">
        <f t="shared" si="177"/>
        <v>#DIV/0!</v>
      </c>
      <c r="BU250" s="380" t="e">
        <f t="shared" si="177"/>
        <v>#DIV/0!</v>
      </c>
      <c r="BV250" s="380" t="e">
        <f t="shared" si="177"/>
        <v>#DIV/0!</v>
      </c>
      <c r="BW250" s="380" t="e">
        <f t="shared" si="177"/>
        <v>#DIV/0!</v>
      </c>
      <c r="BX250" s="380" t="e">
        <f t="shared" si="177"/>
        <v>#DIV/0!</v>
      </c>
      <c r="BY250" s="380" t="e">
        <f t="shared" si="177"/>
        <v>#DIV/0!</v>
      </c>
      <c r="BZ250" s="380" t="e">
        <f t="shared" si="177"/>
        <v>#DIV/0!</v>
      </c>
      <c r="CA250" s="380" t="e">
        <f t="shared" si="177"/>
        <v>#DIV/0!</v>
      </c>
      <c r="CB250" s="380" t="e">
        <f t="shared" si="177"/>
        <v>#DIV/0!</v>
      </c>
      <c r="CC250" s="380" t="e">
        <f t="shared" si="177"/>
        <v>#DIV/0!</v>
      </c>
      <c r="CD250" s="380" t="e">
        <f t="shared" si="177"/>
        <v>#DIV/0!</v>
      </c>
      <c r="CE250" s="380" t="e">
        <f t="shared" si="177"/>
        <v>#DIV/0!</v>
      </c>
      <c r="CF250" s="380" t="e">
        <f t="shared" si="177"/>
        <v>#DIV/0!</v>
      </c>
    </row>
    <row r="251" spans="3:84">
      <c r="D251" s="380" t="s">
        <v>93</v>
      </c>
      <c r="E251" s="380" t="e">
        <f t="shared" ref="E251:AJ251" si="178">E244*$E22*365</f>
        <v>#DIV/0!</v>
      </c>
      <c r="F251" s="380" t="e">
        <f t="shared" si="178"/>
        <v>#DIV/0!</v>
      </c>
      <c r="G251" s="380" t="e">
        <f t="shared" si="178"/>
        <v>#DIV/0!</v>
      </c>
      <c r="H251" s="380" t="e">
        <f t="shared" si="178"/>
        <v>#DIV/0!</v>
      </c>
      <c r="I251" s="380" t="e">
        <f t="shared" si="178"/>
        <v>#DIV/0!</v>
      </c>
      <c r="J251" s="380" t="e">
        <f t="shared" si="178"/>
        <v>#DIV/0!</v>
      </c>
      <c r="K251" s="380" t="e">
        <f t="shared" si="178"/>
        <v>#DIV/0!</v>
      </c>
      <c r="L251" s="380" t="e">
        <f t="shared" si="178"/>
        <v>#DIV/0!</v>
      </c>
      <c r="M251" s="380" t="e">
        <f t="shared" si="178"/>
        <v>#DIV/0!</v>
      </c>
      <c r="N251" s="380" t="e">
        <f t="shared" si="178"/>
        <v>#DIV/0!</v>
      </c>
      <c r="O251" s="380" t="e">
        <f t="shared" si="178"/>
        <v>#DIV/0!</v>
      </c>
      <c r="P251" s="380" t="e">
        <f t="shared" si="178"/>
        <v>#DIV/0!</v>
      </c>
      <c r="Q251" s="380" t="e">
        <f t="shared" si="178"/>
        <v>#DIV/0!</v>
      </c>
      <c r="R251" s="380" t="e">
        <f t="shared" si="178"/>
        <v>#DIV/0!</v>
      </c>
      <c r="S251" s="380" t="e">
        <f t="shared" si="178"/>
        <v>#DIV/0!</v>
      </c>
      <c r="T251" s="380" t="e">
        <f t="shared" si="178"/>
        <v>#DIV/0!</v>
      </c>
      <c r="U251" s="380" t="e">
        <f t="shared" si="178"/>
        <v>#DIV/0!</v>
      </c>
      <c r="V251" s="380" t="e">
        <f t="shared" si="178"/>
        <v>#DIV/0!</v>
      </c>
      <c r="W251" s="380" t="e">
        <f t="shared" si="178"/>
        <v>#DIV/0!</v>
      </c>
      <c r="X251" s="380" t="e">
        <f t="shared" si="178"/>
        <v>#DIV/0!</v>
      </c>
      <c r="Y251" s="380" t="e">
        <f t="shared" si="178"/>
        <v>#DIV/0!</v>
      </c>
      <c r="Z251" s="380" t="e">
        <f t="shared" si="178"/>
        <v>#DIV/0!</v>
      </c>
      <c r="AA251" s="380" t="e">
        <f t="shared" si="178"/>
        <v>#DIV/0!</v>
      </c>
      <c r="AB251" s="380" t="e">
        <f t="shared" si="178"/>
        <v>#DIV/0!</v>
      </c>
      <c r="AC251" s="380" t="e">
        <f t="shared" si="178"/>
        <v>#DIV/0!</v>
      </c>
      <c r="AD251" s="380" t="e">
        <f t="shared" si="178"/>
        <v>#DIV/0!</v>
      </c>
      <c r="AE251" s="380" t="e">
        <f t="shared" si="178"/>
        <v>#DIV/0!</v>
      </c>
      <c r="AF251" s="380" t="e">
        <f t="shared" si="178"/>
        <v>#DIV/0!</v>
      </c>
      <c r="AG251" s="380" t="e">
        <f t="shared" si="178"/>
        <v>#DIV/0!</v>
      </c>
      <c r="AH251" s="380" t="e">
        <f t="shared" si="178"/>
        <v>#DIV/0!</v>
      </c>
      <c r="AI251" s="380" t="e">
        <f t="shared" si="178"/>
        <v>#DIV/0!</v>
      </c>
      <c r="AJ251" s="380" t="e">
        <f t="shared" si="178"/>
        <v>#DIV/0!</v>
      </c>
      <c r="AK251" s="380" t="e">
        <f t="shared" ref="AK251:BP251" si="179">AK244*$E22*365</f>
        <v>#DIV/0!</v>
      </c>
      <c r="AL251" s="380" t="e">
        <f t="shared" si="179"/>
        <v>#DIV/0!</v>
      </c>
      <c r="AM251" s="380" t="e">
        <f t="shared" si="179"/>
        <v>#DIV/0!</v>
      </c>
      <c r="AN251" s="380" t="e">
        <f t="shared" si="179"/>
        <v>#DIV/0!</v>
      </c>
      <c r="AO251" s="380" t="e">
        <f t="shared" si="179"/>
        <v>#DIV/0!</v>
      </c>
      <c r="AP251" s="380" t="e">
        <f t="shared" si="179"/>
        <v>#DIV/0!</v>
      </c>
      <c r="AQ251" s="380" t="e">
        <f t="shared" si="179"/>
        <v>#DIV/0!</v>
      </c>
      <c r="AR251" s="380" t="e">
        <f t="shared" si="179"/>
        <v>#DIV/0!</v>
      </c>
      <c r="AS251" s="380" t="e">
        <f t="shared" si="179"/>
        <v>#DIV/0!</v>
      </c>
      <c r="AT251" s="380" t="e">
        <f t="shared" si="179"/>
        <v>#DIV/0!</v>
      </c>
      <c r="AU251" s="380" t="e">
        <f t="shared" si="179"/>
        <v>#DIV/0!</v>
      </c>
      <c r="AV251" s="380" t="e">
        <f t="shared" si="179"/>
        <v>#DIV/0!</v>
      </c>
      <c r="AW251" s="380" t="e">
        <f t="shared" si="179"/>
        <v>#DIV/0!</v>
      </c>
      <c r="AX251" s="380" t="e">
        <f t="shared" si="179"/>
        <v>#DIV/0!</v>
      </c>
      <c r="AY251" s="380" t="e">
        <f t="shared" si="179"/>
        <v>#DIV/0!</v>
      </c>
      <c r="AZ251" s="380" t="e">
        <f t="shared" si="179"/>
        <v>#DIV/0!</v>
      </c>
      <c r="BA251" s="380" t="e">
        <f t="shared" si="179"/>
        <v>#DIV/0!</v>
      </c>
      <c r="BB251" s="380" t="e">
        <f t="shared" si="179"/>
        <v>#DIV/0!</v>
      </c>
      <c r="BC251" s="380" t="e">
        <f t="shared" si="179"/>
        <v>#DIV/0!</v>
      </c>
      <c r="BD251" s="380" t="e">
        <f t="shared" si="179"/>
        <v>#DIV/0!</v>
      </c>
      <c r="BE251" s="380" t="e">
        <f t="shared" si="179"/>
        <v>#DIV/0!</v>
      </c>
      <c r="BF251" s="380" t="e">
        <f t="shared" si="179"/>
        <v>#DIV/0!</v>
      </c>
      <c r="BG251" s="380" t="e">
        <f t="shared" si="179"/>
        <v>#DIV/0!</v>
      </c>
      <c r="BH251" s="380" t="e">
        <f t="shared" si="179"/>
        <v>#DIV/0!</v>
      </c>
      <c r="BI251" s="380" t="e">
        <f t="shared" si="179"/>
        <v>#DIV/0!</v>
      </c>
      <c r="BJ251" s="380" t="e">
        <f t="shared" si="179"/>
        <v>#DIV/0!</v>
      </c>
      <c r="BK251" s="380" t="e">
        <f t="shared" si="179"/>
        <v>#DIV/0!</v>
      </c>
      <c r="BL251" s="380" t="e">
        <f t="shared" si="179"/>
        <v>#DIV/0!</v>
      </c>
      <c r="BM251" s="380" t="e">
        <f t="shared" si="179"/>
        <v>#DIV/0!</v>
      </c>
      <c r="BN251" s="380" t="e">
        <f t="shared" si="179"/>
        <v>#DIV/0!</v>
      </c>
      <c r="BO251" s="380" t="e">
        <f t="shared" si="179"/>
        <v>#DIV/0!</v>
      </c>
      <c r="BP251" s="380" t="e">
        <f t="shared" si="179"/>
        <v>#DIV/0!</v>
      </c>
      <c r="BQ251" s="380" t="e">
        <f t="shared" ref="BQ251:CF251" si="180">BQ244*$E22*365</f>
        <v>#DIV/0!</v>
      </c>
      <c r="BR251" s="380" t="e">
        <f t="shared" si="180"/>
        <v>#DIV/0!</v>
      </c>
      <c r="BS251" s="380" t="e">
        <f t="shared" si="180"/>
        <v>#DIV/0!</v>
      </c>
      <c r="BT251" s="380" t="e">
        <f t="shared" si="180"/>
        <v>#DIV/0!</v>
      </c>
      <c r="BU251" s="380" t="e">
        <f t="shared" si="180"/>
        <v>#DIV/0!</v>
      </c>
      <c r="BV251" s="380" t="e">
        <f t="shared" si="180"/>
        <v>#DIV/0!</v>
      </c>
      <c r="BW251" s="380" t="e">
        <f t="shared" si="180"/>
        <v>#DIV/0!</v>
      </c>
      <c r="BX251" s="380" t="e">
        <f t="shared" si="180"/>
        <v>#DIV/0!</v>
      </c>
      <c r="BY251" s="380" t="e">
        <f t="shared" si="180"/>
        <v>#DIV/0!</v>
      </c>
      <c r="BZ251" s="380" t="e">
        <f t="shared" si="180"/>
        <v>#DIV/0!</v>
      </c>
      <c r="CA251" s="380" t="e">
        <f t="shared" si="180"/>
        <v>#DIV/0!</v>
      </c>
      <c r="CB251" s="380" t="e">
        <f t="shared" si="180"/>
        <v>#DIV/0!</v>
      </c>
      <c r="CC251" s="380" t="e">
        <f t="shared" si="180"/>
        <v>#DIV/0!</v>
      </c>
      <c r="CD251" s="380" t="e">
        <f t="shared" si="180"/>
        <v>#DIV/0!</v>
      </c>
      <c r="CE251" s="380" t="e">
        <f t="shared" si="180"/>
        <v>#DIV/0!</v>
      </c>
      <c r="CF251" s="380" t="e">
        <f t="shared" si="180"/>
        <v>#DIV/0!</v>
      </c>
    </row>
  </sheetData>
  <dataValidations count="2">
    <dataValidation showInputMessage="1" showErrorMessage="1" sqref="D13:D27 E18" xr:uid="{00000000-0002-0000-0800-000000000000}"/>
    <dataValidation type="list" showInputMessage="1" showErrorMessage="1" sqref="E13" xr:uid="{00000000-0002-0000-0800-000001000000}">
      <formula1>$Q$5:$Q$74</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sheetPr>
  <dimension ref="A2:Y64"/>
  <sheetViews>
    <sheetView showFormulas="1" topLeftCell="A44" zoomScale="70" zoomScaleNormal="70" workbookViewId="0">
      <selection activeCell="M55" sqref="M55"/>
    </sheetView>
  </sheetViews>
  <sheetFormatPr defaultColWidth="9.1796875" defaultRowHeight="14"/>
  <cols>
    <col min="1" max="1" width="3.7265625" style="370" customWidth="1"/>
    <col min="2" max="2" width="8.54296875" style="370" customWidth="1"/>
    <col min="3" max="3" width="35.54296875" style="370" customWidth="1"/>
    <col min="4" max="4" width="11.453125" style="370" customWidth="1"/>
    <col min="5" max="5" width="9.1796875" style="370"/>
    <col min="6" max="6" width="12.7265625" style="370" bestFit="1" customWidth="1"/>
    <col min="7" max="11" width="9.1796875" style="370"/>
    <col min="12" max="12" width="9.453125" style="370" bestFit="1" customWidth="1"/>
    <col min="13" max="16384" width="9.1796875" style="370"/>
  </cols>
  <sheetData>
    <row r="2" spans="1:5" ht="15.5">
      <c r="A2" s="360" t="s">
        <v>236</v>
      </c>
      <c r="C2" s="360"/>
      <c r="D2" s="360"/>
    </row>
    <row r="3" spans="1:5" ht="15.5">
      <c r="A3" s="360"/>
      <c r="B3" s="360" t="s">
        <v>155</v>
      </c>
      <c r="C3" s="362"/>
      <c r="D3" s="360"/>
    </row>
    <row r="4" spans="1:5">
      <c r="C4" s="373" t="s">
        <v>294</v>
      </c>
      <c r="D4" s="373">
        <v>100</v>
      </c>
    </row>
    <row r="5" spans="1:5">
      <c r="C5" s="373" t="s">
        <v>294</v>
      </c>
      <c r="D5" s="373">
        <v>150</v>
      </c>
    </row>
    <row r="6" spans="1:5">
      <c r="C6" s="373" t="s">
        <v>294</v>
      </c>
      <c r="D6" s="373">
        <v>100</v>
      </c>
    </row>
    <row r="7" spans="1:5">
      <c r="C7" s="373" t="s">
        <v>294</v>
      </c>
      <c r="D7" s="373">
        <v>45</v>
      </c>
    </row>
    <row r="9" spans="1:5" ht="15.5">
      <c r="B9" s="360" t="s">
        <v>295</v>
      </c>
      <c r="C9" s="360"/>
    </row>
    <row r="10" spans="1:5">
      <c r="C10" s="373" t="s">
        <v>101</v>
      </c>
      <c r="D10" s="963">
        <f>'Proforma Scrutiny'!D35</f>
        <v>110</v>
      </c>
      <c r="E10" s="370" t="s">
        <v>296</v>
      </c>
    </row>
    <row r="11" spans="1:5">
      <c r="C11" s="373" t="s">
        <v>102</v>
      </c>
      <c r="D11" s="963">
        <f>'Proforma Scrutiny'!D36</f>
        <v>70</v>
      </c>
      <c r="E11" s="370" t="s">
        <v>297</v>
      </c>
    </row>
    <row r="12" spans="1:5">
      <c r="C12" s="373" t="s">
        <v>103</v>
      </c>
      <c r="D12" s="963">
        <f>'Proforma Scrutiny'!D37</f>
        <v>20</v>
      </c>
      <c r="E12" s="370" t="s">
        <v>298</v>
      </c>
    </row>
    <row r="14" spans="1:5" ht="15.5">
      <c r="B14" s="360" t="s">
        <v>299</v>
      </c>
    </row>
    <row r="15" spans="1:5" ht="15.5">
      <c r="C15" s="364" t="s">
        <v>300</v>
      </c>
      <c r="D15" s="587">
        <v>0.2117</v>
      </c>
    </row>
    <row r="16" spans="1:5" ht="15.5">
      <c r="C16" s="364" t="s">
        <v>301</v>
      </c>
      <c r="D16" s="587">
        <v>1.8507</v>
      </c>
    </row>
    <row r="18" spans="1:25" ht="15.5">
      <c r="A18" s="360" t="s">
        <v>302</v>
      </c>
    </row>
    <row r="19" spans="1:25" ht="15.5">
      <c r="A19" s="360"/>
    </row>
    <row r="20" spans="1:25">
      <c r="B20" s="371" t="s">
        <v>303</v>
      </c>
      <c r="C20" s="586"/>
      <c r="D20" s="586"/>
      <c r="E20" s="586"/>
      <c r="F20" s="367"/>
      <c r="G20" s="750"/>
    </row>
    <row r="21" spans="1:25">
      <c r="C21" s="587" t="s">
        <v>304</v>
      </c>
      <c r="D21" s="588">
        <f>D10</f>
        <v>110</v>
      </c>
      <c r="E21" s="588">
        <f>D11</f>
        <v>70</v>
      </c>
      <c r="F21" s="663">
        <f>D12</f>
        <v>20</v>
      </c>
      <c r="G21" s="588">
        <f>D4</f>
        <v>100</v>
      </c>
      <c r="H21" s="588">
        <f>D5</f>
        <v>150</v>
      </c>
      <c r="I21" s="588">
        <f>D6</f>
        <v>100</v>
      </c>
      <c r="J21" s="588">
        <f>D7</f>
        <v>45</v>
      </c>
    </row>
    <row r="22" spans="1:25">
      <c r="C22" s="587" t="s">
        <v>305</v>
      </c>
      <c r="D22" s="588">
        <f t="shared" ref="D22:J22" si="0">(0.0397*D21) +0.3085</f>
        <v>4.6754999999999995</v>
      </c>
      <c r="E22" s="588">
        <f t="shared" si="0"/>
        <v>3.0874999999999999</v>
      </c>
      <c r="F22" s="663">
        <f t="shared" si="0"/>
        <v>1.1025</v>
      </c>
      <c r="G22" s="588">
        <f t="shared" si="0"/>
        <v>4.2784999999999993</v>
      </c>
      <c r="H22" s="588">
        <f t="shared" si="0"/>
        <v>6.2635000000000005</v>
      </c>
      <c r="I22" s="588">
        <f t="shared" si="0"/>
        <v>4.2784999999999993</v>
      </c>
      <c r="J22" s="588">
        <f t="shared" si="0"/>
        <v>2.0949999999999998</v>
      </c>
    </row>
    <row r="23" spans="1:25">
      <c r="C23" s="587" t="s">
        <v>306</v>
      </c>
      <c r="D23" s="588">
        <f>(D22/$D$15)^(1/$D$16)</f>
        <v>5.3243871851809246</v>
      </c>
      <c r="E23" s="588">
        <f t="shared" ref="E23:J23" si="1">(E22/$D$15)^(1/$D$16)</f>
        <v>4.2549030392378153</v>
      </c>
      <c r="F23" s="663">
        <f t="shared" si="1"/>
        <v>2.439136136707714</v>
      </c>
      <c r="G23" s="588">
        <f t="shared" si="1"/>
        <v>5.0751274648951652</v>
      </c>
      <c r="H23" s="588">
        <f t="shared" si="1"/>
        <v>6.2357167570688672</v>
      </c>
      <c r="I23" s="588">
        <f t="shared" si="1"/>
        <v>5.0751274648951652</v>
      </c>
      <c r="J23" s="588">
        <f t="shared" si="1"/>
        <v>3.4505210063441969</v>
      </c>
    </row>
    <row r="24" spans="1:25">
      <c r="C24" s="589"/>
      <c r="D24" s="589"/>
      <c r="E24" s="589"/>
      <c r="F24" s="589"/>
      <c r="G24" s="590"/>
      <c r="H24" s="589"/>
      <c r="I24" s="589"/>
      <c r="J24" s="589"/>
      <c r="K24" s="589"/>
      <c r="L24" s="591"/>
      <c r="M24" s="591"/>
      <c r="N24" s="591"/>
      <c r="O24" s="591"/>
      <c r="P24" s="591"/>
      <c r="Q24" s="591"/>
      <c r="R24" s="591"/>
      <c r="S24" s="591"/>
      <c r="T24" s="591"/>
      <c r="U24" s="591"/>
      <c r="V24" s="591"/>
      <c r="W24" s="591"/>
      <c r="X24" s="591"/>
      <c r="Y24" s="591"/>
    </row>
    <row r="25" spans="1:25">
      <c r="B25" s="592" t="s">
        <v>307</v>
      </c>
      <c r="E25" s="592"/>
      <c r="F25" s="590"/>
      <c r="G25" s="593"/>
      <c r="H25" s="590"/>
      <c r="I25" s="590"/>
      <c r="J25" s="590"/>
      <c r="K25" s="590"/>
      <c r="L25" s="591"/>
      <c r="M25" s="591"/>
      <c r="N25" s="591"/>
      <c r="O25" s="591"/>
      <c r="P25" s="593"/>
      <c r="Q25" s="591"/>
      <c r="R25" s="591"/>
      <c r="S25" s="591"/>
      <c r="T25" s="591"/>
      <c r="U25" s="591"/>
      <c r="V25" s="591"/>
      <c r="W25" s="591"/>
      <c r="X25" s="591"/>
      <c r="Y25" s="591"/>
    </row>
    <row r="26" spans="1:25" ht="14.5" thickBot="1">
      <c r="B26" s="590"/>
      <c r="C26" s="590"/>
      <c r="D26" s="590"/>
      <c r="E26" s="590"/>
      <c r="F26" s="590"/>
      <c r="G26" s="591"/>
      <c r="H26" s="591"/>
      <c r="I26" s="591"/>
      <c r="J26" s="591"/>
      <c r="K26" s="591"/>
      <c r="L26" s="591"/>
      <c r="M26" s="591"/>
      <c r="N26" s="591"/>
      <c r="O26" s="591"/>
      <c r="P26" s="591"/>
      <c r="Q26" s="591"/>
      <c r="R26" s="591"/>
      <c r="T26" s="591"/>
      <c r="U26" s="591"/>
    </row>
    <row r="27" spans="1:25">
      <c r="B27" s="590"/>
      <c r="C27" s="590"/>
      <c r="D27" s="590"/>
      <c r="E27" s="664" t="s">
        <v>308</v>
      </c>
      <c r="F27" s="633"/>
      <c r="G27" s="633"/>
      <c r="H27" s="634"/>
      <c r="I27" s="632" t="s">
        <v>309</v>
      </c>
      <c r="J27" s="633"/>
      <c r="K27" s="633"/>
      <c r="L27" s="634"/>
      <c r="M27" s="632" t="s">
        <v>310</v>
      </c>
      <c r="N27" s="633"/>
      <c r="O27" s="633"/>
      <c r="P27" s="635"/>
      <c r="T27" s="591"/>
      <c r="U27" s="591"/>
    </row>
    <row r="28" spans="1:25">
      <c r="B28" s="590"/>
      <c r="C28" s="669" t="s">
        <v>306</v>
      </c>
      <c r="D28" s="670" t="s">
        <v>1</v>
      </c>
      <c r="E28" s="671" t="s">
        <v>249</v>
      </c>
      <c r="F28" s="595" t="s">
        <v>89</v>
      </c>
      <c r="G28" s="595" t="s">
        <v>91</v>
      </c>
      <c r="H28" s="596" t="s">
        <v>311</v>
      </c>
      <c r="I28" s="594" t="s">
        <v>249</v>
      </c>
      <c r="J28" s="595" t="s">
        <v>89</v>
      </c>
      <c r="K28" s="595" t="s">
        <v>91</v>
      </c>
      <c r="L28" s="596" t="s">
        <v>311</v>
      </c>
      <c r="M28" s="594" t="s">
        <v>249</v>
      </c>
      <c r="N28" s="595" t="s">
        <v>89</v>
      </c>
      <c r="O28" s="595" t="s">
        <v>91</v>
      </c>
      <c r="P28" s="672" t="s">
        <v>311</v>
      </c>
      <c r="T28" s="591"/>
      <c r="U28" s="591"/>
    </row>
    <row r="29" spans="1:25">
      <c r="B29" s="590"/>
      <c r="C29" s="667">
        <v>1</v>
      </c>
      <c r="D29" s="586" t="s">
        <v>312</v>
      </c>
      <c r="E29" s="665">
        <v>0.20821248809372522</v>
      </c>
      <c r="F29" s="602">
        <v>0.24343925491140528</v>
      </c>
      <c r="G29" s="602">
        <v>0.69523121650882691</v>
      </c>
      <c r="H29" s="603">
        <v>0.5782395966721674</v>
      </c>
      <c r="I29" s="604">
        <v>101.51497650146484</v>
      </c>
      <c r="J29" s="605">
        <v>90.134681701660156</v>
      </c>
      <c r="K29" s="605">
        <v>86.98724365234375</v>
      </c>
      <c r="L29" s="606">
        <v>89.842742919921875</v>
      </c>
      <c r="M29" s="604">
        <v>236.11041493966405</v>
      </c>
      <c r="N29" s="605">
        <v>385.74229066185347</v>
      </c>
      <c r="O29" s="605">
        <v>1083.3507828807265</v>
      </c>
      <c r="P29" s="636">
        <v>509.12330035395729</v>
      </c>
      <c r="T29" s="591"/>
      <c r="U29" s="591"/>
    </row>
    <row r="30" spans="1:25">
      <c r="B30" s="590"/>
      <c r="C30" s="667">
        <v>2</v>
      </c>
      <c r="D30" s="586" t="s">
        <v>313</v>
      </c>
      <c r="E30" s="665">
        <v>0.20872558484421241</v>
      </c>
      <c r="F30" s="602">
        <v>0.24436345845930374</v>
      </c>
      <c r="G30" s="602">
        <v>0.69838221068619788</v>
      </c>
      <c r="H30" s="603">
        <v>0.58001863656004948</v>
      </c>
      <c r="I30" s="604">
        <v>101.38983154296875</v>
      </c>
      <c r="J30" s="605">
        <v>89.857215881347656</v>
      </c>
      <c r="K30" s="605">
        <v>86.971588134765625</v>
      </c>
      <c r="L30" s="606">
        <v>89.530288696289063</v>
      </c>
      <c r="M30" s="604">
        <v>237.48314969224722</v>
      </c>
      <c r="N30" s="605">
        <v>388.38150382077407</v>
      </c>
      <c r="O30" s="605">
        <v>1094.0302424167844</v>
      </c>
      <c r="P30" s="636">
        <v>512.92741370869987</v>
      </c>
      <c r="T30" s="591"/>
      <c r="U30" s="591"/>
    </row>
    <row r="31" spans="1:25">
      <c r="B31" s="590"/>
      <c r="C31" s="667">
        <v>3</v>
      </c>
      <c r="D31" s="586" t="s">
        <v>314</v>
      </c>
      <c r="E31" s="665">
        <v>0.20950186555123071</v>
      </c>
      <c r="F31" s="602">
        <v>0.24583855666573004</v>
      </c>
      <c r="G31" s="602">
        <v>0.70453852226580449</v>
      </c>
      <c r="H31" s="603">
        <v>0.5839123074471777</v>
      </c>
      <c r="I31" s="604">
        <v>101.15187072753906</v>
      </c>
      <c r="J31" s="605">
        <v>89.408309936523438</v>
      </c>
      <c r="K31" s="605">
        <v>86.9456787109375</v>
      </c>
      <c r="L31" s="606">
        <v>89.049972534179688</v>
      </c>
      <c r="M31" s="604">
        <v>238.62067095234457</v>
      </c>
      <c r="N31" s="605">
        <v>390.22823196854574</v>
      </c>
      <c r="O31" s="605">
        <v>1104.6009848922129</v>
      </c>
      <c r="P31" s="636">
        <v>515.75051819461169</v>
      </c>
      <c r="T31" s="591"/>
      <c r="U31" s="591"/>
    </row>
    <row r="32" spans="1:25">
      <c r="B32" s="590"/>
      <c r="C32" s="667">
        <v>4</v>
      </c>
      <c r="D32" s="586" t="s">
        <v>315</v>
      </c>
      <c r="E32" s="665">
        <v>0.21282341543263858</v>
      </c>
      <c r="F32" s="602">
        <v>0.25316211238570624</v>
      </c>
      <c r="G32" s="602">
        <v>0.73825879996375521</v>
      </c>
      <c r="H32" s="603">
        <v>0.60603900776124442</v>
      </c>
      <c r="I32" s="604">
        <v>100.32351684570313</v>
      </c>
      <c r="J32" s="605">
        <v>88.412338256835938</v>
      </c>
      <c r="K32" s="605">
        <v>86.800636291503906</v>
      </c>
      <c r="L32" s="606">
        <v>88.037071228027344</v>
      </c>
      <c r="M32" s="604">
        <v>238.53728828684564</v>
      </c>
      <c r="N32" s="605">
        <v>389.57379637198579</v>
      </c>
      <c r="O32" s="605">
        <v>1113.797514751526</v>
      </c>
      <c r="P32" s="636">
        <v>515.4899685554052</v>
      </c>
      <c r="T32" s="591"/>
      <c r="U32" s="591"/>
    </row>
    <row r="33" spans="2:25">
      <c r="B33" s="590"/>
      <c r="C33" s="667">
        <v>5</v>
      </c>
      <c r="D33" s="586" t="s">
        <v>316</v>
      </c>
      <c r="E33" s="665">
        <v>0.21615705845559116</v>
      </c>
      <c r="F33" s="602">
        <v>0.26092543555145981</v>
      </c>
      <c r="G33" s="602">
        <v>0.77213518219436106</v>
      </c>
      <c r="H33" s="603">
        <v>0.6322289450719677</v>
      </c>
      <c r="I33" s="604">
        <v>97.734931945800781</v>
      </c>
      <c r="J33" s="605">
        <v>86.273841857910156</v>
      </c>
      <c r="K33" s="605">
        <v>85.9208984375</v>
      </c>
      <c r="L33" s="606">
        <v>85.913887023925781</v>
      </c>
      <c r="M33" s="604">
        <v>234.96820810480463</v>
      </c>
      <c r="N33" s="605">
        <v>383.88098011312422</v>
      </c>
      <c r="O33" s="605">
        <v>1114.5159647273222</v>
      </c>
      <c r="P33" s="636">
        <v>509.01485885291453</v>
      </c>
      <c r="T33" s="591"/>
      <c r="U33" s="591"/>
    </row>
    <row r="34" spans="2:25">
      <c r="B34" s="590"/>
      <c r="C34" s="667">
        <v>6</v>
      </c>
      <c r="D34" s="586" t="s">
        <v>317</v>
      </c>
      <c r="E34" s="665">
        <v>0.22003988875387534</v>
      </c>
      <c r="F34" s="602">
        <v>0.26888841436733479</v>
      </c>
      <c r="G34" s="602">
        <v>0.80089750621554145</v>
      </c>
      <c r="H34" s="603">
        <v>0.66300991047519842</v>
      </c>
      <c r="I34" s="604">
        <v>92.209243774414063</v>
      </c>
      <c r="J34" s="605">
        <v>82.515647888183594</v>
      </c>
      <c r="K34" s="605">
        <v>82.629714965820313</v>
      </c>
      <c r="L34" s="606">
        <v>82.211990356445313</v>
      </c>
      <c r="M34" s="604">
        <v>226.44979084836078</v>
      </c>
      <c r="N34" s="605">
        <v>371.69412120025294</v>
      </c>
      <c r="O34" s="605">
        <v>1088.4720726331529</v>
      </c>
      <c r="P34" s="636">
        <v>494.44611379028345</v>
      </c>
      <c r="T34" s="591"/>
      <c r="U34" s="591"/>
    </row>
    <row r="35" spans="2:25">
      <c r="B35" s="590"/>
      <c r="C35" s="667">
        <v>7</v>
      </c>
      <c r="D35" s="586" t="s">
        <v>318</v>
      </c>
      <c r="E35" s="665">
        <v>0.22500454343052895</v>
      </c>
      <c r="F35" s="602">
        <v>0.27696273789802467</v>
      </c>
      <c r="G35" s="602">
        <v>0.82509591548671657</v>
      </c>
      <c r="H35" s="603">
        <v>0.69873137363228388</v>
      </c>
      <c r="I35" s="604">
        <v>84.353179931640625</v>
      </c>
      <c r="J35" s="605">
        <v>77.278450012207031</v>
      </c>
      <c r="K35" s="605">
        <v>76.046737670898438</v>
      </c>
      <c r="L35" s="606">
        <v>77.054679870605469</v>
      </c>
      <c r="M35" s="604">
        <v>216.01918712812466</v>
      </c>
      <c r="N35" s="605">
        <v>354.90643421955485</v>
      </c>
      <c r="O35" s="605">
        <v>1032.4481836435007</v>
      </c>
      <c r="P35" s="636">
        <v>473.94789057479898</v>
      </c>
      <c r="T35" s="591"/>
      <c r="U35" s="591"/>
    </row>
    <row r="36" spans="2:25">
      <c r="B36" s="590"/>
      <c r="C36" s="667">
        <v>8</v>
      </c>
      <c r="D36" s="586" t="s">
        <v>319</v>
      </c>
      <c r="E36" s="665">
        <v>0.23187579061667565</v>
      </c>
      <c r="F36" s="602">
        <v>0.28585201053323628</v>
      </c>
      <c r="G36" s="602">
        <v>0.85188918515210044</v>
      </c>
      <c r="H36" s="603">
        <v>0.73987391541276259</v>
      </c>
      <c r="I36" s="604">
        <v>76.046173095703125</v>
      </c>
      <c r="J36" s="605">
        <v>71.294586181640625</v>
      </c>
      <c r="K36" s="605">
        <v>68.280723571777344</v>
      </c>
      <c r="L36" s="606">
        <v>71.145164489746094</v>
      </c>
      <c r="M36" s="604">
        <v>208.10800461081689</v>
      </c>
      <c r="N36" s="605">
        <v>337.95954931459198</v>
      </c>
      <c r="O36" s="605">
        <v>981.51500521823618</v>
      </c>
      <c r="P36" s="636">
        <v>452.97424886180096</v>
      </c>
      <c r="T36" s="591"/>
      <c r="U36" s="591"/>
    </row>
    <row r="37" spans="2:25">
      <c r="B37" s="590"/>
      <c r="C37" s="667">
        <v>9</v>
      </c>
      <c r="D37" s="586" t="s">
        <v>320</v>
      </c>
      <c r="E37" s="665">
        <v>0.24048809172940869</v>
      </c>
      <c r="F37" s="602">
        <v>0.29576789433448636</v>
      </c>
      <c r="G37" s="602">
        <v>0.88416086762388713</v>
      </c>
      <c r="H37" s="603">
        <v>0.78572457608203283</v>
      </c>
      <c r="I37" s="604">
        <v>68.496940612792969</v>
      </c>
      <c r="J37" s="605">
        <v>65.328132629394531</v>
      </c>
      <c r="K37" s="605">
        <v>61.206310272216797</v>
      </c>
      <c r="L37" s="606">
        <v>65.232994079589844</v>
      </c>
      <c r="M37" s="604">
        <v>204.21482203655438</v>
      </c>
      <c r="N37" s="605">
        <v>324.09229024719019</v>
      </c>
      <c r="O37" s="605">
        <v>950.30894382552674</v>
      </c>
      <c r="P37" s="636">
        <v>435.58533996317487</v>
      </c>
      <c r="T37" s="591"/>
      <c r="U37" s="591"/>
    </row>
    <row r="38" spans="2:25">
      <c r="B38" s="590"/>
      <c r="C38" s="667">
        <v>10</v>
      </c>
      <c r="D38" s="586" t="s">
        <v>321</v>
      </c>
      <c r="E38" s="665">
        <v>0.25040921606176469</v>
      </c>
      <c r="F38" s="602">
        <v>0.30681265874915198</v>
      </c>
      <c r="G38" s="602">
        <v>0.92092401484601882</v>
      </c>
      <c r="H38" s="603">
        <v>0.83506716678916559</v>
      </c>
      <c r="I38" s="604">
        <v>62.020648956298828</v>
      </c>
      <c r="J38" s="605">
        <v>59.824111938476563</v>
      </c>
      <c r="K38" s="605">
        <v>55.242839813232422</v>
      </c>
      <c r="L38" s="606">
        <v>59.764053344726563</v>
      </c>
      <c r="M38" s="604">
        <v>203.8369619147993</v>
      </c>
      <c r="N38" s="605">
        <v>314.41404741063161</v>
      </c>
      <c r="O38" s="605">
        <v>937.77155720152155</v>
      </c>
      <c r="P38" s="636">
        <v>423.27420837916071</v>
      </c>
      <c r="T38" s="591"/>
      <c r="U38" s="591"/>
    </row>
    <row r="39" spans="2:25">
      <c r="B39" s="607"/>
      <c r="C39" s="667">
        <v>11</v>
      </c>
      <c r="D39" s="586" t="s">
        <v>322</v>
      </c>
      <c r="E39" s="665">
        <v>0.2611475886166082</v>
      </c>
      <c r="F39" s="602">
        <v>0.31867197615964171</v>
      </c>
      <c r="G39" s="602">
        <v>0.96079113051352205</v>
      </c>
      <c r="H39" s="603">
        <v>0.88591259017475188</v>
      </c>
      <c r="I39" s="604">
        <v>56.601558685302734</v>
      </c>
      <c r="J39" s="605">
        <v>55.056598663330078</v>
      </c>
      <c r="K39" s="605">
        <v>50.273441314697266</v>
      </c>
      <c r="L39" s="606">
        <v>55.017650604248047</v>
      </c>
      <c r="M39" s="604">
        <v>206.05870852274336</v>
      </c>
      <c r="N39" s="605">
        <v>308.88733758919568</v>
      </c>
      <c r="O39" s="605">
        <v>939.05016961924457</v>
      </c>
      <c r="P39" s="636">
        <v>416.11231593102502</v>
      </c>
      <c r="T39" s="608"/>
      <c r="U39" s="608"/>
    </row>
    <row r="40" spans="2:25">
      <c r="B40" s="607"/>
      <c r="C40" s="667">
        <v>12</v>
      </c>
      <c r="D40" s="586" t="s">
        <v>323</v>
      </c>
      <c r="E40" s="665">
        <v>0.27259699912600843</v>
      </c>
      <c r="F40" s="602">
        <v>0.33131009689849922</v>
      </c>
      <c r="G40" s="602">
        <v>1.0027636561726767</v>
      </c>
      <c r="H40" s="603">
        <v>0.93938180739061972</v>
      </c>
      <c r="I40" s="604">
        <v>51.939559936523438</v>
      </c>
      <c r="J40" s="605">
        <v>50.734703063964844</v>
      </c>
      <c r="K40" s="605">
        <v>46.103317260742188</v>
      </c>
      <c r="L40" s="606">
        <v>50.709312438964844</v>
      </c>
      <c r="M40" s="604">
        <v>210.18651172472616</v>
      </c>
      <c r="N40" s="605">
        <v>306.32482302536607</v>
      </c>
      <c r="O40" s="605">
        <v>950.16489975555828</v>
      </c>
      <c r="P40" s="636">
        <v>412.60202587071228</v>
      </c>
      <c r="T40" s="608"/>
      <c r="U40" s="608"/>
    </row>
    <row r="41" spans="2:25">
      <c r="B41" s="607"/>
      <c r="C41" s="667">
        <v>13</v>
      </c>
      <c r="D41" s="586" t="s">
        <v>324</v>
      </c>
      <c r="E41" s="665">
        <v>0.28445564690306302</v>
      </c>
      <c r="F41" s="602">
        <v>0.34441024137679732</v>
      </c>
      <c r="G41" s="602">
        <v>1.0461907982908154</v>
      </c>
      <c r="H41" s="603">
        <v>0.99375566681982141</v>
      </c>
      <c r="I41" s="604">
        <v>47.971355438232422</v>
      </c>
      <c r="J41" s="605">
        <v>46.983901977539063</v>
      </c>
      <c r="K41" s="605">
        <v>42.564594268798828</v>
      </c>
      <c r="L41" s="606">
        <v>46.966888427734375</v>
      </c>
      <c r="M41" s="604">
        <v>215.6774713037355</v>
      </c>
      <c r="N41" s="605">
        <v>306.39616399800599</v>
      </c>
      <c r="O41" s="605">
        <v>968.35597589003919</v>
      </c>
      <c r="P41" s="636">
        <v>412.39533443614681</v>
      </c>
      <c r="T41" s="608"/>
      <c r="U41" s="608"/>
    </row>
    <row r="42" spans="2:25" ht="14.5" thickBot="1">
      <c r="B42" s="590"/>
      <c r="C42" s="668">
        <v>14</v>
      </c>
      <c r="D42" s="621" t="s">
        <v>325</v>
      </c>
      <c r="E42" s="666">
        <v>0.29660545728100346</v>
      </c>
      <c r="F42" s="637">
        <v>0.35782598962087653</v>
      </c>
      <c r="G42" s="637">
        <v>1.090649117294141</v>
      </c>
      <c r="H42" s="638">
        <v>1.0486996107491293</v>
      </c>
      <c r="I42" s="639">
        <v>44.559001922607422</v>
      </c>
      <c r="J42" s="640">
        <v>43.717796325683594</v>
      </c>
      <c r="K42" s="640">
        <v>39.527545928955078</v>
      </c>
      <c r="L42" s="641">
        <v>43.706077575683594</v>
      </c>
      <c r="M42" s="639">
        <v>222.162180764266</v>
      </c>
      <c r="N42" s="640">
        <v>308.48561661254331</v>
      </c>
      <c r="O42" s="640">
        <v>991.74841096667728</v>
      </c>
      <c r="P42" s="642">
        <v>414.73149952213123</v>
      </c>
      <c r="T42" s="591"/>
      <c r="U42" s="591"/>
    </row>
    <row r="43" spans="2:25">
      <c r="C43" s="590"/>
      <c r="D43" s="590"/>
      <c r="E43" s="609"/>
      <c r="F43" s="610"/>
      <c r="G43" s="590"/>
      <c r="H43" s="611"/>
      <c r="I43" s="612"/>
      <c r="J43" s="612"/>
      <c r="K43" s="590"/>
      <c r="L43" s="590"/>
      <c r="M43" s="590"/>
      <c r="N43" s="590"/>
      <c r="O43" s="590"/>
      <c r="P43" s="613"/>
      <c r="Q43" s="613"/>
      <c r="R43" s="590"/>
      <c r="S43" s="613"/>
      <c r="T43" s="613"/>
      <c r="U43" s="590"/>
      <c r="V43" s="613"/>
      <c r="W43" s="613"/>
      <c r="X43" s="591"/>
      <c r="Y43" s="591"/>
    </row>
    <row r="44" spans="2:25">
      <c r="C44" s="590"/>
      <c r="D44" s="590"/>
      <c r="E44" s="609"/>
      <c r="F44" s="610"/>
      <c r="G44" s="590"/>
      <c r="H44" s="611"/>
      <c r="I44" s="612"/>
      <c r="J44" s="612"/>
      <c r="K44" s="590"/>
      <c r="L44" s="590"/>
      <c r="M44" s="590"/>
      <c r="N44" s="590"/>
      <c r="O44" s="590"/>
      <c r="P44" s="613"/>
      <c r="Q44" s="613"/>
      <c r="R44" s="590"/>
      <c r="S44" s="613"/>
      <c r="T44" s="613"/>
      <c r="U44" s="590"/>
      <c r="V44" s="613"/>
      <c r="W44" s="613"/>
      <c r="X44" s="591"/>
      <c r="Y44" s="591"/>
    </row>
    <row r="45" spans="2:25" ht="14.5" thickBot="1">
      <c r="B45" s="622" t="s">
        <v>326</v>
      </c>
      <c r="C45" s="590"/>
      <c r="D45" s="586"/>
      <c r="E45" s="586"/>
      <c r="G45" s="598"/>
      <c r="H45" s="599"/>
      <c r="I45" s="600"/>
      <c r="J45" s="586"/>
      <c r="K45" s="601"/>
      <c r="L45" s="614"/>
      <c r="M45" s="614"/>
      <c r="N45" s="614"/>
      <c r="O45" s="614"/>
      <c r="P45" s="614"/>
      <c r="Q45" s="614"/>
      <c r="R45" s="614"/>
      <c r="S45" s="614"/>
      <c r="T45" s="614"/>
      <c r="U45" s="614"/>
      <c r="V45" s="614"/>
      <c r="W45" s="614"/>
      <c r="X45" s="591"/>
      <c r="Y45" s="591"/>
    </row>
    <row r="46" spans="2:25">
      <c r="C46" s="597"/>
      <c r="D46" s="702"/>
      <c r="E46" s="643" t="s">
        <v>249</v>
      </c>
      <c r="F46" s="644" t="s">
        <v>89</v>
      </c>
      <c r="G46" s="644" t="s">
        <v>91</v>
      </c>
      <c r="H46" s="645" t="s">
        <v>311</v>
      </c>
      <c r="I46" s="646" t="s">
        <v>249</v>
      </c>
      <c r="J46" s="644" t="s">
        <v>89</v>
      </c>
      <c r="K46" s="644" t="s">
        <v>91</v>
      </c>
      <c r="L46" s="645" t="s">
        <v>311</v>
      </c>
      <c r="M46" s="646" t="s">
        <v>249</v>
      </c>
      <c r="N46" s="644" t="s">
        <v>89</v>
      </c>
      <c r="O46" s="644" t="s">
        <v>91</v>
      </c>
      <c r="P46" s="647" t="s">
        <v>311</v>
      </c>
      <c r="X46" s="615"/>
      <c r="Y46" s="615"/>
    </row>
    <row r="47" spans="2:25">
      <c r="B47" s="751" t="s">
        <v>101</v>
      </c>
      <c r="C47" s="677">
        <f>D23</f>
        <v>5.3243871851809246</v>
      </c>
      <c r="D47" s="674">
        <f t="shared" ref="D47:D53" si="2">MATCH(C47,$C$29:$C$42,1)</f>
        <v>5</v>
      </c>
      <c r="E47" s="703">
        <f t="shared" ref="E47:P53" si="3">INDEX(E$29:E$42,$D47)*(ABS((INDEX(E$29:E$42,($D47+1))/INDEX(E$29:E$42,$C47)))^($C47-$D47))</f>
        <v>0.21740903170472783</v>
      </c>
      <c r="F47" s="704">
        <f>INDEX(F$29:F$42,$D47)*(ABS((INDEX(F$29:F$42,($D47+1))/INDEX(F$29:F$42,$C47)))^($C47-$D47))</f>
        <v>0.26348233899042417</v>
      </c>
      <c r="G47" s="704">
        <f t="shared" si="3"/>
        <v>0.78135029008484513</v>
      </c>
      <c r="H47" s="705">
        <f t="shared" si="3"/>
        <v>0.6420540026586774</v>
      </c>
      <c r="I47" s="703">
        <f t="shared" si="3"/>
        <v>95.907112056502228</v>
      </c>
      <c r="J47" s="704">
        <f t="shared" si="3"/>
        <v>85.036342756014548</v>
      </c>
      <c r="K47" s="704">
        <f t="shared" si="3"/>
        <v>84.839162788026329</v>
      </c>
      <c r="L47" s="705">
        <f t="shared" si="3"/>
        <v>84.695126995288874</v>
      </c>
      <c r="M47" s="703">
        <f t="shared" si="3"/>
        <v>232.17039962239005</v>
      </c>
      <c r="N47" s="704">
        <f t="shared" si="3"/>
        <v>379.88455579029369</v>
      </c>
      <c r="O47" s="704">
        <f t="shared" si="3"/>
        <v>1106.0000861785868</v>
      </c>
      <c r="P47" s="706">
        <f t="shared" si="3"/>
        <v>504.24250736635315</v>
      </c>
      <c r="X47" s="591"/>
      <c r="Y47" s="591"/>
    </row>
    <row r="48" spans="2:25">
      <c r="B48" s="752" t="s">
        <v>102</v>
      </c>
      <c r="C48" s="677">
        <f>E23</f>
        <v>4.2549030392378153</v>
      </c>
      <c r="D48" s="674">
        <f>MATCH(C48,$C$29:$C$42,1)</f>
        <v>4</v>
      </c>
      <c r="E48" s="618">
        <f t="shared" si="3"/>
        <v>0.21366825707387113</v>
      </c>
      <c r="F48" s="618">
        <f>INDEX(F$29:F$42,$D48)*(ABS((INDEX(F$29:F$42,($D48+1))/INDEX(F$29:F$42,$C48)))^($C48-$D48))</f>
        <v>0.2551187944356757</v>
      </c>
      <c r="G48" s="618">
        <f>INDEX(G$29:G$42,$D48)*(ABS((INDEX(G$29:G$42,($D48+1))/INDEX(G$29:G$42,$C48)))^($C48-$D48))</f>
        <v>0.74675019376127294</v>
      </c>
      <c r="H48" s="626">
        <f t="shared" si="3"/>
        <v>0.61261004696355148</v>
      </c>
      <c r="I48" s="625">
        <f t="shared" si="3"/>
        <v>99.657238984659799</v>
      </c>
      <c r="J48" s="618">
        <f t="shared" si="3"/>
        <v>87.862246703577256</v>
      </c>
      <c r="K48" s="618">
        <f t="shared" si="3"/>
        <v>86.575536688648313</v>
      </c>
      <c r="L48" s="626">
        <f t="shared" si="3"/>
        <v>87.490933166337612</v>
      </c>
      <c r="M48" s="625">
        <f t="shared" si="3"/>
        <v>237.62240306508073</v>
      </c>
      <c r="N48" s="618">
        <f t="shared" si="3"/>
        <v>388.11471245824532</v>
      </c>
      <c r="O48" s="618">
        <f t="shared" si="3"/>
        <v>1113.9806058410852</v>
      </c>
      <c r="P48" s="658">
        <f t="shared" si="3"/>
        <v>513.83166267078877</v>
      </c>
      <c r="X48" s="591"/>
      <c r="Y48" s="591"/>
    </row>
    <row r="49" spans="2:25" ht="14.5" thickBot="1">
      <c r="B49" s="753" t="s">
        <v>103</v>
      </c>
      <c r="C49" s="677">
        <f>F23</f>
        <v>2.439136136707714</v>
      </c>
      <c r="D49" s="674">
        <f t="shared" si="2"/>
        <v>2</v>
      </c>
      <c r="E49" s="618">
        <f t="shared" si="3"/>
        <v>0.20906612290118054</v>
      </c>
      <c r="F49" s="618">
        <f t="shared" si="3"/>
        <v>0.24501013425805124</v>
      </c>
      <c r="G49" s="618">
        <f t="shared" si="3"/>
        <v>0.70107901699965613</v>
      </c>
      <c r="H49" s="626">
        <f t="shared" si="3"/>
        <v>0.58172528047744587</v>
      </c>
      <c r="I49" s="625">
        <f t="shared" si="3"/>
        <v>101.28526548869712</v>
      </c>
      <c r="J49" s="618">
        <f t="shared" si="3"/>
        <v>89.659808163822618</v>
      </c>
      <c r="K49" s="618">
        <f t="shared" si="3"/>
        <v>86.960209419806418</v>
      </c>
      <c r="L49" s="626">
        <f t="shared" si="3"/>
        <v>89.319046293711494</v>
      </c>
      <c r="M49" s="625">
        <f t="shared" si="3"/>
        <v>237.9820070657872</v>
      </c>
      <c r="N49" s="618">
        <f t="shared" si="3"/>
        <v>389.19139018294896</v>
      </c>
      <c r="O49" s="618">
        <f t="shared" si="3"/>
        <v>1098.6597223671918</v>
      </c>
      <c r="P49" s="658">
        <f t="shared" si="3"/>
        <v>514.16523288330131</v>
      </c>
      <c r="X49" s="591"/>
      <c r="Y49" s="591"/>
    </row>
    <row r="50" spans="2:25">
      <c r="B50" s="754">
        <f>G21</f>
        <v>100</v>
      </c>
      <c r="C50" s="676">
        <f>G23</f>
        <v>5.0751274648951652</v>
      </c>
      <c r="D50" s="673">
        <f>MATCH(C50,$C$29:$C$42,1)</f>
        <v>5</v>
      </c>
      <c r="E50" s="617">
        <f t="shared" ref="E50:P50" si="4">INDEX(E$29:E$42,$D50)*(ABS((INDEX(E$29:E$42,($D50+1))/INDEX(E$29:E$42,$C50)))^($C50-$D50))</f>
        <v>0.21644637008137138</v>
      </c>
      <c r="F50" s="617">
        <f t="shared" si="4"/>
        <v>0.26151539290272863</v>
      </c>
      <c r="G50" s="617">
        <f t="shared" si="4"/>
        <v>0.77425966630906196</v>
      </c>
      <c r="H50" s="624">
        <f t="shared" si="4"/>
        <v>0.63449094722188393</v>
      </c>
      <c r="I50" s="623">
        <f t="shared" si="4"/>
        <v>97.308536650537974</v>
      </c>
      <c r="J50" s="617">
        <f t="shared" si="4"/>
        <v>85.98564645013883</v>
      </c>
      <c r="K50" s="617">
        <f t="shared" si="4"/>
        <v>85.669149596763063</v>
      </c>
      <c r="L50" s="624">
        <f t="shared" si="4"/>
        <v>85.63007310058903</v>
      </c>
      <c r="M50" s="623">
        <f t="shared" si="4"/>
        <v>234.3172556307197</v>
      </c>
      <c r="N50" s="617">
        <f t="shared" si="4"/>
        <v>382.95169080625737</v>
      </c>
      <c r="O50" s="617">
        <f t="shared" si="4"/>
        <v>1112.5378871455255</v>
      </c>
      <c r="P50" s="657">
        <f t="shared" si="4"/>
        <v>507.90558770741734</v>
      </c>
      <c r="X50" s="591"/>
      <c r="Y50" s="591"/>
    </row>
    <row r="51" spans="2:25">
      <c r="B51" s="370">
        <f>H21</f>
        <v>150</v>
      </c>
      <c r="C51" s="677">
        <f>H23</f>
        <v>6.2357167570688672</v>
      </c>
      <c r="D51" s="674">
        <f t="shared" si="2"/>
        <v>6</v>
      </c>
      <c r="E51" s="618">
        <f t="shared" si="3"/>
        <v>0.2212001828775671</v>
      </c>
      <c r="F51" s="618">
        <f t="shared" si="3"/>
        <v>0.27077020546732444</v>
      </c>
      <c r="G51" s="618">
        <f t="shared" si="3"/>
        <v>0.80653676465781032</v>
      </c>
      <c r="H51" s="626">
        <f t="shared" si="3"/>
        <v>0.67126199262058617</v>
      </c>
      <c r="I51" s="625">
        <f t="shared" si="3"/>
        <v>90.293936237914252</v>
      </c>
      <c r="J51" s="618">
        <f t="shared" si="3"/>
        <v>81.250041802818316</v>
      </c>
      <c r="K51" s="618">
        <f t="shared" si="3"/>
        <v>81.02841240432349</v>
      </c>
      <c r="L51" s="626">
        <f t="shared" si="3"/>
        <v>80.966059337514238</v>
      </c>
      <c r="M51" s="625">
        <f t="shared" si="3"/>
        <v>223.94663432405949</v>
      </c>
      <c r="N51" s="618">
        <f t="shared" si="3"/>
        <v>367.66681089132351</v>
      </c>
      <c r="O51" s="618">
        <f t="shared" si="3"/>
        <v>1074.9984068957594</v>
      </c>
      <c r="P51" s="658">
        <f t="shared" si="3"/>
        <v>489.53587061651791</v>
      </c>
      <c r="X51" s="591"/>
      <c r="Y51" s="591"/>
    </row>
    <row r="52" spans="2:25">
      <c r="B52" s="370">
        <f>I21</f>
        <v>100</v>
      </c>
      <c r="C52" s="677">
        <f>I23</f>
        <v>5.0751274648951652</v>
      </c>
      <c r="D52" s="674">
        <f t="shared" si="2"/>
        <v>5</v>
      </c>
      <c r="E52" s="618">
        <f t="shared" si="3"/>
        <v>0.21644637008137138</v>
      </c>
      <c r="F52" s="618">
        <f t="shared" si="3"/>
        <v>0.26151539290272863</v>
      </c>
      <c r="G52" s="618">
        <f t="shared" si="3"/>
        <v>0.77425966630906196</v>
      </c>
      <c r="H52" s="626">
        <f t="shared" si="3"/>
        <v>0.63449094722188393</v>
      </c>
      <c r="I52" s="625">
        <f t="shared" si="3"/>
        <v>97.308536650537974</v>
      </c>
      <c r="J52" s="618">
        <f t="shared" si="3"/>
        <v>85.98564645013883</v>
      </c>
      <c r="K52" s="618">
        <f t="shared" si="3"/>
        <v>85.669149596763063</v>
      </c>
      <c r="L52" s="626">
        <f t="shared" si="3"/>
        <v>85.63007310058903</v>
      </c>
      <c r="M52" s="625">
        <f t="shared" si="3"/>
        <v>234.3172556307197</v>
      </c>
      <c r="N52" s="618">
        <f t="shared" si="3"/>
        <v>382.95169080625737</v>
      </c>
      <c r="O52" s="618">
        <f t="shared" si="3"/>
        <v>1112.5378871455255</v>
      </c>
      <c r="P52" s="658">
        <f t="shared" si="3"/>
        <v>507.90558770741734</v>
      </c>
      <c r="X52" s="591"/>
      <c r="Y52" s="591"/>
    </row>
    <row r="53" spans="2:25" ht="14.5" thickBot="1">
      <c r="B53" s="370">
        <f>J21</f>
        <v>45</v>
      </c>
      <c r="C53" s="678">
        <f>J23</f>
        <v>3.4505210063441969</v>
      </c>
      <c r="D53" s="675">
        <f t="shared" si="2"/>
        <v>3</v>
      </c>
      <c r="E53" s="659">
        <f t="shared" si="3"/>
        <v>0.21099182815728634</v>
      </c>
      <c r="F53" s="659">
        <f t="shared" si="3"/>
        <v>0.24911137600237201</v>
      </c>
      <c r="G53" s="659">
        <f t="shared" si="3"/>
        <v>0.71953524578843309</v>
      </c>
      <c r="H53" s="660">
        <f t="shared" si="3"/>
        <v>0.59377905222712246</v>
      </c>
      <c r="I53" s="661">
        <f t="shared" si="3"/>
        <v>100.77783669123757</v>
      </c>
      <c r="J53" s="659">
        <f t="shared" si="3"/>
        <v>88.958222557171979</v>
      </c>
      <c r="K53" s="659">
        <f t="shared" si="3"/>
        <v>86.880304079623656</v>
      </c>
      <c r="L53" s="660">
        <f t="shared" si="3"/>
        <v>88.592204723167782</v>
      </c>
      <c r="M53" s="661">
        <f t="shared" si="3"/>
        <v>238.58310170287365</v>
      </c>
      <c r="N53" s="659">
        <f t="shared" si="3"/>
        <v>389.93325901981484</v>
      </c>
      <c r="O53" s="659">
        <f t="shared" si="3"/>
        <v>1108.734778147134</v>
      </c>
      <c r="P53" s="662">
        <f t="shared" si="3"/>
        <v>515.63311881258801</v>
      </c>
      <c r="X53" s="591"/>
      <c r="Y53" s="591"/>
    </row>
    <row r="54" spans="2:25" ht="14.5" thickBot="1">
      <c r="C54" s="593"/>
      <c r="D54" s="616"/>
      <c r="E54" s="618"/>
      <c r="F54" s="618"/>
      <c r="G54" s="618"/>
      <c r="H54" s="618"/>
      <c r="I54" s="618"/>
      <c r="J54" s="618"/>
      <c r="K54" s="618"/>
      <c r="L54" s="618"/>
      <c r="M54" s="618"/>
      <c r="N54" s="618"/>
      <c r="O54" s="618"/>
      <c r="P54" s="618"/>
      <c r="X54" s="591"/>
      <c r="Y54" s="591"/>
    </row>
    <row r="55" spans="2:25">
      <c r="C55" s="590"/>
      <c r="D55" s="586"/>
      <c r="E55" s="643" t="s">
        <v>249</v>
      </c>
      <c r="F55" s="644" t="s">
        <v>89</v>
      </c>
      <c r="G55" s="644" t="s">
        <v>91</v>
      </c>
      <c r="H55" s="645" t="s">
        <v>311</v>
      </c>
      <c r="I55" s="646" t="s">
        <v>249</v>
      </c>
      <c r="J55" s="644" t="s">
        <v>89</v>
      </c>
      <c r="K55" s="644" t="s">
        <v>91</v>
      </c>
      <c r="L55" s="645" t="s">
        <v>311</v>
      </c>
      <c r="M55" s="646" t="s">
        <v>249</v>
      </c>
      <c r="N55" s="644" t="s">
        <v>89</v>
      </c>
      <c r="O55" s="644" t="s">
        <v>91</v>
      </c>
      <c r="P55" s="647" t="s">
        <v>311</v>
      </c>
      <c r="X55" s="591"/>
      <c r="Y55" s="591"/>
    </row>
    <row r="56" spans="2:25">
      <c r="C56" s="590"/>
      <c r="D56" s="751" t="s">
        <v>101</v>
      </c>
      <c r="E56" s="650">
        <f>(E47-E$29)/E$29</f>
        <v>4.4169029894416609E-2</v>
      </c>
      <c r="F56" s="620">
        <f t="shared" ref="F56:P56" si="5">(F47-F$29)/F$29</f>
        <v>8.2332999607286669E-2</v>
      </c>
      <c r="G56" s="620">
        <f t="shared" si="5"/>
        <v>0.12387112593774739</v>
      </c>
      <c r="H56" s="631">
        <f t="shared" si="5"/>
        <v>0.11035979956019779</v>
      </c>
      <c r="I56" s="630">
        <f t="shared" si="5"/>
        <v>-5.5241744993968403E-2</v>
      </c>
      <c r="J56" s="620">
        <f t="shared" si="5"/>
        <v>-5.6563565204798452E-2</v>
      </c>
      <c r="K56" s="620">
        <f>(K47-K$29)/K$29</f>
        <v>-2.4694205427436191E-2</v>
      </c>
      <c r="L56" s="631">
        <f t="shared" si="5"/>
        <v>-5.7295845577879846E-2</v>
      </c>
      <c r="M56" s="630">
        <f t="shared" si="5"/>
        <v>-1.6687172898666242E-2</v>
      </c>
      <c r="N56" s="620">
        <f t="shared" si="5"/>
        <v>-1.5185617479247949E-2</v>
      </c>
      <c r="O56" s="620">
        <f t="shared" si="5"/>
        <v>2.0906712447868292E-2</v>
      </c>
      <c r="P56" s="651">
        <f t="shared" si="5"/>
        <v>-9.5866619819027516E-3</v>
      </c>
      <c r="X56" s="591"/>
      <c r="Y56" s="591"/>
    </row>
    <row r="57" spans="2:25">
      <c r="C57" s="590"/>
      <c r="D57" s="752" t="s">
        <v>102</v>
      </c>
      <c r="E57" s="650">
        <f t="shared" ref="E57:P57" si="6">(E48-E$29)/E$29</f>
        <v>2.6202890278560223E-2</v>
      </c>
      <c r="F57" s="620">
        <f t="shared" si="6"/>
        <v>4.7977223428986214E-2</v>
      </c>
      <c r="G57" s="620">
        <f>(G48-G$29)/G$29</f>
        <v>7.4103371697194109E-2</v>
      </c>
      <c r="H57" s="631">
        <f t="shared" si="6"/>
        <v>5.9439807459035682E-2</v>
      </c>
      <c r="I57" s="630">
        <f t="shared" si="6"/>
        <v>-1.830013246152146E-2</v>
      </c>
      <c r="J57" s="620">
        <f t="shared" si="6"/>
        <v>-2.5211549596463993E-2</v>
      </c>
      <c r="K57" s="620">
        <f t="shared" si="6"/>
        <v>-4.7329579189895853E-3</v>
      </c>
      <c r="L57" s="631">
        <f t="shared" si="6"/>
        <v>-2.6176958507160279E-2</v>
      </c>
      <c r="M57" s="630">
        <f t="shared" si="6"/>
        <v>6.4037332948783891E-3</v>
      </c>
      <c r="N57" s="620">
        <f t="shared" si="6"/>
        <v>6.1502766324150401E-3</v>
      </c>
      <c r="O57" s="620">
        <f t="shared" si="6"/>
        <v>2.8273227328004802E-2</v>
      </c>
      <c r="P57" s="651">
        <f t="shared" si="6"/>
        <v>9.2479804274487008E-3</v>
      </c>
      <c r="X57" s="591"/>
      <c r="Y57" s="591"/>
    </row>
    <row r="58" spans="2:25">
      <c r="C58" s="590"/>
      <c r="D58" s="753" t="s">
        <v>103</v>
      </c>
      <c r="E58" s="650">
        <f t="shared" ref="E58:P58" si="7">(E49-E$29)/E$29</f>
        <v>4.0998252087120724E-3</v>
      </c>
      <c r="F58" s="620">
        <f t="shared" si="7"/>
        <v>6.4528596557594971E-3</v>
      </c>
      <c r="G58" s="620">
        <f t="shared" si="7"/>
        <v>8.4113031060293001E-3</v>
      </c>
      <c r="H58" s="631">
        <f t="shared" si="7"/>
        <v>6.0280960095762497E-3</v>
      </c>
      <c r="I58" s="630">
        <f t="shared" si="7"/>
        <v>-2.2628288030427527E-3</v>
      </c>
      <c r="J58" s="620">
        <f t="shared" si="7"/>
        <v>-5.2684885426160224E-3</v>
      </c>
      <c r="K58" s="620">
        <f t="shared" si="7"/>
        <v>-3.1078387361459589E-4</v>
      </c>
      <c r="L58" s="631">
        <f t="shared" si="7"/>
        <v>-5.8290364829706827E-3</v>
      </c>
      <c r="M58" s="630">
        <f t="shared" si="7"/>
        <v>7.9267664944022743E-3</v>
      </c>
      <c r="N58" s="620">
        <f t="shared" si="7"/>
        <v>8.9414606710027933E-3</v>
      </c>
      <c r="O58" s="620">
        <f t="shared" si="7"/>
        <v>1.4131101143211868E-2</v>
      </c>
      <c r="P58" s="651">
        <f t="shared" si="7"/>
        <v>9.9031659439643132E-3</v>
      </c>
      <c r="X58" s="591"/>
      <c r="Y58" s="591"/>
    </row>
    <row r="59" spans="2:25">
      <c r="C59" s="590"/>
      <c r="D59" s="586">
        <f>B50</f>
        <v>100</v>
      </c>
      <c r="E59" s="648">
        <f t="shared" ref="E59:P59" si="8">(E50-E$29)/E$29</f>
        <v>3.9545572232630638E-2</v>
      </c>
      <c r="F59" s="628">
        <f t="shared" si="8"/>
        <v>7.425317662059798E-2</v>
      </c>
      <c r="G59" s="628">
        <f t="shared" si="8"/>
        <v>0.11367218261154081</v>
      </c>
      <c r="H59" s="629">
        <f t="shared" si="8"/>
        <v>9.728035034862581E-2</v>
      </c>
      <c r="I59" s="627">
        <f t="shared" si="8"/>
        <v>-4.143664310325848E-2</v>
      </c>
      <c r="J59" s="628">
        <f t="shared" si="8"/>
        <v>-4.6031507219988402E-2</v>
      </c>
      <c r="K59" s="628">
        <f t="shared" si="8"/>
        <v>-1.5152728149987459E-2</v>
      </c>
      <c r="L59" s="629">
        <f t="shared" si="8"/>
        <v>-4.6889372278934742E-2</v>
      </c>
      <c r="M59" s="627">
        <f t="shared" si="8"/>
        <v>-7.5945794657240337E-3</v>
      </c>
      <c r="N59" s="628">
        <f t="shared" si="8"/>
        <v>-7.2343632605281899E-3</v>
      </c>
      <c r="O59" s="628">
        <f t="shared" si="8"/>
        <v>2.6941508444003615E-2</v>
      </c>
      <c r="P59" s="649">
        <f t="shared" si="8"/>
        <v>-2.3917833768231818E-3</v>
      </c>
      <c r="X59" s="591"/>
      <c r="Y59" s="591"/>
    </row>
    <row r="60" spans="2:25">
      <c r="C60" s="590"/>
      <c r="D60" s="586">
        <f>B51</f>
        <v>150</v>
      </c>
      <c r="E60" s="650">
        <f t="shared" ref="E60:P60" si="9">(E51-E$29)/E$29</f>
        <v>6.2377117255308742E-2</v>
      </c>
      <c r="F60" s="620">
        <f t="shared" si="9"/>
        <v>0.11227010436696293</v>
      </c>
      <c r="G60" s="620">
        <f t="shared" si="9"/>
        <v>0.16009860533581238</v>
      </c>
      <c r="H60" s="631">
        <f t="shared" si="9"/>
        <v>0.1608717156067708</v>
      </c>
      <c r="I60" s="630">
        <f t="shared" si="9"/>
        <v>-0.11053581107206062</v>
      </c>
      <c r="J60" s="620">
        <f t="shared" si="9"/>
        <v>-9.8570713637725058E-2</v>
      </c>
      <c r="K60" s="620">
        <f t="shared" si="9"/>
        <v>-6.8502357332249006E-2</v>
      </c>
      <c r="L60" s="631">
        <f t="shared" si="9"/>
        <v>-9.880245520018853E-2</v>
      </c>
      <c r="M60" s="630">
        <f t="shared" si="9"/>
        <v>-5.1517340388025294E-2</v>
      </c>
      <c r="N60" s="620">
        <f t="shared" si="9"/>
        <v>-4.6858952746706116E-2</v>
      </c>
      <c r="O60" s="620">
        <f t="shared" si="9"/>
        <v>-7.7097613413425505E-3</v>
      </c>
      <c r="P60" s="651">
        <f t="shared" si="9"/>
        <v>-3.8472860550325685E-2</v>
      </c>
      <c r="X60" s="591"/>
      <c r="Y60" s="591"/>
    </row>
    <row r="61" spans="2:25">
      <c r="C61" s="590"/>
      <c r="D61" s="586">
        <f>B52</f>
        <v>100</v>
      </c>
      <c r="E61" s="650">
        <f t="shared" ref="E61:P61" si="10">(E52-E$29)/E$29</f>
        <v>3.9545572232630638E-2</v>
      </c>
      <c r="F61" s="620">
        <f t="shared" si="10"/>
        <v>7.425317662059798E-2</v>
      </c>
      <c r="G61" s="620">
        <f t="shared" si="10"/>
        <v>0.11367218261154081</v>
      </c>
      <c r="H61" s="631">
        <f t="shared" si="10"/>
        <v>9.728035034862581E-2</v>
      </c>
      <c r="I61" s="630">
        <f t="shared" si="10"/>
        <v>-4.143664310325848E-2</v>
      </c>
      <c r="J61" s="620">
        <f t="shared" si="10"/>
        <v>-4.6031507219988402E-2</v>
      </c>
      <c r="K61" s="620">
        <f t="shared" si="10"/>
        <v>-1.5152728149987459E-2</v>
      </c>
      <c r="L61" s="631">
        <f t="shared" si="10"/>
        <v>-4.6889372278934742E-2</v>
      </c>
      <c r="M61" s="630">
        <f t="shared" si="10"/>
        <v>-7.5945794657240337E-3</v>
      </c>
      <c r="N61" s="620">
        <f t="shared" si="10"/>
        <v>-7.2343632605281899E-3</v>
      </c>
      <c r="O61" s="620">
        <f t="shared" si="10"/>
        <v>2.6941508444003615E-2</v>
      </c>
      <c r="P61" s="651">
        <f t="shared" si="10"/>
        <v>-2.3917833768231818E-3</v>
      </c>
      <c r="X61" s="591"/>
      <c r="Y61" s="591"/>
    </row>
    <row r="62" spans="2:25" ht="14.5" thickBot="1">
      <c r="C62" s="590"/>
      <c r="D62" s="586">
        <f>B53</f>
        <v>45</v>
      </c>
      <c r="E62" s="652">
        <f t="shared" ref="E62:P62" si="11">(E53-E$29)/E$29</f>
        <v>1.3348575241606169E-2</v>
      </c>
      <c r="F62" s="653">
        <f t="shared" si="11"/>
        <v>2.3299944345586288E-2</v>
      </c>
      <c r="G62" s="653">
        <f t="shared" si="11"/>
        <v>3.495819621226344E-2</v>
      </c>
      <c r="H62" s="654">
        <f t="shared" si="11"/>
        <v>2.6873731312048399E-2</v>
      </c>
      <c r="I62" s="655">
        <f t="shared" si="11"/>
        <v>-7.2613897538225756E-3</v>
      </c>
      <c r="J62" s="653">
        <f t="shared" si="11"/>
        <v>-1.3052236079139653E-2</v>
      </c>
      <c r="K62" s="653">
        <f t="shared" si="11"/>
        <v>-1.2293707471349772E-3</v>
      </c>
      <c r="L62" s="654">
        <f t="shared" si="11"/>
        <v>-1.3919189865660216E-2</v>
      </c>
      <c r="M62" s="655">
        <f t="shared" si="11"/>
        <v>1.0472586581330892E-2</v>
      </c>
      <c r="N62" s="653">
        <f t="shared" si="11"/>
        <v>1.0864684685649939E-2</v>
      </c>
      <c r="O62" s="653">
        <f t="shared" si="11"/>
        <v>2.3431002836319739E-2</v>
      </c>
      <c r="P62" s="656">
        <f t="shared" si="11"/>
        <v>1.2786329861754321E-2</v>
      </c>
      <c r="X62" s="591"/>
      <c r="Y62" s="591"/>
    </row>
    <row r="63" spans="2:25">
      <c r="C63" s="590"/>
      <c r="D63" s="586"/>
      <c r="E63" s="586"/>
      <c r="F63" s="586"/>
      <c r="G63" s="598"/>
      <c r="H63" s="599"/>
      <c r="I63" s="600"/>
      <c r="J63" s="601"/>
      <c r="K63" s="601"/>
      <c r="L63" s="619"/>
      <c r="M63" s="619"/>
      <c r="N63" s="619"/>
      <c r="O63" s="619"/>
      <c r="P63" s="619"/>
      <c r="Q63" s="619"/>
      <c r="R63" s="619"/>
      <c r="S63" s="619"/>
      <c r="T63" s="619"/>
      <c r="U63" s="619"/>
      <c r="V63" s="619"/>
      <c r="W63" s="619"/>
      <c r="X63" s="591"/>
      <c r="Y63" s="591"/>
    </row>
    <row r="64" spans="2:25">
      <c r="C64" s="590"/>
      <c r="D64" s="586"/>
      <c r="E64" s="586"/>
      <c r="F64" s="586"/>
      <c r="G64" s="598"/>
      <c r="H64" s="599"/>
      <c r="I64" s="600"/>
      <c r="J64" s="601"/>
      <c r="K64" s="601"/>
      <c r="L64" s="602"/>
      <c r="M64" s="602"/>
      <c r="N64" s="602"/>
      <c r="O64" s="602"/>
      <c r="P64" s="605"/>
      <c r="Q64" s="605"/>
      <c r="R64" s="605"/>
      <c r="S64" s="605"/>
      <c r="T64" s="605"/>
      <c r="U64" s="605"/>
      <c r="V64" s="605"/>
      <c r="W64" s="605"/>
      <c r="X64" s="591"/>
      <c r="Y64" s="591"/>
    </row>
  </sheetData>
  <dataValidations count="4">
    <dataValidation showInputMessage="1" showErrorMessage="1" sqref="C9:C12" xr:uid="{00000000-0002-0000-0700-000000000000}"/>
    <dataValidation type="list" showInputMessage="1" showErrorMessage="1" sqref="D9" xr:uid="{00000000-0002-0000-0700-000001000000}">
      <formula1>$P$4:$P$16</formula1>
    </dataValidation>
    <dataValidation type="decimal" allowBlank="1" showErrorMessage="1" errorTitle="Invalid Input" error="Range: 1 to 25" prompt="Valid Range:1 to 25" sqref="C39:C42" xr:uid="{00000000-0002-0000-0700-000002000000}">
      <formula1>1</formula1>
      <formula2>25</formula2>
    </dataValidation>
    <dataValidation type="whole" allowBlank="1" showInputMessage="1" showErrorMessage="1" errorTitle="Invalid Input" error="Range: 1 to 2" sqref="I43:J44" xr:uid="{00000000-0002-0000-0700-000003000000}">
      <formula1>1</formula1>
      <formula2>2</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lc_EmailTo xmlns="15ff3d39-6e7b-4d70-9b7c-8d9fe85d0f29" xsi:nil="true"/>
    <TaxCatchAll xmlns="15ff3d39-6e7b-4d70-9b7c-8d9fe85d0f29"/>
    <dlc_EmailSubject xmlns="15ff3d39-6e7b-4d70-9b7c-8d9fe85d0f29" xsi:nil="true"/>
    <dlc_EmailCC xmlns="15ff3d39-6e7b-4d70-9b7c-8d9fe85d0f29" xsi:nil="true"/>
    <Historical_x0020_Importance xmlns="15ff3d39-6e7b-4d70-9b7c-8d9fe85d0f29">false</Historical_x0020_Importance>
    <dlc_EmailBCC xmlns="15ff3d39-6e7b-4d70-9b7c-8d9fe85d0f29" xsi:nil="true"/>
    <dlc_EmailFrom xmlns="15ff3d39-6e7b-4d70-9b7c-8d9fe85d0f29" xsi:nil="true"/>
    <Security_x0020_Classification xmlns="15ff3d39-6e7b-4d70-9b7c-8d9fe85d0f29">Official</Security_x0020_Classification>
    <dlc_EmailReceivedUTC xmlns="15ff3d39-6e7b-4d70-9b7c-8d9fe85d0f29" xsi:nil="true"/>
    <dlc_EmailSentUTC xmlns="15ff3d39-6e7b-4d70-9b7c-8d9fe85d0f29" xsi:nil="true"/>
    <pad064494f8145a29a5775cf83bb0c2b xmlns="4fea251c-3bdd-4d50-962b-ffa2ae250ba0">
      <Terms xmlns="http://schemas.microsoft.com/office/infopath/2007/PartnerControls"/>
    </pad064494f8145a29a5775cf83bb0c2b>
    <cd040aa6bc404ad9b486d28cbeeb00af xmlns="4fea251c-3bdd-4d50-962b-ffa2ae250ba0">
      <Terms xmlns="http://schemas.microsoft.com/office/infopath/2007/PartnerControls"/>
    </cd040aa6bc404ad9b486d28cbeeb00a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9FEAB8A755D345A7BE94913164A6BF" ma:contentTypeVersion="13" ma:contentTypeDescription="Create a new document." ma:contentTypeScope="" ma:versionID="78593343dc1ee4b86f89f455d2aba3c9">
  <xsd:schema xmlns:xsd="http://www.w3.org/2001/XMLSchema" xmlns:xs="http://www.w3.org/2001/XMLSchema" xmlns:p="http://schemas.microsoft.com/office/2006/metadata/properties" xmlns:ns2="4fea251c-3bdd-4d50-962b-ffa2ae250ba0" xmlns:ns3="15ff3d39-6e7b-4d70-9b7c-8d9fe85d0f29" xmlns:ns4="06412973-1497-45a9-b581-8a233b4f9f55" targetNamespace="http://schemas.microsoft.com/office/2006/metadata/properties" ma:root="true" ma:fieldsID="b86b4638df39f9581ccc660e2a11af02" ns2:_="" ns3:_="" ns4:_="">
    <xsd:import namespace="4fea251c-3bdd-4d50-962b-ffa2ae250ba0"/>
    <xsd:import namespace="15ff3d39-6e7b-4d70-9b7c-8d9fe85d0f29"/>
    <xsd:import namespace="06412973-1497-45a9-b581-8a233b4f9f55"/>
    <xsd:element name="properties">
      <xsd:complexType>
        <xsd:sequence>
          <xsd:element name="documentManagement">
            <xsd:complexType>
              <xsd:all>
                <xsd:element ref="ns2:cd040aa6bc404ad9b486d28cbeeb00af" minOccurs="0"/>
                <xsd:element ref="ns3:TaxCatchAll" minOccurs="0"/>
                <xsd:element ref="ns3:TaxCatchAllLabel" minOccurs="0"/>
                <xsd:element ref="ns2:pad064494f8145a29a5775cf83bb0c2b" minOccurs="0"/>
                <xsd:element ref="ns3:Historical_x0020_Importance" minOccurs="0"/>
                <xsd:element ref="ns3:Security_x0020_Classification" minOccurs="0"/>
                <xsd:element ref="ns3:dlc_EmailBCC" minOccurs="0"/>
                <xsd:element ref="ns3:dlc_EmailCC" minOccurs="0"/>
                <xsd:element ref="ns3:dlc_EmailReceivedUTC" minOccurs="0"/>
                <xsd:element ref="ns3:dlc_EmailSentUTC" minOccurs="0"/>
                <xsd:element ref="ns3:dlc_EmailFrom" minOccurs="0"/>
                <xsd:element ref="ns3:dlc_EmailSubject" minOccurs="0"/>
                <xsd:element ref="ns3:dlc_EmailTo"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DateTaken" minOccurs="0"/>
                <xsd:element ref="ns4:MediaServiceLocation" minOccurs="0"/>
                <xsd:element ref="ns2:SharedWithUsers" minOccurs="0"/>
                <xsd:element ref="ns2:SharedWithDetails"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ea251c-3bdd-4d50-962b-ffa2ae250ba0" elementFormDefault="qualified">
    <xsd:import namespace="http://schemas.microsoft.com/office/2006/documentManagement/types"/>
    <xsd:import namespace="http://schemas.microsoft.com/office/infopath/2007/PartnerControls"/>
    <xsd:element name="cd040aa6bc404ad9b486d28cbeeb00af" ma:index="8" nillable="true" ma:taxonomy="true" ma:internalName="cd040aa6bc404ad9b486d28cbeeb00af" ma:taxonomyFieldName="CustomTag" ma:displayName="Custom Tag" ma:default="" ma:fieldId="{cd040aa6-bc40-4ad9-b486-d28cbeeb00af}" ma:sspId="5de26ec3-896b-4bef-bed1-ad194f885b2b" ma:termSetId="13044b94-4d63-4451-bad3-15256e9da9fc" ma:anchorId="00000000-0000-0000-0000-000000000000" ma:open="true" ma:isKeyword="false">
      <xsd:complexType>
        <xsd:sequence>
          <xsd:element ref="pc:Terms" minOccurs="0" maxOccurs="1"/>
        </xsd:sequence>
      </xsd:complexType>
    </xsd:element>
    <xsd:element name="pad064494f8145a29a5775cf83bb0c2b" ma:index="12" nillable="true" ma:taxonomy="true" ma:internalName="pad064494f8145a29a5775cf83bb0c2b" ma:taxonomyFieldName="FinancialYear" ma:displayName="Financial Year" ma:fieldId="{9ad06449-4f81-45a2-9a57-75cf83bb0c2b}"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b4c99f6-05e4-48dc-9730-d579cd1256ad}" ma:internalName="TaxCatchAll" ma:showField="CatchAllData" ma:web="4fea251c-3bdd-4d50-962b-ffa2ae250ba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b4c99f6-05e4-48dc-9730-d579cd1256ad}" ma:internalName="TaxCatchAllLabel" ma:readOnly="true" ma:showField="CatchAllDataLabel" ma:web="4fea251c-3bdd-4d50-962b-ffa2ae250ba0">
      <xsd:complexType>
        <xsd:complexContent>
          <xsd:extension base="dms:MultiChoiceLookup">
            <xsd:sequence>
              <xsd:element name="Value" type="dms:Lookup" maxOccurs="unbounded" minOccurs="0" nillable="true"/>
            </xsd:sequence>
          </xsd:extension>
        </xsd:complexContent>
      </xsd:complexType>
    </xsd:element>
    <xsd:element name="Historical_x0020_Importance" ma:index="14" nillable="true" ma:displayName="Historical Importance" ma:default="0" ma:internalName="Historical_x0020_Importance">
      <xsd:simpleType>
        <xsd:restriction base="dms:Boolean"/>
      </xsd:simple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16" nillable="true" ma:displayName="BCC" ma:description="" ma:internalName="dlc_EmailBCC">
      <xsd:simpleType>
        <xsd:restriction base="dms:Note">
          <xsd:maxLength value="1024"/>
        </xsd:restriction>
      </xsd:simpleType>
    </xsd:element>
    <xsd:element name="dlc_EmailCC" ma:index="17" nillable="true" ma:displayName="CC" ma:description="" ma:internalName="dlc_EmailCC">
      <xsd:simpleType>
        <xsd:restriction base="dms:Note">
          <xsd:maxLength value="1024"/>
        </xsd:restriction>
      </xsd:simpleType>
    </xsd:element>
    <xsd:element name="dlc_EmailReceivedUTC" ma:index="18" nillable="true" ma:displayName="Date Received" ma:description="" ma:internalName="dlc_EmailReceivedUTC">
      <xsd:simpleType>
        <xsd:restriction base="dms:DateTime"/>
      </xsd:simpleType>
    </xsd:element>
    <xsd:element name="dlc_EmailSentUTC" ma:index="19" nillable="true" ma:displayName="Date Sent" ma:description="" ma:internalName="dlc_EmailSentUTC">
      <xsd:simpleType>
        <xsd:restriction base="dms:DateTime"/>
      </xsd:simpleType>
    </xsd:element>
    <xsd:element name="dlc_EmailFrom" ma:index="20" nillable="true" ma:displayName="From" ma:description="" ma:internalName="dlc_EmailFrom">
      <xsd:simpleType>
        <xsd:restriction base="dms:Text">
          <xsd:maxLength value="255"/>
        </xsd:restriction>
      </xsd:simpleType>
    </xsd:element>
    <xsd:element name="dlc_EmailSubject" ma:index="21" nillable="true" ma:displayName="Email Subject" ma:description="" ma:internalName="dlc_EmailSubject">
      <xsd:simpleType>
        <xsd:restriction base="dms:Note"/>
      </xsd:simpleType>
    </xsd:element>
    <xsd:element name="dlc_EmailTo" ma:index="2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412973-1497-45a9-b581-8a233b4f9f55"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AutoTags" ma:index="25" nillable="true" ma:displayName="Tags" ma:internalName="MediaServiceAutoTags"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DateTaken" ma:index="29" nillable="true" ma:displayName="MediaServiceDateTaken" ma:hidden="true" ma:internalName="MediaServiceDateTaken" ma:readOnly="true">
      <xsd:simpleType>
        <xsd:restriction base="dms:Text"/>
      </xsd:simpleType>
    </xsd:element>
    <xsd:element name="MediaServiceLocation" ma:index="30"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43E2A0-AC8E-42CF-AEE7-BEAC1E4415EE}">
  <ds:schemaRefs>
    <ds:schemaRef ds:uri="15ff3d39-6e7b-4d70-9b7c-8d9fe85d0f29"/>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4fea251c-3bdd-4d50-962b-ffa2ae250ba0"/>
    <ds:schemaRef ds:uri="http://schemas.microsoft.com/office/2006/metadata/properties"/>
    <ds:schemaRef ds:uri="06412973-1497-45a9-b581-8a233b4f9f55"/>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6D84BF94-864D-4F2B-951F-2024953D72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ea251c-3bdd-4d50-962b-ffa2ae250ba0"/>
    <ds:schemaRef ds:uri="15ff3d39-6e7b-4d70-9b7c-8d9fe85d0f29"/>
    <ds:schemaRef ds:uri="06412973-1497-45a9-b581-8a233b4f9f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22F260-ED05-49B0-8426-156499C853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29</vt:i4>
      </vt:variant>
    </vt:vector>
  </HeadingPairs>
  <TitlesOfParts>
    <vt:vector size="32" baseType="lpstr">
      <vt:lpstr>Workbook Guide</vt:lpstr>
      <vt:lpstr>Proforma</vt:lpstr>
      <vt:lpstr>LA Scheme Outputs</vt:lpstr>
      <vt:lpstr>AverageSpeed</vt:lpstr>
      <vt:lpstr>Carbon</vt:lpstr>
      <vt:lpstr>Carbon_price</vt:lpstr>
      <vt:lpstr>CarSpeed</vt:lpstr>
      <vt:lpstr>Discount</vt:lpstr>
      <vt:lpstr>Fuel_proportion</vt:lpstr>
      <vt:lpstr>GDP_deflator</vt:lpstr>
      <vt:lpstr>GG_fuel</vt:lpstr>
      <vt:lpstr>HGVSpeed</vt:lpstr>
      <vt:lpstr>LGVSpeed</vt:lpstr>
      <vt:lpstr>NTM_car</vt:lpstr>
      <vt:lpstr>NTM_HGV</vt:lpstr>
      <vt:lpstr>NTM_LGV</vt:lpstr>
      <vt:lpstr>NTM_PSV</vt:lpstr>
      <vt:lpstr>PSVSpeed</vt:lpstr>
      <vt:lpstr>PVB_Source</vt:lpstr>
      <vt:lpstr>RAG</vt:lpstr>
      <vt:lpstr>RAGG</vt:lpstr>
      <vt:lpstr>RAGGG</vt:lpstr>
      <vt:lpstr>Scheme_Length</vt:lpstr>
      <vt:lpstr>Scheme_Name</vt:lpstr>
      <vt:lpstr>Scheme_Promoter</vt:lpstr>
      <vt:lpstr>Traffic_model</vt:lpstr>
      <vt:lpstr>VFM</vt:lpstr>
      <vt:lpstr>voc_nonfuel</vt:lpstr>
      <vt:lpstr>voc_nonwork</vt:lpstr>
      <vt:lpstr>voc_work</vt:lpstr>
      <vt:lpstr>VOT</vt:lpstr>
      <vt:lpstr>Yes_no</vt:lpstr>
    </vt:vector>
  </TitlesOfParts>
  <Manager/>
  <Company>DfT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Hannah Tyndall</dc:creator>
  <cp:keywords/>
  <dc:description/>
  <cp:lastModifiedBy>Zakaria El-Hoss</cp:lastModifiedBy>
  <cp:revision/>
  <dcterms:created xsi:type="dcterms:W3CDTF">2017-12-05T15:53:32Z</dcterms:created>
  <dcterms:modified xsi:type="dcterms:W3CDTF">2022-06-07T16:10:33Z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0x010100619FEAB8A755D345A7BE94913164A6BF</vt:lpwstr>
  </property>
  <property fmtid="{D5CDD505-2E9C-101B-9397-08002B2CF9AE}" pid="3" name="CustomTag">
    <vt:lpwstr/>
  </property>
  <property fmtid="{D5CDD505-2E9C-101B-9397-08002B2CF9AE}" pid="4" name="FinancialYear">
    <vt:lpwstr/>
  </property>
</Properties>
</file>